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Masques!$AF$57:$AF$80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Masques!$AJ$57:$AJ$80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Masques!$B$57:$B$80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1" i="19" l="1"/>
  <c r="Z10" i="7"/>
  <c r="AB10" i="7" s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N10" i="7"/>
  <c r="P10" i="7" s="1"/>
  <c r="E10" i="7"/>
  <c r="C10" i="7"/>
  <c r="L10" i="7" s="1"/>
  <c r="R10" i="7" s="1"/>
  <c r="B10" i="7"/>
  <c r="D10" i="7" s="1"/>
  <c r="F9" i="7"/>
  <c r="B9" i="7"/>
  <c r="O10" i="7" l="1"/>
  <c r="AA10" i="7"/>
  <c r="H9" i="7"/>
  <c r="C9" i="7"/>
  <c r="V10" i="7"/>
  <c r="X9" i="7"/>
  <c r="AD9" i="7" s="1"/>
  <c r="U10" i="7"/>
  <c r="I9" i="7" l="1"/>
  <c r="N9" i="7"/>
  <c r="T9" i="7" l="1"/>
  <c r="O9" i="7"/>
  <c r="Z9" i="7" l="1"/>
  <c r="U9" i="7"/>
  <c r="AF9" i="7" l="1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B71" i="18" l="1"/>
  <c r="AI5" i="7" l="1"/>
  <c r="CF380" i="6"/>
  <c r="CE380" i="6"/>
  <c r="CD380" i="6"/>
  <c r="CB380" i="6"/>
  <c r="CA380" i="6"/>
  <c r="BZ380" i="6"/>
  <c r="BX380" i="6"/>
  <c r="BW38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M32" i="19" l="1"/>
  <c r="H10" i="7"/>
  <c r="AF10" i="7"/>
  <c r="L32" i="19"/>
  <c r="K32" i="19"/>
  <c r="AH10" i="7" l="1"/>
  <c r="AN10" i="7" s="1"/>
  <c r="AT10" i="7" s="1"/>
  <c r="AZ10" i="7" s="1"/>
  <c r="BF10" i="7" s="1"/>
  <c r="BL10" i="7" s="1"/>
  <c r="BR10" i="7" s="1"/>
  <c r="BX10" i="7" s="1"/>
  <c r="AI10" i="7"/>
  <c r="AO10" i="7" s="1"/>
  <c r="AU10" i="7" s="1"/>
  <c r="BA10" i="7" s="1"/>
  <c r="BG10" i="7" s="1"/>
  <c r="BM10" i="7" s="1"/>
  <c r="BS10" i="7" s="1"/>
  <c r="BY10" i="7" s="1"/>
  <c r="AJ9" i="7"/>
  <c r="AL10" i="7" s="1"/>
  <c r="AP9" i="7" s="1"/>
  <c r="AR10" i="7" s="1"/>
  <c r="L9" i="7"/>
  <c r="R9" i="7" s="1"/>
  <c r="K10" i="7"/>
  <c r="Q10" i="7" s="1"/>
  <c r="W10" i="7" s="1"/>
  <c r="AC10" i="7" s="1"/>
  <c r="J10" i="7"/>
  <c r="W12" i="27"/>
  <c r="I33" i="27"/>
  <c r="I34" i="27" s="1"/>
  <c r="I35" i="27" s="1"/>
  <c r="I36" i="27" s="1"/>
  <c r="I37" i="27" s="1"/>
  <c r="I38" i="27" s="1"/>
  <c r="I39" i="27" s="1"/>
  <c r="I40" i="27" s="1"/>
  <c r="I41" i="27" s="1"/>
  <c r="I42" i="27" s="1"/>
  <c r="I43" i="27" s="1"/>
  <c r="I32" i="27"/>
  <c r="W10" i="27"/>
  <c r="W11" i="27"/>
  <c r="AV9" i="7" l="1"/>
  <c r="AX10" i="7" s="1"/>
  <c r="BB9" i="7" s="1"/>
  <c r="BD10" i="7" s="1"/>
  <c r="D12" i="27"/>
  <c r="E12" i="27"/>
  <c r="D10" i="27"/>
  <c r="E10" i="27" s="1"/>
  <c r="D11" i="27"/>
  <c r="E11" i="27" s="1"/>
  <c r="I5" i="27"/>
  <c r="BH9" i="7" l="1"/>
  <c r="BJ10" i="7" s="1"/>
  <c r="K19" i="27"/>
  <c r="J19" i="27"/>
  <c r="L19" i="27" s="1"/>
  <c r="K18" i="27"/>
  <c r="J18" i="27"/>
  <c r="K17" i="27"/>
  <c r="J17" i="27"/>
  <c r="K16" i="27"/>
  <c r="M42" i="27"/>
  <c r="N79" i="27" s="1"/>
  <c r="K42" i="27"/>
  <c r="L42" i="27" s="1"/>
  <c r="G79" i="27" s="1"/>
  <c r="J42" i="27"/>
  <c r="M41" i="27"/>
  <c r="N78" i="27" s="1"/>
  <c r="K41" i="27"/>
  <c r="J41" i="27"/>
  <c r="M40" i="27"/>
  <c r="L40" i="27"/>
  <c r="M77" i="27" s="1"/>
  <c r="K40" i="27"/>
  <c r="J40" i="27"/>
  <c r="M39" i="27"/>
  <c r="L39" i="27"/>
  <c r="H76" i="27" s="1"/>
  <c r="K39" i="27"/>
  <c r="J39" i="27"/>
  <c r="M38" i="27"/>
  <c r="L38" i="27"/>
  <c r="H75" i="27" s="1"/>
  <c r="K38" i="27"/>
  <c r="J38" i="27"/>
  <c r="K37" i="27"/>
  <c r="J37" i="27"/>
  <c r="L37" i="27" s="1"/>
  <c r="J74" i="27" s="1"/>
  <c r="M36" i="27"/>
  <c r="K36" i="27"/>
  <c r="J36" i="27"/>
  <c r="K35" i="27"/>
  <c r="J35" i="27"/>
  <c r="M34" i="27"/>
  <c r="K34" i="27"/>
  <c r="J34" i="27"/>
  <c r="K33" i="27"/>
  <c r="J33" i="27"/>
  <c r="M32" i="27"/>
  <c r="K32" i="27"/>
  <c r="J32" i="27"/>
  <c r="K31" i="27"/>
  <c r="M30" i="27"/>
  <c r="N67" i="27" s="1"/>
  <c r="K30" i="27"/>
  <c r="K29" i="27"/>
  <c r="J29" i="27"/>
  <c r="K28" i="27"/>
  <c r="K27" i="27"/>
  <c r="M26" i="27"/>
  <c r="N63" i="27" s="1"/>
  <c r="K26" i="27"/>
  <c r="K25" i="27"/>
  <c r="J25" i="27"/>
  <c r="M24" i="27"/>
  <c r="N61" i="27" s="1"/>
  <c r="K24" i="27"/>
  <c r="K23" i="27"/>
  <c r="K22" i="27"/>
  <c r="M21" i="27"/>
  <c r="N58" i="27" s="1"/>
  <c r="K21" i="27"/>
  <c r="J21" i="27"/>
  <c r="L21" i="27" s="1"/>
  <c r="K58" i="27" s="1"/>
  <c r="M20" i="27"/>
  <c r="N57" i="27" s="1"/>
  <c r="L20" i="27"/>
  <c r="F57" i="27" s="1"/>
  <c r="K20" i="27"/>
  <c r="J20" i="27"/>
  <c r="BN12" i="6"/>
  <c r="BN13" i="6"/>
  <c r="D13" i="27"/>
  <c r="E13" i="27" s="1"/>
  <c r="AX79" i="27"/>
  <c r="AX77" i="27"/>
  <c r="AX75" i="27"/>
  <c r="AX73" i="27"/>
  <c r="AX71" i="27"/>
  <c r="AX69" i="27"/>
  <c r="AX67" i="27"/>
  <c r="AX65" i="27"/>
  <c r="AX63" i="27"/>
  <c r="AX61" i="27"/>
  <c r="AX59" i="27"/>
  <c r="AW57" i="27"/>
  <c r="AU57" i="27"/>
  <c r="AS57" i="27"/>
  <c r="M80" i="27"/>
  <c r="L80" i="27"/>
  <c r="K80" i="27"/>
  <c r="J80" i="27"/>
  <c r="I80" i="27"/>
  <c r="H80" i="27"/>
  <c r="G80" i="27"/>
  <c r="F80" i="27"/>
  <c r="E80" i="27"/>
  <c r="D80" i="27"/>
  <c r="C80" i="27"/>
  <c r="A63" i="27"/>
  <c r="AF57" i="27"/>
  <c r="N76" i="27"/>
  <c r="N80" i="27"/>
  <c r="N77" i="27"/>
  <c r="N34" i="27"/>
  <c r="O71" i="27" s="1"/>
  <c r="N35" i="27"/>
  <c r="O72" i="27" s="1"/>
  <c r="N36" i="27"/>
  <c r="O73" i="27" s="1"/>
  <c r="N37" i="27"/>
  <c r="O74" i="27" s="1"/>
  <c r="J4" i="19"/>
  <c r="I4" i="19"/>
  <c r="BO14" i="6"/>
  <c r="BO13" i="6"/>
  <c r="BP13" i="6" s="1"/>
  <c r="BO12" i="6"/>
  <c r="N39" i="27"/>
  <c r="O76" i="27" s="1"/>
  <c r="N38" i="27"/>
  <c r="O75" i="27" s="1"/>
  <c r="N33" i="27"/>
  <c r="O70" i="27" s="1"/>
  <c r="N32" i="27"/>
  <c r="O69" i="27" s="1"/>
  <c r="N22" i="27"/>
  <c r="O59" i="27" s="1"/>
  <c r="N23" i="27"/>
  <c r="O60" i="27" s="1"/>
  <c r="N24" i="27"/>
  <c r="O61" i="27" s="1"/>
  <c r="N25" i="27"/>
  <c r="O62" i="27" s="1"/>
  <c r="N26" i="27"/>
  <c r="O63" i="27" s="1"/>
  <c r="N27" i="27"/>
  <c r="O64" i="27" s="1"/>
  <c r="N28" i="27"/>
  <c r="O65" i="27" s="1"/>
  <c r="N29" i="27"/>
  <c r="O66" i="27" s="1"/>
  <c r="N30" i="27"/>
  <c r="O67" i="27" s="1"/>
  <c r="N31" i="27"/>
  <c r="O68" i="27" s="1"/>
  <c r="N14" i="27"/>
  <c r="M28" i="27" s="1"/>
  <c r="AF80" i="27"/>
  <c r="A80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71" i="27"/>
  <c r="A70" i="27"/>
  <c r="AF69" i="27"/>
  <c r="A69" i="27"/>
  <c r="A68" i="27"/>
  <c r="A67" i="27"/>
  <c r="A66" i="27"/>
  <c r="A65" i="27"/>
  <c r="A64" i="27"/>
  <c r="A62" i="27"/>
  <c r="AF61" i="27"/>
  <c r="A61" i="27"/>
  <c r="A60" i="27"/>
  <c r="AF59" i="27"/>
  <c r="A59" i="27"/>
  <c r="AF58" i="27"/>
  <c r="A58" i="27"/>
  <c r="A57" i="27"/>
  <c r="V56" i="27"/>
  <c r="I56" i="27"/>
  <c r="G56" i="27"/>
  <c r="AA55" i="27"/>
  <c r="O55" i="27"/>
  <c r="A55" i="27"/>
  <c r="H54" i="27"/>
  <c r="N43" i="27"/>
  <c r="O80" i="27" s="1"/>
  <c r="N42" i="27"/>
  <c r="O79" i="27" s="1"/>
  <c r="N41" i="27"/>
  <c r="O78" i="27" s="1"/>
  <c r="N40" i="27"/>
  <c r="O77" i="27"/>
  <c r="N21" i="27"/>
  <c r="O58" i="27" s="1"/>
  <c r="N20" i="27"/>
  <c r="O57" i="27" s="1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N5" i="27"/>
  <c r="D5" i="27"/>
  <c r="F5" i="27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E358" i="6" s="1"/>
  <c r="AK13" i="6"/>
  <c r="AJ13" i="6"/>
  <c r="L29" i="6" s="1"/>
  <c r="M31" i="6" s="1"/>
  <c r="AI13" i="6"/>
  <c r="AH13" i="6"/>
  <c r="AG20" i="6" s="1"/>
  <c r="AG13" i="6"/>
  <c r="AF20" i="6" s="1"/>
  <c r="AF13" i="6"/>
  <c r="W29" i="6" s="1"/>
  <c r="AE13" i="6"/>
  <c r="AF16" i="6" s="1"/>
  <c r="AD13" i="6"/>
  <c r="AD18" i="6" s="1"/>
  <c r="AC13" i="6"/>
  <c r="U44" i="6" s="1"/>
  <c r="AB13" i="6"/>
  <c r="AC16" i="6" s="1"/>
  <c r="AA13" i="6"/>
  <c r="Z20" i="6" s="1"/>
  <c r="Z13" i="6"/>
  <c r="E190" i="6" s="1"/>
  <c r="Y13" i="6"/>
  <c r="E176" i="6" s="1"/>
  <c r="X13" i="6"/>
  <c r="E162" i="6" s="1"/>
  <c r="W13" i="6"/>
  <c r="W18" i="6" s="1"/>
  <c r="V13" i="6"/>
  <c r="V18" i="6" s="1"/>
  <c r="U13" i="6"/>
  <c r="E120" i="6" s="1"/>
  <c r="T13" i="6"/>
  <c r="S20" i="6" s="1"/>
  <c r="S13" i="6"/>
  <c r="T16" i="6" s="1"/>
  <c r="R13" i="6"/>
  <c r="E78" i="6" s="1"/>
  <c r="Q13" i="6"/>
  <c r="Q18" i="6" s="1"/>
  <c r="P13" i="6"/>
  <c r="AB29" i="6" s="1"/>
  <c r="AA35" i="6" s="1"/>
  <c r="O13" i="6"/>
  <c r="P16" i="6" s="1"/>
  <c r="N13" i="6"/>
  <c r="E22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380" i="15"/>
  <c r="I380" i="15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C15" i="7"/>
  <c r="H9" i="17"/>
  <c r="B14" i="19" s="1"/>
  <c r="B383" i="17"/>
  <c r="B381" i="17"/>
  <c r="B382" i="17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L12" i="1"/>
  <c r="BK15" i="7"/>
  <c r="O9" i="1"/>
  <c r="AF60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6" i="27"/>
  <c r="G12" i="27"/>
  <c r="BP14" i="6"/>
  <c r="AF71" i="27"/>
  <c r="BW15" i="7"/>
  <c r="BQ15" i="7"/>
  <c r="AF65" i="27"/>
  <c r="AF68" i="2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I20" i="27"/>
  <c r="O5" i="27"/>
  <c r="C55" i="27"/>
  <c r="Q55" i="27"/>
  <c r="H25" i="27"/>
  <c r="H23" i="27"/>
  <c r="H26" i="27"/>
  <c r="H22" i="27"/>
  <c r="H24" i="27"/>
  <c r="H29" i="27"/>
  <c r="O56" i="27"/>
  <c r="H28" i="27"/>
  <c r="H27" i="27"/>
  <c r="F11" i="27"/>
  <c r="J56" i="27"/>
  <c r="BN14" i="6"/>
  <c r="F56" i="27"/>
  <c r="U56" i="27"/>
  <c r="BQ14" i="6"/>
  <c r="K56" i="27"/>
  <c r="X56" i="27"/>
  <c r="BR14" i="6"/>
  <c r="Y56" i="27"/>
  <c r="L56" i="27"/>
  <c r="T56" i="27"/>
  <c r="E56" i="27"/>
  <c r="BM14" i="6"/>
  <c r="D56" i="27"/>
  <c r="S56" i="27"/>
  <c r="BL14" i="6"/>
  <c r="M56" i="27"/>
  <c r="Z56" i="27"/>
  <c r="BS14" i="6"/>
  <c r="BT14" i="6"/>
  <c r="AA56" i="27"/>
  <c r="C56" i="27"/>
  <c r="BK14" i="6"/>
  <c r="R56" i="27"/>
  <c r="Q56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M16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BN9" i="7" l="1"/>
  <c r="BP10" i="7" s="1"/>
  <c r="BK10" i="7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Y18" i="6"/>
  <c r="BS13" i="7"/>
  <c r="Z16" i="6"/>
  <c r="AI20" i="6"/>
  <c r="E330" i="6"/>
  <c r="AH18" i="6"/>
  <c r="X18" i="6"/>
  <c r="Y20" i="6"/>
  <c r="AL18" i="6"/>
  <c r="AJ18" i="6"/>
  <c r="Z44" i="6"/>
  <c r="Z48" i="6" s="1"/>
  <c r="V16" i="6"/>
  <c r="E148" i="6"/>
  <c r="AB44" i="6"/>
  <c r="AA50" i="6" s="1"/>
  <c r="AB20" i="6"/>
  <c r="S44" i="6"/>
  <c r="R44" i="6"/>
  <c r="Q44" i="6"/>
  <c r="AC18" i="6"/>
  <c r="R46" i="6"/>
  <c r="S46" i="6"/>
  <c r="AK16" i="6"/>
  <c r="AG16" i="6"/>
  <c r="R18" i="6"/>
  <c r="E134" i="6"/>
  <c r="E218" i="6"/>
  <c r="L13" i="6"/>
  <c r="M29" i="6" s="1"/>
  <c r="M33" i="6" s="1"/>
  <c r="S16" i="6"/>
  <c r="AF18" i="6"/>
  <c r="AF24" i="6" s="1"/>
  <c r="AF23" i="6" s="1"/>
  <c r="AF25" i="6" s="1"/>
  <c r="X29" i="6"/>
  <c r="AI16" i="6"/>
  <c r="V35" i="6"/>
  <c r="W33" i="6"/>
  <c r="X31" i="6"/>
  <c r="Y29" i="6"/>
  <c r="E274" i="6"/>
  <c r="Q16" i="6"/>
  <c r="W20" i="6"/>
  <c r="M16" i="6"/>
  <c r="Y31" i="6"/>
  <c r="AA46" i="6"/>
  <c r="E302" i="6"/>
  <c r="AA20" i="6"/>
  <c r="AK20" i="6"/>
  <c r="Z29" i="6"/>
  <c r="AA31" i="6" s="1"/>
  <c r="O29" i="6"/>
  <c r="P31" i="6" s="1"/>
  <c r="AE20" i="6"/>
  <c r="AN16" i="6"/>
  <c r="AM18" i="6"/>
  <c r="U48" i="6"/>
  <c r="V46" i="6"/>
  <c r="T50" i="6"/>
  <c r="E232" i="6"/>
  <c r="AD16" i="6"/>
  <c r="X20" i="6"/>
  <c r="V20" i="6"/>
  <c r="X16" i="6"/>
  <c r="T20" i="6"/>
  <c r="P44" i="6"/>
  <c r="P48" i="6" s="1"/>
  <c r="U18" i="6"/>
  <c r="AN13" i="6"/>
  <c r="AM20" i="6" s="1"/>
  <c r="M20" i="6"/>
  <c r="E92" i="6"/>
  <c r="S18" i="6"/>
  <c r="R20" i="6"/>
  <c r="P20" i="6"/>
  <c r="E64" i="6"/>
  <c r="O44" i="6"/>
  <c r="P46" i="6" s="1"/>
  <c r="R16" i="6"/>
  <c r="N29" i="6"/>
  <c r="O31" i="6" s="1"/>
  <c r="N18" i="6"/>
  <c r="N20" i="6"/>
  <c r="E36" i="6"/>
  <c r="AO13" i="6"/>
  <c r="N31" i="6"/>
  <c r="AL20" i="6"/>
  <c r="M13" i="6"/>
  <c r="N16" i="6" s="1"/>
  <c r="O18" i="6"/>
  <c r="N44" i="6"/>
  <c r="O16" i="6"/>
  <c r="J1" i="15"/>
  <c r="A3" i="7"/>
  <c r="F7" i="1"/>
  <c r="A6" i="6"/>
  <c r="A11" i="19"/>
  <c r="A35" i="19" s="1"/>
  <c r="V14" i="1"/>
  <c r="BP13" i="7"/>
  <c r="L1" i="1"/>
  <c r="A15" i="1"/>
  <c r="X1" i="1"/>
  <c r="A61" i="19"/>
  <c r="F14" i="1"/>
  <c r="AB16" i="6"/>
  <c r="E204" i="6"/>
  <c r="T44" i="6"/>
  <c r="AA18" i="6"/>
  <c r="E260" i="6"/>
  <c r="V44" i="6"/>
  <c r="AD20" i="6"/>
  <c r="AE18" i="6"/>
  <c r="AH16" i="6"/>
  <c r="W44" i="6"/>
  <c r="AG18" i="6"/>
  <c r="E288" i="6"/>
  <c r="E316" i="6"/>
  <c r="X44" i="6"/>
  <c r="AH20" i="6"/>
  <c r="AJ16" i="6"/>
  <c r="AL16" i="6"/>
  <c r="AK18" i="6"/>
  <c r="L44" i="6"/>
  <c r="M46" i="6" s="1"/>
  <c r="E344" i="6"/>
  <c r="AJ20" i="6"/>
  <c r="Y44" i="6"/>
  <c r="AI18" i="6"/>
  <c r="O20" i="6"/>
  <c r="E50" i="6"/>
  <c r="P18" i="6"/>
  <c r="Q20" i="6"/>
  <c r="P29" i="6"/>
  <c r="Q29" i="6"/>
  <c r="T18" i="6"/>
  <c r="E106" i="6"/>
  <c r="U16" i="6"/>
  <c r="W16" i="6"/>
  <c r="U20" i="6"/>
  <c r="R29" i="6"/>
  <c r="S29" i="6"/>
  <c r="Y16" i="6"/>
  <c r="AA16" i="6"/>
  <c r="Z18" i="6"/>
  <c r="T29" i="6"/>
  <c r="AB18" i="6"/>
  <c r="U29" i="6"/>
  <c r="V29" i="6"/>
  <c r="AC20" i="6"/>
  <c r="E246" i="6"/>
  <c r="AE16" i="6"/>
  <c r="H21" i="27"/>
  <c r="AE58" i="27" s="1"/>
  <c r="H30" i="27"/>
  <c r="H31" i="27"/>
  <c r="H32" i="27" s="1"/>
  <c r="H33" i="27" s="1"/>
  <c r="H34" i="27" s="1"/>
  <c r="H35" i="27" s="1"/>
  <c r="H36" i="27" s="1"/>
  <c r="H37" i="27" s="1"/>
  <c r="H38" i="27" s="1"/>
  <c r="H39" i="27" s="1"/>
  <c r="H40" i="27" s="1"/>
  <c r="H41" i="27" s="1"/>
  <c r="H42" i="27" s="1"/>
  <c r="H43" i="27" s="1"/>
  <c r="AX60" i="27"/>
  <c r="AX62" i="27"/>
  <c r="AX64" i="27"/>
  <c r="AX66" i="27"/>
  <c r="AX68" i="27"/>
  <c r="AX70" i="27"/>
  <c r="AX72" i="27"/>
  <c r="AX74" i="27"/>
  <c r="AX76" i="27"/>
  <c r="AX78" i="27"/>
  <c r="AX80" i="27"/>
  <c r="M22" i="27"/>
  <c r="N59" i="27" s="1"/>
  <c r="L33" i="27"/>
  <c r="C70" i="27" s="1"/>
  <c r="L29" i="27"/>
  <c r="H66" i="27" s="1"/>
  <c r="L35" i="27"/>
  <c r="L72" i="27" s="1"/>
  <c r="P55" i="27"/>
  <c r="P73" i="27"/>
  <c r="AY57" i="27"/>
  <c r="AO57" i="27" s="1"/>
  <c r="AY58" i="27"/>
  <c r="AY59" i="27"/>
  <c r="AO59" i="27" s="1"/>
  <c r="AY60" i="27"/>
  <c r="AY61" i="27"/>
  <c r="AO61" i="27" s="1"/>
  <c r="AY62" i="27"/>
  <c r="AY63" i="27"/>
  <c r="AO63" i="27" s="1"/>
  <c r="AY64" i="27"/>
  <c r="AY65" i="27"/>
  <c r="AY66" i="27"/>
  <c r="AY67" i="27"/>
  <c r="AO67" i="27" s="1"/>
  <c r="AY68" i="27"/>
  <c r="AY69" i="27"/>
  <c r="AO69" i="27" s="1"/>
  <c r="AY70" i="27"/>
  <c r="AY71" i="27"/>
  <c r="AO71" i="27" s="1"/>
  <c r="AY72" i="27"/>
  <c r="AY73" i="27"/>
  <c r="AY74" i="27"/>
  <c r="AY75" i="27"/>
  <c r="AO75" i="27" s="1"/>
  <c r="AY76" i="27"/>
  <c r="AY77" i="27"/>
  <c r="AO77" i="27" s="1"/>
  <c r="AY78" i="27"/>
  <c r="AY79" i="27"/>
  <c r="AO79" i="27" s="1"/>
  <c r="AY80" i="27"/>
  <c r="M23" i="27"/>
  <c r="N60" i="27" s="1"/>
  <c r="M25" i="27"/>
  <c r="N62" i="27" s="1"/>
  <c r="M27" i="27"/>
  <c r="N64" i="27" s="1"/>
  <c r="M29" i="27"/>
  <c r="N66" i="27" s="1"/>
  <c r="M31" i="27"/>
  <c r="N68" i="27" s="1"/>
  <c r="M33" i="27"/>
  <c r="M35" i="27"/>
  <c r="M37" i="27"/>
  <c r="N74" i="27" s="1"/>
  <c r="N75" i="27"/>
  <c r="L25" i="27"/>
  <c r="G62" i="27" s="1"/>
  <c r="L34" i="27"/>
  <c r="K71" i="27" s="1"/>
  <c r="L41" i="27"/>
  <c r="F78" i="27" s="1"/>
  <c r="N72" i="27"/>
  <c r="N69" i="27"/>
  <c r="N71" i="27"/>
  <c r="L36" i="27"/>
  <c r="L73" i="27" s="1"/>
  <c r="N73" i="27"/>
  <c r="L32" i="27"/>
  <c r="C69" i="27" s="1"/>
  <c r="AO73" i="27"/>
  <c r="AO65" i="27"/>
  <c r="AO80" i="27"/>
  <c r="AO72" i="27"/>
  <c r="AO64" i="27"/>
  <c r="L17" i="27"/>
  <c r="I12" i="27"/>
  <c r="AE68" i="27"/>
  <c r="AE64" i="27"/>
  <c r="I77" i="27"/>
  <c r="F75" i="27"/>
  <c r="I11" i="27"/>
  <c r="L76" i="27"/>
  <c r="G10" i="27"/>
  <c r="J57" i="27"/>
  <c r="L79" i="27"/>
  <c r="E57" i="27"/>
  <c r="I58" i="27"/>
  <c r="I72" i="27"/>
  <c r="I75" i="27"/>
  <c r="D57" i="27"/>
  <c r="M57" i="27"/>
  <c r="J58" i="27"/>
  <c r="D77" i="27"/>
  <c r="K76" i="27"/>
  <c r="F74" i="27"/>
  <c r="J66" i="27"/>
  <c r="I79" i="27"/>
  <c r="F79" i="27"/>
  <c r="L75" i="27"/>
  <c r="L57" i="27"/>
  <c r="I57" i="27"/>
  <c r="I62" i="27"/>
  <c r="C58" i="27"/>
  <c r="H79" i="27"/>
  <c r="J77" i="27"/>
  <c r="C75" i="27"/>
  <c r="J78" i="27"/>
  <c r="D76" i="27"/>
  <c r="C74" i="27"/>
  <c r="C72" i="27"/>
  <c r="E79" i="27"/>
  <c r="D79" i="27"/>
  <c r="M79" i="27"/>
  <c r="E75" i="27"/>
  <c r="D75" i="27"/>
  <c r="M75" i="27"/>
  <c r="H57" i="27"/>
  <c r="C57" i="27"/>
  <c r="G57" i="27"/>
  <c r="K57" i="27"/>
  <c r="K70" i="27"/>
  <c r="H58" i="27"/>
  <c r="E70" i="27"/>
  <c r="L77" i="27"/>
  <c r="E77" i="27"/>
  <c r="C78" i="27"/>
  <c r="C76" i="27"/>
  <c r="I76" i="27"/>
  <c r="I74" i="27"/>
  <c r="K74" i="27"/>
  <c r="K72" i="27"/>
  <c r="M58" i="27"/>
  <c r="F58" i="27"/>
  <c r="G58" i="27"/>
  <c r="L58" i="27"/>
  <c r="D58" i="27"/>
  <c r="E58" i="27"/>
  <c r="M62" i="27"/>
  <c r="L66" i="27"/>
  <c r="F66" i="27"/>
  <c r="G69" i="27"/>
  <c r="G70" i="27"/>
  <c r="D70" i="27"/>
  <c r="J70" i="27"/>
  <c r="I70" i="27"/>
  <c r="F72" i="27"/>
  <c r="E72" i="27"/>
  <c r="K73" i="27"/>
  <c r="L74" i="27"/>
  <c r="H74" i="27"/>
  <c r="D74" i="27"/>
  <c r="G74" i="27"/>
  <c r="M74" i="27"/>
  <c r="E74" i="27"/>
  <c r="K75" i="27"/>
  <c r="J75" i="27"/>
  <c r="G75" i="27"/>
  <c r="J76" i="27"/>
  <c r="F76" i="27"/>
  <c r="M76" i="27"/>
  <c r="E76" i="27"/>
  <c r="G76" i="27"/>
  <c r="K77" i="27"/>
  <c r="G77" i="27"/>
  <c r="C77" i="27"/>
  <c r="F77" i="27"/>
  <c r="H77" i="27"/>
  <c r="L78" i="27"/>
  <c r="D78" i="27"/>
  <c r="M78" i="27"/>
  <c r="K79" i="27"/>
  <c r="C79" i="27"/>
  <c r="J79" i="27"/>
  <c r="I10" i="27"/>
  <c r="J73" i="27"/>
  <c r="C73" i="27"/>
  <c r="F70" i="27"/>
  <c r="H70" i="27"/>
  <c r="M70" i="27"/>
  <c r="L70" i="27"/>
  <c r="C66" i="27"/>
  <c r="E66" i="27"/>
  <c r="D66" i="27"/>
  <c r="K66" i="27"/>
  <c r="M66" i="27"/>
  <c r="I66" i="27"/>
  <c r="G66" i="27"/>
  <c r="H62" i="27"/>
  <c r="P72" i="27"/>
  <c r="H20" i="27"/>
  <c r="AE72" i="27"/>
  <c r="P57" i="27"/>
  <c r="BH9" i="6"/>
  <c r="U12" i="1" s="1"/>
  <c r="P59" i="27"/>
  <c r="AE66" i="27"/>
  <c r="AE65" i="27"/>
  <c r="AE59" i="27"/>
  <c r="P60" i="27"/>
  <c r="N65" i="27"/>
  <c r="AE63" i="27"/>
  <c r="AE62" i="27"/>
  <c r="P58" i="27"/>
  <c r="P65" i="27"/>
  <c r="AE61" i="27"/>
  <c r="AE60" i="27"/>
  <c r="P61" i="27"/>
  <c r="AC9" i="1"/>
  <c r="AC12" i="1"/>
  <c r="E7" i="1"/>
  <c r="J1" i="16"/>
  <c r="L1" i="15"/>
  <c r="A12" i="19"/>
  <c r="A36" i="19" s="1"/>
  <c r="J380" i="15"/>
  <c r="Y14" i="15"/>
  <c r="BJ13" i="7"/>
  <c r="AJ15" i="1"/>
  <c r="E8" i="1"/>
  <c r="K11" i="19" s="1"/>
  <c r="K35" i="19" s="1"/>
  <c r="AJ380" i="1"/>
  <c r="BM13" i="7"/>
  <c r="BY13" i="7"/>
  <c r="L1" i="16"/>
  <c r="J1" i="17"/>
  <c r="X1" i="16"/>
  <c r="C6" i="6"/>
  <c r="AB15" i="1"/>
  <c r="X15" i="1"/>
  <c r="A16" i="1"/>
  <c r="BV13" i="7"/>
  <c r="B13" i="7"/>
  <c r="BT9" i="7" l="1"/>
  <c r="BV10" i="7" s="1"/>
  <c r="BQ10" i="7"/>
  <c r="Q24" i="6"/>
  <c r="Q23" i="6" s="1"/>
  <c r="Q25" i="6" s="1"/>
  <c r="O50" i="6"/>
  <c r="Y50" i="6"/>
  <c r="AC24" i="6"/>
  <c r="AC23" i="6" s="1"/>
  <c r="AC25" i="6" s="1"/>
  <c r="AH24" i="6"/>
  <c r="AH23" i="6" s="1"/>
  <c r="AH25" i="6" s="1"/>
  <c r="R24" i="6"/>
  <c r="R23" i="6" s="1"/>
  <c r="R25" i="6" s="1"/>
  <c r="V24" i="6"/>
  <c r="V23" i="6" s="1"/>
  <c r="V25" i="6" s="1"/>
  <c r="M44" i="6"/>
  <c r="N46" i="6" s="1"/>
  <c r="Y35" i="6"/>
  <c r="N50" i="6"/>
  <c r="X24" i="6"/>
  <c r="X23" i="6" s="1"/>
  <c r="X25" i="6" s="1"/>
  <c r="Q48" i="6"/>
  <c r="P50" i="6"/>
  <c r="P54" i="6" s="1"/>
  <c r="P53" i="6" s="1"/>
  <c r="P55" i="6" s="1"/>
  <c r="T46" i="6"/>
  <c r="S48" i="6"/>
  <c r="AB24" i="6"/>
  <c r="AB23" i="6" s="1"/>
  <c r="AB25" i="6" s="1"/>
  <c r="AN18" i="6"/>
  <c r="R50" i="6"/>
  <c r="Q50" i="6"/>
  <c r="R48" i="6"/>
  <c r="R54" i="6" s="1"/>
  <c r="R53" i="6" s="1"/>
  <c r="R55" i="6" s="1"/>
  <c r="W35" i="6"/>
  <c r="X33" i="6"/>
  <c r="Z33" i="6"/>
  <c r="AA29" i="6"/>
  <c r="Z35" i="6" s="1"/>
  <c r="Q46" i="6"/>
  <c r="S24" i="6"/>
  <c r="S23" i="6" s="1"/>
  <c r="S25" i="6" s="1"/>
  <c r="N35" i="6"/>
  <c r="Z31" i="6"/>
  <c r="X35" i="6"/>
  <c r="Y33" i="6"/>
  <c r="N33" i="6"/>
  <c r="O33" i="6"/>
  <c r="AJ24" i="6"/>
  <c r="AJ23" i="6" s="1"/>
  <c r="AJ25" i="6" s="1"/>
  <c r="AD24" i="6"/>
  <c r="AD23" i="6" s="1"/>
  <c r="AD25" i="6" s="1"/>
  <c r="U24" i="6"/>
  <c r="U23" i="6" s="1"/>
  <c r="T24" i="6"/>
  <c r="T23" i="6" s="1"/>
  <c r="T25" i="6" s="1"/>
  <c r="O48" i="6"/>
  <c r="M35" i="6"/>
  <c r="M39" i="6" s="1"/>
  <c r="M38" i="6" s="1"/>
  <c r="AN20" i="6"/>
  <c r="AN24" i="6" s="1"/>
  <c r="AN23" i="6" s="1"/>
  <c r="AN25" i="6" s="1"/>
  <c r="AA44" i="6"/>
  <c r="N24" i="6"/>
  <c r="N23" i="6" s="1"/>
  <c r="N25" i="6" s="1"/>
  <c r="M18" i="6"/>
  <c r="M24" i="6" s="1"/>
  <c r="M23" i="6" s="1"/>
  <c r="N48" i="6"/>
  <c r="M50" i="6"/>
  <c r="O46" i="6"/>
  <c r="AI12" i="1"/>
  <c r="L11" i="15"/>
  <c r="B11" i="7"/>
  <c r="O11" i="1"/>
  <c r="K15" i="1"/>
  <c r="L15" i="1"/>
  <c r="B6" i="6"/>
  <c r="G3" i="7"/>
  <c r="X1" i="15"/>
  <c r="V14" i="15"/>
  <c r="A15" i="15"/>
  <c r="F14" i="15"/>
  <c r="A62" i="19"/>
  <c r="W31" i="6"/>
  <c r="U35" i="6"/>
  <c r="V33" i="6"/>
  <c r="Z24" i="6"/>
  <c r="Z23" i="6" s="1"/>
  <c r="Z25" i="6" s="1"/>
  <c r="Q35" i="6"/>
  <c r="R33" i="6"/>
  <c r="S31" i="6"/>
  <c r="Q33" i="6"/>
  <c r="P35" i="6"/>
  <c r="R31" i="6"/>
  <c r="E13" i="6"/>
  <c r="W24" i="6"/>
  <c r="W23" i="6" s="1"/>
  <c r="AM24" i="6"/>
  <c r="AM23" i="6" s="1"/>
  <c r="AM25" i="6" s="1"/>
  <c r="AG24" i="6"/>
  <c r="AG23" i="6" s="1"/>
  <c r="T48" i="6"/>
  <c r="S50" i="6"/>
  <c r="U46" i="6"/>
  <c r="Y24" i="6"/>
  <c r="Y23" i="6" s="1"/>
  <c r="V31" i="6"/>
  <c r="T35" i="6"/>
  <c r="U33" i="6"/>
  <c r="S35" i="6"/>
  <c r="T33" i="6"/>
  <c r="U31" i="6"/>
  <c r="R35" i="6"/>
  <c r="S33" i="6"/>
  <c r="T31" i="6"/>
  <c r="P33" i="6"/>
  <c r="Q31" i="6"/>
  <c r="O35" i="6"/>
  <c r="P24" i="6"/>
  <c r="P23" i="6" s="1"/>
  <c r="P25" i="6" s="1"/>
  <c r="O24" i="6"/>
  <c r="O23" i="6" s="1"/>
  <c r="AL24" i="6"/>
  <c r="AL23" i="6" s="1"/>
  <c r="AL25" i="6" s="1"/>
  <c r="AI24" i="6"/>
  <c r="AI23" i="6" s="1"/>
  <c r="Y48" i="6"/>
  <c r="X50" i="6"/>
  <c r="Z46" i="6"/>
  <c r="AK24" i="6"/>
  <c r="AK23" i="6" s="1"/>
  <c r="X48" i="6"/>
  <c r="W50" i="6"/>
  <c r="Y46" i="6"/>
  <c r="V50" i="6"/>
  <c r="X46" i="6"/>
  <c r="W48" i="6"/>
  <c r="AE24" i="6"/>
  <c r="AE23" i="6" s="1"/>
  <c r="W46" i="6"/>
  <c r="U50" i="6"/>
  <c r="V48" i="6"/>
  <c r="AA24" i="6"/>
  <c r="AA23" i="6" s="1"/>
  <c r="E12" i="6"/>
  <c r="G23" i="27"/>
  <c r="P74" i="27"/>
  <c r="AE67" i="27"/>
  <c r="P68" i="27"/>
  <c r="AO60" i="27"/>
  <c r="AO68" i="27"/>
  <c r="AO76" i="27"/>
  <c r="P75" i="27"/>
  <c r="P71" i="27"/>
  <c r="AE70" i="27"/>
  <c r="L71" i="27"/>
  <c r="G72" i="27"/>
  <c r="M72" i="27"/>
  <c r="J72" i="27"/>
  <c r="D69" i="27"/>
  <c r="D72" i="27"/>
  <c r="H72" i="27"/>
  <c r="AE69" i="27"/>
  <c r="E62" i="27"/>
  <c r="C62" i="27"/>
  <c r="F62" i="27"/>
  <c r="K62" i="27"/>
  <c r="J62" i="27"/>
  <c r="L62" i="27"/>
  <c r="D62" i="27"/>
  <c r="P69" i="27"/>
  <c r="J31" i="27"/>
  <c r="L31" i="27" s="1"/>
  <c r="J28" i="27"/>
  <c r="L28" i="27" s="1"/>
  <c r="J27" i="27"/>
  <c r="L27" i="27" s="1"/>
  <c r="J24" i="27"/>
  <c r="L24" i="27" s="1"/>
  <c r="J23" i="27"/>
  <c r="L23" i="27" s="1"/>
  <c r="J16" i="27"/>
  <c r="L16" i="27" s="1"/>
  <c r="L18" i="27" s="1"/>
  <c r="L14" i="27" s="1"/>
  <c r="J30" i="27"/>
  <c r="L30" i="27" s="1"/>
  <c r="J26" i="27"/>
  <c r="L26" i="27" s="1"/>
  <c r="D63" i="27" s="1"/>
  <c r="J22" i="27"/>
  <c r="L22" i="27" s="1"/>
  <c r="E78" i="27"/>
  <c r="G78" i="27"/>
  <c r="H78" i="27"/>
  <c r="L69" i="27"/>
  <c r="I78" i="27"/>
  <c r="M69" i="27"/>
  <c r="K78" i="27"/>
  <c r="N70" i="27"/>
  <c r="AE73" i="27"/>
  <c r="AE71" i="27"/>
  <c r="AO62" i="27"/>
  <c r="AO66" i="27"/>
  <c r="AO70" i="27"/>
  <c r="AO74" i="27"/>
  <c r="AO78" i="27"/>
  <c r="AO58" i="27"/>
  <c r="H73" i="27"/>
  <c r="M73" i="27"/>
  <c r="I69" i="27"/>
  <c r="E69" i="27"/>
  <c r="K69" i="27"/>
  <c r="F69" i="27"/>
  <c r="J69" i="27"/>
  <c r="F63" i="27"/>
  <c r="H71" i="27"/>
  <c r="M71" i="27"/>
  <c r="G73" i="27"/>
  <c r="F73" i="27"/>
  <c r="I73" i="27"/>
  <c r="D73" i="27"/>
  <c r="E73" i="27"/>
  <c r="C71" i="27"/>
  <c r="F71" i="27"/>
  <c r="I71" i="27"/>
  <c r="J71" i="27"/>
  <c r="D71" i="27"/>
  <c r="E71" i="27"/>
  <c r="G71" i="27"/>
  <c r="H69" i="27"/>
  <c r="L63" i="27"/>
  <c r="M67" i="27"/>
  <c r="D67" i="27"/>
  <c r="I67" i="27"/>
  <c r="K67" i="27"/>
  <c r="C67" i="27"/>
  <c r="G36" i="27"/>
  <c r="G31" i="27"/>
  <c r="G37" i="27"/>
  <c r="G20" i="27"/>
  <c r="G21" i="27"/>
  <c r="G22" i="27"/>
  <c r="G35" i="27"/>
  <c r="G34" i="27"/>
  <c r="AT57" i="27"/>
  <c r="AV57" i="27"/>
  <c r="AE57" i="27"/>
  <c r="AP57" i="27"/>
  <c r="AR57" i="27"/>
  <c r="AE74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X16" i="1"/>
  <c r="AJ16" i="1"/>
  <c r="K16" i="1"/>
  <c r="L16" i="1"/>
  <c r="A17" i="1"/>
  <c r="AC16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BW10" i="7" l="1"/>
  <c r="BZ9" i="7"/>
  <c r="O54" i="6"/>
  <c r="O53" i="6" s="1"/>
  <c r="O55" i="6" s="1"/>
  <c r="O39" i="6"/>
  <c r="O38" i="6" s="1"/>
  <c r="O40" i="6" s="1"/>
  <c r="AA33" i="6"/>
  <c r="AA39" i="6" s="1"/>
  <c r="AA38" i="6" s="1"/>
  <c r="AA40" i="6" s="1"/>
  <c r="M48" i="6"/>
  <c r="Y39" i="6"/>
  <c r="Y38" i="6" s="1"/>
  <c r="Y40" i="6" s="1"/>
  <c r="J100" i="6"/>
  <c r="X39" i="6"/>
  <c r="X38" i="6" s="1"/>
  <c r="X40" i="6" s="1"/>
  <c r="J99" i="6"/>
  <c r="J97" i="6"/>
  <c r="Q54" i="6"/>
  <c r="Q53" i="6" s="1"/>
  <c r="Q55" i="6" s="1"/>
  <c r="AY125" i="6" s="1"/>
  <c r="U54" i="6"/>
  <c r="U53" i="6" s="1"/>
  <c r="U39" i="6"/>
  <c r="U38" i="6" s="1"/>
  <c r="N39" i="6"/>
  <c r="J242" i="6"/>
  <c r="N38" i="6"/>
  <c r="N40" i="6" s="1"/>
  <c r="J95" i="6"/>
  <c r="J93" i="6"/>
  <c r="J101" i="6"/>
  <c r="J102" i="6"/>
  <c r="M54" i="6"/>
  <c r="M53" i="6" s="1"/>
  <c r="M55" i="6" s="1"/>
  <c r="J82" i="6"/>
  <c r="J94" i="6"/>
  <c r="J98" i="6"/>
  <c r="J104" i="6"/>
  <c r="J96" i="6"/>
  <c r="J105" i="6"/>
  <c r="J92" i="6"/>
  <c r="J103" i="6"/>
  <c r="J89" i="6"/>
  <c r="J87" i="6"/>
  <c r="J84" i="6"/>
  <c r="J85" i="6"/>
  <c r="J91" i="6"/>
  <c r="J80" i="6"/>
  <c r="J90" i="6"/>
  <c r="J88" i="6"/>
  <c r="J81" i="6"/>
  <c r="J86" i="6"/>
  <c r="J83" i="6"/>
  <c r="J78" i="6"/>
  <c r="J79" i="6"/>
  <c r="AA48" i="6"/>
  <c r="AA54" i="6" s="1"/>
  <c r="AA53" i="6" s="1"/>
  <c r="Z50" i="6"/>
  <c r="Z54" i="6" s="1"/>
  <c r="Z53" i="6" s="1"/>
  <c r="N54" i="6"/>
  <c r="N53" i="6" s="1"/>
  <c r="N55" i="6" s="1"/>
  <c r="Z39" i="6"/>
  <c r="Z38" i="6" s="1"/>
  <c r="Z40" i="6" s="1"/>
  <c r="I11" i="7"/>
  <c r="Q11" i="15" s="1"/>
  <c r="O9" i="15"/>
  <c r="AJ15" i="15" s="1"/>
  <c r="BL13" i="7"/>
  <c r="BR13" i="7"/>
  <c r="BX13" i="7"/>
  <c r="D13" i="7"/>
  <c r="L12" i="15"/>
  <c r="A16" i="15"/>
  <c r="K15" i="15"/>
  <c r="AB15" i="15"/>
  <c r="L15" i="15"/>
  <c r="D15" i="15" s="1"/>
  <c r="X15" i="15"/>
  <c r="P11" i="1"/>
  <c r="B15" i="7"/>
  <c r="L11" i="16"/>
  <c r="AK25" i="6"/>
  <c r="J345" i="6" s="1"/>
  <c r="AI25" i="6"/>
  <c r="J327" i="6" s="1"/>
  <c r="J227" i="6"/>
  <c r="J225" i="6"/>
  <c r="J231" i="6"/>
  <c r="J228" i="6"/>
  <c r="J222" i="6"/>
  <c r="J219" i="6"/>
  <c r="J218" i="6"/>
  <c r="AG25" i="6"/>
  <c r="J295" i="6" s="1"/>
  <c r="J61" i="6"/>
  <c r="W25" i="6"/>
  <c r="J146" i="6" s="1"/>
  <c r="V54" i="6"/>
  <c r="V53" i="6" s="1"/>
  <c r="V55" i="6" s="1"/>
  <c r="W54" i="6"/>
  <c r="W53" i="6" s="1"/>
  <c r="T39" i="6"/>
  <c r="T38" i="6" s="1"/>
  <c r="T40" i="6" s="1"/>
  <c r="J234" i="6"/>
  <c r="J237" i="6"/>
  <c r="J243" i="6"/>
  <c r="J238" i="6"/>
  <c r="J245" i="6"/>
  <c r="J239" i="6"/>
  <c r="J232" i="6"/>
  <c r="S54" i="6"/>
  <c r="S53" i="6" s="1"/>
  <c r="V39" i="6"/>
  <c r="V38" i="6" s="1"/>
  <c r="V40" i="6" s="1"/>
  <c r="W39" i="6"/>
  <c r="W38" i="6" s="1"/>
  <c r="J71" i="6"/>
  <c r="J55" i="6"/>
  <c r="J70" i="6"/>
  <c r="J77" i="6"/>
  <c r="J64" i="6"/>
  <c r="J63" i="6"/>
  <c r="J76" i="6"/>
  <c r="J65" i="6"/>
  <c r="J54" i="6"/>
  <c r="J53" i="6"/>
  <c r="J69" i="6"/>
  <c r="J58" i="6"/>
  <c r="J57" i="6"/>
  <c r="J73" i="6"/>
  <c r="X54" i="6"/>
  <c r="X53" i="6" s="1"/>
  <c r="X55" i="6" s="1"/>
  <c r="Y54" i="6"/>
  <c r="Y53" i="6" s="1"/>
  <c r="M25" i="6"/>
  <c r="J17" i="6" s="1"/>
  <c r="O25" i="6"/>
  <c r="J23" i="6" s="1"/>
  <c r="P39" i="6"/>
  <c r="P38" i="6" s="1"/>
  <c r="P40" i="6" s="1"/>
  <c r="U25" i="6"/>
  <c r="J110" i="6" s="1"/>
  <c r="S39" i="6"/>
  <c r="S38" i="6" s="1"/>
  <c r="AA25" i="6"/>
  <c r="J212" i="6" s="1"/>
  <c r="J223" i="6"/>
  <c r="J240" i="6"/>
  <c r="J244" i="6"/>
  <c r="J236" i="6"/>
  <c r="J229" i="6"/>
  <c r="J226" i="6"/>
  <c r="J230" i="6"/>
  <c r="J241" i="6"/>
  <c r="J221" i="6"/>
  <c r="J233" i="6"/>
  <c r="J235" i="6"/>
  <c r="J220" i="6"/>
  <c r="J224" i="6"/>
  <c r="AE25" i="6"/>
  <c r="J268" i="6" s="1"/>
  <c r="T54" i="6"/>
  <c r="T53" i="6" s="1"/>
  <c r="T55" i="6" s="1"/>
  <c r="J378" i="6"/>
  <c r="J374" i="6"/>
  <c r="J379" i="6"/>
  <c r="J373" i="6"/>
  <c r="J365" i="6"/>
  <c r="J369" i="6"/>
  <c r="J358" i="6"/>
  <c r="J370" i="6"/>
  <c r="J380" i="6"/>
  <c r="J377" i="6"/>
  <c r="J375" i="6"/>
  <c r="J363" i="6"/>
  <c r="J362" i="6"/>
  <c r="J364" i="6"/>
  <c r="J367" i="6"/>
  <c r="J359" i="6"/>
  <c r="J372" i="6"/>
  <c r="J366" i="6"/>
  <c r="J376" i="6"/>
  <c r="J371" i="6"/>
  <c r="J360" i="6"/>
  <c r="J368" i="6"/>
  <c r="J361" i="6"/>
  <c r="M40" i="6"/>
  <c r="Q39" i="6"/>
  <c r="Q38" i="6" s="1"/>
  <c r="R39" i="6"/>
  <c r="R38" i="6" s="1"/>
  <c r="R40" i="6" s="1"/>
  <c r="Y25" i="6"/>
  <c r="J171" i="6" s="1"/>
  <c r="J52" i="6"/>
  <c r="J59" i="6"/>
  <c r="J74" i="6"/>
  <c r="J67" i="6"/>
  <c r="J50" i="6"/>
  <c r="J72" i="6"/>
  <c r="J75" i="6"/>
  <c r="J51" i="6"/>
  <c r="J60" i="6"/>
  <c r="J62" i="6"/>
  <c r="J68" i="6"/>
  <c r="J56" i="6"/>
  <c r="J66" i="6"/>
  <c r="AX57" i="27"/>
  <c r="E63" i="27"/>
  <c r="I26" i="27"/>
  <c r="G63" i="27"/>
  <c r="I25" i="27"/>
  <c r="J61" i="27"/>
  <c r="M61" i="27"/>
  <c r="K61" i="27"/>
  <c r="E61" i="27"/>
  <c r="G61" i="27"/>
  <c r="I24" i="27"/>
  <c r="F61" i="27"/>
  <c r="I61" i="27"/>
  <c r="D61" i="27"/>
  <c r="L61" i="27"/>
  <c r="H61" i="27"/>
  <c r="C61" i="27"/>
  <c r="L65" i="27"/>
  <c r="F65" i="27"/>
  <c r="H65" i="27"/>
  <c r="M65" i="27"/>
  <c r="J65" i="27"/>
  <c r="D65" i="27"/>
  <c r="I28" i="27"/>
  <c r="G65" i="27"/>
  <c r="I65" i="27"/>
  <c r="K65" i="27"/>
  <c r="C65" i="27"/>
  <c r="E65" i="27"/>
  <c r="I29" i="27"/>
  <c r="M63" i="27"/>
  <c r="J63" i="27"/>
  <c r="K63" i="27"/>
  <c r="I63" i="27"/>
  <c r="H63" i="27"/>
  <c r="C63" i="27"/>
  <c r="I23" i="27"/>
  <c r="M59" i="27"/>
  <c r="I59" i="27"/>
  <c r="H59" i="27"/>
  <c r="G59" i="27"/>
  <c r="F59" i="27"/>
  <c r="C59" i="27"/>
  <c r="D59" i="27"/>
  <c r="K59" i="27"/>
  <c r="E59" i="27"/>
  <c r="J59" i="27"/>
  <c r="L59" i="27"/>
  <c r="L67" i="27"/>
  <c r="E67" i="27"/>
  <c r="F67" i="27"/>
  <c r="J67" i="27"/>
  <c r="G67" i="27"/>
  <c r="H67" i="27"/>
  <c r="L60" i="27"/>
  <c r="M60" i="27"/>
  <c r="K60" i="27"/>
  <c r="G60" i="27"/>
  <c r="E60" i="27"/>
  <c r="D60" i="27"/>
  <c r="I60" i="27"/>
  <c r="F60" i="27"/>
  <c r="H60" i="27"/>
  <c r="C60" i="27"/>
  <c r="J60" i="27"/>
  <c r="L64" i="27"/>
  <c r="D64" i="27"/>
  <c r="G64" i="27"/>
  <c r="I64" i="27"/>
  <c r="K64" i="27"/>
  <c r="J64" i="27"/>
  <c r="I27" i="27"/>
  <c r="F64" i="27"/>
  <c r="E64" i="27"/>
  <c r="H64" i="27"/>
  <c r="C64" i="27"/>
  <c r="M64" i="27"/>
  <c r="K68" i="27"/>
  <c r="F68" i="27"/>
  <c r="M68" i="27"/>
  <c r="J68" i="27"/>
  <c r="L68" i="27"/>
  <c r="E68" i="27"/>
  <c r="C68" i="27"/>
  <c r="G68" i="27"/>
  <c r="D68" i="27"/>
  <c r="H68" i="27"/>
  <c r="I68" i="27"/>
  <c r="AE75" i="27"/>
  <c r="P76" i="27"/>
  <c r="G38" i="27" s="1"/>
  <c r="BH11" i="6"/>
  <c r="BH12" i="6" s="1"/>
  <c r="BH71" i="6" s="1"/>
  <c r="L12" i="16"/>
  <c r="L15" i="16" s="1"/>
  <c r="D15" i="16" s="1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L12" i="17"/>
  <c r="O9" i="17"/>
  <c r="AJ15" i="17" s="1"/>
  <c r="O16" i="1"/>
  <c r="X17" i="1"/>
  <c r="AK17" i="1"/>
  <c r="L17" i="1"/>
  <c r="K17" i="1"/>
  <c r="AC17" i="1"/>
  <c r="A18" i="1"/>
  <c r="O17" i="1"/>
  <c r="AJ17" i="1"/>
  <c r="AB17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BH343" i="6" l="1"/>
  <c r="BH333" i="6"/>
  <c r="BH105" i="6"/>
  <c r="BH103" i="6"/>
  <c r="BH146" i="6"/>
  <c r="BH362" i="6"/>
  <c r="BH368" i="6"/>
  <c r="BH268" i="6"/>
  <c r="BH179" i="6"/>
  <c r="BH345" i="6"/>
  <c r="BH245" i="6"/>
  <c r="BH197" i="6"/>
  <c r="BH116" i="6"/>
  <c r="BH242" i="6"/>
  <c r="BH276" i="6"/>
  <c r="BH221" i="6"/>
  <c r="BH101" i="6"/>
  <c r="BH226" i="6"/>
  <c r="BH365" i="6"/>
  <c r="BH170" i="6"/>
  <c r="BH224" i="6"/>
  <c r="BH24" i="6"/>
  <c r="BH334" i="6"/>
  <c r="BH57" i="6"/>
  <c r="BH377" i="6"/>
  <c r="BH262" i="6"/>
  <c r="BH73" i="6"/>
  <c r="BH186" i="6"/>
  <c r="BH259" i="6"/>
  <c r="BH279" i="6"/>
  <c r="BH147" i="6"/>
  <c r="BH79" i="6"/>
  <c r="BH19" i="6"/>
  <c r="BH227" i="6"/>
  <c r="BH48" i="6"/>
  <c r="BH174" i="6"/>
  <c r="BH252" i="6"/>
  <c r="BH281" i="6"/>
  <c r="BH257" i="6"/>
  <c r="BH323" i="6"/>
  <c r="BH39" i="6"/>
  <c r="BH318" i="6"/>
  <c r="BH89" i="6"/>
  <c r="BH185" i="6"/>
  <c r="BH130" i="6"/>
  <c r="BH154" i="6"/>
  <c r="BH260" i="6"/>
  <c r="BH370" i="6"/>
  <c r="BH60" i="6"/>
  <c r="BH267" i="6"/>
  <c r="BH256" i="6"/>
  <c r="BH69" i="6"/>
  <c r="BH311" i="6"/>
  <c r="BH231" i="6"/>
  <c r="BH216" i="6"/>
  <c r="BH203" i="6"/>
  <c r="BH363" i="6"/>
  <c r="BH335" i="6"/>
  <c r="BH359" i="6"/>
  <c r="BH329" i="6"/>
  <c r="BH237" i="6"/>
  <c r="BH183" i="6"/>
  <c r="BH282" i="6"/>
  <c r="BH366" i="6"/>
  <c r="BH53" i="6"/>
  <c r="BH72" i="6"/>
  <c r="BH220" i="6"/>
  <c r="BH339" i="6"/>
  <c r="AT325" i="6"/>
  <c r="AA55" i="6"/>
  <c r="E8" i="15"/>
  <c r="K12" i="19" s="1"/>
  <c r="K36" i="19" s="1"/>
  <c r="O9" i="16"/>
  <c r="AJ15" i="16" s="1"/>
  <c r="AT18" i="6"/>
  <c r="AT24" i="6"/>
  <c r="J271" i="6"/>
  <c r="J272" i="6"/>
  <c r="J281" i="6"/>
  <c r="J290" i="6"/>
  <c r="J255" i="6"/>
  <c r="J269" i="6"/>
  <c r="J280" i="6"/>
  <c r="J300" i="6"/>
  <c r="J256" i="6"/>
  <c r="J247" i="6"/>
  <c r="J261" i="6"/>
  <c r="J288" i="6"/>
  <c r="J275" i="6"/>
  <c r="J301" i="6"/>
  <c r="J217" i="6"/>
  <c r="J209" i="6"/>
  <c r="J199" i="6"/>
  <c r="J213" i="6"/>
  <c r="J207" i="6"/>
  <c r="J216" i="6"/>
  <c r="J201" i="6"/>
  <c r="J144" i="6"/>
  <c r="J153" i="6"/>
  <c r="J141" i="6"/>
  <c r="J156" i="6"/>
  <c r="J159" i="6"/>
  <c r="J140" i="6"/>
  <c r="J147" i="6"/>
  <c r="J251" i="6"/>
  <c r="J249" i="6"/>
  <c r="J262" i="6"/>
  <c r="J252" i="6"/>
  <c r="J267" i="6"/>
  <c r="J263" i="6"/>
  <c r="J264" i="6"/>
  <c r="J210" i="6"/>
  <c r="J214" i="6"/>
  <c r="J200" i="6"/>
  <c r="J204" i="6"/>
  <c r="J198" i="6"/>
  <c r="J197" i="6"/>
  <c r="J208" i="6"/>
  <c r="J135" i="6"/>
  <c r="J137" i="6"/>
  <c r="J136" i="6"/>
  <c r="J158" i="6"/>
  <c r="J160" i="6"/>
  <c r="J150" i="6"/>
  <c r="J148" i="6"/>
  <c r="J298" i="6"/>
  <c r="J293" i="6"/>
  <c r="J277" i="6"/>
  <c r="J296" i="6"/>
  <c r="J276" i="6"/>
  <c r="J282" i="6"/>
  <c r="J294" i="6"/>
  <c r="E8" i="17"/>
  <c r="K14" i="19" s="1"/>
  <c r="K38" i="19" s="1"/>
  <c r="BH188" i="6"/>
  <c r="BH228" i="6"/>
  <c r="BH361" i="6"/>
  <c r="BH161" i="6"/>
  <c r="BH158" i="6"/>
  <c r="BH34" i="6"/>
  <c r="BH200" i="6"/>
  <c r="BH15" i="6"/>
  <c r="BH240" i="6"/>
  <c r="BH51" i="6"/>
  <c r="BH223" i="6"/>
  <c r="BH286" i="6"/>
  <c r="BH107" i="6"/>
  <c r="BH326" i="6"/>
  <c r="BH98" i="6"/>
  <c r="BH20" i="6"/>
  <c r="BH310" i="6"/>
  <c r="BH192" i="6"/>
  <c r="BH278" i="6"/>
  <c r="BH290" i="6"/>
  <c r="BH232" i="6"/>
  <c r="BH379" i="6"/>
  <c r="BH152" i="6"/>
  <c r="BH250" i="6"/>
  <c r="BH122" i="6"/>
  <c r="BH283" i="6"/>
  <c r="BH21" i="6"/>
  <c r="BH337" i="6"/>
  <c r="BH249" i="6"/>
  <c r="BH199" i="6"/>
  <c r="BH273" i="6"/>
  <c r="BH373" i="6"/>
  <c r="BH78" i="6"/>
  <c r="BH22" i="6"/>
  <c r="BH248" i="6"/>
  <c r="BH104" i="6"/>
  <c r="BH36" i="6"/>
  <c r="BH277" i="6"/>
  <c r="BH204" i="6"/>
  <c r="BH217" i="6"/>
  <c r="BH143" i="6"/>
  <c r="BH23" i="6"/>
  <c r="BH83" i="6"/>
  <c r="BH327" i="6"/>
  <c r="BH336" i="6"/>
  <c r="BH305" i="6"/>
  <c r="BH157" i="6"/>
  <c r="BH125" i="6"/>
  <c r="BH113" i="6"/>
  <c r="BH124" i="6"/>
  <c r="BH45" i="6"/>
  <c r="BH86" i="6"/>
  <c r="BH176" i="6"/>
  <c r="BH58" i="6"/>
  <c r="BH261" i="6"/>
  <c r="BH66" i="6"/>
  <c r="BH367" i="6"/>
  <c r="BH229" i="6"/>
  <c r="BH32" i="6"/>
  <c r="BH169" i="6"/>
  <c r="BH350" i="6"/>
  <c r="BH126" i="6"/>
  <c r="BH162" i="6"/>
  <c r="BH29" i="6"/>
  <c r="BH293" i="6"/>
  <c r="BH85" i="6"/>
  <c r="BH304" i="6"/>
  <c r="J132" i="6"/>
  <c r="J115" i="6"/>
  <c r="J112" i="6"/>
  <c r="J107" i="6"/>
  <c r="J116" i="6"/>
  <c r="J113" i="6"/>
  <c r="J117" i="6"/>
  <c r="J120" i="6"/>
  <c r="J121" i="6"/>
  <c r="J108" i="6"/>
  <c r="J111" i="6"/>
  <c r="J123" i="6"/>
  <c r="J131" i="6"/>
  <c r="J128" i="6"/>
  <c r="AY144" i="6"/>
  <c r="AY135" i="6"/>
  <c r="AY133" i="6"/>
  <c r="AY124" i="6"/>
  <c r="AY121" i="6"/>
  <c r="AY103" i="6"/>
  <c r="AY137" i="6"/>
  <c r="AY112" i="6"/>
  <c r="AY99" i="6"/>
  <c r="AY142" i="6"/>
  <c r="AY146" i="6"/>
  <c r="AY102" i="6"/>
  <c r="AY131" i="6"/>
  <c r="AY95" i="6"/>
  <c r="AY107" i="6"/>
  <c r="AY97" i="6"/>
  <c r="AY128" i="6"/>
  <c r="AY93" i="6"/>
  <c r="AY94" i="6"/>
  <c r="AY122" i="6"/>
  <c r="AY138" i="6"/>
  <c r="AY110" i="6"/>
  <c r="AY111" i="6"/>
  <c r="AY127" i="6"/>
  <c r="AY118" i="6"/>
  <c r="AY126" i="6"/>
  <c r="AY129" i="6"/>
  <c r="AY117" i="6"/>
  <c r="AT333" i="6"/>
  <c r="AT20" i="6"/>
  <c r="AT310" i="6"/>
  <c r="AT327" i="6"/>
  <c r="AT312" i="6"/>
  <c r="AT347" i="6"/>
  <c r="AT341" i="6"/>
  <c r="AT314" i="6"/>
  <c r="AT303" i="6"/>
  <c r="AT320" i="6"/>
  <c r="AT328" i="6"/>
  <c r="AT306" i="6"/>
  <c r="AT330" i="6"/>
  <c r="J340" i="6"/>
  <c r="J356" i="6"/>
  <c r="J338" i="6"/>
  <c r="AT16" i="6"/>
  <c r="AT323" i="6"/>
  <c r="AT349" i="6"/>
  <c r="AT329" i="6"/>
  <c r="AT321" i="6"/>
  <c r="AT309" i="6"/>
  <c r="AT343" i="6"/>
  <c r="AT357" i="6"/>
  <c r="AT319" i="6"/>
  <c r="AT322" i="6"/>
  <c r="AT356" i="6"/>
  <c r="AT348" i="6"/>
  <c r="J357" i="6"/>
  <c r="J333" i="6"/>
  <c r="J347" i="6"/>
  <c r="J354" i="6"/>
  <c r="J342" i="6"/>
  <c r="J351" i="6"/>
  <c r="J336" i="6"/>
  <c r="J334" i="6"/>
  <c r="J339" i="6"/>
  <c r="J352" i="6"/>
  <c r="J335" i="6"/>
  <c r="AY20" i="6"/>
  <c r="AZ20" i="6" s="1"/>
  <c r="AY46" i="6"/>
  <c r="J34" i="6"/>
  <c r="J49" i="6"/>
  <c r="J24" i="6"/>
  <c r="J41" i="6"/>
  <c r="J40" i="6"/>
  <c r="J38" i="6"/>
  <c r="J31" i="6"/>
  <c r="AT19" i="6"/>
  <c r="AT17" i="6"/>
  <c r="J37" i="6"/>
  <c r="J45" i="6"/>
  <c r="J25" i="6"/>
  <c r="J43" i="6"/>
  <c r="J27" i="6"/>
  <c r="J22" i="6"/>
  <c r="J30" i="6"/>
  <c r="AT342" i="6"/>
  <c r="AT339" i="6"/>
  <c r="AT338" i="6"/>
  <c r="AT351" i="6"/>
  <c r="AT340" i="6"/>
  <c r="L11" i="17"/>
  <c r="L15" i="17" s="1"/>
  <c r="D15" i="17" s="1"/>
  <c r="AK15" i="1"/>
  <c r="F8" i="1"/>
  <c r="AK380" i="1"/>
  <c r="AK16" i="1"/>
  <c r="P12" i="1"/>
  <c r="H13" i="7"/>
  <c r="F7" i="15"/>
  <c r="AJ380" i="15"/>
  <c r="AJ16" i="15"/>
  <c r="AB16" i="15"/>
  <c r="X16" i="15"/>
  <c r="L16" i="15"/>
  <c r="D16" i="15" s="1"/>
  <c r="A17" i="15"/>
  <c r="K16" i="15"/>
  <c r="P11" i="15"/>
  <c r="H15" i="7"/>
  <c r="Z55" i="6"/>
  <c r="W40" i="6"/>
  <c r="AT287" i="6" s="1"/>
  <c r="W55" i="6"/>
  <c r="AY290" i="6" s="1"/>
  <c r="Q40" i="6"/>
  <c r="AT117" i="6" s="1"/>
  <c r="S40" i="6"/>
  <c r="AT150" i="6" s="1"/>
  <c r="Y55" i="6"/>
  <c r="AY48" i="6"/>
  <c r="AY80" i="6"/>
  <c r="AY82" i="6"/>
  <c r="AY68" i="6"/>
  <c r="AY88" i="6"/>
  <c r="AY84" i="6"/>
  <c r="AY79" i="6"/>
  <c r="AY66" i="6"/>
  <c r="AY44" i="6"/>
  <c r="AY42" i="6"/>
  <c r="AY62" i="6"/>
  <c r="AY45" i="6"/>
  <c r="AY89" i="6"/>
  <c r="AY50" i="6"/>
  <c r="AY71" i="6"/>
  <c r="AY74" i="6"/>
  <c r="AY70" i="6"/>
  <c r="AY91" i="6"/>
  <c r="AY54" i="6"/>
  <c r="AY56" i="6"/>
  <c r="AY72" i="6"/>
  <c r="AY77" i="6"/>
  <c r="AY67" i="6"/>
  <c r="AY57" i="6"/>
  <c r="AY52" i="6"/>
  <c r="AY39" i="6"/>
  <c r="AY41" i="6"/>
  <c r="AY83" i="6"/>
  <c r="J170" i="6"/>
  <c r="J186" i="6"/>
  <c r="J165" i="6"/>
  <c r="J184" i="6"/>
  <c r="J185" i="6"/>
  <c r="J180" i="6"/>
  <c r="J176" i="6"/>
  <c r="J167" i="6"/>
  <c r="J188" i="6"/>
  <c r="J173" i="6"/>
  <c r="J181" i="6"/>
  <c r="J174" i="6"/>
  <c r="J189" i="6"/>
  <c r="J164" i="6"/>
  <c r="AY15" i="6"/>
  <c r="AY23" i="6"/>
  <c r="AY24" i="6"/>
  <c r="AY19" i="6"/>
  <c r="AY30" i="6"/>
  <c r="AY31" i="6"/>
  <c r="AY17" i="6"/>
  <c r="AY33" i="6"/>
  <c r="AY16" i="6"/>
  <c r="AY25" i="6"/>
  <c r="AY22" i="6"/>
  <c r="J18" i="6"/>
  <c r="J19" i="6"/>
  <c r="J20" i="6"/>
  <c r="AT33" i="6"/>
  <c r="AT65" i="6"/>
  <c r="AT74" i="6"/>
  <c r="AT68" i="6"/>
  <c r="AT54" i="6"/>
  <c r="AT23" i="6"/>
  <c r="AT69" i="6"/>
  <c r="AT51" i="6"/>
  <c r="AT41" i="6"/>
  <c r="AT29" i="6"/>
  <c r="AT32" i="6"/>
  <c r="AT77" i="6"/>
  <c r="AT76" i="6"/>
  <c r="AT64" i="6"/>
  <c r="AT75" i="6"/>
  <c r="AT44" i="6"/>
  <c r="AT35" i="6"/>
  <c r="AT60" i="6"/>
  <c r="AT66" i="6"/>
  <c r="AT50" i="6"/>
  <c r="AT70" i="6"/>
  <c r="AT59" i="6"/>
  <c r="AT25" i="6"/>
  <c r="AT31" i="6"/>
  <c r="AT45" i="6"/>
  <c r="AT46" i="6"/>
  <c r="AT63" i="6"/>
  <c r="AT43" i="6"/>
  <c r="J312" i="6"/>
  <c r="J322" i="6"/>
  <c r="J313" i="6"/>
  <c r="J304" i="6"/>
  <c r="J319" i="6"/>
  <c r="J305" i="6"/>
  <c r="J326" i="6"/>
  <c r="J303" i="6"/>
  <c r="J309" i="6"/>
  <c r="J311" i="6"/>
  <c r="J310" i="6"/>
  <c r="J325" i="6"/>
  <c r="J318" i="6"/>
  <c r="J320" i="6"/>
  <c r="U55" i="6"/>
  <c r="AY204" i="6" s="1"/>
  <c r="U40" i="6"/>
  <c r="AT219" i="6" s="1"/>
  <c r="AY86" i="6"/>
  <c r="AY90" i="6"/>
  <c r="AY55" i="6"/>
  <c r="AY43" i="6"/>
  <c r="AY78" i="6"/>
  <c r="AY75" i="6"/>
  <c r="AY64" i="6"/>
  <c r="AY85" i="6"/>
  <c r="AY76" i="6"/>
  <c r="AZ76" i="6" s="1"/>
  <c r="AY51" i="6"/>
  <c r="AY49" i="6"/>
  <c r="AY53" i="6"/>
  <c r="AY58" i="6"/>
  <c r="AY36" i="6"/>
  <c r="AY40" i="6"/>
  <c r="AY59" i="6"/>
  <c r="AY61" i="6"/>
  <c r="AY73" i="6"/>
  <c r="AY81" i="6"/>
  <c r="AY63" i="6"/>
  <c r="AY37" i="6"/>
  <c r="AY65" i="6"/>
  <c r="AY69" i="6"/>
  <c r="AZ69" i="6" s="1"/>
  <c r="AY47" i="6"/>
  <c r="AY60" i="6"/>
  <c r="AY87" i="6"/>
  <c r="AY38" i="6"/>
  <c r="J169" i="6"/>
  <c r="J179" i="6"/>
  <c r="J178" i="6"/>
  <c r="J183" i="6"/>
  <c r="J162" i="6"/>
  <c r="J168" i="6"/>
  <c r="J187" i="6"/>
  <c r="J175" i="6"/>
  <c r="J166" i="6"/>
  <c r="J163" i="6"/>
  <c r="J172" i="6"/>
  <c r="J182" i="6"/>
  <c r="J177" i="6"/>
  <c r="AT15" i="6"/>
  <c r="AT21" i="6"/>
  <c r="AT362" i="6"/>
  <c r="AT378" i="6"/>
  <c r="AT380" i="6"/>
  <c r="AT363" i="6"/>
  <c r="AT374" i="6"/>
  <c r="AT371" i="6"/>
  <c r="AT373" i="6"/>
  <c r="AT379" i="6"/>
  <c r="AT368" i="6"/>
  <c r="AT367" i="6"/>
  <c r="AT358" i="6"/>
  <c r="AT370" i="6"/>
  <c r="AT364" i="6"/>
  <c r="AT360" i="6"/>
  <c r="AT369" i="6"/>
  <c r="AT377" i="6"/>
  <c r="AT372" i="6"/>
  <c r="AT366" i="6"/>
  <c r="AT375" i="6"/>
  <c r="AT365" i="6"/>
  <c r="AT376" i="6"/>
  <c r="AT361" i="6"/>
  <c r="AT359" i="6"/>
  <c r="AY29" i="6"/>
  <c r="AY35" i="6"/>
  <c r="AZ35" i="6" s="1"/>
  <c r="AY21" i="6"/>
  <c r="AZ21" i="6" s="1"/>
  <c r="AY28" i="6"/>
  <c r="AY32" i="6"/>
  <c r="AY26" i="6"/>
  <c r="AY18" i="6"/>
  <c r="AY27" i="6"/>
  <c r="AY34" i="6"/>
  <c r="S55" i="6"/>
  <c r="AY186" i="6" s="1"/>
  <c r="J258" i="6"/>
  <c r="J248" i="6"/>
  <c r="J250" i="6"/>
  <c r="J246" i="6"/>
  <c r="J254" i="6"/>
  <c r="J265" i="6"/>
  <c r="J257" i="6"/>
  <c r="J259" i="6"/>
  <c r="J266" i="6"/>
  <c r="J270" i="6"/>
  <c r="J253" i="6"/>
  <c r="J260" i="6"/>
  <c r="J273" i="6"/>
  <c r="J192" i="6"/>
  <c r="J196" i="6"/>
  <c r="J215" i="6"/>
  <c r="J205" i="6"/>
  <c r="J194" i="6"/>
  <c r="J190" i="6"/>
  <c r="J206" i="6"/>
  <c r="J193" i="6"/>
  <c r="J203" i="6"/>
  <c r="J211" i="6"/>
  <c r="J195" i="6"/>
  <c r="J202" i="6"/>
  <c r="J191" i="6"/>
  <c r="J119" i="6"/>
  <c r="J109" i="6"/>
  <c r="J124" i="6"/>
  <c r="J130" i="6"/>
  <c r="J122" i="6"/>
  <c r="J125" i="6"/>
  <c r="J126" i="6"/>
  <c r="J129" i="6"/>
  <c r="J133" i="6"/>
  <c r="J127" i="6"/>
  <c r="J114" i="6"/>
  <c r="J106" i="6"/>
  <c r="J118" i="6"/>
  <c r="J46" i="6"/>
  <c r="J44" i="6"/>
  <c r="J26" i="6"/>
  <c r="J42" i="6"/>
  <c r="J32" i="6"/>
  <c r="J39" i="6"/>
  <c r="J47" i="6"/>
  <c r="J48" i="6"/>
  <c r="J28" i="6"/>
  <c r="J36" i="6"/>
  <c r="J33" i="6"/>
  <c r="J35" i="6"/>
  <c r="J29" i="6"/>
  <c r="J15" i="6"/>
  <c r="J16" i="6"/>
  <c r="J21" i="6"/>
  <c r="AT334" i="6"/>
  <c r="AT324" i="6"/>
  <c r="AT318" i="6"/>
  <c r="AT355" i="6"/>
  <c r="AT311" i="6"/>
  <c r="AT302" i="6"/>
  <c r="AT307" i="6"/>
  <c r="AT337" i="6"/>
  <c r="AT350" i="6"/>
  <c r="AT326" i="6"/>
  <c r="AT335" i="6"/>
  <c r="AT346" i="6"/>
  <c r="AT305" i="6"/>
  <c r="AT308" i="6"/>
  <c r="AT353" i="6"/>
  <c r="AT344" i="6"/>
  <c r="AT331" i="6"/>
  <c r="AT315" i="6"/>
  <c r="AT352" i="6"/>
  <c r="AT354" i="6"/>
  <c r="AT345" i="6"/>
  <c r="AT317" i="6"/>
  <c r="AT313" i="6"/>
  <c r="AT304" i="6"/>
  <c r="AT336" i="6"/>
  <c r="AT332" i="6"/>
  <c r="AT316" i="6"/>
  <c r="AT48" i="6"/>
  <c r="AT22" i="6"/>
  <c r="AT72" i="6"/>
  <c r="AT62" i="6"/>
  <c r="AT49" i="6"/>
  <c r="AT71" i="6"/>
  <c r="AT30" i="6"/>
  <c r="AT26" i="6"/>
  <c r="AT61" i="6"/>
  <c r="AT36" i="6"/>
  <c r="AT37" i="6"/>
  <c r="AT67" i="6"/>
  <c r="AT73" i="6"/>
  <c r="AT47" i="6"/>
  <c r="AT57" i="6"/>
  <c r="AT28" i="6"/>
  <c r="AT58" i="6"/>
  <c r="AT40" i="6"/>
  <c r="AT42" i="6"/>
  <c r="AT53" i="6"/>
  <c r="AT39" i="6"/>
  <c r="AT34" i="6"/>
  <c r="AT38" i="6"/>
  <c r="AT55" i="6"/>
  <c r="AT56" i="6"/>
  <c r="AT27" i="6"/>
  <c r="AT52" i="6"/>
  <c r="J143" i="6"/>
  <c r="J149" i="6"/>
  <c r="J154" i="6"/>
  <c r="J139" i="6"/>
  <c r="J151" i="6"/>
  <c r="J161" i="6"/>
  <c r="J138" i="6"/>
  <c r="J155" i="6"/>
  <c r="J145" i="6"/>
  <c r="J134" i="6"/>
  <c r="J157" i="6"/>
  <c r="J142" i="6"/>
  <c r="J152" i="6"/>
  <c r="J299" i="6"/>
  <c r="J284" i="6"/>
  <c r="J286" i="6"/>
  <c r="J289" i="6"/>
  <c r="J285" i="6"/>
  <c r="J278" i="6"/>
  <c r="J291" i="6"/>
  <c r="J283" i="6"/>
  <c r="J292" i="6"/>
  <c r="J297" i="6"/>
  <c r="J279" i="6"/>
  <c r="J287" i="6"/>
  <c r="J274" i="6"/>
  <c r="AY109" i="6"/>
  <c r="AY120" i="6"/>
  <c r="AY134" i="6"/>
  <c r="AY116" i="6"/>
  <c r="AY136" i="6"/>
  <c r="AY132" i="6"/>
  <c r="AY108" i="6"/>
  <c r="AY147" i="6"/>
  <c r="AY130" i="6"/>
  <c r="AY119" i="6"/>
  <c r="AY100" i="6"/>
  <c r="AY96" i="6"/>
  <c r="AY104" i="6"/>
  <c r="AY145" i="6"/>
  <c r="AY141" i="6"/>
  <c r="AY115" i="6"/>
  <c r="AY114" i="6"/>
  <c r="AY143" i="6"/>
  <c r="AY105" i="6"/>
  <c r="AY113" i="6"/>
  <c r="AY140" i="6"/>
  <c r="AY139" i="6"/>
  <c r="AY106" i="6"/>
  <c r="AY123" i="6"/>
  <c r="AY98" i="6"/>
  <c r="AY101" i="6"/>
  <c r="AY92" i="6"/>
  <c r="J329" i="6"/>
  <c r="J306" i="6"/>
  <c r="J317" i="6"/>
  <c r="J328" i="6"/>
  <c r="J323" i="6"/>
  <c r="J315" i="6"/>
  <c r="J308" i="6"/>
  <c r="J324" i="6"/>
  <c r="J316" i="6"/>
  <c r="J302" i="6"/>
  <c r="J321" i="6"/>
  <c r="J307" i="6"/>
  <c r="J314" i="6"/>
  <c r="J341" i="6"/>
  <c r="J344" i="6"/>
  <c r="J355" i="6"/>
  <c r="J346" i="6"/>
  <c r="J350" i="6"/>
  <c r="J330" i="6"/>
  <c r="J331" i="6"/>
  <c r="J337" i="6"/>
  <c r="J348" i="6"/>
  <c r="J349" i="6"/>
  <c r="J343" i="6"/>
  <c r="J353" i="6"/>
  <c r="J332" i="6"/>
  <c r="BH196" i="6"/>
  <c r="BH364" i="6"/>
  <c r="BH239" i="6"/>
  <c r="BH175" i="6"/>
  <c r="BH118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58" i="6"/>
  <c r="BH357" i="6"/>
  <c r="BH26" i="6"/>
  <c r="BH300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41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356" i="6"/>
  <c r="BH344" i="6"/>
  <c r="BH288" i="6"/>
  <c r="BH215" i="6"/>
  <c r="BH70" i="6"/>
  <c r="BH205" i="6"/>
  <c r="BH121" i="6"/>
  <c r="BH139" i="6"/>
  <c r="BH97" i="6"/>
  <c r="BH144" i="6"/>
  <c r="P77" i="27"/>
  <c r="G39" i="27" s="1"/>
  <c r="AE76" i="27"/>
  <c r="A17" i="16"/>
  <c r="X16" i="16"/>
  <c r="L16" i="16"/>
  <c r="D16" i="16" s="1"/>
  <c r="AB16" i="16"/>
  <c r="K16" i="16"/>
  <c r="L12" i="18"/>
  <c r="O9" i="18"/>
  <c r="AJ15" i="18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K18" i="1"/>
  <c r="L18" i="1"/>
  <c r="A19" i="1"/>
  <c r="X18" i="1"/>
  <c r="AC18" i="1"/>
  <c r="AK18" i="1"/>
  <c r="AJ18" i="1"/>
  <c r="AB18" i="1"/>
  <c r="O18" i="1"/>
  <c r="AJ380" i="17"/>
  <c r="F7" i="17"/>
  <c r="T13" i="7"/>
  <c r="AB16" i="17"/>
  <c r="L16" i="17"/>
  <c r="D16" i="17" s="1"/>
  <c r="K16" i="17"/>
  <c r="X16" i="17"/>
  <c r="A17" i="17"/>
  <c r="AJ16" i="17"/>
  <c r="P11" i="17"/>
  <c r="AK16" i="17" s="1"/>
  <c r="AZ16" i="6" l="1"/>
  <c r="AZ117" i="6"/>
  <c r="AY380" i="6"/>
  <c r="AZ380" i="6" s="1"/>
  <c r="E7" i="15"/>
  <c r="O10" i="15" s="1"/>
  <c r="O11" i="7"/>
  <c r="N15" i="7"/>
  <c r="AZ18" i="6"/>
  <c r="F7" i="16"/>
  <c r="AC12" i="16" s="1"/>
  <c r="AJ16" i="16"/>
  <c r="E7" i="17"/>
  <c r="O10" i="17" s="1"/>
  <c r="U13" i="7" s="1"/>
  <c r="T15" i="7"/>
  <c r="N13" i="7"/>
  <c r="P11" i="16"/>
  <c r="AK16" i="16" s="1"/>
  <c r="AZ24" i="6"/>
  <c r="AY155" i="6"/>
  <c r="AY203" i="6"/>
  <c r="AY157" i="6"/>
  <c r="AY187" i="6"/>
  <c r="AY197" i="6"/>
  <c r="AY158" i="6"/>
  <c r="AY198" i="6"/>
  <c r="AY229" i="6"/>
  <c r="AY251" i="6"/>
  <c r="AY250" i="6"/>
  <c r="AY217" i="6"/>
  <c r="AY246" i="6"/>
  <c r="AY247" i="6"/>
  <c r="AY257" i="6"/>
  <c r="AY300" i="6"/>
  <c r="AY293" i="6"/>
  <c r="AY311" i="6"/>
  <c r="AZ311" i="6" s="1"/>
  <c r="AY292" i="6"/>
  <c r="AY312" i="6"/>
  <c r="AY309" i="6"/>
  <c r="AZ309" i="6" s="1"/>
  <c r="AY272" i="6"/>
  <c r="AY179" i="6"/>
  <c r="AY185" i="6"/>
  <c r="AY202" i="6"/>
  <c r="AY177" i="6"/>
  <c r="AY196" i="6"/>
  <c r="AY195" i="6"/>
  <c r="AY169" i="6"/>
  <c r="AY228" i="6"/>
  <c r="AY209" i="6"/>
  <c r="AY205" i="6"/>
  <c r="AY256" i="6"/>
  <c r="AY232" i="6"/>
  <c r="AY231" i="6"/>
  <c r="AY249" i="6"/>
  <c r="AY270" i="6"/>
  <c r="AY281" i="6"/>
  <c r="AY286" i="6"/>
  <c r="AY315" i="6"/>
  <c r="AZ315" i="6" s="1"/>
  <c r="AY273" i="6"/>
  <c r="AY301" i="6"/>
  <c r="AY310" i="6"/>
  <c r="AY171" i="6"/>
  <c r="AY180" i="6"/>
  <c r="AY192" i="6"/>
  <c r="AY200" i="6"/>
  <c r="AY199" i="6"/>
  <c r="AY154" i="6"/>
  <c r="AY175" i="6"/>
  <c r="AY166" i="6"/>
  <c r="AY191" i="6"/>
  <c r="AY183" i="6"/>
  <c r="AY172" i="6"/>
  <c r="AY173" i="6"/>
  <c r="AY194" i="6"/>
  <c r="AY153" i="6"/>
  <c r="AY233" i="6"/>
  <c r="AY252" i="6"/>
  <c r="AY226" i="6"/>
  <c r="AY241" i="6"/>
  <c r="AY242" i="6"/>
  <c r="AY208" i="6"/>
  <c r="AY206" i="6"/>
  <c r="AY218" i="6"/>
  <c r="AY240" i="6"/>
  <c r="AY224" i="6"/>
  <c r="AY225" i="6"/>
  <c r="AY235" i="6"/>
  <c r="AY244" i="6"/>
  <c r="AY214" i="6"/>
  <c r="AY278" i="6"/>
  <c r="AY268" i="6"/>
  <c r="AY296" i="6"/>
  <c r="AY314" i="6"/>
  <c r="AZ314" i="6" s="1"/>
  <c r="AY284" i="6"/>
  <c r="AY267" i="6"/>
  <c r="AY303" i="6"/>
  <c r="AZ303" i="6" s="1"/>
  <c r="AY287" i="6"/>
  <c r="AZ287" i="6" s="1"/>
  <c r="AY264" i="6"/>
  <c r="AY291" i="6"/>
  <c r="AY265" i="6"/>
  <c r="AY263" i="6"/>
  <c r="AY295" i="6"/>
  <c r="AY297" i="6"/>
  <c r="AY364" i="6"/>
  <c r="AZ364" i="6" s="1"/>
  <c r="AT89" i="6"/>
  <c r="AZ89" i="6" s="1"/>
  <c r="AT133" i="6"/>
  <c r="AZ133" i="6" s="1"/>
  <c r="AT118" i="6"/>
  <c r="AZ118" i="6" s="1"/>
  <c r="AT125" i="6"/>
  <c r="AZ125" i="6" s="1"/>
  <c r="AT88" i="6"/>
  <c r="AZ88" i="6" s="1"/>
  <c r="AT100" i="6"/>
  <c r="AZ100" i="6" s="1"/>
  <c r="AT119" i="6"/>
  <c r="AZ119" i="6" s="1"/>
  <c r="AT85" i="6"/>
  <c r="AZ85" i="6" s="1"/>
  <c r="AT121" i="6"/>
  <c r="AZ121" i="6" s="1"/>
  <c r="AT130" i="6"/>
  <c r="AZ130" i="6" s="1"/>
  <c r="AT101" i="6"/>
  <c r="AZ101" i="6" s="1"/>
  <c r="AT123" i="6"/>
  <c r="AZ123" i="6" s="1"/>
  <c r="AT124" i="6"/>
  <c r="AZ124" i="6" s="1"/>
  <c r="AT83" i="6"/>
  <c r="AZ83" i="6" s="1"/>
  <c r="AT95" i="6"/>
  <c r="AZ95" i="6" s="1"/>
  <c r="AT93" i="6"/>
  <c r="AZ93" i="6" s="1"/>
  <c r="AT92" i="6"/>
  <c r="AT111" i="6"/>
  <c r="AZ111" i="6" s="1"/>
  <c r="AT104" i="6"/>
  <c r="AZ104" i="6" s="1"/>
  <c r="AT107" i="6"/>
  <c r="AZ107" i="6" s="1"/>
  <c r="AT132" i="6"/>
  <c r="AZ132" i="6" s="1"/>
  <c r="AT84" i="6"/>
  <c r="AZ84" i="6" s="1"/>
  <c r="AT82" i="6"/>
  <c r="AZ82" i="6" s="1"/>
  <c r="AT79" i="6"/>
  <c r="AZ79" i="6" s="1"/>
  <c r="AT116" i="6"/>
  <c r="AZ116" i="6" s="1"/>
  <c r="AT87" i="6"/>
  <c r="AZ87" i="6" s="1"/>
  <c r="AT109" i="6"/>
  <c r="AZ109" i="6" s="1"/>
  <c r="AT114" i="6"/>
  <c r="AZ114" i="6" s="1"/>
  <c r="AZ19" i="6"/>
  <c r="AZ312" i="6"/>
  <c r="AZ310" i="6"/>
  <c r="AZ29" i="6"/>
  <c r="AZ65" i="6"/>
  <c r="AZ59" i="6"/>
  <c r="AZ51" i="6"/>
  <c r="AZ43" i="6"/>
  <c r="AZ34" i="6"/>
  <c r="AZ32" i="6"/>
  <c r="AZ47" i="6"/>
  <c r="AZ63" i="6"/>
  <c r="AZ36" i="6"/>
  <c r="O380" i="6" s="1"/>
  <c r="O381" i="6" s="1"/>
  <c r="AZ53" i="6"/>
  <c r="AZ75" i="6"/>
  <c r="AZ25" i="6"/>
  <c r="AZ33" i="6"/>
  <c r="AZ74" i="6"/>
  <c r="AZ45" i="6"/>
  <c r="AZ66" i="6"/>
  <c r="AY369" i="6"/>
  <c r="AZ369" i="6" s="1"/>
  <c r="AY331" i="6"/>
  <c r="AZ331" i="6" s="1"/>
  <c r="AY317" i="6"/>
  <c r="AZ317" i="6" s="1"/>
  <c r="AY334" i="6"/>
  <c r="AZ334" i="6" s="1"/>
  <c r="AY342" i="6"/>
  <c r="AZ342" i="6" s="1"/>
  <c r="AY324" i="6"/>
  <c r="AZ324" i="6" s="1"/>
  <c r="AY330" i="6"/>
  <c r="AZ330" i="6" s="1"/>
  <c r="AJ380" i="6" s="1"/>
  <c r="AJ381" i="6" s="1"/>
  <c r="AY367" i="6"/>
  <c r="AZ367" i="6" s="1"/>
  <c r="AY366" i="6"/>
  <c r="AZ366" i="6" s="1"/>
  <c r="AY375" i="6"/>
  <c r="AZ375" i="6" s="1"/>
  <c r="AZ46" i="6"/>
  <c r="AY320" i="6"/>
  <c r="AZ320" i="6" s="1"/>
  <c r="AY343" i="6"/>
  <c r="AZ343" i="6" s="1"/>
  <c r="AY327" i="6"/>
  <c r="AZ327" i="6" s="1"/>
  <c r="AY335" i="6"/>
  <c r="AZ335" i="6" s="1"/>
  <c r="AY323" i="6"/>
  <c r="AZ323" i="6" s="1"/>
  <c r="AY356" i="6"/>
  <c r="AZ356" i="6" s="1"/>
  <c r="AY318" i="6"/>
  <c r="AZ318" i="6" s="1"/>
  <c r="AY349" i="6"/>
  <c r="AZ349" i="6" s="1"/>
  <c r="AY316" i="6"/>
  <c r="AZ316" i="6" s="1"/>
  <c r="AI380" i="6" s="1"/>
  <c r="AI381" i="6" s="1"/>
  <c r="AY372" i="6"/>
  <c r="AZ372" i="6" s="1"/>
  <c r="AM380" i="6" s="1"/>
  <c r="AM381" i="6" s="1"/>
  <c r="AY378" i="6"/>
  <c r="AZ378" i="6" s="1"/>
  <c r="AY357" i="6"/>
  <c r="AZ357" i="6" s="1"/>
  <c r="AY360" i="6"/>
  <c r="AZ360" i="6" s="1"/>
  <c r="AY370" i="6"/>
  <c r="AZ370" i="6" s="1"/>
  <c r="AY355" i="6"/>
  <c r="AZ355" i="6" s="1"/>
  <c r="AY348" i="6"/>
  <c r="AZ348" i="6" s="1"/>
  <c r="AY363" i="6"/>
  <c r="AZ363" i="6" s="1"/>
  <c r="AY359" i="6"/>
  <c r="AZ359" i="6" s="1"/>
  <c r="AY361" i="6"/>
  <c r="AZ361" i="6" s="1"/>
  <c r="AY347" i="6"/>
  <c r="AZ347" i="6" s="1"/>
  <c r="AY362" i="6"/>
  <c r="AZ362" i="6" s="1"/>
  <c r="AY377" i="6"/>
  <c r="AZ377" i="6" s="1"/>
  <c r="AY379" i="6"/>
  <c r="AZ379" i="6" s="1"/>
  <c r="AZ92" i="6"/>
  <c r="S380" i="6" s="1"/>
  <c r="S381" i="6" s="1"/>
  <c r="AZ17" i="6"/>
  <c r="AJ17" i="15"/>
  <c r="A18" i="15"/>
  <c r="K17" i="15"/>
  <c r="L17" i="15"/>
  <c r="D17" i="15" s="1"/>
  <c r="X17" i="15"/>
  <c r="AB17" i="15"/>
  <c r="AK17" i="15"/>
  <c r="O11" i="15"/>
  <c r="AC9" i="15"/>
  <c r="AC12" i="15"/>
  <c r="AC17" i="15" s="1"/>
  <c r="O12" i="15"/>
  <c r="AK380" i="15"/>
  <c r="P12" i="15"/>
  <c r="F8" i="15"/>
  <c r="AK15" i="15"/>
  <c r="AK16" i="15"/>
  <c r="L11" i="19"/>
  <c r="P10" i="1"/>
  <c r="U10" i="1"/>
  <c r="AE11" i="1"/>
  <c r="Q10" i="1"/>
  <c r="AI11" i="1"/>
  <c r="L11" i="18"/>
  <c r="L15" i="18" s="1"/>
  <c r="J12" i="6"/>
  <c r="J13" i="6"/>
  <c r="AZ73" i="6"/>
  <c r="AZ31" i="6"/>
  <c r="AZ23" i="6"/>
  <c r="AZ39" i="6"/>
  <c r="AZ57" i="6"/>
  <c r="AZ77" i="6"/>
  <c r="AZ56" i="6"/>
  <c r="AZ50" i="6"/>
  <c r="P380" i="6" s="1"/>
  <c r="P381" i="6" s="1"/>
  <c r="AZ42" i="6"/>
  <c r="AZ68" i="6"/>
  <c r="AT202" i="6"/>
  <c r="AT196" i="6"/>
  <c r="AT205" i="6"/>
  <c r="AT245" i="6"/>
  <c r="AT217" i="6"/>
  <c r="AT203" i="6"/>
  <c r="AT199" i="6"/>
  <c r="AT212" i="6"/>
  <c r="AT236" i="6"/>
  <c r="AT191" i="6"/>
  <c r="AT192" i="6"/>
  <c r="AT201" i="6"/>
  <c r="AT206" i="6"/>
  <c r="AT213" i="6"/>
  <c r="AT211" i="6"/>
  <c r="AT209" i="6"/>
  <c r="AT198" i="6"/>
  <c r="AT230" i="6"/>
  <c r="AT220" i="6"/>
  <c r="AT240" i="6"/>
  <c r="AT238" i="6"/>
  <c r="AT244" i="6"/>
  <c r="AT221" i="6"/>
  <c r="AT242" i="6"/>
  <c r="AT224" i="6"/>
  <c r="AT229" i="6"/>
  <c r="AT235" i="6"/>
  <c r="AT227" i="6"/>
  <c r="AT178" i="6"/>
  <c r="AT167" i="6"/>
  <c r="AT180" i="6"/>
  <c r="AT143" i="6"/>
  <c r="AZ143" i="6" s="1"/>
  <c r="AT152" i="6"/>
  <c r="AT151" i="6"/>
  <c r="AT168" i="6"/>
  <c r="AT187" i="6"/>
  <c r="AT165" i="6"/>
  <c r="AT148" i="6"/>
  <c r="AT189" i="6"/>
  <c r="AT177" i="6"/>
  <c r="AT142" i="6"/>
  <c r="AZ142" i="6" s="1"/>
  <c r="AT139" i="6"/>
  <c r="AZ139" i="6" s="1"/>
  <c r="AT184" i="6"/>
  <c r="AT149" i="6"/>
  <c r="AT169" i="6"/>
  <c r="AT135" i="6"/>
  <c r="AZ135" i="6" s="1"/>
  <c r="AT146" i="6"/>
  <c r="AZ146" i="6" s="1"/>
  <c r="AT158" i="6"/>
  <c r="AT159" i="6"/>
  <c r="AT162" i="6"/>
  <c r="AT144" i="6"/>
  <c r="AZ144" i="6" s="1"/>
  <c r="AT145" i="6"/>
  <c r="AZ145" i="6" s="1"/>
  <c r="AT166" i="6"/>
  <c r="AT137" i="6"/>
  <c r="AZ137" i="6" s="1"/>
  <c r="AT185" i="6"/>
  <c r="AT160" i="6"/>
  <c r="AT267" i="6"/>
  <c r="AT278" i="6"/>
  <c r="AT274" i="6"/>
  <c r="AT246" i="6"/>
  <c r="AT276" i="6"/>
  <c r="AT255" i="6"/>
  <c r="AT296" i="6"/>
  <c r="AT253" i="6"/>
  <c r="AT252" i="6"/>
  <c r="AT289" i="6"/>
  <c r="AT282" i="6"/>
  <c r="AT297" i="6"/>
  <c r="AT263" i="6"/>
  <c r="AT270" i="6"/>
  <c r="AT294" i="6"/>
  <c r="AT257" i="6"/>
  <c r="AT300" i="6"/>
  <c r="AT271" i="6"/>
  <c r="AT272" i="6"/>
  <c r="AT301" i="6"/>
  <c r="AT280" i="6"/>
  <c r="AT265" i="6"/>
  <c r="AT247" i="6"/>
  <c r="AT250" i="6"/>
  <c r="AT284" i="6"/>
  <c r="AT293" i="6"/>
  <c r="AT291" i="6"/>
  <c r="AT275" i="6"/>
  <c r="AY374" i="6"/>
  <c r="AZ374" i="6" s="1"/>
  <c r="AZ27" i="6"/>
  <c r="AZ26" i="6"/>
  <c r="AZ28" i="6"/>
  <c r="AZ38" i="6"/>
  <c r="AZ60" i="6"/>
  <c r="AZ37" i="6"/>
  <c r="AZ61" i="6"/>
  <c r="AZ40" i="6"/>
  <c r="AZ58" i="6"/>
  <c r="AZ49" i="6"/>
  <c r="AZ64" i="6"/>
  <c r="Q380" i="6" s="1"/>
  <c r="Q381" i="6" s="1"/>
  <c r="AZ55" i="6"/>
  <c r="AY189" i="6"/>
  <c r="AY161" i="6"/>
  <c r="AY182" i="6"/>
  <c r="AY159" i="6"/>
  <c r="AY168" i="6"/>
  <c r="AY152" i="6"/>
  <c r="AY167" i="6"/>
  <c r="AY160" i="6"/>
  <c r="AY162" i="6"/>
  <c r="AY163" i="6"/>
  <c r="AY184" i="6"/>
  <c r="AY174" i="6"/>
  <c r="AY151" i="6"/>
  <c r="AY176" i="6"/>
  <c r="AY193" i="6"/>
  <c r="AY170" i="6"/>
  <c r="AY201" i="6"/>
  <c r="AY181" i="6"/>
  <c r="AY164" i="6"/>
  <c r="AY156" i="6"/>
  <c r="AY148" i="6"/>
  <c r="AY149" i="6"/>
  <c r="AY165" i="6"/>
  <c r="AY188" i="6"/>
  <c r="AY190" i="6"/>
  <c r="AY178" i="6"/>
  <c r="AY150" i="6"/>
  <c r="AZ150" i="6" s="1"/>
  <c r="AZ22" i="6"/>
  <c r="N380" i="6" s="1"/>
  <c r="N381" i="6" s="1"/>
  <c r="AZ30" i="6"/>
  <c r="AZ15" i="6"/>
  <c r="AZ41" i="6"/>
  <c r="AZ52" i="6"/>
  <c r="AZ67" i="6"/>
  <c r="AZ72" i="6"/>
  <c r="AZ54" i="6"/>
  <c r="AZ70" i="6"/>
  <c r="AZ71" i="6"/>
  <c r="AZ62" i="6"/>
  <c r="AZ44" i="6"/>
  <c r="AZ48" i="6"/>
  <c r="AT195" i="6"/>
  <c r="AT216" i="6"/>
  <c r="AT200" i="6"/>
  <c r="AT237" i="6"/>
  <c r="AT215" i="6"/>
  <c r="AT214" i="6"/>
  <c r="AT190" i="6"/>
  <c r="AT234" i="6"/>
  <c r="AT243" i="6"/>
  <c r="AT194" i="6"/>
  <c r="AT197" i="6"/>
  <c r="AT207" i="6"/>
  <c r="AT210" i="6"/>
  <c r="AT208" i="6"/>
  <c r="AT193" i="6"/>
  <c r="AT204" i="6"/>
  <c r="AZ204" i="6" s="1"/>
  <c r="AA380" i="6" s="1"/>
  <c r="AA381" i="6" s="1"/>
  <c r="AT222" i="6"/>
  <c r="AT223" i="6"/>
  <c r="AT231" i="6"/>
  <c r="AT226" i="6"/>
  <c r="AT239" i="6"/>
  <c r="AT225" i="6"/>
  <c r="AT233" i="6"/>
  <c r="AT228" i="6"/>
  <c r="AT241" i="6"/>
  <c r="AT232" i="6"/>
  <c r="AT218" i="6"/>
  <c r="AY258" i="6"/>
  <c r="AY207" i="6"/>
  <c r="AY210" i="6"/>
  <c r="AY213" i="6"/>
  <c r="AY230" i="6"/>
  <c r="AY212" i="6"/>
  <c r="AY227" i="6"/>
  <c r="AY211" i="6"/>
  <c r="AY220" i="6"/>
  <c r="AY216" i="6"/>
  <c r="AY248" i="6"/>
  <c r="AY223" i="6"/>
  <c r="AY254" i="6"/>
  <c r="AY236" i="6"/>
  <c r="AY237" i="6"/>
  <c r="AZ237" i="6" s="1"/>
  <c r="AY259" i="6"/>
  <c r="AY253" i="6"/>
  <c r="AY245" i="6"/>
  <c r="AY243" i="6"/>
  <c r="AY238" i="6"/>
  <c r="AY219" i="6"/>
  <c r="AZ219" i="6" s="1"/>
  <c r="AY239" i="6"/>
  <c r="AZ239" i="6" s="1"/>
  <c r="AY215" i="6"/>
  <c r="AY234" i="6"/>
  <c r="AY221" i="6"/>
  <c r="AY222" i="6"/>
  <c r="AZ222" i="6" s="1"/>
  <c r="AY255" i="6"/>
  <c r="AY329" i="6"/>
  <c r="AZ329" i="6" s="1"/>
  <c r="AY326" i="6"/>
  <c r="AZ326" i="6" s="1"/>
  <c r="AY322" i="6"/>
  <c r="AZ322" i="6" s="1"/>
  <c r="AY333" i="6"/>
  <c r="AZ333" i="6" s="1"/>
  <c r="AY345" i="6"/>
  <c r="AZ345" i="6" s="1"/>
  <c r="AY358" i="6"/>
  <c r="AZ358" i="6" s="1"/>
  <c r="AL380" i="6" s="1"/>
  <c r="AL381" i="6" s="1"/>
  <c r="AY354" i="6"/>
  <c r="AZ354" i="6" s="1"/>
  <c r="AY351" i="6"/>
  <c r="AZ351" i="6" s="1"/>
  <c r="AY337" i="6"/>
  <c r="AZ337" i="6" s="1"/>
  <c r="AY368" i="6"/>
  <c r="AZ368" i="6" s="1"/>
  <c r="AY341" i="6"/>
  <c r="AZ341" i="6" s="1"/>
  <c r="AY319" i="6"/>
  <c r="AZ319" i="6" s="1"/>
  <c r="AY344" i="6"/>
  <c r="AZ344" i="6" s="1"/>
  <c r="AK380" i="6" s="1"/>
  <c r="AK381" i="6" s="1"/>
  <c r="AY350" i="6"/>
  <c r="AZ350" i="6" s="1"/>
  <c r="AY338" i="6"/>
  <c r="AZ338" i="6" s="1"/>
  <c r="AY336" i="6"/>
  <c r="AZ336" i="6" s="1"/>
  <c r="AY325" i="6"/>
  <c r="AZ325" i="6" s="1"/>
  <c r="AY339" i="6"/>
  <c r="AZ339" i="6" s="1"/>
  <c r="AY321" i="6"/>
  <c r="AZ321" i="6" s="1"/>
  <c r="AY353" i="6"/>
  <c r="AZ353" i="6" s="1"/>
  <c r="AY340" i="6"/>
  <c r="AZ340" i="6" s="1"/>
  <c r="AY346" i="6"/>
  <c r="AZ346" i="6" s="1"/>
  <c r="AY371" i="6"/>
  <c r="AZ371" i="6" s="1"/>
  <c r="AY328" i="6"/>
  <c r="AZ328" i="6" s="1"/>
  <c r="AY365" i="6"/>
  <c r="AZ365" i="6" s="1"/>
  <c r="AY332" i="6"/>
  <c r="AZ332" i="6" s="1"/>
  <c r="AY352" i="6"/>
  <c r="AZ352" i="6" s="1"/>
  <c r="AT171" i="6"/>
  <c r="AT181" i="6"/>
  <c r="AT147" i="6"/>
  <c r="AZ147" i="6" s="1"/>
  <c r="AT134" i="6"/>
  <c r="AZ134" i="6" s="1"/>
  <c r="V380" i="6" s="1"/>
  <c r="V381" i="6" s="1"/>
  <c r="AT136" i="6"/>
  <c r="AZ136" i="6" s="1"/>
  <c r="AT174" i="6"/>
  <c r="AT157" i="6"/>
  <c r="AT182" i="6"/>
  <c r="AT164" i="6"/>
  <c r="AT156" i="6"/>
  <c r="AT188" i="6"/>
  <c r="AT186" i="6"/>
  <c r="AZ186" i="6" s="1"/>
  <c r="AT154" i="6"/>
  <c r="AT155" i="6"/>
  <c r="AT163" i="6"/>
  <c r="AT170" i="6"/>
  <c r="AT161" i="6"/>
  <c r="AT179" i="6"/>
  <c r="AT183" i="6"/>
  <c r="AT175" i="6"/>
  <c r="AT141" i="6"/>
  <c r="AZ141" i="6" s="1"/>
  <c r="AT153" i="6"/>
  <c r="AT172" i="6"/>
  <c r="AT138" i="6"/>
  <c r="AZ138" i="6" s="1"/>
  <c r="AT176" i="6"/>
  <c r="AT173" i="6"/>
  <c r="AT140" i="6"/>
  <c r="AZ140" i="6" s="1"/>
  <c r="AT91" i="6"/>
  <c r="AZ91" i="6" s="1"/>
  <c r="AT98" i="6"/>
  <c r="AZ98" i="6" s="1"/>
  <c r="AT108" i="6"/>
  <c r="AZ108" i="6" s="1"/>
  <c r="AT94" i="6"/>
  <c r="AZ94" i="6" s="1"/>
  <c r="AT126" i="6"/>
  <c r="AZ126" i="6" s="1"/>
  <c r="AT110" i="6"/>
  <c r="AZ110" i="6" s="1"/>
  <c r="AT128" i="6"/>
  <c r="AZ128" i="6" s="1"/>
  <c r="AT112" i="6"/>
  <c r="AZ112" i="6" s="1"/>
  <c r="AT129" i="6"/>
  <c r="AZ129" i="6" s="1"/>
  <c r="AT97" i="6"/>
  <c r="AZ97" i="6" s="1"/>
  <c r="AT103" i="6"/>
  <c r="AZ103" i="6" s="1"/>
  <c r="AT115" i="6"/>
  <c r="AZ115" i="6" s="1"/>
  <c r="AT106" i="6"/>
  <c r="AZ106" i="6" s="1"/>
  <c r="T380" i="6" s="1"/>
  <c r="T381" i="6" s="1"/>
  <c r="AT99" i="6"/>
  <c r="AZ99" i="6" s="1"/>
  <c r="AT78" i="6"/>
  <c r="AT86" i="6"/>
  <c r="AZ86" i="6" s="1"/>
  <c r="AT90" i="6"/>
  <c r="AZ90" i="6" s="1"/>
  <c r="AT80" i="6"/>
  <c r="AZ80" i="6" s="1"/>
  <c r="AT102" i="6"/>
  <c r="AZ102" i="6" s="1"/>
  <c r="AT131" i="6"/>
  <c r="AZ131" i="6" s="1"/>
  <c r="AT81" i="6"/>
  <c r="AZ81" i="6" s="1"/>
  <c r="AT96" i="6"/>
  <c r="AZ96" i="6" s="1"/>
  <c r="AT105" i="6"/>
  <c r="AZ105" i="6" s="1"/>
  <c r="AT127" i="6"/>
  <c r="AZ127" i="6" s="1"/>
  <c r="AT120" i="6"/>
  <c r="AZ120" i="6" s="1"/>
  <c r="U380" i="6" s="1"/>
  <c r="U381" i="6" s="1"/>
  <c r="AT122" i="6"/>
  <c r="AZ122" i="6" s="1"/>
  <c r="AT113" i="6"/>
  <c r="AZ113" i="6" s="1"/>
  <c r="AY277" i="6"/>
  <c r="AY276" i="6"/>
  <c r="AY262" i="6"/>
  <c r="AY269" i="6"/>
  <c r="AY308" i="6"/>
  <c r="AZ308" i="6" s="1"/>
  <c r="AY261" i="6"/>
  <c r="AY279" i="6"/>
  <c r="AY271" i="6"/>
  <c r="AY299" i="6"/>
  <c r="AY306" i="6"/>
  <c r="AZ306" i="6" s="1"/>
  <c r="AY307" i="6"/>
  <c r="AZ307" i="6" s="1"/>
  <c r="AY280" i="6"/>
  <c r="AY294" i="6"/>
  <c r="AY266" i="6"/>
  <c r="AY289" i="6"/>
  <c r="AY283" i="6"/>
  <c r="AY274" i="6"/>
  <c r="AY282" i="6"/>
  <c r="AY260" i="6"/>
  <c r="AY288" i="6"/>
  <c r="AY275" i="6"/>
  <c r="AY298" i="6"/>
  <c r="AY313" i="6"/>
  <c r="AZ313" i="6" s="1"/>
  <c r="AY302" i="6"/>
  <c r="AZ302" i="6" s="1"/>
  <c r="AH380" i="6" s="1"/>
  <c r="AH381" i="6" s="1"/>
  <c r="AY305" i="6"/>
  <c r="AZ305" i="6" s="1"/>
  <c r="AY285" i="6"/>
  <c r="AY304" i="6"/>
  <c r="AZ304" i="6" s="1"/>
  <c r="AT299" i="6"/>
  <c r="AT266" i="6"/>
  <c r="AT277" i="6"/>
  <c r="AT251" i="6"/>
  <c r="AT288" i="6"/>
  <c r="AT279" i="6"/>
  <c r="AT258" i="6"/>
  <c r="AT259" i="6"/>
  <c r="AT264" i="6"/>
  <c r="AT261" i="6"/>
  <c r="AT283" i="6"/>
  <c r="AT290" i="6"/>
  <c r="AZ290" i="6" s="1"/>
  <c r="AT273" i="6"/>
  <c r="AT254" i="6"/>
  <c r="AT269" i="6"/>
  <c r="AT295" i="6"/>
  <c r="AT281" i="6"/>
  <c r="AT256" i="6"/>
  <c r="AT262" i="6"/>
  <c r="AT298" i="6"/>
  <c r="AT285" i="6"/>
  <c r="AT248" i="6"/>
  <c r="AT268" i="6"/>
  <c r="AT260" i="6"/>
  <c r="AT249" i="6"/>
  <c r="AT292" i="6"/>
  <c r="AT286" i="6"/>
  <c r="AY373" i="6"/>
  <c r="AZ373" i="6" s="1"/>
  <c r="AY376" i="6"/>
  <c r="AZ376" i="6" s="1"/>
  <c r="AE77" i="27"/>
  <c r="P78" i="27"/>
  <c r="G40" i="27" s="1"/>
  <c r="X17" i="16"/>
  <c r="A18" i="16"/>
  <c r="L17" i="16"/>
  <c r="D17" i="16" s="1"/>
  <c r="AJ17" i="16"/>
  <c r="AB17" i="16"/>
  <c r="K17" i="16"/>
  <c r="A18" i="17"/>
  <c r="K17" i="17"/>
  <c r="X17" i="17"/>
  <c r="L17" i="17"/>
  <c r="D17" i="17" s="1"/>
  <c r="AB17" i="17"/>
  <c r="AK17" i="17"/>
  <c r="AJ17" i="17"/>
  <c r="AC9" i="17"/>
  <c r="O11" i="17"/>
  <c r="AC12" i="17"/>
  <c r="X16" i="18"/>
  <c r="L16" i="18"/>
  <c r="A17" i="18"/>
  <c r="AB16" i="18"/>
  <c r="K16" i="18"/>
  <c r="AJ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F7" i="18"/>
  <c r="Z13" i="7"/>
  <c r="AJ380" i="18"/>
  <c r="P12" i="17"/>
  <c r="F8" i="17"/>
  <c r="AK380" i="17"/>
  <c r="AK15" i="17"/>
  <c r="AK19" i="1"/>
  <c r="L19" i="1"/>
  <c r="Q19" i="1"/>
  <c r="AJ19" i="1"/>
  <c r="AB19" i="1"/>
  <c r="A20" i="1"/>
  <c r="K19" i="1"/>
  <c r="O19" i="1"/>
  <c r="AC19" i="1"/>
  <c r="X19" i="1"/>
  <c r="U19" i="1"/>
  <c r="T19" i="1" s="1"/>
  <c r="O9" i="20"/>
  <c r="K13" i="7" l="1"/>
  <c r="V13" i="7"/>
  <c r="J13" i="7"/>
  <c r="P12" i="16"/>
  <c r="AK17" i="16"/>
  <c r="AC10" i="15"/>
  <c r="AC16" i="16" s="1"/>
  <c r="Q11" i="16"/>
  <c r="U11" i="7"/>
  <c r="Q11" i="17" s="1"/>
  <c r="O12" i="16"/>
  <c r="AC9" i="16"/>
  <c r="O11" i="16"/>
  <c r="AZ293" i="6"/>
  <c r="AZ250" i="6"/>
  <c r="AZ257" i="6"/>
  <c r="AZ270" i="6"/>
  <c r="AZ246" i="6"/>
  <c r="AD380" i="6" s="1"/>
  <c r="AD381" i="6" s="1"/>
  <c r="AZ158" i="6"/>
  <c r="AZ187" i="6"/>
  <c r="AZ286" i="6"/>
  <c r="AZ268" i="6"/>
  <c r="AZ273" i="6"/>
  <c r="AZ173" i="6"/>
  <c r="AZ153" i="6"/>
  <c r="AZ179" i="6"/>
  <c r="AZ218" i="6"/>
  <c r="AB380" i="6" s="1"/>
  <c r="AB381" i="6" s="1"/>
  <c r="AZ241" i="6"/>
  <c r="AZ231" i="6"/>
  <c r="AZ200" i="6"/>
  <c r="AZ202" i="6"/>
  <c r="AZ295" i="6"/>
  <c r="AZ251" i="6"/>
  <c r="AZ172" i="6"/>
  <c r="AZ157" i="6"/>
  <c r="AZ171" i="6"/>
  <c r="AZ232" i="6"/>
  <c r="AC380" i="6" s="1"/>
  <c r="AC381" i="6" s="1"/>
  <c r="AZ228" i="6"/>
  <c r="AZ225" i="6"/>
  <c r="AZ226" i="6"/>
  <c r="AZ194" i="6"/>
  <c r="AZ177" i="6"/>
  <c r="AZ242" i="6"/>
  <c r="AZ244" i="6"/>
  <c r="AZ240" i="6"/>
  <c r="AZ191" i="6"/>
  <c r="AK15" i="16"/>
  <c r="F8" i="16"/>
  <c r="AI11" i="16" s="1"/>
  <c r="O12" i="17"/>
  <c r="E7" i="18"/>
  <c r="E8" i="18"/>
  <c r="K15" i="19" s="1"/>
  <c r="K39" i="19" s="1"/>
  <c r="AZ284" i="6"/>
  <c r="AZ247" i="6"/>
  <c r="AZ272" i="6"/>
  <c r="AZ300" i="6"/>
  <c r="AZ296" i="6"/>
  <c r="AZ292" i="6"/>
  <c r="AZ256" i="6"/>
  <c r="AZ291" i="6"/>
  <c r="AZ263" i="6"/>
  <c r="AZ252" i="6"/>
  <c r="AZ267" i="6"/>
  <c r="AZ166" i="6"/>
  <c r="AZ169" i="6"/>
  <c r="AZ180" i="6"/>
  <c r="AZ229" i="6"/>
  <c r="AZ209" i="6"/>
  <c r="AZ203" i="6"/>
  <c r="AZ196" i="6"/>
  <c r="AZ205" i="6"/>
  <c r="AZ249" i="6"/>
  <c r="AZ281" i="6"/>
  <c r="AZ264" i="6"/>
  <c r="AZ175" i="6"/>
  <c r="AZ155" i="6"/>
  <c r="AZ233" i="6"/>
  <c r="AZ197" i="6"/>
  <c r="AZ195" i="6"/>
  <c r="AZ265" i="6"/>
  <c r="AZ301" i="6"/>
  <c r="AZ278" i="6"/>
  <c r="AZ185" i="6"/>
  <c r="AZ198" i="6"/>
  <c r="AZ206" i="6"/>
  <c r="AZ192" i="6"/>
  <c r="AZ199" i="6"/>
  <c r="AZ217" i="6"/>
  <c r="AZ183" i="6"/>
  <c r="AZ154" i="6"/>
  <c r="AZ208" i="6"/>
  <c r="AZ214" i="6"/>
  <c r="AZ297" i="6"/>
  <c r="AZ235" i="6"/>
  <c r="AZ224" i="6"/>
  <c r="AZ227" i="6"/>
  <c r="AZ230" i="6"/>
  <c r="AZ271" i="6"/>
  <c r="AZ245" i="6"/>
  <c r="AZ212" i="6"/>
  <c r="AZ213" i="6"/>
  <c r="AZ165" i="6"/>
  <c r="AZ201" i="6"/>
  <c r="AZ184" i="6"/>
  <c r="AZ168" i="6"/>
  <c r="AZ189" i="6"/>
  <c r="AZ274" i="6"/>
  <c r="AF380" i="6" s="1"/>
  <c r="AF381" i="6" s="1"/>
  <c r="AZ294" i="6"/>
  <c r="AZ178" i="6"/>
  <c r="AZ152" i="6"/>
  <c r="AZ159" i="6"/>
  <c r="AT12" i="6"/>
  <c r="AZ275" i="6"/>
  <c r="AZ289" i="6"/>
  <c r="AZ299" i="6"/>
  <c r="AZ262" i="6"/>
  <c r="AZ277" i="6"/>
  <c r="AZ255" i="6"/>
  <c r="AZ221" i="6"/>
  <c r="AZ215" i="6"/>
  <c r="AZ243" i="6"/>
  <c r="AZ253" i="6"/>
  <c r="AZ220" i="6"/>
  <c r="AZ210" i="6"/>
  <c r="AZ258" i="6"/>
  <c r="AZ188" i="6"/>
  <c r="AZ156" i="6"/>
  <c r="AZ181" i="6"/>
  <c r="AZ170" i="6"/>
  <c r="AZ176" i="6"/>
  <c r="Y380" i="6" s="1"/>
  <c r="Y381" i="6" s="1"/>
  <c r="AZ174" i="6"/>
  <c r="AZ163" i="6"/>
  <c r="AZ160" i="6"/>
  <c r="AZ161" i="6"/>
  <c r="AZ78" i="6"/>
  <c r="R380" i="6" s="1"/>
  <c r="R381" i="6" s="1"/>
  <c r="AT13" i="6"/>
  <c r="Q17" i="1"/>
  <c r="U18" i="1"/>
  <c r="T18" i="1" s="1"/>
  <c r="S18" i="1" s="1"/>
  <c r="R18" i="1" s="1"/>
  <c r="Q18" i="1"/>
  <c r="Q16" i="1"/>
  <c r="U16" i="1"/>
  <c r="T16" i="1" s="1"/>
  <c r="S16" i="1" s="1"/>
  <c r="R16" i="1" s="1"/>
  <c r="U17" i="1"/>
  <c r="T17" i="1" s="1"/>
  <c r="S17" i="1" s="1"/>
  <c r="R17" i="1" s="1"/>
  <c r="U15" i="1"/>
  <c r="T15" i="1" s="1"/>
  <c r="S15" i="1" s="1"/>
  <c r="Q15" i="1"/>
  <c r="L12" i="19"/>
  <c r="P10" i="15"/>
  <c r="AE11" i="15"/>
  <c r="AI11" i="15"/>
  <c r="AB18" i="15"/>
  <c r="A19" i="15"/>
  <c r="X18" i="15"/>
  <c r="K18" i="15"/>
  <c r="AJ18" i="15"/>
  <c r="AK18" i="15"/>
  <c r="L18" i="15"/>
  <c r="D18" i="15" s="1"/>
  <c r="AC18" i="15"/>
  <c r="L11" i="20"/>
  <c r="AE353" i="1"/>
  <c r="AE336" i="1"/>
  <c r="AE334" i="1"/>
  <c r="AE326" i="1"/>
  <c r="AE310" i="1"/>
  <c r="AE274" i="1"/>
  <c r="AE239" i="1"/>
  <c r="AE228" i="1"/>
  <c r="AE213" i="1"/>
  <c r="AE203" i="1"/>
  <c r="AE170" i="1"/>
  <c r="AE164" i="1"/>
  <c r="AE148" i="1"/>
  <c r="AE113" i="1"/>
  <c r="AE105" i="1"/>
  <c r="AE92" i="1"/>
  <c r="AE90" i="1"/>
  <c r="AE42" i="1"/>
  <c r="AE24" i="1"/>
  <c r="AE362" i="1"/>
  <c r="AE280" i="1"/>
  <c r="AE243" i="1"/>
  <c r="AE186" i="1"/>
  <c r="AE182" i="1"/>
  <c r="AE174" i="1"/>
  <c r="AE96" i="1"/>
  <c r="AE49" i="1"/>
  <c r="AE173" i="1"/>
  <c r="AE217" i="1"/>
  <c r="AE136" i="1"/>
  <c r="AE229" i="1"/>
  <c r="AE279" i="1"/>
  <c r="AE83" i="1"/>
  <c r="AE197" i="1"/>
  <c r="AE192" i="1"/>
  <c r="AE159" i="1"/>
  <c r="AE267" i="1"/>
  <c r="AE71" i="1"/>
  <c r="AE124" i="1"/>
  <c r="AE33" i="1"/>
  <c r="AE163" i="1"/>
  <c r="AE343" i="1"/>
  <c r="AE273" i="1"/>
  <c r="AE227" i="1"/>
  <c r="AE117" i="1"/>
  <c r="AE65" i="1"/>
  <c r="AE245" i="1"/>
  <c r="AE225" i="1"/>
  <c r="AE85" i="1"/>
  <c r="AE256" i="1"/>
  <c r="AE84" i="1"/>
  <c r="AE252" i="1"/>
  <c r="AE235" i="1"/>
  <c r="AE43" i="1"/>
  <c r="AE248" i="1"/>
  <c r="AE57" i="1"/>
  <c r="AE27" i="1"/>
  <c r="AE53" i="1"/>
  <c r="AE289" i="1"/>
  <c r="AE285" i="1"/>
  <c r="AE323" i="1"/>
  <c r="AE205" i="1"/>
  <c r="AE330" i="1"/>
  <c r="AE99" i="1"/>
  <c r="AE82" i="1"/>
  <c r="AE304" i="1"/>
  <c r="AE298" i="1"/>
  <c r="AE263" i="1"/>
  <c r="AE220" i="1"/>
  <c r="AE142" i="1"/>
  <c r="AE130" i="1"/>
  <c r="AE73" i="1"/>
  <c r="AE67" i="1"/>
  <c r="AE34" i="1"/>
  <c r="AE89" i="1"/>
  <c r="AE95" i="1"/>
  <c r="AE369" i="1"/>
  <c r="AE341" i="1"/>
  <c r="AE335" i="1"/>
  <c r="AE327" i="1"/>
  <c r="AE317" i="1"/>
  <c r="AE292" i="1"/>
  <c r="AE258" i="1"/>
  <c r="AE238" i="1"/>
  <c r="AE214" i="1"/>
  <c r="AE212" i="1"/>
  <c r="AE200" i="1"/>
  <c r="AE165" i="1"/>
  <c r="AE156" i="1"/>
  <c r="AE118" i="1"/>
  <c r="AE106" i="1"/>
  <c r="AE100" i="1"/>
  <c r="AE91" i="1"/>
  <c r="AE56" i="1"/>
  <c r="AE38" i="1"/>
  <c r="AE373" i="1"/>
  <c r="AE361" i="1"/>
  <c r="AE244" i="1"/>
  <c r="AE232" i="1"/>
  <c r="AE183" i="1"/>
  <c r="AE175" i="1"/>
  <c r="AE152" i="1"/>
  <c r="AE50" i="1"/>
  <c r="AE48" i="1"/>
  <c r="AE221" i="1"/>
  <c r="AE206" i="1"/>
  <c r="AE363" i="1"/>
  <c r="AE23" i="1"/>
  <c r="AE293" i="1"/>
  <c r="AE97" i="1"/>
  <c r="AE223" i="1"/>
  <c r="AE265" i="1"/>
  <c r="AE15" i="1"/>
  <c r="AE297" i="1"/>
  <c r="AE137" i="1"/>
  <c r="AE316" i="1"/>
  <c r="AE21" i="1"/>
  <c r="AE251" i="1"/>
  <c r="AE342" i="1"/>
  <c r="AE275" i="1"/>
  <c r="AE359" i="1"/>
  <c r="AE143" i="1"/>
  <c r="AE112" i="1"/>
  <c r="AE211" i="1"/>
  <c r="AE345" i="1"/>
  <c r="AE108" i="1"/>
  <c r="AE322" i="1"/>
  <c r="AE122" i="1"/>
  <c r="AE315" i="1"/>
  <c r="AE370" i="1"/>
  <c r="AE257" i="1"/>
  <c r="AE114" i="1"/>
  <c r="AE191" i="1"/>
  <c r="AE193" i="1"/>
  <c r="AE127" i="1"/>
  <c r="AE231" i="1"/>
  <c r="AE219" i="1"/>
  <c r="BY15" i="7"/>
  <c r="AE180" i="1"/>
  <c r="AE222" i="1"/>
  <c r="AE261" i="1"/>
  <c r="AE349" i="1"/>
  <c r="AE303" i="1"/>
  <c r="AE268" i="1"/>
  <c r="AE262" i="1"/>
  <c r="AE160" i="1"/>
  <c r="AE135" i="1"/>
  <c r="AE76" i="1"/>
  <c r="AE72" i="1"/>
  <c r="AE66" i="1"/>
  <c r="AE379" i="1"/>
  <c r="AE12" i="15" s="1"/>
  <c r="AE287" i="1"/>
  <c r="AE313" i="1"/>
  <c r="BM15" i="7"/>
  <c r="AE249" i="1"/>
  <c r="AE45" i="1"/>
  <c r="AE254" i="1"/>
  <c r="AE63" i="1"/>
  <c r="AE340" i="1"/>
  <c r="AE147" i="1"/>
  <c r="AE259" i="1"/>
  <c r="AE269" i="1"/>
  <c r="AE301" i="1"/>
  <c r="AE290" i="1"/>
  <c r="AE378" i="1"/>
  <c r="AE161" i="1"/>
  <c r="AE309" i="1"/>
  <c r="AE196" i="1"/>
  <c r="AE184" i="1"/>
  <c r="AE68" i="1"/>
  <c r="AE157" i="1"/>
  <c r="AE320" i="1"/>
  <c r="AE153" i="1"/>
  <c r="BS15" i="7"/>
  <c r="AE337" i="1"/>
  <c r="AE104" i="1"/>
  <c r="AE208" i="1"/>
  <c r="AE19" i="1"/>
  <c r="AE365" i="1"/>
  <c r="AE356" i="1"/>
  <c r="AE318" i="1"/>
  <c r="AE224" i="1"/>
  <c r="AE233" i="1"/>
  <c r="AE41" i="1"/>
  <c r="AE194" i="1"/>
  <c r="AE300" i="1"/>
  <c r="AE247" i="1"/>
  <c r="AE237" i="1"/>
  <c r="AE366" i="1"/>
  <c r="AE255" i="1"/>
  <c r="AE352" i="1"/>
  <c r="AE333" i="1"/>
  <c r="AE55" i="1"/>
  <c r="AE151" i="1"/>
  <c r="E15" i="7"/>
  <c r="AE176" i="1"/>
  <c r="AE149" i="1"/>
  <c r="AE51" i="1"/>
  <c r="AE358" i="1"/>
  <c r="AE126" i="1"/>
  <c r="AE123" i="1"/>
  <c r="AE75" i="1"/>
  <c r="AE125" i="1"/>
  <c r="AE328" i="1"/>
  <c r="AE195" i="1"/>
  <c r="AE69" i="1"/>
  <c r="AE187" i="1"/>
  <c r="AE16" i="1"/>
  <c r="AE314" i="1"/>
  <c r="AE240" i="1"/>
  <c r="AE199" i="1"/>
  <c r="AE286" i="1"/>
  <c r="AE129" i="1"/>
  <c r="AE79" i="1"/>
  <c r="AE374" i="1"/>
  <c r="AE141" i="1"/>
  <c r="AE134" i="1"/>
  <c r="AE348" i="1"/>
  <c r="AE17" i="1"/>
  <c r="AE29" i="1"/>
  <c r="AE46" i="1"/>
  <c r="AE70" i="1"/>
  <c r="AE58" i="1"/>
  <c r="AE110" i="1"/>
  <c r="AE140" i="1"/>
  <c r="AE260" i="1"/>
  <c r="AE319" i="1"/>
  <c r="AE371" i="1"/>
  <c r="AE115" i="1"/>
  <c r="AE189" i="1"/>
  <c r="AE276" i="1"/>
  <c r="AE367" i="1"/>
  <c r="AE22" i="1"/>
  <c r="AE61" i="1"/>
  <c r="AE103" i="1"/>
  <c r="AE132" i="1"/>
  <c r="AE162" i="1"/>
  <c r="AE190" i="1"/>
  <c r="AE169" i="1"/>
  <c r="AE107" i="1"/>
  <c r="AE74" i="1"/>
  <c r="AE145" i="1"/>
  <c r="AE281" i="1"/>
  <c r="AE272" i="1"/>
  <c r="AE264" i="1"/>
  <c r="AE215" i="1"/>
  <c r="AE305" i="1"/>
  <c r="AE355" i="1"/>
  <c r="AE64" i="1"/>
  <c r="AE25" i="1"/>
  <c r="AE185" i="1"/>
  <c r="AE344" i="1"/>
  <c r="AE312" i="1"/>
  <c r="AE47" i="1"/>
  <c r="AE302" i="1"/>
  <c r="AE216" i="1"/>
  <c r="AE202" i="1"/>
  <c r="AE101" i="1"/>
  <c r="AE360" i="1"/>
  <c r="AE35" i="1"/>
  <c r="AE131" i="1"/>
  <c r="AE242" i="1"/>
  <c r="AE40" i="1"/>
  <c r="AE234" i="1"/>
  <c r="AE138" i="1"/>
  <c r="AE198" i="1"/>
  <c r="AE253" i="1"/>
  <c r="AE321" i="1"/>
  <c r="AE144" i="1"/>
  <c r="AE80" i="1"/>
  <c r="AE346" i="1"/>
  <c r="AE155" i="1"/>
  <c r="AE181" i="1"/>
  <c r="AE78" i="1"/>
  <c r="AE271" i="1"/>
  <c r="AE20" i="1"/>
  <c r="AE77" i="1"/>
  <c r="AE204" i="1"/>
  <c r="AE109" i="1"/>
  <c r="AE59" i="1"/>
  <c r="AE209" i="1"/>
  <c r="AE354" i="1"/>
  <c r="AE282" i="1"/>
  <c r="AE331" i="1"/>
  <c r="AE81" i="1"/>
  <c r="AE201" i="1"/>
  <c r="AE283" i="1"/>
  <c r="AE266" i="1"/>
  <c r="AE311" i="1"/>
  <c r="AE171" i="1"/>
  <c r="AE246" i="1"/>
  <c r="AE119" i="1"/>
  <c r="AE291" i="1"/>
  <c r="AE166" i="1"/>
  <c r="AE37" i="1"/>
  <c r="AE325" i="1"/>
  <c r="AE30" i="1"/>
  <c r="AE60" i="1"/>
  <c r="AE350" i="1"/>
  <c r="AE299" i="1"/>
  <c r="AE93" i="1"/>
  <c r="AE179" i="1"/>
  <c r="AE284" i="1"/>
  <c r="AE18" i="1"/>
  <c r="AE26" i="1"/>
  <c r="AE39" i="1"/>
  <c r="AE54" i="1"/>
  <c r="AE28" i="1"/>
  <c r="AE87" i="1"/>
  <c r="AE128" i="1"/>
  <c r="AE167" i="1"/>
  <c r="AE296" i="1"/>
  <c r="AE347" i="1"/>
  <c r="AE44" i="1"/>
  <c r="AE172" i="1"/>
  <c r="AE230" i="1"/>
  <c r="AE338" i="1"/>
  <c r="AE375" i="1"/>
  <c r="AE36" i="1"/>
  <c r="AE88" i="1"/>
  <c r="AE116" i="1"/>
  <c r="AE146" i="1"/>
  <c r="AE177" i="1"/>
  <c r="AE250" i="1"/>
  <c r="AE295" i="1"/>
  <c r="AE332" i="1"/>
  <c r="AE368" i="1"/>
  <c r="AE32" i="1"/>
  <c r="AE102" i="1"/>
  <c r="AE133" i="1"/>
  <c r="AE218" i="1"/>
  <c r="AE307" i="1"/>
  <c r="AE94" i="1"/>
  <c r="AE178" i="1"/>
  <c r="AE241" i="1"/>
  <c r="AE357" i="1"/>
  <c r="AE372" i="1"/>
  <c r="AE52" i="1"/>
  <c r="AE98" i="1"/>
  <c r="AE121" i="1"/>
  <c r="AE154" i="1"/>
  <c r="AE188" i="1"/>
  <c r="AE236" i="1"/>
  <c r="AE288" i="1"/>
  <c r="AE324" i="1"/>
  <c r="AE364" i="1"/>
  <c r="AE226" i="1"/>
  <c r="AE277" i="1"/>
  <c r="AE308" i="1"/>
  <c r="AE351" i="1"/>
  <c r="AE376" i="1"/>
  <c r="AE62" i="1"/>
  <c r="AE120" i="1"/>
  <c r="AE158" i="1"/>
  <c r="AE294" i="1"/>
  <c r="AE329" i="1"/>
  <c r="AE150" i="1"/>
  <c r="AE207" i="1"/>
  <c r="AE278" i="1"/>
  <c r="AE377" i="1"/>
  <c r="AE31" i="1"/>
  <c r="AE86" i="1"/>
  <c r="AE111" i="1"/>
  <c r="AE139" i="1"/>
  <c r="AE168" i="1"/>
  <c r="AE210" i="1"/>
  <c r="AE270" i="1"/>
  <c r="AE306" i="1"/>
  <c r="AE339" i="1"/>
  <c r="AI298" i="1"/>
  <c r="AH298" i="1" s="1"/>
  <c r="AG298" i="1" s="1"/>
  <c r="AF298" i="1" s="1"/>
  <c r="AI267" i="1"/>
  <c r="AH267" i="1" s="1"/>
  <c r="AG267" i="1" s="1"/>
  <c r="AF267" i="1" s="1"/>
  <c r="AD267" i="1" s="1"/>
  <c r="AI200" i="1"/>
  <c r="AH200" i="1" s="1"/>
  <c r="AG200" i="1" s="1"/>
  <c r="AF200" i="1" s="1"/>
  <c r="AI371" i="1"/>
  <c r="AH371" i="1" s="1"/>
  <c r="AG371" i="1" s="1"/>
  <c r="AF371" i="1" s="1"/>
  <c r="AI299" i="1"/>
  <c r="AH299" i="1" s="1"/>
  <c r="AG299" i="1" s="1"/>
  <c r="AF299" i="1" s="1"/>
  <c r="AD299" i="1" s="1"/>
  <c r="AI106" i="1"/>
  <c r="AH106" i="1" s="1"/>
  <c r="AG106" i="1" s="1"/>
  <c r="AF106" i="1" s="1"/>
  <c r="AD106" i="1" s="1"/>
  <c r="AI122" i="1"/>
  <c r="AH122" i="1" s="1"/>
  <c r="AG122" i="1" s="1"/>
  <c r="AF122" i="1" s="1"/>
  <c r="AD122" i="1" s="1"/>
  <c r="AI84" i="1"/>
  <c r="AH84" i="1" s="1"/>
  <c r="AG84" i="1" s="1"/>
  <c r="AF84" i="1" s="1"/>
  <c r="AD84" i="1" s="1"/>
  <c r="AI124" i="1"/>
  <c r="AH124" i="1" s="1"/>
  <c r="AG124" i="1" s="1"/>
  <c r="AF124" i="1" s="1"/>
  <c r="AI329" i="1"/>
  <c r="AH329" i="1" s="1"/>
  <c r="AG329" i="1" s="1"/>
  <c r="AF329" i="1" s="1"/>
  <c r="AI252" i="1"/>
  <c r="AH252" i="1" s="1"/>
  <c r="AG252" i="1" s="1"/>
  <c r="AF252" i="1" s="1"/>
  <c r="AD252" i="1" s="1"/>
  <c r="AI230" i="1"/>
  <c r="AH230" i="1" s="1"/>
  <c r="AG230" i="1" s="1"/>
  <c r="AF230" i="1" s="1"/>
  <c r="AI338" i="1"/>
  <c r="AH338" i="1" s="1"/>
  <c r="AG338" i="1" s="1"/>
  <c r="AF338" i="1" s="1"/>
  <c r="AI353" i="1"/>
  <c r="AH353" i="1" s="1"/>
  <c r="AG353" i="1" s="1"/>
  <c r="AF353" i="1" s="1"/>
  <c r="AD353" i="1" s="1"/>
  <c r="AI229" i="1"/>
  <c r="AH229" i="1" s="1"/>
  <c r="AG229" i="1" s="1"/>
  <c r="AF229" i="1" s="1"/>
  <c r="AI94" i="1"/>
  <c r="AH94" i="1" s="1"/>
  <c r="AG94" i="1" s="1"/>
  <c r="AF94" i="1" s="1"/>
  <c r="AD94" i="1" s="1"/>
  <c r="AI357" i="1"/>
  <c r="AH357" i="1" s="1"/>
  <c r="AG357" i="1" s="1"/>
  <c r="AF357" i="1" s="1"/>
  <c r="AD357" i="1" s="1"/>
  <c r="AI323" i="1"/>
  <c r="AH323" i="1" s="1"/>
  <c r="AG323" i="1" s="1"/>
  <c r="AF323" i="1" s="1"/>
  <c r="AD323" i="1" s="1"/>
  <c r="AI133" i="1"/>
  <c r="AH133" i="1" s="1"/>
  <c r="AG133" i="1" s="1"/>
  <c r="AF133" i="1" s="1"/>
  <c r="AD133" i="1" s="1"/>
  <c r="AI215" i="1"/>
  <c r="AH215" i="1" s="1"/>
  <c r="AG215" i="1" s="1"/>
  <c r="AF215" i="1" s="1"/>
  <c r="AI211" i="1"/>
  <c r="AH211" i="1" s="1"/>
  <c r="AG211" i="1" s="1"/>
  <c r="AF211" i="1" s="1"/>
  <c r="AD211" i="1" s="1"/>
  <c r="AI170" i="1"/>
  <c r="AH170" i="1" s="1"/>
  <c r="AG170" i="1" s="1"/>
  <c r="AF170" i="1" s="1"/>
  <c r="AD170" i="1" s="1"/>
  <c r="AI168" i="1"/>
  <c r="AH168" i="1" s="1"/>
  <c r="AG168" i="1" s="1"/>
  <c r="AF168" i="1" s="1"/>
  <c r="AI93" i="1"/>
  <c r="AH93" i="1" s="1"/>
  <c r="AG93" i="1" s="1"/>
  <c r="AF93" i="1" s="1"/>
  <c r="AD93" i="1" s="1"/>
  <c r="AI26" i="1"/>
  <c r="AH26" i="1" s="1"/>
  <c r="AG26" i="1" s="1"/>
  <c r="AF26" i="1" s="1"/>
  <c r="AI115" i="1"/>
  <c r="AH115" i="1" s="1"/>
  <c r="AG115" i="1" s="1"/>
  <c r="AF115" i="1" s="1"/>
  <c r="AD115" i="1" s="1"/>
  <c r="AI32" i="1"/>
  <c r="AH32" i="1" s="1"/>
  <c r="AG32" i="1" s="1"/>
  <c r="AF32" i="1" s="1"/>
  <c r="AD32" i="1" s="1"/>
  <c r="AI29" i="1"/>
  <c r="AH29" i="1" s="1"/>
  <c r="AG29" i="1" s="1"/>
  <c r="AF29" i="1" s="1"/>
  <c r="AI269" i="1"/>
  <c r="AH269" i="1" s="1"/>
  <c r="AG269" i="1" s="1"/>
  <c r="AF269" i="1" s="1"/>
  <c r="AD269" i="1" s="1"/>
  <c r="AI324" i="1"/>
  <c r="AH324" i="1" s="1"/>
  <c r="AG324" i="1" s="1"/>
  <c r="AF324" i="1" s="1"/>
  <c r="AD324" i="1" s="1"/>
  <c r="AI86" i="1"/>
  <c r="AH86" i="1" s="1"/>
  <c r="AG86" i="1" s="1"/>
  <c r="AF86" i="1" s="1"/>
  <c r="AD86" i="1" s="1"/>
  <c r="AI263" i="1"/>
  <c r="AH263" i="1" s="1"/>
  <c r="AG263" i="1" s="1"/>
  <c r="AF263" i="1" s="1"/>
  <c r="AI235" i="1"/>
  <c r="AH235" i="1" s="1"/>
  <c r="AG235" i="1" s="1"/>
  <c r="AF235" i="1" s="1"/>
  <c r="AI343" i="1"/>
  <c r="AH343" i="1" s="1"/>
  <c r="AG343" i="1" s="1"/>
  <c r="AF343" i="1" s="1"/>
  <c r="AI131" i="1"/>
  <c r="AH131" i="1" s="1"/>
  <c r="AG131" i="1" s="1"/>
  <c r="AF131" i="1" s="1"/>
  <c r="AI59" i="1"/>
  <c r="AH59" i="1" s="1"/>
  <c r="AG59" i="1" s="1"/>
  <c r="AF59" i="1" s="1"/>
  <c r="AI348" i="1"/>
  <c r="AH348" i="1" s="1"/>
  <c r="AG348" i="1" s="1"/>
  <c r="AF348" i="1" s="1"/>
  <c r="AD348" i="1" s="1"/>
  <c r="AI265" i="1"/>
  <c r="AH265" i="1" s="1"/>
  <c r="AG265" i="1" s="1"/>
  <c r="AF265" i="1" s="1"/>
  <c r="AI126" i="1"/>
  <c r="AH126" i="1" s="1"/>
  <c r="AG126" i="1" s="1"/>
  <c r="AF126" i="1" s="1"/>
  <c r="AD126" i="1" s="1"/>
  <c r="AI205" i="1"/>
  <c r="AH205" i="1" s="1"/>
  <c r="AG205" i="1" s="1"/>
  <c r="AF205" i="1" s="1"/>
  <c r="AI48" i="1"/>
  <c r="AH48" i="1" s="1"/>
  <c r="AG48" i="1" s="1"/>
  <c r="AF48" i="1" s="1"/>
  <c r="AD48" i="1" s="1"/>
  <c r="AI242" i="1"/>
  <c r="AH242" i="1" s="1"/>
  <c r="AG242" i="1" s="1"/>
  <c r="AF242" i="1" s="1"/>
  <c r="AI91" i="1"/>
  <c r="AH91" i="1" s="1"/>
  <c r="AG91" i="1" s="1"/>
  <c r="AF91" i="1" s="1"/>
  <c r="AI76" i="1"/>
  <c r="AH76" i="1" s="1"/>
  <c r="AG76" i="1" s="1"/>
  <c r="AF76" i="1" s="1"/>
  <c r="AI100" i="1"/>
  <c r="AH100" i="1" s="1"/>
  <c r="AG100" i="1" s="1"/>
  <c r="AF100" i="1" s="1"/>
  <c r="AD100" i="1" s="1"/>
  <c r="AI278" i="1"/>
  <c r="AH278" i="1" s="1"/>
  <c r="AG278" i="1" s="1"/>
  <c r="AF278" i="1" s="1"/>
  <c r="AD278" i="1" s="1"/>
  <c r="AI35" i="1"/>
  <c r="AH35" i="1" s="1"/>
  <c r="AG35" i="1" s="1"/>
  <c r="AF35" i="1" s="1"/>
  <c r="AD35" i="1" s="1"/>
  <c r="AI256" i="1"/>
  <c r="AH256" i="1" s="1"/>
  <c r="AG256" i="1" s="1"/>
  <c r="AF256" i="1" s="1"/>
  <c r="AI162" i="1"/>
  <c r="AH162" i="1" s="1"/>
  <c r="AG162" i="1" s="1"/>
  <c r="AF162" i="1" s="1"/>
  <c r="AI166" i="1"/>
  <c r="AH166" i="1" s="1"/>
  <c r="AG166" i="1" s="1"/>
  <c r="AF166" i="1" s="1"/>
  <c r="AI239" i="1"/>
  <c r="AH239" i="1" s="1"/>
  <c r="AG239" i="1" s="1"/>
  <c r="AF239" i="1" s="1"/>
  <c r="AI77" i="1"/>
  <c r="AH77" i="1" s="1"/>
  <c r="AG77" i="1" s="1"/>
  <c r="AF77" i="1" s="1"/>
  <c r="AD77" i="1" s="1"/>
  <c r="AI342" i="1"/>
  <c r="AH342" i="1" s="1"/>
  <c r="AG342" i="1" s="1"/>
  <c r="AF342" i="1" s="1"/>
  <c r="AI62" i="1"/>
  <c r="AH62" i="1" s="1"/>
  <c r="AG62" i="1" s="1"/>
  <c r="AF62" i="1" s="1"/>
  <c r="AI152" i="1"/>
  <c r="AH152" i="1" s="1"/>
  <c r="AI332" i="1"/>
  <c r="AH332" i="1" s="1"/>
  <c r="AG332" i="1" s="1"/>
  <c r="AF332" i="1" s="1"/>
  <c r="AI349" i="1"/>
  <c r="AH349" i="1" s="1"/>
  <c r="AG349" i="1" s="1"/>
  <c r="AF349" i="1" s="1"/>
  <c r="AD349" i="1" s="1"/>
  <c r="AI316" i="1"/>
  <c r="AH316" i="1" s="1"/>
  <c r="AG316" i="1" s="1"/>
  <c r="AF316" i="1" s="1"/>
  <c r="AI240" i="1"/>
  <c r="AH240" i="1" s="1"/>
  <c r="AG240" i="1" s="1"/>
  <c r="AF240" i="1" s="1"/>
  <c r="AD240" i="1" s="1"/>
  <c r="E16" i="7"/>
  <c r="AI41" i="1"/>
  <c r="AH41" i="1" s="1"/>
  <c r="AG41" i="1" s="1"/>
  <c r="AF41" i="1" s="1"/>
  <c r="AD41" i="1" s="1"/>
  <c r="AI201" i="1"/>
  <c r="AH201" i="1" s="1"/>
  <c r="AG201" i="1" s="1"/>
  <c r="AF201" i="1" s="1"/>
  <c r="BS16" i="7"/>
  <c r="AI108" i="1"/>
  <c r="AH108" i="1" s="1"/>
  <c r="AG108" i="1" s="1"/>
  <c r="AF108" i="1" s="1"/>
  <c r="AI270" i="1"/>
  <c r="AH270" i="1" s="1"/>
  <c r="AG270" i="1" s="1"/>
  <c r="AF270" i="1" s="1"/>
  <c r="AI318" i="1"/>
  <c r="AH318" i="1" s="1"/>
  <c r="AG318" i="1" s="1"/>
  <c r="AF318" i="1" s="1"/>
  <c r="AD318" i="1" s="1"/>
  <c r="AI283" i="1"/>
  <c r="AH283" i="1" s="1"/>
  <c r="AG283" i="1" s="1"/>
  <c r="AF283" i="1" s="1"/>
  <c r="AI231" i="1"/>
  <c r="AH231" i="1" s="1"/>
  <c r="AG231" i="1" s="1"/>
  <c r="AF231" i="1" s="1"/>
  <c r="AI315" i="1"/>
  <c r="AH315" i="1" s="1"/>
  <c r="AG315" i="1" s="1"/>
  <c r="AF315" i="1" s="1"/>
  <c r="AI177" i="1"/>
  <c r="AH177" i="1" s="1"/>
  <c r="AG177" i="1" s="1"/>
  <c r="AF177" i="1" s="1"/>
  <c r="AD177" i="1" s="1"/>
  <c r="AI227" i="1"/>
  <c r="AH227" i="1" s="1"/>
  <c r="AG227" i="1" s="1"/>
  <c r="AF227" i="1" s="1"/>
  <c r="AD227" i="1" s="1"/>
  <c r="AI103" i="1"/>
  <c r="AH103" i="1" s="1"/>
  <c r="AG103" i="1" s="1"/>
  <c r="AF103" i="1" s="1"/>
  <c r="AD103" i="1" s="1"/>
  <c r="AI142" i="1"/>
  <c r="AH142" i="1" s="1"/>
  <c r="AG142" i="1" s="1"/>
  <c r="AF142" i="1" s="1"/>
  <c r="AD142" i="1" s="1"/>
  <c r="AI157" i="1"/>
  <c r="AH157" i="1" s="1"/>
  <c r="AG157" i="1" s="1"/>
  <c r="AF157" i="1" s="1"/>
  <c r="AD157" i="1" s="1"/>
  <c r="AI85" i="1"/>
  <c r="AH85" i="1" s="1"/>
  <c r="AG85" i="1" s="1"/>
  <c r="AF85" i="1" s="1"/>
  <c r="AI23" i="1"/>
  <c r="AH23" i="1" s="1"/>
  <c r="AG23" i="1" s="1"/>
  <c r="AF23" i="1" s="1"/>
  <c r="AI277" i="1"/>
  <c r="AH277" i="1" s="1"/>
  <c r="AG277" i="1" s="1"/>
  <c r="AF277" i="1" s="1"/>
  <c r="AD277" i="1" s="1"/>
  <c r="AI141" i="1"/>
  <c r="AH141" i="1" s="1"/>
  <c r="AG141" i="1" s="1"/>
  <c r="AF141" i="1" s="1"/>
  <c r="AI327" i="1"/>
  <c r="AH327" i="1" s="1"/>
  <c r="AG327" i="1" s="1"/>
  <c r="AF327" i="1" s="1"/>
  <c r="AD327" i="1" s="1"/>
  <c r="AI173" i="1"/>
  <c r="AH173" i="1" s="1"/>
  <c r="AG173" i="1" s="1"/>
  <c r="AF173" i="1" s="1"/>
  <c r="AI271" i="1"/>
  <c r="AH271" i="1" s="1"/>
  <c r="AG271" i="1" s="1"/>
  <c r="AF271" i="1" s="1"/>
  <c r="AI361" i="1"/>
  <c r="AH361" i="1" s="1"/>
  <c r="AG361" i="1" s="1"/>
  <c r="AF361" i="1" s="1"/>
  <c r="AD361" i="1" s="1"/>
  <c r="AI118" i="1"/>
  <c r="AH118" i="1" s="1"/>
  <c r="AG118" i="1" s="1"/>
  <c r="AF118" i="1" s="1"/>
  <c r="AD118" i="1" s="1"/>
  <c r="AI337" i="1"/>
  <c r="AH337" i="1" s="1"/>
  <c r="AG337" i="1" s="1"/>
  <c r="AF337" i="1" s="1"/>
  <c r="AD337" i="1" s="1"/>
  <c r="AI75" i="1"/>
  <c r="AH75" i="1" s="1"/>
  <c r="AG75" i="1" s="1"/>
  <c r="AF75" i="1" s="1"/>
  <c r="AD75" i="1" s="1"/>
  <c r="AI268" i="1"/>
  <c r="AH268" i="1" s="1"/>
  <c r="AG268" i="1" s="1"/>
  <c r="AF268" i="1" s="1"/>
  <c r="AI181" i="1"/>
  <c r="AH181" i="1" s="1"/>
  <c r="AG181" i="1" s="1"/>
  <c r="AF181" i="1" s="1"/>
  <c r="AI363" i="1"/>
  <c r="AH363" i="1" s="1"/>
  <c r="AG363" i="1" s="1"/>
  <c r="AF363" i="1" s="1"/>
  <c r="AD363" i="1" s="1"/>
  <c r="AI80" i="1"/>
  <c r="AH80" i="1" s="1"/>
  <c r="AG80" i="1" s="1"/>
  <c r="AF80" i="1" s="1"/>
  <c r="AD80" i="1" s="1"/>
  <c r="AI292" i="1"/>
  <c r="AH292" i="1" s="1"/>
  <c r="AG292" i="1" s="1"/>
  <c r="AF292" i="1" s="1"/>
  <c r="AI288" i="1"/>
  <c r="AH288" i="1" s="1"/>
  <c r="AG288" i="1" s="1"/>
  <c r="AF288" i="1" s="1"/>
  <c r="AD288" i="1" s="1"/>
  <c r="AI339" i="1"/>
  <c r="AH339" i="1" s="1"/>
  <c r="AG339" i="1" s="1"/>
  <c r="AF339" i="1" s="1"/>
  <c r="AD339" i="1" s="1"/>
  <c r="AI82" i="1"/>
  <c r="AH82" i="1" s="1"/>
  <c r="AG82" i="1" s="1"/>
  <c r="AF82" i="1" s="1"/>
  <c r="AI222" i="1"/>
  <c r="AH222" i="1" s="1"/>
  <c r="AG222" i="1" s="1"/>
  <c r="AF222" i="1" s="1"/>
  <c r="AI45" i="1"/>
  <c r="AH45" i="1" s="1"/>
  <c r="AG45" i="1" s="1"/>
  <c r="AF45" i="1" s="1"/>
  <c r="AD45" i="1" s="1"/>
  <c r="AI179" i="1"/>
  <c r="AH179" i="1" s="1"/>
  <c r="AG179" i="1" s="1"/>
  <c r="AF179" i="1" s="1"/>
  <c r="AI165" i="1"/>
  <c r="AH165" i="1" s="1"/>
  <c r="AG165" i="1" s="1"/>
  <c r="AF165" i="1" s="1"/>
  <c r="AD165" i="1" s="1"/>
  <c r="AI204" i="1"/>
  <c r="AH204" i="1" s="1"/>
  <c r="AG204" i="1" s="1"/>
  <c r="AF204" i="1" s="1"/>
  <c r="AI255" i="1"/>
  <c r="AH255" i="1" s="1"/>
  <c r="AG255" i="1" s="1"/>
  <c r="AF255" i="1" s="1"/>
  <c r="AD255" i="1" s="1"/>
  <c r="AI121" i="1"/>
  <c r="AH121" i="1" s="1"/>
  <c r="AG121" i="1" s="1"/>
  <c r="AF121" i="1" s="1"/>
  <c r="AI300" i="1"/>
  <c r="AH300" i="1" s="1"/>
  <c r="AG300" i="1" s="1"/>
  <c r="AF300" i="1" s="1"/>
  <c r="AD300" i="1" s="1"/>
  <c r="AI153" i="1"/>
  <c r="AH153" i="1" s="1"/>
  <c r="AG153" i="1" s="1"/>
  <c r="AF153" i="1" s="1"/>
  <c r="AD153" i="1" s="1"/>
  <c r="AI104" i="1"/>
  <c r="AH104" i="1" s="1"/>
  <c r="AG104" i="1" s="1"/>
  <c r="AF104" i="1" s="1"/>
  <c r="AD104" i="1" s="1"/>
  <c r="AI236" i="1"/>
  <c r="AH236" i="1" s="1"/>
  <c r="AG236" i="1" s="1"/>
  <c r="AF236" i="1" s="1"/>
  <c r="AD236" i="1" s="1"/>
  <c r="AI251" i="1"/>
  <c r="AH251" i="1" s="1"/>
  <c r="AG251" i="1" s="1"/>
  <c r="AF251" i="1" s="1"/>
  <c r="AD251" i="1" s="1"/>
  <c r="AI220" i="1"/>
  <c r="AH220" i="1" s="1"/>
  <c r="AG220" i="1" s="1"/>
  <c r="AF220" i="1" s="1"/>
  <c r="AD220" i="1" s="1"/>
  <c r="AI212" i="1"/>
  <c r="AH212" i="1" s="1"/>
  <c r="AG212" i="1" s="1"/>
  <c r="AF212" i="1" s="1"/>
  <c r="AD212" i="1" s="1"/>
  <c r="AI167" i="1"/>
  <c r="AH167" i="1" s="1"/>
  <c r="AG167" i="1" s="1"/>
  <c r="AF167" i="1" s="1"/>
  <c r="AD167" i="1" s="1"/>
  <c r="AI109" i="1"/>
  <c r="AH109" i="1" s="1"/>
  <c r="AG109" i="1" s="1"/>
  <c r="AF109" i="1" s="1"/>
  <c r="AI259" i="1"/>
  <c r="AH259" i="1" s="1"/>
  <c r="AG259" i="1" s="1"/>
  <c r="AF259" i="1" s="1"/>
  <c r="AD259" i="1" s="1"/>
  <c r="BM16" i="7"/>
  <c r="AI58" i="1"/>
  <c r="AH58" i="1" s="1"/>
  <c r="AG58" i="1" s="1"/>
  <c r="AF58" i="1" s="1"/>
  <c r="AD58" i="1" s="1"/>
  <c r="AI232" i="1"/>
  <c r="AH232" i="1" s="1"/>
  <c r="AG232" i="1" s="1"/>
  <c r="AF232" i="1" s="1"/>
  <c r="AI234" i="1"/>
  <c r="AH234" i="1" s="1"/>
  <c r="AG234" i="1" s="1"/>
  <c r="AF234" i="1" s="1"/>
  <c r="AI89" i="1"/>
  <c r="AH89" i="1" s="1"/>
  <c r="AG89" i="1" s="1"/>
  <c r="AF89" i="1" s="1"/>
  <c r="AI185" i="1"/>
  <c r="AH185" i="1" s="1"/>
  <c r="AG185" i="1" s="1"/>
  <c r="AF185" i="1" s="1"/>
  <c r="AD185" i="1" s="1"/>
  <c r="AI248" i="1"/>
  <c r="AH248" i="1" s="1"/>
  <c r="AG248" i="1" s="1"/>
  <c r="AF248" i="1" s="1"/>
  <c r="AI225" i="1"/>
  <c r="AH225" i="1" s="1"/>
  <c r="AG225" i="1" s="1"/>
  <c r="AF225" i="1" s="1"/>
  <c r="AI68" i="1"/>
  <c r="AH68" i="1" s="1"/>
  <c r="AG68" i="1" s="1"/>
  <c r="AF68" i="1" s="1"/>
  <c r="AD68" i="1" s="1"/>
  <c r="AI111" i="1"/>
  <c r="AH111" i="1" s="1"/>
  <c r="AG111" i="1" s="1"/>
  <c r="AF111" i="1" s="1"/>
  <c r="AD111" i="1" s="1"/>
  <c r="AI320" i="1"/>
  <c r="AH320" i="1" s="1"/>
  <c r="AG320" i="1" s="1"/>
  <c r="AF320" i="1" s="1"/>
  <c r="AD320" i="1" s="1"/>
  <c r="AI362" i="1"/>
  <c r="AH362" i="1" s="1"/>
  <c r="AI147" i="1"/>
  <c r="AH147" i="1" s="1"/>
  <c r="AG147" i="1" s="1"/>
  <c r="AF147" i="1" s="1"/>
  <c r="AD147" i="1" s="1"/>
  <c r="AI345" i="1"/>
  <c r="AH345" i="1" s="1"/>
  <c r="AG345" i="1" s="1"/>
  <c r="AF345" i="1" s="1"/>
  <c r="AD345" i="1" s="1"/>
  <c r="AI127" i="1"/>
  <c r="AH127" i="1" s="1"/>
  <c r="AI295" i="1"/>
  <c r="AH295" i="1" s="1"/>
  <c r="AI375" i="1"/>
  <c r="AH375" i="1" s="1"/>
  <c r="AI296" i="1"/>
  <c r="AH296" i="1" s="1"/>
  <c r="AI78" i="1"/>
  <c r="AH78" i="1" s="1"/>
  <c r="AI190" i="1"/>
  <c r="AH190" i="1" s="1"/>
  <c r="AI319" i="1"/>
  <c r="AH319" i="1" s="1"/>
  <c r="AI210" i="1"/>
  <c r="AH210" i="1" s="1"/>
  <c r="AI358" i="1"/>
  <c r="AH358" i="1" s="1"/>
  <c r="AI169" i="1"/>
  <c r="AH169" i="1" s="1"/>
  <c r="AI97" i="1"/>
  <c r="AH97" i="1" s="1"/>
  <c r="AI38" i="1"/>
  <c r="AH38" i="1" s="1"/>
  <c r="AI67" i="1"/>
  <c r="AH67" i="1" s="1"/>
  <c r="AI306" i="1"/>
  <c r="AH306" i="1" s="1"/>
  <c r="AI134" i="1"/>
  <c r="AH134" i="1" s="1"/>
  <c r="AI254" i="1"/>
  <c r="AH254" i="1" s="1"/>
  <c r="AI136" i="1"/>
  <c r="AH136" i="1" s="1"/>
  <c r="AI92" i="1"/>
  <c r="AH92" i="1" s="1"/>
  <c r="AI176" i="1"/>
  <c r="AH176" i="1" s="1"/>
  <c r="AG176" i="1" s="1"/>
  <c r="AF176" i="1" s="1"/>
  <c r="AD176" i="1" s="1"/>
  <c r="AI191" i="1"/>
  <c r="AH191" i="1" s="1"/>
  <c r="AI69" i="1"/>
  <c r="AH69" i="1" s="1"/>
  <c r="AG69" i="1" s="1"/>
  <c r="AF69" i="1" s="1"/>
  <c r="AD69" i="1" s="1"/>
  <c r="AI51" i="1"/>
  <c r="AH51" i="1" s="1"/>
  <c r="AG51" i="1" s="1"/>
  <c r="AF51" i="1" s="1"/>
  <c r="AI66" i="1"/>
  <c r="AH66" i="1" s="1"/>
  <c r="AG66" i="1" s="1"/>
  <c r="AF66" i="1" s="1"/>
  <c r="AD66" i="1" s="1"/>
  <c r="AI302" i="1"/>
  <c r="AH302" i="1" s="1"/>
  <c r="AG302" i="1" s="1"/>
  <c r="AF302" i="1" s="1"/>
  <c r="AD302" i="1" s="1"/>
  <c r="AI119" i="1"/>
  <c r="AH119" i="1" s="1"/>
  <c r="AG119" i="1" s="1"/>
  <c r="AF119" i="1" s="1"/>
  <c r="AD119" i="1" s="1"/>
  <c r="AI198" i="1"/>
  <c r="AH198" i="1" s="1"/>
  <c r="AG198" i="1" s="1"/>
  <c r="AF198" i="1" s="1"/>
  <c r="AI293" i="1"/>
  <c r="AH293" i="1" s="1"/>
  <c r="AG293" i="1" s="1"/>
  <c r="AF293" i="1" s="1"/>
  <c r="AI213" i="1"/>
  <c r="AH213" i="1" s="1"/>
  <c r="AG213" i="1" s="1"/>
  <c r="AF213" i="1" s="1"/>
  <c r="AD213" i="1" s="1"/>
  <c r="AI224" i="1"/>
  <c r="AH224" i="1" s="1"/>
  <c r="AG224" i="1" s="1"/>
  <c r="AF224" i="1" s="1"/>
  <c r="AD224" i="1" s="1"/>
  <c r="AI355" i="1"/>
  <c r="AH355" i="1" s="1"/>
  <c r="AG355" i="1" s="1"/>
  <c r="AF355" i="1" s="1"/>
  <c r="AI311" i="1"/>
  <c r="AH311" i="1" s="1"/>
  <c r="AG311" i="1" s="1"/>
  <c r="AF311" i="1" s="1"/>
  <c r="AI148" i="1"/>
  <c r="AH148" i="1" s="1"/>
  <c r="AG148" i="1" s="1"/>
  <c r="AF148" i="1" s="1"/>
  <c r="AD148" i="1" s="1"/>
  <c r="AI351" i="1"/>
  <c r="AH351" i="1" s="1"/>
  <c r="AG351" i="1" s="1"/>
  <c r="AF351" i="1" s="1"/>
  <c r="AD351" i="1" s="1"/>
  <c r="AI151" i="1"/>
  <c r="AH151" i="1" s="1"/>
  <c r="AG151" i="1" s="1"/>
  <c r="AF151" i="1" s="1"/>
  <c r="AI317" i="1"/>
  <c r="AH317" i="1" s="1"/>
  <c r="AG317" i="1" s="1"/>
  <c r="AF317" i="1" s="1"/>
  <c r="AI138" i="1"/>
  <c r="AH138" i="1" s="1"/>
  <c r="AG138" i="1" s="1"/>
  <c r="AF138" i="1" s="1"/>
  <c r="AD138" i="1" s="1"/>
  <c r="AI354" i="1"/>
  <c r="AH354" i="1" s="1"/>
  <c r="AG354" i="1" s="1"/>
  <c r="AF354" i="1" s="1"/>
  <c r="AD354" i="1" s="1"/>
  <c r="AI139" i="1"/>
  <c r="AH139" i="1" s="1"/>
  <c r="AG139" i="1" s="1"/>
  <c r="AF139" i="1" s="1"/>
  <c r="AI272" i="1"/>
  <c r="AH272" i="1" s="1"/>
  <c r="AG272" i="1" s="1"/>
  <c r="AF272" i="1" s="1"/>
  <c r="AD272" i="1" s="1"/>
  <c r="AI321" i="1"/>
  <c r="AH321" i="1" s="1"/>
  <c r="AG321" i="1" s="1"/>
  <c r="AF321" i="1" s="1"/>
  <c r="AI117" i="1"/>
  <c r="AH117" i="1" s="1"/>
  <c r="AG117" i="1" s="1"/>
  <c r="AF117" i="1" s="1"/>
  <c r="AI284" i="1"/>
  <c r="AH284" i="1" s="1"/>
  <c r="AG284" i="1" s="1"/>
  <c r="AF284" i="1" s="1"/>
  <c r="AD284" i="1" s="1"/>
  <c r="AI143" i="1"/>
  <c r="AH143" i="1" s="1"/>
  <c r="AG143" i="1" s="1"/>
  <c r="AF143" i="1" s="1"/>
  <c r="AD143" i="1" s="1"/>
  <c r="AI37" i="1"/>
  <c r="AH37" i="1" s="1"/>
  <c r="AG37" i="1" s="1"/>
  <c r="AF37" i="1" s="1"/>
  <c r="AD37" i="1" s="1"/>
  <c r="AI346" i="1"/>
  <c r="AH346" i="1" s="1"/>
  <c r="AG346" i="1" s="1"/>
  <c r="AF346" i="1" s="1"/>
  <c r="AI74" i="1"/>
  <c r="AH74" i="1" s="1"/>
  <c r="AG74" i="1" s="1"/>
  <c r="AF74" i="1" s="1"/>
  <c r="AD74" i="1" s="1"/>
  <c r="AI370" i="1"/>
  <c r="AH370" i="1" s="1"/>
  <c r="AG370" i="1" s="1"/>
  <c r="AF370" i="1" s="1"/>
  <c r="AD370" i="1" s="1"/>
  <c r="AI83" i="1"/>
  <c r="AH83" i="1" s="1"/>
  <c r="AG83" i="1" s="1"/>
  <c r="AF83" i="1" s="1"/>
  <c r="AD83" i="1" s="1"/>
  <c r="AI39" i="1"/>
  <c r="AH39" i="1" s="1"/>
  <c r="AG39" i="1" s="1"/>
  <c r="AF39" i="1" s="1"/>
  <c r="AD39" i="1" s="1"/>
  <c r="AI330" i="1"/>
  <c r="AH330" i="1" s="1"/>
  <c r="AG330" i="1" s="1"/>
  <c r="AF330" i="1" s="1"/>
  <c r="AD330" i="1" s="1"/>
  <c r="AI27" i="1"/>
  <c r="AH27" i="1" s="1"/>
  <c r="AG27" i="1" s="1"/>
  <c r="AF27" i="1" s="1"/>
  <c r="AI214" i="1"/>
  <c r="AH214" i="1" s="1"/>
  <c r="AG214" i="1" s="1"/>
  <c r="AF214" i="1" s="1"/>
  <c r="AD214" i="1" s="1"/>
  <c r="AI276" i="1"/>
  <c r="AH276" i="1" s="1"/>
  <c r="AG276" i="1" s="1"/>
  <c r="AF276" i="1" s="1"/>
  <c r="AI199" i="1"/>
  <c r="AH199" i="1" s="1"/>
  <c r="AG199" i="1" s="1"/>
  <c r="AF199" i="1" s="1"/>
  <c r="AD199" i="1" s="1"/>
  <c r="AI52" i="1"/>
  <c r="AH52" i="1" s="1"/>
  <c r="AG52" i="1" s="1"/>
  <c r="AF52" i="1" s="1"/>
  <c r="AD52" i="1" s="1"/>
  <c r="AI116" i="1"/>
  <c r="AH116" i="1" s="1"/>
  <c r="AG116" i="1" s="1"/>
  <c r="AF116" i="1" s="1"/>
  <c r="AD116" i="1" s="1"/>
  <c r="AI359" i="1"/>
  <c r="AH359" i="1" s="1"/>
  <c r="AG359" i="1" s="1"/>
  <c r="AF359" i="1" s="1"/>
  <c r="AI57" i="1"/>
  <c r="AH57" i="1" s="1"/>
  <c r="AG57" i="1" s="1"/>
  <c r="AF57" i="1" s="1"/>
  <c r="AI331" i="1"/>
  <c r="AH331" i="1" s="1"/>
  <c r="AG331" i="1" s="1"/>
  <c r="AF331" i="1" s="1"/>
  <c r="AD331" i="1" s="1"/>
  <c r="AI368" i="1"/>
  <c r="AH368" i="1" s="1"/>
  <c r="AG368" i="1" s="1"/>
  <c r="AF368" i="1" s="1"/>
  <c r="AD368" i="1" s="1"/>
  <c r="AI73" i="1"/>
  <c r="AH73" i="1" s="1"/>
  <c r="AG73" i="1" s="1"/>
  <c r="AF73" i="1" s="1"/>
  <c r="AD73" i="1" s="1"/>
  <c r="AI195" i="1"/>
  <c r="AH195" i="1" s="1"/>
  <c r="AG195" i="1" s="1"/>
  <c r="AF195" i="1" s="1"/>
  <c r="AD195" i="1" s="1"/>
  <c r="AI241" i="1"/>
  <c r="AH241" i="1" s="1"/>
  <c r="AG241" i="1" s="1"/>
  <c r="AF241" i="1" s="1"/>
  <c r="AI340" i="1"/>
  <c r="AH340" i="1" s="1"/>
  <c r="AG340" i="1" s="1"/>
  <c r="AF340" i="1" s="1"/>
  <c r="AD340" i="1" s="1"/>
  <c r="AI56" i="1"/>
  <c r="AH56" i="1" s="1"/>
  <c r="AG56" i="1" s="1"/>
  <c r="AF56" i="1" s="1"/>
  <c r="AD56" i="1" s="1"/>
  <c r="AI163" i="1"/>
  <c r="AH163" i="1" s="1"/>
  <c r="AG163" i="1" s="1"/>
  <c r="AF163" i="1" s="1"/>
  <c r="AD163" i="1" s="1"/>
  <c r="AI180" i="1"/>
  <c r="AH180" i="1" s="1"/>
  <c r="AG180" i="1" s="1"/>
  <c r="AF180" i="1" s="1"/>
  <c r="AI258" i="1"/>
  <c r="AH258" i="1" s="1"/>
  <c r="AG258" i="1" s="1"/>
  <c r="AF258" i="1" s="1"/>
  <c r="AD258" i="1" s="1"/>
  <c r="AI275" i="1"/>
  <c r="AH275" i="1" s="1"/>
  <c r="AG275" i="1" s="1"/>
  <c r="AF275" i="1" s="1"/>
  <c r="AD275" i="1" s="1"/>
  <c r="AI182" i="1"/>
  <c r="AH182" i="1" s="1"/>
  <c r="AG182" i="1" s="1"/>
  <c r="AF182" i="1" s="1"/>
  <c r="AI206" i="1"/>
  <c r="AH206" i="1" s="1"/>
  <c r="AG206" i="1" s="1"/>
  <c r="AF206" i="1" s="1"/>
  <c r="AD206" i="1" s="1"/>
  <c r="AI88" i="1"/>
  <c r="AH88" i="1" s="1"/>
  <c r="AG88" i="1" s="1"/>
  <c r="AF88" i="1" s="1"/>
  <c r="AI144" i="1"/>
  <c r="AH144" i="1" s="1"/>
  <c r="AG144" i="1" s="1"/>
  <c r="AF144" i="1" s="1"/>
  <c r="AI150" i="1"/>
  <c r="AH150" i="1" s="1"/>
  <c r="AG150" i="1" s="1"/>
  <c r="AF150" i="1" s="1"/>
  <c r="AD150" i="1" s="1"/>
  <c r="AI145" i="1"/>
  <c r="AH145" i="1" s="1"/>
  <c r="AG145" i="1" s="1"/>
  <c r="AF145" i="1" s="1"/>
  <c r="AD145" i="1" s="1"/>
  <c r="AI217" i="1"/>
  <c r="AH217" i="1" s="1"/>
  <c r="AG217" i="1" s="1"/>
  <c r="AF217" i="1" s="1"/>
  <c r="AD217" i="1" s="1"/>
  <c r="AI373" i="1"/>
  <c r="AH373" i="1" s="1"/>
  <c r="AG373" i="1" s="1"/>
  <c r="AF373" i="1" s="1"/>
  <c r="AD373" i="1" s="1"/>
  <c r="AI326" i="1"/>
  <c r="AH326" i="1" s="1"/>
  <c r="AG326" i="1" s="1"/>
  <c r="AF326" i="1" s="1"/>
  <c r="AI286" i="1"/>
  <c r="AH286" i="1" s="1"/>
  <c r="AG286" i="1" s="1"/>
  <c r="AF286" i="1" s="1"/>
  <c r="AD286" i="1" s="1"/>
  <c r="AI282" i="1"/>
  <c r="AH282" i="1" s="1"/>
  <c r="AG282" i="1" s="1"/>
  <c r="AF282" i="1" s="1"/>
  <c r="AD282" i="1" s="1"/>
  <c r="AI130" i="1"/>
  <c r="AH130" i="1" s="1"/>
  <c r="AG130" i="1" s="1"/>
  <c r="AF130" i="1" s="1"/>
  <c r="AI352" i="1"/>
  <c r="AH352" i="1" s="1"/>
  <c r="AG352" i="1" s="1"/>
  <c r="AF352" i="1" s="1"/>
  <c r="AD352" i="1" s="1"/>
  <c r="AI16" i="1"/>
  <c r="AH16" i="1" s="1"/>
  <c r="AG16" i="1" s="1"/>
  <c r="AF16" i="1" s="1"/>
  <c r="AD16" i="1" s="1"/>
  <c r="AI207" i="1"/>
  <c r="AH207" i="1" s="1"/>
  <c r="AG207" i="1" s="1"/>
  <c r="AF207" i="1" s="1"/>
  <c r="AI158" i="1"/>
  <c r="AH158" i="1" s="1"/>
  <c r="AG158" i="1" s="1"/>
  <c r="AF158" i="1" s="1"/>
  <c r="AD158" i="1" s="1"/>
  <c r="AI261" i="1"/>
  <c r="AH261" i="1" s="1"/>
  <c r="AG261" i="1" s="1"/>
  <c r="AF261" i="1" s="1"/>
  <c r="AD261" i="1" s="1"/>
  <c r="AI374" i="1"/>
  <c r="AH374" i="1" s="1"/>
  <c r="AG374" i="1" s="1"/>
  <c r="AF374" i="1" s="1"/>
  <c r="AI53" i="1"/>
  <c r="AH53" i="1" s="1"/>
  <c r="AG53" i="1" s="1"/>
  <c r="AF53" i="1" s="1"/>
  <c r="AI249" i="1"/>
  <c r="AH249" i="1" s="1"/>
  <c r="AG249" i="1" s="1"/>
  <c r="AF249" i="1" s="1"/>
  <c r="AI42" i="1"/>
  <c r="AH42" i="1" s="1"/>
  <c r="AG42" i="1" s="1"/>
  <c r="AF42" i="1" s="1"/>
  <c r="AI377" i="1"/>
  <c r="AH377" i="1" s="1"/>
  <c r="AG377" i="1" s="1"/>
  <c r="AF377" i="1" s="1"/>
  <c r="AD377" i="1" s="1"/>
  <c r="AI379" i="1"/>
  <c r="AI79" i="1"/>
  <c r="AH79" i="1" s="1"/>
  <c r="AG79" i="1" s="1"/>
  <c r="AF79" i="1" s="1"/>
  <c r="AD79" i="1" s="1"/>
  <c r="AI189" i="1"/>
  <c r="AH189" i="1" s="1"/>
  <c r="AG189" i="1" s="1"/>
  <c r="AF189" i="1" s="1"/>
  <c r="AI44" i="1"/>
  <c r="AH44" i="1" s="1"/>
  <c r="AG44" i="1" s="1"/>
  <c r="AF44" i="1" s="1"/>
  <c r="AD44" i="1" s="1"/>
  <c r="AI266" i="1"/>
  <c r="AH266" i="1" s="1"/>
  <c r="AG266" i="1" s="1"/>
  <c r="AF266" i="1" s="1"/>
  <c r="AI184" i="1"/>
  <c r="AH184" i="1" s="1"/>
  <c r="AG184" i="1" s="1"/>
  <c r="AF184" i="1" s="1"/>
  <c r="AI307" i="1"/>
  <c r="AH307" i="1" s="1"/>
  <c r="AG307" i="1" s="1"/>
  <c r="AF307" i="1" s="1"/>
  <c r="AI253" i="1"/>
  <c r="AH253" i="1" s="1"/>
  <c r="AG253" i="1" s="1"/>
  <c r="AF253" i="1" s="1"/>
  <c r="AI101" i="1"/>
  <c r="AH101" i="1" s="1"/>
  <c r="AG101" i="1" s="1"/>
  <c r="AF101" i="1" s="1"/>
  <c r="AI280" i="1"/>
  <c r="AH280" i="1" s="1"/>
  <c r="AG280" i="1" s="1"/>
  <c r="AF280" i="1" s="1"/>
  <c r="AI22" i="1"/>
  <c r="AH22" i="1" s="1"/>
  <c r="AG22" i="1" s="1"/>
  <c r="AF22" i="1" s="1"/>
  <c r="AD22" i="1" s="1"/>
  <c r="AI197" i="1"/>
  <c r="AH197" i="1" s="1"/>
  <c r="AG197" i="1" s="1"/>
  <c r="AF197" i="1" s="1"/>
  <c r="AD197" i="1" s="1"/>
  <c r="AI90" i="1"/>
  <c r="AH90" i="1" s="1"/>
  <c r="AG90" i="1" s="1"/>
  <c r="AF90" i="1" s="1"/>
  <c r="AD90" i="1" s="1"/>
  <c r="AI187" i="1"/>
  <c r="AH187" i="1" s="1"/>
  <c r="AG187" i="1" s="1"/>
  <c r="AF187" i="1" s="1"/>
  <c r="AI72" i="1"/>
  <c r="AH72" i="1" s="1"/>
  <c r="AG72" i="1" s="1"/>
  <c r="AF72" i="1" s="1"/>
  <c r="AD72" i="1" s="1"/>
  <c r="AI107" i="1"/>
  <c r="AH107" i="1" s="1"/>
  <c r="AG107" i="1" s="1"/>
  <c r="AF107" i="1" s="1"/>
  <c r="AD107" i="1" s="1"/>
  <c r="AI196" i="1"/>
  <c r="AH196" i="1" s="1"/>
  <c r="AG196" i="1" s="1"/>
  <c r="AF196" i="1" s="1"/>
  <c r="AI193" i="1"/>
  <c r="AH193" i="1" s="1"/>
  <c r="AG193" i="1" s="1"/>
  <c r="AF193" i="1" s="1"/>
  <c r="AD193" i="1" s="1"/>
  <c r="AI262" i="1"/>
  <c r="AH262" i="1" s="1"/>
  <c r="AG262" i="1" s="1"/>
  <c r="AF262" i="1" s="1"/>
  <c r="AD262" i="1" s="1"/>
  <c r="AI243" i="1"/>
  <c r="AH243" i="1" s="1"/>
  <c r="AG243" i="1" s="1"/>
  <c r="AF243" i="1" s="1"/>
  <c r="AD243" i="1" s="1"/>
  <c r="AI18" i="1"/>
  <c r="AH18" i="1" s="1"/>
  <c r="AG18" i="1" s="1"/>
  <c r="AF18" i="1" s="1"/>
  <c r="BY16" i="7"/>
  <c r="AI291" i="1"/>
  <c r="AH291" i="1" s="1"/>
  <c r="AG291" i="1" s="1"/>
  <c r="AF291" i="1" s="1"/>
  <c r="AD291" i="1" s="1"/>
  <c r="AI313" i="1"/>
  <c r="AH313" i="1" s="1"/>
  <c r="AG313" i="1" s="1"/>
  <c r="AF313" i="1" s="1"/>
  <c r="AI202" i="1"/>
  <c r="AH202" i="1" s="1"/>
  <c r="AG202" i="1" s="1"/>
  <c r="AF202" i="1" s="1"/>
  <c r="AD202" i="1" s="1"/>
  <c r="AI223" i="1"/>
  <c r="AH223" i="1" s="1"/>
  <c r="AG223" i="1" s="1"/>
  <c r="AF223" i="1" s="1"/>
  <c r="AI314" i="1"/>
  <c r="AH314" i="1" s="1"/>
  <c r="AG314" i="1" s="1"/>
  <c r="AF314" i="1" s="1"/>
  <c r="AD314" i="1" s="1"/>
  <c r="AI219" i="1"/>
  <c r="AH219" i="1" s="1"/>
  <c r="AG219" i="1" s="1"/>
  <c r="AF219" i="1" s="1"/>
  <c r="AI289" i="1"/>
  <c r="AH289" i="1" s="1"/>
  <c r="AG289" i="1" s="1"/>
  <c r="AF289" i="1" s="1"/>
  <c r="AD289" i="1" s="1"/>
  <c r="AI364" i="1"/>
  <c r="AH364" i="1" s="1"/>
  <c r="AG364" i="1" s="1"/>
  <c r="AF364" i="1" s="1"/>
  <c r="AD364" i="1" s="1"/>
  <c r="AI132" i="1"/>
  <c r="AH132" i="1" s="1"/>
  <c r="AG132" i="1" s="1"/>
  <c r="AF132" i="1" s="1"/>
  <c r="AI335" i="1"/>
  <c r="AH335" i="1" s="1"/>
  <c r="AG335" i="1" s="1"/>
  <c r="AF335" i="1" s="1"/>
  <c r="AI203" i="1"/>
  <c r="AH203" i="1" s="1"/>
  <c r="AG203" i="1" s="1"/>
  <c r="AF203" i="1" s="1"/>
  <c r="AI31" i="1"/>
  <c r="AH31" i="1" s="1"/>
  <c r="AI303" i="1"/>
  <c r="AH303" i="1" s="1"/>
  <c r="AG303" i="1" s="1"/>
  <c r="AF303" i="1" s="1"/>
  <c r="AD303" i="1" s="1"/>
  <c r="AI183" i="1"/>
  <c r="AH183" i="1" s="1"/>
  <c r="AG183" i="1" s="1"/>
  <c r="AF183" i="1" s="1"/>
  <c r="AD183" i="1" s="1"/>
  <c r="AI63" i="1"/>
  <c r="AH63" i="1" s="1"/>
  <c r="AG63" i="1" s="1"/>
  <c r="AF63" i="1" s="1"/>
  <c r="AI113" i="1"/>
  <c r="AH113" i="1" s="1"/>
  <c r="AG113" i="1" s="1"/>
  <c r="AF113" i="1" s="1"/>
  <c r="AD113" i="1" s="1"/>
  <c r="AI70" i="1"/>
  <c r="AH70" i="1" s="1"/>
  <c r="AG70" i="1" s="1"/>
  <c r="AF70" i="1" s="1"/>
  <c r="AI310" i="1"/>
  <c r="AH310" i="1" s="1"/>
  <c r="AG310" i="1" s="1"/>
  <c r="AF310" i="1" s="1"/>
  <c r="AI19" i="1"/>
  <c r="AH19" i="1" s="1"/>
  <c r="AG19" i="1" s="1"/>
  <c r="AF19" i="1" s="1"/>
  <c r="AI33" i="1"/>
  <c r="AH33" i="1" s="1"/>
  <c r="AG33" i="1" s="1"/>
  <c r="AF33" i="1" s="1"/>
  <c r="AD33" i="1" s="1"/>
  <c r="AI260" i="1"/>
  <c r="AH260" i="1" s="1"/>
  <c r="AG260" i="1" s="1"/>
  <c r="AF260" i="1" s="1"/>
  <c r="AI350" i="1"/>
  <c r="AH350" i="1" s="1"/>
  <c r="AG350" i="1" s="1"/>
  <c r="AF350" i="1" s="1"/>
  <c r="AI279" i="1"/>
  <c r="AH279" i="1" s="1"/>
  <c r="AG279" i="1" s="1"/>
  <c r="AF279" i="1" s="1"/>
  <c r="AI175" i="1"/>
  <c r="AH175" i="1" s="1"/>
  <c r="AG175" i="1" s="1"/>
  <c r="AF175" i="1" s="1"/>
  <c r="AI285" i="1"/>
  <c r="AH285" i="1" s="1"/>
  <c r="AG285" i="1" s="1"/>
  <c r="AF285" i="1" s="1"/>
  <c r="AI105" i="1"/>
  <c r="AH105" i="1" s="1"/>
  <c r="AG105" i="1" s="1"/>
  <c r="AF105" i="1" s="1"/>
  <c r="AI15" i="1"/>
  <c r="AI188" i="1"/>
  <c r="AH188" i="1" s="1"/>
  <c r="AG188" i="1" s="1"/>
  <c r="AF188" i="1" s="1"/>
  <c r="AD188" i="1" s="1"/>
  <c r="AI155" i="1"/>
  <c r="AH155" i="1" s="1"/>
  <c r="AG155" i="1" s="1"/>
  <c r="AF155" i="1" s="1"/>
  <c r="AI336" i="1"/>
  <c r="AH336" i="1" s="1"/>
  <c r="AG336" i="1" s="1"/>
  <c r="AF336" i="1" s="1"/>
  <c r="AD336" i="1" s="1"/>
  <c r="AI156" i="1"/>
  <c r="AH156" i="1" s="1"/>
  <c r="AG156" i="1" s="1"/>
  <c r="AF156" i="1" s="1"/>
  <c r="AD156" i="1" s="1"/>
  <c r="AI137" i="1"/>
  <c r="AH137" i="1" s="1"/>
  <c r="AG137" i="1" s="1"/>
  <c r="AF137" i="1" s="1"/>
  <c r="AI164" i="1"/>
  <c r="AH164" i="1" s="1"/>
  <c r="AI25" i="1"/>
  <c r="AH25" i="1" s="1"/>
  <c r="AI194" i="1"/>
  <c r="AH194" i="1" s="1"/>
  <c r="AI250" i="1"/>
  <c r="AH250" i="1" s="1"/>
  <c r="AG250" i="1" s="1"/>
  <c r="AF250" i="1" s="1"/>
  <c r="AD250" i="1" s="1"/>
  <c r="AI334" i="1"/>
  <c r="AH334" i="1" s="1"/>
  <c r="AG334" i="1" s="1"/>
  <c r="AF334" i="1" s="1"/>
  <c r="AD334" i="1" s="1"/>
  <c r="AI149" i="1"/>
  <c r="AH149" i="1" s="1"/>
  <c r="AI238" i="1"/>
  <c r="AH238" i="1" s="1"/>
  <c r="AG238" i="1" s="1"/>
  <c r="AF238" i="1" s="1"/>
  <c r="AI372" i="1"/>
  <c r="AH372" i="1" s="1"/>
  <c r="AI264" i="1"/>
  <c r="AH264" i="1" s="1"/>
  <c r="AG264" i="1" s="1"/>
  <c r="AF264" i="1" s="1"/>
  <c r="AD264" i="1" s="1"/>
  <c r="AI287" i="1"/>
  <c r="AH287" i="1" s="1"/>
  <c r="AG287" i="1" s="1"/>
  <c r="AF287" i="1" s="1"/>
  <c r="AD287" i="1" s="1"/>
  <c r="AI102" i="1"/>
  <c r="AH102" i="1" s="1"/>
  <c r="AG102" i="1" s="1"/>
  <c r="AF102" i="1" s="1"/>
  <c r="AD102" i="1" s="1"/>
  <c r="AI125" i="1"/>
  <c r="AH125" i="1" s="1"/>
  <c r="AG125" i="1" s="1"/>
  <c r="AF125" i="1" s="1"/>
  <c r="AI308" i="1"/>
  <c r="AH308" i="1" s="1"/>
  <c r="AI54" i="1"/>
  <c r="AH54" i="1" s="1"/>
  <c r="AG54" i="1" s="1"/>
  <c r="AF54" i="1" s="1"/>
  <c r="AI216" i="1"/>
  <c r="AH216" i="1" s="1"/>
  <c r="AG216" i="1" s="1"/>
  <c r="AF216" i="1" s="1"/>
  <c r="AI322" i="1"/>
  <c r="AH322" i="1" s="1"/>
  <c r="AI246" i="1"/>
  <c r="AH246" i="1" s="1"/>
  <c r="AI221" i="1"/>
  <c r="AH221" i="1" s="1"/>
  <c r="AG221" i="1" s="1"/>
  <c r="AF221" i="1" s="1"/>
  <c r="AI65" i="1"/>
  <c r="AH65" i="1" s="1"/>
  <c r="AG65" i="1" s="1"/>
  <c r="AF65" i="1" s="1"/>
  <c r="AI24" i="1"/>
  <c r="AH24" i="1" s="1"/>
  <c r="AG24" i="1" s="1"/>
  <c r="AF24" i="1" s="1"/>
  <c r="AI112" i="1"/>
  <c r="AH112" i="1" s="1"/>
  <c r="AI328" i="1"/>
  <c r="AH328" i="1" s="1"/>
  <c r="AG328" i="1" s="1"/>
  <c r="AF328" i="1" s="1"/>
  <c r="AD328" i="1" s="1"/>
  <c r="AI365" i="1"/>
  <c r="AH365" i="1" s="1"/>
  <c r="AG365" i="1" s="1"/>
  <c r="AF365" i="1" s="1"/>
  <c r="AD365" i="1" s="1"/>
  <c r="AI98" i="1"/>
  <c r="AH98" i="1" s="1"/>
  <c r="AG98" i="1" s="1"/>
  <c r="AF98" i="1" s="1"/>
  <c r="AI40" i="1"/>
  <c r="AH40" i="1" s="1"/>
  <c r="AI128" i="1"/>
  <c r="AH128" i="1" s="1"/>
  <c r="AG128" i="1" s="1"/>
  <c r="AF128" i="1" s="1"/>
  <c r="AD128" i="1" s="1"/>
  <c r="AI60" i="1"/>
  <c r="AH60" i="1" s="1"/>
  <c r="AI99" i="1"/>
  <c r="AH99" i="1" s="1"/>
  <c r="AI17" i="1"/>
  <c r="AI64" i="1"/>
  <c r="AH64" i="1" s="1"/>
  <c r="AI120" i="1"/>
  <c r="AH120" i="1" s="1"/>
  <c r="AI290" i="1"/>
  <c r="AH290" i="1" s="1"/>
  <c r="AG290" i="1" s="1"/>
  <c r="AF290" i="1" s="1"/>
  <c r="AD290" i="1" s="1"/>
  <c r="AI123" i="1"/>
  <c r="AH123" i="1" s="1"/>
  <c r="AG123" i="1" s="1"/>
  <c r="AF123" i="1" s="1"/>
  <c r="AD123" i="1" s="1"/>
  <c r="AI333" i="1"/>
  <c r="AH333" i="1" s="1"/>
  <c r="AG333" i="1" s="1"/>
  <c r="AF333" i="1" s="1"/>
  <c r="AD333" i="1" s="1"/>
  <c r="AI347" i="1"/>
  <c r="AH347" i="1" s="1"/>
  <c r="AG347" i="1" s="1"/>
  <c r="AF347" i="1" s="1"/>
  <c r="AD347" i="1" s="1"/>
  <c r="AI49" i="1"/>
  <c r="AH49" i="1" s="1"/>
  <c r="AG49" i="1" s="1"/>
  <c r="AF49" i="1" s="1"/>
  <c r="AI344" i="1"/>
  <c r="AH344" i="1" s="1"/>
  <c r="AG344" i="1" s="1"/>
  <c r="AF344" i="1" s="1"/>
  <c r="AI356" i="1"/>
  <c r="AH356" i="1" s="1"/>
  <c r="AG356" i="1" s="1"/>
  <c r="AF356" i="1" s="1"/>
  <c r="AD356" i="1" s="1"/>
  <c r="AI226" i="1"/>
  <c r="AH226" i="1" s="1"/>
  <c r="AG226" i="1" s="1"/>
  <c r="AF226" i="1" s="1"/>
  <c r="AD226" i="1" s="1"/>
  <c r="AI95" i="1"/>
  <c r="AH95" i="1" s="1"/>
  <c r="AG95" i="1" s="1"/>
  <c r="AF95" i="1" s="1"/>
  <c r="AD95" i="1" s="1"/>
  <c r="AI186" i="1"/>
  <c r="AH186" i="1" s="1"/>
  <c r="AG186" i="1" s="1"/>
  <c r="AF186" i="1" s="1"/>
  <c r="AD186" i="1" s="1"/>
  <c r="AI274" i="1"/>
  <c r="AH274" i="1" s="1"/>
  <c r="AG274" i="1" s="1"/>
  <c r="AF274" i="1" s="1"/>
  <c r="AD274" i="1" s="1"/>
  <c r="AI154" i="1"/>
  <c r="AH154" i="1" s="1"/>
  <c r="AG154" i="1" s="1"/>
  <c r="AF154" i="1" s="1"/>
  <c r="AD154" i="1" s="1"/>
  <c r="AI114" i="1"/>
  <c r="AH114" i="1" s="1"/>
  <c r="AG114" i="1" s="1"/>
  <c r="AF114" i="1" s="1"/>
  <c r="AD114" i="1" s="1"/>
  <c r="AI43" i="1"/>
  <c r="AH43" i="1" s="1"/>
  <c r="AG43" i="1" s="1"/>
  <c r="AF43" i="1" s="1"/>
  <c r="AI192" i="1"/>
  <c r="AH192" i="1" s="1"/>
  <c r="AG192" i="1" s="1"/>
  <c r="AF192" i="1" s="1"/>
  <c r="AI28" i="1"/>
  <c r="AH28" i="1" s="1"/>
  <c r="AG28" i="1" s="1"/>
  <c r="AF28" i="1" s="1"/>
  <c r="AI160" i="1"/>
  <c r="AH160" i="1" s="1"/>
  <c r="AG160" i="1" s="1"/>
  <c r="AF160" i="1" s="1"/>
  <c r="AD160" i="1" s="1"/>
  <c r="AI55" i="1"/>
  <c r="AH55" i="1" s="1"/>
  <c r="AG55" i="1" s="1"/>
  <c r="AF55" i="1" s="1"/>
  <c r="AD55" i="1" s="1"/>
  <c r="AI378" i="1"/>
  <c r="AH378" i="1" s="1"/>
  <c r="AG378" i="1" s="1"/>
  <c r="AF378" i="1" s="1"/>
  <c r="AI47" i="1"/>
  <c r="AH47" i="1" s="1"/>
  <c r="AG47" i="1" s="1"/>
  <c r="AF47" i="1" s="1"/>
  <c r="AI21" i="1"/>
  <c r="AH21" i="1" s="1"/>
  <c r="AI140" i="1"/>
  <c r="AH140" i="1" s="1"/>
  <c r="AG140" i="1" s="1"/>
  <c r="AF140" i="1" s="1"/>
  <c r="AD140" i="1" s="1"/>
  <c r="AI178" i="1"/>
  <c r="AH178" i="1" s="1"/>
  <c r="AG178" i="1" s="1"/>
  <c r="AF178" i="1" s="1"/>
  <c r="AD178" i="1" s="1"/>
  <c r="AI367" i="1"/>
  <c r="AH367" i="1" s="1"/>
  <c r="AG367" i="1" s="1"/>
  <c r="AF367" i="1" s="1"/>
  <c r="AI61" i="1"/>
  <c r="AH61" i="1" s="1"/>
  <c r="AG61" i="1" s="1"/>
  <c r="AF61" i="1" s="1"/>
  <c r="AD61" i="1" s="1"/>
  <c r="AI305" i="1"/>
  <c r="AH305" i="1" s="1"/>
  <c r="AG305" i="1" s="1"/>
  <c r="AF305" i="1" s="1"/>
  <c r="AD305" i="1" s="1"/>
  <c r="AI237" i="1"/>
  <c r="AH237" i="1" s="1"/>
  <c r="AG237" i="1" s="1"/>
  <c r="AF237" i="1" s="1"/>
  <c r="AD237" i="1" s="1"/>
  <c r="AI228" i="1"/>
  <c r="AH228" i="1" s="1"/>
  <c r="AG228" i="1" s="1"/>
  <c r="AF228" i="1" s="1"/>
  <c r="AI304" i="1"/>
  <c r="AH304" i="1" s="1"/>
  <c r="AG304" i="1" s="1"/>
  <c r="AF304" i="1" s="1"/>
  <c r="AD304" i="1" s="1"/>
  <c r="AI233" i="1"/>
  <c r="AH233" i="1" s="1"/>
  <c r="AG233" i="1" s="1"/>
  <c r="AF233" i="1" s="1"/>
  <c r="AD233" i="1" s="1"/>
  <c r="AI341" i="1"/>
  <c r="AH341" i="1" s="1"/>
  <c r="AG341" i="1" s="1"/>
  <c r="AF341" i="1" s="1"/>
  <c r="AD341" i="1" s="1"/>
  <c r="AI20" i="1"/>
  <c r="AH20" i="1" s="1"/>
  <c r="AG20" i="1" s="1"/>
  <c r="AF20" i="1" s="1"/>
  <c r="AI301" i="1"/>
  <c r="AH301" i="1" s="1"/>
  <c r="AI273" i="1"/>
  <c r="AH273" i="1" s="1"/>
  <c r="AG273" i="1" s="1"/>
  <c r="AF273" i="1" s="1"/>
  <c r="AD273" i="1" s="1"/>
  <c r="AI297" i="1"/>
  <c r="AH297" i="1" s="1"/>
  <c r="AG297" i="1" s="1"/>
  <c r="AF297" i="1" s="1"/>
  <c r="AD297" i="1" s="1"/>
  <c r="AI71" i="1"/>
  <c r="AH71" i="1" s="1"/>
  <c r="AG71" i="1" s="1"/>
  <c r="AF71" i="1" s="1"/>
  <c r="AI209" i="1"/>
  <c r="AH209" i="1" s="1"/>
  <c r="AI244" i="1"/>
  <c r="AH244" i="1" s="1"/>
  <c r="AI46" i="1"/>
  <c r="AH46" i="1" s="1"/>
  <c r="AI174" i="1"/>
  <c r="AH174" i="1" s="1"/>
  <c r="AG174" i="1" s="1"/>
  <c r="AF174" i="1" s="1"/>
  <c r="AD174" i="1" s="1"/>
  <c r="AI30" i="1"/>
  <c r="AH30" i="1" s="1"/>
  <c r="AG30" i="1" s="1"/>
  <c r="AF30" i="1" s="1"/>
  <c r="AI376" i="1"/>
  <c r="AH376" i="1" s="1"/>
  <c r="AG376" i="1" s="1"/>
  <c r="AF376" i="1" s="1"/>
  <c r="AD376" i="1" s="1"/>
  <c r="AI245" i="1"/>
  <c r="AH245" i="1" s="1"/>
  <c r="AG245" i="1" s="1"/>
  <c r="AF245" i="1" s="1"/>
  <c r="AI257" i="1"/>
  <c r="AH257" i="1" s="1"/>
  <c r="AG257" i="1" s="1"/>
  <c r="AF257" i="1" s="1"/>
  <c r="AD257" i="1" s="1"/>
  <c r="AI360" i="1"/>
  <c r="AH360" i="1" s="1"/>
  <c r="AG360" i="1" s="1"/>
  <c r="AF360" i="1" s="1"/>
  <c r="AI218" i="1"/>
  <c r="AH218" i="1" s="1"/>
  <c r="AG218" i="1" s="1"/>
  <c r="AF218" i="1" s="1"/>
  <c r="AD218" i="1" s="1"/>
  <c r="AI247" i="1"/>
  <c r="AH247" i="1" s="1"/>
  <c r="AG247" i="1" s="1"/>
  <c r="AF247" i="1" s="1"/>
  <c r="AI294" i="1"/>
  <c r="AH294" i="1" s="1"/>
  <c r="AG294" i="1" s="1"/>
  <c r="AF294" i="1" s="1"/>
  <c r="AD294" i="1" s="1"/>
  <c r="AI96" i="1"/>
  <c r="AH96" i="1" s="1"/>
  <c r="AG96" i="1" s="1"/>
  <c r="AF96" i="1" s="1"/>
  <c r="AD96" i="1" s="1"/>
  <c r="AI161" i="1"/>
  <c r="AH161" i="1" s="1"/>
  <c r="AG161" i="1" s="1"/>
  <c r="AF161" i="1" s="1"/>
  <c r="AI34" i="1"/>
  <c r="AH34" i="1" s="1"/>
  <c r="AG34" i="1" s="1"/>
  <c r="AF34" i="1" s="1"/>
  <c r="AD34" i="1" s="1"/>
  <c r="AI159" i="1"/>
  <c r="AH159" i="1" s="1"/>
  <c r="AG159" i="1" s="1"/>
  <c r="AF159" i="1" s="1"/>
  <c r="AI208" i="1"/>
  <c r="AH208" i="1" s="1"/>
  <c r="AG208" i="1" s="1"/>
  <c r="AF208" i="1" s="1"/>
  <c r="AI87" i="1"/>
  <c r="AH87" i="1" s="1"/>
  <c r="AG87" i="1" s="1"/>
  <c r="AF87" i="1" s="1"/>
  <c r="AD87" i="1" s="1"/>
  <c r="AI171" i="1"/>
  <c r="AH171" i="1" s="1"/>
  <c r="AG171" i="1" s="1"/>
  <c r="AF171" i="1" s="1"/>
  <c r="AD171" i="1" s="1"/>
  <c r="AI110" i="1"/>
  <c r="AH110" i="1" s="1"/>
  <c r="AG110" i="1" s="1"/>
  <c r="AF110" i="1" s="1"/>
  <c r="AI309" i="1"/>
  <c r="AH309" i="1" s="1"/>
  <c r="AG309" i="1" s="1"/>
  <c r="AF309" i="1" s="1"/>
  <c r="AI325" i="1"/>
  <c r="AH325" i="1" s="1"/>
  <c r="AG325" i="1" s="1"/>
  <c r="AF325" i="1" s="1"/>
  <c r="AI369" i="1"/>
  <c r="AH369" i="1" s="1"/>
  <c r="AG369" i="1" s="1"/>
  <c r="AF369" i="1" s="1"/>
  <c r="AI172" i="1"/>
  <c r="AH172" i="1" s="1"/>
  <c r="AG172" i="1" s="1"/>
  <c r="AF172" i="1" s="1"/>
  <c r="AD172" i="1" s="1"/>
  <c r="AI366" i="1"/>
  <c r="AH366" i="1" s="1"/>
  <c r="AG366" i="1" s="1"/>
  <c r="AF366" i="1" s="1"/>
  <c r="AI50" i="1"/>
  <c r="AH50" i="1" s="1"/>
  <c r="AG50" i="1" s="1"/>
  <c r="AF50" i="1" s="1"/>
  <c r="AD50" i="1" s="1"/>
  <c r="AI129" i="1"/>
  <c r="AH129" i="1" s="1"/>
  <c r="AG129" i="1" s="1"/>
  <c r="AF129" i="1" s="1"/>
  <c r="AI146" i="1"/>
  <c r="AH146" i="1" s="1"/>
  <c r="AG146" i="1" s="1"/>
  <c r="AF146" i="1" s="1"/>
  <c r="AI36" i="1"/>
  <c r="AH36" i="1" s="1"/>
  <c r="AG36" i="1" s="1"/>
  <c r="AF36" i="1" s="1"/>
  <c r="AI281" i="1"/>
  <c r="AH281" i="1" s="1"/>
  <c r="AG281" i="1" s="1"/>
  <c r="AF281" i="1" s="1"/>
  <c r="AD281" i="1" s="1"/>
  <c r="AI135" i="1"/>
  <c r="AH135" i="1" s="1"/>
  <c r="AG135" i="1" s="1"/>
  <c r="AF135" i="1" s="1"/>
  <c r="AI81" i="1"/>
  <c r="AH81" i="1" s="1"/>
  <c r="AI312" i="1"/>
  <c r="AH312" i="1" s="1"/>
  <c r="AG312" i="1" s="1"/>
  <c r="AF312" i="1" s="1"/>
  <c r="AC16" i="15"/>
  <c r="AC15" i="15"/>
  <c r="AZ149" i="6"/>
  <c r="AY13" i="6"/>
  <c r="AZ260" i="6"/>
  <c r="AE380" i="6" s="1"/>
  <c r="AE381" i="6" s="1"/>
  <c r="AZ279" i="6"/>
  <c r="AZ254" i="6"/>
  <c r="AZ248" i="6"/>
  <c r="AY12" i="6"/>
  <c r="AZ285" i="6"/>
  <c r="AZ298" i="6"/>
  <c r="AZ288" i="6"/>
  <c r="AG380" i="6" s="1"/>
  <c r="AG381" i="6" s="1"/>
  <c r="AZ282" i="6"/>
  <c r="AZ283" i="6"/>
  <c r="AZ266" i="6"/>
  <c r="AZ280" i="6"/>
  <c r="AZ261" i="6"/>
  <c r="AZ269" i="6"/>
  <c r="AZ276" i="6"/>
  <c r="AZ234" i="6"/>
  <c r="AZ238" i="6"/>
  <c r="AZ259" i="6"/>
  <c r="AZ236" i="6"/>
  <c r="AZ223" i="6"/>
  <c r="AZ216" i="6"/>
  <c r="AZ211" i="6"/>
  <c r="AZ207" i="6"/>
  <c r="AZ190" i="6"/>
  <c r="Z380" i="6" s="1"/>
  <c r="Z381" i="6" s="1"/>
  <c r="AZ148" i="6"/>
  <c r="W380" i="6" s="1"/>
  <c r="W381" i="6" s="1"/>
  <c r="AZ164" i="6"/>
  <c r="AZ193" i="6"/>
  <c r="AZ151" i="6"/>
  <c r="AZ162" i="6"/>
  <c r="X380" i="6" s="1"/>
  <c r="X381" i="6" s="1"/>
  <c r="AZ167" i="6"/>
  <c r="AZ182" i="6"/>
  <c r="AE78" i="27"/>
  <c r="P79" i="27"/>
  <c r="G41" i="27" s="1"/>
  <c r="I17" i="1"/>
  <c r="A19" i="16"/>
  <c r="AB18" i="16"/>
  <c r="L18" i="16"/>
  <c r="D18" i="16" s="1"/>
  <c r="AK18" i="16"/>
  <c r="K18" i="16"/>
  <c r="X18" i="16"/>
  <c r="AJ18" i="16"/>
  <c r="P11" i="20"/>
  <c r="AK16" i="20" s="1"/>
  <c r="AF15" i="7"/>
  <c r="L12" i="20"/>
  <c r="L15" i="20" s="1"/>
  <c r="AC20" i="1"/>
  <c r="A21" i="1"/>
  <c r="X20" i="1"/>
  <c r="O20" i="1"/>
  <c r="AK20" i="1"/>
  <c r="AB20" i="1"/>
  <c r="Q20" i="1"/>
  <c r="AJ20" i="1"/>
  <c r="L20" i="1"/>
  <c r="K20" i="1"/>
  <c r="U20" i="1"/>
  <c r="T20" i="1" s="1"/>
  <c r="AG31" i="1"/>
  <c r="AF31" i="1" s="1"/>
  <c r="AI11" i="17"/>
  <c r="P10" i="17"/>
  <c r="L14" i="19"/>
  <c r="AE11" i="17"/>
  <c r="AC12" i="18"/>
  <c r="O12" i="18"/>
  <c r="O11" i="18"/>
  <c r="AC9" i="18"/>
  <c r="K16" i="20"/>
  <c r="AB16" i="20"/>
  <c r="X16" i="20"/>
  <c r="A17" i="20"/>
  <c r="L16" i="20"/>
  <c r="AJ16" i="20"/>
  <c r="O9" i="22"/>
  <c r="AJ15" i="22" s="1"/>
  <c r="K15" i="22"/>
  <c r="A16" i="22"/>
  <c r="X15" i="22"/>
  <c r="AB15" i="22"/>
  <c r="AB17" i="18"/>
  <c r="L17" i="18"/>
  <c r="A18" i="18"/>
  <c r="X17" i="18"/>
  <c r="K17" i="18"/>
  <c r="AJ17" i="18"/>
  <c r="AK17" i="18"/>
  <c r="AB18" i="17"/>
  <c r="A19" i="17"/>
  <c r="L18" i="17"/>
  <c r="X18" i="17"/>
  <c r="K18" i="17"/>
  <c r="AK18" i="17"/>
  <c r="AJ18" i="17"/>
  <c r="AG152" i="1"/>
  <c r="AF152" i="1" s="1"/>
  <c r="AD152" i="1" s="1"/>
  <c r="F7" i="20"/>
  <c r="AF13" i="7"/>
  <c r="AJ380" i="20"/>
  <c r="S19" i="1"/>
  <c r="R19" i="1" s="1"/>
  <c r="P19" i="1" s="1"/>
  <c r="V19" i="1" s="1"/>
  <c r="I13" i="7"/>
  <c r="O16" i="15"/>
  <c r="E16" i="15" s="1"/>
  <c r="O18" i="15"/>
  <c r="O19" i="15"/>
  <c r="O15" i="15"/>
  <c r="O17" i="15"/>
  <c r="E17" i="15" s="1"/>
  <c r="P12" i="18"/>
  <c r="F8" i="18"/>
  <c r="AK380" i="18"/>
  <c r="AK15" i="18"/>
  <c r="AJ15" i="20"/>
  <c r="L1" i="23"/>
  <c r="J1" i="24"/>
  <c r="V14" i="23"/>
  <c r="A15" i="23"/>
  <c r="Y14" i="23"/>
  <c r="A18" i="19"/>
  <c r="A42" i="19" s="1"/>
  <c r="F14" i="23"/>
  <c r="H6" i="6"/>
  <c r="AQ3" i="7"/>
  <c r="X1" i="23"/>
  <c r="AD130" i="1" l="1"/>
  <c r="AD346" i="1"/>
  <c r="AA11" i="7"/>
  <c r="Q11" i="18" s="1"/>
  <c r="AE11" i="16"/>
  <c r="AB13" i="7"/>
  <c r="W13" i="7"/>
  <c r="P13" i="7"/>
  <c r="Q13" i="7"/>
  <c r="AC13" i="7"/>
  <c r="AC17" i="16"/>
  <c r="AD146" i="1"/>
  <c r="AD325" i="1"/>
  <c r="AD110" i="1"/>
  <c r="AD159" i="1"/>
  <c r="AD161" i="1"/>
  <c r="AD71" i="1"/>
  <c r="AD20" i="1"/>
  <c r="AD228" i="1"/>
  <c r="AD367" i="1"/>
  <c r="AD47" i="1"/>
  <c r="AD28" i="1"/>
  <c r="AD43" i="1"/>
  <c r="AD344" i="1"/>
  <c r="AD65" i="1"/>
  <c r="AD216" i="1"/>
  <c r="AD238" i="1"/>
  <c r="AD155" i="1"/>
  <c r="AD285" i="1"/>
  <c r="AD279" i="1"/>
  <c r="AD260" i="1"/>
  <c r="AD19" i="1"/>
  <c r="AA19" i="1" s="1"/>
  <c r="Z19" i="1" s="1"/>
  <c r="Y19" i="1" s="1"/>
  <c r="AD70" i="1"/>
  <c r="AD63" i="1"/>
  <c r="AD203" i="1"/>
  <c r="AD132" i="1"/>
  <c r="AD18" i="1"/>
  <c r="AD196" i="1"/>
  <c r="AD101" i="1"/>
  <c r="AD307" i="1"/>
  <c r="AD266" i="1"/>
  <c r="AD189" i="1"/>
  <c r="AD42" i="1"/>
  <c r="AD53" i="1"/>
  <c r="AD207" i="1"/>
  <c r="AD326" i="1"/>
  <c r="AD88" i="1"/>
  <c r="AD182" i="1"/>
  <c r="AD57" i="1"/>
  <c r="AD321" i="1"/>
  <c r="AD139" i="1"/>
  <c r="AD151" i="1"/>
  <c r="AD355" i="1"/>
  <c r="AD198" i="1"/>
  <c r="AD51" i="1"/>
  <c r="AD225" i="1"/>
  <c r="AD234" i="1"/>
  <c r="AD121" i="1"/>
  <c r="AD204" i="1"/>
  <c r="AD179" i="1"/>
  <c r="AD222" i="1"/>
  <c r="AD292" i="1"/>
  <c r="AD268" i="1"/>
  <c r="AD173" i="1"/>
  <c r="AD141" i="1"/>
  <c r="AD23" i="1"/>
  <c r="AD231" i="1"/>
  <c r="AD108" i="1"/>
  <c r="AD201" i="1"/>
  <c r="AD316" i="1"/>
  <c r="AD332" i="1"/>
  <c r="AD62" i="1"/>
  <c r="AD166" i="1"/>
  <c r="AD256" i="1"/>
  <c r="AD76" i="1"/>
  <c r="AD242" i="1"/>
  <c r="AD205" i="1"/>
  <c r="AD265" i="1"/>
  <c r="AD59" i="1"/>
  <c r="AD343" i="1"/>
  <c r="AD263" i="1"/>
  <c r="AD29" i="1"/>
  <c r="AD215" i="1"/>
  <c r="AD230" i="1"/>
  <c r="AD329" i="1"/>
  <c r="AD371" i="1"/>
  <c r="AC15" i="16"/>
  <c r="AC18" i="16"/>
  <c r="P10" i="16"/>
  <c r="AD283" i="1"/>
  <c r="E18" i="15"/>
  <c r="O10" i="18"/>
  <c r="AA13" i="7" s="1"/>
  <c r="L13" i="19"/>
  <c r="AD270" i="1"/>
  <c r="AD249" i="1"/>
  <c r="AD162" i="1"/>
  <c r="AD31" i="1"/>
  <c r="AD144" i="1"/>
  <c r="AD276" i="1"/>
  <c r="AD315" i="1"/>
  <c r="AD359" i="1"/>
  <c r="AD239" i="1"/>
  <c r="AD312" i="1"/>
  <c r="AD135" i="1"/>
  <c r="AD36" i="1"/>
  <c r="AD129" i="1"/>
  <c r="AD366" i="1"/>
  <c r="AD369" i="1"/>
  <c r="AD309" i="1"/>
  <c r="AD208" i="1"/>
  <c r="AD247" i="1"/>
  <c r="AD360" i="1"/>
  <c r="AD245" i="1"/>
  <c r="AD30" i="1"/>
  <c r="AD378" i="1"/>
  <c r="AD192" i="1"/>
  <c r="AD49" i="1"/>
  <c r="AD98" i="1"/>
  <c r="AD24" i="1"/>
  <c r="AD221" i="1"/>
  <c r="AD54" i="1"/>
  <c r="AD125" i="1"/>
  <c r="AD137" i="1"/>
  <c r="AD105" i="1"/>
  <c r="AD175" i="1"/>
  <c r="AD350" i="1"/>
  <c r="AD310" i="1"/>
  <c r="AD335" i="1"/>
  <c r="AD219" i="1"/>
  <c r="AD223" i="1"/>
  <c r="AD313" i="1"/>
  <c r="AD187" i="1"/>
  <c r="AD280" i="1"/>
  <c r="AD253" i="1"/>
  <c r="AD184" i="1"/>
  <c r="AD374" i="1"/>
  <c r="AD180" i="1"/>
  <c r="AD241" i="1"/>
  <c r="AD27" i="1"/>
  <c r="AD117" i="1"/>
  <c r="AD317" i="1"/>
  <c r="AD311" i="1"/>
  <c r="AD293" i="1"/>
  <c r="AD248" i="1"/>
  <c r="AD89" i="1"/>
  <c r="AD232" i="1"/>
  <c r="AD109" i="1"/>
  <c r="AD82" i="1"/>
  <c r="AD181" i="1"/>
  <c r="AD271" i="1"/>
  <c r="AD85" i="1"/>
  <c r="AD342" i="1"/>
  <c r="AD91" i="1"/>
  <c r="AD131" i="1"/>
  <c r="AD235" i="1"/>
  <c r="AD26" i="1"/>
  <c r="AD168" i="1"/>
  <c r="AD229" i="1"/>
  <c r="AD338" i="1"/>
  <c r="AD124" i="1"/>
  <c r="AD200" i="1"/>
  <c r="AD298" i="1"/>
  <c r="P17" i="1"/>
  <c r="V17" i="1" s="1"/>
  <c r="P18" i="1"/>
  <c r="V18" i="1" s="1"/>
  <c r="AG46" i="1"/>
  <c r="AF46" i="1" s="1"/>
  <c r="AD46" i="1" s="1"/>
  <c r="AG209" i="1"/>
  <c r="AF209" i="1" s="1"/>
  <c r="AD209" i="1" s="1"/>
  <c r="AG301" i="1"/>
  <c r="AF301" i="1" s="1"/>
  <c r="AD301" i="1" s="1"/>
  <c r="AG21" i="1"/>
  <c r="AF21" i="1" s="1"/>
  <c r="AD21" i="1" s="1"/>
  <c r="AG64" i="1"/>
  <c r="AF64" i="1" s="1"/>
  <c r="AD64" i="1" s="1"/>
  <c r="AG99" i="1"/>
  <c r="AF99" i="1" s="1"/>
  <c r="AD99" i="1" s="1"/>
  <c r="AG322" i="1"/>
  <c r="AF322" i="1" s="1"/>
  <c r="AD322" i="1" s="1"/>
  <c r="AG372" i="1"/>
  <c r="AF372" i="1" s="1"/>
  <c r="AD372" i="1" s="1"/>
  <c r="AG149" i="1"/>
  <c r="AF149" i="1" s="1"/>
  <c r="AD149" i="1" s="1"/>
  <c r="AG25" i="1"/>
  <c r="AF25" i="1" s="1"/>
  <c r="AD25" i="1" s="1"/>
  <c r="AG136" i="1"/>
  <c r="AF136" i="1" s="1"/>
  <c r="AD136" i="1" s="1"/>
  <c r="AG134" i="1"/>
  <c r="AF134" i="1" s="1"/>
  <c r="AD134" i="1" s="1"/>
  <c r="AG67" i="1"/>
  <c r="AF67" i="1" s="1"/>
  <c r="AD67" i="1" s="1"/>
  <c r="AG97" i="1"/>
  <c r="AF97" i="1" s="1"/>
  <c r="AD97" i="1" s="1"/>
  <c r="AG358" i="1"/>
  <c r="AF358" i="1" s="1"/>
  <c r="AD358" i="1" s="1"/>
  <c r="AG319" i="1"/>
  <c r="AF319" i="1" s="1"/>
  <c r="AD319" i="1" s="1"/>
  <c r="AG78" i="1"/>
  <c r="AF78" i="1" s="1"/>
  <c r="AD78" i="1" s="1"/>
  <c r="AG375" i="1"/>
  <c r="AF375" i="1" s="1"/>
  <c r="AD375" i="1" s="1"/>
  <c r="AG127" i="1"/>
  <c r="AF127" i="1" s="1"/>
  <c r="AD127" i="1" s="1"/>
  <c r="AC19" i="15"/>
  <c r="A20" i="15"/>
  <c r="X19" i="15"/>
  <c r="K19" i="15"/>
  <c r="AB19" i="15"/>
  <c r="AK19" i="15"/>
  <c r="AJ19" i="15"/>
  <c r="L19" i="15"/>
  <c r="D19" i="15" s="1"/>
  <c r="E19" i="15" s="1"/>
  <c r="AG81" i="1"/>
  <c r="AF81" i="1" s="1"/>
  <c r="AD81" i="1" s="1"/>
  <c r="AG244" i="1"/>
  <c r="AF244" i="1" s="1"/>
  <c r="AD244" i="1" s="1"/>
  <c r="AG120" i="1"/>
  <c r="AF120" i="1" s="1"/>
  <c r="AD120" i="1" s="1"/>
  <c r="AH17" i="1"/>
  <c r="AG60" i="1"/>
  <c r="AF60" i="1" s="1"/>
  <c r="AD60" i="1" s="1"/>
  <c r="AG40" i="1"/>
  <c r="AF40" i="1" s="1"/>
  <c r="AD40" i="1" s="1"/>
  <c r="AG112" i="1"/>
  <c r="AF112" i="1" s="1"/>
  <c r="AD112" i="1" s="1"/>
  <c r="AG246" i="1"/>
  <c r="AF246" i="1" s="1"/>
  <c r="AD246" i="1" s="1"/>
  <c r="AG308" i="1"/>
  <c r="AF308" i="1" s="1"/>
  <c r="AD308" i="1" s="1"/>
  <c r="AG194" i="1"/>
  <c r="AF194" i="1" s="1"/>
  <c r="AD194" i="1" s="1"/>
  <c r="AG164" i="1"/>
  <c r="AF164" i="1" s="1"/>
  <c r="AD164" i="1" s="1"/>
  <c r="AH15" i="1"/>
  <c r="AI383" i="1"/>
  <c r="AI381" i="1"/>
  <c r="AI382" i="1"/>
  <c r="AH379" i="1"/>
  <c r="AG379" i="1" s="1"/>
  <c r="AF379" i="1" s="1"/>
  <c r="AD379" i="1" s="1"/>
  <c r="AI12" i="15"/>
  <c r="AG191" i="1"/>
  <c r="AF191" i="1" s="1"/>
  <c r="AD191" i="1" s="1"/>
  <c r="AG92" i="1"/>
  <c r="AF92" i="1" s="1"/>
  <c r="AD92" i="1" s="1"/>
  <c r="AG254" i="1"/>
  <c r="AF254" i="1" s="1"/>
  <c r="AD254" i="1" s="1"/>
  <c r="AG306" i="1"/>
  <c r="AF306" i="1" s="1"/>
  <c r="AD306" i="1" s="1"/>
  <c r="AG38" i="1"/>
  <c r="AF38" i="1" s="1"/>
  <c r="AD38" i="1" s="1"/>
  <c r="AG169" i="1"/>
  <c r="AF169" i="1" s="1"/>
  <c r="AD169" i="1" s="1"/>
  <c r="AG210" i="1"/>
  <c r="AF210" i="1" s="1"/>
  <c r="AD210" i="1" s="1"/>
  <c r="AG190" i="1"/>
  <c r="AF190" i="1" s="1"/>
  <c r="AD190" i="1" s="1"/>
  <c r="AG296" i="1"/>
  <c r="AF296" i="1" s="1"/>
  <c r="AD296" i="1" s="1"/>
  <c r="AG295" i="1"/>
  <c r="AF295" i="1" s="1"/>
  <c r="AD295" i="1" s="1"/>
  <c r="AG362" i="1"/>
  <c r="AF362" i="1" s="1"/>
  <c r="AD362" i="1" s="1"/>
  <c r="AE381" i="1"/>
  <c r="AE382" i="1"/>
  <c r="AE383" i="1"/>
  <c r="L11" i="22"/>
  <c r="P16" i="1"/>
  <c r="V16" i="1" s="1"/>
  <c r="AZ13" i="6"/>
  <c r="AZ12" i="6"/>
  <c r="AR58" i="27"/>
  <c r="AP58" i="27"/>
  <c r="AX58" i="27" s="1"/>
  <c r="AE80" i="27"/>
  <c r="AV58" i="27"/>
  <c r="AT58" i="27"/>
  <c r="AE79" i="27"/>
  <c r="P80" i="27"/>
  <c r="G42" i="27" s="1"/>
  <c r="O17" i="18"/>
  <c r="AB19" i="16"/>
  <c r="AK19" i="16"/>
  <c r="K19" i="16"/>
  <c r="X19" i="16"/>
  <c r="AJ19" i="16"/>
  <c r="AC19" i="16"/>
  <c r="A20" i="16"/>
  <c r="L19" i="16"/>
  <c r="D19" i="16" s="1"/>
  <c r="O15" i="18"/>
  <c r="I19" i="1"/>
  <c r="I18" i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D19" i="17" s="1"/>
  <c r="K19" i="17"/>
  <c r="A20" i="17"/>
  <c r="AK19" i="17"/>
  <c r="AJ19" i="17"/>
  <c r="AB16" i="22"/>
  <c r="A17" i="22"/>
  <c r="X16" i="22"/>
  <c r="K16" i="22"/>
  <c r="AJ16" i="22"/>
  <c r="P11" i="22"/>
  <c r="AL15" i="7"/>
  <c r="F7" i="22"/>
  <c r="AL13" i="7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AK380" i="20"/>
  <c r="F8" i="20"/>
  <c r="AK15" i="20"/>
  <c r="O9" i="23"/>
  <c r="E15" i="15"/>
  <c r="E8" i="16"/>
  <c r="K13" i="19" s="1"/>
  <c r="K37" i="19" s="1"/>
  <c r="E7" i="16"/>
  <c r="R15" i="1"/>
  <c r="AC12" i="20"/>
  <c r="AC9" i="20"/>
  <c r="O12" i="20"/>
  <c r="O11" i="20"/>
  <c r="D18" i="17"/>
  <c r="X18" i="18"/>
  <c r="K18" i="18"/>
  <c r="L18" i="18"/>
  <c r="AB18" i="18"/>
  <c r="A19" i="18"/>
  <c r="AK18" i="18"/>
  <c r="AJ18" i="18"/>
  <c r="K17" i="20"/>
  <c r="AB17" i="20"/>
  <c r="L17" i="20"/>
  <c r="A18" i="20"/>
  <c r="X17" i="20"/>
  <c r="AJ17" i="20"/>
  <c r="AK17" i="20"/>
  <c r="S20" i="1"/>
  <c r="R20" i="1" s="1"/>
  <c r="P20" i="1" s="1"/>
  <c r="V20" i="1" s="1"/>
  <c r="AG11" i="7" l="1"/>
  <c r="Q11" i="20" s="1"/>
  <c r="AA18" i="1"/>
  <c r="Z18" i="1" s="1"/>
  <c r="Y18" i="1" s="1"/>
  <c r="AG10" i="7"/>
  <c r="E7" i="20" s="1"/>
  <c r="O10" i="20" s="1"/>
  <c r="AG13" i="7" s="1"/>
  <c r="AM10" i="7" s="1"/>
  <c r="E8" i="22" s="1"/>
  <c r="K17" i="19" s="1"/>
  <c r="K41" i="19" s="1"/>
  <c r="AI13" i="7"/>
  <c r="O18" i="18"/>
  <c r="O16" i="18"/>
  <c r="I16" i="1"/>
  <c r="AA16" i="1"/>
  <c r="Z16" i="1" s="1"/>
  <c r="Y16" i="1" s="1"/>
  <c r="AB20" i="15"/>
  <c r="AJ20" i="15"/>
  <c r="AK20" i="15"/>
  <c r="AC20" i="15"/>
  <c r="X20" i="15"/>
  <c r="A21" i="15"/>
  <c r="L20" i="15"/>
  <c r="D20" i="15" s="1"/>
  <c r="K20" i="15"/>
  <c r="O20" i="15"/>
  <c r="E20" i="15" s="1"/>
  <c r="L11" i="23"/>
  <c r="AG15" i="1"/>
  <c r="AH383" i="1"/>
  <c r="AH381" i="1"/>
  <c r="AH382" i="1"/>
  <c r="AG17" i="1"/>
  <c r="AF17" i="1" s="1"/>
  <c r="AD17" i="1" s="1"/>
  <c r="AA17" i="1" s="1"/>
  <c r="Z17" i="1" s="1"/>
  <c r="Y17" i="1" s="1"/>
  <c r="AN58" i="27"/>
  <c r="AN59" i="27" s="1"/>
  <c r="AN60" i="27" s="1"/>
  <c r="AN61" i="27" s="1"/>
  <c r="AN62" i="27" s="1"/>
  <c r="AN63" i="27" s="1"/>
  <c r="AN64" i="27" s="1"/>
  <c r="AN65" i="27" s="1"/>
  <c r="AN66" i="27" s="1"/>
  <c r="AN67" i="27" s="1"/>
  <c r="AN68" i="27" s="1"/>
  <c r="AN57" i="27"/>
  <c r="AH13" i="7"/>
  <c r="O15" i="20"/>
  <c r="K20" i="16"/>
  <c r="A21" i="16"/>
  <c r="L20" i="16"/>
  <c r="D20" i="16" s="1"/>
  <c r="AJ20" i="16"/>
  <c r="X20" i="16"/>
  <c r="AB20" i="16"/>
  <c r="AK20" i="16"/>
  <c r="AC20" i="16"/>
  <c r="K19" i="18"/>
  <c r="L19" i="18"/>
  <c r="AB19" i="18"/>
  <c r="A20" i="18"/>
  <c r="X19" i="18"/>
  <c r="O19" i="18"/>
  <c r="AK19" i="18"/>
  <c r="AJ19" i="18"/>
  <c r="P15" i="1"/>
  <c r="O10" i="16"/>
  <c r="AC10" i="16"/>
  <c r="AC20" i="17" s="1"/>
  <c r="F7" i="23"/>
  <c r="AR13" i="7"/>
  <c r="AJ380" i="23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F8" i="22"/>
  <c r="P12" i="22"/>
  <c r="AK15" i="22"/>
  <c r="AK16" i="22"/>
  <c r="A21" i="17"/>
  <c r="AB20" i="17"/>
  <c r="X20" i="17"/>
  <c r="L20" i="17"/>
  <c r="K20" i="17"/>
  <c r="AJ20" i="17"/>
  <c r="AK20" i="17"/>
  <c r="O20" i="17"/>
  <c r="O9" i="24"/>
  <c r="AJ15" i="24" s="1"/>
  <c r="AJ15" i="23"/>
  <c r="K16" i="23"/>
  <c r="AB16" i="23"/>
  <c r="X16" i="23"/>
  <c r="A17" i="23"/>
  <c r="AJ16" i="23"/>
  <c r="A19" i="20"/>
  <c r="K18" i="20"/>
  <c r="AB18" i="20"/>
  <c r="X18" i="20"/>
  <c r="L18" i="20"/>
  <c r="AJ18" i="20"/>
  <c r="AK18" i="20"/>
  <c r="O18" i="20"/>
  <c r="AR15" i="7"/>
  <c r="P11" i="23"/>
  <c r="P10" i="20"/>
  <c r="L16" i="19"/>
  <c r="T21" i="1"/>
  <c r="AC9" i="22"/>
  <c r="AC12" i="22"/>
  <c r="O11" i="22"/>
  <c r="O12" i="22"/>
  <c r="L16" i="22"/>
  <c r="X17" i="22"/>
  <c r="L17" i="22"/>
  <c r="K17" i="22"/>
  <c r="AB17" i="22"/>
  <c r="A18" i="22"/>
  <c r="AJ17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AM11" i="7" l="1"/>
  <c r="O17" i="20"/>
  <c r="O16" i="20"/>
  <c r="E8" i="20"/>
  <c r="K16" i="19" s="1"/>
  <c r="AO13" i="7"/>
  <c r="AN13" i="7"/>
  <c r="E7" i="22"/>
  <c r="O10" i="22" s="1"/>
  <c r="AM13" i="7" s="1"/>
  <c r="AS10" i="7" s="1"/>
  <c r="AC10" i="17"/>
  <c r="AG383" i="1"/>
  <c r="AF15" i="1"/>
  <c r="AG381" i="1"/>
  <c r="AG382" i="1"/>
  <c r="L11" i="24"/>
  <c r="X21" i="15"/>
  <c r="AJ21" i="15"/>
  <c r="A22" i="15"/>
  <c r="AC21" i="15"/>
  <c r="L21" i="15"/>
  <c r="D21" i="15" s="1"/>
  <c r="K21" i="15"/>
  <c r="AK21" i="15"/>
  <c r="AB21" i="15"/>
  <c r="O21" i="15"/>
  <c r="E21" i="15" s="1"/>
  <c r="AK69" i="27"/>
  <c r="AK68" i="27"/>
  <c r="AK70" i="27"/>
  <c r="AK71" i="27"/>
  <c r="AK57" i="27"/>
  <c r="AK73" i="27"/>
  <c r="AK74" i="27"/>
  <c r="AK72" i="27"/>
  <c r="AK75" i="27"/>
  <c r="AK76" i="27"/>
  <c r="AK77" i="27"/>
  <c r="AK78" i="27"/>
  <c r="AK79" i="27"/>
  <c r="AN69" i="27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N80" i="27" s="1"/>
  <c r="AK80" i="27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J16" i="24"/>
  <c r="A19" i="22"/>
  <c r="X18" i="22"/>
  <c r="L18" i="22"/>
  <c r="K18" i="22"/>
  <c r="AB18" i="22"/>
  <c r="AJ18" i="22"/>
  <c r="AK18" i="22"/>
  <c r="O18" i="22"/>
  <c r="P11" i="24"/>
  <c r="AK16" i="24" s="1"/>
  <c r="AX15" i="7"/>
  <c r="F7" i="24"/>
  <c r="AJ380" i="24"/>
  <c r="AX13" i="7"/>
  <c r="A22" i="17"/>
  <c r="K21" i="17"/>
  <c r="AB21" i="17"/>
  <c r="L21" i="17"/>
  <c r="D21" i="17" s="1"/>
  <c r="X21" i="17"/>
  <c r="AK21" i="17"/>
  <c r="AJ21" i="17"/>
  <c r="AC21" i="17"/>
  <c r="O21" i="17"/>
  <c r="AK23" i="1"/>
  <c r="AJ23" i="1"/>
  <c r="O23" i="1"/>
  <c r="L23" i="1"/>
  <c r="AC23" i="1"/>
  <c r="K23" i="1"/>
  <c r="AB23" i="1"/>
  <c r="A24" i="1"/>
  <c r="X23" i="1"/>
  <c r="Q23" i="1"/>
  <c r="U23" i="1"/>
  <c r="O12" i="23"/>
  <c r="AC9" i="23"/>
  <c r="O11" i="23"/>
  <c r="AC12" i="23"/>
  <c r="V15" i="1"/>
  <c r="AB20" i="18"/>
  <c r="X20" i="18"/>
  <c r="K20" i="18"/>
  <c r="A21" i="18"/>
  <c r="L20" i="18"/>
  <c r="AK20" i="18"/>
  <c r="AJ20" i="18"/>
  <c r="O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O19" i="20"/>
  <c r="AK16" i="23"/>
  <c r="A18" i="23"/>
  <c r="K17" i="23"/>
  <c r="L17" i="23"/>
  <c r="X17" i="23"/>
  <c r="AB17" i="23"/>
  <c r="AJ17" i="23"/>
  <c r="AK17" i="23"/>
  <c r="L16" i="23"/>
  <c r="D20" i="17"/>
  <c r="AE11" i="22"/>
  <c r="AI11" i="22"/>
  <c r="P10" i="22"/>
  <c r="L17" i="19"/>
  <c r="V22" i="1"/>
  <c r="L12" i="24"/>
  <c r="L15" i="24" s="1"/>
  <c r="O17" i="17"/>
  <c r="E17" i="17" s="1"/>
  <c r="O17" i="16"/>
  <c r="E17" i="16" s="1"/>
  <c r="O20" i="16"/>
  <c r="E20" i="16" s="1"/>
  <c r="O18" i="17"/>
  <c r="E18" i="17" s="1"/>
  <c r="O15" i="17"/>
  <c r="O13" i="7"/>
  <c r="O19" i="16"/>
  <c r="E19" i="16" s="1"/>
  <c r="O21" i="16"/>
  <c r="O19" i="17"/>
  <c r="E19" i="17" s="1"/>
  <c r="O16" i="17"/>
  <c r="E16" i="17" s="1"/>
  <c r="O18" i="16"/>
  <c r="E18" i="16" s="1"/>
  <c r="O15" i="16"/>
  <c r="O16" i="16"/>
  <c r="E16" i="16" s="1"/>
  <c r="K40" i="19" l="1"/>
  <c r="O16" i="22"/>
  <c r="O17" i="22"/>
  <c r="E7" i="23"/>
  <c r="O10" i="23" s="1"/>
  <c r="AS13" i="7" s="1"/>
  <c r="E8" i="23"/>
  <c r="K18" i="19" s="1"/>
  <c r="K42" i="19" s="1"/>
  <c r="AU13" i="7"/>
  <c r="O15" i="22"/>
  <c r="AY10" i="7"/>
  <c r="E8" i="24" s="1"/>
  <c r="K19" i="19" s="1"/>
  <c r="K43" i="19" s="1"/>
  <c r="E21" i="16"/>
  <c r="AY11" i="7"/>
  <c r="Q11" i="24" s="1"/>
  <c r="AC15" i="18"/>
  <c r="O17" i="23"/>
  <c r="AC10" i="18"/>
  <c r="AC18" i="18"/>
  <c r="AC17" i="18"/>
  <c r="AC16" i="18"/>
  <c r="L11" i="25"/>
  <c r="AF381" i="1"/>
  <c r="AF383" i="1"/>
  <c r="AF382" i="1"/>
  <c r="AD15" i="1"/>
  <c r="O22" i="15"/>
  <c r="L22" i="15"/>
  <c r="D22" i="15" s="1"/>
  <c r="AK22" i="15"/>
  <c r="AJ22" i="15"/>
  <c r="AC22" i="15"/>
  <c r="A23" i="15"/>
  <c r="K22" i="15"/>
  <c r="X22" i="15"/>
  <c r="AB22" i="15"/>
  <c r="AK62" i="27"/>
  <c r="AL62" i="27" s="1"/>
  <c r="AK61" i="27"/>
  <c r="AM61" i="27" s="1"/>
  <c r="AK64" i="27"/>
  <c r="AM64" i="27" s="1"/>
  <c r="AK66" i="27"/>
  <c r="AM66" i="27" s="1"/>
  <c r="AK60" i="27"/>
  <c r="AL60" i="27" s="1"/>
  <c r="AK63" i="27"/>
  <c r="AL63" i="27" s="1"/>
  <c r="AK59" i="27"/>
  <c r="AL59" i="27" s="1"/>
  <c r="AK58" i="27"/>
  <c r="AM58" i="27" s="1"/>
  <c r="AK65" i="27"/>
  <c r="AL65" i="27" s="1"/>
  <c r="AK67" i="27"/>
  <c r="AM67" i="27" s="1"/>
  <c r="AM63" i="27"/>
  <c r="AL58" i="27"/>
  <c r="AL70" i="27"/>
  <c r="AM70" i="27"/>
  <c r="AL67" i="27"/>
  <c r="AM69" i="27"/>
  <c r="AL69" i="27"/>
  <c r="AM62" i="27"/>
  <c r="AL61" i="27"/>
  <c r="AL64" i="27"/>
  <c r="AL66" i="27"/>
  <c r="AM68" i="27"/>
  <c r="AL68" i="27"/>
  <c r="AM60" i="27"/>
  <c r="AM80" i="27"/>
  <c r="AL80" i="27"/>
  <c r="AM79" i="27"/>
  <c r="AL79" i="27"/>
  <c r="AM77" i="27"/>
  <c r="AL77" i="27"/>
  <c r="AM75" i="27"/>
  <c r="AL75" i="27"/>
  <c r="AM74" i="27"/>
  <c r="AL74" i="27"/>
  <c r="AM57" i="27"/>
  <c r="AL57" i="27"/>
  <c r="AM78" i="27"/>
  <c r="AL78" i="27"/>
  <c r="AL76" i="27"/>
  <c r="AM76" i="27"/>
  <c r="AM72" i="27"/>
  <c r="AL72" i="27"/>
  <c r="AM73" i="27"/>
  <c r="AL73" i="27"/>
  <c r="AM71" i="27"/>
  <c r="AL71" i="27"/>
  <c r="L16" i="24"/>
  <c r="R21" i="1"/>
  <c r="AT13" i="7"/>
  <c r="O16" i="23"/>
  <c r="E21" i="17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J18" i="23"/>
  <c r="AK18" i="23"/>
  <c r="A21" i="20"/>
  <c r="AB20" i="20"/>
  <c r="L20" i="20"/>
  <c r="X20" i="20"/>
  <c r="K20" i="20"/>
  <c r="AJ20" i="20"/>
  <c r="AK20" i="20"/>
  <c r="O20" i="20"/>
  <c r="P10" i="23"/>
  <c r="L18" i="19"/>
  <c r="O9" i="25"/>
  <c r="AJ16" i="25" s="1"/>
  <c r="X21" i="18"/>
  <c r="K21" i="18"/>
  <c r="L21" i="18"/>
  <c r="A22" i="18"/>
  <c r="AB21" i="18"/>
  <c r="AJ21" i="18"/>
  <c r="O21" i="18"/>
  <c r="AK21" i="18"/>
  <c r="AC21" i="18"/>
  <c r="L24" i="1"/>
  <c r="K24" i="1"/>
  <c r="AB24" i="1"/>
  <c r="AJ24" i="1"/>
  <c r="A25" i="1"/>
  <c r="Q24" i="1"/>
  <c r="AC24" i="1"/>
  <c r="O24" i="1"/>
  <c r="X24" i="1"/>
  <c r="AK24" i="1"/>
  <c r="U24" i="1"/>
  <c r="A23" i="17"/>
  <c r="K22" i="17"/>
  <c r="X22" i="17"/>
  <c r="AB22" i="17"/>
  <c r="L22" i="17"/>
  <c r="AJ22" i="17"/>
  <c r="AK22" i="17"/>
  <c r="AC22" i="17"/>
  <c r="O22" i="17"/>
  <c r="O12" i="24"/>
  <c r="AC12" i="24"/>
  <c r="AC9" i="24"/>
  <c r="O11" i="24"/>
  <c r="E15" i="17"/>
  <c r="P11" i="25"/>
  <c r="AK16" i="25" s="1"/>
  <c r="BD15" i="7"/>
  <c r="K16" i="25"/>
  <c r="A17" i="25"/>
  <c r="AB16" i="25"/>
  <c r="L16" i="25"/>
  <c r="X16" i="25"/>
  <c r="T23" i="1"/>
  <c r="E20" i="17"/>
  <c r="F8" i="24"/>
  <c r="P12" i="24"/>
  <c r="AK380" i="24"/>
  <c r="AK15" i="24"/>
  <c r="K19" i="22"/>
  <c r="L19" i="22"/>
  <c r="AB19" i="22"/>
  <c r="A20" i="22"/>
  <c r="X19" i="22"/>
  <c r="AJ19" i="22"/>
  <c r="AK19" i="22"/>
  <c r="O19" i="22"/>
  <c r="K17" i="24"/>
  <c r="X17" i="24"/>
  <c r="L17" i="24"/>
  <c r="A18" i="24"/>
  <c r="AB17" i="24"/>
  <c r="AJ17" i="24"/>
  <c r="AK17" i="24"/>
  <c r="O18" i="23" l="1"/>
  <c r="O15" i="23"/>
  <c r="BA13" i="7"/>
  <c r="E7" i="24"/>
  <c r="O10" i="24" s="1"/>
  <c r="AY13" i="7" s="1"/>
  <c r="BE10" i="7" s="1"/>
  <c r="E7" i="25" s="1"/>
  <c r="BE11" i="7"/>
  <c r="Q11" i="25" s="1"/>
  <c r="AC20" i="18"/>
  <c r="AC19" i="18"/>
  <c r="E22" i="16"/>
  <c r="AC10" i="20"/>
  <c r="AC17" i="22" s="1"/>
  <c r="L23" i="15"/>
  <c r="D23" i="15" s="1"/>
  <c r="AK23" i="15"/>
  <c r="AB23" i="15"/>
  <c r="K23" i="15"/>
  <c r="O23" i="15"/>
  <c r="E23" i="15" s="1"/>
  <c r="A24" i="15"/>
  <c r="AJ23" i="15"/>
  <c r="X23" i="15"/>
  <c r="AC23" i="15"/>
  <c r="E22" i="15"/>
  <c r="AD382" i="1"/>
  <c r="AD383" i="1"/>
  <c r="AD381" i="1"/>
  <c r="AA15" i="1"/>
  <c r="Z15" i="1" s="1"/>
  <c r="Y15" i="1" s="1"/>
  <c r="AM59" i="27"/>
  <c r="AM65" i="27"/>
  <c r="AJ64" i="27"/>
  <c r="W64" i="27" s="1"/>
  <c r="AJ61" i="27"/>
  <c r="Z61" i="27" s="1"/>
  <c r="AJ62" i="27"/>
  <c r="U62" i="27" s="1"/>
  <c r="AJ69" i="27"/>
  <c r="Z69" i="27" s="1"/>
  <c r="AJ58" i="27"/>
  <c r="Z58" i="27" s="1"/>
  <c r="AJ59" i="27"/>
  <c r="Q59" i="27" s="1"/>
  <c r="AJ63" i="27"/>
  <c r="S63" i="27" s="1"/>
  <c r="AJ70" i="27"/>
  <c r="R70" i="27" s="1"/>
  <c r="T64" i="27"/>
  <c r="R64" i="27"/>
  <c r="V64" i="27"/>
  <c r="Z64" i="27"/>
  <c r="AA64" i="27"/>
  <c r="X64" i="27"/>
  <c r="Z62" i="27"/>
  <c r="Y62" i="27"/>
  <c r="W62" i="27"/>
  <c r="Q62" i="27"/>
  <c r="X62" i="27"/>
  <c r="U70" i="27"/>
  <c r="R58" i="27"/>
  <c r="AA58" i="27"/>
  <c r="Q58" i="27"/>
  <c r="Y58" i="27"/>
  <c r="V58" i="27"/>
  <c r="AA59" i="27"/>
  <c r="T63" i="27"/>
  <c r="AA63" i="27"/>
  <c r="AB63" i="27" s="1"/>
  <c r="AC63" i="27" s="1"/>
  <c r="Y63" i="27"/>
  <c r="X63" i="27"/>
  <c r="W63" i="27"/>
  <c r="AJ71" i="27"/>
  <c r="Q71" i="27" s="1"/>
  <c r="AJ73" i="27"/>
  <c r="W73" i="27" s="1"/>
  <c r="AJ72" i="27"/>
  <c r="AA72" i="27" s="1"/>
  <c r="AJ78" i="27"/>
  <c r="Z78" i="27" s="1"/>
  <c r="AJ57" i="27"/>
  <c r="R57" i="27" s="1"/>
  <c r="AJ74" i="27"/>
  <c r="AA74" i="27" s="1"/>
  <c r="AJ75" i="27"/>
  <c r="R75" i="27" s="1"/>
  <c r="AJ77" i="27"/>
  <c r="Y77" i="27" s="1"/>
  <c r="AJ79" i="27"/>
  <c r="U79" i="27" s="1"/>
  <c r="AJ80" i="27"/>
  <c r="W80" i="27" s="1"/>
  <c r="AJ60" i="27"/>
  <c r="AJ68" i="27"/>
  <c r="AJ66" i="27"/>
  <c r="AJ67" i="27"/>
  <c r="AJ65" i="27"/>
  <c r="AJ76" i="27"/>
  <c r="U71" i="27"/>
  <c r="X78" i="27"/>
  <c r="Y78" i="27"/>
  <c r="W78" i="27"/>
  <c r="Z57" i="27"/>
  <c r="Z74" i="27"/>
  <c r="S75" i="27"/>
  <c r="Q77" i="27"/>
  <c r="W77" i="27"/>
  <c r="T80" i="27"/>
  <c r="R80" i="27"/>
  <c r="Z80" i="27"/>
  <c r="AZ13" i="7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J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O19" i="23"/>
  <c r="AB20" i="22"/>
  <c r="L20" i="22"/>
  <c r="K20" i="22"/>
  <c r="X20" i="22"/>
  <c r="A21" i="22"/>
  <c r="AJ20" i="22"/>
  <c r="AK20" i="22"/>
  <c r="O20" i="22"/>
  <c r="P10" i="24"/>
  <c r="AE11" i="24"/>
  <c r="L19" i="19"/>
  <c r="AI11" i="24"/>
  <c r="K17" i="25"/>
  <c r="L17" i="25"/>
  <c r="A18" i="25"/>
  <c r="X17" i="25"/>
  <c r="AB17" i="25"/>
  <c r="AJ17" i="25"/>
  <c r="AK17" i="25"/>
  <c r="BK11" i="7"/>
  <c r="BL11" i="7"/>
  <c r="BJ15" i="7"/>
  <c r="AK380" i="25"/>
  <c r="F8" i="25"/>
  <c r="P12" i="25"/>
  <c r="AK15" i="25"/>
  <c r="D22" i="17"/>
  <c r="K23" i="17"/>
  <c r="A24" i="17"/>
  <c r="L23" i="17"/>
  <c r="D23" i="17" s="1"/>
  <c r="AB23" i="17"/>
  <c r="X23" i="17"/>
  <c r="AJ23" i="17"/>
  <c r="AK23" i="17"/>
  <c r="AC23" i="17"/>
  <c r="O23" i="17"/>
  <c r="A23" i="18"/>
  <c r="L22" i="18"/>
  <c r="K22" i="18"/>
  <c r="X22" i="18"/>
  <c r="AB22" i="18"/>
  <c r="O22" i="18"/>
  <c r="AJ22" i="18"/>
  <c r="AK22" i="18"/>
  <c r="AC22" i="18"/>
  <c r="AJ380" i="25"/>
  <c r="F7" i="25"/>
  <c r="BD13" i="7"/>
  <c r="AJ15" i="25"/>
  <c r="X21" i="20"/>
  <c r="A22" i="20"/>
  <c r="AB21" i="20"/>
  <c r="L21" i="20"/>
  <c r="K21" i="20"/>
  <c r="AJ21" i="20"/>
  <c r="AK21" i="20"/>
  <c r="O21" i="20"/>
  <c r="AC21" i="20" l="1"/>
  <c r="AC17" i="20"/>
  <c r="O18" i="24"/>
  <c r="O16" i="24"/>
  <c r="AC20" i="20"/>
  <c r="AC16" i="20"/>
  <c r="AC15" i="20"/>
  <c r="AC18" i="20"/>
  <c r="AC19" i="20"/>
  <c r="E8" i="25"/>
  <c r="K20" i="19" s="1"/>
  <c r="K44" i="19" s="1"/>
  <c r="O15" i="24"/>
  <c r="O17" i="24"/>
  <c r="AC15" i="22"/>
  <c r="AC20" i="22"/>
  <c r="AC18" i="22"/>
  <c r="AC19" i="22"/>
  <c r="AC10" i="22"/>
  <c r="AC18" i="23" s="1"/>
  <c r="AC16" i="22"/>
  <c r="L24" i="15"/>
  <c r="D24" i="15" s="1"/>
  <c r="AJ24" i="15"/>
  <c r="K24" i="15"/>
  <c r="AC24" i="15"/>
  <c r="AB24" i="15"/>
  <c r="AK24" i="15"/>
  <c r="X24" i="15"/>
  <c r="A25" i="15"/>
  <c r="O24" i="15"/>
  <c r="E24" i="15" s="1"/>
  <c r="V69" i="27"/>
  <c r="S61" i="27"/>
  <c r="W70" i="27"/>
  <c r="W61" i="27"/>
  <c r="X79" i="27"/>
  <c r="V63" i="27"/>
  <c r="Q63" i="27"/>
  <c r="R63" i="27"/>
  <c r="Z63" i="27"/>
  <c r="U63" i="27"/>
  <c r="S58" i="27"/>
  <c r="T58" i="27"/>
  <c r="W58" i="27"/>
  <c r="U58" i="27"/>
  <c r="X58" i="27"/>
  <c r="S62" i="27"/>
  <c r="T62" i="27"/>
  <c r="AA62" i="27"/>
  <c r="V62" i="27"/>
  <c r="R62" i="27"/>
  <c r="S64" i="27"/>
  <c r="Y64" i="27"/>
  <c r="U64" i="27"/>
  <c r="Q64" i="27"/>
  <c r="R69" i="27"/>
  <c r="U69" i="27"/>
  <c r="T70" i="27"/>
  <c r="V70" i="27"/>
  <c r="Y70" i="27"/>
  <c r="Y69" i="27"/>
  <c r="X69" i="27"/>
  <c r="W69" i="27"/>
  <c r="U59" i="27"/>
  <c r="Y61" i="27"/>
  <c r="T59" i="27"/>
  <c r="S59" i="27"/>
  <c r="V59" i="27"/>
  <c r="U61" i="27"/>
  <c r="X61" i="27"/>
  <c r="V61" i="27"/>
  <c r="V80" i="27"/>
  <c r="Y80" i="27"/>
  <c r="U80" i="27"/>
  <c r="R77" i="27"/>
  <c r="Z77" i="27"/>
  <c r="V77" i="27"/>
  <c r="U74" i="27"/>
  <c r="Q78" i="27"/>
  <c r="T78" i="27"/>
  <c r="Y59" i="27"/>
  <c r="W59" i="27"/>
  <c r="Z59" i="27"/>
  <c r="X59" i="27"/>
  <c r="R59" i="27"/>
  <c r="Q70" i="27"/>
  <c r="S70" i="27"/>
  <c r="X70" i="27"/>
  <c r="Z70" i="27"/>
  <c r="AA70" i="27"/>
  <c r="S69" i="27"/>
  <c r="T69" i="27"/>
  <c r="Q69" i="27"/>
  <c r="AA69" i="27"/>
  <c r="Q61" i="27"/>
  <c r="R61" i="27"/>
  <c r="AA61" i="27"/>
  <c r="AB61" i="27" s="1"/>
  <c r="AC61" i="27" s="1"/>
  <c r="T61" i="27"/>
  <c r="T79" i="27"/>
  <c r="V75" i="27"/>
  <c r="T57" i="27"/>
  <c r="W72" i="27"/>
  <c r="X80" i="27"/>
  <c r="S80" i="27"/>
  <c r="Q80" i="27"/>
  <c r="AA80" i="27"/>
  <c r="AB80" i="27" s="1"/>
  <c r="AC80" i="27" s="1"/>
  <c r="AD80" i="27" s="1"/>
  <c r="T77" i="27"/>
  <c r="X77" i="27"/>
  <c r="U77" i="27"/>
  <c r="S77" i="27"/>
  <c r="AA77" i="27"/>
  <c r="S74" i="27"/>
  <c r="S78" i="27"/>
  <c r="AA78" i="27"/>
  <c r="U78" i="27"/>
  <c r="R78" i="27"/>
  <c r="V78" i="27"/>
  <c r="AF64" i="27"/>
  <c r="P64" i="27" s="1"/>
  <c r="R79" i="27"/>
  <c r="U75" i="27"/>
  <c r="U57" i="27"/>
  <c r="AA71" i="27"/>
  <c r="AB71" i="27" s="1"/>
  <c r="AC71" i="27" s="1"/>
  <c r="AD71" i="27" s="1"/>
  <c r="T74" i="27"/>
  <c r="Y74" i="27"/>
  <c r="R74" i="27"/>
  <c r="Q73" i="27"/>
  <c r="Q74" i="27"/>
  <c r="V74" i="27"/>
  <c r="W74" i="27"/>
  <c r="X74" i="27"/>
  <c r="AA73" i="27"/>
  <c r="AB73" i="27" s="1"/>
  <c r="AC73" i="27" s="1"/>
  <c r="AD73" i="27" s="1"/>
  <c r="Z79" i="27"/>
  <c r="W79" i="27"/>
  <c r="S79" i="27"/>
  <c r="W75" i="27"/>
  <c r="AA75" i="27"/>
  <c r="AB74" i="27" s="1"/>
  <c r="AC74" i="27" s="1"/>
  <c r="AD74" i="27" s="1"/>
  <c r="Y75" i="27"/>
  <c r="Q57" i="27"/>
  <c r="X57" i="27"/>
  <c r="AA57" i="27"/>
  <c r="Y72" i="27"/>
  <c r="U72" i="27"/>
  <c r="Y71" i="27"/>
  <c r="Z73" i="27"/>
  <c r="V73" i="27"/>
  <c r="Y73" i="27"/>
  <c r="S73" i="27"/>
  <c r="AB57" i="27"/>
  <c r="AC57" i="27" s="1"/>
  <c r="AD57" i="27" s="1"/>
  <c r="T73" i="27"/>
  <c r="U73" i="27"/>
  <c r="R73" i="27"/>
  <c r="X73" i="27"/>
  <c r="Z72" i="27"/>
  <c r="T72" i="27"/>
  <c r="X72" i="27"/>
  <c r="R71" i="27"/>
  <c r="X71" i="27"/>
  <c r="S71" i="27"/>
  <c r="AB72" i="27"/>
  <c r="AC72" i="27" s="1"/>
  <c r="AD72" i="27" s="1"/>
  <c r="AB58" i="27"/>
  <c r="AC58" i="27" s="1"/>
  <c r="AD58" i="27" s="1"/>
  <c r="U65" i="27"/>
  <c r="AA65" i="27"/>
  <c r="AB64" i="27" s="1"/>
  <c r="AC64" i="27" s="1"/>
  <c r="Y65" i="27"/>
  <c r="R65" i="27"/>
  <c r="S65" i="27"/>
  <c r="V65" i="27"/>
  <c r="X65" i="27"/>
  <c r="Z65" i="27"/>
  <c r="W65" i="27"/>
  <c r="Q65" i="27"/>
  <c r="T65" i="27"/>
  <c r="Z66" i="27"/>
  <c r="U66" i="27"/>
  <c r="T66" i="27"/>
  <c r="V66" i="27"/>
  <c r="Y66" i="27"/>
  <c r="S66" i="27"/>
  <c r="AA66" i="27"/>
  <c r="Q66" i="27"/>
  <c r="R66" i="27"/>
  <c r="X66" i="27"/>
  <c r="W66" i="27"/>
  <c r="R60" i="27"/>
  <c r="X60" i="27"/>
  <c r="U60" i="27"/>
  <c r="Q60" i="27"/>
  <c r="W60" i="27"/>
  <c r="Z60" i="27"/>
  <c r="Y60" i="27"/>
  <c r="S60" i="27"/>
  <c r="V60" i="27"/>
  <c r="AA60" i="27"/>
  <c r="T60" i="27"/>
  <c r="AB69" i="27"/>
  <c r="AC69" i="27" s="1"/>
  <c r="AF70" i="27" s="1"/>
  <c r="P70" i="27" s="1"/>
  <c r="AB62" i="27"/>
  <c r="AC62" i="27" s="1"/>
  <c r="AF63" i="27" s="1"/>
  <c r="P63" i="27" s="1"/>
  <c r="Y79" i="27"/>
  <c r="Q79" i="27"/>
  <c r="V79" i="27"/>
  <c r="AA79" i="27"/>
  <c r="T75" i="27"/>
  <c r="Q75" i="27"/>
  <c r="Z75" i="27"/>
  <c r="X75" i="27"/>
  <c r="V57" i="27"/>
  <c r="W57" i="27"/>
  <c r="Y57" i="27"/>
  <c r="S57" i="27"/>
  <c r="R72" i="27"/>
  <c r="Q72" i="27"/>
  <c r="V72" i="27"/>
  <c r="S72" i="27"/>
  <c r="Z71" i="27"/>
  <c r="T71" i="27"/>
  <c r="V71" i="27"/>
  <c r="W71" i="27"/>
  <c r="Q67" i="27"/>
  <c r="T67" i="27"/>
  <c r="Y67" i="27"/>
  <c r="X67" i="27"/>
  <c r="AA67" i="27"/>
  <c r="Z67" i="27"/>
  <c r="W67" i="27"/>
  <c r="R67" i="27"/>
  <c r="S67" i="27"/>
  <c r="V67" i="27"/>
  <c r="U67" i="27"/>
  <c r="Q68" i="27"/>
  <c r="U68" i="27"/>
  <c r="Z68" i="27"/>
  <c r="T68" i="27"/>
  <c r="S68" i="27"/>
  <c r="V68" i="27"/>
  <c r="W68" i="27"/>
  <c r="Y68" i="27"/>
  <c r="X68" i="27"/>
  <c r="AA68" i="27"/>
  <c r="AB68" i="27" s="1"/>
  <c r="AC68" i="27" s="1"/>
  <c r="AD68" i="27" s="1"/>
  <c r="R68" i="27"/>
  <c r="X76" i="27"/>
  <c r="AA76" i="27"/>
  <c r="AB76" i="27" s="1"/>
  <c r="AC76" i="27" s="1"/>
  <c r="AD76" i="27" s="1"/>
  <c r="U76" i="27"/>
  <c r="S76" i="27"/>
  <c r="T76" i="27"/>
  <c r="V76" i="27"/>
  <c r="W76" i="27"/>
  <c r="Q76" i="27"/>
  <c r="Z76" i="27"/>
  <c r="R76" i="27"/>
  <c r="Y76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O10" i="25"/>
  <c r="E23" i="16"/>
  <c r="X23" i="18"/>
  <c r="A24" i="18"/>
  <c r="L23" i="18"/>
  <c r="AB23" i="18"/>
  <c r="K23" i="18"/>
  <c r="AJ23" i="18"/>
  <c r="O23" i="18"/>
  <c r="AK23" i="18"/>
  <c r="AC23" i="18"/>
  <c r="E23" i="17"/>
  <c r="E22" i="17"/>
  <c r="P10" i="25"/>
  <c r="L20" i="19"/>
  <c r="K20" i="23"/>
  <c r="X20" i="23"/>
  <c r="L20" i="23"/>
  <c r="AB20" i="23"/>
  <c r="A21" i="23"/>
  <c r="AJ20" i="23"/>
  <c r="AK20" i="23"/>
  <c r="O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O22" i="20"/>
  <c r="AC22" i="20"/>
  <c r="O12" i="25"/>
  <c r="AC9" i="25"/>
  <c r="O11" i="25"/>
  <c r="AC12" i="25"/>
  <c r="X24" i="17"/>
  <c r="A25" i="17"/>
  <c r="L24" i="17"/>
  <c r="D24" i="17" s="1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J18" i="25"/>
  <c r="AK18" i="25"/>
  <c r="K21" i="22"/>
  <c r="X21" i="22"/>
  <c r="A22" i="22"/>
  <c r="AB21" i="22"/>
  <c r="L21" i="22"/>
  <c r="AJ21" i="22"/>
  <c r="AK21" i="22"/>
  <c r="O21" i="22"/>
  <c r="AC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O19" i="24"/>
  <c r="BF13" i="7" l="1"/>
  <c r="BG13" i="7"/>
  <c r="AC17" i="23"/>
  <c r="AC20" i="23"/>
  <c r="AC15" i="23"/>
  <c r="AC16" i="23"/>
  <c r="AC10" i="23"/>
  <c r="AC16" i="24" s="1"/>
  <c r="AC19" i="23"/>
  <c r="O18" i="25"/>
  <c r="E24" i="17"/>
  <c r="A26" i="15"/>
  <c r="AB25" i="15"/>
  <c r="X25" i="15"/>
  <c r="AC25" i="15"/>
  <c r="AJ25" i="15"/>
  <c r="L25" i="15"/>
  <c r="D25" i="15" s="1"/>
  <c r="K25" i="15"/>
  <c r="AK25" i="15"/>
  <c r="O25" i="15"/>
  <c r="AB79" i="27"/>
  <c r="AC79" i="27" s="1"/>
  <c r="AD79" i="27" s="1"/>
  <c r="AB60" i="27"/>
  <c r="AC60" i="27" s="1"/>
  <c r="AD60" i="27" s="1"/>
  <c r="AB70" i="27"/>
  <c r="AC70" i="27" s="1"/>
  <c r="AB77" i="27"/>
  <c r="AC77" i="27" s="1"/>
  <c r="AD77" i="27" s="1"/>
  <c r="E24" i="16"/>
  <c r="G26" i="27"/>
  <c r="AD63" i="27" s="1"/>
  <c r="G27" i="27"/>
  <c r="AD64" i="27" s="1"/>
  <c r="AB78" i="27"/>
  <c r="AC78" i="27" s="1"/>
  <c r="AD78" i="27" s="1"/>
  <c r="AF62" i="27"/>
  <c r="P62" i="27" s="1"/>
  <c r="AB59" i="27"/>
  <c r="AC59" i="27" s="1"/>
  <c r="AD59" i="27" s="1"/>
  <c r="AB67" i="27"/>
  <c r="AC67" i="27" s="1"/>
  <c r="G32" i="27"/>
  <c r="AD69" i="27" s="1"/>
  <c r="G33" i="27"/>
  <c r="AD70" i="27" s="1"/>
  <c r="AB66" i="27"/>
  <c r="AC66" i="27" s="1"/>
  <c r="AB65" i="27"/>
  <c r="AC65" i="27" s="1"/>
  <c r="AB75" i="27"/>
  <c r="AC75" i="27" s="1"/>
  <c r="AD75" i="27" s="1"/>
  <c r="BE13" i="7"/>
  <c r="O16" i="25"/>
  <c r="O17" i="25"/>
  <c r="O15" i="25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I24" i="1"/>
  <c r="A21" i="24"/>
  <c r="K20" i="24"/>
  <c r="L20" i="24"/>
  <c r="AB20" i="24"/>
  <c r="X20" i="24"/>
  <c r="AJ20" i="24"/>
  <c r="AK20" i="24"/>
  <c r="O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O19" i="25"/>
  <c r="BX11" i="7"/>
  <c r="BV15" i="7"/>
  <c r="BW11" i="7"/>
  <c r="A26" i="17"/>
  <c r="K25" i="17"/>
  <c r="AB25" i="17"/>
  <c r="X25" i="17"/>
  <c r="L25" i="17"/>
  <c r="D25" i="17" s="1"/>
  <c r="AJ25" i="17"/>
  <c r="AK25" i="17"/>
  <c r="AC25" i="17"/>
  <c r="O25" i="17"/>
  <c r="K22" i="22"/>
  <c r="L22" i="22"/>
  <c r="X22" i="22"/>
  <c r="AB22" i="22"/>
  <c r="A23" i="22"/>
  <c r="AJ22" i="22"/>
  <c r="AK22" i="22"/>
  <c r="O22" i="22"/>
  <c r="AC22" i="22"/>
  <c r="AB23" i="20"/>
  <c r="K23" i="20"/>
  <c r="X23" i="20"/>
  <c r="L23" i="20"/>
  <c r="A24" i="20"/>
  <c r="AJ23" i="20"/>
  <c r="AK23" i="20"/>
  <c r="O23" i="20"/>
  <c r="AC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O21" i="23"/>
  <c r="AC21" i="23"/>
  <c r="AB24" i="18"/>
  <c r="X24" i="18"/>
  <c r="K24" i="18"/>
  <c r="A25" i="18"/>
  <c r="L24" i="18"/>
  <c r="AJ24" i="18"/>
  <c r="O24" i="18"/>
  <c r="AK24" i="18"/>
  <c r="AC24" i="18"/>
  <c r="E25" i="17" l="1"/>
  <c r="AC17" i="24"/>
  <c r="AC19" i="24"/>
  <c r="AC18" i="24"/>
  <c r="AC20" i="24"/>
  <c r="AC10" i="24"/>
  <c r="AC19" i="25" s="1"/>
  <c r="AC15" i="24"/>
  <c r="E25" i="15"/>
  <c r="AB26" i="15"/>
  <c r="AJ26" i="15"/>
  <c r="A27" i="15"/>
  <c r="AK26" i="15"/>
  <c r="X26" i="15"/>
  <c r="L26" i="15"/>
  <c r="D26" i="15" s="1"/>
  <c r="AC26" i="15"/>
  <c r="K26" i="15"/>
  <c r="O26" i="15"/>
  <c r="AF67" i="27"/>
  <c r="P67" i="27" s="1"/>
  <c r="G30" i="27" s="1"/>
  <c r="AD67" i="27" s="1"/>
  <c r="AF66" i="27"/>
  <c r="P66" i="27" s="1"/>
  <c r="G25" i="27"/>
  <c r="AD62" i="27" s="1"/>
  <c r="G24" i="27"/>
  <c r="AD61" i="27" s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O22" i="23"/>
  <c r="AC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O23" i="22"/>
  <c r="AC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O20" i="25"/>
  <c r="X25" i="18"/>
  <c r="L25" i="18"/>
  <c r="A26" i="18"/>
  <c r="K25" i="18"/>
  <c r="AB25" i="18"/>
  <c r="O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O24" i="20"/>
  <c r="AC24" i="20"/>
  <c r="A22" i="24"/>
  <c r="K21" i="24"/>
  <c r="X21" i="24"/>
  <c r="AB21" i="24"/>
  <c r="L21" i="24"/>
  <c r="AJ21" i="24"/>
  <c r="AK21" i="24"/>
  <c r="O21" i="24"/>
  <c r="AC21" i="24"/>
  <c r="AC15" i="25" l="1"/>
  <c r="AC20" i="25"/>
  <c r="AC18" i="25"/>
  <c r="AC10" i="25"/>
  <c r="AC17" i="25"/>
  <c r="AC16" i="25"/>
  <c r="E26" i="15"/>
  <c r="AC27" i="15"/>
  <c r="AB27" i="15"/>
  <c r="AJ27" i="15"/>
  <c r="L27" i="15"/>
  <c r="D27" i="15" s="1"/>
  <c r="O27" i="15"/>
  <c r="K27" i="15"/>
  <c r="X27" i="15"/>
  <c r="A28" i="15"/>
  <c r="AK27" i="15"/>
  <c r="G28" i="27"/>
  <c r="AD65" i="27" s="1"/>
  <c r="A83" i="27" a="1"/>
  <c r="G29" i="27"/>
  <c r="AD66" i="27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O22" i="24"/>
  <c r="AC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O24" i="22"/>
  <c r="AC24" i="22"/>
  <c r="X25" i="20"/>
  <c r="A26" i="20"/>
  <c r="K25" i="20"/>
  <c r="L25" i="20"/>
  <c r="AB25" i="20"/>
  <c r="AK25" i="20"/>
  <c r="AJ25" i="20"/>
  <c r="O25" i="20"/>
  <c r="AC25" i="20"/>
  <c r="S28" i="1"/>
  <c r="R28" i="1" s="1"/>
  <c r="X21" i="25"/>
  <c r="K21" i="25"/>
  <c r="AB21" i="25"/>
  <c r="A22" i="25"/>
  <c r="L21" i="25"/>
  <c r="AJ21" i="25"/>
  <c r="O21" i="25"/>
  <c r="AK21" i="25"/>
  <c r="AC21" i="25"/>
  <c r="D26" i="17"/>
  <c r="E26" i="17" s="1"/>
  <c r="I26" i="1"/>
  <c r="AA26" i="1"/>
  <c r="Z26" i="1" s="1"/>
  <c r="Y26" i="1" s="1"/>
  <c r="A24" i="23"/>
  <c r="K23" i="23"/>
  <c r="L23" i="23"/>
  <c r="X23" i="23"/>
  <c r="AB23" i="23"/>
  <c r="AJ23" i="23"/>
  <c r="AK23" i="23"/>
  <c r="O23" i="23"/>
  <c r="AC23" i="23"/>
  <c r="E27" i="15" l="1"/>
  <c r="AA27" i="1"/>
  <c r="Z27" i="1" s="1"/>
  <c r="Y27" i="1" s="1"/>
  <c r="A29" i="15"/>
  <c r="K28" i="15"/>
  <c r="L28" i="15"/>
  <c r="D28" i="15" s="1"/>
  <c r="AJ28" i="15"/>
  <c r="O28" i="15"/>
  <c r="X28" i="15"/>
  <c r="AK28" i="15"/>
  <c r="AB28" i="15"/>
  <c r="AC28" i="15"/>
  <c r="I27" i="1"/>
  <c r="A91" i="27"/>
  <c r="P91" i="27"/>
  <c r="P85" i="27"/>
  <c r="Q84" i="27"/>
  <c r="W93" i="27"/>
  <c r="A92" i="27"/>
  <c r="R90" i="27"/>
  <c r="Y91" i="27"/>
  <c r="H84" i="27"/>
  <c r="U89" i="27"/>
  <c r="M86" i="27"/>
  <c r="F89" i="27"/>
  <c r="A87" i="27"/>
  <c r="K92" i="27"/>
  <c r="D85" i="27"/>
  <c r="N89" i="27"/>
  <c r="G85" i="27"/>
  <c r="G83" i="27"/>
  <c r="I90" i="27"/>
  <c r="W88" i="27"/>
  <c r="T83" i="27"/>
  <c r="L84" i="27"/>
  <c r="X90" i="27"/>
  <c r="Q92" i="27"/>
  <c r="Z90" i="27"/>
  <c r="G94" i="27"/>
  <c r="F84" i="27"/>
  <c r="F92" i="27"/>
  <c r="K88" i="27"/>
  <c r="S94" i="27"/>
  <c r="I91" i="27"/>
  <c r="Z91" i="27"/>
  <c r="G93" i="27"/>
  <c r="U93" i="27"/>
  <c r="E92" i="27"/>
  <c r="E88" i="27"/>
  <c r="C84" i="27"/>
  <c r="B87" i="27"/>
  <c r="K89" i="27"/>
  <c r="U84" i="27"/>
  <c r="B90" i="27"/>
  <c r="R94" i="27"/>
  <c r="Q88" i="27"/>
  <c r="O89" i="27"/>
  <c r="K87" i="27"/>
  <c r="C86" i="27"/>
  <c r="I92" i="27"/>
  <c r="Y87" i="27"/>
  <c r="I95" i="27"/>
  <c r="C92" i="27"/>
  <c r="R89" i="27"/>
  <c r="P92" i="27"/>
  <c r="U87" i="27"/>
  <c r="J85" i="27"/>
  <c r="U86" i="27"/>
  <c r="S90" i="27"/>
  <c r="E95" i="27"/>
  <c r="B86" i="27"/>
  <c r="K95" i="27"/>
  <c r="D90" i="27"/>
  <c r="P94" i="27"/>
  <c r="Q86" i="27"/>
  <c r="B92" i="27"/>
  <c r="G87" i="27"/>
  <c r="Q93" i="27"/>
  <c r="G90" i="27"/>
  <c r="S93" i="27"/>
  <c r="X93" i="27"/>
  <c r="R86" i="27"/>
  <c r="G91" i="27"/>
  <c r="M88" i="27"/>
  <c r="D91" i="27"/>
  <c r="N92" i="27"/>
  <c r="T95" i="27"/>
  <c r="F83" i="27"/>
  <c r="Q90" i="27"/>
  <c r="J84" i="27"/>
  <c r="V87" i="27"/>
  <c r="A83" i="27"/>
  <c r="M90" i="27"/>
  <c r="L95" i="27"/>
  <c r="H91" i="27"/>
  <c r="L89" i="27"/>
  <c r="M85" i="27"/>
  <c r="D84" i="27"/>
  <c r="I87" i="27"/>
  <c r="U90" i="27"/>
  <c r="L87" i="27"/>
  <c r="X91" i="27"/>
  <c r="M93" i="27"/>
  <c r="I86" i="27"/>
  <c r="B89" i="27"/>
  <c r="X86" i="27"/>
  <c r="V93" i="27"/>
  <c r="O90" i="27"/>
  <c r="T93" i="27"/>
  <c r="U92" i="27"/>
  <c r="E83" i="27"/>
  <c r="W86" i="27"/>
  <c r="L85" i="27"/>
  <c r="Y83" i="27"/>
  <c r="R91" i="27"/>
  <c r="Q87" i="27"/>
  <c r="Q89" i="27"/>
  <c r="P93" i="27"/>
  <c r="U94" i="27"/>
  <c r="U83" i="27"/>
  <c r="G88" i="27"/>
  <c r="A84" i="27"/>
  <c r="V92" i="27"/>
  <c r="B84" i="27"/>
  <c r="Y85" i="27"/>
  <c r="E90" i="27"/>
  <c r="D88" i="27"/>
  <c r="Q91" i="27"/>
  <c r="V90" i="27"/>
  <c r="S84" i="27"/>
  <c r="J88" i="27"/>
  <c r="L90" i="27"/>
  <c r="D83" i="27"/>
  <c r="Y89" i="27"/>
  <c r="T91" i="27"/>
  <c r="T87" i="27"/>
  <c r="Q85" i="27"/>
  <c r="H92" i="27"/>
  <c r="W90" i="27"/>
  <c r="Z83" i="27"/>
  <c r="P89" i="27"/>
  <c r="O87" i="27"/>
  <c r="W91" i="27"/>
  <c r="M89" i="27"/>
  <c r="L93" i="27"/>
  <c r="R87" i="27"/>
  <c r="Q94" i="27"/>
  <c r="B88" i="27"/>
  <c r="V91" i="27"/>
  <c r="O86" i="27"/>
  <c r="F86" i="27"/>
  <c r="M92" i="27"/>
  <c r="Y94" i="27"/>
  <c r="M84" i="27"/>
  <c r="C94" i="27"/>
  <c r="P90" i="27"/>
  <c r="E86" i="27"/>
  <c r="K91" i="27"/>
  <c r="C83" i="27"/>
  <c r="S95" i="27"/>
  <c r="K83" i="27"/>
  <c r="E94" i="27"/>
  <c r="A89" i="27"/>
  <c r="L92" i="27"/>
  <c r="Z87" i="27"/>
  <c r="X88" i="27"/>
  <c r="C95" i="27"/>
  <c r="D94" i="27"/>
  <c r="F85" i="27"/>
  <c r="G89" i="27"/>
  <c r="U95" i="27"/>
  <c r="K86" i="27"/>
  <c r="S91" i="27"/>
  <c r="W94" i="27"/>
  <c r="L83" i="27"/>
  <c r="K93" i="27"/>
  <c r="H88" i="27"/>
  <c r="O84" i="27"/>
  <c r="F94" i="27"/>
  <c r="Y95" i="27"/>
  <c r="V89" i="27"/>
  <c r="H83" i="27"/>
  <c r="B91" i="27"/>
  <c r="Z92" i="27"/>
  <c r="F88" i="27"/>
  <c r="S85" i="27"/>
  <c r="I94" i="27"/>
  <c r="X89" i="27"/>
  <c r="Y84" i="27"/>
  <c r="C88" i="27"/>
  <c r="W87" i="27"/>
  <c r="H85" i="27"/>
  <c r="F87" i="27"/>
  <c r="E89" i="27"/>
  <c r="X94" i="27"/>
  <c r="N95" i="27"/>
  <c r="W83" i="27"/>
  <c r="N90" i="27"/>
  <c r="X92" i="27"/>
  <c r="M94" i="27"/>
  <c r="J87" i="27"/>
  <c r="H86" i="27"/>
  <c r="D93" i="27"/>
  <c r="A86" i="27"/>
  <c r="I93" i="27"/>
  <c r="N93" i="27"/>
  <c r="A85" i="27"/>
  <c r="C89" i="27"/>
  <c r="X85" i="27"/>
  <c r="P83" i="27"/>
  <c r="V88" i="27"/>
  <c r="T89" i="27"/>
  <c r="B94" i="27"/>
  <c r="Z93" i="27"/>
  <c r="T86" i="27"/>
  <c r="R84" i="27"/>
  <c r="D92" i="27"/>
  <c r="M95" i="27"/>
  <c r="K90" i="27"/>
  <c r="X95" i="27"/>
  <c r="M91" i="27"/>
  <c r="N91" i="27"/>
  <c r="F90" i="27"/>
  <c r="D86" i="27"/>
  <c r="N85" i="27"/>
  <c r="K84" i="27"/>
  <c r="J92" i="27"/>
  <c r="N88" i="27"/>
  <c r="S89" i="27"/>
  <c r="H87" i="27"/>
  <c r="J94" i="27"/>
  <c r="B93" i="27"/>
  <c r="V83" i="27"/>
  <c r="I84" i="27"/>
  <c r="P95" i="27"/>
  <c r="Z95" i="27"/>
  <c r="P87" i="27"/>
  <c r="H93" i="27"/>
  <c r="F91" i="27"/>
  <c r="Z94" i="27"/>
  <c r="Z84" i="27"/>
  <c r="Z88" i="27"/>
  <c r="F93" i="27"/>
  <c r="T88" i="27"/>
  <c r="S86" i="27"/>
  <c r="M83" i="27"/>
  <c r="O94" i="27"/>
  <c r="L91" i="27"/>
  <c r="W89" i="27"/>
  <c r="A95" i="27"/>
  <c r="E93" i="27"/>
  <c r="D95" i="27"/>
  <c r="J86" i="27"/>
  <c r="D89" i="27"/>
  <c r="X87" i="27"/>
  <c r="Q95" i="27"/>
  <c r="R83" i="27"/>
  <c r="Y92" i="27"/>
  <c r="K85" i="27"/>
  <c r="H90" i="27"/>
  <c r="T92" i="27"/>
  <c r="H95" i="27"/>
  <c r="J93" i="27"/>
  <c r="J90" i="27"/>
  <c r="H89" i="27"/>
  <c r="O88" i="27"/>
  <c r="C90" i="27"/>
  <c r="C85" i="27"/>
  <c r="L94" i="27"/>
  <c r="Y86" i="27"/>
  <c r="N94" i="27"/>
  <c r="E91" i="27"/>
  <c r="U88" i="27"/>
  <c r="R95" i="27"/>
  <c r="F95" i="27"/>
  <c r="S88" i="27"/>
  <c r="T84" i="27"/>
  <c r="U91" i="27"/>
  <c r="W92" i="27"/>
  <c r="Y90" i="27"/>
  <c r="Y88" i="27"/>
  <c r="A88" i="27"/>
  <c r="Z85" i="27"/>
  <c r="V84" i="27"/>
  <c r="P84" i="27"/>
  <c r="B83" i="27"/>
  <c r="K94" i="27"/>
  <c r="X83" i="27"/>
  <c r="A93" i="27"/>
  <c r="E87" i="27"/>
  <c r="S87" i="27"/>
  <c r="T90" i="27"/>
  <c r="I85" i="27"/>
  <c r="N84" i="27"/>
  <c r="E85" i="27"/>
  <c r="J83" i="27"/>
  <c r="A90" i="27"/>
  <c r="X84" i="27"/>
  <c r="A94" i="27"/>
  <c r="N86" i="27"/>
  <c r="I83" i="27"/>
  <c r="W84" i="27"/>
  <c r="L88" i="27"/>
  <c r="M87" i="27"/>
  <c r="U85" i="27"/>
  <c r="O85" i="27"/>
  <c r="O91" i="27"/>
  <c r="I89" i="27"/>
  <c r="G95" i="27"/>
  <c r="N83" i="27"/>
  <c r="J91" i="27"/>
  <c r="R85" i="27"/>
  <c r="H94" i="27"/>
  <c r="O92" i="27"/>
  <c r="O83" i="27"/>
  <c r="R92" i="27"/>
  <c r="J95" i="27"/>
  <c r="S83" i="27"/>
  <c r="V85" i="27"/>
  <c r="B85" i="27"/>
  <c r="V86" i="27"/>
  <c r="B95" i="27"/>
  <c r="O95" i="27"/>
  <c r="I88" i="27"/>
  <c r="Y93" i="27"/>
  <c r="Z89" i="27"/>
  <c r="W95" i="27"/>
  <c r="P88" i="27"/>
  <c r="D87" i="27"/>
  <c r="O93" i="27"/>
  <c r="G92" i="27"/>
  <c r="C91" i="27"/>
  <c r="G84" i="27"/>
  <c r="P86" i="27"/>
  <c r="T94" i="27"/>
  <c r="Q83" i="27"/>
  <c r="G86" i="27"/>
  <c r="L86" i="27"/>
  <c r="R88" i="27"/>
  <c r="J89" i="27"/>
  <c r="N87" i="27"/>
  <c r="S92" i="27"/>
  <c r="W85" i="27"/>
  <c r="E84" i="27"/>
  <c r="C93" i="27"/>
  <c r="C87" i="27"/>
  <c r="R93" i="27"/>
  <c r="V94" i="27"/>
  <c r="T85" i="27"/>
  <c r="V95" i="27"/>
  <c r="Z86" i="27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O24" i="23"/>
  <c r="AC24" i="23"/>
  <c r="K22" i="25"/>
  <c r="AB22" i="25"/>
  <c r="X22" i="25"/>
  <c r="A23" i="25"/>
  <c r="L22" i="25"/>
  <c r="AJ22" i="25"/>
  <c r="AK22" i="25"/>
  <c r="O22" i="25"/>
  <c r="AC22" i="25"/>
  <c r="K26" i="20"/>
  <c r="AB26" i="20"/>
  <c r="X26" i="20"/>
  <c r="A27" i="20"/>
  <c r="L26" i="20"/>
  <c r="AK26" i="20"/>
  <c r="AJ26" i="20"/>
  <c r="O26" i="20"/>
  <c r="AC26" i="20"/>
  <c r="A26" i="22"/>
  <c r="L25" i="22"/>
  <c r="X25" i="22"/>
  <c r="AB25" i="22"/>
  <c r="K25" i="22"/>
  <c r="AK25" i="22"/>
  <c r="AJ25" i="22"/>
  <c r="O25" i="22"/>
  <c r="AC25" i="22"/>
  <c r="A29" i="17"/>
  <c r="L28" i="17"/>
  <c r="D28" i="17" s="1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O23" i="24"/>
  <c r="AC23" i="24"/>
  <c r="D27" i="17"/>
  <c r="E27" i="17" s="1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E28" i="15" l="1"/>
  <c r="A32" i="7"/>
  <c r="A30" i="15"/>
  <c r="AC29" i="15"/>
  <c r="L29" i="15"/>
  <c r="AK29" i="15"/>
  <c r="X29" i="15"/>
  <c r="AJ29" i="15"/>
  <c r="K29" i="15"/>
  <c r="AB29" i="15"/>
  <c r="O29" i="15"/>
  <c r="C32" i="7" s="1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O25" i="23"/>
  <c r="AC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O24" i="24"/>
  <c r="AC24" i="24"/>
  <c r="E28" i="17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O26" i="22"/>
  <c r="AC26" i="22"/>
  <c r="X27" i="20"/>
  <c r="A28" i="20"/>
  <c r="K27" i="20"/>
  <c r="L27" i="20"/>
  <c r="AB27" i="20"/>
  <c r="AJ27" i="20"/>
  <c r="AK27" i="20"/>
  <c r="O27" i="20"/>
  <c r="AC27" i="20"/>
  <c r="A24" i="25"/>
  <c r="AB23" i="25"/>
  <c r="L23" i="25"/>
  <c r="X23" i="25"/>
  <c r="K23" i="25"/>
  <c r="AJ23" i="25"/>
  <c r="O23" i="25"/>
  <c r="AK23" i="25"/>
  <c r="AC23" i="25"/>
  <c r="D29" i="15" l="1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V30" i="1"/>
  <c r="X30" i="16"/>
  <c r="AB30" i="16"/>
  <c r="A31" i="16"/>
  <c r="AJ30" i="16"/>
  <c r="O30" i="16"/>
  <c r="K30" i="16"/>
  <c r="L30" i="16"/>
  <c r="D30" i="16" s="1"/>
  <c r="E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O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O26" i="23"/>
  <c r="AC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O24" i="25"/>
  <c r="AC24" i="25"/>
  <c r="A29" i="20"/>
  <c r="AB28" i="20"/>
  <c r="L28" i="20"/>
  <c r="X28" i="20"/>
  <c r="K28" i="20"/>
  <c r="AJ28" i="20"/>
  <c r="AK28" i="20"/>
  <c r="O28" i="20"/>
  <c r="AC28" i="20"/>
  <c r="D29" i="17"/>
  <c r="E29" i="17" s="1"/>
  <c r="B56" i="7"/>
  <c r="K25" i="24"/>
  <c r="A26" i="24"/>
  <c r="X25" i="24"/>
  <c r="AB25" i="24"/>
  <c r="L25" i="24"/>
  <c r="AJ25" i="24"/>
  <c r="AK25" i="24"/>
  <c r="O25" i="24"/>
  <c r="AC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30" i="15" l="1"/>
  <c r="L31" i="15"/>
  <c r="D31" i="15" s="1"/>
  <c r="X31" i="15"/>
  <c r="AC31" i="15"/>
  <c r="A32" i="15"/>
  <c r="O31" i="15"/>
  <c r="K31" i="15"/>
  <c r="AJ31" i="15"/>
  <c r="AB31" i="15"/>
  <c r="AK31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O26" i="24"/>
  <c r="AC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O27" i="23"/>
  <c r="AC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O25" i="25"/>
  <c r="AK25" i="25"/>
  <c r="AC25" i="25"/>
  <c r="B68" i="7"/>
  <c r="D30" i="17"/>
  <c r="E30" i="17" s="1"/>
  <c r="X28" i="22"/>
  <c r="AB28" i="22"/>
  <c r="A29" i="22"/>
  <c r="K28" i="22"/>
  <c r="L28" i="22"/>
  <c r="AJ28" i="22"/>
  <c r="AK28" i="22"/>
  <c r="O28" i="22"/>
  <c r="AC28" i="22"/>
  <c r="E31" i="15" l="1"/>
  <c r="K32" i="15"/>
  <c r="AB32" i="15"/>
  <c r="O32" i="15"/>
  <c r="A33" i="15"/>
  <c r="AC32" i="15"/>
  <c r="X32" i="15"/>
  <c r="AJ32" i="15"/>
  <c r="L32" i="15"/>
  <c r="D32" i="15" s="1"/>
  <c r="AK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O26" i="25"/>
  <c r="AK26" i="25"/>
  <c r="AC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O28" i="23"/>
  <c r="AC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D31" i="17"/>
  <c r="E31" i="17" s="1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4"/>
  <c r="AC27" i="24"/>
  <c r="E32" i="15" l="1"/>
  <c r="K33" i="15"/>
  <c r="AJ33" i="15"/>
  <c r="AB33" i="15"/>
  <c r="AK33" i="15"/>
  <c r="L33" i="15"/>
  <c r="D33" i="15" s="1"/>
  <c r="X33" i="15"/>
  <c r="AC33" i="15"/>
  <c r="A34" i="15"/>
  <c r="O33" i="15"/>
  <c r="E33" i="15" s="1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O29" i="23"/>
  <c r="AG44" i="7" s="1"/>
  <c r="AC29" i="23"/>
  <c r="A34" i="17"/>
  <c r="K33" i="17"/>
  <c r="X33" i="17"/>
  <c r="L33" i="17"/>
  <c r="D33" i="17" s="1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O27" i="25"/>
  <c r="AC27" i="25"/>
  <c r="L28" i="24"/>
  <c r="A29" i="24"/>
  <c r="X28" i="24"/>
  <c r="AB28" i="24"/>
  <c r="K28" i="24"/>
  <c r="AK28" i="24"/>
  <c r="AJ28" i="24"/>
  <c r="O28" i="24"/>
  <c r="AC28" i="24"/>
  <c r="P34" i="1"/>
  <c r="V34" i="1" s="1"/>
  <c r="D32" i="17"/>
  <c r="E32" i="17" s="1"/>
  <c r="AF32" i="7"/>
  <c r="X30" i="22"/>
  <c r="L30" i="22"/>
  <c r="A31" i="22"/>
  <c r="K30" i="22"/>
  <c r="AB30" i="22"/>
  <c r="AK30" i="22"/>
  <c r="AJ30" i="22"/>
  <c r="O30" i="22"/>
  <c r="AC30" i="22"/>
  <c r="E33" i="17" l="1"/>
  <c r="AB34" i="15"/>
  <c r="AK34" i="15"/>
  <c r="L34" i="15"/>
  <c r="D34" i="15" s="1"/>
  <c r="K34" i="15"/>
  <c r="AC34" i="15"/>
  <c r="X34" i="15"/>
  <c r="O34" i="15"/>
  <c r="A35" i="15"/>
  <c r="AJ34" i="15"/>
  <c r="I31" i="1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O29" i="24"/>
  <c r="AG56" i="7" s="1"/>
  <c r="AJ29" i="24"/>
  <c r="AC29" i="24"/>
  <c r="K28" i="25"/>
  <c r="AB28" i="25"/>
  <c r="A29" i="25"/>
  <c r="L28" i="25"/>
  <c r="X28" i="25"/>
  <c r="AJ28" i="25"/>
  <c r="AK28" i="25"/>
  <c r="O28" i="25"/>
  <c r="AC28" i="25"/>
  <c r="K34" i="17"/>
  <c r="X34" i="17"/>
  <c r="L34" i="17"/>
  <c r="D34" i="17" s="1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O30" i="23"/>
  <c r="AC30" i="23"/>
  <c r="AB36" i="1"/>
  <c r="L36" i="1"/>
  <c r="A37" i="1"/>
  <c r="AK36" i="1"/>
  <c r="X36" i="1"/>
  <c r="O36" i="1"/>
  <c r="K36" i="1"/>
  <c r="AJ36" i="1"/>
  <c r="Q36" i="1"/>
  <c r="AC36" i="1"/>
  <c r="U36" i="1"/>
  <c r="E34" i="15" l="1"/>
  <c r="L35" i="15"/>
  <c r="D35" i="15" s="1"/>
  <c r="O35" i="15"/>
  <c r="X35" i="15"/>
  <c r="AJ35" i="15"/>
  <c r="K35" i="15"/>
  <c r="AK35" i="15"/>
  <c r="A36" i="15"/>
  <c r="AB35" i="15"/>
  <c r="AC35" i="15"/>
  <c r="Y31" i="1"/>
  <c r="E34" i="17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D35" i="17" s="1"/>
  <c r="AB35" i="17"/>
  <c r="K35" i="17"/>
  <c r="AJ35" i="17"/>
  <c r="AK35" i="17"/>
  <c r="AC35" i="17"/>
  <c r="O35" i="17"/>
  <c r="E35" i="17" s="1"/>
  <c r="K29" i="25"/>
  <c r="X29" i="25"/>
  <c r="AB29" i="25"/>
  <c r="L29" i="25"/>
  <c r="AE68" i="7"/>
  <c r="A30" i="25"/>
  <c r="AJ29" i="25"/>
  <c r="O29" i="25"/>
  <c r="AG68" i="7" s="1"/>
  <c r="AK29" i="25"/>
  <c r="AC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O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O30" i="24"/>
  <c r="AC30" i="24"/>
  <c r="A33" i="22"/>
  <c r="K32" i="22"/>
  <c r="AB32" i="22"/>
  <c r="X32" i="22"/>
  <c r="L32" i="22"/>
  <c r="AJ32" i="22"/>
  <c r="AK32" i="22"/>
  <c r="O32" i="22"/>
  <c r="AC32" i="22"/>
  <c r="E35" i="15" l="1"/>
  <c r="A37" i="15"/>
  <c r="AK36" i="15"/>
  <c r="K36" i="15"/>
  <c r="X36" i="15"/>
  <c r="AC36" i="15"/>
  <c r="AB36" i="15"/>
  <c r="O36" i="15"/>
  <c r="L36" i="15"/>
  <c r="D36" i="15" s="1"/>
  <c r="AJ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O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O30" i="25"/>
  <c r="AC30" i="25"/>
  <c r="AF68" i="7"/>
  <c r="I35" i="1"/>
  <c r="AA35" i="1"/>
  <c r="Z35" i="1" s="1"/>
  <c r="Y35" i="1" s="1"/>
  <c r="E36" i="15" l="1"/>
  <c r="L37" i="15"/>
  <c r="D37" i="15" s="1"/>
  <c r="AJ37" i="15"/>
  <c r="AB37" i="15"/>
  <c r="AK37" i="15"/>
  <c r="K37" i="15"/>
  <c r="X37" i="15"/>
  <c r="AC37" i="15"/>
  <c r="A38" i="15"/>
  <c r="O37" i="15"/>
  <c r="I37" i="1"/>
  <c r="X37" i="16"/>
  <c r="K37" i="16"/>
  <c r="A38" i="16"/>
  <c r="AJ37" i="16"/>
  <c r="O37" i="16"/>
  <c r="AB37" i="16"/>
  <c r="L37" i="16"/>
  <c r="D37" i="16" s="1"/>
  <c r="AK37" i="16"/>
  <c r="AC37" i="16"/>
  <c r="E36" i="16"/>
  <c r="X31" i="25"/>
  <c r="A32" i="25"/>
  <c r="K31" i="25"/>
  <c r="L31" i="25"/>
  <c r="AB31" i="25"/>
  <c r="AJ31" i="25"/>
  <c r="O31" i="25"/>
  <c r="AK31" i="25"/>
  <c r="AC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D36" i="17"/>
  <c r="E36" i="17" s="1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O32" i="24"/>
  <c r="AC32" i="24"/>
  <c r="X34" i="22"/>
  <c r="L34" i="22"/>
  <c r="AB34" i="22"/>
  <c r="A35" i="22"/>
  <c r="K34" i="22"/>
  <c r="AJ34" i="22"/>
  <c r="AK34" i="22"/>
  <c r="O34" i="22"/>
  <c r="AC34" i="22"/>
  <c r="E37" i="16" l="1"/>
  <c r="E37" i="15"/>
  <c r="AB38" i="15"/>
  <c r="X38" i="15"/>
  <c r="O38" i="15"/>
  <c r="K38" i="15"/>
  <c r="AC38" i="15"/>
  <c r="L38" i="15"/>
  <c r="D38" i="15" s="1"/>
  <c r="AK38" i="15"/>
  <c r="A39" i="15"/>
  <c r="AJ38" i="15"/>
  <c r="AA37" i="1"/>
  <c r="Z37" i="1" s="1"/>
  <c r="Y37" i="1" s="1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D37" i="17"/>
  <c r="E37" i="17" s="1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O32" i="25"/>
  <c r="AC32" i="25"/>
  <c r="E38" i="15" l="1"/>
  <c r="X39" i="15"/>
  <c r="AB39" i="15"/>
  <c r="AC39" i="15"/>
  <c r="A40" i="15"/>
  <c r="O39" i="15"/>
  <c r="K39" i="15"/>
  <c r="AJ39" i="15"/>
  <c r="L39" i="15"/>
  <c r="D39" i="15" s="1"/>
  <c r="AK39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X37" i="20"/>
  <c r="K37" i="20"/>
  <c r="A38" i="20"/>
  <c r="AB37" i="20"/>
  <c r="L37" i="20"/>
  <c r="AJ37" i="20"/>
  <c r="AK37" i="20"/>
  <c r="O37" i="20"/>
  <c r="AC37" i="20"/>
  <c r="D38" i="17"/>
  <c r="K33" i="25"/>
  <c r="A34" i="25"/>
  <c r="L33" i="25"/>
  <c r="AB33" i="25"/>
  <c r="X33" i="25"/>
  <c r="AJ33" i="25"/>
  <c r="O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E38" i="17"/>
  <c r="K39" i="17"/>
  <c r="L39" i="17"/>
  <c r="D39" i="17" s="1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I39" i="1" l="1"/>
  <c r="E39" i="15"/>
  <c r="K40" i="15"/>
  <c r="AJ40" i="15"/>
  <c r="A41" i="15"/>
  <c r="AK40" i="15"/>
  <c r="L40" i="15"/>
  <c r="D40" i="15" s="1"/>
  <c r="AB40" i="15"/>
  <c r="AC40" i="15"/>
  <c r="X40" i="15"/>
  <c r="O40" i="15"/>
  <c r="E40" i="15" s="1"/>
  <c r="AA39" i="1"/>
  <c r="Z39" i="1" s="1"/>
  <c r="Y39" i="1" s="1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E39" i="17"/>
  <c r="A41" i="17"/>
  <c r="L40" i="17"/>
  <c r="D40" i="17" s="1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O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E40" i="16" l="1"/>
  <c r="K41" i="15"/>
  <c r="AJ41" i="15"/>
  <c r="L41" i="15"/>
  <c r="D41" i="15" s="1"/>
  <c r="AK41" i="15"/>
  <c r="AB41" i="15"/>
  <c r="A42" i="15"/>
  <c r="AC41" i="15"/>
  <c r="X41" i="15"/>
  <c r="O41" i="15"/>
  <c r="E41" i="15" s="1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E40" i="17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AB42" i="15" l="1"/>
  <c r="AK42" i="15"/>
  <c r="L42" i="15"/>
  <c r="D42" i="15" s="1"/>
  <c r="AJ42" i="15"/>
  <c r="X42" i="15"/>
  <c r="A43" i="15"/>
  <c r="O42" i="15"/>
  <c r="K42" i="15"/>
  <c r="AC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D41" i="17"/>
  <c r="E41" i="17" s="1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X43" i="15" l="1"/>
  <c r="AC43" i="15"/>
  <c r="A44" i="15"/>
  <c r="AJ43" i="15"/>
  <c r="AB43" i="15"/>
  <c r="AK43" i="15"/>
  <c r="L43" i="15"/>
  <c r="D43" i="15" s="1"/>
  <c r="K43" i="15"/>
  <c r="O43" i="15"/>
  <c r="E43" i="15" s="1"/>
  <c r="E42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2" i="17"/>
  <c r="E42" i="17" s="1"/>
  <c r="AB44" i="15" l="1"/>
  <c r="AC44" i="15"/>
  <c r="L44" i="15"/>
  <c r="D44" i="15" s="1"/>
  <c r="AJ44" i="15"/>
  <c r="A45" i="15"/>
  <c r="AK44" i="15"/>
  <c r="X44" i="15"/>
  <c r="K44" i="15"/>
  <c r="O44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D43" i="17"/>
  <c r="E43" i="17" s="1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A46" i="15" l="1"/>
  <c r="AC45" i="15"/>
  <c r="L45" i="15"/>
  <c r="D45" i="15" s="1"/>
  <c r="AJ45" i="15"/>
  <c r="K45" i="15"/>
  <c r="AK45" i="15"/>
  <c r="AB45" i="15"/>
  <c r="X45" i="15"/>
  <c r="O45" i="15"/>
  <c r="E44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D44" i="17"/>
  <c r="E44" i="17" s="1"/>
  <c r="X45" i="17"/>
  <c r="A46" i="17"/>
  <c r="AB45" i="17"/>
  <c r="L45" i="17"/>
  <c r="D45" i="17" s="1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5" i="15" l="1"/>
  <c r="AB46" i="15"/>
  <c r="O46" i="15"/>
  <c r="L46" i="15"/>
  <c r="D46" i="15" s="1"/>
  <c r="AK46" i="15"/>
  <c r="X46" i="15"/>
  <c r="AJ46" i="15"/>
  <c r="A47" i="15"/>
  <c r="K46" i="15"/>
  <c r="AC46" i="15"/>
  <c r="E45" i="17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E46" i="15" l="1"/>
  <c r="K47" i="15"/>
  <c r="X47" i="15"/>
  <c r="AC47" i="15"/>
  <c r="AB47" i="15"/>
  <c r="O47" i="15"/>
  <c r="L47" i="15"/>
  <c r="D47" i="15" s="1"/>
  <c r="AJ47" i="15"/>
  <c r="A48" i="15"/>
  <c r="AK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D46" i="17"/>
  <c r="E46" i="17" s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D47" i="17" s="1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7" i="15" l="1"/>
  <c r="L48" i="15"/>
  <c r="D48" i="15" s="1"/>
  <c r="O48" i="15"/>
  <c r="K48" i="15"/>
  <c r="AJ48" i="15"/>
  <c r="A49" i="15"/>
  <c r="AK48" i="15"/>
  <c r="AB48" i="15"/>
  <c r="X48" i="15"/>
  <c r="AC48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E47" i="17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8" i="16" l="1"/>
  <c r="E48" i="15"/>
  <c r="K49" i="15"/>
  <c r="AB49" i="15"/>
  <c r="O49" i="15"/>
  <c r="A50" i="15"/>
  <c r="AC49" i="15"/>
  <c r="L49" i="15"/>
  <c r="D49" i="15" s="1"/>
  <c r="AJ49" i="15"/>
  <c r="X49" i="15"/>
  <c r="AK49" i="15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D49" i="17" s="1"/>
  <c r="AJ49" i="17"/>
  <c r="AK49" i="17"/>
  <c r="AC49" i="17"/>
  <c r="O49" i="17"/>
  <c r="E49" i="17" s="1"/>
  <c r="D48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E48" i="17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E49" i="15" l="1"/>
  <c r="AB50" i="15"/>
  <c r="AK50" i="15"/>
  <c r="L50" i="15"/>
  <c r="D50" i="15" s="1"/>
  <c r="A51" i="15"/>
  <c r="AC50" i="15"/>
  <c r="K50" i="15"/>
  <c r="O50" i="15"/>
  <c r="E50" i="15" s="1"/>
  <c r="X50" i="15"/>
  <c r="AJ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D50" i="17" s="1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K51" i="15" l="1"/>
  <c r="AK51" i="15"/>
  <c r="L51" i="15"/>
  <c r="D51" i="15" s="1"/>
  <c r="X51" i="15"/>
  <c r="AC51" i="15"/>
  <c r="A52" i="15"/>
  <c r="O51" i="15"/>
  <c r="AB51" i="15"/>
  <c r="AJ51" i="15"/>
  <c r="I50" i="1"/>
  <c r="AA50" i="1"/>
  <c r="Z50" i="1" s="1"/>
  <c r="Y50" i="1" s="1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E50" i="17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1" i="16" l="1"/>
  <c r="L52" i="15"/>
  <c r="D52" i="15" s="1"/>
  <c r="AK52" i="15"/>
  <c r="AB52" i="15"/>
  <c r="X52" i="15"/>
  <c r="AC52" i="15"/>
  <c r="A53" i="15"/>
  <c r="O52" i="15"/>
  <c r="E52" i="15" s="1"/>
  <c r="K52" i="15"/>
  <c r="AJ52" i="15"/>
  <c r="E51" i="15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D52" i="17" s="1"/>
  <c r="AB52" i="17"/>
  <c r="X52" i="17"/>
  <c r="A53" i="17"/>
  <c r="AJ52" i="17"/>
  <c r="AK52" i="17"/>
  <c r="AC52" i="17"/>
  <c r="O52" i="17"/>
  <c r="D51" i="17"/>
  <c r="E51" i="17" s="1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K53" i="15" l="1"/>
  <c r="O53" i="15"/>
  <c r="A54" i="15"/>
  <c r="AJ53" i="15"/>
  <c r="L53" i="15"/>
  <c r="D53" i="15" s="1"/>
  <c r="AK53" i="15"/>
  <c r="AB53" i="15"/>
  <c r="X53" i="15"/>
  <c r="AC53" i="15"/>
  <c r="E52" i="17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E53" i="15" l="1"/>
  <c r="L54" i="15"/>
  <c r="D54" i="15" s="1"/>
  <c r="AK54" i="15"/>
  <c r="X54" i="15"/>
  <c r="AJ54" i="15"/>
  <c r="AB54" i="15"/>
  <c r="K54" i="15"/>
  <c r="AC54" i="15"/>
  <c r="A55" i="15"/>
  <c r="O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D53" i="17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E53" i="17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E54" i="15" l="1"/>
  <c r="L55" i="15"/>
  <c r="D55" i="15" s="1"/>
  <c r="AK55" i="15"/>
  <c r="X55" i="15"/>
  <c r="AJ55" i="15"/>
  <c r="AB55" i="15"/>
  <c r="K55" i="15"/>
  <c r="AC55" i="15"/>
  <c r="A56" i="15"/>
  <c r="O55" i="15"/>
  <c r="E55" i="15" s="1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D54" i="17"/>
  <c r="E54" i="17" s="1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X56" i="15" l="1"/>
  <c r="O56" i="15"/>
  <c r="L56" i="15"/>
  <c r="D56" i="15" s="1"/>
  <c r="AJ56" i="15"/>
  <c r="AB56" i="15"/>
  <c r="AK56" i="15"/>
  <c r="A57" i="15"/>
  <c r="K56" i="15"/>
  <c r="AC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5" i="17"/>
  <c r="E55" i="17" s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E56" i="15" l="1"/>
  <c r="AK57" i="15"/>
  <c r="L57" i="15"/>
  <c r="D57" i="15" s="1"/>
  <c r="AJ57" i="15"/>
  <c r="K57" i="15"/>
  <c r="O57" i="15"/>
  <c r="AB57" i="15"/>
  <c r="X57" i="15"/>
  <c r="AC57" i="15"/>
  <c r="A58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D56" i="17"/>
  <c r="E56" i="17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7" i="16" l="1"/>
  <c r="E57" i="15"/>
  <c r="L58" i="15"/>
  <c r="D58" i="15" s="1"/>
  <c r="O58" i="15"/>
  <c r="K58" i="15"/>
  <c r="AJ58" i="15"/>
  <c r="AB58" i="15"/>
  <c r="AK58" i="15"/>
  <c r="A59" i="15"/>
  <c r="X58" i="15"/>
  <c r="AC58" i="15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D58" i="17" s="1"/>
  <c r="AJ58" i="17"/>
  <c r="AK58" i="17"/>
  <c r="AC58" i="17"/>
  <c r="O58" i="17"/>
  <c r="E58" i="17" s="1"/>
  <c r="D57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E57" i="17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8" i="15" l="1"/>
  <c r="A60" i="15"/>
  <c r="AJ59" i="15"/>
  <c r="X59" i="15"/>
  <c r="AK59" i="15"/>
  <c r="K59" i="15"/>
  <c r="AB59" i="15"/>
  <c r="AC59" i="15"/>
  <c r="L59" i="15"/>
  <c r="D59" i="15" s="1"/>
  <c r="O59" i="15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E59" i="15" l="1"/>
  <c r="X60" i="15"/>
  <c r="AK60" i="15"/>
  <c r="A33" i="7"/>
  <c r="A61" i="15"/>
  <c r="O60" i="15"/>
  <c r="C33" i="7" s="1"/>
  <c r="K60" i="15"/>
  <c r="L60" i="15"/>
  <c r="AC60" i="15"/>
  <c r="AB60" i="15"/>
  <c r="AJ60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D59" i="17"/>
  <c r="E59" i="17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L61" i="15"/>
  <c r="D61" i="15" s="1"/>
  <c r="A62" i="15"/>
  <c r="O61" i="15"/>
  <c r="E61" i="15" s="1"/>
  <c r="X61" i="15"/>
  <c r="AC61" i="15"/>
  <c r="AB61" i="15"/>
  <c r="AK61" i="15"/>
  <c r="K61" i="15"/>
  <c r="AJ61" i="15"/>
  <c r="D60" i="15"/>
  <c r="E60" i="15" s="1"/>
  <c r="B33" i="7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D60" i="17"/>
  <c r="E60" i="17" s="1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D61" i="17" s="1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1" i="16" l="1"/>
  <c r="AB62" i="15"/>
  <c r="O62" i="15"/>
  <c r="K62" i="15"/>
  <c r="AJ62" i="15"/>
  <c r="A63" i="15"/>
  <c r="AK62" i="15"/>
  <c r="L62" i="15"/>
  <c r="D62" i="15" s="1"/>
  <c r="X62" i="15"/>
  <c r="AC62" i="15"/>
  <c r="AA62" i="1"/>
  <c r="Z62" i="1" s="1"/>
  <c r="Y62" i="1" s="1"/>
  <c r="I61" i="1"/>
  <c r="A63" i="16"/>
  <c r="L62" i="16"/>
  <c r="D62" i="16" s="1"/>
  <c r="AK62" i="16"/>
  <c r="AC62" i="16"/>
  <c r="X62" i="16"/>
  <c r="AB62" i="16"/>
  <c r="K62" i="16"/>
  <c r="AJ62" i="16"/>
  <c r="O62" i="16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E61" i="17"/>
  <c r="X62" i="17"/>
  <c r="K62" i="17"/>
  <c r="AB62" i="17"/>
  <c r="L62" i="17"/>
  <c r="D62" i="17" s="1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I62" i="1" l="1"/>
  <c r="E62" i="15"/>
  <c r="K63" i="15"/>
  <c r="AJ63" i="15"/>
  <c r="AB63" i="15"/>
  <c r="AK63" i="15"/>
  <c r="A64" i="15"/>
  <c r="L63" i="15"/>
  <c r="D63" i="15" s="1"/>
  <c r="AC63" i="15"/>
  <c r="X63" i="15"/>
  <c r="O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E62" i="17"/>
  <c r="X63" i="17"/>
  <c r="L63" i="17"/>
  <c r="D63" i="17" s="1"/>
  <c r="A64" i="17"/>
  <c r="K63" i="17"/>
  <c r="AB63" i="17"/>
  <c r="AJ63" i="17"/>
  <c r="AK63" i="17"/>
  <c r="O63" i="17"/>
  <c r="E63" i="17" s="1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B64" i="15" l="1"/>
  <c r="AK64" i="15"/>
  <c r="K64" i="15"/>
  <c r="A65" i="15"/>
  <c r="AC64" i="15"/>
  <c r="L64" i="15"/>
  <c r="D64" i="15" s="1"/>
  <c r="O64" i="15"/>
  <c r="X64" i="15"/>
  <c r="AJ64" i="15"/>
  <c r="E63" i="15"/>
  <c r="E63" i="16"/>
  <c r="I64" i="1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E64" i="15" l="1"/>
  <c r="P66" i="1"/>
  <c r="L65" i="15"/>
  <c r="D65" i="15" s="1"/>
  <c r="AC65" i="15"/>
  <c r="K65" i="15"/>
  <c r="AJ65" i="15"/>
  <c r="A66" i="15"/>
  <c r="AK65" i="15"/>
  <c r="X65" i="15"/>
  <c r="AB65" i="15"/>
  <c r="O65" i="15"/>
  <c r="E65" i="15" s="1"/>
  <c r="AA64" i="1"/>
  <c r="Z64" i="1" s="1"/>
  <c r="Y64" i="1" s="1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E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V66" i="1"/>
  <c r="D64" i="17"/>
  <c r="E64" i="17" s="1"/>
  <c r="AB65" i="17"/>
  <c r="A66" i="17"/>
  <c r="X65" i="17"/>
  <c r="K65" i="17"/>
  <c r="L65" i="17"/>
  <c r="D65" i="17" s="1"/>
  <c r="AJ65" i="17"/>
  <c r="AK65" i="17"/>
  <c r="AC65" i="17"/>
  <c r="O65" i="17"/>
  <c r="E65" i="17" s="1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AB66" i="15" l="1"/>
  <c r="AJ66" i="15"/>
  <c r="K66" i="15"/>
  <c r="X66" i="15"/>
  <c r="AC66" i="15"/>
  <c r="L66" i="15"/>
  <c r="D66" i="15" s="1"/>
  <c r="O66" i="15"/>
  <c r="A67" i="15"/>
  <c r="AK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D66" i="17" s="1"/>
  <c r="X66" i="17"/>
  <c r="AJ66" i="17"/>
  <c r="AK66" i="17"/>
  <c r="O66" i="17"/>
  <c r="E66" i="17" s="1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6" i="15" l="1"/>
  <c r="AB67" i="15"/>
  <c r="X67" i="15"/>
  <c r="O67" i="15"/>
  <c r="A68" i="15"/>
  <c r="AC67" i="15"/>
  <c r="L67" i="15"/>
  <c r="D67" i="15" s="1"/>
  <c r="AJ67" i="15"/>
  <c r="K67" i="15"/>
  <c r="AK67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D67" i="17" s="1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E67" i="15" l="1"/>
  <c r="A69" i="15"/>
  <c r="K68" i="15"/>
  <c r="AC68" i="15"/>
  <c r="AB68" i="15"/>
  <c r="O68" i="15"/>
  <c r="L68" i="15"/>
  <c r="D68" i="15" s="1"/>
  <c r="AK68" i="15"/>
  <c r="X68" i="15"/>
  <c r="AJ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E67" i="17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8" i="15" l="1"/>
  <c r="AB69" i="15"/>
  <c r="AK69" i="15"/>
  <c r="K69" i="15"/>
  <c r="X69" i="15"/>
  <c r="O69" i="15"/>
  <c r="A70" i="15"/>
  <c r="AC69" i="15"/>
  <c r="L69" i="15"/>
  <c r="D69" i="15" s="1"/>
  <c r="AJ69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D69" i="17" s="1"/>
  <c r="AJ69" i="17"/>
  <c r="AK69" i="17"/>
  <c r="O69" i="17"/>
  <c r="AC69" i="17"/>
  <c r="D68" i="17"/>
  <c r="E68" i="17" s="1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69" i="15" l="1"/>
  <c r="AB70" i="15"/>
  <c r="AJ70" i="15"/>
  <c r="K70" i="15"/>
  <c r="L70" i="15"/>
  <c r="D70" i="15" s="1"/>
  <c r="O70" i="15"/>
  <c r="X70" i="15"/>
  <c r="AC70" i="15"/>
  <c r="A71" i="15"/>
  <c r="AK70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D70" i="17" s="1"/>
  <c r="AK70" i="17"/>
  <c r="AJ70" i="17"/>
  <c r="AC70" i="17"/>
  <c r="O70" i="17"/>
  <c r="E70" i="17" s="1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E69" i="17"/>
  <c r="AB68" i="20"/>
  <c r="A69" i="20"/>
  <c r="K68" i="20"/>
  <c r="X68" i="20"/>
  <c r="L68" i="20"/>
  <c r="AJ68" i="20"/>
  <c r="AK68" i="20"/>
  <c r="O68" i="20"/>
  <c r="AC68" i="20"/>
  <c r="AB71" i="15" l="1"/>
  <c r="O71" i="15"/>
  <c r="X71" i="15"/>
  <c r="AK71" i="15"/>
  <c r="L71" i="15"/>
  <c r="D71" i="15" s="1"/>
  <c r="AJ71" i="15"/>
  <c r="A72" i="15"/>
  <c r="K71" i="15"/>
  <c r="AC71" i="15"/>
  <c r="E70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1" i="15" l="1"/>
  <c r="K72" i="15"/>
  <c r="AJ72" i="15"/>
  <c r="AB72" i="15"/>
  <c r="AK72" i="15"/>
  <c r="A73" i="15"/>
  <c r="L72" i="15"/>
  <c r="D72" i="15" s="1"/>
  <c r="AC72" i="15"/>
  <c r="X72" i="15"/>
  <c r="O72" i="15"/>
  <c r="I71" i="1"/>
  <c r="AB72" i="16"/>
  <c r="X72" i="16"/>
  <c r="AK72" i="16"/>
  <c r="AC72" i="16"/>
  <c r="L72" i="16"/>
  <c r="D72" i="16" s="1"/>
  <c r="A73" i="16"/>
  <c r="K72" i="16"/>
  <c r="AJ72" i="16"/>
  <c r="O72" i="16"/>
  <c r="E71" i="16"/>
  <c r="D71" i="17"/>
  <c r="E71" i="17" s="1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E72" i="15" l="1"/>
  <c r="A74" i="15"/>
  <c r="AJ73" i="15"/>
  <c r="K73" i="15"/>
  <c r="AB73" i="15"/>
  <c r="AC73" i="15"/>
  <c r="X73" i="15"/>
  <c r="O73" i="15"/>
  <c r="L73" i="15"/>
  <c r="D73" i="15" s="1"/>
  <c r="AK73" i="15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D72" i="17"/>
  <c r="E72" i="17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D73" i="17" s="1"/>
  <c r="A74" i="17"/>
  <c r="AJ73" i="17"/>
  <c r="AK73" i="17"/>
  <c r="AC73" i="17"/>
  <c r="O73" i="17"/>
  <c r="E73" i="17" l="1"/>
  <c r="AA73" i="1"/>
  <c r="Z73" i="1" s="1"/>
  <c r="Y73" i="1" s="1"/>
  <c r="I73" i="1"/>
  <c r="E73" i="16"/>
  <c r="K74" i="15"/>
  <c r="AK74" i="15"/>
  <c r="L74" i="15"/>
  <c r="D74" i="15" s="1"/>
  <c r="X74" i="15"/>
  <c r="AC74" i="15"/>
  <c r="A75" i="15"/>
  <c r="O74" i="15"/>
  <c r="AB74" i="15"/>
  <c r="AJ74" i="15"/>
  <c r="E73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D74" i="17" s="1"/>
  <c r="X74" i="17"/>
  <c r="K74" i="17"/>
  <c r="AJ74" i="17"/>
  <c r="AK74" i="17"/>
  <c r="AC74" i="17"/>
  <c r="O74" i="17"/>
  <c r="E74" i="17" s="1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A76" i="15" l="1"/>
  <c r="AK75" i="15"/>
  <c r="AB75" i="15"/>
  <c r="X75" i="15"/>
  <c r="AC75" i="15"/>
  <c r="K75" i="15"/>
  <c r="O75" i="15"/>
  <c r="L75" i="15"/>
  <c r="D75" i="15" s="1"/>
  <c r="AJ75" i="15"/>
  <c r="E74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E75" i="15"/>
  <c r="L76" i="15"/>
  <c r="D76" i="15" s="1"/>
  <c r="AK76" i="15"/>
  <c r="AB76" i="15"/>
  <c r="AJ76" i="15"/>
  <c r="A77" i="15"/>
  <c r="K76" i="15"/>
  <c r="AC76" i="15"/>
  <c r="X76" i="15"/>
  <c r="O76" i="15"/>
  <c r="E76" i="15" s="1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D76" i="17" s="1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D75" i="17"/>
  <c r="E75" i="17" s="1"/>
  <c r="X70" i="25"/>
  <c r="A71" i="25"/>
  <c r="K70" i="25"/>
  <c r="L70" i="25"/>
  <c r="AB70" i="25"/>
  <c r="AJ70" i="25"/>
  <c r="O70" i="25"/>
  <c r="AK70" i="25"/>
  <c r="AC70" i="25"/>
  <c r="K77" i="15" l="1"/>
  <c r="AK77" i="15"/>
  <c r="A78" i="15"/>
  <c r="X77" i="15"/>
  <c r="AC77" i="15"/>
  <c r="L77" i="15"/>
  <c r="D77" i="15" s="1"/>
  <c r="O77" i="15"/>
  <c r="AB77" i="15"/>
  <c r="AJ77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E76" i="17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7" i="15" l="1"/>
  <c r="X78" i="15"/>
  <c r="AJ78" i="15"/>
  <c r="K78" i="15"/>
  <c r="AB78" i="15"/>
  <c r="AC78" i="15"/>
  <c r="A79" i="15"/>
  <c r="O78" i="15"/>
  <c r="L78" i="15"/>
  <c r="D78" i="15" s="1"/>
  <c r="AK78" i="15"/>
  <c r="L78" i="16"/>
  <c r="D78" i="16" s="1"/>
  <c r="A79" i="16"/>
  <c r="AB78" i="16"/>
  <c r="AJ78" i="16"/>
  <c r="O78" i="16"/>
  <c r="X78" i="16"/>
  <c r="K78" i="16"/>
  <c r="AK78" i="16"/>
  <c r="AC78" i="16"/>
  <c r="E77" i="16"/>
  <c r="D77" i="17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E77" i="17"/>
  <c r="X78" i="17"/>
  <c r="L78" i="17"/>
  <c r="D78" i="17" s="1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8" i="15" l="1"/>
  <c r="AB79" i="15"/>
  <c r="AK79" i="15"/>
  <c r="K79" i="15"/>
  <c r="X79" i="15"/>
  <c r="AC79" i="15"/>
  <c r="A80" i="15"/>
  <c r="O79" i="15"/>
  <c r="L79" i="15"/>
  <c r="D79" i="15" s="1"/>
  <c r="AJ79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E78" i="17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79" i="16" l="1"/>
  <c r="E79" i="15"/>
  <c r="AB80" i="15"/>
  <c r="O80" i="15"/>
  <c r="L80" i="15"/>
  <c r="D80" i="15" s="1"/>
  <c r="AJ80" i="15"/>
  <c r="K80" i="15"/>
  <c r="AK80" i="15"/>
  <c r="A81" i="15"/>
  <c r="X80" i="15"/>
  <c r="AC80" i="15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D79" i="17"/>
  <c r="E79" i="17" s="1"/>
  <c r="AB80" i="17"/>
  <c r="K80" i="17"/>
  <c r="X80" i="17"/>
  <c r="A81" i="17"/>
  <c r="L80" i="17"/>
  <c r="D80" i="17" s="1"/>
  <c r="AJ80" i="17"/>
  <c r="AK80" i="17"/>
  <c r="AC80" i="17"/>
  <c r="O80" i="17"/>
  <c r="E80" i="17" s="1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80" i="16"/>
  <c r="L81" i="16"/>
  <c r="D81" i="16" s="1"/>
  <c r="AB81" i="16"/>
  <c r="A82" i="16"/>
  <c r="AK81" i="16"/>
  <c r="O81" i="16"/>
  <c r="K81" i="16"/>
  <c r="X81" i="16"/>
  <c r="AJ81" i="16"/>
  <c r="AC81" i="16"/>
  <c r="I81" i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AA81" i="1" l="1"/>
  <c r="Z81" i="1" s="1"/>
  <c r="Y81" i="1" s="1"/>
  <c r="A83" i="15"/>
  <c r="O82" i="15"/>
  <c r="AB82" i="15"/>
  <c r="AJ82" i="15"/>
  <c r="L82" i="15"/>
  <c r="D82" i="15" s="1"/>
  <c r="AK82" i="15"/>
  <c r="X82" i="15"/>
  <c r="K82" i="15"/>
  <c r="AC82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D81" i="17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E81" i="17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E82" i="15" l="1"/>
  <c r="AB83" i="15"/>
  <c r="AK83" i="15"/>
  <c r="A84" i="15"/>
  <c r="X83" i="15"/>
  <c r="AC83" i="15"/>
  <c r="K83" i="15"/>
  <c r="O83" i="15"/>
  <c r="L83" i="15"/>
  <c r="D83" i="15" s="1"/>
  <c r="AJ83" i="15"/>
  <c r="AA82" i="1"/>
  <c r="Z82" i="1" s="1"/>
  <c r="Y82" i="1" s="1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D83" i="17" s="1"/>
  <c r="A84" i="17"/>
  <c r="K83" i="17"/>
  <c r="AB83" i="17"/>
  <c r="AJ83" i="17"/>
  <c r="AK83" i="17"/>
  <c r="AC83" i="17"/>
  <c r="O83" i="17"/>
  <c r="D82" i="17"/>
  <c r="E82" i="17" s="1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3" i="15" l="1"/>
  <c r="X84" i="15"/>
  <c r="AK84" i="15"/>
  <c r="A85" i="15"/>
  <c r="L84" i="15"/>
  <c r="D84" i="15" s="1"/>
  <c r="AC84" i="15"/>
  <c r="K84" i="15"/>
  <c r="O84" i="15"/>
  <c r="AB84" i="15"/>
  <c r="AJ84" i="15"/>
  <c r="E83" i="16"/>
  <c r="E83" i="17"/>
  <c r="I83" i="1"/>
  <c r="L84" i="16"/>
  <c r="D84" i="16" s="1"/>
  <c r="X84" i="16"/>
  <c r="AK84" i="16"/>
  <c r="AC84" i="16"/>
  <c r="A85" i="16"/>
  <c r="AB84" i="16"/>
  <c r="K84" i="16"/>
  <c r="AJ84" i="16"/>
  <c r="O84" i="16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D84" i="17" s="1"/>
  <c r="AJ84" i="17"/>
  <c r="AK84" i="17"/>
  <c r="AC84" i="17"/>
  <c r="O84" i="17"/>
  <c r="E84" i="17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5" i="15"/>
  <c r="D85" i="15" s="1"/>
  <c r="AC85" i="15"/>
  <c r="X85" i="15"/>
  <c r="AJ85" i="15"/>
  <c r="K85" i="15"/>
  <c r="AK85" i="15"/>
  <c r="AB85" i="15"/>
  <c r="A86" i="15"/>
  <c r="O85" i="15"/>
  <c r="E84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D85" i="17" s="1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X86" i="15" l="1"/>
  <c r="AJ86" i="15"/>
  <c r="A87" i="15"/>
  <c r="AK86" i="15"/>
  <c r="L86" i="15"/>
  <c r="D86" i="15" s="1"/>
  <c r="K86" i="15"/>
  <c r="AC86" i="15"/>
  <c r="AB86" i="15"/>
  <c r="O86" i="15"/>
  <c r="E85" i="15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E85" i="17"/>
  <c r="X86" i="17"/>
  <c r="L86" i="17"/>
  <c r="D86" i="17" s="1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6" i="17" l="1"/>
  <c r="E86" i="15"/>
  <c r="L87" i="15"/>
  <c r="D87" i="15" s="1"/>
  <c r="O87" i="15"/>
  <c r="X87" i="15"/>
  <c r="AJ87" i="15"/>
  <c r="AB87" i="15"/>
  <c r="AK87" i="15"/>
  <c r="A88" i="15"/>
  <c r="K87" i="15"/>
  <c r="AC87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X83" i="24"/>
  <c r="K83" i="24"/>
  <c r="L83" i="24"/>
  <c r="AB83" i="24"/>
  <c r="A84" i="24"/>
  <c r="AJ83" i="24"/>
  <c r="AK83" i="24"/>
  <c r="O83" i="24"/>
  <c r="AC83" i="24"/>
  <c r="D87" i="17"/>
  <c r="E87" i="17" s="1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I89" i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D88" i="17"/>
  <c r="E88" i="17" s="1"/>
  <c r="X89" i="17"/>
  <c r="A90" i="17"/>
  <c r="L89" i="17"/>
  <c r="D89" i="17" s="1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E89" i="15" l="1"/>
  <c r="AB90" i="15"/>
  <c r="AK90" i="15"/>
  <c r="A91" i="15"/>
  <c r="X90" i="15"/>
  <c r="AJ90" i="15"/>
  <c r="K90" i="15"/>
  <c r="O90" i="15"/>
  <c r="AC90" i="15"/>
  <c r="L90" i="15"/>
  <c r="D90" i="15" s="1"/>
  <c r="AA89" i="1"/>
  <c r="Z89" i="1" s="1"/>
  <c r="Y89" i="1" s="1"/>
  <c r="I90" i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E89" i="17"/>
  <c r="A91" i="17"/>
  <c r="K90" i="17"/>
  <c r="AB90" i="17"/>
  <c r="L90" i="17"/>
  <c r="D90" i="17" s="1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0" i="15" l="1"/>
  <c r="K91" i="15"/>
  <c r="AC91" i="15"/>
  <c r="L91" i="15"/>
  <c r="D91" i="15" s="1"/>
  <c r="AJ91" i="15"/>
  <c r="X91" i="15"/>
  <c r="AK91" i="15"/>
  <c r="A92" i="15"/>
  <c r="AB91" i="15"/>
  <c r="O91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E90" i="17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K92" i="15" l="1"/>
  <c r="AK92" i="15"/>
  <c r="AB92" i="15"/>
  <c r="A93" i="15"/>
  <c r="AC92" i="15"/>
  <c r="X92" i="15"/>
  <c r="O92" i="15"/>
  <c r="L92" i="15"/>
  <c r="D92" i="15" s="1"/>
  <c r="AJ92" i="15"/>
  <c r="E91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D91" i="17"/>
  <c r="E91" i="17" s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2" i="15" l="1"/>
  <c r="A94" i="15"/>
  <c r="AJ93" i="15"/>
  <c r="L93" i="15"/>
  <c r="D93" i="15" s="1"/>
  <c r="X93" i="15"/>
  <c r="AC93" i="15"/>
  <c r="K93" i="15"/>
  <c r="O93" i="15"/>
  <c r="AB93" i="15"/>
  <c r="AK93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I91" i="1"/>
  <c r="X87" i="25"/>
  <c r="L87" i="25"/>
  <c r="K87" i="25"/>
  <c r="AB87" i="25"/>
  <c r="A88" i="25"/>
  <c r="AJ87" i="25"/>
  <c r="O87" i="25"/>
  <c r="AK87" i="25"/>
  <c r="AC87" i="25"/>
  <c r="D92" i="17"/>
  <c r="E92" i="17" s="1"/>
  <c r="A94" i="17"/>
  <c r="K93" i="17"/>
  <c r="X93" i="17"/>
  <c r="AB93" i="17"/>
  <c r="L93" i="17"/>
  <c r="D93" i="17" s="1"/>
  <c r="AJ93" i="17"/>
  <c r="AK93" i="17"/>
  <c r="AC93" i="17"/>
  <c r="O93" i="17"/>
  <c r="E93" i="17" s="1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3" i="16" l="1"/>
  <c r="E93" i="15"/>
  <c r="AB94" i="15"/>
  <c r="O94" i="15"/>
  <c r="L94" i="15"/>
  <c r="D94" i="15" s="1"/>
  <c r="AK94" i="15"/>
  <c r="K94" i="15"/>
  <c r="AJ94" i="15"/>
  <c r="X94" i="15"/>
  <c r="A95" i="15"/>
  <c r="AC94" i="15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E94" i="15" l="1"/>
  <c r="AC95" i="15"/>
  <c r="L95" i="15"/>
  <c r="D95" i="15" s="1"/>
  <c r="AJ95" i="15"/>
  <c r="A96" i="15"/>
  <c r="X95" i="15"/>
  <c r="AB95" i="15"/>
  <c r="K95" i="15"/>
  <c r="O95" i="15"/>
  <c r="AK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4" i="17"/>
  <c r="E94" i="17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6" i="15" l="1"/>
  <c r="AJ96" i="15"/>
  <c r="X96" i="15"/>
  <c r="AK96" i="15"/>
  <c r="K96" i="15"/>
  <c r="A97" i="15"/>
  <c r="AC96" i="15"/>
  <c r="L96" i="15"/>
  <c r="D96" i="15" s="1"/>
  <c r="O96" i="15"/>
  <c r="E95" i="15"/>
  <c r="E95" i="16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D96" i="17" s="1"/>
  <c r="X96" i="17"/>
  <c r="K96" i="17"/>
  <c r="AJ96" i="17"/>
  <c r="AK96" i="17"/>
  <c r="AC96" i="17"/>
  <c r="O96" i="17"/>
  <c r="E96" i="17" s="1"/>
  <c r="D95" i="17"/>
  <c r="E95" i="17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E96" i="15" l="1"/>
  <c r="I97" i="1"/>
  <c r="AB97" i="15"/>
  <c r="AJ97" i="15"/>
  <c r="X97" i="15"/>
  <c r="AK97" i="15"/>
  <c r="L97" i="15"/>
  <c r="D97" i="15" s="1"/>
  <c r="K97" i="15"/>
  <c r="AC97" i="15"/>
  <c r="A98" i="15"/>
  <c r="O97" i="15"/>
  <c r="E97" i="15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AA97" i="1"/>
  <c r="Z97" i="1" s="1"/>
  <c r="Y97" i="1" s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7" i="16" l="1"/>
  <c r="A99" i="15"/>
  <c r="AK98" i="15"/>
  <c r="AB98" i="15"/>
  <c r="AJ98" i="15"/>
  <c r="L98" i="15"/>
  <c r="D98" i="15" s="1"/>
  <c r="K98" i="15"/>
  <c r="O98" i="15"/>
  <c r="E98" i="15" s="1"/>
  <c r="X98" i="15"/>
  <c r="AC98" i="15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AA98" i="1"/>
  <c r="Z98" i="1" s="1"/>
  <c r="Y98" i="1" s="1"/>
  <c r="I98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D97" i="17"/>
  <c r="E97" i="17" s="1"/>
  <c r="AB98" i="17"/>
  <c r="K98" i="17"/>
  <c r="X98" i="17"/>
  <c r="A99" i="17"/>
  <c r="L98" i="17"/>
  <c r="D98" i="17" s="1"/>
  <c r="AK98" i="17"/>
  <c r="AJ98" i="17"/>
  <c r="AC98" i="17"/>
  <c r="O98" i="17"/>
  <c r="E98" i="17" s="1"/>
  <c r="K99" i="15" l="1"/>
  <c r="AJ99" i="15"/>
  <c r="L99" i="15"/>
  <c r="D99" i="15" s="1"/>
  <c r="AK99" i="15"/>
  <c r="AB99" i="15"/>
  <c r="A100" i="15"/>
  <c r="AC99" i="15"/>
  <c r="X99" i="15"/>
  <c r="O99" i="15"/>
  <c r="E99" i="15" s="1"/>
  <c r="E98" i="16"/>
  <c r="A100" i="16"/>
  <c r="L99" i="16"/>
  <c r="D99" i="16" s="1"/>
  <c r="X99" i="16"/>
  <c r="AJ99" i="16"/>
  <c r="O99" i="16"/>
  <c r="K99" i="16"/>
  <c r="AB99" i="16"/>
  <c r="AK99" i="16"/>
  <c r="AC99" i="16"/>
  <c r="I99" i="1"/>
  <c r="AA99" i="1"/>
  <c r="Z99" i="1" s="1"/>
  <c r="Y99" i="1" s="1"/>
  <c r="S100" i="1"/>
  <c r="R100" i="1" s="1"/>
  <c r="P100" i="1" s="1"/>
  <c r="V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D99" i="17" s="1"/>
  <c r="AJ99" i="17"/>
  <c r="AK99" i="17"/>
  <c r="AC99" i="17"/>
  <c r="O99" i="17"/>
  <c r="E99" i="17" s="1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L100" i="15" l="1"/>
  <c r="D100" i="15" s="1"/>
  <c r="O100" i="15"/>
  <c r="AB100" i="15"/>
  <c r="AJ100" i="15"/>
  <c r="A101" i="15"/>
  <c r="AK100" i="15"/>
  <c r="K100" i="15"/>
  <c r="X100" i="15"/>
  <c r="AC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D100" i="17" s="1"/>
  <c r="AB100" i="17"/>
  <c r="A101" i="17"/>
  <c r="AJ100" i="17"/>
  <c r="AK100" i="17"/>
  <c r="AC100" i="17"/>
  <c r="O100" i="17"/>
  <c r="E100" i="17" s="1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0" i="15"/>
  <c r="K101" i="15"/>
  <c r="AK101" i="15"/>
  <c r="A102" i="15"/>
  <c r="AJ101" i="15"/>
  <c r="X101" i="15"/>
  <c r="L101" i="15"/>
  <c r="D101" i="15" s="1"/>
  <c r="AC101" i="15"/>
  <c r="AB101" i="15"/>
  <c r="O101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1" i="15" l="1"/>
  <c r="AB102" i="15"/>
  <c r="AC102" i="15"/>
  <c r="O102" i="15"/>
  <c r="L102" i="15"/>
  <c r="D102" i="15" s="1"/>
  <c r="A103" i="15"/>
  <c r="AK102" i="15"/>
  <c r="X102" i="15"/>
  <c r="K102" i="15"/>
  <c r="AJ102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D101" i="17"/>
  <c r="E101" i="17" s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E102" i="16" l="1"/>
  <c r="E102" i="15"/>
  <c r="AB103" i="15"/>
  <c r="K103" i="15"/>
  <c r="AC103" i="15"/>
  <c r="X103" i="15"/>
  <c r="O103" i="15"/>
  <c r="L103" i="15"/>
  <c r="D103" i="15" s="1"/>
  <c r="AJ103" i="15"/>
  <c r="A104" i="15"/>
  <c r="AK103" i="15"/>
  <c r="A104" i="16"/>
  <c r="X103" i="16"/>
  <c r="L103" i="16"/>
  <c r="D103" i="16" s="1"/>
  <c r="AJ103" i="16"/>
  <c r="O103" i="16"/>
  <c r="AB103" i="16"/>
  <c r="K103" i="16"/>
  <c r="AK103" i="16"/>
  <c r="AC103" i="16"/>
  <c r="D102" i="17"/>
  <c r="E102" i="17" s="1"/>
  <c r="AB103" i="17"/>
  <c r="X103" i="17"/>
  <c r="L103" i="17"/>
  <c r="D103" i="17" s="1"/>
  <c r="K103" i="17"/>
  <c r="A104" i="17"/>
  <c r="AJ103" i="17"/>
  <c r="AK103" i="17"/>
  <c r="AC103" i="17"/>
  <c r="O103" i="17"/>
  <c r="E103" i="17" s="1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K104" i="15" l="1"/>
  <c r="AK104" i="15"/>
  <c r="L104" i="15"/>
  <c r="D104" i="15" s="1"/>
  <c r="AJ104" i="15"/>
  <c r="AB104" i="15"/>
  <c r="A105" i="15"/>
  <c r="AC104" i="15"/>
  <c r="X104" i="15"/>
  <c r="O104" i="15"/>
  <c r="E104" i="15" s="1"/>
  <c r="E103" i="15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K104" i="17"/>
  <c r="X104" i="17"/>
  <c r="L104" i="17"/>
  <c r="D104" i="17" s="1"/>
  <c r="A105" i="17"/>
  <c r="AB104" i="17"/>
  <c r="AJ104" i="17"/>
  <c r="AK104" i="17"/>
  <c r="O104" i="17"/>
  <c r="AC104" i="17"/>
  <c r="AA103" i="1"/>
  <c r="Z103" i="1" s="1"/>
  <c r="Y103" i="1" s="1"/>
  <c r="I103" i="1"/>
  <c r="I104" i="1" l="1"/>
  <c r="AA104" i="1"/>
  <c r="Z104" i="1" s="1"/>
  <c r="Y104" i="1" s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E104" i="17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A105" i="1"/>
  <c r="Z105" i="1" s="1"/>
  <c r="Y105" i="1" s="1"/>
  <c r="A106" i="17"/>
  <c r="K105" i="17"/>
  <c r="L105" i="17"/>
  <c r="D105" i="17" s="1"/>
  <c r="X105" i="17"/>
  <c r="AB105" i="17"/>
  <c r="AJ105" i="17"/>
  <c r="AK105" i="17"/>
  <c r="AC105" i="17"/>
  <c r="O105" i="17"/>
  <c r="E105" i="17" s="1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V107" i="1" s="1"/>
  <c r="L106" i="15"/>
  <c r="D106" i="15" s="1"/>
  <c r="K106" i="15"/>
  <c r="X106" i="15"/>
  <c r="AK106" i="15"/>
  <c r="AJ106" i="15"/>
  <c r="A107" i="15"/>
  <c r="O106" i="15"/>
  <c r="E106" i="15" s="1"/>
  <c r="AB106" i="15"/>
  <c r="AC106" i="15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D106" i="17" s="1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6" i="17" l="1"/>
  <c r="I106" i="1"/>
  <c r="E106" i="16"/>
  <c r="K107" i="15"/>
  <c r="AC107" i="15"/>
  <c r="AB107" i="15"/>
  <c r="AJ107" i="15"/>
  <c r="A108" i="15"/>
  <c r="AK107" i="15"/>
  <c r="L107" i="15"/>
  <c r="D107" i="15" s="1"/>
  <c r="X107" i="15"/>
  <c r="O107" i="15"/>
  <c r="E107" i="15" s="1"/>
  <c r="AA106" i="1"/>
  <c r="Z106" i="1" s="1"/>
  <c r="Y106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D107" i="17" s="1"/>
  <c r="AJ107" i="17"/>
  <c r="AK107" i="17"/>
  <c r="AC107" i="17"/>
  <c r="O107" i="17"/>
  <c r="E107" i="17" s="1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K108" i="15" l="1"/>
  <c r="X108" i="15"/>
  <c r="AC108" i="15"/>
  <c r="AB108" i="15"/>
  <c r="O108" i="15"/>
  <c r="L108" i="15"/>
  <c r="D108" i="15" s="1"/>
  <c r="AK108" i="15"/>
  <c r="A109" i="15"/>
  <c r="AJ108" i="15"/>
  <c r="I107" i="1"/>
  <c r="AA107" i="1"/>
  <c r="Z107" i="1" s="1"/>
  <c r="Y107" i="1" s="1"/>
  <c r="E107" i="16"/>
  <c r="K108" i="16"/>
  <c r="O108" i="16"/>
  <c r="L108" i="16"/>
  <c r="D108" i="16" s="1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X109" i="15" l="1"/>
  <c r="AK109" i="15"/>
  <c r="A110" i="15"/>
  <c r="K109" i="15"/>
  <c r="AC109" i="15"/>
  <c r="AB109" i="15"/>
  <c r="O109" i="15"/>
  <c r="L109" i="15"/>
  <c r="D109" i="15" s="1"/>
  <c r="AJ109" i="15"/>
  <c r="E108" i="15"/>
  <c r="I109" i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08" i="17"/>
  <c r="E108" i="17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09" i="16" l="1"/>
  <c r="E109" i="15"/>
  <c r="AB110" i="15"/>
  <c r="A111" i="15"/>
  <c r="O110" i="15"/>
  <c r="L110" i="15"/>
  <c r="D110" i="15" s="1"/>
  <c r="AJ110" i="15"/>
  <c r="X110" i="15"/>
  <c r="AK110" i="15"/>
  <c r="K110" i="15"/>
  <c r="AC110" i="15"/>
  <c r="AA109" i="1"/>
  <c r="Z109" i="1" s="1"/>
  <c r="Y109" i="1" s="1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D109" i="17"/>
  <c r="E109" i="17" s="1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E110" i="15" l="1"/>
  <c r="E110" i="16"/>
  <c r="L111" i="15"/>
  <c r="D111" i="15" s="1"/>
  <c r="AK111" i="15"/>
  <c r="AB111" i="15"/>
  <c r="K111" i="15"/>
  <c r="AC111" i="15"/>
  <c r="A112" i="15"/>
  <c r="O111" i="15"/>
  <c r="E111" i="15" s="1"/>
  <c r="X111" i="15"/>
  <c r="AJ111" i="15"/>
  <c r="L111" i="16"/>
  <c r="D111" i="16" s="1"/>
  <c r="A112" i="16"/>
  <c r="K111" i="16"/>
  <c r="AJ111" i="16"/>
  <c r="O111" i="16"/>
  <c r="X111" i="16"/>
  <c r="AB111" i="16"/>
  <c r="AK111" i="16"/>
  <c r="AC111" i="16"/>
  <c r="AA111" i="1"/>
  <c r="Z111" i="1" s="1"/>
  <c r="Y111" i="1" s="1"/>
  <c r="I111" i="1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0" i="17"/>
  <c r="E110" i="17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113" i="15" l="1"/>
  <c r="AJ112" i="15"/>
  <c r="L112" i="15"/>
  <c r="D112" i="15" s="1"/>
  <c r="X112" i="15"/>
  <c r="AC112" i="15"/>
  <c r="K112" i="15"/>
  <c r="O112" i="15"/>
  <c r="AB112" i="15"/>
  <c r="AK112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D111" i="17"/>
  <c r="S112" i="1"/>
  <c r="R112" i="1" s="1"/>
  <c r="P112" i="1" s="1"/>
  <c r="V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E111" i="17"/>
  <c r="K112" i="17"/>
  <c r="X112" i="17"/>
  <c r="L112" i="17"/>
  <c r="D112" i="17" s="1"/>
  <c r="A113" i="17"/>
  <c r="AB112" i="17"/>
  <c r="AK112" i="17"/>
  <c r="AJ112" i="17"/>
  <c r="O112" i="17"/>
  <c r="AC112" i="17"/>
  <c r="T113" i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2" i="15" l="1"/>
  <c r="X113" i="15"/>
  <c r="AB113" i="15"/>
  <c r="O113" i="15"/>
  <c r="L113" i="15"/>
  <c r="D113" i="15" s="1"/>
  <c r="AC113" i="15"/>
  <c r="K113" i="15"/>
  <c r="AJ113" i="15"/>
  <c r="A114" i="15"/>
  <c r="AK113" i="15"/>
  <c r="E112" i="16"/>
  <c r="E112" i="17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X113" i="17"/>
  <c r="K113" i="17"/>
  <c r="A114" i="17"/>
  <c r="L113" i="17"/>
  <c r="D113" i="17" s="1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V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3" i="17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E114" i="15" l="1"/>
  <c r="E114" i="16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AA114" i="1"/>
  <c r="Z114" i="1" s="1"/>
  <c r="Y114" i="1" s="1"/>
  <c r="I114" i="1"/>
  <c r="D114" i="17"/>
  <c r="E114" i="17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X116" i="15" l="1"/>
  <c r="AK116" i="15"/>
  <c r="L116" i="15"/>
  <c r="D116" i="15" s="1"/>
  <c r="AJ116" i="15"/>
  <c r="AB116" i="15"/>
  <c r="K116" i="15"/>
  <c r="AC116" i="15"/>
  <c r="A117" i="15"/>
  <c r="O116" i="15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D115" i="17"/>
  <c r="E115" i="17" s="1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L117" i="15" l="1"/>
  <c r="D117" i="15" s="1"/>
  <c r="AK117" i="15"/>
  <c r="X117" i="15"/>
  <c r="A118" i="15"/>
  <c r="AC117" i="15"/>
  <c r="K117" i="15"/>
  <c r="O117" i="15"/>
  <c r="E117" i="15" s="1"/>
  <c r="AB117" i="15"/>
  <c r="AJ117" i="15"/>
  <c r="E116" i="15"/>
  <c r="I116" i="1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I117" i="1"/>
  <c r="AA117" i="1"/>
  <c r="Z117" i="1" s="1"/>
  <c r="Y117" i="1" s="1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D117" i="17" s="1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D116" i="17"/>
  <c r="E116" i="17" s="1"/>
  <c r="K114" i="22"/>
  <c r="AB114" i="22"/>
  <c r="A115" i="22"/>
  <c r="X114" i="22"/>
  <c r="L114" i="22"/>
  <c r="AK114" i="22"/>
  <c r="AJ114" i="22"/>
  <c r="O114" i="22"/>
  <c r="AC114" i="22"/>
  <c r="AB118" i="15" l="1"/>
  <c r="AK118" i="15"/>
  <c r="X118" i="15"/>
  <c r="A119" i="15"/>
  <c r="O118" i="15"/>
  <c r="L118" i="15"/>
  <c r="D118" i="15" s="1"/>
  <c r="AC118" i="15"/>
  <c r="AJ118" i="15"/>
  <c r="K118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E117" i="17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E118" i="15" l="1"/>
  <c r="K119" i="15"/>
  <c r="AJ119" i="15"/>
  <c r="A120" i="15"/>
  <c r="L119" i="15"/>
  <c r="O119" i="15"/>
  <c r="C35" i="7" s="1"/>
  <c r="A35" i="7"/>
  <c r="X119" i="15"/>
  <c r="AC119" i="15"/>
  <c r="AB119" i="15"/>
  <c r="AK119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D118" i="17"/>
  <c r="E118" i="17" s="1"/>
  <c r="I118" i="1"/>
  <c r="AA118" i="1"/>
  <c r="Z118" i="1" s="1"/>
  <c r="Y118" i="1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I120" i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D120" i="17" s="1"/>
  <c r="AB120" i="17"/>
  <c r="AJ120" i="17"/>
  <c r="AK120" i="17"/>
  <c r="AC120" i="17"/>
  <c r="O120" i="17"/>
  <c r="B59" i="7"/>
  <c r="D119" i="17"/>
  <c r="E119" i="17" s="1"/>
  <c r="E120" i="17" l="1"/>
  <c r="E120" i="16"/>
  <c r="E120" i="15"/>
  <c r="A122" i="15"/>
  <c r="O121" i="15"/>
  <c r="X121" i="15"/>
  <c r="AJ121" i="15"/>
  <c r="L121" i="15"/>
  <c r="D121" i="15" s="1"/>
  <c r="AK121" i="15"/>
  <c r="K121" i="15"/>
  <c r="AB121" i="15"/>
  <c r="AC121" i="15"/>
  <c r="AA120" i="1"/>
  <c r="Z120" i="1" s="1"/>
  <c r="Y120" i="1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1" i="16" l="1"/>
  <c r="L122" i="15"/>
  <c r="D122" i="15" s="1"/>
  <c r="O122" i="15"/>
  <c r="A123" i="15"/>
  <c r="AJ122" i="15"/>
  <c r="AB122" i="15"/>
  <c r="AK122" i="15"/>
  <c r="X122" i="15"/>
  <c r="K122" i="15"/>
  <c r="AC122" i="15"/>
  <c r="E121" i="15"/>
  <c r="L122" i="16"/>
  <c r="D122" i="16" s="1"/>
  <c r="X122" i="16"/>
  <c r="AJ122" i="16"/>
  <c r="AC122" i="16"/>
  <c r="AB122" i="16"/>
  <c r="A123" i="16"/>
  <c r="K122" i="16"/>
  <c r="AK122" i="16"/>
  <c r="O122" i="16"/>
  <c r="I121" i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D121" i="17"/>
  <c r="E121" i="17" s="1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L122" i="17"/>
  <c r="D122" i="17" s="1"/>
  <c r="AB122" i="17"/>
  <c r="A123" i="17"/>
  <c r="X122" i="17"/>
  <c r="K122" i="17"/>
  <c r="AJ122" i="17"/>
  <c r="AK122" i="17"/>
  <c r="AC122" i="17"/>
  <c r="O122" i="17"/>
  <c r="E122" i="17" s="1"/>
  <c r="AB116" i="25"/>
  <c r="K116" i="25"/>
  <c r="X116" i="25"/>
  <c r="A117" i="25"/>
  <c r="L116" i="25"/>
  <c r="AJ116" i="25"/>
  <c r="O116" i="25"/>
  <c r="AK116" i="25"/>
  <c r="AC116" i="25"/>
  <c r="E122" i="15" l="1"/>
  <c r="X123" i="15"/>
  <c r="AK123" i="15"/>
  <c r="A124" i="15"/>
  <c r="AJ123" i="15"/>
  <c r="K123" i="15"/>
  <c r="AB123" i="15"/>
  <c r="O123" i="15"/>
  <c r="L123" i="15"/>
  <c r="D123" i="15" s="1"/>
  <c r="AC123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D123" i="17" s="1"/>
  <c r="X123" i="17"/>
  <c r="A124" i="17"/>
  <c r="AB123" i="17"/>
  <c r="AJ123" i="17"/>
  <c r="AK123" i="17"/>
  <c r="O123" i="17"/>
  <c r="E123" i="17" s="1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3" i="15" l="1"/>
  <c r="A125" i="15"/>
  <c r="AK124" i="15"/>
  <c r="L124" i="15"/>
  <c r="D124" i="15" s="1"/>
  <c r="AJ124" i="15"/>
  <c r="K124" i="15"/>
  <c r="AB124" i="15"/>
  <c r="AC124" i="15"/>
  <c r="X124" i="15"/>
  <c r="O124" i="15"/>
  <c r="E124" i="15" s="1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A126" i="15" l="1"/>
  <c r="AB125" i="15"/>
  <c r="AC125" i="15"/>
  <c r="X125" i="15"/>
  <c r="O125" i="15"/>
  <c r="L125" i="15"/>
  <c r="D125" i="15" s="1"/>
  <c r="AJ125" i="15"/>
  <c r="K125" i="15"/>
  <c r="AK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D124" i="17"/>
  <c r="E124" i="17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E125" i="15" l="1"/>
  <c r="X126" i="15"/>
  <c r="O126" i="15"/>
  <c r="AB126" i="15"/>
  <c r="AJ126" i="15"/>
  <c r="K126" i="15"/>
  <c r="AK126" i="15"/>
  <c r="L126" i="15"/>
  <c r="D126" i="15" s="1"/>
  <c r="A127" i="15"/>
  <c r="AC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D125" i="17"/>
  <c r="E125" i="17" s="1"/>
  <c r="S126" i="1"/>
  <c r="R126" i="1" s="1"/>
  <c r="P126" i="1" s="1"/>
  <c r="V126" i="1" s="1"/>
  <c r="AB127" i="15" l="1"/>
  <c r="AC127" i="15"/>
  <c r="X127" i="15"/>
  <c r="AJ127" i="15"/>
  <c r="L127" i="15"/>
  <c r="D127" i="15" s="1"/>
  <c r="AK127" i="15"/>
  <c r="A128" i="15"/>
  <c r="K127" i="15"/>
  <c r="O127" i="15"/>
  <c r="E127" i="15" s="1"/>
  <c r="E126" i="15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AA127" i="1"/>
  <c r="Z127" i="1" s="1"/>
  <c r="Y127" i="1" s="1"/>
  <c r="I127" i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I125" i="1"/>
  <c r="AA125" i="1"/>
  <c r="Z125" i="1" s="1"/>
  <c r="Y125" i="1" s="1"/>
  <c r="V128" i="1"/>
  <c r="D126" i="17"/>
  <c r="E126" i="17" s="1"/>
  <c r="X128" i="15" l="1"/>
  <c r="AJ128" i="15"/>
  <c r="K128" i="15"/>
  <c r="AB128" i="15"/>
  <c r="AC128" i="15"/>
  <c r="A129" i="15"/>
  <c r="O128" i="15"/>
  <c r="L128" i="15"/>
  <c r="D128" i="15" s="1"/>
  <c r="AK128" i="15"/>
  <c r="E127" i="16"/>
  <c r="X128" i="16"/>
  <c r="L128" i="16"/>
  <c r="D128" i="16" s="1"/>
  <c r="K128" i="16"/>
  <c r="AK128" i="16"/>
  <c r="O128" i="16"/>
  <c r="A129" i="16"/>
  <c r="AB128" i="16"/>
  <c r="AJ128" i="16"/>
  <c r="AC128" i="16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D127" i="17"/>
  <c r="E127" i="17" s="1"/>
  <c r="S129" i="1"/>
  <c r="R129" i="1" s="1"/>
  <c r="P129" i="1" s="1"/>
  <c r="V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E128" i="15" l="1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D128" i="17"/>
  <c r="E128" i="17" s="1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A131" i="15" l="1"/>
  <c r="AJ130" i="15"/>
  <c r="K130" i="15"/>
  <c r="X130" i="15"/>
  <c r="AC130" i="15"/>
  <c r="L130" i="15"/>
  <c r="D130" i="15" s="1"/>
  <c r="O130" i="15"/>
  <c r="AB130" i="15"/>
  <c r="AK130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AA130" i="1"/>
  <c r="Z130" i="1" s="1"/>
  <c r="Y130" i="1" s="1"/>
  <c r="I130" i="1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D129" i="17"/>
  <c r="E129" i="17" s="1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AA129" i="1"/>
  <c r="Z129" i="1" s="1"/>
  <c r="Y129" i="1" s="1"/>
  <c r="E130" i="15" l="1"/>
  <c r="X131" i="15"/>
  <c r="O131" i="15"/>
  <c r="L131" i="15"/>
  <c r="D131" i="15" s="1"/>
  <c r="AJ131" i="15"/>
  <c r="K131" i="15"/>
  <c r="AK131" i="15"/>
  <c r="A132" i="15"/>
  <c r="AB131" i="15"/>
  <c r="AC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D130" i="17"/>
  <c r="E130" i="17" s="1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1" i="15" l="1"/>
  <c r="K132" i="15"/>
  <c r="O132" i="15"/>
  <c r="AB132" i="15"/>
  <c r="AJ132" i="15"/>
  <c r="A133" i="15"/>
  <c r="AK132" i="15"/>
  <c r="X132" i="15"/>
  <c r="L132" i="15"/>
  <c r="D132" i="15" s="1"/>
  <c r="E132" i="15" s="1"/>
  <c r="AC132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D131" i="17"/>
  <c r="E131" i="17" s="1"/>
  <c r="A130" i="22"/>
  <c r="AB129" i="22"/>
  <c r="L129" i="22"/>
  <c r="K129" i="22"/>
  <c r="X129" i="22"/>
  <c r="AK129" i="22"/>
  <c r="AJ129" i="22"/>
  <c r="O129" i="22"/>
  <c r="AC129" i="22"/>
  <c r="A134" i="15" l="1"/>
  <c r="K133" i="15"/>
  <c r="AB133" i="15"/>
  <c r="AC133" i="15"/>
  <c r="AK133" i="15"/>
  <c r="O133" i="15"/>
  <c r="L133" i="15"/>
  <c r="D133" i="15" s="1"/>
  <c r="AJ133" i="15"/>
  <c r="X133" i="15"/>
  <c r="E132" i="16"/>
  <c r="AB133" i="16"/>
  <c r="K133" i="16"/>
  <c r="X133" i="16"/>
  <c r="AJ133" i="16"/>
  <c r="O133" i="16"/>
  <c r="A134" i="16"/>
  <c r="L133" i="16"/>
  <c r="D133" i="16" s="1"/>
  <c r="E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D132" i="17"/>
  <c r="E132" i="17" s="1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K132" i="18"/>
  <c r="L132" i="18"/>
  <c r="AB132" i="18"/>
  <c r="X132" i="18"/>
  <c r="A133" i="18"/>
  <c r="O132" i="18"/>
  <c r="AJ132" i="18"/>
  <c r="AK132" i="18"/>
  <c r="AC132" i="18"/>
  <c r="E133" i="15" l="1"/>
  <c r="K134" i="15"/>
  <c r="L134" i="15"/>
  <c r="D134" i="15" s="1"/>
  <c r="O134" i="15"/>
  <c r="A135" i="15"/>
  <c r="AC134" i="15"/>
  <c r="AB134" i="15"/>
  <c r="AJ134" i="15"/>
  <c r="X134" i="15"/>
  <c r="AK134" i="15"/>
  <c r="AA134" i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D133" i="17"/>
  <c r="E133" i="17" s="1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S135" i="1"/>
  <c r="R135" i="1" s="1"/>
  <c r="P135" i="1" s="1"/>
  <c r="V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4" i="15" l="1"/>
  <c r="O135" i="15"/>
  <c r="AB135" i="15"/>
  <c r="AK135" i="15"/>
  <c r="K135" i="15"/>
  <c r="L135" i="15"/>
  <c r="D135" i="15" s="1"/>
  <c r="A136" i="15"/>
  <c r="X135" i="15"/>
  <c r="AC135" i="15"/>
  <c r="AJ135" i="15"/>
  <c r="X135" i="16"/>
  <c r="L135" i="16"/>
  <c r="D135" i="16" s="1"/>
  <c r="AK135" i="16"/>
  <c r="AC135" i="16"/>
  <c r="AB135" i="16"/>
  <c r="K135" i="16"/>
  <c r="A136" i="16"/>
  <c r="AJ135" i="16"/>
  <c r="O135" i="16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D134" i="17"/>
  <c r="E134" i="17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6" i="15" l="1"/>
  <c r="D136" i="15" s="1"/>
  <c r="AB136" i="15"/>
  <c r="AC136" i="15"/>
  <c r="A137" i="15"/>
  <c r="O136" i="15"/>
  <c r="X136" i="15"/>
  <c r="AK136" i="15"/>
  <c r="K136" i="15"/>
  <c r="AJ136" i="15"/>
  <c r="E135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D135" i="17"/>
  <c r="E135" i="17" s="1"/>
  <c r="I135" i="1"/>
  <c r="AA135" i="1"/>
  <c r="Z135" i="1" s="1"/>
  <c r="Y135" i="1" s="1"/>
  <c r="K137" i="15" l="1"/>
  <c r="A138" i="15"/>
  <c r="O137" i="15"/>
  <c r="AB137" i="15"/>
  <c r="AC137" i="15"/>
  <c r="L137" i="15"/>
  <c r="D137" i="15" s="1"/>
  <c r="AJ137" i="15"/>
  <c r="X137" i="15"/>
  <c r="AK137" i="15"/>
  <c r="E136" i="15"/>
  <c r="AB137" i="16"/>
  <c r="K137" i="16"/>
  <c r="AJ137" i="16"/>
  <c r="AC137" i="16"/>
  <c r="X137" i="16"/>
  <c r="L137" i="16"/>
  <c r="D137" i="16" s="1"/>
  <c r="A138" i="16"/>
  <c r="AK137" i="16"/>
  <c r="O137" i="16"/>
  <c r="AA137" i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D136" i="17"/>
  <c r="E136" i="17" s="1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7" i="16" l="1"/>
  <c r="E137" i="15"/>
  <c r="AB138" i="15"/>
  <c r="AK138" i="15"/>
  <c r="X138" i="15"/>
  <c r="A139" i="15"/>
  <c r="O138" i="15"/>
  <c r="K138" i="15"/>
  <c r="AC138" i="15"/>
  <c r="L138" i="15"/>
  <c r="D138" i="15" s="1"/>
  <c r="AJ138" i="15"/>
  <c r="I137" i="1"/>
  <c r="A139" i="16"/>
  <c r="L138" i="16"/>
  <c r="D138" i="16" s="1"/>
  <c r="K138" i="16"/>
  <c r="AK138" i="16"/>
  <c r="O138" i="16"/>
  <c r="X138" i="16"/>
  <c r="AB138" i="16"/>
  <c r="AJ138" i="16"/>
  <c r="AC138" i="16"/>
  <c r="I138" i="1"/>
  <c r="AA138" i="1"/>
  <c r="Z138" i="1" s="1"/>
  <c r="Y138" i="1" s="1"/>
  <c r="A134" i="24"/>
  <c r="K133" i="24"/>
  <c r="X133" i="24"/>
  <c r="L133" i="24"/>
  <c r="AB133" i="24"/>
  <c r="AK133" i="24"/>
  <c r="O133" i="24"/>
  <c r="AJ133" i="24"/>
  <c r="AC133" i="24"/>
  <c r="D137" i="17"/>
  <c r="E137" i="17" s="1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8" i="15" l="1"/>
  <c r="A140" i="15"/>
  <c r="O139" i="15"/>
  <c r="K139" i="15"/>
  <c r="AJ139" i="15"/>
  <c r="AB139" i="15"/>
  <c r="AK139" i="15"/>
  <c r="X139" i="15"/>
  <c r="L139" i="15"/>
  <c r="D139" i="15" s="1"/>
  <c r="AC139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D138" i="17"/>
  <c r="E138" i="17" s="1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E139" i="16" l="1"/>
  <c r="E139" i="15"/>
  <c r="K140" i="15"/>
  <c r="O140" i="15"/>
  <c r="A141" i="15"/>
  <c r="AJ140" i="15"/>
  <c r="L140" i="15"/>
  <c r="D140" i="15" s="1"/>
  <c r="AK140" i="15"/>
  <c r="AB140" i="15"/>
  <c r="X140" i="15"/>
  <c r="AC140" i="15"/>
  <c r="A141" i="16"/>
  <c r="K140" i="16"/>
  <c r="AJ140" i="16"/>
  <c r="AC140" i="16"/>
  <c r="X140" i="16"/>
  <c r="L140" i="16"/>
  <c r="D140" i="16" s="1"/>
  <c r="AB140" i="16"/>
  <c r="AK140" i="16"/>
  <c r="O140" i="16"/>
  <c r="I140" i="1"/>
  <c r="AA140" i="1"/>
  <c r="Z140" i="1" s="1"/>
  <c r="Y140" i="1" s="1"/>
  <c r="L139" i="18"/>
  <c r="X139" i="18"/>
  <c r="AB139" i="18"/>
  <c r="A140" i="18"/>
  <c r="K139" i="18"/>
  <c r="AJ139" i="18"/>
  <c r="O139" i="18"/>
  <c r="AK139" i="18"/>
  <c r="AC139" i="18"/>
  <c r="D139" i="17"/>
  <c r="E139" i="17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A139" i="20"/>
  <c r="L138" i="20"/>
  <c r="X138" i="20"/>
  <c r="K138" i="20"/>
  <c r="AB138" i="20"/>
  <c r="AJ138" i="20"/>
  <c r="AK138" i="20"/>
  <c r="O138" i="20"/>
  <c r="AC138" i="20"/>
  <c r="E140" i="16" l="1"/>
  <c r="P142" i="1"/>
  <c r="E140" i="15"/>
  <c r="L141" i="15"/>
  <c r="D141" i="15" s="1"/>
  <c r="AC141" i="15"/>
  <c r="K141" i="15"/>
  <c r="AK141" i="15"/>
  <c r="X141" i="15"/>
  <c r="AJ141" i="15"/>
  <c r="AB141" i="15"/>
  <c r="A142" i="15"/>
  <c r="O141" i="15"/>
  <c r="I141" i="1"/>
  <c r="A142" i="16"/>
  <c r="X141" i="16"/>
  <c r="AB141" i="16"/>
  <c r="AK141" i="16"/>
  <c r="O141" i="16"/>
  <c r="K141" i="16"/>
  <c r="L141" i="16"/>
  <c r="D141" i="16" s="1"/>
  <c r="E141" i="16" s="1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V142" i="1"/>
  <c r="A139" i="22"/>
  <c r="AB138" i="22"/>
  <c r="L138" i="22"/>
  <c r="K138" i="22"/>
  <c r="X138" i="22"/>
  <c r="AJ138" i="22"/>
  <c r="AK138" i="22"/>
  <c r="O138" i="22"/>
  <c r="AC138" i="22"/>
  <c r="D140" i="17"/>
  <c r="E140" i="17" s="1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AB142" i="15" l="1"/>
  <c r="AK142" i="15"/>
  <c r="X142" i="15"/>
  <c r="AC142" i="15"/>
  <c r="AJ142" i="15"/>
  <c r="L142" i="15"/>
  <c r="D142" i="15" s="1"/>
  <c r="O142" i="15"/>
  <c r="A143" i="15"/>
  <c r="K142" i="15"/>
  <c r="E141" i="15"/>
  <c r="K142" i="16"/>
  <c r="A143" i="16"/>
  <c r="X142" i="16"/>
  <c r="AK142" i="16"/>
  <c r="O142" i="16"/>
  <c r="AB142" i="16"/>
  <c r="L142" i="16"/>
  <c r="D142" i="16" s="1"/>
  <c r="E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AA142" i="1"/>
  <c r="Z142" i="1" s="1"/>
  <c r="Y142" i="1" s="1"/>
  <c r="I142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D141" i="17"/>
  <c r="E141" i="17" s="1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L143" i="15" l="1"/>
  <c r="D143" i="15" s="1"/>
  <c r="K143" i="15"/>
  <c r="AC143" i="15"/>
  <c r="A144" i="15"/>
  <c r="O143" i="15"/>
  <c r="AB143" i="15"/>
  <c r="AK143" i="15"/>
  <c r="X143" i="15"/>
  <c r="AJ143" i="15"/>
  <c r="E142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D142" i="17"/>
  <c r="E142" i="17" s="1"/>
  <c r="K144" i="15" l="1"/>
  <c r="AJ144" i="15"/>
  <c r="X144" i="15"/>
  <c r="AK144" i="15"/>
  <c r="AB144" i="15"/>
  <c r="A145" i="15"/>
  <c r="AC144" i="15"/>
  <c r="L144" i="15"/>
  <c r="D144" i="15" s="1"/>
  <c r="O144" i="15"/>
  <c r="E143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3" i="17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E143" i="17"/>
  <c r="I143" i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4" i="15" l="1"/>
  <c r="X145" i="15"/>
  <c r="L145" i="15"/>
  <c r="D145" i="15" s="1"/>
  <c r="AC145" i="15"/>
  <c r="A146" i="15"/>
  <c r="O145" i="15"/>
  <c r="K145" i="15"/>
  <c r="AK145" i="15"/>
  <c r="AB145" i="15"/>
  <c r="AJ145" i="15"/>
  <c r="A146" i="16"/>
  <c r="L145" i="16"/>
  <c r="D145" i="16" s="1"/>
  <c r="X145" i="16"/>
  <c r="AK145" i="16"/>
  <c r="O145" i="16"/>
  <c r="K145" i="16"/>
  <c r="AB145" i="16"/>
  <c r="AJ145" i="16"/>
  <c r="AC145" i="16"/>
  <c r="E144" i="16"/>
  <c r="I145" i="1"/>
  <c r="AA145" i="1"/>
  <c r="Z145" i="1" s="1"/>
  <c r="Y145" i="1" s="1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D144" i="17"/>
  <c r="E144" i="17" s="1"/>
  <c r="S146" i="1"/>
  <c r="R146" i="1" s="1"/>
  <c r="P146" i="1" s="1"/>
  <c r="V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A147" i="15" l="1"/>
  <c r="X146" i="15"/>
  <c r="AC146" i="15"/>
  <c r="K146" i="15"/>
  <c r="O146" i="15"/>
  <c r="AB146" i="15"/>
  <c r="AJ146" i="15"/>
  <c r="L146" i="15"/>
  <c r="D146" i="15" s="1"/>
  <c r="AK146" i="15"/>
  <c r="E145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D145" i="17"/>
  <c r="E145" i="17" s="1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L148" i="1"/>
  <c r="AK148" i="1"/>
  <c r="AJ148" i="1"/>
  <c r="X148" i="1"/>
  <c r="Q148" i="1"/>
  <c r="A149" i="1"/>
  <c r="AB148" i="1"/>
  <c r="U148" i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6" i="15" l="1"/>
  <c r="K147" i="15"/>
  <c r="X147" i="15"/>
  <c r="AC147" i="15"/>
  <c r="L147" i="15"/>
  <c r="D147" i="15" s="1"/>
  <c r="O147" i="15"/>
  <c r="A148" i="15"/>
  <c r="AK147" i="15"/>
  <c r="AB147" i="15"/>
  <c r="AJ147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D146" i="17"/>
  <c r="E146" i="17" s="1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A146" i="20"/>
  <c r="K145" i="20"/>
  <c r="AB145" i="20"/>
  <c r="L145" i="20"/>
  <c r="X145" i="20"/>
  <c r="AJ145" i="20"/>
  <c r="AK145" i="20"/>
  <c r="O145" i="20"/>
  <c r="AC145" i="20"/>
  <c r="E147" i="15" l="1"/>
  <c r="E147" i="16"/>
  <c r="A149" i="15"/>
  <c r="L148" i="15"/>
  <c r="D148" i="15" s="1"/>
  <c r="AC148" i="15"/>
  <c r="X148" i="15"/>
  <c r="O148" i="15"/>
  <c r="AB148" i="15"/>
  <c r="AK148" i="15"/>
  <c r="K148" i="15"/>
  <c r="AJ148" i="15"/>
  <c r="AB148" i="16"/>
  <c r="K148" i="16"/>
  <c r="X148" i="16"/>
  <c r="AK148" i="16"/>
  <c r="O148" i="16"/>
  <c r="A149" i="16"/>
  <c r="L148" i="16"/>
  <c r="D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D147" i="17"/>
  <c r="E147" i="17" s="1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48" i="16" l="1"/>
  <c r="E148" i="15"/>
  <c r="K149" i="15"/>
  <c r="A150" i="15"/>
  <c r="O149" i="15"/>
  <c r="C36" i="7" s="1"/>
  <c r="X149" i="15"/>
  <c r="AJ149" i="15"/>
  <c r="L149" i="15"/>
  <c r="AK149" i="15"/>
  <c r="AB149" i="15"/>
  <c r="A36" i="7"/>
  <c r="AC149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D148" i="17"/>
  <c r="E148" i="17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D149" i="17"/>
  <c r="E149" i="17" s="1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I150" i="1"/>
  <c r="AA150" i="1"/>
  <c r="Z150" i="1" s="1"/>
  <c r="Y150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D150" i="17"/>
  <c r="E150" i="17" s="1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1" i="16" l="1"/>
  <c r="X152" i="15"/>
  <c r="AJ152" i="15"/>
  <c r="AB152" i="15"/>
  <c r="AK152" i="15"/>
  <c r="A153" i="15"/>
  <c r="L152" i="15"/>
  <c r="D152" i="15" s="1"/>
  <c r="O152" i="15"/>
  <c r="K152" i="15"/>
  <c r="AC152" i="15"/>
  <c r="E151" i="15"/>
  <c r="AB152" i="16"/>
  <c r="X152" i="16"/>
  <c r="A153" i="16"/>
  <c r="AK152" i="16"/>
  <c r="O152" i="16"/>
  <c r="K152" i="16"/>
  <c r="L152" i="16"/>
  <c r="D152" i="16" s="1"/>
  <c r="E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A147" i="25"/>
  <c r="X146" i="25"/>
  <c r="L146" i="25"/>
  <c r="AB146" i="25"/>
  <c r="K146" i="25"/>
  <c r="AJ146" i="25"/>
  <c r="AK146" i="25"/>
  <c r="O146" i="25"/>
  <c r="AC146" i="25"/>
  <c r="D151" i="17"/>
  <c r="E151" i="17" s="1"/>
  <c r="K147" i="24"/>
  <c r="X147" i="24"/>
  <c r="L147" i="24"/>
  <c r="AB147" i="24"/>
  <c r="A148" i="24"/>
  <c r="AJ147" i="24"/>
  <c r="AK147" i="24"/>
  <c r="O147" i="24"/>
  <c r="AC147" i="24"/>
  <c r="AA151" i="1"/>
  <c r="Z151" i="1" s="1"/>
  <c r="Y151" i="1" s="1"/>
  <c r="I151" i="1"/>
  <c r="E152" i="15" l="1"/>
  <c r="L153" i="15"/>
  <c r="D153" i="15" s="1"/>
  <c r="AK153" i="15"/>
  <c r="AB153" i="15"/>
  <c r="X153" i="15"/>
  <c r="O153" i="15"/>
  <c r="A154" i="15"/>
  <c r="AC153" i="15"/>
  <c r="K153" i="15"/>
  <c r="AJ153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A153" i="18"/>
  <c r="AB152" i="18"/>
  <c r="L152" i="18"/>
  <c r="X152" i="18"/>
  <c r="AJ152" i="18"/>
  <c r="K152" i="18"/>
  <c r="AK152" i="18"/>
  <c r="O152" i="18"/>
  <c r="AC152" i="18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D152" i="17"/>
  <c r="E152" i="17" s="1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3" i="15" l="1"/>
  <c r="E153" i="16"/>
  <c r="X154" i="15"/>
  <c r="A155" i="15"/>
  <c r="AC154" i="15"/>
  <c r="AB154" i="15"/>
  <c r="O154" i="15"/>
  <c r="L154" i="15"/>
  <c r="D154" i="15" s="1"/>
  <c r="AK154" i="15"/>
  <c r="K154" i="15"/>
  <c r="AJ154" i="15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D153" i="17"/>
  <c r="E153" i="17" s="1"/>
  <c r="K152" i="20"/>
  <c r="L152" i="20"/>
  <c r="X152" i="20"/>
  <c r="A153" i="20"/>
  <c r="AB152" i="20"/>
  <c r="AJ152" i="20"/>
  <c r="AK152" i="20"/>
  <c r="O152" i="20"/>
  <c r="AC152" i="20"/>
  <c r="E154" i="15" l="1"/>
  <c r="X155" i="15"/>
  <c r="AJ155" i="15"/>
  <c r="L155" i="15"/>
  <c r="D155" i="15" s="1"/>
  <c r="O155" i="15"/>
  <c r="K155" i="15"/>
  <c r="A156" i="15"/>
  <c r="AB155" i="15"/>
  <c r="AK155" i="15"/>
  <c r="AC155" i="15"/>
  <c r="I155" i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4" i="17"/>
  <c r="E154" i="17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AA155" i="1"/>
  <c r="Z155" i="1" s="1"/>
  <c r="Y155" i="1" s="1"/>
  <c r="E155" i="16"/>
  <c r="A157" i="16"/>
  <c r="X156" i="16"/>
  <c r="K156" i="16"/>
  <c r="AK156" i="16"/>
  <c r="O156" i="16"/>
  <c r="L156" i="16"/>
  <c r="D156" i="16" s="1"/>
  <c r="AB156" i="16"/>
  <c r="AJ156" i="16"/>
  <c r="AC156" i="16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D155" i="17"/>
  <c r="E155" i="17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E156" i="15" l="1"/>
  <c r="L157" i="15"/>
  <c r="D157" i="15" s="1"/>
  <c r="AK157" i="15"/>
  <c r="AB157" i="15"/>
  <c r="AJ157" i="15"/>
  <c r="K157" i="15"/>
  <c r="X157" i="15"/>
  <c r="AC157" i="15"/>
  <c r="A158" i="15"/>
  <c r="O157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6" i="17"/>
  <c r="E156" i="17" s="1"/>
  <c r="E157" i="15" l="1"/>
  <c r="AB158" i="15"/>
  <c r="AK158" i="15"/>
  <c r="A159" i="15"/>
  <c r="AJ158" i="15"/>
  <c r="X158" i="15"/>
  <c r="K158" i="15"/>
  <c r="AC158" i="15"/>
  <c r="L158" i="15"/>
  <c r="D158" i="15" s="1"/>
  <c r="O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K158" i="17"/>
  <c r="X158" i="17"/>
  <c r="A159" i="17"/>
  <c r="AB158" i="17"/>
  <c r="L158" i="17"/>
  <c r="O158" i="17"/>
  <c r="AJ158" i="17"/>
  <c r="AK158" i="17"/>
  <c r="AC158" i="17"/>
  <c r="D157" i="17"/>
  <c r="E157" i="17" s="1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I157" i="1"/>
  <c r="AA157" i="1"/>
  <c r="Z157" i="1" s="1"/>
  <c r="Y157" i="1" s="1"/>
  <c r="E158" i="15" l="1"/>
  <c r="AB159" i="15"/>
  <c r="AK159" i="15"/>
  <c r="K159" i="15"/>
  <c r="X159" i="15"/>
  <c r="AC159" i="15"/>
  <c r="A160" i="15"/>
  <c r="O159" i="15"/>
  <c r="L159" i="15"/>
  <c r="D159" i="15" s="1"/>
  <c r="AJ159" i="15"/>
  <c r="I159" i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D158" i="17"/>
  <c r="E158" i="17" s="1"/>
  <c r="A160" i="17"/>
  <c r="L159" i="17"/>
  <c r="X159" i="17"/>
  <c r="AB159" i="17"/>
  <c r="K159" i="17"/>
  <c r="AJ159" i="17"/>
  <c r="O159" i="17"/>
  <c r="AK159" i="17"/>
  <c r="AC159" i="17"/>
  <c r="I158" i="1"/>
  <c r="AA158" i="1"/>
  <c r="Z158" i="1" s="1"/>
  <c r="Y158" i="1" s="1"/>
  <c r="S160" i="1"/>
  <c r="R160" i="1" s="1"/>
  <c r="P160" i="1" s="1"/>
  <c r="V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59" i="15"/>
  <c r="X160" i="15"/>
  <c r="O160" i="15"/>
  <c r="A161" i="15"/>
  <c r="AK160" i="15"/>
  <c r="AB160" i="15"/>
  <c r="AJ160" i="15"/>
  <c r="K160" i="15"/>
  <c r="L160" i="15"/>
  <c r="D160" i="15" s="1"/>
  <c r="E160" i="15" s="1"/>
  <c r="AC160" i="15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D159" i="17"/>
  <c r="E159" i="17" s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X161" i="15" l="1"/>
  <c r="AK161" i="15"/>
  <c r="A162" i="15"/>
  <c r="AB161" i="15"/>
  <c r="AC161" i="15"/>
  <c r="L161" i="15"/>
  <c r="D161" i="15" s="1"/>
  <c r="O161" i="15"/>
  <c r="K161" i="15"/>
  <c r="AJ161" i="15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I161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D160" i="17"/>
  <c r="E160" i="17" s="1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1" i="16" l="1"/>
  <c r="E161" i="15"/>
  <c r="X162" i="15"/>
  <c r="AJ162" i="15"/>
  <c r="A163" i="15"/>
  <c r="AK162" i="15"/>
  <c r="AB162" i="15"/>
  <c r="K162" i="15"/>
  <c r="AC162" i="15"/>
  <c r="L162" i="15"/>
  <c r="D162" i="15" s="1"/>
  <c r="O162" i="15"/>
  <c r="AA161" i="1"/>
  <c r="Z161" i="1" s="1"/>
  <c r="Y161" i="1" s="1"/>
  <c r="AB162" i="16"/>
  <c r="L162" i="16"/>
  <c r="D162" i="16" s="1"/>
  <c r="K162" i="16"/>
  <c r="AJ162" i="16"/>
  <c r="O162" i="16"/>
  <c r="A163" i="16"/>
  <c r="X162" i="16"/>
  <c r="AK162" i="16"/>
  <c r="AC162" i="16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D161" i="17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E161" i="17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E162" i="15" l="1"/>
  <c r="E162" i="16"/>
  <c r="X163" i="15"/>
  <c r="K163" i="15"/>
  <c r="O163" i="15"/>
  <c r="A164" i="15"/>
  <c r="AC163" i="15"/>
  <c r="L163" i="15"/>
  <c r="D163" i="15" s="1"/>
  <c r="AJ163" i="15"/>
  <c r="AB163" i="15"/>
  <c r="AK163" i="15"/>
  <c r="AA162" i="1"/>
  <c r="Z162" i="1" s="1"/>
  <c r="Y162" i="1" s="1"/>
  <c r="I162" i="1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D162" i="17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A159" i="24"/>
  <c r="K158" i="24"/>
  <c r="AB158" i="24"/>
  <c r="X158" i="24"/>
  <c r="L158" i="24"/>
  <c r="AK158" i="24"/>
  <c r="AJ158" i="24"/>
  <c r="O158" i="24"/>
  <c r="AC158" i="24"/>
  <c r="E162" i="17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3" i="15" l="1"/>
  <c r="AB164" i="15"/>
  <c r="AJ164" i="15"/>
  <c r="A165" i="15"/>
  <c r="AK164" i="15"/>
  <c r="X164" i="15"/>
  <c r="K164" i="15"/>
  <c r="O164" i="15"/>
  <c r="L164" i="15"/>
  <c r="D164" i="15" s="1"/>
  <c r="AC164" i="15"/>
  <c r="I164" i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D163" i="17"/>
  <c r="E163" i="17" s="1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AA163" i="1"/>
  <c r="Z163" i="1" s="1"/>
  <c r="Y163" i="1" s="1"/>
  <c r="I163" i="1"/>
  <c r="AA164" i="1" l="1"/>
  <c r="Z164" i="1" s="1"/>
  <c r="Y164" i="1" s="1"/>
  <c r="E164" i="15"/>
  <c r="A166" i="15"/>
  <c r="AK165" i="15"/>
  <c r="AB165" i="15"/>
  <c r="AJ165" i="15"/>
  <c r="X165" i="15"/>
  <c r="K165" i="15"/>
  <c r="AC165" i="15"/>
  <c r="L165" i="15"/>
  <c r="D165" i="15" s="1"/>
  <c r="O165" i="15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D164" i="17"/>
  <c r="E164" i="17" s="1"/>
  <c r="AB159" i="25"/>
  <c r="A160" i="25"/>
  <c r="X159" i="25"/>
  <c r="L159" i="25"/>
  <c r="K159" i="25"/>
  <c r="AJ159" i="25"/>
  <c r="O159" i="25"/>
  <c r="AK159" i="25"/>
  <c r="AC159" i="25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E165" i="15" l="1"/>
  <c r="L166" i="15"/>
  <c r="D166" i="15" s="1"/>
  <c r="K166" i="15"/>
  <c r="O166" i="15"/>
  <c r="E166" i="15" s="1"/>
  <c r="A167" i="15"/>
  <c r="AC166" i="15"/>
  <c r="X166" i="15"/>
  <c r="AK166" i="15"/>
  <c r="AB166" i="15"/>
  <c r="AJ166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D165" i="17"/>
  <c r="E165" i="17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L167" i="15" l="1"/>
  <c r="D167" i="15" s="1"/>
  <c r="AK167" i="15"/>
  <c r="X167" i="15"/>
  <c r="A168" i="15"/>
  <c r="AC167" i="15"/>
  <c r="AB167" i="15"/>
  <c r="O167" i="15"/>
  <c r="E167" i="15" s="1"/>
  <c r="K167" i="15"/>
  <c r="AJ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D166" i="17"/>
  <c r="E166" i="17" s="1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AA166" i="1"/>
  <c r="Z166" i="1" s="1"/>
  <c r="Y166" i="1" s="1"/>
  <c r="I166" i="1"/>
  <c r="E167" i="16" l="1"/>
  <c r="AB168" i="15"/>
  <c r="O168" i="15"/>
  <c r="L168" i="15"/>
  <c r="D168" i="15" s="1"/>
  <c r="AJ168" i="15"/>
  <c r="K168" i="15"/>
  <c r="AK168" i="15"/>
  <c r="A169" i="15"/>
  <c r="X168" i="15"/>
  <c r="AC168" i="15"/>
  <c r="L168" i="16"/>
  <c r="D168" i="16" s="1"/>
  <c r="X168" i="16"/>
  <c r="K168" i="16"/>
  <c r="AK168" i="16"/>
  <c r="O168" i="16"/>
  <c r="AB168" i="16"/>
  <c r="A169" i="16"/>
  <c r="AJ168" i="16"/>
  <c r="AC168" i="16"/>
  <c r="L163" i="24"/>
  <c r="K163" i="24"/>
  <c r="AB163" i="24"/>
  <c r="A164" i="24"/>
  <c r="X163" i="24"/>
  <c r="AK163" i="24"/>
  <c r="AJ163" i="24"/>
  <c r="O163" i="24"/>
  <c r="AC163" i="24"/>
  <c r="T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D167" i="17"/>
  <c r="E167" i="17" s="1"/>
  <c r="L162" i="25"/>
  <c r="K162" i="25"/>
  <c r="AB162" i="25"/>
  <c r="A163" i="25"/>
  <c r="X162" i="25"/>
  <c r="AJ162" i="25"/>
  <c r="AK162" i="25"/>
  <c r="O162" i="25"/>
  <c r="AC162" i="25"/>
  <c r="E168" i="15" l="1"/>
  <c r="AB169" i="15"/>
  <c r="L169" i="15"/>
  <c r="D169" i="15" s="1"/>
  <c r="AC169" i="15"/>
  <c r="K169" i="15"/>
  <c r="O169" i="15"/>
  <c r="A170" i="15"/>
  <c r="AJ169" i="15"/>
  <c r="X169" i="15"/>
  <c r="AK169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K167" i="20"/>
  <c r="AB167" i="20"/>
  <c r="L167" i="20"/>
  <c r="A168" i="20"/>
  <c r="X167" i="20"/>
  <c r="AK167" i="20"/>
  <c r="AJ167" i="20"/>
  <c r="O167" i="20"/>
  <c r="AC167" i="20"/>
  <c r="D168" i="17"/>
  <c r="E168" i="17" s="1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AA168" i="1"/>
  <c r="Z168" i="1" s="1"/>
  <c r="Y168" i="1" s="1"/>
  <c r="E169" i="15" l="1"/>
  <c r="K170" i="15"/>
  <c r="AB170" i="15"/>
  <c r="AC170" i="15"/>
  <c r="L170" i="15"/>
  <c r="D170" i="15" s="1"/>
  <c r="O170" i="15"/>
  <c r="A171" i="15"/>
  <c r="AJ170" i="15"/>
  <c r="X170" i="15"/>
  <c r="AK170" i="15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A165" i="25"/>
  <c r="AB164" i="25"/>
  <c r="L164" i="25"/>
  <c r="X164" i="25"/>
  <c r="K164" i="25"/>
  <c r="AJ164" i="25"/>
  <c r="O164" i="25"/>
  <c r="AK164" i="25"/>
  <c r="AC164" i="25"/>
  <c r="D169" i="17"/>
  <c r="E169" i="17" s="1"/>
  <c r="K167" i="22"/>
  <c r="L167" i="22"/>
  <c r="AB167" i="22"/>
  <c r="X167" i="22"/>
  <c r="A168" i="22"/>
  <c r="AJ167" i="22"/>
  <c r="AK167" i="22"/>
  <c r="O167" i="22"/>
  <c r="AC167" i="22"/>
  <c r="T171" i="1"/>
  <c r="E170" i="15" l="1"/>
  <c r="I169" i="1"/>
  <c r="P172" i="1"/>
  <c r="V172" i="1" s="1"/>
  <c r="K171" i="15"/>
  <c r="AB171" i="15"/>
  <c r="O171" i="15"/>
  <c r="X171" i="15"/>
  <c r="AC171" i="15"/>
  <c r="L171" i="15"/>
  <c r="D171" i="15" s="1"/>
  <c r="AJ171" i="15"/>
  <c r="A172" i="15"/>
  <c r="AK171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D170" i="17"/>
  <c r="E170" i="17" s="1"/>
  <c r="S171" i="1"/>
  <c r="R171" i="1" s="1"/>
  <c r="P171" i="1" s="1"/>
  <c r="I170" i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E171" i="16" l="1"/>
  <c r="E171" i="15"/>
  <c r="X172" i="15"/>
  <c r="O172" i="15"/>
  <c r="L172" i="15"/>
  <c r="D172" i="15" s="1"/>
  <c r="AK172" i="15"/>
  <c r="A173" i="15"/>
  <c r="AJ172" i="15"/>
  <c r="AB172" i="15"/>
  <c r="K172" i="15"/>
  <c r="AC172" i="15"/>
  <c r="K172" i="16"/>
  <c r="X172" i="16"/>
  <c r="AJ172" i="16"/>
  <c r="L172" i="16"/>
  <c r="D172" i="16" s="1"/>
  <c r="AB172" i="16"/>
  <c r="A173" i="16"/>
  <c r="AK172" i="16"/>
  <c r="O172" i="16"/>
  <c r="AC172" i="16"/>
  <c r="V171" i="1"/>
  <c r="D171" i="17"/>
  <c r="E171" i="17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AA172" i="1"/>
  <c r="Z172" i="1" s="1"/>
  <c r="Y172" i="1" s="1"/>
  <c r="I172" i="1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E172" i="15" l="1"/>
  <c r="A174" i="15"/>
  <c r="K173" i="15"/>
  <c r="AC173" i="15"/>
  <c r="L173" i="15"/>
  <c r="D173" i="15" s="1"/>
  <c r="O173" i="15"/>
  <c r="X173" i="15"/>
  <c r="AJ173" i="15"/>
  <c r="AB173" i="15"/>
  <c r="AK173" i="15"/>
  <c r="L173" i="16"/>
  <c r="D173" i="16" s="1"/>
  <c r="X173" i="16"/>
  <c r="A174" i="16"/>
  <c r="AK173" i="16"/>
  <c r="O173" i="16"/>
  <c r="AB173" i="16"/>
  <c r="K173" i="16"/>
  <c r="AJ173" i="16"/>
  <c r="AC173" i="16"/>
  <c r="E172" i="16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D172" i="17"/>
  <c r="E172" i="17" s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A168" i="25"/>
  <c r="AB167" i="25"/>
  <c r="L167" i="25"/>
  <c r="K167" i="25"/>
  <c r="X167" i="25"/>
  <c r="AJ167" i="25"/>
  <c r="O167" i="25"/>
  <c r="AK167" i="25"/>
  <c r="AC167" i="25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E173" i="15" l="1"/>
  <c r="A175" i="15"/>
  <c r="AJ174" i="15"/>
  <c r="AB174" i="15"/>
  <c r="K174" i="15"/>
  <c r="AC174" i="15"/>
  <c r="L174" i="15"/>
  <c r="D174" i="15" s="1"/>
  <c r="O174" i="15"/>
  <c r="X174" i="15"/>
  <c r="AK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D173" i="17"/>
  <c r="E173" i="17" s="1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I173" i="1"/>
  <c r="AA173" i="1"/>
  <c r="Z173" i="1" s="1"/>
  <c r="Y173" i="1" s="1"/>
  <c r="E174" i="16" l="1"/>
  <c r="E174" i="15"/>
  <c r="A176" i="15"/>
  <c r="AJ175" i="15"/>
  <c r="X175" i="15"/>
  <c r="AB175" i="15"/>
  <c r="L175" i="15"/>
  <c r="D175" i="15" s="1"/>
  <c r="K175" i="15"/>
  <c r="AC175" i="15"/>
  <c r="O175" i="15"/>
  <c r="AK175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P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K169" i="25"/>
  <c r="X169" i="25"/>
  <c r="AB169" i="25"/>
  <c r="A170" i="25"/>
  <c r="L169" i="25"/>
  <c r="AJ169" i="25"/>
  <c r="O169" i="25"/>
  <c r="AK169" i="25"/>
  <c r="AC169" i="25"/>
  <c r="D174" i="17"/>
  <c r="E174" i="17" s="1"/>
  <c r="E175" i="15" l="1"/>
  <c r="L176" i="15"/>
  <c r="D176" i="15" s="1"/>
  <c r="O176" i="15"/>
  <c r="A177" i="15"/>
  <c r="AK176" i="15"/>
  <c r="X176" i="15"/>
  <c r="AJ176" i="15"/>
  <c r="K176" i="15"/>
  <c r="AB176" i="15"/>
  <c r="AC176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D175" i="17"/>
  <c r="E175" i="17" s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V177" i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6" i="15" l="1"/>
  <c r="A178" i="15"/>
  <c r="O177" i="15"/>
  <c r="L177" i="15"/>
  <c r="D177" i="15" s="1"/>
  <c r="AJ177" i="15"/>
  <c r="X177" i="15"/>
  <c r="AK177" i="15"/>
  <c r="K177" i="15"/>
  <c r="AB177" i="15"/>
  <c r="AC177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D176" i="17"/>
  <c r="E176" i="17" s="1"/>
  <c r="X177" i="17"/>
  <c r="K177" i="17"/>
  <c r="A178" i="17"/>
  <c r="L177" i="17"/>
  <c r="AB177" i="17"/>
  <c r="AJ177" i="17"/>
  <c r="AK177" i="17"/>
  <c r="O177" i="17"/>
  <c r="AC177" i="17"/>
  <c r="V178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E177" i="16"/>
  <c r="AA178" i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AA177" i="1"/>
  <c r="Z177" i="1" s="1"/>
  <c r="Y177" i="1" s="1"/>
  <c r="I177" i="1"/>
  <c r="D177" i="17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E177" i="17"/>
  <c r="K178" i="17"/>
  <c r="X178" i="17"/>
  <c r="AB178" i="17"/>
  <c r="A179" i="17"/>
  <c r="L178" i="17"/>
  <c r="AJ178" i="17"/>
  <c r="O178" i="17"/>
  <c r="AK178" i="17"/>
  <c r="AC178" i="17"/>
  <c r="A180" i="15" l="1"/>
  <c r="AJ179" i="15"/>
  <c r="K179" i="15"/>
  <c r="X179" i="15"/>
  <c r="AC179" i="15"/>
  <c r="L179" i="15"/>
  <c r="D179" i="15" s="1"/>
  <c r="O179" i="15"/>
  <c r="AB179" i="15"/>
  <c r="AK179" i="15"/>
  <c r="E178" i="15"/>
  <c r="I178" i="1"/>
  <c r="X179" i="16"/>
  <c r="K179" i="16"/>
  <c r="AJ179" i="16"/>
  <c r="AC179" i="16"/>
  <c r="A180" i="16"/>
  <c r="L179" i="16"/>
  <c r="D179" i="16" s="1"/>
  <c r="AB179" i="16"/>
  <c r="AK179" i="16"/>
  <c r="O179" i="16"/>
  <c r="E178" i="16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D178" i="17"/>
  <c r="E178" i="17" s="1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AB174" i="24"/>
  <c r="A175" i="24"/>
  <c r="X174" i="24"/>
  <c r="L174" i="24"/>
  <c r="K174" i="24"/>
  <c r="AK174" i="24"/>
  <c r="O174" i="24"/>
  <c r="AJ174" i="24"/>
  <c r="AC174" i="24"/>
  <c r="E179" i="16" l="1"/>
  <c r="E179" i="15"/>
  <c r="AB180" i="15"/>
  <c r="AJ180" i="15"/>
  <c r="X180" i="15"/>
  <c r="A37" i="7"/>
  <c r="AC180" i="15"/>
  <c r="A181" i="15"/>
  <c r="L180" i="15"/>
  <c r="O180" i="15"/>
  <c r="C37" i="7" s="1"/>
  <c r="K180" i="15"/>
  <c r="AK180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D179" i="17"/>
  <c r="E179" i="17" s="1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O181" i="15" l="1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D180" i="17"/>
  <c r="E180" i="17" s="1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K178" i="22"/>
  <c r="AB178" i="22"/>
  <c r="X178" i="22"/>
  <c r="A179" i="22"/>
  <c r="L178" i="22"/>
  <c r="AK178" i="22"/>
  <c r="AJ178" i="22"/>
  <c r="O178" i="22"/>
  <c r="AC178" i="22"/>
  <c r="E181" i="15" l="1"/>
  <c r="E181" i="16"/>
  <c r="K182" i="15"/>
  <c r="X182" i="15"/>
  <c r="O182" i="15"/>
  <c r="AB182" i="15"/>
  <c r="AC182" i="15"/>
  <c r="L182" i="15"/>
  <c r="D182" i="15" s="1"/>
  <c r="AK182" i="15"/>
  <c r="A183" i="15"/>
  <c r="AJ182" i="15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D181" i="17"/>
  <c r="E181" i="17" s="1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P184" i="1" l="1"/>
  <c r="E182" i="15"/>
  <c r="A184" i="15"/>
  <c r="X183" i="15"/>
  <c r="AC183" i="15"/>
  <c r="AB183" i="15"/>
  <c r="O183" i="15"/>
  <c r="L183" i="15"/>
  <c r="D183" i="15" s="1"/>
  <c r="AJ183" i="15"/>
  <c r="K183" i="15"/>
  <c r="AK183" i="15"/>
  <c r="E182" i="16"/>
  <c r="L183" i="16"/>
  <c r="D183" i="16" s="1"/>
  <c r="AB183" i="16"/>
  <c r="X183" i="16"/>
  <c r="AK183" i="16"/>
  <c r="O183" i="16"/>
  <c r="A184" i="16"/>
  <c r="K183" i="16"/>
  <c r="AJ183" i="16"/>
  <c r="AC183" i="16"/>
  <c r="AA183" i="1"/>
  <c r="Z183" i="1" s="1"/>
  <c r="Y183" i="1" s="1"/>
  <c r="I183" i="1"/>
  <c r="K181" i="20"/>
  <c r="AB181" i="20"/>
  <c r="L181" i="20"/>
  <c r="X181" i="20"/>
  <c r="A182" i="20"/>
  <c r="AJ181" i="20"/>
  <c r="AK181" i="20"/>
  <c r="O181" i="20"/>
  <c r="AC181" i="20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D182" i="17"/>
  <c r="E182" i="17" s="1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I184" i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D183" i="17"/>
  <c r="E183" i="17" s="1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4" i="16" l="1"/>
  <c r="AB185" i="15"/>
  <c r="AK185" i="15"/>
  <c r="A186" i="15"/>
  <c r="X185" i="15"/>
  <c r="O185" i="15"/>
  <c r="L185" i="15"/>
  <c r="D185" i="15" s="1"/>
  <c r="AC185" i="15"/>
  <c r="K185" i="15"/>
  <c r="AJ185" i="15"/>
  <c r="E184" i="15"/>
  <c r="AA184" i="1"/>
  <c r="Z184" i="1" s="1"/>
  <c r="Y184" i="1" s="1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AB185" i="17"/>
  <c r="X185" i="17"/>
  <c r="L185" i="17"/>
  <c r="A186" i="17"/>
  <c r="K185" i="17"/>
  <c r="AJ185" i="17"/>
  <c r="O185" i="17"/>
  <c r="AK185" i="17"/>
  <c r="AC185" i="17"/>
  <c r="D184" i="17"/>
  <c r="E184" i="17" s="1"/>
  <c r="AF49" i="7"/>
  <c r="E185" i="15" l="1"/>
  <c r="AB186" i="15"/>
  <c r="AJ186" i="15"/>
  <c r="X186" i="15"/>
  <c r="AK186" i="15"/>
  <c r="L186" i="15"/>
  <c r="D186" i="15" s="1"/>
  <c r="K186" i="15"/>
  <c r="O186" i="15"/>
  <c r="E186" i="15" s="1"/>
  <c r="A187" i="15"/>
  <c r="AC186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D185" i="17"/>
  <c r="E185" i="17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A188" i="15"/>
  <c r="K187" i="15"/>
  <c r="O187" i="15"/>
  <c r="AB187" i="15"/>
  <c r="AC187" i="15"/>
  <c r="X187" i="15"/>
  <c r="AK187" i="15"/>
  <c r="L187" i="15"/>
  <c r="D187" i="15" s="1"/>
  <c r="AJ187" i="15"/>
  <c r="AA187" i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D186" i="17"/>
  <c r="E186" i="17" s="1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E187" i="16" l="1"/>
  <c r="E187" i="15"/>
  <c r="A189" i="15"/>
  <c r="K188" i="15"/>
  <c r="O188" i="15"/>
  <c r="AB188" i="15"/>
  <c r="AC188" i="15"/>
  <c r="L188" i="15"/>
  <c r="D188" i="15" s="1"/>
  <c r="AJ188" i="15"/>
  <c r="X188" i="15"/>
  <c r="AK188" i="15"/>
  <c r="I187" i="1"/>
  <c r="L188" i="16"/>
  <c r="D188" i="16" s="1"/>
  <c r="K188" i="16"/>
  <c r="A189" i="16"/>
  <c r="AK188" i="16"/>
  <c r="O188" i="16"/>
  <c r="X188" i="16"/>
  <c r="AB188" i="16"/>
  <c r="AJ188" i="16"/>
  <c r="AC188" i="16"/>
  <c r="D187" i="17"/>
  <c r="E187" i="17" s="1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I186" i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E188" i="15" l="1"/>
  <c r="X189" i="15"/>
  <c r="K189" i="15"/>
  <c r="AC189" i="15"/>
  <c r="A190" i="15"/>
  <c r="O189" i="15"/>
  <c r="AB189" i="15"/>
  <c r="AK189" i="15"/>
  <c r="L189" i="15"/>
  <c r="D189" i="15" s="1"/>
  <c r="AJ189" i="15"/>
  <c r="A190" i="16"/>
  <c r="L189" i="16"/>
  <c r="D189" i="16" s="1"/>
  <c r="K189" i="16"/>
  <c r="AK189" i="16"/>
  <c r="O189" i="16"/>
  <c r="AB189" i="16"/>
  <c r="X189" i="16"/>
  <c r="AJ189" i="16"/>
  <c r="AC189" i="16"/>
  <c r="E188" i="16"/>
  <c r="AA189" i="1"/>
  <c r="Z189" i="1" s="1"/>
  <c r="Y189" i="1" s="1"/>
  <c r="I189" i="1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I188" i="1"/>
  <c r="AA188" i="1"/>
  <c r="Z188" i="1" s="1"/>
  <c r="Y188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D188" i="17"/>
  <c r="E188" i="17" s="1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E189" i="16" l="1"/>
  <c r="E189" i="15"/>
  <c r="X190" i="15"/>
  <c r="L190" i="15"/>
  <c r="D190" i="15" s="1"/>
  <c r="AC190" i="15"/>
  <c r="A191" i="15"/>
  <c r="O190" i="15"/>
  <c r="AB190" i="15"/>
  <c r="AK190" i="15"/>
  <c r="K190" i="15"/>
  <c r="AJ190" i="15"/>
  <c r="A191" i="16"/>
  <c r="L190" i="16"/>
  <c r="D190" i="16" s="1"/>
  <c r="AK190" i="16"/>
  <c r="AC190" i="16"/>
  <c r="K190" i="16"/>
  <c r="X190" i="16"/>
  <c r="AB190" i="16"/>
  <c r="AJ190" i="16"/>
  <c r="O190" i="16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D189" i="17"/>
  <c r="E189" i="17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A191" i="17"/>
  <c r="K190" i="17"/>
  <c r="X190" i="17"/>
  <c r="L190" i="17"/>
  <c r="AB190" i="17"/>
  <c r="AJ190" i="17"/>
  <c r="O190" i="17"/>
  <c r="AK190" i="17"/>
  <c r="AC190" i="17"/>
  <c r="E190" i="15" l="1"/>
  <c r="A192" i="15"/>
  <c r="O191" i="15"/>
  <c r="X191" i="15"/>
  <c r="AJ191" i="15"/>
  <c r="K191" i="15"/>
  <c r="AK191" i="15"/>
  <c r="L191" i="15"/>
  <c r="D191" i="15" s="1"/>
  <c r="AB191" i="15"/>
  <c r="AC191" i="15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D190" i="17"/>
  <c r="E190" i="17" s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D191" i="17"/>
  <c r="E191" i="17" s="1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X193" i="15" l="1"/>
  <c r="O193" i="15"/>
  <c r="K193" i="15"/>
  <c r="AJ193" i="15"/>
  <c r="L193" i="15"/>
  <c r="D193" i="15" s="1"/>
  <c r="AK193" i="15"/>
  <c r="AB193" i="15"/>
  <c r="A194" i="15"/>
  <c r="AC193" i="15"/>
  <c r="X193" i="16"/>
  <c r="L193" i="16"/>
  <c r="D193" i="16" s="1"/>
  <c r="A194" i="16"/>
  <c r="AK193" i="16"/>
  <c r="O193" i="16"/>
  <c r="AB193" i="16"/>
  <c r="K193" i="16"/>
  <c r="AJ193" i="16"/>
  <c r="AC193" i="16"/>
  <c r="AA193" i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D192" i="17"/>
  <c r="E192" i="17" s="1"/>
  <c r="K187" i="25"/>
  <c r="A188" i="25"/>
  <c r="L187" i="25"/>
  <c r="X187" i="25"/>
  <c r="AB187" i="25"/>
  <c r="AJ187" i="25"/>
  <c r="AK187" i="25"/>
  <c r="O187" i="25"/>
  <c r="AC187" i="25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I193" i="1" l="1"/>
  <c r="E193" i="15"/>
  <c r="K194" i="15"/>
  <c r="O194" i="15"/>
  <c r="AB194" i="15"/>
  <c r="AJ194" i="15"/>
  <c r="L194" i="15"/>
  <c r="D194" i="15" s="1"/>
  <c r="AK194" i="15"/>
  <c r="A195" i="15"/>
  <c r="X194" i="15"/>
  <c r="AC194" i="15"/>
  <c r="P195" i="1"/>
  <c r="V195" i="1" s="1"/>
  <c r="G61" i="19" s="1"/>
  <c r="E193" i="16"/>
  <c r="AA194" i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3" i="17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E193" i="17"/>
  <c r="K194" i="17"/>
  <c r="L194" i="17"/>
  <c r="X194" i="17"/>
  <c r="A195" i="17"/>
  <c r="AB194" i="17"/>
  <c r="AJ194" i="17"/>
  <c r="O194" i="17"/>
  <c r="AK194" i="17"/>
  <c r="AC194" i="17"/>
  <c r="E194" i="15" l="1"/>
  <c r="A196" i="15"/>
  <c r="X195" i="15"/>
  <c r="AC195" i="15"/>
  <c r="L195" i="15"/>
  <c r="D195" i="15" s="1"/>
  <c r="O195" i="15"/>
  <c r="AB195" i="15"/>
  <c r="AJ195" i="15"/>
  <c r="K195" i="15"/>
  <c r="AK195" i="15"/>
  <c r="E194" i="16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V196" i="1"/>
  <c r="A196" i="17"/>
  <c r="X195" i="17"/>
  <c r="L195" i="17"/>
  <c r="K195" i="17"/>
  <c r="AB195" i="17"/>
  <c r="AJ195" i="17"/>
  <c r="AK195" i="17"/>
  <c r="O195" i="17"/>
  <c r="AC195" i="17"/>
  <c r="D194" i="17"/>
  <c r="E194" i="17" s="1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E195" i="15" l="1"/>
  <c r="P197" i="1"/>
  <c r="V197" i="1" s="1"/>
  <c r="AB196" i="15"/>
  <c r="O196" i="15"/>
  <c r="X196" i="15"/>
  <c r="AK196" i="15"/>
  <c r="L196" i="15"/>
  <c r="D196" i="15" s="1"/>
  <c r="AJ196" i="15"/>
  <c r="K196" i="15"/>
  <c r="A197" i="15"/>
  <c r="AC196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D195" i="17"/>
  <c r="E195" i="17" s="1"/>
  <c r="K196" i="17"/>
  <c r="X196" i="17"/>
  <c r="A197" i="17"/>
  <c r="L196" i="17"/>
  <c r="AB196" i="17"/>
  <c r="O196" i="17"/>
  <c r="AJ196" i="17"/>
  <c r="AK196" i="17"/>
  <c r="AC196" i="17"/>
  <c r="A193" i="23"/>
  <c r="L192" i="23"/>
  <c r="AB192" i="23"/>
  <c r="X192" i="23"/>
  <c r="K192" i="23"/>
  <c r="AJ192" i="23"/>
  <c r="AK192" i="23"/>
  <c r="O192" i="23"/>
  <c r="AC192" i="23"/>
  <c r="X197" i="15" l="1"/>
  <c r="O197" i="15"/>
  <c r="AB197" i="15"/>
  <c r="AJ197" i="15"/>
  <c r="A198" i="15"/>
  <c r="AK197" i="15"/>
  <c r="K197" i="15"/>
  <c r="L197" i="15"/>
  <c r="D197" i="15" s="1"/>
  <c r="E197" i="15" s="1"/>
  <c r="AC197" i="15"/>
  <c r="E196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AA196" i="1"/>
  <c r="Z196" i="1" s="1"/>
  <c r="Y196" i="1" s="1"/>
  <c r="I196" i="1"/>
  <c r="D196" i="17"/>
  <c r="E196" i="17" s="1"/>
  <c r="S198" i="1"/>
  <c r="R198" i="1" s="1"/>
  <c r="P198" i="1" s="1"/>
  <c r="V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AB198" i="15" l="1"/>
  <c r="K198" i="15"/>
  <c r="AC198" i="15"/>
  <c r="L198" i="15"/>
  <c r="D198" i="15" s="1"/>
  <c r="O198" i="15"/>
  <c r="X198" i="15"/>
  <c r="AK198" i="15"/>
  <c r="A199" i="15"/>
  <c r="AJ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D197" i="17"/>
  <c r="AA197" i="1"/>
  <c r="Z197" i="1" s="1"/>
  <c r="Y197" i="1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V199" i="1"/>
  <c r="AB193" i="24"/>
  <c r="X193" i="24"/>
  <c r="A194" i="24"/>
  <c r="K193" i="24"/>
  <c r="L193" i="24"/>
  <c r="AJ193" i="24"/>
  <c r="AK193" i="24"/>
  <c r="O193" i="24"/>
  <c r="AC193" i="24"/>
  <c r="E197" i="17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E198" i="15" l="1"/>
  <c r="L199" i="15"/>
  <c r="D199" i="15" s="1"/>
  <c r="AK199" i="15"/>
  <c r="X199" i="15"/>
  <c r="AJ199" i="15"/>
  <c r="A200" i="15"/>
  <c r="AB199" i="15"/>
  <c r="AC199" i="15"/>
  <c r="K199" i="15"/>
  <c r="O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D198" i="17"/>
  <c r="E198" i="17" s="1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S200" i="1"/>
  <c r="R200" i="1" s="1"/>
  <c r="P200" i="1" s="1"/>
  <c r="V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AB200" i="15" l="1"/>
  <c r="O200" i="15"/>
  <c r="L200" i="15"/>
  <c r="D200" i="15" s="1"/>
  <c r="AJ200" i="15"/>
  <c r="X200" i="15"/>
  <c r="AK200" i="15"/>
  <c r="A201" i="15"/>
  <c r="K200" i="15"/>
  <c r="AC200" i="15"/>
  <c r="E199" i="15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S201" i="1"/>
  <c r="R201" i="1" s="1"/>
  <c r="P201" i="1" s="1"/>
  <c r="V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D199" i="17"/>
  <c r="E199" i="17" s="1"/>
  <c r="K196" i="23"/>
  <c r="L196" i="23"/>
  <c r="A197" i="23"/>
  <c r="AB196" i="23"/>
  <c r="X196" i="23"/>
  <c r="AJ196" i="23"/>
  <c r="AK196" i="23"/>
  <c r="O196" i="23"/>
  <c r="AC196" i="23"/>
  <c r="E200" i="15" l="1"/>
  <c r="X201" i="15"/>
  <c r="AJ201" i="15"/>
  <c r="K201" i="15"/>
  <c r="AK201" i="15"/>
  <c r="A202" i="15"/>
  <c r="AB201" i="15"/>
  <c r="O201" i="15"/>
  <c r="L201" i="15"/>
  <c r="D201" i="15" s="1"/>
  <c r="AC201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0" i="17"/>
  <c r="E200" i="17" s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1" i="15" l="1"/>
  <c r="AB202" i="15"/>
  <c r="K202" i="15"/>
  <c r="O202" i="15"/>
  <c r="X202" i="15"/>
  <c r="AC202" i="15"/>
  <c r="A203" i="15"/>
  <c r="AK202" i="15"/>
  <c r="L202" i="15"/>
  <c r="D202" i="15" s="1"/>
  <c r="AJ202" i="15"/>
  <c r="K202" i="16"/>
  <c r="L202" i="16"/>
  <c r="D202" i="16" s="1"/>
  <c r="AB202" i="16"/>
  <c r="AJ202" i="16"/>
  <c r="O202" i="16"/>
  <c r="X202" i="16"/>
  <c r="A203" i="16"/>
  <c r="AK202" i="16"/>
  <c r="AC202" i="16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D201" i="17"/>
  <c r="E201" i="17" s="1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2" i="15" l="1"/>
  <c r="A204" i="15"/>
  <c r="AK203" i="15"/>
  <c r="AB203" i="15"/>
  <c r="K203" i="15"/>
  <c r="AC203" i="15"/>
  <c r="X203" i="15"/>
  <c r="O203" i="15"/>
  <c r="L203" i="15"/>
  <c r="D203" i="15" s="1"/>
  <c r="AJ203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D202" i="17"/>
  <c r="E202" i="17" s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3" i="15" l="1"/>
  <c r="A205" i="15"/>
  <c r="O204" i="15"/>
  <c r="X204" i="15"/>
  <c r="AJ204" i="15"/>
  <c r="AB204" i="15"/>
  <c r="AK204" i="15"/>
  <c r="L204" i="15"/>
  <c r="D204" i="15" s="1"/>
  <c r="K204" i="15"/>
  <c r="AC204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D203" i="17"/>
  <c r="E203" i="17" s="1"/>
  <c r="A205" i="17"/>
  <c r="AB204" i="17"/>
  <c r="K204" i="17"/>
  <c r="L204" i="17"/>
  <c r="X204" i="17"/>
  <c r="AK204" i="17"/>
  <c r="AJ204" i="17"/>
  <c r="O204" i="17"/>
  <c r="AC204" i="17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4" i="15" l="1"/>
  <c r="A206" i="15"/>
  <c r="AC205" i="15"/>
  <c r="K205" i="15"/>
  <c r="AK205" i="15"/>
  <c r="AB205" i="15"/>
  <c r="AJ205" i="15"/>
  <c r="L205" i="15"/>
  <c r="D205" i="15" s="1"/>
  <c r="X205" i="15"/>
  <c r="O205" i="15"/>
  <c r="E205" i="15" s="1"/>
  <c r="I205" i="1"/>
  <c r="E204" i="16"/>
  <c r="K205" i="16"/>
  <c r="L205" i="16"/>
  <c r="D205" i="16" s="1"/>
  <c r="AB205" i="16"/>
  <c r="AJ205" i="16"/>
  <c r="O205" i="16"/>
  <c r="X205" i="16"/>
  <c r="A206" i="16"/>
  <c r="AK205" i="16"/>
  <c r="AC205" i="16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D204" i="17"/>
  <c r="E204" i="17" s="1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AA205" i="1" l="1"/>
  <c r="Z205" i="1" s="1"/>
  <c r="Y205" i="1" s="1"/>
  <c r="X206" i="15"/>
  <c r="AB206" i="15"/>
  <c r="AC206" i="15"/>
  <c r="A207" i="15"/>
  <c r="O206" i="15"/>
  <c r="L206" i="15"/>
  <c r="D206" i="15" s="1"/>
  <c r="AK206" i="15"/>
  <c r="K206" i="15"/>
  <c r="AJ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V207" i="1"/>
  <c r="D205" i="17"/>
  <c r="E205" i="17" s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6" i="15" l="1"/>
  <c r="AB207" i="15"/>
  <c r="K207" i="15"/>
  <c r="O207" i="15"/>
  <c r="X207" i="15"/>
  <c r="AC207" i="15"/>
  <c r="A208" i="15"/>
  <c r="AJ207" i="15"/>
  <c r="L207" i="15"/>
  <c r="D207" i="15" s="1"/>
  <c r="AK207" i="15"/>
  <c r="I207" i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D206" i="17"/>
  <c r="E206" i="17" s="1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S208" i="1"/>
  <c r="R208" i="1" s="1"/>
  <c r="P208" i="1" s="1"/>
  <c r="V208" i="1" s="1"/>
  <c r="AA207" i="1" l="1"/>
  <c r="Z207" i="1" s="1"/>
  <c r="Y207" i="1" s="1"/>
  <c r="E207" i="15"/>
  <c r="L208" i="15"/>
  <c r="D208" i="15" s="1"/>
  <c r="K208" i="15"/>
  <c r="A209" i="15"/>
  <c r="O208" i="15"/>
  <c r="AK208" i="15"/>
  <c r="AC208" i="15"/>
  <c r="AB208" i="15"/>
  <c r="AJ208" i="15"/>
  <c r="X208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D207" i="17"/>
  <c r="E207" i="17" s="1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K204" i="23"/>
  <c r="A205" i="23"/>
  <c r="L204" i="23"/>
  <c r="AB204" i="23"/>
  <c r="X204" i="23"/>
  <c r="AK204" i="23"/>
  <c r="AJ204" i="23"/>
  <c r="O204" i="23"/>
  <c r="AC204" i="23"/>
  <c r="E208" i="15" l="1"/>
  <c r="X209" i="15"/>
  <c r="AK209" i="15"/>
  <c r="K209" i="15"/>
  <c r="AJ209" i="15"/>
  <c r="AB209" i="15"/>
  <c r="L209" i="15"/>
  <c r="D209" i="15" s="1"/>
  <c r="AC209" i="15"/>
  <c r="A210" i="15"/>
  <c r="O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D208" i="17"/>
  <c r="E208" i="17" s="1"/>
  <c r="K207" i="20"/>
  <c r="L207" i="20"/>
  <c r="AB207" i="20"/>
  <c r="X207" i="20"/>
  <c r="A208" i="20"/>
  <c r="AJ207" i="20"/>
  <c r="AK207" i="20"/>
  <c r="O207" i="20"/>
  <c r="AC207" i="20"/>
  <c r="T210" i="1"/>
  <c r="B26" i="7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AA208" i="1"/>
  <c r="Z208" i="1" s="1"/>
  <c r="Y208" i="1" s="1"/>
  <c r="I208" i="1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I209" i="1"/>
  <c r="AA209" i="1"/>
  <c r="Z209" i="1" s="1"/>
  <c r="Y209" i="1" s="1"/>
  <c r="D209" i="17"/>
  <c r="E209" i="17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L211" i="15" l="1"/>
  <c r="D211" i="15" s="1"/>
  <c r="K211" i="15"/>
  <c r="AC211" i="15"/>
  <c r="X211" i="15"/>
  <c r="O211" i="15"/>
  <c r="A212" i="15"/>
  <c r="AJ211" i="15"/>
  <c r="AB211" i="15"/>
  <c r="AK211" i="15"/>
  <c r="B38" i="7"/>
  <c r="D210" i="15"/>
  <c r="E210" i="15" s="1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AB205" i="25"/>
  <c r="X205" i="25"/>
  <c r="L205" i="25"/>
  <c r="K205" i="25"/>
  <c r="A206" i="25"/>
  <c r="AK205" i="25"/>
  <c r="AJ205" i="25"/>
  <c r="O205" i="25"/>
  <c r="AC205" i="25"/>
  <c r="D210" i="17"/>
  <c r="E210" i="17" s="1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E211" i="16" l="1"/>
  <c r="X212" i="15"/>
  <c r="AB212" i="15"/>
  <c r="AC212" i="15"/>
  <c r="K212" i="15"/>
  <c r="O212" i="15"/>
  <c r="A213" i="15"/>
  <c r="AK212" i="15"/>
  <c r="L212" i="15"/>
  <c r="D212" i="15" s="1"/>
  <c r="AJ212" i="15"/>
  <c r="E211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D211" i="17"/>
  <c r="E211" i="17" s="1"/>
  <c r="I210" i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2" i="15" l="1"/>
  <c r="AB213" i="15"/>
  <c r="O213" i="15"/>
  <c r="L213" i="15"/>
  <c r="D213" i="15" s="1"/>
  <c r="AJ213" i="15"/>
  <c r="K213" i="15"/>
  <c r="AK213" i="15"/>
  <c r="A214" i="15"/>
  <c r="X213" i="15"/>
  <c r="AC213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2" i="17"/>
  <c r="E212" i="17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3" i="15" l="1"/>
  <c r="AB214" i="15"/>
  <c r="AJ214" i="15"/>
  <c r="X214" i="15"/>
  <c r="A215" i="15"/>
  <c r="AC214" i="15"/>
  <c r="L214" i="15"/>
  <c r="D214" i="15" s="1"/>
  <c r="O214" i="15"/>
  <c r="K214" i="15"/>
  <c r="AK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D213" i="17"/>
  <c r="E213" i="17" s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S215" i="1"/>
  <c r="R215" i="1" s="1"/>
  <c r="P215" i="1" s="1"/>
  <c r="V215" i="1" s="1"/>
  <c r="AB214" i="17"/>
  <c r="K214" i="17"/>
  <c r="L214" i="17"/>
  <c r="A215" i="17"/>
  <c r="X214" i="17"/>
  <c r="AJ214" i="17"/>
  <c r="O214" i="17"/>
  <c r="AK214" i="17"/>
  <c r="AC214" i="17"/>
  <c r="E214" i="15" l="1"/>
  <c r="X215" i="15"/>
  <c r="L215" i="15"/>
  <c r="D215" i="15" s="1"/>
  <c r="AB215" i="15"/>
  <c r="AK215" i="15"/>
  <c r="AC215" i="15"/>
  <c r="A216" i="15"/>
  <c r="AJ215" i="15"/>
  <c r="K215" i="15"/>
  <c r="O215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D214" i="17"/>
  <c r="E214" i="17" s="1"/>
  <c r="AF50" i="7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D215" i="17"/>
  <c r="E215" i="17" s="1"/>
  <c r="K216" i="17"/>
  <c r="A217" i="17"/>
  <c r="L216" i="17"/>
  <c r="X216" i="17"/>
  <c r="AB216" i="17"/>
  <c r="AJ216" i="17"/>
  <c r="AK216" i="17"/>
  <c r="O216" i="17"/>
  <c r="AC216" i="17"/>
  <c r="E216" i="15" l="1"/>
  <c r="X217" i="15"/>
  <c r="K217" i="15"/>
  <c r="O217" i="15"/>
  <c r="AB217" i="15"/>
  <c r="AK217" i="15"/>
  <c r="A218" i="15"/>
  <c r="AJ217" i="15"/>
  <c r="AC217" i="15"/>
  <c r="L217" i="15"/>
  <c r="D217" i="15" s="1"/>
  <c r="E217" i="15" s="1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D216" i="17"/>
  <c r="E216" i="17" s="1"/>
  <c r="AB213" i="23"/>
  <c r="K213" i="23"/>
  <c r="L213" i="23"/>
  <c r="X213" i="23"/>
  <c r="A214" i="23"/>
  <c r="AJ213" i="23"/>
  <c r="AK213" i="23"/>
  <c r="O213" i="23"/>
  <c r="AC213" i="23"/>
  <c r="X211" i="25"/>
  <c r="L211" i="25"/>
  <c r="K211" i="25"/>
  <c r="AB211" i="25"/>
  <c r="A212" i="25"/>
  <c r="AJ211" i="25"/>
  <c r="AK211" i="25"/>
  <c r="O211" i="25"/>
  <c r="AC211" i="25"/>
  <c r="A219" i="15" l="1"/>
  <c r="O218" i="15"/>
  <c r="X218" i="15"/>
  <c r="AJ218" i="15"/>
  <c r="K218" i="15"/>
  <c r="AK218" i="15"/>
  <c r="L218" i="15"/>
  <c r="D218" i="15" s="1"/>
  <c r="AB218" i="15"/>
  <c r="AC218" i="15"/>
  <c r="A219" i="16"/>
  <c r="L218" i="16"/>
  <c r="D218" i="16" s="1"/>
  <c r="AJ218" i="16"/>
  <c r="AC218" i="16"/>
  <c r="K218" i="16"/>
  <c r="AB218" i="16"/>
  <c r="X218" i="16"/>
  <c r="AK218" i="16"/>
  <c r="O218" i="16"/>
  <c r="I218" i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D217" i="17"/>
  <c r="E217" i="17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I217" i="1"/>
  <c r="AA217" i="1"/>
  <c r="Z217" i="1" s="1"/>
  <c r="Y217" i="1" s="1"/>
  <c r="S219" i="1"/>
  <c r="R219" i="1" s="1"/>
  <c r="P219" i="1" s="1"/>
  <c r="V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8" i="15" l="1"/>
  <c r="L219" i="15"/>
  <c r="D219" i="15" s="1"/>
  <c r="AK219" i="15"/>
  <c r="A220" i="15"/>
  <c r="AB219" i="15"/>
  <c r="AC219" i="15"/>
  <c r="K219" i="15"/>
  <c r="O219" i="15"/>
  <c r="E219" i="15" s="1"/>
  <c r="X219" i="15"/>
  <c r="AJ219" i="15"/>
  <c r="E218" i="16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D218" i="17"/>
  <c r="E218" i="17" s="1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AB220" i="15" l="1"/>
  <c r="AK220" i="15"/>
  <c r="X220" i="15"/>
  <c r="K220" i="15"/>
  <c r="AC220" i="15"/>
  <c r="A221" i="15"/>
  <c r="O220" i="15"/>
  <c r="L220" i="15"/>
  <c r="D220" i="15" s="1"/>
  <c r="AJ220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D219" i="17"/>
  <c r="E219" i="17" s="1"/>
  <c r="X220" i="17"/>
  <c r="L220" i="17"/>
  <c r="AB220" i="17"/>
  <c r="A221" i="17"/>
  <c r="K220" i="17"/>
  <c r="AK220" i="17"/>
  <c r="AJ220" i="17"/>
  <c r="O220" i="17"/>
  <c r="AC220" i="17"/>
  <c r="E220" i="15" l="1"/>
  <c r="AB221" i="15"/>
  <c r="O221" i="15"/>
  <c r="L221" i="15"/>
  <c r="D221" i="15" s="1"/>
  <c r="AK221" i="15"/>
  <c r="K221" i="15"/>
  <c r="AJ221" i="15"/>
  <c r="A222" i="15"/>
  <c r="X221" i="15"/>
  <c r="AC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D220" i="17"/>
  <c r="E220" i="17" s="1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I221" i="1" l="1"/>
  <c r="E221" i="15"/>
  <c r="L222" i="15"/>
  <c r="D222" i="15" s="1"/>
  <c r="AK222" i="15"/>
  <c r="K222" i="15"/>
  <c r="O222" i="15"/>
  <c r="AC222" i="15"/>
  <c r="AB222" i="15"/>
  <c r="A223" i="15"/>
  <c r="AJ222" i="15"/>
  <c r="X222" i="15"/>
  <c r="AA221" i="1"/>
  <c r="Z221" i="1" s="1"/>
  <c r="Y221" i="1" s="1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D221" i="17"/>
  <c r="E221" i="17" s="1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E223" i="1"/>
  <c r="A217" i="25"/>
  <c r="K216" i="25"/>
  <c r="L216" i="25"/>
  <c r="AB216" i="25"/>
  <c r="X216" i="25"/>
  <c r="AJ216" i="25"/>
  <c r="O216" i="25"/>
  <c r="AK216" i="25"/>
  <c r="AC216" i="25"/>
  <c r="AB223" i="15" l="1"/>
  <c r="L223" i="15"/>
  <c r="D223" i="15" s="1"/>
  <c r="AC223" i="15"/>
  <c r="X223" i="15"/>
  <c r="O223" i="15"/>
  <c r="A224" i="15"/>
  <c r="AJ223" i="15"/>
  <c r="K223" i="15"/>
  <c r="AK223" i="15"/>
  <c r="E222" i="15"/>
  <c r="G222" i="1"/>
  <c r="BW222" i="6" s="1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D222" i="17"/>
  <c r="E222" i="17" s="1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X224" i="15" l="1"/>
  <c r="AJ224" i="15"/>
  <c r="L224" i="15"/>
  <c r="D224" i="15" s="1"/>
  <c r="AK224" i="15"/>
  <c r="K224" i="15"/>
  <c r="AB224" i="15"/>
  <c r="AC224" i="15"/>
  <c r="A225" i="15"/>
  <c r="O224" i="15"/>
  <c r="E223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D223" i="17"/>
  <c r="E223" i="17" s="1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D224" i="17"/>
  <c r="E224" i="17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5" i="17"/>
  <c r="E225" i="17" s="1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D226" i="17"/>
  <c r="E226" i="17" s="1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D227" i="17"/>
  <c r="E227" i="17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AB229" i="15" l="1"/>
  <c r="AJ229" i="15"/>
  <c r="L229" i="15"/>
  <c r="D229" i="15" s="1"/>
  <c r="X229" i="15"/>
  <c r="AC229" i="15"/>
  <c r="K229" i="15"/>
  <c r="O229" i="15"/>
  <c r="A230" i="15"/>
  <c r="AK229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D228" i="17"/>
  <c r="E228" i="17" s="1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X230" i="15" l="1"/>
  <c r="AK230" i="15"/>
  <c r="AB230" i="15"/>
  <c r="AJ230" i="15"/>
  <c r="K230" i="15"/>
  <c r="A231" i="15"/>
  <c r="AC230" i="15"/>
  <c r="L230" i="15"/>
  <c r="D230" i="15" s="1"/>
  <c r="O230" i="15"/>
  <c r="E229" i="15"/>
  <c r="G228" i="1"/>
  <c r="BW228" i="6" s="1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D229" i="17"/>
  <c r="E229" i="17" s="1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E230" i="15" l="1"/>
  <c r="E230" i="16"/>
  <c r="AB231" i="15"/>
  <c r="AC231" i="15"/>
  <c r="K231" i="15"/>
  <c r="L231" i="15"/>
  <c r="D231" i="15" s="1"/>
  <c r="A232" i="15"/>
  <c r="AK231" i="15"/>
  <c r="X231" i="15"/>
  <c r="O231" i="15"/>
  <c r="AJ231" i="15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D230" i="17"/>
  <c r="E230" i="17" s="1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1" i="15" l="1"/>
  <c r="K232" i="15"/>
  <c r="O232" i="15"/>
  <c r="L232" i="15"/>
  <c r="D232" i="15" s="1"/>
  <c r="AK232" i="15"/>
  <c r="X232" i="15"/>
  <c r="AJ232" i="15"/>
  <c r="AB232" i="15"/>
  <c r="A233" i="15"/>
  <c r="AC232" i="15"/>
  <c r="F232" i="1"/>
  <c r="G232" i="1" s="1"/>
  <c r="BW232" i="6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D231" i="17"/>
  <c r="E231" i="17" s="1"/>
  <c r="L227" i="24"/>
  <c r="AB227" i="24"/>
  <c r="X227" i="24"/>
  <c r="A228" i="24"/>
  <c r="K227" i="24"/>
  <c r="AK227" i="24"/>
  <c r="AJ227" i="24"/>
  <c r="O227" i="24"/>
  <c r="AC227" i="24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I232" i="1" l="1"/>
  <c r="AA232" i="1"/>
  <c r="Z232" i="1" s="1"/>
  <c r="Y232" i="1" s="1"/>
  <c r="E232" i="15"/>
  <c r="A234" i="15"/>
  <c r="X233" i="15"/>
  <c r="AC233" i="15"/>
  <c r="L233" i="15"/>
  <c r="D233" i="15" s="1"/>
  <c r="O233" i="15"/>
  <c r="K233" i="15"/>
  <c r="AJ233" i="15"/>
  <c r="AB233" i="15"/>
  <c r="AK233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D232" i="17"/>
  <c r="E232" i="17" s="1"/>
  <c r="AB228" i="24"/>
  <c r="K228" i="24"/>
  <c r="A229" i="24"/>
  <c r="X228" i="24"/>
  <c r="L228" i="24"/>
  <c r="AJ228" i="24"/>
  <c r="AK228" i="24"/>
  <c r="O228" i="24"/>
  <c r="AC228" i="24"/>
  <c r="E233" i="15" l="1"/>
  <c r="AB234" i="15"/>
  <c r="AC234" i="15"/>
  <c r="X234" i="15"/>
  <c r="AJ234" i="15"/>
  <c r="K234" i="15"/>
  <c r="AK234" i="15"/>
  <c r="A235" i="15"/>
  <c r="L234" i="15"/>
  <c r="D234" i="15" s="1"/>
  <c r="O234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D233" i="17"/>
  <c r="E233" i="17" s="1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I234" i="1" l="1"/>
  <c r="E234" i="16"/>
  <c r="E234" i="15"/>
  <c r="X235" i="15"/>
  <c r="AK235" i="15"/>
  <c r="A236" i="15"/>
  <c r="AB235" i="15"/>
  <c r="AC235" i="15"/>
  <c r="L235" i="15"/>
  <c r="D235" i="15" s="1"/>
  <c r="O235" i="15"/>
  <c r="K235" i="15"/>
  <c r="AJ235" i="15"/>
  <c r="AA234" i="1"/>
  <c r="Z234" i="1" s="1"/>
  <c r="Y234" i="1" s="1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D234" i="17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E234" i="17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AA236" i="1" s="1"/>
  <c r="Z236" i="1" s="1"/>
  <c r="Y236" i="1" s="1"/>
  <c r="E235" i="15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5" i="1"/>
  <c r="Z235" i="1" s="1"/>
  <c r="Y235" i="1" s="1"/>
  <c r="X236" i="16"/>
  <c r="AB236" i="16"/>
  <c r="AJ236" i="16"/>
  <c r="AC236" i="16"/>
  <c r="A237" i="16"/>
  <c r="K236" i="16"/>
  <c r="L236" i="16"/>
  <c r="D236" i="16" s="1"/>
  <c r="AK236" i="16"/>
  <c r="O236" i="16"/>
  <c r="E235" i="16"/>
  <c r="I236" i="1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D235" i="17"/>
  <c r="E235" i="17" s="1"/>
  <c r="G236" i="1" l="1"/>
  <c r="BW236" i="6" s="1"/>
  <c r="A238" i="15"/>
  <c r="K237" i="15"/>
  <c r="O237" i="15"/>
  <c r="AB237" i="15"/>
  <c r="AC237" i="15"/>
  <c r="X237" i="15"/>
  <c r="AJ237" i="15"/>
  <c r="L237" i="15"/>
  <c r="D237" i="15" s="1"/>
  <c r="AK237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D236" i="17"/>
  <c r="E236" i="17" s="1"/>
  <c r="E237" i="15" l="1"/>
  <c r="AB238" i="15"/>
  <c r="A239" i="15"/>
  <c r="AC238" i="15"/>
  <c r="L238" i="15"/>
  <c r="D238" i="15" s="1"/>
  <c r="O238" i="15"/>
  <c r="K238" i="15"/>
  <c r="AJ238" i="15"/>
  <c r="X238" i="15"/>
  <c r="AK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E238" i="16" s="1"/>
  <c r="AB238" i="16"/>
  <c r="AC238" i="16"/>
  <c r="E237" i="16"/>
  <c r="S239" i="1"/>
  <c r="R239" i="1" s="1"/>
  <c r="P239" i="1" s="1"/>
  <c r="V239" i="1" s="1"/>
  <c r="D239" i="1"/>
  <c r="E239" i="1" s="1"/>
  <c r="D237" i="17"/>
  <c r="E237" i="17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I238" i="1" l="1"/>
  <c r="G238" i="1"/>
  <c r="BW238" i="6" s="1"/>
  <c r="E238" i="15"/>
  <c r="AB239" i="15"/>
  <c r="A240" i="15"/>
  <c r="AC239" i="15"/>
  <c r="X239" i="15"/>
  <c r="O239" i="15"/>
  <c r="K239" i="15"/>
  <c r="AK239" i="15"/>
  <c r="L239" i="15"/>
  <c r="D239" i="15" s="1"/>
  <c r="AJ239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G239" i="1"/>
  <c r="BW239" i="6" s="1"/>
  <c r="S240" i="1"/>
  <c r="R240" i="1" s="1"/>
  <c r="P240" i="1" s="1"/>
  <c r="V240" i="1" s="1"/>
  <c r="D240" i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D238" i="17"/>
  <c r="E238" i="17" s="1"/>
  <c r="K237" i="20"/>
  <c r="A238" i="20"/>
  <c r="L237" i="20"/>
  <c r="X237" i="20"/>
  <c r="AB237" i="20"/>
  <c r="AJ237" i="20"/>
  <c r="AK237" i="20"/>
  <c r="O237" i="20"/>
  <c r="AC237" i="20"/>
  <c r="E240" i="1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E239" i="16" l="1"/>
  <c r="E239" i="15"/>
  <c r="AB240" i="15"/>
  <c r="X240" i="15"/>
  <c r="AC240" i="15"/>
  <c r="A241" i="15"/>
  <c r="O240" i="15"/>
  <c r="K240" i="15"/>
  <c r="AK240" i="15"/>
  <c r="L240" i="15"/>
  <c r="D240" i="15" s="1"/>
  <c r="AJ240" i="15"/>
  <c r="I239" i="1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D239" i="17"/>
  <c r="E239" i="17" s="1"/>
  <c r="E240" i="15" l="1"/>
  <c r="A39" i="7"/>
  <c r="A242" i="15"/>
  <c r="O241" i="15"/>
  <c r="C39" i="7" s="1"/>
  <c r="AB241" i="15"/>
  <c r="AJ241" i="15"/>
  <c r="L241" i="15"/>
  <c r="AK241" i="15"/>
  <c r="K241" i="15"/>
  <c r="X241" i="15"/>
  <c r="AC241" i="15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D240" i="17"/>
  <c r="E240" i="17" s="1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D241" i="15" l="1"/>
  <c r="E241" i="15" s="1"/>
  <c r="B39" i="7"/>
  <c r="AB242" i="15"/>
  <c r="AK242" i="15"/>
  <c r="L242" i="15"/>
  <c r="D242" i="15" s="1"/>
  <c r="K242" i="15"/>
  <c r="AC242" i="15"/>
  <c r="A243" i="15"/>
  <c r="O242" i="15"/>
  <c r="X242" i="15"/>
  <c r="AJ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D241" i="17"/>
  <c r="E241" i="17" s="1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F243" i="1" l="1"/>
  <c r="G243" i="1" s="1"/>
  <c r="BW243" i="6" s="1"/>
  <c r="AB243" i="15"/>
  <c r="K243" i="15"/>
  <c r="AC243" i="15"/>
  <c r="A244" i="15"/>
  <c r="O243" i="15"/>
  <c r="L243" i="15"/>
  <c r="D243" i="15" s="1"/>
  <c r="AJ243" i="15"/>
  <c r="X243" i="15"/>
  <c r="AK243" i="15"/>
  <c r="E242" i="15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D242" i="17"/>
  <c r="E242" i="17" s="1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I243" i="1"/>
  <c r="E243" i="15"/>
  <c r="A245" i="15"/>
  <c r="O244" i="15"/>
  <c r="X244" i="15"/>
  <c r="AJ244" i="15"/>
  <c r="K244" i="15"/>
  <c r="AK244" i="15"/>
  <c r="L244" i="15"/>
  <c r="D244" i="15" s="1"/>
  <c r="AB244" i="15"/>
  <c r="AC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D243" i="17"/>
  <c r="E243" i="17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4" i="15" l="1"/>
  <c r="L245" i="15"/>
  <c r="D245" i="15" s="1"/>
  <c r="AC245" i="15"/>
  <c r="A246" i="15"/>
  <c r="AK245" i="15"/>
  <c r="X245" i="15"/>
  <c r="AJ245" i="15"/>
  <c r="K245" i="15"/>
  <c r="AB245" i="15"/>
  <c r="O245" i="15"/>
  <c r="K245" i="16"/>
  <c r="X245" i="16"/>
  <c r="AB245" i="16"/>
  <c r="AK245" i="16"/>
  <c r="O245" i="16"/>
  <c r="A246" i="16"/>
  <c r="L245" i="16"/>
  <c r="D245" i="16" s="1"/>
  <c r="E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D244" i="17"/>
  <c r="E244" i="17" s="1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L246" i="15" l="1"/>
  <c r="D246" i="15" s="1"/>
  <c r="AJ246" i="15"/>
  <c r="AB246" i="15"/>
  <c r="X246" i="15"/>
  <c r="O246" i="15"/>
  <c r="E246" i="15" s="1"/>
  <c r="A247" i="15"/>
  <c r="AC246" i="15"/>
  <c r="K246" i="15"/>
  <c r="AK246" i="15"/>
  <c r="E245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D245" i="17"/>
  <c r="E245" i="17" s="1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K247" i="15"/>
  <c r="AK247" i="15"/>
  <c r="X247" i="15"/>
  <c r="AC247" i="15"/>
  <c r="AJ247" i="15"/>
  <c r="A248" i="15"/>
  <c r="O247" i="15"/>
  <c r="AB247" i="15"/>
  <c r="L247" i="15"/>
  <c r="D247" i="15" s="1"/>
  <c r="E247" i="15" s="1"/>
  <c r="E246" i="16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D246" i="17"/>
  <c r="E246" i="17" s="1"/>
  <c r="AF63" i="7"/>
  <c r="D248" i="1"/>
  <c r="E248" i="1" s="1"/>
  <c r="E247" i="16" l="1"/>
  <c r="K248" i="15"/>
  <c r="AJ248" i="15"/>
  <c r="X248" i="15"/>
  <c r="AK248" i="15"/>
  <c r="AB248" i="15"/>
  <c r="A249" i="15"/>
  <c r="O248" i="15"/>
  <c r="L248" i="15"/>
  <c r="D248" i="15" s="1"/>
  <c r="AC248" i="15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D247" i="17"/>
  <c r="E247" i="17" s="1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E248" i="15" l="1"/>
  <c r="A250" i="15"/>
  <c r="AK249" i="15"/>
  <c r="AB249" i="15"/>
  <c r="X249" i="15"/>
  <c r="AC249" i="15"/>
  <c r="K249" i="15"/>
  <c r="O249" i="15"/>
  <c r="L249" i="15"/>
  <c r="D249" i="15" s="1"/>
  <c r="AJ249" i="15"/>
  <c r="I248" i="1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D248" i="17"/>
  <c r="E248" i="17" s="1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F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AA249" i="1" l="1"/>
  <c r="Z249" i="1" s="1"/>
  <c r="Y249" i="1" s="1"/>
  <c r="E249" i="15"/>
  <c r="AB250" i="15"/>
  <c r="AJ250" i="15"/>
  <c r="L250" i="15"/>
  <c r="D250" i="15" s="1"/>
  <c r="AK250" i="15"/>
  <c r="X250" i="15"/>
  <c r="K250" i="15"/>
  <c r="AC250" i="15"/>
  <c r="A251" i="15"/>
  <c r="O250" i="15"/>
  <c r="G249" i="1"/>
  <c r="BW249" i="6" s="1"/>
  <c r="A251" i="16"/>
  <c r="AB250" i="16"/>
  <c r="K250" i="16"/>
  <c r="AJ250" i="16"/>
  <c r="O250" i="16"/>
  <c r="L250" i="16"/>
  <c r="D250" i="16" s="1"/>
  <c r="X250" i="16"/>
  <c r="AK250" i="16"/>
  <c r="AC250" i="16"/>
  <c r="E249" i="16"/>
  <c r="I250" i="1"/>
  <c r="G250" i="1"/>
  <c r="BW250" i="6" s="1"/>
  <c r="AA250" i="1"/>
  <c r="Z250" i="1" s="1"/>
  <c r="Y250" i="1" s="1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D249" i="17"/>
  <c r="E249" i="17" s="1"/>
  <c r="E250" i="16" l="1"/>
  <c r="E250" i="15"/>
  <c r="X251" i="15"/>
  <c r="AB251" i="15"/>
  <c r="AC251" i="15"/>
  <c r="K251" i="15"/>
  <c r="O251" i="15"/>
  <c r="A252" i="15"/>
  <c r="AK251" i="15"/>
  <c r="L251" i="15"/>
  <c r="D251" i="15" s="1"/>
  <c r="AJ251" i="15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G251" i="1"/>
  <c r="BW251" i="6" s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D250" i="17"/>
  <c r="E250" i="17" s="1"/>
  <c r="E251" i="15" l="1"/>
  <c r="E251" i="16"/>
  <c r="L252" i="15"/>
  <c r="D252" i="15" s="1"/>
  <c r="AC252" i="15"/>
  <c r="K252" i="15"/>
  <c r="AJ252" i="15"/>
  <c r="A253" i="15"/>
  <c r="AK252" i="15"/>
  <c r="AB252" i="15"/>
  <c r="X252" i="15"/>
  <c r="O252" i="15"/>
  <c r="I251" i="1"/>
  <c r="A253" i="16"/>
  <c r="AB252" i="16"/>
  <c r="K252" i="16"/>
  <c r="AK252" i="16"/>
  <c r="O252" i="16"/>
  <c r="X252" i="16"/>
  <c r="L252" i="16"/>
  <c r="D252" i="16" s="1"/>
  <c r="E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D251" i="17"/>
  <c r="E251" i="17" s="1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F253" i="1" l="1"/>
  <c r="I253" i="1" s="1"/>
  <c r="AB253" i="15"/>
  <c r="AK253" i="15"/>
  <c r="A254" i="15"/>
  <c r="AJ253" i="15"/>
  <c r="X253" i="15"/>
  <c r="K253" i="15"/>
  <c r="AC253" i="15"/>
  <c r="L253" i="15"/>
  <c r="D253" i="15" s="1"/>
  <c r="O253" i="15"/>
  <c r="E252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D252" i="17"/>
  <c r="E252" i="17" s="1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G253" i="1" l="1"/>
  <c r="BW253" i="6" s="1"/>
  <c r="AA253" i="1"/>
  <c r="Z253" i="1" s="1"/>
  <c r="Y253" i="1" s="1"/>
  <c r="E253" i="15"/>
  <c r="AB254" i="15"/>
  <c r="AK254" i="15"/>
  <c r="X254" i="15"/>
  <c r="K254" i="15"/>
  <c r="AC254" i="15"/>
  <c r="L254" i="15"/>
  <c r="D254" i="15" s="1"/>
  <c r="O254" i="15"/>
  <c r="A255" i="15"/>
  <c r="AJ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D253" i="17"/>
  <c r="E253" i="17" s="1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5" i="15"/>
  <c r="AJ255" i="15"/>
  <c r="K255" i="15"/>
  <c r="L255" i="15"/>
  <c r="D255" i="15" s="1"/>
  <c r="AC255" i="15"/>
  <c r="AB255" i="15"/>
  <c r="O255" i="15"/>
  <c r="A256" i="15"/>
  <c r="AK255" i="15"/>
  <c r="E254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P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4" i="17"/>
  <c r="E254" i="17" s="1"/>
  <c r="D256" i="1"/>
  <c r="E256" i="1" s="1"/>
  <c r="V256" i="1"/>
  <c r="X256" i="15" l="1"/>
  <c r="K256" i="15"/>
  <c r="AC256" i="15"/>
  <c r="A257" i="15"/>
  <c r="O256" i="15"/>
  <c r="AB256" i="15"/>
  <c r="AJ256" i="15"/>
  <c r="L256" i="15"/>
  <c r="D256" i="15" s="1"/>
  <c r="AK256" i="15"/>
  <c r="E255" i="15"/>
  <c r="F256" i="1"/>
  <c r="AA256" i="1" s="1"/>
  <c r="Z256" i="1" s="1"/>
  <c r="Y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D255" i="17"/>
  <c r="E255" i="17" s="1"/>
  <c r="K250" i="25"/>
  <c r="L250" i="25"/>
  <c r="A251" i="25"/>
  <c r="X250" i="25"/>
  <c r="AB250" i="25"/>
  <c r="AJ250" i="25"/>
  <c r="O250" i="25"/>
  <c r="AK250" i="25"/>
  <c r="AC250" i="25"/>
  <c r="I256" i="1" l="1"/>
  <c r="F257" i="1"/>
  <c r="AA257" i="1" s="1"/>
  <c r="Z257" i="1" s="1"/>
  <c r="Y257" i="1" s="1"/>
  <c r="E256" i="15"/>
  <c r="G256" i="1"/>
  <c r="BW256" i="6" s="1"/>
  <c r="A258" i="15"/>
  <c r="K257" i="15"/>
  <c r="O257" i="15"/>
  <c r="X257" i="15"/>
  <c r="AC257" i="15"/>
  <c r="AB257" i="15"/>
  <c r="AJ257" i="15"/>
  <c r="L257" i="15"/>
  <c r="D257" i="15" s="1"/>
  <c r="AK257" i="15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D256" i="17"/>
  <c r="E256" i="17" s="1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E257" i="15"/>
  <c r="A259" i="15"/>
  <c r="AC258" i="15"/>
  <c r="AB258" i="15"/>
  <c r="AJ258" i="15"/>
  <c r="L258" i="15"/>
  <c r="D258" i="15" s="1"/>
  <c r="AK258" i="15"/>
  <c r="X258" i="15"/>
  <c r="K258" i="15"/>
  <c r="O258" i="15"/>
  <c r="E258" i="15" s="1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D257" i="17"/>
  <c r="E257" i="17" s="1"/>
  <c r="K255" i="22"/>
  <c r="A256" i="22"/>
  <c r="AB255" i="22"/>
  <c r="X255" i="22"/>
  <c r="L255" i="22"/>
  <c r="AJ255" i="22"/>
  <c r="AK255" i="22"/>
  <c r="O255" i="22"/>
  <c r="AC255" i="22"/>
  <c r="F259" i="1" l="1"/>
  <c r="AA259" i="1" s="1"/>
  <c r="Z259" i="1" s="1"/>
  <c r="Y259" i="1" s="1"/>
  <c r="AB259" i="15"/>
  <c r="AJ259" i="15"/>
  <c r="X259" i="15"/>
  <c r="A260" i="15"/>
  <c r="AC259" i="15"/>
  <c r="K259" i="15"/>
  <c r="O259" i="15"/>
  <c r="L259" i="15"/>
  <c r="D259" i="15" s="1"/>
  <c r="AK259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D258" i="17"/>
  <c r="E258" i="17" s="1"/>
  <c r="I259" i="1" l="1"/>
  <c r="E259" i="15"/>
  <c r="L260" i="15"/>
  <c r="D260" i="15" s="1"/>
  <c r="X260" i="15"/>
  <c r="AC260" i="15"/>
  <c r="K260" i="15"/>
  <c r="O260" i="15"/>
  <c r="AB260" i="15"/>
  <c r="AK260" i="15"/>
  <c r="A261" i="15"/>
  <c r="AJ260" i="15"/>
  <c r="E259" i="16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59" i="17"/>
  <c r="E259" i="17" s="1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D260" i="17"/>
  <c r="E260" i="17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L262" i="15" l="1"/>
  <c r="D262" i="15" s="1"/>
  <c r="O262" i="15"/>
  <c r="AB262" i="15"/>
  <c r="AK262" i="15"/>
  <c r="K262" i="15"/>
  <c r="AJ262" i="15"/>
  <c r="A263" i="15"/>
  <c r="X262" i="15"/>
  <c r="AC262" i="15"/>
  <c r="E261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D261" i="17"/>
  <c r="E261" i="17" s="1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E262" i="15" l="1"/>
  <c r="I262" i="1"/>
  <c r="E262" i="16"/>
  <c r="K263" i="15"/>
  <c r="O263" i="15"/>
  <c r="L263" i="15"/>
  <c r="D263" i="15" s="1"/>
  <c r="AK263" i="15"/>
  <c r="AB263" i="15"/>
  <c r="AJ263" i="15"/>
  <c r="A264" i="15"/>
  <c r="X263" i="15"/>
  <c r="AC263" i="15"/>
  <c r="G262" i="1"/>
  <c r="BW262" i="6" s="1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D262" i="17"/>
  <c r="E262" i="17" s="1"/>
  <c r="A259" i="24"/>
  <c r="K258" i="24"/>
  <c r="X258" i="24"/>
  <c r="L258" i="24"/>
  <c r="AB258" i="24"/>
  <c r="AJ258" i="24"/>
  <c r="AK258" i="24"/>
  <c r="O258" i="24"/>
  <c r="AC258" i="24"/>
  <c r="E263" i="16" l="1"/>
  <c r="X264" i="15"/>
  <c r="AK264" i="15"/>
  <c r="L264" i="15"/>
  <c r="D264" i="15" s="1"/>
  <c r="AB264" i="15"/>
  <c r="AC264" i="15"/>
  <c r="K264" i="15"/>
  <c r="O264" i="15"/>
  <c r="A265" i="15"/>
  <c r="AJ264" i="15"/>
  <c r="E263" i="15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D263" i="17"/>
  <c r="E263" i="17" s="1"/>
  <c r="A259" i="25"/>
  <c r="L258" i="25"/>
  <c r="X258" i="25"/>
  <c r="K258" i="25"/>
  <c r="AB258" i="25"/>
  <c r="AJ258" i="25"/>
  <c r="O258" i="25"/>
  <c r="AK258" i="25"/>
  <c r="AC258" i="25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D264" i="17"/>
  <c r="E264" i="17" s="1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5" i="16" l="1"/>
  <c r="A267" i="15"/>
  <c r="K266" i="15"/>
  <c r="AC266" i="15"/>
  <c r="AB266" i="15"/>
  <c r="O266" i="15"/>
  <c r="L266" i="15"/>
  <c r="D266" i="15" s="1"/>
  <c r="AJ266" i="15"/>
  <c r="X266" i="15"/>
  <c r="AK266" i="15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D265" i="17"/>
  <c r="E265" i="17" s="1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E266" i="15" l="1"/>
  <c r="A268" i="15"/>
  <c r="AB267" i="15"/>
  <c r="AC267" i="15"/>
  <c r="K267" i="15"/>
  <c r="O267" i="15"/>
  <c r="X267" i="15"/>
  <c r="AK267" i="15"/>
  <c r="L267" i="15"/>
  <c r="D267" i="15" s="1"/>
  <c r="AJ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D266" i="17"/>
  <c r="E266" i="17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E267" i="15"/>
  <c r="P269" i="1"/>
  <c r="V269" i="1" s="1"/>
  <c r="A269" i="15"/>
  <c r="AJ268" i="15"/>
  <c r="X268" i="15"/>
  <c r="AB268" i="15"/>
  <c r="O268" i="15"/>
  <c r="K268" i="15"/>
  <c r="AC268" i="15"/>
  <c r="L268" i="15"/>
  <c r="D268" i="15" s="1"/>
  <c r="AK268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D267" i="17"/>
  <c r="E267" i="17" s="1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E268" i="15" l="1"/>
  <c r="X269" i="15"/>
  <c r="AJ269" i="15"/>
  <c r="AB269" i="15"/>
  <c r="A270" i="15"/>
  <c r="AC269" i="15"/>
  <c r="K269" i="15"/>
  <c r="O269" i="15"/>
  <c r="L269" i="15"/>
  <c r="D269" i="15" s="1"/>
  <c r="AK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D268" i="17"/>
  <c r="E268" i="17" s="1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69" i="15" l="1"/>
  <c r="A271" i="15"/>
  <c r="AK270" i="15"/>
  <c r="L270" i="15"/>
  <c r="D270" i="15" s="1"/>
  <c r="AJ270" i="15"/>
  <c r="AB270" i="15"/>
  <c r="K270" i="15"/>
  <c r="AC270" i="15"/>
  <c r="X270" i="15"/>
  <c r="O270" i="15"/>
  <c r="AA269" i="1"/>
  <c r="Z269" i="1" s="1"/>
  <c r="Y269" i="1" s="1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D269" i="17"/>
  <c r="E269" i="17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E271" i="1"/>
  <c r="E270" i="15" l="1"/>
  <c r="X271" i="15"/>
  <c r="AK271" i="15"/>
  <c r="L271" i="15"/>
  <c r="D271" i="15" s="1"/>
  <c r="AJ271" i="15"/>
  <c r="K271" i="15"/>
  <c r="AB271" i="15"/>
  <c r="AC271" i="15"/>
  <c r="A272" i="15"/>
  <c r="O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D270" i="17"/>
  <c r="E270" i="17" s="1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E271" i="15"/>
  <c r="X272" i="15"/>
  <c r="AK272" i="15"/>
  <c r="O272" i="15"/>
  <c r="C40" i="7" s="1"/>
  <c r="A40" i="7"/>
  <c r="AJ272" i="15"/>
  <c r="AB272" i="15"/>
  <c r="A273" i="15"/>
  <c r="AC272" i="15"/>
  <c r="L272" i="15"/>
  <c r="K272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D271" i="17"/>
  <c r="E271" i="17" s="1"/>
  <c r="X269" i="22"/>
  <c r="K269" i="22"/>
  <c r="AB269" i="22"/>
  <c r="A270" i="22"/>
  <c r="L269" i="22"/>
  <c r="AJ269" i="22"/>
  <c r="AK269" i="22"/>
  <c r="O269" i="22"/>
  <c r="AC269" i="22"/>
  <c r="D272" i="15" l="1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D272" i="17"/>
  <c r="E272" i="17" s="1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X274" i="15" l="1"/>
  <c r="AJ274" i="15"/>
  <c r="K274" i="15"/>
  <c r="A275" i="15"/>
  <c r="AC274" i="15"/>
  <c r="L274" i="15"/>
  <c r="D274" i="15" s="1"/>
  <c r="O274" i="15"/>
  <c r="AB274" i="15"/>
  <c r="AK274" i="15"/>
  <c r="E273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D273" i="17"/>
  <c r="E273" i="17" s="1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D274" i="17"/>
  <c r="E274" i="17" s="1"/>
  <c r="AB271" i="23"/>
  <c r="A272" i="23"/>
  <c r="L271" i="23"/>
  <c r="K271" i="23"/>
  <c r="X271" i="23"/>
  <c r="AK271" i="23"/>
  <c r="AJ271" i="23"/>
  <c r="O271" i="23"/>
  <c r="AC271" i="23"/>
  <c r="E275" i="15" l="1"/>
  <c r="A277" i="15"/>
  <c r="AC276" i="15"/>
  <c r="AB276" i="15"/>
  <c r="AK276" i="15"/>
  <c r="X276" i="15"/>
  <c r="AJ276" i="15"/>
  <c r="L276" i="15"/>
  <c r="D276" i="15" s="1"/>
  <c r="K276" i="15"/>
  <c r="O276" i="15"/>
  <c r="F276" i="1"/>
  <c r="I276" i="1" s="1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D275" i="17"/>
  <c r="E275" i="17" s="1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AA276" i="1" l="1"/>
  <c r="Z276" i="1" s="1"/>
  <c r="Y276" i="1" s="1"/>
  <c r="E276" i="15"/>
  <c r="L277" i="15"/>
  <c r="D277" i="15" s="1"/>
  <c r="O277" i="15"/>
  <c r="X277" i="15"/>
  <c r="AK277" i="15"/>
  <c r="AB277" i="15"/>
  <c r="AJ277" i="15"/>
  <c r="K277" i="15"/>
  <c r="A278" i="15"/>
  <c r="AC277" i="15"/>
  <c r="G276" i="1"/>
  <c r="BW276" i="6" s="1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D276" i="17"/>
  <c r="E276" i="17" s="1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7" i="15" l="1"/>
  <c r="AB278" i="15"/>
  <c r="AK278" i="15"/>
  <c r="L278" i="15"/>
  <c r="D278" i="15" s="1"/>
  <c r="AJ278" i="15"/>
  <c r="X278" i="15"/>
  <c r="A279" i="15"/>
  <c r="AC278" i="15"/>
  <c r="K278" i="15"/>
  <c r="O278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D277" i="17"/>
  <c r="E277" i="17" s="1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A280" i="15" l="1"/>
  <c r="AK279" i="15"/>
  <c r="K279" i="15"/>
  <c r="AJ279" i="15"/>
  <c r="X279" i="15"/>
  <c r="AB279" i="15"/>
  <c r="O279" i="15"/>
  <c r="L279" i="15"/>
  <c r="D279" i="15" s="1"/>
  <c r="AC279" i="15"/>
  <c r="E278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D278" i="17"/>
  <c r="E278" i="17" s="1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9" i="1" l="1"/>
  <c r="E279" i="15"/>
  <c r="X280" i="15"/>
  <c r="A281" i="15"/>
  <c r="O280" i="15"/>
  <c r="K280" i="15"/>
  <c r="AC280" i="15"/>
  <c r="L280" i="15"/>
  <c r="D280" i="15" s="1"/>
  <c r="AK280" i="15"/>
  <c r="AB280" i="15"/>
  <c r="AJ280" i="15"/>
  <c r="AA279" i="1"/>
  <c r="Z279" i="1" s="1"/>
  <c r="Y279" i="1" s="1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D279" i="17"/>
  <c r="E279" i="17" s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K281" i="15" l="1"/>
  <c r="AJ281" i="15"/>
  <c r="A282" i="15"/>
  <c r="AK281" i="15"/>
  <c r="AB281" i="15"/>
  <c r="X281" i="15"/>
  <c r="AC281" i="15"/>
  <c r="L281" i="15"/>
  <c r="D281" i="15" s="1"/>
  <c r="O281" i="15"/>
  <c r="E280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D280" i="17"/>
  <c r="E280" i="17" s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E281" i="15" l="1"/>
  <c r="I281" i="1"/>
  <c r="X282" i="15"/>
  <c r="AB282" i="15"/>
  <c r="AJ282" i="15"/>
  <c r="A283" i="15"/>
  <c r="L282" i="15"/>
  <c r="D282" i="15" s="1"/>
  <c r="AK282" i="15"/>
  <c r="K282" i="15"/>
  <c r="O282" i="15"/>
  <c r="AC282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D281" i="17"/>
  <c r="E281" i="17" s="1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E282" i="15" l="1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F283" i="1"/>
  <c r="AA283" i="1" s="1"/>
  <c r="Z283" i="1" s="1"/>
  <c r="Y283" i="1" s="1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G283" i="1"/>
  <c r="BW283" i="6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D282" i="17"/>
  <c r="E282" i="17" s="1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K284" i="15"/>
  <c r="O284" i="15"/>
  <c r="X284" i="15"/>
  <c r="AK284" i="15"/>
  <c r="AB284" i="15"/>
  <c r="AJ284" i="15"/>
  <c r="L284" i="15"/>
  <c r="D284" i="15" s="1"/>
  <c r="A285" i="15"/>
  <c r="AC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D283" i="17"/>
  <c r="E283" i="17" s="1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4" i="15"/>
  <c r="K285" i="15"/>
  <c r="O285" i="15"/>
  <c r="L285" i="15"/>
  <c r="D285" i="15" s="1"/>
  <c r="AK285" i="15"/>
  <c r="A286" i="15"/>
  <c r="AJ285" i="15"/>
  <c r="X285" i="15"/>
  <c r="AB285" i="15"/>
  <c r="AC285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E286" i="1" s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D284" i="17"/>
  <c r="E284" i="17" s="1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5" i="15" l="1"/>
  <c r="K286" i="15"/>
  <c r="AJ286" i="15"/>
  <c r="X286" i="15"/>
  <c r="A287" i="15"/>
  <c r="AC286" i="15"/>
  <c r="AB286" i="15"/>
  <c r="O286" i="15"/>
  <c r="L286" i="15"/>
  <c r="D286" i="15" s="1"/>
  <c r="AK286" i="15"/>
  <c r="I285" i="1"/>
  <c r="G285" i="1"/>
  <c r="BW285" i="6" s="1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D285" i="17"/>
  <c r="E285" i="17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E286" i="15" l="1"/>
  <c r="X287" i="15"/>
  <c r="AK287" i="15"/>
  <c r="K287" i="15"/>
  <c r="AJ287" i="15"/>
  <c r="AB287" i="15"/>
  <c r="L287" i="15"/>
  <c r="D287" i="15" s="1"/>
  <c r="O287" i="15"/>
  <c r="A288" i="15"/>
  <c r="AC287" i="15"/>
  <c r="E286" i="16"/>
  <c r="F287" i="1"/>
  <c r="I287" i="1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D286" i="17"/>
  <c r="E286" i="17" s="1"/>
  <c r="A283" i="24"/>
  <c r="AB282" i="24"/>
  <c r="K282" i="24"/>
  <c r="X282" i="24"/>
  <c r="L282" i="24"/>
  <c r="AJ282" i="24"/>
  <c r="AK282" i="24"/>
  <c r="O282" i="24"/>
  <c r="AC282" i="24"/>
  <c r="E287" i="15" l="1"/>
  <c r="G287" i="1"/>
  <c r="BW287" i="6" s="1"/>
  <c r="AA287" i="1"/>
  <c r="Z287" i="1" s="1"/>
  <c r="Y287" i="1" s="1"/>
  <c r="X288" i="15"/>
  <c r="O288" i="15"/>
  <c r="AB288" i="15"/>
  <c r="AK288" i="15"/>
  <c r="K288" i="15"/>
  <c r="AJ288" i="15"/>
  <c r="A289" i="15"/>
  <c r="L288" i="15"/>
  <c r="D288" i="15" s="1"/>
  <c r="AC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D287" i="17"/>
  <c r="E287" i="17" s="1"/>
  <c r="A283" i="25"/>
  <c r="X282" i="25"/>
  <c r="K282" i="25"/>
  <c r="AB282" i="25"/>
  <c r="L282" i="25"/>
  <c r="AJ282" i="25"/>
  <c r="O282" i="25"/>
  <c r="AK282" i="25"/>
  <c r="AC282" i="25"/>
  <c r="E288" i="15" l="1"/>
  <c r="L289" i="15"/>
  <c r="D289" i="15" s="1"/>
  <c r="AK289" i="15"/>
  <c r="A290" i="15"/>
  <c r="AJ289" i="15"/>
  <c r="AB289" i="15"/>
  <c r="X289" i="15"/>
  <c r="O289" i="15"/>
  <c r="K289" i="15"/>
  <c r="AC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D288" i="17"/>
  <c r="E288" i="17" s="1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K290" i="15" l="1"/>
  <c r="O290" i="15"/>
  <c r="A291" i="15"/>
  <c r="AJ290" i="15"/>
  <c r="L290" i="15"/>
  <c r="D290" i="15" s="1"/>
  <c r="AK290" i="15"/>
  <c r="X290" i="15"/>
  <c r="AB290" i="15"/>
  <c r="AC290" i="15"/>
  <c r="E289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D289" i="17"/>
  <c r="E289" i="17" s="1"/>
  <c r="I288" i="1"/>
  <c r="G288" i="1"/>
  <c r="BW288" i="6" s="1"/>
  <c r="AA288" i="1"/>
  <c r="Z288" i="1" s="1"/>
  <c r="Y288" i="1" s="1"/>
  <c r="E290" i="15" l="1"/>
  <c r="A292" i="15"/>
  <c r="O291" i="15"/>
  <c r="K291" i="15"/>
  <c r="AK291" i="15"/>
  <c r="AB291" i="15"/>
  <c r="AJ291" i="15"/>
  <c r="L291" i="15"/>
  <c r="D291" i="15" s="1"/>
  <c r="X291" i="15"/>
  <c r="AC291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D290" i="17"/>
  <c r="E290" i="17" s="1"/>
  <c r="T292" i="1"/>
  <c r="D292" i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E292" i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E291" i="15" l="1"/>
  <c r="A293" i="15"/>
  <c r="AJ292" i="15"/>
  <c r="K292" i="15"/>
  <c r="AK292" i="15"/>
  <c r="X292" i="15"/>
  <c r="L292" i="15"/>
  <c r="D292" i="15" s="1"/>
  <c r="AC292" i="15"/>
  <c r="AB292" i="15"/>
  <c r="O292" i="15"/>
  <c r="I291" i="1"/>
  <c r="G291" i="1"/>
  <c r="BW291" i="6" s="1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D291" i="17"/>
  <c r="E291" i="17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L293" i="15" l="1"/>
  <c r="D293" i="15" s="1"/>
  <c r="AJ293" i="15"/>
  <c r="A294" i="15"/>
  <c r="X293" i="15"/>
  <c r="AC293" i="15"/>
  <c r="K293" i="15"/>
  <c r="O293" i="15"/>
  <c r="E293" i="15" s="1"/>
  <c r="AB293" i="15"/>
  <c r="AK293" i="15"/>
  <c r="E292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D292" i="17"/>
  <c r="E292" i="17" s="1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X294" i="15"/>
  <c r="AJ294" i="15"/>
  <c r="AB294" i="15"/>
  <c r="K294" i="15"/>
  <c r="O294" i="15"/>
  <c r="A295" i="15"/>
  <c r="AC294" i="15"/>
  <c r="L294" i="15"/>
  <c r="D294" i="15" s="1"/>
  <c r="AK294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D293" i="17"/>
  <c r="E293" i="17" s="1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E294" i="15" l="1"/>
  <c r="AA294" i="1"/>
  <c r="Z294" i="1" s="1"/>
  <c r="Y294" i="1" s="1"/>
  <c r="X295" i="15"/>
  <c r="O295" i="15"/>
  <c r="A296" i="15"/>
  <c r="AK295" i="15"/>
  <c r="K295" i="15"/>
  <c r="AJ295" i="15"/>
  <c r="AB295" i="15"/>
  <c r="L295" i="15"/>
  <c r="D295" i="15" s="1"/>
  <c r="AC295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D294" i="17"/>
  <c r="E294" i="17" s="1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E295" i="15" l="1"/>
  <c r="A297" i="15"/>
  <c r="AK296" i="15"/>
  <c r="AC296" i="15"/>
  <c r="L296" i="15"/>
  <c r="D296" i="15" s="1"/>
  <c r="K296" i="15"/>
  <c r="AB296" i="15"/>
  <c r="O296" i="15"/>
  <c r="X296" i="15"/>
  <c r="AJ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5" i="17"/>
  <c r="E295" i="17" s="1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D296" i="17"/>
  <c r="E296" i="17" s="1"/>
  <c r="A295" i="22"/>
  <c r="K294" i="22"/>
  <c r="L294" i="22"/>
  <c r="X294" i="22"/>
  <c r="AB294" i="22"/>
  <c r="AJ294" i="22"/>
  <c r="AK294" i="22"/>
  <c r="O294" i="22"/>
  <c r="AC294" i="22"/>
  <c r="D298" i="1"/>
  <c r="E298" i="1" s="1"/>
  <c r="G297" i="1" l="1"/>
  <c r="BW297" i="6" s="1"/>
  <c r="AA297" i="1"/>
  <c r="Z297" i="1" s="1"/>
  <c r="Y297" i="1" s="1"/>
  <c r="E297" i="15"/>
  <c r="L298" i="15"/>
  <c r="D298" i="15" s="1"/>
  <c r="AJ298" i="15"/>
  <c r="AB298" i="15"/>
  <c r="AK298" i="15"/>
  <c r="A299" i="15"/>
  <c r="X298" i="15"/>
  <c r="AC298" i="15"/>
  <c r="K298" i="15"/>
  <c r="O298" i="15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D297" i="17"/>
  <c r="E297" i="17" s="1"/>
  <c r="I298" i="1" l="1"/>
  <c r="A300" i="15"/>
  <c r="X299" i="15"/>
  <c r="AC299" i="15"/>
  <c r="L299" i="15"/>
  <c r="D299" i="15" s="1"/>
  <c r="O299" i="15"/>
  <c r="AB299" i="15"/>
  <c r="AK299" i="15"/>
  <c r="K299" i="15"/>
  <c r="AJ299" i="15"/>
  <c r="E298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D298" i="17"/>
  <c r="E298" i="17" s="1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s="1"/>
  <c r="E299" i="15" l="1"/>
  <c r="K300" i="15"/>
  <c r="AK300" i="15"/>
  <c r="L300" i="15"/>
  <c r="D300" i="15" s="1"/>
  <c r="AJ300" i="15"/>
  <c r="A301" i="15"/>
  <c r="X300" i="15"/>
  <c r="AC300" i="15"/>
  <c r="AB300" i="15"/>
  <c r="O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V301" i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D299" i="17"/>
  <c r="E299" i="17" s="1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F301" i="1" l="1"/>
  <c r="I301" i="1" s="1"/>
  <c r="G300" i="1"/>
  <c r="BW300" i="6" s="1"/>
  <c r="I300" i="1"/>
  <c r="AB301" i="15"/>
  <c r="AK301" i="15"/>
  <c r="X301" i="15"/>
  <c r="K301" i="15"/>
  <c r="AC301" i="15"/>
  <c r="A302" i="15"/>
  <c r="O301" i="15"/>
  <c r="L301" i="15"/>
  <c r="D301" i="15" s="1"/>
  <c r="AJ301" i="15"/>
  <c r="E300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A301" i="1"/>
  <c r="Z301" i="1" s="1"/>
  <c r="Y301" i="1" s="1"/>
  <c r="D300" i="17"/>
  <c r="E300" i="17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E301" i="16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1" i="17"/>
  <c r="E301" i="17" s="1"/>
  <c r="D303" i="1"/>
  <c r="E303" i="1" s="1"/>
  <c r="F302" i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AB303" i="15" l="1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X303" i="16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P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D302" i="17"/>
  <c r="E302" i="17" s="1"/>
  <c r="F304" i="1" l="1"/>
  <c r="I304" i="1" s="1"/>
  <c r="E303" i="15"/>
  <c r="AB304" i="15"/>
  <c r="O304" i="15"/>
  <c r="L304" i="15"/>
  <c r="D304" i="15" s="1"/>
  <c r="AJ304" i="15"/>
  <c r="K304" i="15"/>
  <c r="AK304" i="15"/>
  <c r="X304" i="15"/>
  <c r="A305" i="15"/>
  <c r="AC304" i="15"/>
  <c r="F303" i="1"/>
  <c r="I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D303" i="17"/>
  <c r="E303" i="17" s="1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G304" i="1" l="1"/>
  <c r="BW304" i="6" s="1"/>
  <c r="AA304" i="1"/>
  <c r="Z304" i="1" s="1"/>
  <c r="Y304" i="1" s="1"/>
  <c r="G303" i="1"/>
  <c r="BW303" i="6" s="1"/>
  <c r="AA303" i="1"/>
  <c r="Z303" i="1" s="1"/>
  <c r="Y303" i="1" s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D304" i="17"/>
  <c r="E304" i="17" s="1"/>
  <c r="G305" i="1" l="1"/>
  <c r="BW305" i="6" s="1"/>
  <c r="I305" i="1"/>
  <c r="L306" i="15"/>
  <c r="D306" i="15" s="1"/>
  <c r="X306" i="15"/>
  <c r="O306" i="15"/>
  <c r="E306" i="15" s="1"/>
  <c r="AB306" i="15"/>
  <c r="AC306" i="15"/>
  <c r="A307" i="15"/>
  <c r="AK306" i="15"/>
  <c r="K306" i="15"/>
  <c r="AJ306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D305" i="17"/>
  <c r="E305" i="17" s="1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L307" i="15" l="1"/>
  <c r="D307" i="15" s="1"/>
  <c r="AJ307" i="15"/>
  <c r="AB307" i="15"/>
  <c r="A308" i="15"/>
  <c r="AC307" i="15"/>
  <c r="X307" i="15"/>
  <c r="O307" i="15"/>
  <c r="E307" i="15" s="1"/>
  <c r="K307" i="15"/>
  <c r="AK307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D306" i="17"/>
  <c r="E306" i="17" s="1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K308" i="15" l="1"/>
  <c r="AJ308" i="15"/>
  <c r="L308" i="15"/>
  <c r="D308" i="15" s="1"/>
  <c r="AK308" i="15"/>
  <c r="A309" i="15"/>
  <c r="AB308" i="15"/>
  <c r="O308" i="15"/>
  <c r="X308" i="15"/>
  <c r="AC308" i="15"/>
  <c r="E307" i="16"/>
  <c r="A309" i="16"/>
  <c r="K308" i="16"/>
  <c r="AB308" i="16"/>
  <c r="AK308" i="16"/>
  <c r="O308" i="16"/>
  <c r="X308" i="16"/>
  <c r="L308" i="16"/>
  <c r="D308" i="16" s="1"/>
  <c r="E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D307" i="17"/>
  <c r="E307" i="17" s="1"/>
  <c r="K303" i="24"/>
  <c r="A304" i="24"/>
  <c r="X303" i="24"/>
  <c r="AB303" i="24"/>
  <c r="L303" i="24"/>
  <c r="AJ303" i="24"/>
  <c r="AK303" i="24"/>
  <c r="O303" i="24"/>
  <c r="AC303" i="24"/>
  <c r="L309" i="15" l="1"/>
  <c r="D309" i="15" s="1"/>
  <c r="AJ309" i="15"/>
  <c r="A310" i="15"/>
  <c r="AB309" i="15"/>
  <c r="AC309" i="15"/>
  <c r="X309" i="15"/>
  <c r="O309" i="15"/>
  <c r="K309" i="15"/>
  <c r="AK309" i="15"/>
  <c r="E308" i="15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D308" i="17"/>
  <c r="E308" i="17" s="1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F310" i="1" l="1"/>
  <c r="I310" i="1" s="1"/>
  <c r="E309" i="16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E309" i="15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D309" i="17"/>
  <c r="E309" i="17" s="1"/>
  <c r="K305" i="24"/>
  <c r="A306" i="24"/>
  <c r="X305" i="24"/>
  <c r="AB305" i="24"/>
  <c r="L305" i="24"/>
  <c r="AJ305" i="24"/>
  <c r="AK305" i="24"/>
  <c r="O305" i="24"/>
  <c r="AC305" i="24"/>
  <c r="AA310" i="1" l="1"/>
  <c r="Z310" i="1" s="1"/>
  <c r="Y310" i="1" s="1"/>
  <c r="G310" i="1"/>
  <c r="BW310" i="6" s="1"/>
  <c r="E310" i="16"/>
  <c r="K311" i="15"/>
  <c r="AK311" i="15"/>
  <c r="L311" i="15"/>
  <c r="D311" i="15" s="1"/>
  <c r="AJ311" i="15"/>
  <c r="A312" i="15"/>
  <c r="AB311" i="15"/>
  <c r="AC311" i="15"/>
  <c r="X311" i="15"/>
  <c r="O311" i="15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D310" i="17"/>
  <c r="E310" i="17" s="1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2" i="15" l="1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D311" i="17"/>
  <c r="E311" i="17" s="1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F313" i="1" l="1"/>
  <c r="I313" i="1" s="1"/>
  <c r="L313" i="15"/>
  <c r="D313" i="15" s="1"/>
  <c r="AJ313" i="15"/>
  <c r="A314" i="15"/>
  <c r="AK313" i="15"/>
  <c r="K313" i="15"/>
  <c r="AB313" i="15"/>
  <c r="AC313" i="15"/>
  <c r="X313" i="15"/>
  <c r="O313" i="15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D312" i="17"/>
  <c r="E312" i="17" s="1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E313" i="15" l="1"/>
  <c r="AA313" i="1"/>
  <c r="Z313" i="1" s="1"/>
  <c r="Y313" i="1" s="1"/>
  <c r="G313" i="1"/>
  <c r="BW313" i="6" s="1"/>
  <c r="K314" i="15"/>
  <c r="X314" i="15"/>
  <c r="AC314" i="15"/>
  <c r="A315" i="15"/>
  <c r="O314" i="15"/>
  <c r="AB314" i="15"/>
  <c r="AK314" i="15"/>
  <c r="L314" i="15"/>
  <c r="D314" i="15" s="1"/>
  <c r="AJ314" i="15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D313" i="17"/>
  <c r="E313" i="17" s="1"/>
  <c r="X313" i="18"/>
  <c r="AJ313" i="18"/>
  <c r="A314" i="18"/>
  <c r="AB313" i="18"/>
  <c r="K313" i="18"/>
  <c r="L313" i="18"/>
  <c r="O313" i="18"/>
  <c r="AK313" i="18"/>
  <c r="AC313" i="18"/>
  <c r="E314" i="15" l="1"/>
  <c r="K315" i="15"/>
  <c r="AK315" i="15"/>
  <c r="L315" i="15"/>
  <c r="D315" i="15" s="1"/>
  <c r="AB315" i="15"/>
  <c r="AC315" i="15"/>
  <c r="A316" i="15"/>
  <c r="O315" i="15"/>
  <c r="X315" i="15"/>
  <c r="AJ315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D314" i="17"/>
  <c r="E314" i="17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L316" i="15" l="1"/>
  <c r="D316" i="15" s="1"/>
  <c r="X316" i="15"/>
  <c r="AC316" i="15"/>
  <c r="AB316" i="15"/>
  <c r="O316" i="15"/>
  <c r="A317" i="15"/>
  <c r="AK316" i="15"/>
  <c r="K316" i="15"/>
  <c r="AJ316" i="15"/>
  <c r="E315" i="15"/>
  <c r="AA315" i="1"/>
  <c r="Z315" i="1" s="1"/>
  <c r="Y315" i="1" s="1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D315" i="17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E315" i="17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K317" i="15"/>
  <c r="O317" i="15"/>
  <c r="X317" i="15"/>
  <c r="AK317" i="15"/>
  <c r="L317" i="15"/>
  <c r="D317" i="15" s="1"/>
  <c r="AJ317" i="15"/>
  <c r="A318" i="15"/>
  <c r="AB317" i="15"/>
  <c r="AC317" i="15"/>
  <c r="E316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D316" i="17"/>
  <c r="E316" i="17" s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AB318" i="15" l="1"/>
  <c r="O318" i="15"/>
  <c r="L318" i="15"/>
  <c r="D318" i="15" s="1"/>
  <c r="AJ318" i="15"/>
  <c r="X318" i="15"/>
  <c r="AK318" i="15"/>
  <c r="K318" i="15"/>
  <c r="A319" i="15"/>
  <c r="AC318" i="15"/>
  <c r="E317" i="15"/>
  <c r="X318" i="16"/>
  <c r="A319" i="16"/>
  <c r="L318" i="16"/>
  <c r="D318" i="16" s="1"/>
  <c r="AJ318" i="16"/>
  <c r="O318" i="16"/>
  <c r="K318" i="16"/>
  <c r="AB318" i="16"/>
  <c r="AK318" i="16"/>
  <c r="AC318" i="16"/>
  <c r="D317" i="17"/>
  <c r="E317" i="17" s="1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18" i="15" l="1"/>
  <c r="K319" i="15"/>
  <c r="O319" i="15"/>
  <c r="X319" i="15"/>
  <c r="AK319" i="15"/>
  <c r="A320" i="15"/>
  <c r="AJ319" i="15"/>
  <c r="L319" i="15"/>
  <c r="D319" i="15" s="1"/>
  <c r="AB319" i="15"/>
  <c r="AC319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D318" i="17"/>
  <c r="E318" i="17" s="1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E319" i="15" l="1"/>
  <c r="X320" i="15"/>
  <c r="AK320" i="15"/>
  <c r="A321" i="15"/>
  <c r="AJ320" i="15"/>
  <c r="L320" i="15"/>
  <c r="D320" i="15" s="1"/>
  <c r="K320" i="15"/>
  <c r="O320" i="15"/>
  <c r="E320" i="15" s="1"/>
  <c r="AB320" i="15"/>
  <c r="AC320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D319" i="17"/>
  <c r="E319" i="17" s="1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A322" i="15" l="1"/>
  <c r="AJ321" i="15"/>
  <c r="X321" i="15"/>
  <c r="AB321" i="15"/>
  <c r="O321" i="15"/>
  <c r="L321" i="15"/>
  <c r="D321" i="15" s="1"/>
  <c r="AC321" i="15"/>
  <c r="K321" i="15"/>
  <c r="AK321" i="15"/>
  <c r="E320" i="16"/>
  <c r="G320" i="1"/>
  <c r="BW320" i="6" s="1"/>
  <c r="AA320" i="1"/>
  <c r="Z320" i="1" s="1"/>
  <c r="Y320" i="1" s="1"/>
  <c r="P322" i="1"/>
  <c r="V322" i="1" s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D320" i="17"/>
  <c r="E320" i="17" s="1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P323" i="1" l="1"/>
  <c r="V323" i="1" s="1"/>
  <c r="E321" i="15"/>
  <c r="AB322" i="15"/>
  <c r="AJ322" i="15"/>
  <c r="K322" i="15"/>
  <c r="A323" i="15"/>
  <c r="AC322" i="15"/>
  <c r="X322" i="15"/>
  <c r="O322" i="15"/>
  <c r="L322" i="15"/>
  <c r="D322" i="15" s="1"/>
  <c r="AK322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D321" i="17"/>
  <c r="E321" i="17" s="1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2" i="16" l="1"/>
  <c r="E322" i="15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D322" i="17"/>
  <c r="E322" i="17" s="1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AB324" i="15" l="1"/>
  <c r="AK324" i="15"/>
  <c r="X324" i="15"/>
  <c r="AJ324" i="15"/>
  <c r="A325" i="15"/>
  <c r="L324" i="15"/>
  <c r="D324" i="15" s="1"/>
  <c r="O324" i="15"/>
  <c r="K324" i="15"/>
  <c r="AC324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D323" i="17"/>
  <c r="E323" i="17" s="1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E324" i="15" l="1"/>
  <c r="K325" i="15"/>
  <c r="AK325" i="15"/>
  <c r="L325" i="15"/>
  <c r="D325" i="15" s="1"/>
  <c r="A326" i="15"/>
  <c r="AC325" i="15"/>
  <c r="AB325" i="15"/>
  <c r="O325" i="15"/>
  <c r="X325" i="15"/>
  <c r="AJ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4" i="17"/>
  <c r="E324" i="17" s="1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F326" i="1"/>
  <c r="I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D325" i="17"/>
  <c r="E325" i="17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E326" i="16" l="1"/>
  <c r="AA326" i="1"/>
  <c r="Z326" i="1" s="1"/>
  <c r="Y326" i="1" s="1"/>
  <c r="G326" i="1"/>
  <c r="BW326" i="6" s="1"/>
  <c r="E326" i="15"/>
  <c r="A328" i="15"/>
  <c r="AJ327" i="15"/>
  <c r="X327" i="15"/>
  <c r="AB327" i="15"/>
  <c r="AC327" i="15"/>
  <c r="K327" i="15"/>
  <c r="O327" i="15"/>
  <c r="L327" i="15"/>
  <c r="D327" i="15" s="1"/>
  <c r="AK327" i="15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D326" i="17"/>
  <c r="E326" i="17" s="1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P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K328" i="15" l="1"/>
  <c r="AK328" i="15"/>
  <c r="AB328" i="15"/>
  <c r="X328" i="15"/>
  <c r="AC328" i="15"/>
  <c r="L328" i="15"/>
  <c r="D328" i="15" s="1"/>
  <c r="O328" i="15"/>
  <c r="A329" i="15"/>
  <c r="AJ328" i="15"/>
  <c r="E327" i="15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D327" i="17"/>
  <c r="E327" i="17" s="1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E328" i="15" l="1"/>
  <c r="G328" i="1"/>
  <c r="BW328" i="6" s="1"/>
  <c r="I328" i="1"/>
  <c r="L329" i="15"/>
  <c r="D329" i="15" s="1"/>
  <c r="AJ329" i="15"/>
  <c r="AB329" i="15"/>
  <c r="X329" i="15"/>
  <c r="O329" i="15"/>
  <c r="E329" i="15" s="1"/>
  <c r="K329" i="15"/>
  <c r="AC329" i="15"/>
  <c r="A330" i="15"/>
  <c r="AK329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D328" i="17"/>
  <c r="E328" i="17" s="1"/>
  <c r="L323" i="25"/>
  <c r="K323" i="25"/>
  <c r="X323" i="25"/>
  <c r="A324" i="25"/>
  <c r="AB323" i="25"/>
  <c r="AJ323" i="25"/>
  <c r="O323" i="25"/>
  <c r="AK323" i="25"/>
  <c r="AC323" i="25"/>
  <c r="K330" i="15" l="1"/>
  <c r="AJ330" i="15"/>
  <c r="A331" i="15"/>
  <c r="AB330" i="15"/>
  <c r="AC330" i="15"/>
  <c r="L330" i="15"/>
  <c r="D330" i="15" s="1"/>
  <c r="O330" i="15"/>
  <c r="X330" i="15"/>
  <c r="AK330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D329" i="17"/>
  <c r="E329" i="17" s="1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0" i="15" l="1"/>
  <c r="F331" i="1"/>
  <c r="AA331" i="1" s="1"/>
  <c r="Z331" i="1" s="1"/>
  <c r="Y331" i="1" s="1"/>
  <c r="A332" i="15"/>
  <c r="O331" i="15"/>
  <c r="L331" i="15"/>
  <c r="D331" i="15" s="1"/>
  <c r="AK331" i="15"/>
  <c r="AB331" i="15"/>
  <c r="AJ331" i="15"/>
  <c r="X331" i="15"/>
  <c r="K331" i="15"/>
  <c r="AC331" i="15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D330" i="17"/>
  <c r="E330" i="17" s="1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G331" i="1"/>
  <c r="BW331" i="6" s="1"/>
  <c r="F332" i="1"/>
  <c r="AA332" i="1" s="1"/>
  <c r="Z332" i="1" s="1"/>
  <c r="Y332" i="1" s="1"/>
  <c r="E331" i="15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D331" i="17"/>
  <c r="E331" i="17" s="1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I332" i="1" l="1"/>
  <c r="G332" i="1"/>
  <c r="BW332" i="6" s="1"/>
  <c r="K333" i="15"/>
  <c r="AJ333" i="15"/>
  <c r="L333" i="15"/>
  <c r="A42" i="7"/>
  <c r="AC333" i="15"/>
  <c r="AB333" i="15"/>
  <c r="A334" i="15"/>
  <c r="O333" i="15"/>
  <c r="C42" i="7" s="1"/>
  <c r="X333" i="15"/>
  <c r="AK333" i="15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D332" i="17"/>
  <c r="E332" i="17" s="1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B334" i="15" l="1"/>
  <c r="AK334" i="15"/>
  <c r="L334" i="15"/>
  <c r="D334" i="15" s="1"/>
  <c r="AJ334" i="15"/>
  <c r="X334" i="15"/>
  <c r="A335" i="15"/>
  <c r="AC334" i="15"/>
  <c r="K334" i="15"/>
  <c r="O334" i="15"/>
  <c r="E334" i="15" s="1"/>
  <c r="D333" i="15"/>
  <c r="E333" i="15" s="1"/>
  <c r="B42" i="7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V335" i="1"/>
  <c r="I333" i="1"/>
  <c r="G333" i="1"/>
  <c r="BW333" i="6" s="1"/>
  <c r="AA333" i="1"/>
  <c r="Z333" i="1" s="1"/>
  <c r="Y333" i="1" s="1"/>
  <c r="D333" i="17"/>
  <c r="E333" i="17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"/>
  <c r="A336" i="15" l="1"/>
  <c r="K335" i="15"/>
  <c r="L335" i="15"/>
  <c r="D335" i="15" s="1"/>
  <c r="AK335" i="15"/>
  <c r="AC335" i="15"/>
  <c r="X335" i="15"/>
  <c r="AJ335" i="15"/>
  <c r="AB335" i="15"/>
  <c r="O335" i="15"/>
  <c r="E335" i="15" s="1"/>
  <c r="A336" i="16"/>
  <c r="AB335" i="16"/>
  <c r="X335" i="16"/>
  <c r="AJ335" i="16"/>
  <c r="O335" i="16"/>
  <c r="K335" i="16"/>
  <c r="L335" i="16"/>
  <c r="D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D334" i="17"/>
  <c r="E334" i="17" s="1"/>
  <c r="E336" i="1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5" i="16" l="1"/>
  <c r="A337" i="15"/>
  <c r="AJ336" i="15"/>
  <c r="L336" i="15"/>
  <c r="D336" i="15" s="1"/>
  <c r="AB336" i="15"/>
  <c r="AC336" i="15"/>
  <c r="K336" i="15"/>
  <c r="O336" i="15"/>
  <c r="X336" i="15"/>
  <c r="AK336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D335" i="17"/>
  <c r="E335" i="17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E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E336" i="15" l="1"/>
  <c r="K337" i="15"/>
  <c r="AJ337" i="15"/>
  <c r="X337" i="15"/>
  <c r="A338" i="15"/>
  <c r="AC337" i="15"/>
  <c r="AB337" i="15"/>
  <c r="O337" i="15"/>
  <c r="L337" i="15"/>
  <c r="D337" i="15" s="1"/>
  <c r="AK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D336" i="17"/>
  <c r="E336" i="17" s="1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7" i="15" l="1"/>
  <c r="L338" i="15"/>
  <c r="D338" i="15" s="1"/>
  <c r="AJ338" i="15"/>
  <c r="A339" i="15"/>
  <c r="AB338" i="15"/>
  <c r="AC338" i="15"/>
  <c r="X338" i="15"/>
  <c r="O338" i="15"/>
  <c r="E338" i="15" s="1"/>
  <c r="K338" i="15"/>
  <c r="AK338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D337" i="17"/>
  <c r="E337" i="17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F339" i="1" l="1"/>
  <c r="AA339" i="1" s="1"/>
  <c r="Z339" i="1" s="1"/>
  <c r="Y339" i="1" s="1"/>
  <c r="L339" i="15"/>
  <c r="D339" i="15" s="1"/>
  <c r="AK339" i="15"/>
  <c r="K339" i="15"/>
  <c r="AJ339" i="15"/>
  <c r="AB339" i="15"/>
  <c r="X339" i="15"/>
  <c r="O339" i="15"/>
  <c r="A340" i="15"/>
  <c r="AC339" i="15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G339" i="1"/>
  <c r="BW339" i="6" s="1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D338" i="17"/>
  <c r="E338" i="17" s="1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E340" i="1"/>
  <c r="D340" i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E339" i="16" l="1"/>
  <c r="I339" i="1"/>
  <c r="L340" i="15"/>
  <c r="D340" i="15" s="1"/>
  <c r="AB340" i="15"/>
  <c r="AC340" i="15"/>
  <c r="X340" i="15"/>
  <c r="O340" i="15"/>
  <c r="K340" i="15"/>
  <c r="AK340" i="15"/>
  <c r="A341" i="15"/>
  <c r="AJ340" i="15"/>
  <c r="E339" i="15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D339" i="17"/>
  <c r="E339" i="17" s="1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F341" i="1" l="1"/>
  <c r="G341" i="1" s="1"/>
  <c r="BW341" i="6" s="1"/>
  <c r="AB341" i="15"/>
  <c r="AJ341" i="15"/>
  <c r="K341" i="15"/>
  <c r="X341" i="15"/>
  <c r="AC341" i="15"/>
  <c r="L341" i="15"/>
  <c r="D341" i="15" s="1"/>
  <c r="O341" i="15"/>
  <c r="A342" i="15"/>
  <c r="AK341" i="15"/>
  <c r="E340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D340" i="17"/>
  <c r="E340" i="17" s="1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F342" i="1" l="1"/>
  <c r="AA342" i="1" s="1"/>
  <c r="Z342" i="1" s="1"/>
  <c r="Y342" i="1" s="1"/>
  <c r="I341" i="1"/>
  <c r="E341" i="15"/>
  <c r="X342" i="15"/>
  <c r="AK342" i="15"/>
  <c r="A343" i="15"/>
  <c r="AB342" i="15"/>
  <c r="AC342" i="15"/>
  <c r="K342" i="15"/>
  <c r="O342" i="15"/>
  <c r="L342" i="15"/>
  <c r="D342" i="15" s="1"/>
  <c r="AJ342" i="15"/>
  <c r="K342" i="16"/>
  <c r="A343" i="16"/>
  <c r="X342" i="16"/>
  <c r="AK342" i="16"/>
  <c r="O342" i="16"/>
  <c r="L342" i="16"/>
  <c r="D342" i="16" s="1"/>
  <c r="AB342" i="16"/>
  <c r="AJ342" i="16"/>
  <c r="AC342" i="16"/>
  <c r="E341" i="16"/>
  <c r="G342" i="1"/>
  <c r="BW342" i="6" s="1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D341" i="17"/>
  <c r="E341" i="17" s="1"/>
  <c r="I342" i="1" l="1"/>
  <c r="E342" i="15"/>
  <c r="AB343" i="15"/>
  <c r="AJ343" i="15"/>
  <c r="X343" i="15"/>
  <c r="A344" i="15"/>
  <c r="AC343" i="15"/>
  <c r="K343" i="15"/>
  <c r="O343" i="15"/>
  <c r="L343" i="15"/>
  <c r="D343" i="15" s="1"/>
  <c r="AK343" i="15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D342" i="17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E342" i="17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E343" i="15"/>
  <c r="A345" i="15"/>
  <c r="AC344" i="15"/>
  <c r="L344" i="15"/>
  <c r="D344" i="15" s="1"/>
  <c r="AK344" i="15"/>
  <c r="AB344" i="15"/>
  <c r="AJ344" i="15"/>
  <c r="K344" i="15"/>
  <c r="X344" i="15"/>
  <c r="O344" i="15"/>
  <c r="I343" i="1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D343" i="17"/>
  <c r="E343" i="17" s="1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4" i="16" l="1"/>
  <c r="E344" i="15"/>
  <c r="X345" i="15"/>
  <c r="AK345" i="15"/>
  <c r="K345" i="15"/>
  <c r="AJ345" i="15"/>
  <c r="L345" i="15"/>
  <c r="D345" i="15" s="1"/>
  <c r="AB345" i="15"/>
  <c r="AC345" i="15"/>
  <c r="A346" i="15"/>
  <c r="O345" i="15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D344" i="17"/>
  <c r="E344" i="17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E346" i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5" l="1"/>
  <c r="E345" i="16"/>
  <c r="L346" i="15"/>
  <c r="D346" i="15" s="1"/>
  <c r="K346" i="15"/>
  <c r="AC346" i="15"/>
  <c r="X346" i="15"/>
  <c r="O346" i="15"/>
  <c r="E346" i="15" s="1"/>
  <c r="A347" i="15"/>
  <c r="AK346" i="15"/>
  <c r="AB346" i="15"/>
  <c r="AJ346" i="15"/>
  <c r="K346" i="16"/>
  <c r="A347" i="16"/>
  <c r="X346" i="16"/>
  <c r="AK346" i="16"/>
  <c r="O346" i="16"/>
  <c r="L346" i="16"/>
  <c r="D346" i="16" s="1"/>
  <c r="AB346" i="16"/>
  <c r="AJ346" i="16"/>
  <c r="AC346" i="16"/>
  <c r="D345" i="17"/>
  <c r="E345" i="17" s="1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X347" i="15" l="1"/>
  <c r="AK347" i="15"/>
  <c r="A348" i="15"/>
  <c r="AB347" i="15"/>
  <c r="AC347" i="15"/>
  <c r="L347" i="15"/>
  <c r="D347" i="15" s="1"/>
  <c r="O347" i="15"/>
  <c r="K347" i="15"/>
  <c r="AJ347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D346" i="17"/>
  <c r="E346" i="17" s="1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E347" i="15" l="1"/>
  <c r="I347" i="1"/>
  <c r="AB348" i="15"/>
  <c r="X348" i="15"/>
  <c r="O348" i="15"/>
  <c r="K348" i="15"/>
  <c r="AC348" i="15"/>
  <c r="L348" i="15"/>
  <c r="D348" i="15" s="1"/>
  <c r="AK348" i="15"/>
  <c r="A349" i="15"/>
  <c r="AJ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D347" i="17"/>
  <c r="E347" i="17" s="1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8" i="15" l="1"/>
  <c r="L349" i="15"/>
  <c r="D349" i="15" s="1"/>
  <c r="AB349" i="15"/>
  <c r="AC349" i="15"/>
  <c r="K349" i="15"/>
  <c r="O349" i="15"/>
  <c r="A350" i="15"/>
  <c r="AK349" i="15"/>
  <c r="X349" i="15"/>
  <c r="AJ349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D348" i="17"/>
  <c r="E348" i="17" s="1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K350" i="15" l="1"/>
  <c r="AJ350" i="15"/>
  <c r="O350" i="15"/>
  <c r="A351" i="15"/>
  <c r="AC350" i="15"/>
  <c r="X350" i="15"/>
  <c r="L350" i="15"/>
  <c r="D350" i="15" s="1"/>
  <c r="E350" i="15" s="1"/>
  <c r="AB350" i="15"/>
  <c r="AK350" i="15"/>
  <c r="E349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D349" i="17"/>
  <c r="E349" i="17" s="1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P352" i="1" l="1"/>
  <c r="E350" i="16"/>
  <c r="A352" i="15"/>
  <c r="L351" i="15"/>
  <c r="D351" i="15" s="1"/>
  <c r="AB351" i="15"/>
  <c r="K351" i="15"/>
  <c r="AC351" i="15"/>
  <c r="AK351" i="15"/>
  <c r="O351" i="15"/>
  <c r="X351" i="15"/>
  <c r="AJ351" i="15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A351" i="1"/>
  <c r="Z351" i="1" s="1"/>
  <c r="Y351" i="1" s="1"/>
  <c r="AB347" i="23"/>
  <c r="L347" i="23"/>
  <c r="X347" i="23"/>
  <c r="K347" i="23"/>
  <c r="A348" i="23"/>
  <c r="AJ347" i="23"/>
  <c r="AK347" i="23"/>
  <c r="O347" i="23"/>
  <c r="AC347" i="23"/>
  <c r="D352" i="1"/>
  <c r="V352" i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D350" i="17"/>
  <c r="E350" i="17" s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E351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D351" i="17"/>
  <c r="E351" i="17" s="1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F353" i="1" l="1"/>
  <c r="I353" i="1" s="1"/>
  <c r="K353" i="15"/>
  <c r="O353" i="15"/>
  <c r="A354" i="15"/>
  <c r="AK353" i="15"/>
  <c r="AB353" i="15"/>
  <c r="AJ353" i="15"/>
  <c r="L353" i="15"/>
  <c r="D353" i="15" s="1"/>
  <c r="X353" i="15"/>
  <c r="AC353" i="15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E354" i="1" s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D352" i="17"/>
  <c r="E352" i="17" s="1"/>
  <c r="G353" i="1" l="1"/>
  <c r="BW353" i="6" s="1"/>
  <c r="AA353" i="1"/>
  <c r="Z353" i="1" s="1"/>
  <c r="Y353" i="1" s="1"/>
  <c r="E353" i="16"/>
  <c r="E353" i="15"/>
  <c r="A355" i="15"/>
  <c r="AB354" i="15"/>
  <c r="AC354" i="15"/>
  <c r="AJ354" i="15"/>
  <c r="O354" i="15"/>
  <c r="L354" i="15"/>
  <c r="D354" i="15" s="1"/>
  <c r="AK354" i="15"/>
  <c r="X354" i="15"/>
  <c r="K354" i="15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D353" i="17"/>
  <c r="E353" i="17" s="1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P356" i="1" l="1"/>
  <c r="V356" i="1" s="1"/>
  <c r="F355" i="1"/>
  <c r="AA355" i="1" s="1"/>
  <c r="Z355" i="1" s="1"/>
  <c r="Y355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G354" i="1"/>
  <c r="BW354" i="6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D354" i="17"/>
  <c r="E354" i="17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I355" i="1" l="1"/>
  <c r="G355" i="1"/>
  <c r="BW355" i="6" s="1"/>
  <c r="E355" i="15"/>
  <c r="L356" i="15"/>
  <c r="D356" i="15" s="1"/>
  <c r="A357" i="15"/>
  <c r="X356" i="15"/>
  <c r="AK356" i="15"/>
  <c r="AC356" i="15"/>
  <c r="AB356" i="15"/>
  <c r="O356" i="15"/>
  <c r="E356" i="15" s="1"/>
  <c r="K356" i="15"/>
  <c r="AJ356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D355" i="17"/>
  <c r="E355" i="17" s="1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A358" i="15" l="1"/>
  <c r="AK357" i="15"/>
  <c r="K357" i="15"/>
  <c r="AJ357" i="15"/>
  <c r="O357" i="15"/>
  <c r="AB357" i="15"/>
  <c r="AC357" i="15"/>
  <c r="L357" i="15"/>
  <c r="D357" i="15" s="1"/>
  <c r="X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D356" i="17"/>
  <c r="E356" i="17" s="1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E357" i="15" l="1"/>
  <c r="X358" i="15"/>
  <c r="AJ358" i="15"/>
  <c r="K358" i="15"/>
  <c r="L358" i="15"/>
  <c r="D358" i="15" s="1"/>
  <c r="O358" i="15"/>
  <c r="AB358" i="15"/>
  <c r="AC358" i="15"/>
  <c r="A359" i="15"/>
  <c r="AK358" i="15"/>
  <c r="F358" i="1"/>
  <c r="AA358" i="1" s="1"/>
  <c r="Z358" i="1" s="1"/>
  <c r="Y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I358" i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D357" i="17"/>
  <c r="E357" i="17" s="1"/>
  <c r="AB356" i="20"/>
  <c r="L356" i="20"/>
  <c r="A357" i="20"/>
  <c r="AJ356" i="20"/>
  <c r="K356" i="20"/>
  <c r="X356" i="20"/>
  <c r="AK356" i="20"/>
  <c r="O356" i="20"/>
  <c r="AC356" i="20"/>
  <c r="E358" i="16" l="1"/>
  <c r="E358" i="15"/>
  <c r="AB359" i="15"/>
  <c r="AJ359" i="15"/>
  <c r="L359" i="15"/>
  <c r="D359" i="15" s="1"/>
  <c r="X359" i="15"/>
  <c r="A360" i="15"/>
  <c r="K359" i="15"/>
  <c r="AC359" i="15"/>
  <c r="AK359" i="15"/>
  <c r="O359" i="15"/>
  <c r="E359" i="15" s="1"/>
  <c r="G358" i="1"/>
  <c r="BW358" i="6" s="1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AA359" i="1"/>
  <c r="Z359" i="1" s="1"/>
  <c r="Y359" i="1" s="1"/>
  <c r="X357" i="20"/>
  <c r="A358" i="20"/>
  <c r="AK357" i="20"/>
  <c r="AB357" i="20"/>
  <c r="K357" i="20"/>
  <c r="L357" i="20"/>
  <c r="AJ357" i="20"/>
  <c r="O357" i="20"/>
  <c r="AC357" i="20"/>
  <c r="D358" i="17"/>
  <c r="E358" i="17" s="1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F360" i="1" l="1"/>
  <c r="AA360" i="1" s="1"/>
  <c r="Z360" i="1" s="1"/>
  <c r="Y360" i="1" s="1"/>
  <c r="P361" i="1"/>
  <c r="V361" i="1" s="1"/>
  <c r="E359" i="16"/>
  <c r="X360" i="15"/>
  <c r="O360" i="15"/>
  <c r="AJ360" i="15"/>
  <c r="AK360" i="15"/>
  <c r="AB360" i="15"/>
  <c r="K360" i="15"/>
  <c r="A361" i="15"/>
  <c r="L360" i="15"/>
  <c r="D360" i="15" s="1"/>
  <c r="E360" i="15" s="1"/>
  <c r="AC360" i="15"/>
  <c r="G359" i="1"/>
  <c r="BW359" i="6" s="1"/>
  <c r="X360" i="16"/>
  <c r="AK360" i="16"/>
  <c r="A361" i="16"/>
  <c r="AC360" i="16"/>
  <c r="AB360" i="16"/>
  <c r="AJ360" i="16"/>
  <c r="L360" i="16"/>
  <c r="D360" i="16" s="1"/>
  <c r="K360" i="16"/>
  <c r="O360" i="16"/>
  <c r="G360" i="1"/>
  <c r="BW360" i="6" s="1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D359" i="17"/>
  <c r="E359" i="17" s="1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I360" i="1" l="1"/>
  <c r="AJ361" i="15"/>
  <c r="AK361" i="15"/>
  <c r="A362" i="15"/>
  <c r="X361" i="15"/>
  <c r="AB361" i="15"/>
  <c r="K361" i="15"/>
  <c r="AC361" i="15"/>
  <c r="L361" i="15"/>
  <c r="D361" i="15" s="1"/>
  <c r="O361" i="15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A361" i="1"/>
  <c r="Z361" i="1" s="1"/>
  <c r="Y361" i="1" s="1"/>
  <c r="A356" i="25"/>
  <c r="AB355" i="25"/>
  <c r="K355" i="25"/>
  <c r="L355" i="25"/>
  <c r="X355" i="25"/>
  <c r="AJ355" i="25"/>
  <c r="AK355" i="25"/>
  <c r="O355" i="25"/>
  <c r="AC355" i="25"/>
  <c r="D360" i="17"/>
  <c r="E360" i="17" s="1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E361" i="15" l="1"/>
  <c r="AK362" i="15"/>
  <c r="AJ362" i="15"/>
  <c r="AB362" i="15"/>
  <c r="A363" i="15"/>
  <c r="K362" i="15"/>
  <c r="X362" i="15"/>
  <c r="AC362" i="15"/>
  <c r="L362" i="15"/>
  <c r="D362" i="15" s="1"/>
  <c r="O362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E363" i="1" s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D361" i="17"/>
  <c r="E361" i="17" s="1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E362" i="15" l="1"/>
  <c r="A364" i="15"/>
  <c r="AB363" i="15"/>
  <c r="K363" i="15"/>
  <c r="L363" i="15"/>
  <c r="AC363" i="15"/>
  <c r="A43" i="7"/>
  <c r="X363" i="15"/>
  <c r="O363" i="15"/>
  <c r="C43" i="7" s="1"/>
  <c r="AJ363" i="15"/>
  <c r="AK363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D362" i="17"/>
  <c r="E362" i="17" s="1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4" i="15" l="1"/>
  <c r="K364" i="15"/>
  <c r="AC364" i="15"/>
  <c r="L364" i="15"/>
  <c r="D364" i="15" s="1"/>
  <c r="O364" i="15"/>
  <c r="AK364" i="15"/>
  <c r="AJ364" i="15"/>
  <c r="A365" i="15"/>
  <c r="AB364" i="15"/>
  <c r="B43" i="7"/>
  <c r="D363" i="15"/>
  <c r="E363" i="15" s="1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D363" i="17"/>
  <c r="E363" i="17" s="1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D364" i="17"/>
  <c r="E364" i="17" s="1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5" i="1" l="1"/>
  <c r="Z365" i="1" s="1"/>
  <c r="Y365" i="1" s="1"/>
  <c r="G365" i="1"/>
  <c r="BW365" i="6" s="1"/>
  <c r="E365" i="15"/>
  <c r="K366" i="15"/>
  <c r="L366" i="15"/>
  <c r="D366" i="15" s="1"/>
  <c r="AC366" i="15"/>
  <c r="X366" i="15"/>
  <c r="O366" i="15"/>
  <c r="AK366" i="15"/>
  <c r="AJ366" i="15"/>
  <c r="A367" i="15"/>
  <c r="AB366" i="15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D365" i="17"/>
  <c r="E365" i="17" s="1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E367" i="1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E366" i="15" l="1"/>
  <c r="L367" i="15"/>
  <c r="D367" i="15" s="1"/>
  <c r="AJ367" i="15"/>
  <c r="A368" i="15"/>
  <c r="K367" i="15"/>
  <c r="AC367" i="15"/>
  <c r="AB367" i="15"/>
  <c r="O367" i="15"/>
  <c r="E367" i="15" s="1"/>
  <c r="X367" i="15"/>
  <c r="AK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D366" i="17"/>
  <c r="E366" i="17" s="1"/>
  <c r="X367" i="17"/>
  <c r="A368" i="17"/>
  <c r="AJ367" i="17"/>
  <c r="O367" i="17"/>
  <c r="AB367" i="17"/>
  <c r="L367" i="17"/>
  <c r="K367" i="17"/>
  <c r="AK367" i="17"/>
  <c r="AC367" i="17"/>
  <c r="E368" i="1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L368" i="15"/>
  <c r="D368" i="15" s="1"/>
  <c r="AB368" i="15"/>
  <c r="AC368" i="15"/>
  <c r="AJ368" i="15"/>
  <c r="O368" i="15"/>
  <c r="E368" i="15" s="1"/>
  <c r="A369" i="15"/>
  <c r="AK368" i="15"/>
  <c r="X368" i="15"/>
  <c r="K368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D367" i="17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E367" i="17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J369" i="15" l="1"/>
  <c r="O369" i="15"/>
  <c r="L369" i="15"/>
  <c r="D369" i="15" s="1"/>
  <c r="AK369" i="15"/>
  <c r="K369" i="15"/>
  <c r="A370" i="15"/>
  <c r="AC369" i="15"/>
  <c r="AB369" i="15"/>
  <c r="X369" i="15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D368" i="17"/>
  <c r="E368" i="17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F370" i="1" l="1"/>
  <c r="G370" i="1" s="1"/>
  <c r="BW370" i="6" s="1"/>
  <c r="E369" i="15"/>
  <c r="AJ370" i="15"/>
  <c r="X370" i="15"/>
  <c r="AC370" i="15"/>
  <c r="L370" i="15"/>
  <c r="D370" i="15" s="1"/>
  <c r="AK370" i="15"/>
  <c r="A371" i="15"/>
  <c r="K370" i="15"/>
  <c r="AB370" i="15"/>
  <c r="O370" i="15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D369" i="17"/>
  <c r="E369" i="17" s="1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AA370" i="1" l="1"/>
  <c r="Z370" i="1" s="1"/>
  <c r="Y370" i="1" s="1"/>
  <c r="I370" i="1"/>
  <c r="K371" i="15"/>
  <c r="A372" i="15"/>
  <c r="O371" i="15"/>
  <c r="AJ371" i="15"/>
  <c r="AC371" i="15"/>
  <c r="AB371" i="15"/>
  <c r="AK371" i="15"/>
  <c r="L371" i="15"/>
  <c r="D371" i="15" s="1"/>
  <c r="X371" i="15"/>
  <c r="E370" i="15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0" i="17"/>
  <c r="E370" i="17" s="1"/>
  <c r="D372" i="1"/>
  <c r="E372" i="1" s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A374" i="1"/>
  <c r="X373" i="1"/>
  <c r="K373" i="1"/>
  <c r="AB373" i="1"/>
  <c r="O373" i="1"/>
  <c r="AJ373" i="1"/>
  <c r="Q373" i="1"/>
  <c r="L373" i="1"/>
  <c r="AK373" i="1"/>
  <c r="AC373" i="1"/>
  <c r="U373" i="1"/>
  <c r="F372" i="1" l="1"/>
  <c r="AA372" i="1" s="1"/>
  <c r="Z372" i="1" s="1"/>
  <c r="Y372" i="1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D371" i="17"/>
  <c r="E371" i="17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I372" i="1"/>
  <c r="E372" i="15"/>
  <c r="AK373" i="15"/>
  <c r="AC373" i="15"/>
  <c r="X373" i="15"/>
  <c r="AJ373" i="15"/>
  <c r="L373" i="15"/>
  <c r="D373" i="15" s="1"/>
  <c r="K373" i="15"/>
  <c r="AB373" i="15"/>
  <c r="A374" i="15"/>
  <c r="O373" i="15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2" i="17"/>
  <c r="E372" i="17" s="1"/>
  <c r="D374" i="1"/>
  <c r="E374" i="1" s="1"/>
  <c r="F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P375" i="1" l="1"/>
  <c r="V375" i="1" s="1"/>
  <c r="K374" i="15"/>
  <c r="A375" i="15"/>
  <c r="X374" i="15"/>
  <c r="AK374" i="15"/>
  <c r="AC374" i="15"/>
  <c r="AJ374" i="15"/>
  <c r="O374" i="15"/>
  <c r="L374" i="15"/>
  <c r="D374" i="15" s="1"/>
  <c r="AB374" i="15"/>
  <c r="E373" i="15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G374" i="1"/>
  <c r="BW374" i="6" s="1"/>
  <c r="I374" i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D373" i="17"/>
  <c r="E373" i="17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E374" i="16"/>
  <c r="AJ375" i="16"/>
  <c r="A376" i="16"/>
  <c r="K375" i="16"/>
  <c r="AB375" i="16"/>
  <c r="AK375" i="16"/>
  <c r="O375" i="16"/>
  <c r="X375" i="16"/>
  <c r="L375" i="16"/>
  <c r="D375" i="16" s="1"/>
  <c r="E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D374" i="17"/>
  <c r="E374" i="17" s="1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5" l="1"/>
  <c r="G375" i="1"/>
  <c r="BW375" i="6" s="1"/>
  <c r="AB376" i="15"/>
  <c r="X376" i="15"/>
  <c r="K376" i="15"/>
  <c r="L376" i="15"/>
  <c r="D376" i="15" s="1"/>
  <c r="AC376" i="15"/>
  <c r="AK376" i="15"/>
  <c r="O376" i="15"/>
  <c r="AJ376" i="15"/>
  <c r="A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D375" i="17"/>
  <c r="E375" i="17" s="1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6" i="15" l="1"/>
  <c r="X377" i="15"/>
  <c r="L377" i="15"/>
  <c r="D377" i="15" s="1"/>
  <c r="AC377" i="15"/>
  <c r="AB377" i="15"/>
  <c r="O377" i="15"/>
  <c r="AK377" i="15"/>
  <c r="AJ377" i="15"/>
  <c r="A378" i="15"/>
  <c r="K377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D376" i="17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E376" i="17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78" i="15" l="1"/>
  <c r="K378" i="15"/>
  <c r="AC378" i="15"/>
  <c r="A379" i="15"/>
  <c r="O378" i="15"/>
  <c r="AJ378" i="15"/>
  <c r="AK378" i="15"/>
  <c r="X378" i="15"/>
  <c r="L378" i="15"/>
  <c r="E377" i="15"/>
  <c r="E377" i="16"/>
  <c r="F378" i="1"/>
  <c r="AA378" i="1" s="1"/>
  <c r="Z378" i="1" s="1"/>
  <c r="Y378" i="1" s="1"/>
  <c r="K378" i="16"/>
  <c r="AJ378" i="16"/>
  <c r="L378" i="16"/>
  <c r="D378" i="16" s="1"/>
  <c r="AK378" i="16"/>
  <c r="O378" i="16"/>
  <c r="X378" i="16"/>
  <c r="AB378" i="16"/>
  <c r="A379" i="16"/>
  <c r="AC378" i="16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L383" i="1"/>
  <c r="L381" i="1"/>
  <c r="L382" i="1"/>
  <c r="D377" i="17"/>
  <c r="E377" i="17" s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11" i="1" s="1"/>
  <c r="AJ9" i="1"/>
  <c r="AJ6" i="1"/>
  <c r="AJ5" i="1"/>
  <c r="AL7" i="1"/>
  <c r="AL11" i="1" s="1"/>
  <c r="AL9" i="1"/>
  <c r="AL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G378" i="1" l="1"/>
  <c r="BW378" i="6" s="1"/>
  <c r="L35" i="19"/>
  <c r="I378" i="1"/>
  <c r="L379" i="15"/>
  <c r="O379" i="15"/>
  <c r="X379" i="15"/>
  <c r="AC379" i="15"/>
  <c r="AC383" i="15" s="1"/>
  <c r="K379" i="15"/>
  <c r="AB379" i="15"/>
  <c r="AJ379" i="15"/>
  <c r="AJ9" i="15" s="1"/>
  <c r="AK379" i="15"/>
  <c r="D378" i="15"/>
  <c r="L383" i="15"/>
  <c r="U10" i="15"/>
  <c r="U150" i="15" s="1"/>
  <c r="T150" i="15" s="1"/>
  <c r="E378" i="16"/>
  <c r="T383" i="1"/>
  <c r="T381" i="1"/>
  <c r="T382" i="1"/>
  <c r="AB379" i="16"/>
  <c r="AK379" i="16"/>
  <c r="X379" i="16"/>
  <c r="AC379" i="16"/>
  <c r="L379" i="16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3" i="1"/>
  <c r="O11" i="19" s="1"/>
  <c r="AJ8" i="1"/>
  <c r="D383" i="1"/>
  <c r="D9" i="1"/>
  <c r="D11" i="1" s="1"/>
  <c r="E35" i="19" s="1"/>
  <c r="D382" i="1"/>
  <c r="D381" i="1"/>
  <c r="E379" i="1"/>
  <c r="I15" i="7"/>
  <c r="Q10" i="15"/>
  <c r="Q130" i="15" s="1"/>
  <c r="I16" i="7"/>
  <c r="U30" i="15"/>
  <c r="T30" i="15" s="1"/>
  <c r="U190" i="15"/>
  <c r="T190" i="15" s="1"/>
  <c r="S190" i="15" s="1"/>
  <c r="R190" i="15" s="1"/>
  <c r="U213" i="15"/>
  <c r="T213" i="15" s="1"/>
  <c r="S213" i="15" s="1"/>
  <c r="R213" i="15" s="1"/>
  <c r="U229" i="15"/>
  <c r="T229" i="15" s="1"/>
  <c r="S229" i="15" s="1"/>
  <c r="R229" i="15" s="1"/>
  <c r="U245" i="15"/>
  <c r="T245" i="15" s="1"/>
  <c r="S245" i="15" s="1"/>
  <c r="R245" i="15" s="1"/>
  <c r="U261" i="15"/>
  <c r="T261" i="15" s="1"/>
  <c r="S261" i="15" s="1"/>
  <c r="R261" i="15" s="1"/>
  <c r="U277" i="15"/>
  <c r="T277" i="15" s="1"/>
  <c r="U293" i="15"/>
  <c r="T293" i="15" s="1"/>
  <c r="S293" i="15" s="1"/>
  <c r="R293" i="15" s="1"/>
  <c r="U309" i="15"/>
  <c r="T309" i="15" s="1"/>
  <c r="S309" i="15" s="1"/>
  <c r="R309" i="15" s="1"/>
  <c r="U325" i="15"/>
  <c r="T325" i="15" s="1"/>
  <c r="S325" i="15" s="1"/>
  <c r="R325" i="15" s="1"/>
  <c r="U341" i="15"/>
  <c r="T341" i="15" s="1"/>
  <c r="S341" i="15" s="1"/>
  <c r="R341" i="15" s="1"/>
  <c r="U354" i="15"/>
  <c r="T354" i="15" s="1"/>
  <c r="S354" i="15" s="1"/>
  <c r="R354" i="15" s="1"/>
  <c r="U362" i="15"/>
  <c r="T362" i="15" s="1"/>
  <c r="U370" i="15"/>
  <c r="T370" i="15" s="1"/>
  <c r="U378" i="15"/>
  <c r="T378" i="15" s="1"/>
  <c r="S378" i="15" s="1"/>
  <c r="R378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22" i="15"/>
  <c r="AH22" i="15" s="1"/>
  <c r="AI17" i="15"/>
  <c r="AI31" i="15"/>
  <c r="AH31" i="15" s="1"/>
  <c r="AI39" i="15"/>
  <c r="AI47" i="15"/>
  <c r="AH47" i="15" s="1"/>
  <c r="AI55" i="15"/>
  <c r="AI63" i="15"/>
  <c r="AI71" i="15"/>
  <c r="AH71" i="15" s="1"/>
  <c r="AI79" i="15"/>
  <c r="AH79" i="15" s="1"/>
  <c r="AI87" i="15"/>
  <c r="AI95" i="15"/>
  <c r="AH95" i="15" s="1"/>
  <c r="AI103" i="15"/>
  <c r="AH103" i="15" s="1"/>
  <c r="AI111" i="15"/>
  <c r="AI119" i="15"/>
  <c r="AH119" i="15" s="1"/>
  <c r="AI127" i="15"/>
  <c r="AI135" i="15"/>
  <c r="AH135" i="15" s="1"/>
  <c r="AI143" i="15"/>
  <c r="AH143" i="15" s="1"/>
  <c r="AI151" i="15"/>
  <c r="AI159" i="15"/>
  <c r="AI167" i="15"/>
  <c r="AI175" i="15"/>
  <c r="AH175" i="15" s="1"/>
  <c r="AI183" i="15"/>
  <c r="AH183" i="15" s="1"/>
  <c r="AI191" i="15"/>
  <c r="AI199" i="15"/>
  <c r="AH199" i="15" s="1"/>
  <c r="AI207" i="15"/>
  <c r="AH207" i="15" s="1"/>
  <c r="AI215" i="15"/>
  <c r="AH215" i="15" s="1"/>
  <c r="AI223" i="15"/>
  <c r="AI231" i="15"/>
  <c r="AH231" i="15" s="1"/>
  <c r="AI239" i="15"/>
  <c r="AH239" i="15" s="1"/>
  <c r="AI243" i="15"/>
  <c r="AI247" i="15"/>
  <c r="AI251" i="15"/>
  <c r="AH251" i="15" s="1"/>
  <c r="AI255" i="15"/>
  <c r="AH255" i="15" s="1"/>
  <c r="AI259" i="15"/>
  <c r="AH259" i="15" s="1"/>
  <c r="AI263" i="15"/>
  <c r="AH263" i="15" s="1"/>
  <c r="AI267" i="15"/>
  <c r="AH267" i="15" s="1"/>
  <c r="AI271" i="15"/>
  <c r="AH271" i="15" s="1"/>
  <c r="AI275" i="15"/>
  <c r="AI279" i="15"/>
  <c r="AH279" i="15" s="1"/>
  <c r="AI283" i="15"/>
  <c r="AH283" i="15" s="1"/>
  <c r="AI287" i="15"/>
  <c r="AI291" i="15"/>
  <c r="AH291" i="15" s="1"/>
  <c r="AI295" i="15"/>
  <c r="AI299" i="15"/>
  <c r="AH299" i="15" s="1"/>
  <c r="AI303" i="15"/>
  <c r="AH303" i="15" s="1"/>
  <c r="AI307" i="15"/>
  <c r="AH307" i="15" s="1"/>
  <c r="AI311" i="15"/>
  <c r="AH311" i="15" s="1"/>
  <c r="AI315" i="15"/>
  <c r="AH315" i="15" s="1"/>
  <c r="AI319" i="15"/>
  <c r="AI323" i="15"/>
  <c r="AI327" i="15"/>
  <c r="AI331" i="15"/>
  <c r="AI335" i="15"/>
  <c r="AI339" i="15"/>
  <c r="AI343" i="15"/>
  <c r="AI347" i="15"/>
  <c r="AH347" i="15" s="1"/>
  <c r="AI351" i="15"/>
  <c r="AH351" i="15" s="1"/>
  <c r="AI355" i="15"/>
  <c r="AI359" i="15"/>
  <c r="AH359" i="15" s="1"/>
  <c r="AI363" i="15"/>
  <c r="AI367" i="15"/>
  <c r="AH367" i="15" s="1"/>
  <c r="AI371" i="15"/>
  <c r="AI375" i="15"/>
  <c r="AH375" i="15" s="1"/>
  <c r="AI379" i="15"/>
  <c r="D378" i="17"/>
  <c r="E378" i="17" s="1"/>
  <c r="A374" i="25"/>
  <c r="L373" i="25"/>
  <c r="K373" i="25"/>
  <c r="AJ373" i="25"/>
  <c r="AK373" i="25"/>
  <c r="X373" i="25"/>
  <c r="AB373" i="25"/>
  <c r="O373" i="25"/>
  <c r="AC373" i="25"/>
  <c r="AI377" i="15" l="1"/>
  <c r="AI373" i="15"/>
  <c r="AH373" i="15" s="1"/>
  <c r="AG373" i="15" s="1"/>
  <c r="AF373" i="15" s="1"/>
  <c r="AI369" i="15"/>
  <c r="AI365" i="15"/>
  <c r="AH365" i="15" s="1"/>
  <c r="AG365" i="15" s="1"/>
  <c r="AF365" i="15" s="1"/>
  <c r="AI361" i="15"/>
  <c r="AI357" i="15"/>
  <c r="AH357" i="15" s="1"/>
  <c r="AG357" i="15" s="1"/>
  <c r="AF357" i="15" s="1"/>
  <c r="AI353" i="15"/>
  <c r="AH353" i="15" s="1"/>
  <c r="AI349" i="15"/>
  <c r="AH349" i="15" s="1"/>
  <c r="AG349" i="15" s="1"/>
  <c r="AF349" i="15" s="1"/>
  <c r="AI345" i="15"/>
  <c r="AH345" i="15" s="1"/>
  <c r="AI341" i="15"/>
  <c r="AH341" i="15" s="1"/>
  <c r="AG341" i="15" s="1"/>
  <c r="AF341" i="15" s="1"/>
  <c r="AI337" i="15"/>
  <c r="AH337" i="15" s="1"/>
  <c r="AI333" i="15"/>
  <c r="AH333" i="15" s="1"/>
  <c r="AG333" i="15" s="1"/>
  <c r="AF333" i="15" s="1"/>
  <c r="AI329" i="15"/>
  <c r="AI325" i="15"/>
  <c r="AH325" i="15" s="1"/>
  <c r="AI321" i="15"/>
  <c r="AI317" i="15"/>
  <c r="AH317" i="15" s="1"/>
  <c r="AG317" i="15" s="1"/>
  <c r="AF317" i="15" s="1"/>
  <c r="AI313" i="15"/>
  <c r="AH313" i="15" s="1"/>
  <c r="AI309" i="15"/>
  <c r="AH309" i="15" s="1"/>
  <c r="AG309" i="15" s="1"/>
  <c r="AF309" i="15" s="1"/>
  <c r="AI305" i="15"/>
  <c r="AI301" i="15"/>
  <c r="AH301" i="15" s="1"/>
  <c r="AG301" i="15" s="1"/>
  <c r="AF301" i="15" s="1"/>
  <c r="AI297" i="15"/>
  <c r="AI293" i="15"/>
  <c r="AH293" i="15" s="1"/>
  <c r="AI289" i="15"/>
  <c r="AH289" i="15" s="1"/>
  <c r="AI285" i="15"/>
  <c r="AH285" i="15" s="1"/>
  <c r="AG285" i="15" s="1"/>
  <c r="AF285" i="15" s="1"/>
  <c r="AI281" i="15"/>
  <c r="AH281" i="15" s="1"/>
  <c r="AI277" i="15"/>
  <c r="AH277" i="15" s="1"/>
  <c r="AG277" i="15" s="1"/>
  <c r="AF277" i="15" s="1"/>
  <c r="AI273" i="15"/>
  <c r="AH273" i="15" s="1"/>
  <c r="AI269" i="15"/>
  <c r="AH269" i="15" s="1"/>
  <c r="AG269" i="15" s="1"/>
  <c r="AF269" i="15" s="1"/>
  <c r="AI265" i="15"/>
  <c r="AH265" i="15" s="1"/>
  <c r="AI261" i="15"/>
  <c r="AH261" i="15" s="1"/>
  <c r="AG261" i="15" s="1"/>
  <c r="AF261" i="15" s="1"/>
  <c r="AI257" i="15"/>
  <c r="AH257" i="15" s="1"/>
  <c r="AI253" i="15"/>
  <c r="AH253" i="15" s="1"/>
  <c r="AG253" i="15" s="1"/>
  <c r="AF253" i="15" s="1"/>
  <c r="AI249" i="15"/>
  <c r="AH249" i="15" s="1"/>
  <c r="AI245" i="15"/>
  <c r="AH245" i="15" s="1"/>
  <c r="AI241" i="15"/>
  <c r="AH241" i="15" s="1"/>
  <c r="AI235" i="15"/>
  <c r="AH235" i="15" s="1"/>
  <c r="AG235" i="15" s="1"/>
  <c r="AF235" i="15" s="1"/>
  <c r="AI227" i="15"/>
  <c r="AH227" i="15" s="1"/>
  <c r="AI219" i="15"/>
  <c r="AH219" i="15" s="1"/>
  <c r="AG219" i="15" s="1"/>
  <c r="AF219" i="15" s="1"/>
  <c r="AI211" i="15"/>
  <c r="AH211" i="15" s="1"/>
  <c r="AI203" i="15"/>
  <c r="AH203" i="15" s="1"/>
  <c r="AI195" i="15"/>
  <c r="AH195" i="15" s="1"/>
  <c r="AI187" i="15"/>
  <c r="AH187" i="15" s="1"/>
  <c r="AG187" i="15" s="1"/>
  <c r="AF187" i="15" s="1"/>
  <c r="AI179" i="15"/>
  <c r="AI171" i="15"/>
  <c r="AH171" i="15" s="1"/>
  <c r="AG171" i="15" s="1"/>
  <c r="AF171" i="15" s="1"/>
  <c r="AI163" i="15"/>
  <c r="AH163" i="15" s="1"/>
  <c r="AI155" i="15"/>
  <c r="AH155" i="15" s="1"/>
  <c r="AI147" i="15"/>
  <c r="AI139" i="15"/>
  <c r="AH139" i="15" s="1"/>
  <c r="AG139" i="15" s="1"/>
  <c r="AF139" i="15" s="1"/>
  <c r="AI131" i="15"/>
  <c r="AI123" i="15"/>
  <c r="AH123" i="15" s="1"/>
  <c r="AG123" i="15" s="1"/>
  <c r="AF123" i="15" s="1"/>
  <c r="AI115" i="15"/>
  <c r="AI107" i="15"/>
  <c r="AH107" i="15" s="1"/>
  <c r="AI99" i="15"/>
  <c r="AI91" i="15"/>
  <c r="AH91" i="15" s="1"/>
  <c r="AI83" i="15"/>
  <c r="AI75" i="15"/>
  <c r="AH75" i="15" s="1"/>
  <c r="AI67" i="15"/>
  <c r="AH67" i="15" s="1"/>
  <c r="AI59" i="15"/>
  <c r="AH59" i="15" s="1"/>
  <c r="AG59" i="15" s="1"/>
  <c r="AF59" i="15" s="1"/>
  <c r="AI51" i="15"/>
  <c r="AI43" i="15"/>
  <c r="AH43" i="15" s="1"/>
  <c r="AG43" i="15" s="1"/>
  <c r="AF43" i="15" s="1"/>
  <c r="AI35" i="15"/>
  <c r="AH35" i="15" s="1"/>
  <c r="AI19" i="15"/>
  <c r="AH19" i="15" s="1"/>
  <c r="AI23" i="15"/>
  <c r="U374" i="15"/>
  <c r="T374" i="15" s="1"/>
  <c r="S374" i="15" s="1"/>
  <c r="R374" i="15" s="1"/>
  <c r="U366" i="15"/>
  <c r="T366" i="15" s="1"/>
  <c r="S366" i="15" s="1"/>
  <c r="R366" i="15" s="1"/>
  <c r="U358" i="15"/>
  <c r="T358" i="15" s="1"/>
  <c r="S358" i="15" s="1"/>
  <c r="R358" i="15" s="1"/>
  <c r="U349" i="15"/>
  <c r="T349" i="15" s="1"/>
  <c r="S349" i="15" s="1"/>
  <c r="R349" i="15" s="1"/>
  <c r="U333" i="15"/>
  <c r="T333" i="15" s="1"/>
  <c r="U317" i="15"/>
  <c r="T317" i="15" s="1"/>
  <c r="S317" i="15" s="1"/>
  <c r="R317" i="15" s="1"/>
  <c r="U301" i="15"/>
  <c r="T301" i="15" s="1"/>
  <c r="S301" i="15" s="1"/>
  <c r="R301" i="15" s="1"/>
  <c r="U285" i="15"/>
  <c r="T285" i="15" s="1"/>
  <c r="S285" i="15" s="1"/>
  <c r="R285" i="15" s="1"/>
  <c r="U269" i="15"/>
  <c r="T269" i="15" s="1"/>
  <c r="S269" i="15" s="1"/>
  <c r="R269" i="15" s="1"/>
  <c r="U253" i="15"/>
  <c r="T253" i="15" s="1"/>
  <c r="S253" i="15" s="1"/>
  <c r="R253" i="15" s="1"/>
  <c r="U237" i="15"/>
  <c r="T237" i="15" s="1"/>
  <c r="S237" i="15" s="1"/>
  <c r="R237" i="15" s="1"/>
  <c r="U221" i="15"/>
  <c r="T221" i="15" s="1"/>
  <c r="S221" i="15" s="1"/>
  <c r="R221" i="15" s="1"/>
  <c r="U205" i="15"/>
  <c r="T205" i="15" s="1"/>
  <c r="S205" i="15" s="1"/>
  <c r="R205" i="15" s="1"/>
  <c r="U46" i="15"/>
  <c r="T46" i="15" s="1"/>
  <c r="S46" i="15" s="1"/>
  <c r="R46" i="15" s="1"/>
  <c r="U78" i="15"/>
  <c r="T78" i="15" s="1"/>
  <c r="S78" i="15" s="1"/>
  <c r="R78" i="15" s="1"/>
  <c r="U110" i="15"/>
  <c r="T110" i="15" s="1"/>
  <c r="S110" i="15" s="1"/>
  <c r="R110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4" i="15"/>
  <c r="T184" i="15" s="1"/>
  <c r="S184" i="15" s="1"/>
  <c r="R184" i="15" s="1"/>
  <c r="U188" i="15"/>
  <c r="T188" i="15" s="1"/>
  <c r="S188" i="15" s="1"/>
  <c r="R188" i="15" s="1"/>
  <c r="U192" i="15"/>
  <c r="T192" i="15" s="1"/>
  <c r="S192" i="15" s="1"/>
  <c r="R192" i="15" s="1"/>
  <c r="U196" i="15"/>
  <c r="T196" i="15" s="1"/>
  <c r="S196" i="15" s="1"/>
  <c r="R196" i="15" s="1"/>
  <c r="U200" i="15"/>
  <c r="T200" i="15" s="1"/>
  <c r="S200" i="15" s="1"/>
  <c r="R200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U254" i="15"/>
  <c r="T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U296" i="15"/>
  <c r="T296" i="15" s="1"/>
  <c r="S296" i="15" s="1"/>
  <c r="R296" i="15" s="1"/>
  <c r="U298" i="15"/>
  <c r="T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62" i="15"/>
  <c r="T62" i="15" s="1"/>
  <c r="S62" i="15" s="1"/>
  <c r="R62" i="15" s="1"/>
  <c r="U126" i="15"/>
  <c r="T126" i="15" s="1"/>
  <c r="S126" i="15" s="1"/>
  <c r="R126" i="15" s="1"/>
  <c r="U166" i="15"/>
  <c r="T166" i="15" s="1"/>
  <c r="S166" i="15" s="1"/>
  <c r="R166" i="15" s="1"/>
  <c r="U186" i="15"/>
  <c r="T186" i="15" s="1"/>
  <c r="S186" i="15" s="1"/>
  <c r="R186" i="15" s="1"/>
  <c r="U194" i="15"/>
  <c r="T194" i="15" s="1"/>
  <c r="S194" i="15" s="1"/>
  <c r="R194" i="15" s="1"/>
  <c r="U202" i="15"/>
  <c r="T202" i="15" s="1"/>
  <c r="S202" i="15" s="1"/>
  <c r="R202" i="15" s="1"/>
  <c r="U207" i="15"/>
  <c r="T207" i="15" s="1"/>
  <c r="S207" i="15" s="1"/>
  <c r="R207" i="15" s="1"/>
  <c r="U211" i="15"/>
  <c r="T211" i="15" s="1"/>
  <c r="S211" i="15" s="1"/>
  <c r="R211" i="15" s="1"/>
  <c r="U215" i="15"/>
  <c r="T215" i="15" s="1"/>
  <c r="S215" i="15" s="1"/>
  <c r="R215" i="15" s="1"/>
  <c r="U219" i="15"/>
  <c r="T219" i="15" s="1"/>
  <c r="S219" i="15" s="1"/>
  <c r="R219" i="15" s="1"/>
  <c r="U223" i="15"/>
  <c r="T223" i="15" s="1"/>
  <c r="S223" i="15" s="1"/>
  <c r="R223" i="15" s="1"/>
  <c r="U227" i="15"/>
  <c r="T227" i="15" s="1"/>
  <c r="U231" i="15"/>
  <c r="T231" i="15" s="1"/>
  <c r="S231" i="15" s="1"/>
  <c r="R231" i="15" s="1"/>
  <c r="U235" i="15"/>
  <c r="T235" i="15" s="1"/>
  <c r="S235" i="15" s="1"/>
  <c r="R235" i="15" s="1"/>
  <c r="U239" i="15"/>
  <c r="T239" i="15" s="1"/>
  <c r="S239" i="15" s="1"/>
  <c r="R239" i="15" s="1"/>
  <c r="U243" i="15"/>
  <c r="T243" i="15" s="1"/>
  <c r="S243" i="15" s="1"/>
  <c r="R243" i="15" s="1"/>
  <c r="U247" i="15"/>
  <c r="T247" i="15" s="1"/>
  <c r="S247" i="15" s="1"/>
  <c r="R247" i="15" s="1"/>
  <c r="U251" i="15"/>
  <c r="T251" i="15" s="1"/>
  <c r="S251" i="15" s="1"/>
  <c r="R251" i="15" s="1"/>
  <c r="U255" i="15"/>
  <c r="T255" i="15" s="1"/>
  <c r="S255" i="15" s="1"/>
  <c r="R255" i="15" s="1"/>
  <c r="U259" i="15"/>
  <c r="T259" i="15" s="1"/>
  <c r="S259" i="15" s="1"/>
  <c r="R259" i="15" s="1"/>
  <c r="U263" i="15"/>
  <c r="T263" i="15" s="1"/>
  <c r="S263" i="15" s="1"/>
  <c r="R263" i="15" s="1"/>
  <c r="U267" i="15"/>
  <c r="T267" i="15" s="1"/>
  <c r="S267" i="15" s="1"/>
  <c r="R267" i="15" s="1"/>
  <c r="U271" i="15"/>
  <c r="T271" i="15" s="1"/>
  <c r="S271" i="15" s="1"/>
  <c r="R271" i="15" s="1"/>
  <c r="U275" i="15"/>
  <c r="T275" i="15" s="1"/>
  <c r="S275" i="15" s="1"/>
  <c r="R275" i="15" s="1"/>
  <c r="U279" i="15"/>
  <c r="T279" i="15" s="1"/>
  <c r="S279" i="15" s="1"/>
  <c r="R279" i="15" s="1"/>
  <c r="U283" i="15"/>
  <c r="T283" i="15" s="1"/>
  <c r="S283" i="15" s="1"/>
  <c r="R283" i="15" s="1"/>
  <c r="U287" i="15"/>
  <c r="T287" i="15" s="1"/>
  <c r="S287" i="15" s="1"/>
  <c r="R287" i="15" s="1"/>
  <c r="U291" i="15"/>
  <c r="T291" i="15" s="1"/>
  <c r="S291" i="15" s="1"/>
  <c r="R291" i="15" s="1"/>
  <c r="U295" i="15"/>
  <c r="T295" i="15" s="1"/>
  <c r="S295" i="15" s="1"/>
  <c r="R295" i="15" s="1"/>
  <c r="U299" i="15"/>
  <c r="T299" i="15" s="1"/>
  <c r="S299" i="15" s="1"/>
  <c r="R299" i="15" s="1"/>
  <c r="U303" i="15"/>
  <c r="T303" i="15" s="1"/>
  <c r="S303" i="15" s="1"/>
  <c r="R303" i="15" s="1"/>
  <c r="U307" i="15"/>
  <c r="T307" i="15" s="1"/>
  <c r="S307" i="15" s="1"/>
  <c r="R307" i="15" s="1"/>
  <c r="U311" i="15"/>
  <c r="T311" i="15" s="1"/>
  <c r="S311" i="15" s="1"/>
  <c r="R311" i="15" s="1"/>
  <c r="U315" i="15"/>
  <c r="T315" i="15" s="1"/>
  <c r="S315" i="15" s="1"/>
  <c r="R315" i="15" s="1"/>
  <c r="U319" i="15"/>
  <c r="T319" i="15" s="1"/>
  <c r="S319" i="15" s="1"/>
  <c r="R319" i="15" s="1"/>
  <c r="U323" i="15"/>
  <c r="T323" i="15" s="1"/>
  <c r="S323" i="15" s="1"/>
  <c r="R323" i="15" s="1"/>
  <c r="U327" i="15"/>
  <c r="T327" i="15" s="1"/>
  <c r="S327" i="15" s="1"/>
  <c r="R327" i="15" s="1"/>
  <c r="U331" i="15"/>
  <c r="T331" i="15" s="1"/>
  <c r="S331" i="15" s="1"/>
  <c r="R331" i="15" s="1"/>
  <c r="U335" i="15"/>
  <c r="T335" i="15" s="1"/>
  <c r="S335" i="15" s="1"/>
  <c r="R335" i="15" s="1"/>
  <c r="U339" i="15"/>
  <c r="T339" i="15" s="1"/>
  <c r="S339" i="15" s="1"/>
  <c r="R339" i="15" s="1"/>
  <c r="U343" i="15"/>
  <c r="T343" i="15" s="1"/>
  <c r="S343" i="15" s="1"/>
  <c r="R343" i="15" s="1"/>
  <c r="U347" i="15"/>
  <c r="T347" i="15" s="1"/>
  <c r="S347" i="15" s="1"/>
  <c r="R347" i="15" s="1"/>
  <c r="U351" i="15"/>
  <c r="T351" i="15" s="1"/>
  <c r="S351" i="15" s="1"/>
  <c r="R351" i="15" s="1"/>
  <c r="U353" i="15"/>
  <c r="T353" i="15" s="1"/>
  <c r="S353" i="15" s="1"/>
  <c r="R353" i="15" s="1"/>
  <c r="U355" i="15"/>
  <c r="T355" i="15" s="1"/>
  <c r="S355" i="15" s="1"/>
  <c r="R355" i="15" s="1"/>
  <c r="U357" i="15"/>
  <c r="T357" i="15" s="1"/>
  <c r="S357" i="15" s="1"/>
  <c r="R357" i="15" s="1"/>
  <c r="U359" i="15"/>
  <c r="T359" i="15" s="1"/>
  <c r="S359" i="15" s="1"/>
  <c r="R359" i="15" s="1"/>
  <c r="U361" i="15"/>
  <c r="T361" i="15" s="1"/>
  <c r="S361" i="15" s="1"/>
  <c r="R361" i="15" s="1"/>
  <c r="U363" i="15"/>
  <c r="T363" i="15" s="1"/>
  <c r="S363" i="15" s="1"/>
  <c r="R363" i="15" s="1"/>
  <c r="U365" i="15"/>
  <c r="T365" i="15" s="1"/>
  <c r="U367" i="15"/>
  <c r="T367" i="15" s="1"/>
  <c r="S367" i="15" s="1"/>
  <c r="R367" i="15" s="1"/>
  <c r="U369" i="15"/>
  <c r="T369" i="15" s="1"/>
  <c r="S369" i="15" s="1"/>
  <c r="R369" i="15" s="1"/>
  <c r="U371" i="15"/>
  <c r="T371" i="15" s="1"/>
  <c r="S371" i="15" s="1"/>
  <c r="R371" i="15" s="1"/>
  <c r="U373" i="15"/>
  <c r="T373" i="15" s="1"/>
  <c r="S373" i="15" s="1"/>
  <c r="R373" i="15" s="1"/>
  <c r="U375" i="15"/>
  <c r="T375" i="15" s="1"/>
  <c r="S375" i="15" s="1"/>
  <c r="R375" i="15" s="1"/>
  <c r="U377" i="15"/>
  <c r="T377" i="15" s="1"/>
  <c r="S377" i="15" s="1"/>
  <c r="R377" i="15" s="1"/>
  <c r="U379" i="15"/>
  <c r="T379" i="15" s="1"/>
  <c r="S379" i="15" s="1"/>
  <c r="R379" i="15" s="1"/>
  <c r="K16" i="7"/>
  <c r="AI15" i="15"/>
  <c r="AH15" i="15" s="1"/>
  <c r="AI18" i="15"/>
  <c r="AI25" i="15"/>
  <c r="AH25" i="15" s="1"/>
  <c r="AG25" i="15" s="1"/>
  <c r="AF25" i="15" s="1"/>
  <c r="AI28" i="15"/>
  <c r="AI20" i="15"/>
  <c r="AH20" i="15" s="1"/>
  <c r="AG20" i="15" s="1"/>
  <c r="AF20" i="15" s="1"/>
  <c r="AI16" i="15"/>
  <c r="AI26" i="15"/>
  <c r="AH26" i="15" s="1"/>
  <c r="AI30" i="15"/>
  <c r="AI32" i="15"/>
  <c r="AH32" i="15" s="1"/>
  <c r="AI34" i="15"/>
  <c r="AH34" i="15" s="1"/>
  <c r="AI36" i="15"/>
  <c r="AH36" i="15" s="1"/>
  <c r="AG36" i="15" s="1"/>
  <c r="AF36" i="15" s="1"/>
  <c r="AI38" i="15"/>
  <c r="AI40" i="15"/>
  <c r="AH40" i="15" s="1"/>
  <c r="AI42" i="15"/>
  <c r="AH42" i="15" s="1"/>
  <c r="AI44" i="15"/>
  <c r="AH44" i="15" s="1"/>
  <c r="AG44" i="15" s="1"/>
  <c r="AF44" i="15" s="1"/>
  <c r="AI46" i="15"/>
  <c r="AI48" i="15"/>
  <c r="AH48" i="15" s="1"/>
  <c r="AI50" i="15"/>
  <c r="AH50" i="15" s="1"/>
  <c r="AI52" i="15"/>
  <c r="AH52" i="15" s="1"/>
  <c r="AI54" i="15"/>
  <c r="AI56" i="15"/>
  <c r="AH56" i="15" s="1"/>
  <c r="AI58" i="15"/>
  <c r="AH58" i="15" s="1"/>
  <c r="AI60" i="15"/>
  <c r="AH60" i="15" s="1"/>
  <c r="AI62" i="15"/>
  <c r="AI64" i="15"/>
  <c r="AH64" i="15" s="1"/>
  <c r="AG64" i="15" s="1"/>
  <c r="AF64" i="15" s="1"/>
  <c r="AI66" i="15"/>
  <c r="AI68" i="15"/>
  <c r="AH68" i="15" s="1"/>
  <c r="AG68" i="15" s="1"/>
  <c r="AF68" i="15" s="1"/>
  <c r="AI70" i="15"/>
  <c r="AH70" i="15" s="1"/>
  <c r="AI72" i="15"/>
  <c r="AH72" i="15" s="1"/>
  <c r="AG72" i="15" s="1"/>
  <c r="AF72" i="15" s="1"/>
  <c r="AI74" i="15"/>
  <c r="AI76" i="15"/>
  <c r="AH76" i="15" s="1"/>
  <c r="AG76" i="15" s="1"/>
  <c r="AF76" i="15" s="1"/>
  <c r="AI78" i="15"/>
  <c r="AH78" i="15" s="1"/>
  <c r="AI80" i="15"/>
  <c r="AH80" i="15" s="1"/>
  <c r="AI82" i="15"/>
  <c r="AI84" i="15"/>
  <c r="AH84" i="15" s="1"/>
  <c r="AI86" i="15"/>
  <c r="AI88" i="15"/>
  <c r="AH88" i="15" s="1"/>
  <c r="AI90" i="15"/>
  <c r="AI92" i="15"/>
  <c r="AH92" i="15" s="1"/>
  <c r="AG92" i="15" s="1"/>
  <c r="AF92" i="15" s="1"/>
  <c r="AI94" i="15"/>
  <c r="AI96" i="15"/>
  <c r="AH96" i="15" s="1"/>
  <c r="AI98" i="15"/>
  <c r="AH98" i="15" s="1"/>
  <c r="AI100" i="15"/>
  <c r="AH100" i="15" s="1"/>
  <c r="AI102" i="15"/>
  <c r="AH102" i="15" s="1"/>
  <c r="AI104" i="15"/>
  <c r="AH104" i="15" s="1"/>
  <c r="AG104" i="15" s="1"/>
  <c r="AF104" i="15" s="1"/>
  <c r="AI106" i="15"/>
  <c r="AI108" i="15"/>
  <c r="AH108" i="15" s="1"/>
  <c r="AI110" i="15"/>
  <c r="AI112" i="15"/>
  <c r="AH112" i="15" s="1"/>
  <c r="AG112" i="15" s="1"/>
  <c r="AF112" i="15" s="1"/>
  <c r="AI114" i="15"/>
  <c r="AI116" i="15"/>
  <c r="AH116" i="15" s="1"/>
  <c r="AI118" i="15"/>
  <c r="AI120" i="15"/>
  <c r="AH120" i="15" s="1"/>
  <c r="AI122" i="15"/>
  <c r="AI124" i="15"/>
  <c r="AH124" i="15" s="1"/>
  <c r="AG124" i="15" s="1"/>
  <c r="AF124" i="15" s="1"/>
  <c r="AI126" i="15"/>
  <c r="AI128" i="15"/>
  <c r="AH128" i="15" s="1"/>
  <c r="AI130" i="15"/>
  <c r="AH130" i="15" s="1"/>
  <c r="AI132" i="15"/>
  <c r="AH132" i="15" s="1"/>
  <c r="AI134" i="15"/>
  <c r="AH134" i="15" s="1"/>
  <c r="AI136" i="15"/>
  <c r="AH136" i="15" s="1"/>
  <c r="AG136" i="15" s="1"/>
  <c r="AF136" i="15" s="1"/>
  <c r="AI138" i="15"/>
  <c r="AH138" i="15" s="1"/>
  <c r="AI140" i="15"/>
  <c r="AH140" i="15" s="1"/>
  <c r="AG140" i="15" s="1"/>
  <c r="AF140" i="15" s="1"/>
  <c r="AI142" i="15"/>
  <c r="AH142" i="15" s="1"/>
  <c r="AI144" i="15"/>
  <c r="AH144" i="15" s="1"/>
  <c r="AI146" i="15"/>
  <c r="AI148" i="15"/>
  <c r="AH148" i="15" s="1"/>
  <c r="AI150" i="15"/>
  <c r="AH150" i="15" s="1"/>
  <c r="AI152" i="15"/>
  <c r="AH152" i="15" s="1"/>
  <c r="AI154" i="15"/>
  <c r="AI156" i="15"/>
  <c r="AH156" i="15" s="1"/>
  <c r="AG156" i="15" s="1"/>
  <c r="AF156" i="15" s="1"/>
  <c r="AI158" i="15"/>
  <c r="AI160" i="15"/>
  <c r="AH160" i="15" s="1"/>
  <c r="AG160" i="15" s="1"/>
  <c r="AF160" i="15" s="1"/>
  <c r="AI162" i="15"/>
  <c r="AH162" i="15" s="1"/>
  <c r="AI164" i="15"/>
  <c r="AH164" i="15" s="1"/>
  <c r="AG164" i="15" s="1"/>
  <c r="AF164" i="15" s="1"/>
  <c r="AI166" i="15"/>
  <c r="AH166" i="15" s="1"/>
  <c r="AI168" i="15"/>
  <c r="AH168" i="15" s="1"/>
  <c r="AI170" i="15"/>
  <c r="AH170" i="15" s="1"/>
  <c r="AI172" i="15"/>
  <c r="AH172" i="15" s="1"/>
  <c r="AI174" i="15"/>
  <c r="AI176" i="15"/>
  <c r="AH176" i="15" s="1"/>
  <c r="AG176" i="15" s="1"/>
  <c r="AF176" i="15" s="1"/>
  <c r="AI178" i="15"/>
  <c r="AI180" i="15"/>
  <c r="AH180" i="15" s="1"/>
  <c r="AI182" i="15"/>
  <c r="AH182" i="15" s="1"/>
  <c r="AI184" i="15"/>
  <c r="AH184" i="15" s="1"/>
  <c r="AG184" i="15" s="1"/>
  <c r="AF184" i="15" s="1"/>
  <c r="AI186" i="15"/>
  <c r="AI188" i="15"/>
  <c r="AH188" i="15" s="1"/>
  <c r="AI190" i="15"/>
  <c r="AI192" i="15"/>
  <c r="AH192" i="15" s="1"/>
  <c r="AG192" i="15" s="1"/>
  <c r="AF192" i="15" s="1"/>
  <c r="AI194" i="15"/>
  <c r="AI196" i="15"/>
  <c r="AH196" i="15" s="1"/>
  <c r="AI198" i="15"/>
  <c r="AI200" i="15"/>
  <c r="AH200" i="15" s="1"/>
  <c r="AG200" i="15" s="1"/>
  <c r="AF200" i="15" s="1"/>
  <c r="AI202" i="15"/>
  <c r="AH202" i="15" s="1"/>
  <c r="AI204" i="15"/>
  <c r="AH204" i="15" s="1"/>
  <c r="AI206" i="15"/>
  <c r="AH206" i="15" s="1"/>
  <c r="AI208" i="15"/>
  <c r="AH208" i="15" s="1"/>
  <c r="AI210" i="15"/>
  <c r="AH210" i="15" s="1"/>
  <c r="AI212" i="15"/>
  <c r="AH212" i="15" s="1"/>
  <c r="AI214" i="15"/>
  <c r="AI216" i="15"/>
  <c r="AH216" i="15" s="1"/>
  <c r="AG216" i="15" s="1"/>
  <c r="AF216" i="15" s="1"/>
  <c r="AI218" i="15"/>
  <c r="AI220" i="15"/>
  <c r="AH220" i="15" s="1"/>
  <c r="AG220" i="15" s="1"/>
  <c r="AF220" i="15" s="1"/>
  <c r="AI222" i="15"/>
  <c r="AI224" i="15"/>
  <c r="AH224" i="15" s="1"/>
  <c r="AG224" i="15" s="1"/>
  <c r="AF224" i="15" s="1"/>
  <c r="AI226" i="15"/>
  <c r="AI228" i="15"/>
  <c r="AH228" i="15" s="1"/>
  <c r="AI230" i="15"/>
  <c r="AH230" i="15" s="1"/>
  <c r="AI232" i="15"/>
  <c r="AH232" i="15" s="1"/>
  <c r="AI234" i="15"/>
  <c r="AH234" i="15" s="1"/>
  <c r="AI236" i="15"/>
  <c r="AH236" i="15" s="1"/>
  <c r="AG236" i="15" s="1"/>
  <c r="AF236" i="15" s="1"/>
  <c r="AI238" i="15"/>
  <c r="AH238" i="15" s="1"/>
  <c r="AI378" i="15"/>
  <c r="AH378" i="15" s="1"/>
  <c r="AG378" i="15" s="1"/>
  <c r="AF378" i="15" s="1"/>
  <c r="AI376" i="15"/>
  <c r="AI374" i="15"/>
  <c r="AH374" i="15" s="1"/>
  <c r="AG374" i="15" s="1"/>
  <c r="AF374" i="15" s="1"/>
  <c r="AI372" i="15"/>
  <c r="AI370" i="15"/>
  <c r="AH370" i="15" s="1"/>
  <c r="AI368" i="15"/>
  <c r="AH368" i="15" s="1"/>
  <c r="AI366" i="15"/>
  <c r="AH366" i="15" s="1"/>
  <c r="AI364" i="15"/>
  <c r="AI362" i="15"/>
  <c r="AH362" i="15" s="1"/>
  <c r="AI360" i="15"/>
  <c r="AH360" i="15" s="1"/>
  <c r="AI358" i="15"/>
  <c r="AH358" i="15" s="1"/>
  <c r="AI356" i="15"/>
  <c r="AH356" i="15" s="1"/>
  <c r="AI354" i="15"/>
  <c r="AH354" i="15" s="1"/>
  <c r="AI352" i="15"/>
  <c r="AI350" i="15"/>
  <c r="AH350" i="15" s="1"/>
  <c r="AG350" i="15" s="1"/>
  <c r="AF350" i="15" s="1"/>
  <c r="AI348" i="15"/>
  <c r="AI346" i="15"/>
  <c r="AH346" i="15" s="1"/>
  <c r="AI344" i="15"/>
  <c r="AH344" i="15" s="1"/>
  <c r="AI342" i="15"/>
  <c r="AH342" i="15" s="1"/>
  <c r="AG342" i="15" s="1"/>
  <c r="AF342" i="15" s="1"/>
  <c r="AI340" i="15"/>
  <c r="AH340" i="15" s="1"/>
  <c r="AI338" i="15"/>
  <c r="AH338" i="15" s="1"/>
  <c r="AI336" i="15"/>
  <c r="AH336" i="15" s="1"/>
  <c r="AI334" i="15"/>
  <c r="AH334" i="15" s="1"/>
  <c r="AI332" i="15"/>
  <c r="AI330" i="15"/>
  <c r="AH330" i="15" s="1"/>
  <c r="AI328" i="15"/>
  <c r="AI326" i="15"/>
  <c r="AH326" i="15" s="1"/>
  <c r="AI324" i="15"/>
  <c r="AH324" i="15" s="1"/>
  <c r="AI322" i="15"/>
  <c r="AH322" i="15" s="1"/>
  <c r="AG322" i="15" s="1"/>
  <c r="AF322" i="15" s="1"/>
  <c r="AI320" i="15"/>
  <c r="AI318" i="15"/>
  <c r="AH318" i="15" s="1"/>
  <c r="AG318" i="15" s="1"/>
  <c r="AF318" i="15" s="1"/>
  <c r="AI316" i="15"/>
  <c r="AH316" i="15" s="1"/>
  <c r="AI314" i="15"/>
  <c r="AH314" i="15" s="1"/>
  <c r="AI312" i="15"/>
  <c r="AI310" i="15"/>
  <c r="AH310" i="15" s="1"/>
  <c r="AG310" i="15" s="1"/>
  <c r="AF310" i="15" s="1"/>
  <c r="AI308" i="15"/>
  <c r="AI306" i="15"/>
  <c r="AH306" i="15" s="1"/>
  <c r="AI304" i="15"/>
  <c r="AI302" i="15"/>
  <c r="AH302" i="15" s="1"/>
  <c r="AI300" i="15"/>
  <c r="AI298" i="15"/>
  <c r="AH298" i="15" s="1"/>
  <c r="AI296" i="15"/>
  <c r="AI294" i="15"/>
  <c r="AH294" i="15" s="1"/>
  <c r="AG294" i="15" s="1"/>
  <c r="AF294" i="15" s="1"/>
  <c r="AI292" i="15"/>
  <c r="AI290" i="15"/>
  <c r="AH290" i="15" s="1"/>
  <c r="AG290" i="15" s="1"/>
  <c r="AF290" i="15" s="1"/>
  <c r="AI288" i="15"/>
  <c r="AH288" i="15" s="1"/>
  <c r="AI286" i="15"/>
  <c r="AH286" i="15" s="1"/>
  <c r="AI284" i="15"/>
  <c r="AI282" i="15"/>
  <c r="AH282" i="15" s="1"/>
  <c r="AG282" i="15" s="1"/>
  <c r="AF282" i="15" s="1"/>
  <c r="AI280" i="15"/>
  <c r="AH280" i="15" s="1"/>
  <c r="AI278" i="15"/>
  <c r="AH278" i="15" s="1"/>
  <c r="AG278" i="15" s="1"/>
  <c r="AF278" i="15" s="1"/>
  <c r="AI276" i="15"/>
  <c r="AI274" i="15"/>
  <c r="AH274" i="15" s="1"/>
  <c r="AI272" i="15"/>
  <c r="AI270" i="15"/>
  <c r="AH270" i="15" s="1"/>
  <c r="AI268" i="15"/>
  <c r="AI266" i="15"/>
  <c r="AH266" i="15" s="1"/>
  <c r="AI264" i="15"/>
  <c r="AH264" i="15" s="1"/>
  <c r="AI262" i="15"/>
  <c r="AH262" i="15" s="1"/>
  <c r="AG262" i="15" s="1"/>
  <c r="AF262" i="15" s="1"/>
  <c r="AI260" i="15"/>
  <c r="AI258" i="15"/>
  <c r="AH258" i="15" s="1"/>
  <c r="AG258" i="15" s="1"/>
  <c r="AF258" i="15" s="1"/>
  <c r="AI256" i="15"/>
  <c r="AI254" i="15"/>
  <c r="AH254" i="15" s="1"/>
  <c r="AG254" i="15" s="1"/>
  <c r="AF254" i="15" s="1"/>
  <c r="AI252" i="15"/>
  <c r="AI250" i="15"/>
  <c r="AH250" i="15" s="1"/>
  <c r="AI248" i="15"/>
  <c r="AI246" i="15"/>
  <c r="AH246" i="15" s="1"/>
  <c r="AI244" i="15"/>
  <c r="AH244" i="15" s="1"/>
  <c r="AI242" i="15"/>
  <c r="AH242" i="15" s="1"/>
  <c r="AI240" i="15"/>
  <c r="AH240" i="15" s="1"/>
  <c r="AI237" i="15"/>
  <c r="AH237" i="15" s="1"/>
  <c r="AG237" i="15" s="1"/>
  <c r="AF237" i="15" s="1"/>
  <c r="AI233" i="15"/>
  <c r="AI229" i="15"/>
  <c r="AH229" i="15" s="1"/>
  <c r="AI225" i="15"/>
  <c r="AI221" i="15"/>
  <c r="AH221" i="15" s="1"/>
  <c r="AG221" i="15" s="1"/>
  <c r="AF221" i="15" s="1"/>
  <c r="AI217" i="15"/>
  <c r="AH217" i="15" s="1"/>
  <c r="AI213" i="15"/>
  <c r="AH213" i="15" s="1"/>
  <c r="AG213" i="15" s="1"/>
  <c r="AF213" i="15" s="1"/>
  <c r="AI209" i="15"/>
  <c r="AI205" i="15"/>
  <c r="AH205" i="15" s="1"/>
  <c r="AI201" i="15"/>
  <c r="AH201" i="15" s="1"/>
  <c r="AI197" i="15"/>
  <c r="AH197" i="15" s="1"/>
  <c r="AG197" i="15" s="1"/>
  <c r="AF197" i="15" s="1"/>
  <c r="AI193" i="15"/>
  <c r="AI189" i="15"/>
  <c r="AH189" i="15" s="1"/>
  <c r="AG189" i="15" s="1"/>
  <c r="AF189" i="15" s="1"/>
  <c r="AI185" i="15"/>
  <c r="AI181" i="15"/>
  <c r="AH181" i="15" s="1"/>
  <c r="AI177" i="15"/>
  <c r="AH177" i="15" s="1"/>
  <c r="AI173" i="15"/>
  <c r="AH173" i="15" s="1"/>
  <c r="AI169" i="15"/>
  <c r="AH169" i="15" s="1"/>
  <c r="AI165" i="15"/>
  <c r="AH165" i="15" s="1"/>
  <c r="AI161" i="15"/>
  <c r="AH161" i="15" s="1"/>
  <c r="AI157" i="15"/>
  <c r="AH157" i="15" s="1"/>
  <c r="AI153" i="15"/>
  <c r="AH153" i="15" s="1"/>
  <c r="AI149" i="15"/>
  <c r="AH149" i="15" s="1"/>
  <c r="AI145" i="15"/>
  <c r="AH145" i="15" s="1"/>
  <c r="AI141" i="15"/>
  <c r="AH141" i="15" s="1"/>
  <c r="AI137" i="15"/>
  <c r="AI133" i="15"/>
  <c r="AH133" i="15" s="1"/>
  <c r="AI129" i="15"/>
  <c r="AH129" i="15" s="1"/>
  <c r="AI125" i="15"/>
  <c r="AH125" i="15" s="1"/>
  <c r="AG125" i="15" s="1"/>
  <c r="AF125" i="15" s="1"/>
  <c r="AI121" i="15"/>
  <c r="AI117" i="15"/>
  <c r="AH117" i="15" s="1"/>
  <c r="AI113" i="15"/>
  <c r="AI109" i="15"/>
  <c r="AH109" i="15" s="1"/>
  <c r="AG109" i="15" s="1"/>
  <c r="AF109" i="15" s="1"/>
  <c r="AI105" i="15"/>
  <c r="AH105" i="15" s="1"/>
  <c r="AI101" i="15"/>
  <c r="AH101" i="15" s="1"/>
  <c r="AG101" i="15" s="1"/>
  <c r="AF101" i="15" s="1"/>
  <c r="AI97" i="15"/>
  <c r="AH97" i="15" s="1"/>
  <c r="AI93" i="15"/>
  <c r="AH93" i="15" s="1"/>
  <c r="AI89" i="15"/>
  <c r="AH89" i="15" s="1"/>
  <c r="AI85" i="15"/>
  <c r="AH85" i="15" s="1"/>
  <c r="AG85" i="15" s="1"/>
  <c r="AF85" i="15" s="1"/>
  <c r="AI81" i="15"/>
  <c r="AI77" i="15"/>
  <c r="AH77" i="15" s="1"/>
  <c r="AG77" i="15" s="1"/>
  <c r="AF77" i="15" s="1"/>
  <c r="AI73" i="15"/>
  <c r="AH73" i="15" s="1"/>
  <c r="AI69" i="15"/>
  <c r="AH69" i="15" s="1"/>
  <c r="AG69" i="15" s="1"/>
  <c r="AF69" i="15" s="1"/>
  <c r="AI65" i="15"/>
  <c r="AH65" i="15" s="1"/>
  <c r="AI61" i="15"/>
  <c r="AH61" i="15" s="1"/>
  <c r="AI57" i="15"/>
  <c r="AH57" i="15" s="1"/>
  <c r="AI53" i="15"/>
  <c r="AH53" i="15" s="1"/>
  <c r="AG53" i="15" s="1"/>
  <c r="AF53" i="15" s="1"/>
  <c r="AI49" i="15"/>
  <c r="AH49" i="15" s="1"/>
  <c r="AI45" i="15"/>
  <c r="AH45" i="15" s="1"/>
  <c r="AG45" i="15" s="1"/>
  <c r="AF45" i="15" s="1"/>
  <c r="AI41" i="15"/>
  <c r="AI37" i="15"/>
  <c r="AH37" i="15" s="1"/>
  <c r="AG37" i="15" s="1"/>
  <c r="AF37" i="15" s="1"/>
  <c r="AI33" i="15"/>
  <c r="AI29" i="15"/>
  <c r="AH29" i="15" s="1"/>
  <c r="AG29" i="15" s="1"/>
  <c r="AF29" i="15" s="1"/>
  <c r="AI21" i="15"/>
  <c r="AH21" i="15" s="1"/>
  <c r="AI27" i="15"/>
  <c r="AH27" i="15" s="1"/>
  <c r="AG27" i="15" s="1"/>
  <c r="AF27" i="15" s="1"/>
  <c r="AI24" i="15"/>
  <c r="AH24" i="15" s="1"/>
  <c r="U376" i="15"/>
  <c r="T376" i="15" s="1"/>
  <c r="S376" i="15" s="1"/>
  <c r="R376" i="15" s="1"/>
  <c r="U372" i="15"/>
  <c r="T372" i="15" s="1"/>
  <c r="S372" i="15" s="1"/>
  <c r="R372" i="15" s="1"/>
  <c r="U368" i="15"/>
  <c r="T368" i="15" s="1"/>
  <c r="S368" i="15" s="1"/>
  <c r="R368" i="15" s="1"/>
  <c r="U364" i="15"/>
  <c r="T364" i="15" s="1"/>
  <c r="S364" i="15" s="1"/>
  <c r="R364" i="15" s="1"/>
  <c r="U360" i="15"/>
  <c r="T360" i="15" s="1"/>
  <c r="S360" i="15" s="1"/>
  <c r="R360" i="15" s="1"/>
  <c r="U356" i="15"/>
  <c r="T356" i="15" s="1"/>
  <c r="S356" i="15" s="1"/>
  <c r="R356" i="15" s="1"/>
  <c r="U352" i="15"/>
  <c r="T352" i="15" s="1"/>
  <c r="S352" i="15" s="1"/>
  <c r="R352" i="15" s="1"/>
  <c r="U345" i="15"/>
  <c r="T345" i="15" s="1"/>
  <c r="U337" i="15"/>
  <c r="T337" i="15" s="1"/>
  <c r="S337" i="15" s="1"/>
  <c r="R337" i="15" s="1"/>
  <c r="U329" i="15"/>
  <c r="T329" i="15" s="1"/>
  <c r="S329" i="15" s="1"/>
  <c r="R329" i="15" s="1"/>
  <c r="U321" i="15"/>
  <c r="T321" i="15" s="1"/>
  <c r="S321" i="15" s="1"/>
  <c r="R321" i="15" s="1"/>
  <c r="U313" i="15"/>
  <c r="T313" i="15" s="1"/>
  <c r="S313" i="15" s="1"/>
  <c r="R313" i="15" s="1"/>
  <c r="U305" i="15"/>
  <c r="T305" i="15" s="1"/>
  <c r="S305" i="15" s="1"/>
  <c r="R305" i="15" s="1"/>
  <c r="U297" i="15"/>
  <c r="T297" i="15" s="1"/>
  <c r="U289" i="15"/>
  <c r="T289" i="15" s="1"/>
  <c r="S289" i="15" s="1"/>
  <c r="R289" i="15" s="1"/>
  <c r="U281" i="15"/>
  <c r="T281" i="15" s="1"/>
  <c r="S281" i="15" s="1"/>
  <c r="R281" i="15" s="1"/>
  <c r="U273" i="15"/>
  <c r="T273" i="15" s="1"/>
  <c r="S273" i="15" s="1"/>
  <c r="R273" i="15" s="1"/>
  <c r="U265" i="15"/>
  <c r="T265" i="15" s="1"/>
  <c r="S265" i="15" s="1"/>
  <c r="R265" i="15" s="1"/>
  <c r="U257" i="15"/>
  <c r="T257" i="15" s="1"/>
  <c r="S257" i="15" s="1"/>
  <c r="R257" i="15" s="1"/>
  <c r="U249" i="15"/>
  <c r="T249" i="15" s="1"/>
  <c r="S249" i="15" s="1"/>
  <c r="R249" i="15" s="1"/>
  <c r="U241" i="15"/>
  <c r="T241" i="15" s="1"/>
  <c r="S241" i="15" s="1"/>
  <c r="R241" i="15" s="1"/>
  <c r="U233" i="15"/>
  <c r="T233" i="15" s="1"/>
  <c r="U225" i="15"/>
  <c r="T225" i="15" s="1"/>
  <c r="S225" i="15" s="1"/>
  <c r="R225" i="15" s="1"/>
  <c r="U217" i="15"/>
  <c r="T217" i="15" s="1"/>
  <c r="S217" i="15" s="1"/>
  <c r="R217" i="15" s="1"/>
  <c r="U209" i="15"/>
  <c r="T209" i="15" s="1"/>
  <c r="S209" i="15" s="1"/>
  <c r="R209" i="15" s="1"/>
  <c r="U198" i="15"/>
  <c r="T198" i="15" s="1"/>
  <c r="S198" i="15" s="1"/>
  <c r="R198" i="15" s="1"/>
  <c r="U180" i="15"/>
  <c r="T180" i="15" s="1"/>
  <c r="S180" i="15" s="1"/>
  <c r="R180" i="15" s="1"/>
  <c r="U94" i="15"/>
  <c r="T94" i="15" s="1"/>
  <c r="S94" i="15" s="1"/>
  <c r="R94" i="15" s="1"/>
  <c r="U22" i="15"/>
  <c r="T22" i="15" s="1"/>
  <c r="S22" i="15" s="1"/>
  <c r="R22" i="15" s="1"/>
  <c r="Q338" i="15"/>
  <c r="Q274" i="15"/>
  <c r="P274" i="15" s="1"/>
  <c r="V274" i="15" s="1"/>
  <c r="F274" i="15" s="1"/>
  <c r="Q364" i="15"/>
  <c r="Q306" i="15"/>
  <c r="P306" i="15" s="1"/>
  <c r="V306" i="15" s="1"/>
  <c r="F306" i="15" s="1"/>
  <c r="Q242" i="15"/>
  <c r="Q372" i="15"/>
  <c r="P372" i="15" s="1"/>
  <c r="V372" i="15" s="1"/>
  <c r="F372" i="15" s="1"/>
  <c r="Q354" i="15"/>
  <c r="Q322" i="15"/>
  <c r="P322" i="15" s="1"/>
  <c r="V322" i="15" s="1"/>
  <c r="F322" i="15" s="1"/>
  <c r="Q290" i="15"/>
  <c r="Q258" i="15"/>
  <c r="P258" i="15" s="1"/>
  <c r="V258" i="15" s="1"/>
  <c r="F258" i="15" s="1"/>
  <c r="Q215" i="15"/>
  <c r="U203" i="15"/>
  <c r="T203" i="15" s="1"/>
  <c r="S203" i="15" s="1"/>
  <c r="R203" i="15" s="1"/>
  <c r="U201" i="15"/>
  <c r="T201" i="15" s="1"/>
  <c r="S201" i="15" s="1"/>
  <c r="R201" i="15" s="1"/>
  <c r="U199" i="15"/>
  <c r="T199" i="15" s="1"/>
  <c r="S199" i="15" s="1"/>
  <c r="R199" i="15" s="1"/>
  <c r="U197" i="15"/>
  <c r="T197" i="15" s="1"/>
  <c r="U195" i="15"/>
  <c r="T195" i="15" s="1"/>
  <c r="S195" i="15" s="1"/>
  <c r="R195" i="15" s="1"/>
  <c r="U193" i="15"/>
  <c r="T193" i="15" s="1"/>
  <c r="U191" i="15"/>
  <c r="T191" i="15" s="1"/>
  <c r="S191" i="15" s="1"/>
  <c r="R191" i="15" s="1"/>
  <c r="U189" i="15"/>
  <c r="T189" i="15" s="1"/>
  <c r="S189" i="15" s="1"/>
  <c r="R189" i="15" s="1"/>
  <c r="U187" i="15"/>
  <c r="T187" i="15" s="1"/>
  <c r="S187" i="15" s="1"/>
  <c r="R187" i="15" s="1"/>
  <c r="U185" i="15"/>
  <c r="T185" i="15" s="1"/>
  <c r="S185" i="15" s="1"/>
  <c r="R185" i="15" s="1"/>
  <c r="U182" i="15"/>
  <c r="T182" i="15" s="1"/>
  <c r="S182" i="15" s="1"/>
  <c r="R182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4" i="15"/>
  <c r="T134" i="15" s="1"/>
  <c r="S134" i="15" s="1"/>
  <c r="R134" i="15" s="1"/>
  <c r="U118" i="15"/>
  <c r="T118" i="15" s="1"/>
  <c r="S118" i="15" s="1"/>
  <c r="R118" i="15" s="1"/>
  <c r="U102" i="15"/>
  <c r="T102" i="15" s="1"/>
  <c r="S102" i="15" s="1"/>
  <c r="R102" i="15" s="1"/>
  <c r="U86" i="15"/>
  <c r="T86" i="15" s="1"/>
  <c r="S86" i="15" s="1"/>
  <c r="R86" i="15" s="1"/>
  <c r="U70" i="15"/>
  <c r="T70" i="15" s="1"/>
  <c r="S70" i="15" s="1"/>
  <c r="R70" i="15" s="1"/>
  <c r="U54" i="15"/>
  <c r="T54" i="15" s="1"/>
  <c r="S54" i="15" s="1"/>
  <c r="R54" i="15" s="1"/>
  <c r="U38" i="15"/>
  <c r="T38" i="15" s="1"/>
  <c r="S38" i="15" s="1"/>
  <c r="R38" i="15" s="1"/>
  <c r="U15" i="15"/>
  <c r="Q376" i="15"/>
  <c r="P376" i="15" s="1"/>
  <c r="V376" i="15" s="1"/>
  <c r="F376" i="15" s="1"/>
  <c r="Q368" i="15"/>
  <c r="Q360" i="15"/>
  <c r="P360" i="15" s="1"/>
  <c r="V360" i="15" s="1"/>
  <c r="F360" i="15" s="1"/>
  <c r="Q346" i="15"/>
  <c r="Q330" i="15"/>
  <c r="P330" i="15" s="1"/>
  <c r="V330" i="15" s="1"/>
  <c r="F330" i="15" s="1"/>
  <c r="Q314" i="15"/>
  <c r="Q298" i="15"/>
  <c r="Q282" i="15"/>
  <c r="Q266" i="15"/>
  <c r="P266" i="15" s="1"/>
  <c r="V266" i="15" s="1"/>
  <c r="F266" i="15" s="1"/>
  <c r="Q250" i="15"/>
  <c r="Q234" i="15"/>
  <c r="P234" i="15" s="1"/>
  <c r="V234" i="15" s="1"/>
  <c r="F234" i="15" s="1"/>
  <c r="Q183" i="15"/>
  <c r="U176" i="15"/>
  <c r="T176" i="15" s="1"/>
  <c r="S176" i="15" s="1"/>
  <c r="R176" i="15" s="1"/>
  <c r="U172" i="15"/>
  <c r="T172" i="15" s="1"/>
  <c r="U168" i="15"/>
  <c r="T168" i="15" s="1"/>
  <c r="S168" i="15" s="1"/>
  <c r="R168" i="15" s="1"/>
  <c r="U164" i="15"/>
  <c r="T164" i="15" s="1"/>
  <c r="S164" i="15" s="1"/>
  <c r="R164" i="15" s="1"/>
  <c r="U160" i="15"/>
  <c r="T160" i="15" s="1"/>
  <c r="S160" i="15" s="1"/>
  <c r="R160" i="15" s="1"/>
  <c r="U156" i="15"/>
  <c r="T156" i="15" s="1"/>
  <c r="S156" i="15" s="1"/>
  <c r="R156" i="15" s="1"/>
  <c r="U152" i="15"/>
  <c r="T152" i="15" s="1"/>
  <c r="S152" i="15" s="1"/>
  <c r="R152" i="15" s="1"/>
  <c r="U148" i="15"/>
  <c r="T148" i="15" s="1"/>
  <c r="S148" i="15" s="1"/>
  <c r="R148" i="15" s="1"/>
  <c r="U144" i="15"/>
  <c r="T144" i="15" s="1"/>
  <c r="S144" i="15" s="1"/>
  <c r="R144" i="15" s="1"/>
  <c r="U138" i="15"/>
  <c r="T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Q378" i="15"/>
  <c r="P378" i="15" s="1"/>
  <c r="V378" i="15" s="1"/>
  <c r="Q374" i="15"/>
  <c r="Q370" i="15"/>
  <c r="Q366" i="15"/>
  <c r="P366" i="15" s="1"/>
  <c r="V366" i="15" s="1"/>
  <c r="F366" i="15" s="1"/>
  <c r="Q362" i="15"/>
  <c r="Q358" i="15"/>
  <c r="Q350" i="15"/>
  <c r="P350" i="15" s="1"/>
  <c r="V350" i="15" s="1"/>
  <c r="F350" i="15" s="1"/>
  <c r="Q342" i="15"/>
  <c r="P342" i="15" s="1"/>
  <c r="V342" i="15" s="1"/>
  <c r="F342" i="15" s="1"/>
  <c r="Q334" i="15"/>
  <c r="P334" i="15" s="1"/>
  <c r="V334" i="15" s="1"/>
  <c r="F334" i="15" s="1"/>
  <c r="Q326" i="15"/>
  <c r="Q318" i="15"/>
  <c r="Q310" i="15"/>
  <c r="P310" i="15" s="1"/>
  <c r="V310" i="15" s="1"/>
  <c r="F310" i="15" s="1"/>
  <c r="Q302" i="15"/>
  <c r="P302" i="15" s="1"/>
  <c r="Q294" i="15"/>
  <c r="Q286" i="15"/>
  <c r="P286" i="15" s="1"/>
  <c r="V286" i="15" s="1"/>
  <c r="F286" i="15" s="1"/>
  <c r="Q278" i="15"/>
  <c r="P278" i="15" s="1"/>
  <c r="V278" i="15" s="1"/>
  <c r="F278" i="15" s="1"/>
  <c r="Q270" i="15"/>
  <c r="P270" i="15" s="1"/>
  <c r="V270" i="15" s="1"/>
  <c r="F270" i="15" s="1"/>
  <c r="Q262" i="15"/>
  <c r="P262" i="15" s="1"/>
  <c r="V262" i="15" s="1"/>
  <c r="F262" i="15" s="1"/>
  <c r="Q254" i="15"/>
  <c r="Q246" i="15"/>
  <c r="P246" i="15" s="1"/>
  <c r="V246" i="15" s="1"/>
  <c r="F246" i="15" s="1"/>
  <c r="Q238" i="15"/>
  <c r="P238" i="15" s="1"/>
  <c r="V238" i="15" s="1"/>
  <c r="F238" i="15" s="1"/>
  <c r="Q230" i="15"/>
  <c r="P230" i="15" s="1"/>
  <c r="V230" i="15" s="1"/>
  <c r="F230" i="15" s="1"/>
  <c r="Q199" i="15"/>
  <c r="Q152" i="15"/>
  <c r="P199" i="15"/>
  <c r="V199" i="15" s="1"/>
  <c r="F199" i="15" s="1"/>
  <c r="Q223" i="15"/>
  <c r="Q207" i="15"/>
  <c r="Q191" i="15"/>
  <c r="Q168" i="15"/>
  <c r="O382" i="15"/>
  <c r="C36" i="19"/>
  <c r="D379" i="15"/>
  <c r="B36" i="19"/>
  <c r="D379" i="16"/>
  <c r="B37" i="19"/>
  <c r="P364" i="15"/>
  <c r="V364" i="15" s="1"/>
  <c r="F364" i="15" s="1"/>
  <c r="P354" i="15"/>
  <c r="V354" i="15" s="1"/>
  <c r="F354" i="15" s="1"/>
  <c r="P346" i="15"/>
  <c r="V346" i="15" s="1"/>
  <c r="F346" i="15" s="1"/>
  <c r="P338" i="15"/>
  <c r="V338" i="15" s="1"/>
  <c r="F338" i="15" s="1"/>
  <c r="P314" i="15"/>
  <c r="V314" i="15" s="1"/>
  <c r="F314" i="15" s="1"/>
  <c r="P290" i="15"/>
  <c r="V290" i="15" s="1"/>
  <c r="F290" i="15" s="1"/>
  <c r="P282" i="15"/>
  <c r="V282" i="15" s="1"/>
  <c r="F282" i="15" s="1"/>
  <c r="P250" i="15"/>
  <c r="V250" i="15" s="1"/>
  <c r="F250" i="15" s="1"/>
  <c r="P242" i="15"/>
  <c r="V242" i="15" s="1"/>
  <c r="F242" i="15" s="1"/>
  <c r="Q114" i="15"/>
  <c r="Q144" i="15"/>
  <c r="Q160" i="15"/>
  <c r="Q176" i="15"/>
  <c r="Q187" i="15"/>
  <c r="Q195" i="15"/>
  <c r="Q203" i="15"/>
  <c r="Q211" i="15"/>
  <c r="Q219" i="15"/>
  <c r="P219" i="15" s="1"/>
  <c r="V219" i="15" s="1"/>
  <c r="F219" i="15" s="1"/>
  <c r="Q227" i="15"/>
  <c r="Q232" i="15"/>
  <c r="P232" i="15" s="1"/>
  <c r="V232" i="15" s="1"/>
  <c r="F232" i="15" s="1"/>
  <c r="Q236" i="15"/>
  <c r="Q240" i="15"/>
  <c r="P240" i="15" s="1"/>
  <c r="V240" i="15" s="1"/>
  <c r="F240" i="15" s="1"/>
  <c r="Q244" i="15"/>
  <c r="Q248" i="15"/>
  <c r="Q252" i="15"/>
  <c r="Q256" i="15"/>
  <c r="P256" i="15" s="1"/>
  <c r="V256" i="15" s="1"/>
  <c r="F256" i="15" s="1"/>
  <c r="Q260" i="15"/>
  <c r="Q264" i="15"/>
  <c r="Q268" i="15"/>
  <c r="Q272" i="15"/>
  <c r="Q276" i="15"/>
  <c r="Q280" i="15"/>
  <c r="P280" i="15" s="1"/>
  <c r="V280" i="15" s="1"/>
  <c r="F280" i="15" s="1"/>
  <c r="Q284" i="15"/>
  <c r="Q288" i="15"/>
  <c r="P288" i="15" s="1"/>
  <c r="V288" i="15" s="1"/>
  <c r="Q292" i="15"/>
  <c r="Q296" i="15"/>
  <c r="Q300" i="15"/>
  <c r="Q304" i="15"/>
  <c r="P304" i="15" s="1"/>
  <c r="V304" i="15" s="1"/>
  <c r="F304" i="15" s="1"/>
  <c r="Q308" i="15"/>
  <c r="Q312" i="15"/>
  <c r="P312" i="15" s="1"/>
  <c r="V312" i="15" s="1"/>
  <c r="F312" i="15" s="1"/>
  <c r="Q316" i="15"/>
  <c r="Q320" i="15"/>
  <c r="P320" i="15" s="1"/>
  <c r="V320" i="15" s="1"/>
  <c r="F320" i="15" s="1"/>
  <c r="Q324" i="15"/>
  <c r="Q328" i="15"/>
  <c r="P328" i="15" s="1"/>
  <c r="V328" i="15" s="1"/>
  <c r="F328" i="15" s="1"/>
  <c r="Q332" i="15"/>
  <c r="Q336" i="15"/>
  <c r="P336" i="15" s="1"/>
  <c r="V336" i="15" s="1"/>
  <c r="F336" i="15" s="1"/>
  <c r="Q340" i="15"/>
  <c r="Q344" i="15"/>
  <c r="P344" i="15" s="1"/>
  <c r="V344" i="15" s="1"/>
  <c r="F344" i="15" s="1"/>
  <c r="Q348" i="15"/>
  <c r="Q352" i="15"/>
  <c r="P352" i="15" s="1"/>
  <c r="V352" i="15" s="1"/>
  <c r="F352" i="15" s="1"/>
  <c r="Q356" i="15"/>
  <c r="P356" i="15" s="1"/>
  <c r="V356" i="15" s="1"/>
  <c r="F356" i="15" s="1"/>
  <c r="Q359" i="15"/>
  <c r="P359" i="15" s="1"/>
  <c r="V359" i="15" s="1"/>
  <c r="F359" i="15" s="1"/>
  <c r="Q361" i="15"/>
  <c r="P361" i="15" s="1"/>
  <c r="V361" i="15" s="1"/>
  <c r="F361" i="15" s="1"/>
  <c r="Q363" i="15"/>
  <c r="P363" i="15" s="1"/>
  <c r="Q365" i="15"/>
  <c r="Q367" i="15"/>
  <c r="P367" i="15" s="1"/>
  <c r="V367" i="15" s="1"/>
  <c r="F367" i="15" s="1"/>
  <c r="Q369" i="15"/>
  <c r="P369" i="15" s="1"/>
  <c r="V369" i="15" s="1"/>
  <c r="F369" i="15" s="1"/>
  <c r="Q371" i="15"/>
  <c r="P371" i="15" s="1"/>
  <c r="V371" i="15" s="1"/>
  <c r="F371" i="15" s="1"/>
  <c r="Q373" i="15"/>
  <c r="P373" i="15" s="1"/>
  <c r="V373" i="15" s="1"/>
  <c r="F373" i="15" s="1"/>
  <c r="Q375" i="15"/>
  <c r="P375" i="15" s="1"/>
  <c r="V375" i="15" s="1"/>
  <c r="F375" i="15" s="1"/>
  <c r="Q377" i="15"/>
  <c r="P377" i="15" s="1"/>
  <c r="V377" i="15" s="1"/>
  <c r="F377" i="15" s="1"/>
  <c r="Q379" i="15"/>
  <c r="Q12" i="16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S19" i="15" s="1"/>
  <c r="R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S56" i="15" s="1"/>
  <c r="R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L382" i="15"/>
  <c r="L381" i="15"/>
  <c r="P211" i="15"/>
  <c r="V211" i="15" s="1"/>
  <c r="F211" i="15" s="1"/>
  <c r="P187" i="15"/>
  <c r="V187" i="15" s="1"/>
  <c r="F187" i="15" s="1"/>
  <c r="Q19" i="15"/>
  <c r="Q106" i="15"/>
  <c r="P106" i="15" s="1"/>
  <c r="V106" i="15" s="1"/>
  <c r="F106" i="15" s="1"/>
  <c r="Q122" i="15"/>
  <c r="P122" i="15" s="1"/>
  <c r="V122" i="15" s="1"/>
  <c r="F122" i="15" s="1"/>
  <c r="Q138" i="15"/>
  <c r="Q148" i="15"/>
  <c r="Q156" i="15"/>
  <c r="P156" i="15" s="1"/>
  <c r="V156" i="15" s="1"/>
  <c r="F156" i="15" s="1"/>
  <c r="Q164" i="15"/>
  <c r="Q172" i="15"/>
  <c r="Q180" i="15"/>
  <c r="Q185" i="15"/>
  <c r="P185" i="15" s="1"/>
  <c r="V185" i="15" s="1"/>
  <c r="F185" i="15" s="1"/>
  <c r="Q189" i="15"/>
  <c r="P189" i="15" s="1"/>
  <c r="V189" i="15" s="1"/>
  <c r="F189" i="15" s="1"/>
  <c r="Q193" i="15"/>
  <c r="Q197" i="15"/>
  <c r="Q201" i="15"/>
  <c r="P201" i="15" s="1"/>
  <c r="V201" i="15" s="1"/>
  <c r="F201" i="15" s="1"/>
  <c r="Q205" i="15"/>
  <c r="Q209" i="15"/>
  <c r="P209" i="15" s="1"/>
  <c r="V209" i="15" s="1"/>
  <c r="F209" i="15" s="1"/>
  <c r="Q213" i="15"/>
  <c r="P213" i="15" s="1"/>
  <c r="V213" i="15" s="1"/>
  <c r="F213" i="15" s="1"/>
  <c r="Q217" i="15"/>
  <c r="P217" i="15" s="1"/>
  <c r="V217" i="15" s="1"/>
  <c r="F217" i="15" s="1"/>
  <c r="Q221" i="15"/>
  <c r="P221" i="15" s="1"/>
  <c r="V221" i="15" s="1"/>
  <c r="F221" i="15" s="1"/>
  <c r="Q225" i="15"/>
  <c r="P225" i="15" s="1"/>
  <c r="V225" i="15" s="1"/>
  <c r="F225" i="15" s="1"/>
  <c r="Q229" i="15"/>
  <c r="P229" i="15" s="1"/>
  <c r="V229" i="15" s="1"/>
  <c r="F229" i="15" s="1"/>
  <c r="Q231" i="15"/>
  <c r="Q233" i="15"/>
  <c r="Q235" i="15"/>
  <c r="P235" i="15" s="1"/>
  <c r="V235" i="15" s="1"/>
  <c r="F235" i="15" s="1"/>
  <c r="Q237" i="15"/>
  <c r="Q239" i="15"/>
  <c r="P239" i="15" s="1"/>
  <c r="V239" i="15" s="1"/>
  <c r="F239" i="15" s="1"/>
  <c r="Q241" i="15"/>
  <c r="Q243" i="15"/>
  <c r="P243" i="15" s="1"/>
  <c r="V243" i="15" s="1"/>
  <c r="F243" i="15" s="1"/>
  <c r="Q245" i="15"/>
  <c r="P245" i="15" s="1"/>
  <c r="V245" i="15" s="1"/>
  <c r="F245" i="15" s="1"/>
  <c r="Q247" i="15"/>
  <c r="P247" i="15" s="1"/>
  <c r="V247" i="15" s="1"/>
  <c r="F247" i="15" s="1"/>
  <c r="Q249" i="15"/>
  <c r="P249" i="15" s="1"/>
  <c r="V249" i="15" s="1"/>
  <c r="F249" i="15" s="1"/>
  <c r="Q251" i="15"/>
  <c r="P251" i="15" s="1"/>
  <c r="V251" i="15" s="1"/>
  <c r="F251" i="15" s="1"/>
  <c r="Q253" i="15"/>
  <c r="P253" i="15" s="1"/>
  <c r="V253" i="15" s="1"/>
  <c r="F253" i="15" s="1"/>
  <c r="Q255" i="15"/>
  <c r="P255" i="15" s="1"/>
  <c r="V255" i="15" s="1"/>
  <c r="F255" i="15" s="1"/>
  <c r="Q257" i="15"/>
  <c r="Q259" i="15"/>
  <c r="P259" i="15" s="1"/>
  <c r="V259" i="15" s="1"/>
  <c r="F259" i="15" s="1"/>
  <c r="Q261" i="15"/>
  <c r="P261" i="15" s="1"/>
  <c r="V261" i="15" s="1"/>
  <c r="F261" i="15" s="1"/>
  <c r="Q263" i="15"/>
  <c r="P263" i="15" s="1"/>
  <c r="V263" i="15" s="1"/>
  <c r="F263" i="15" s="1"/>
  <c r="Q265" i="15"/>
  <c r="P265" i="15" s="1"/>
  <c r="V265" i="15" s="1"/>
  <c r="F265" i="15" s="1"/>
  <c r="Q267" i="15"/>
  <c r="P267" i="15" s="1"/>
  <c r="V267" i="15" s="1"/>
  <c r="F267" i="15" s="1"/>
  <c r="Q269" i="15"/>
  <c r="Q271" i="15"/>
  <c r="Q273" i="15"/>
  <c r="Q275" i="15"/>
  <c r="P275" i="15" s="1"/>
  <c r="V275" i="15" s="1"/>
  <c r="F275" i="15" s="1"/>
  <c r="Q277" i="15"/>
  <c r="Q279" i="15"/>
  <c r="P279" i="15" s="1"/>
  <c r="V279" i="15" s="1"/>
  <c r="F279" i="15" s="1"/>
  <c r="Q281" i="15"/>
  <c r="P281" i="15" s="1"/>
  <c r="V281" i="15" s="1"/>
  <c r="F281" i="15" s="1"/>
  <c r="Q283" i="15"/>
  <c r="P283" i="15" s="1"/>
  <c r="V283" i="15" s="1"/>
  <c r="F283" i="15" s="1"/>
  <c r="Q285" i="15"/>
  <c r="P285" i="15" s="1"/>
  <c r="V285" i="15" s="1"/>
  <c r="F285" i="15" s="1"/>
  <c r="Q287" i="15"/>
  <c r="P287" i="15" s="1"/>
  <c r="V287" i="15" s="1"/>
  <c r="F287" i="15" s="1"/>
  <c r="Q289" i="15"/>
  <c r="Q291" i="15"/>
  <c r="P291" i="15" s="1"/>
  <c r="V291" i="15" s="1"/>
  <c r="F291" i="15" s="1"/>
  <c r="Q293" i="15"/>
  <c r="P293" i="15" s="1"/>
  <c r="V293" i="15" s="1"/>
  <c r="F293" i="15" s="1"/>
  <c r="Q295" i="15"/>
  <c r="P295" i="15" s="1"/>
  <c r="V295" i="15" s="1"/>
  <c r="F295" i="15" s="1"/>
  <c r="Q297" i="15"/>
  <c r="Q299" i="15"/>
  <c r="P299" i="15" s="1"/>
  <c r="V299" i="15" s="1"/>
  <c r="F299" i="15" s="1"/>
  <c r="Q301" i="15"/>
  <c r="Q303" i="15"/>
  <c r="P303" i="15" s="1"/>
  <c r="V303" i="15" s="1"/>
  <c r="F303" i="15" s="1"/>
  <c r="Q305" i="15"/>
  <c r="Q307" i="15"/>
  <c r="P307" i="15" s="1"/>
  <c r="V307" i="15" s="1"/>
  <c r="F307" i="15" s="1"/>
  <c r="Q309" i="15"/>
  <c r="P309" i="15" s="1"/>
  <c r="V309" i="15" s="1"/>
  <c r="F309" i="15" s="1"/>
  <c r="Q311" i="15"/>
  <c r="P311" i="15" s="1"/>
  <c r="V311" i="15" s="1"/>
  <c r="F311" i="15" s="1"/>
  <c r="Q313" i="15"/>
  <c r="P313" i="15" s="1"/>
  <c r="V313" i="15" s="1"/>
  <c r="F313" i="15" s="1"/>
  <c r="Q315" i="15"/>
  <c r="P315" i="15" s="1"/>
  <c r="V315" i="15" s="1"/>
  <c r="F315" i="15" s="1"/>
  <c r="Q317" i="15"/>
  <c r="P317" i="15" s="1"/>
  <c r="V317" i="15" s="1"/>
  <c r="F317" i="15" s="1"/>
  <c r="Q319" i="15"/>
  <c r="P319" i="15" s="1"/>
  <c r="V319" i="15" s="1"/>
  <c r="F319" i="15" s="1"/>
  <c r="Q321" i="15"/>
  <c r="Q323" i="15"/>
  <c r="P323" i="15" s="1"/>
  <c r="V323" i="15" s="1"/>
  <c r="F323" i="15" s="1"/>
  <c r="Q325" i="15"/>
  <c r="P325" i="15" s="1"/>
  <c r="V325" i="15" s="1"/>
  <c r="F325" i="15" s="1"/>
  <c r="Q327" i="15"/>
  <c r="P327" i="15" s="1"/>
  <c r="V327" i="15" s="1"/>
  <c r="F327" i="15" s="1"/>
  <c r="Q329" i="15"/>
  <c r="P329" i="15" s="1"/>
  <c r="V329" i="15" s="1"/>
  <c r="F329" i="15" s="1"/>
  <c r="Q331" i="15"/>
  <c r="P331" i="15" s="1"/>
  <c r="V331" i="15" s="1"/>
  <c r="F331" i="15" s="1"/>
  <c r="Q333" i="15"/>
  <c r="Q335" i="15"/>
  <c r="P335" i="15" s="1"/>
  <c r="V335" i="15" s="1"/>
  <c r="F335" i="15" s="1"/>
  <c r="Q337" i="15"/>
  <c r="Q339" i="15"/>
  <c r="P339" i="15" s="1"/>
  <c r="V339" i="15" s="1"/>
  <c r="F339" i="15" s="1"/>
  <c r="Q341" i="15"/>
  <c r="P341" i="15" s="1"/>
  <c r="V341" i="15" s="1"/>
  <c r="F341" i="15" s="1"/>
  <c r="Q343" i="15"/>
  <c r="P343" i="15" s="1"/>
  <c r="V343" i="15" s="1"/>
  <c r="F343" i="15" s="1"/>
  <c r="Q345" i="15"/>
  <c r="Q347" i="15"/>
  <c r="P347" i="15" s="1"/>
  <c r="V347" i="15" s="1"/>
  <c r="F347" i="15" s="1"/>
  <c r="Q349" i="15"/>
  <c r="P349" i="15" s="1"/>
  <c r="V349" i="15" s="1"/>
  <c r="F349" i="15" s="1"/>
  <c r="Q351" i="15"/>
  <c r="P351" i="15" s="1"/>
  <c r="V351" i="15" s="1"/>
  <c r="F351" i="15" s="1"/>
  <c r="Q353" i="15"/>
  <c r="P353" i="15" s="1"/>
  <c r="V353" i="15" s="1"/>
  <c r="F353" i="15" s="1"/>
  <c r="Q355" i="15"/>
  <c r="P355" i="15" s="1"/>
  <c r="V355" i="15" s="1"/>
  <c r="F355" i="15" s="1"/>
  <c r="Q357" i="15"/>
  <c r="P357" i="15" s="1"/>
  <c r="V357" i="15" s="1"/>
  <c r="F357" i="15" s="1"/>
  <c r="P164" i="15"/>
  <c r="V164" i="15" s="1"/>
  <c r="F164" i="15" s="1"/>
  <c r="P148" i="15"/>
  <c r="V148" i="15" s="1"/>
  <c r="F148" i="15" s="1"/>
  <c r="AM7" i="15"/>
  <c r="AM11" i="15" s="1"/>
  <c r="AM9" i="15"/>
  <c r="Q90" i="15"/>
  <c r="P90" i="15" s="1"/>
  <c r="V90" i="15" s="1"/>
  <c r="F90" i="15" s="1"/>
  <c r="AK5" i="15"/>
  <c r="O381" i="15"/>
  <c r="AC382" i="15"/>
  <c r="O383" i="15"/>
  <c r="L36" i="19" s="1"/>
  <c r="Q228" i="15"/>
  <c r="Q226" i="15"/>
  <c r="P226" i="15" s="1"/>
  <c r="V226" i="15" s="1"/>
  <c r="F226" i="15" s="1"/>
  <c r="Q224" i="15"/>
  <c r="Q222" i="15"/>
  <c r="P222" i="15" s="1"/>
  <c r="V222" i="15" s="1"/>
  <c r="F222" i="15" s="1"/>
  <c r="Q220" i="15"/>
  <c r="Q218" i="15"/>
  <c r="P218" i="15" s="1"/>
  <c r="V218" i="15" s="1"/>
  <c r="F218" i="15" s="1"/>
  <c r="Q216" i="15"/>
  <c r="Q214" i="15"/>
  <c r="Q212" i="15"/>
  <c r="Q210" i="15"/>
  <c r="P210" i="15" s="1"/>
  <c r="D38" i="7" s="1"/>
  <c r="Q208" i="15"/>
  <c r="Q206" i="15"/>
  <c r="P206" i="15" s="1"/>
  <c r="V206" i="15" s="1"/>
  <c r="F206" i="15" s="1"/>
  <c r="Q204" i="15"/>
  <c r="Q202" i="15"/>
  <c r="P202" i="15" s="1"/>
  <c r="V202" i="15" s="1"/>
  <c r="F202" i="15" s="1"/>
  <c r="Q200" i="15"/>
  <c r="P200" i="15" s="1"/>
  <c r="V200" i="15" s="1"/>
  <c r="F200" i="15" s="1"/>
  <c r="Q198" i="15"/>
  <c r="P198" i="15" s="1"/>
  <c r="V198" i="15" s="1"/>
  <c r="F198" i="15" s="1"/>
  <c r="Q196" i="15"/>
  <c r="Q194" i="15"/>
  <c r="P194" i="15" s="1"/>
  <c r="V194" i="15" s="1"/>
  <c r="F194" i="15" s="1"/>
  <c r="Q192" i="15"/>
  <c r="P192" i="15" s="1"/>
  <c r="V192" i="15" s="1"/>
  <c r="F192" i="15" s="1"/>
  <c r="Q190" i="15"/>
  <c r="P190" i="15" s="1"/>
  <c r="V190" i="15" s="1"/>
  <c r="F190" i="15" s="1"/>
  <c r="Q188" i="15"/>
  <c r="Q186" i="15"/>
  <c r="P186" i="15" s="1"/>
  <c r="V186" i="15" s="1"/>
  <c r="F186" i="15" s="1"/>
  <c r="Q184" i="15"/>
  <c r="P184" i="15" s="1"/>
  <c r="V184" i="15" s="1"/>
  <c r="F184" i="15" s="1"/>
  <c r="Q182" i="15"/>
  <c r="P182" i="15" s="1"/>
  <c r="V182" i="15" s="1"/>
  <c r="F182" i="15" s="1"/>
  <c r="Q178" i="15"/>
  <c r="P178" i="15" s="1"/>
  <c r="V178" i="15" s="1"/>
  <c r="F178" i="15" s="1"/>
  <c r="Q174" i="15"/>
  <c r="P174" i="15" s="1"/>
  <c r="V174" i="15" s="1"/>
  <c r="F174" i="15" s="1"/>
  <c r="Q170" i="15"/>
  <c r="Q166" i="15"/>
  <c r="P166" i="15" s="1"/>
  <c r="V166" i="15" s="1"/>
  <c r="F166" i="15" s="1"/>
  <c r="Q162" i="15"/>
  <c r="P162" i="15" s="1"/>
  <c r="V162" i="15" s="1"/>
  <c r="F162" i="15" s="1"/>
  <c r="Q158" i="15"/>
  <c r="P158" i="15" s="1"/>
  <c r="V158" i="15" s="1"/>
  <c r="F158" i="15" s="1"/>
  <c r="Q154" i="15"/>
  <c r="Q150" i="15"/>
  <c r="Q146" i="15"/>
  <c r="P146" i="15" s="1"/>
  <c r="V146" i="15" s="1"/>
  <c r="F146" i="15" s="1"/>
  <c r="Q142" i="15"/>
  <c r="P142" i="15" s="1"/>
  <c r="V142" i="15" s="1"/>
  <c r="F142" i="15" s="1"/>
  <c r="Q134" i="15"/>
  <c r="Q126" i="15"/>
  <c r="P126" i="15" s="1"/>
  <c r="V126" i="15" s="1"/>
  <c r="F126" i="15" s="1"/>
  <c r="Q118" i="15"/>
  <c r="P118" i="15" s="1"/>
  <c r="V118" i="15" s="1"/>
  <c r="F118" i="15" s="1"/>
  <c r="Q110" i="15"/>
  <c r="P110" i="15" s="1"/>
  <c r="V110" i="15" s="1"/>
  <c r="F110" i="15" s="1"/>
  <c r="Q98" i="15"/>
  <c r="Q75" i="15"/>
  <c r="AK6" i="15"/>
  <c r="AK7" i="15"/>
  <c r="AK11" i="15" s="1"/>
  <c r="AM5" i="15"/>
  <c r="Q140" i="15"/>
  <c r="Q136" i="15"/>
  <c r="Q132" i="15"/>
  <c r="Q128" i="15"/>
  <c r="Q124" i="15"/>
  <c r="Q120" i="15"/>
  <c r="Q116" i="15"/>
  <c r="Q112" i="15"/>
  <c r="Q108" i="15"/>
  <c r="Q102" i="15"/>
  <c r="Q94" i="15"/>
  <c r="P94" i="15" s="1"/>
  <c r="V94" i="15" s="1"/>
  <c r="F94" i="15" s="1"/>
  <c r="Q86" i="15"/>
  <c r="P86" i="15" s="1"/>
  <c r="V86" i="15" s="1"/>
  <c r="F86" i="15" s="1"/>
  <c r="Q53" i="15"/>
  <c r="AK9" i="15"/>
  <c r="Q181" i="15"/>
  <c r="Q179" i="15"/>
  <c r="Q177" i="15"/>
  <c r="Q175" i="15"/>
  <c r="Q173" i="15"/>
  <c r="Q171" i="15"/>
  <c r="Q169" i="15"/>
  <c r="Q167" i="15"/>
  <c r="Q165" i="15"/>
  <c r="Q163" i="15"/>
  <c r="Q161" i="15"/>
  <c r="Q159" i="15"/>
  <c r="Q157" i="15"/>
  <c r="Q155" i="15"/>
  <c r="Q153" i="15"/>
  <c r="Q151" i="15"/>
  <c r="Q149" i="15"/>
  <c r="Q147" i="15"/>
  <c r="Q145" i="15"/>
  <c r="Q143" i="15"/>
  <c r="Q141" i="15"/>
  <c r="Q139" i="15"/>
  <c r="Q137" i="15"/>
  <c r="Q135" i="15"/>
  <c r="Q133" i="15"/>
  <c r="Q131" i="15"/>
  <c r="Q129" i="15"/>
  <c r="Q127" i="15"/>
  <c r="Q125" i="15"/>
  <c r="Q123" i="15"/>
  <c r="Q121" i="15"/>
  <c r="Q119" i="15"/>
  <c r="Q117" i="15"/>
  <c r="Q115" i="15"/>
  <c r="Q113" i="15"/>
  <c r="Q111" i="15"/>
  <c r="Q109" i="15"/>
  <c r="Q107" i="15"/>
  <c r="Q104" i="15"/>
  <c r="P104" i="15" s="1"/>
  <c r="V104" i="15" s="1"/>
  <c r="F104" i="15" s="1"/>
  <c r="Q100" i="15"/>
  <c r="Q96" i="15"/>
  <c r="P96" i="15" s="1"/>
  <c r="V96" i="15" s="1"/>
  <c r="F96" i="15" s="1"/>
  <c r="Q92" i="15"/>
  <c r="Q88" i="15"/>
  <c r="P88" i="15" s="1"/>
  <c r="Q83" i="15"/>
  <c r="Q67" i="15"/>
  <c r="Q37" i="15"/>
  <c r="AC381" i="15"/>
  <c r="Q105" i="15"/>
  <c r="Q103" i="15"/>
  <c r="Q101" i="15"/>
  <c r="Q99" i="15"/>
  <c r="Q97" i="15"/>
  <c r="Q95" i="15"/>
  <c r="Q93" i="15"/>
  <c r="Q91" i="15"/>
  <c r="Q89" i="15"/>
  <c r="Q87" i="15"/>
  <c r="Q85" i="15"/>
  <c r="Q79" i="15"/>
  <c r="Q71" i="15"/>
  <c r="Q61" i="15"/>
  <c r="Q45" i="15"/>
  <c r="Q29" i="15"/>
  <c r="AL5" i="15"/>
  <c r="AJ6" i="15"/>
  <c r="AL7" i="15"/>
  <c r="AL11" i="15" s="1"/>
  <c r="AL9" i="15"/>
  <c r="E378" i="15"/>
  <c r="D383" i="15"/>
  <c r="D381" i="15"/>
  <c r="D9" i="15"/>
  <c r="D11" i="15" s="1"/>
  <c r="E36" i="19" s="1"/>
  <c r="D382" i="15"/>
  <c r="E379" i="15"/>
  <c r="AJ8" i="15"/>
  <c r="AJ5" i="15"/>
  <c r="AJ7" i="15"/>
  <c r="AJ11" i="15" s="1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P45" i="15" s="1"/>
  <c r="V45" i="15" s="1"/>
  <c r="F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P67" i="15" s="1"/>
  <c r="V67" i="15" s="1"/>
  <c r="F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P75" i="15" s="1"/>
  <c r="U77" i="15"/>
  <c r="T77" i="15" s="1"/>
  <c r="S77" i="15" s="1"/>
  <c r="R77" i="15" s="1"/>
  <c r="U79" i="15"/>
  <c r="T79" i="15" s="1"/>
  <c r="S79" i="15" s="1"/>
  <c r="R79" i="15" s="1"/>
  <c r="P79" i="15" s="1"/>
  <c r="V79" i="15" s="1"/>
  <c r="F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P85" i="15" s="1"/>
  <c r="V85" i="15" s="1"/>
  <c r="F85" i="15" s="1"/>
  <c r="U87" i="15"/>
  <c r="T87" i="15" s="1"/>
  <c r="S87" i="15" s="1"/>
  <c r="R87" i="15" s="1"/>
  <c r="P87" i="15" s="1"/>
  <c r="V87" i="15" s="1"/>
  <c r="F87" i="15" s="1"/>
  <c r="U89" i="15"/>
  <c r="T89" i="15" s="1"/>
  <c r="S89" i="15" s="1"/>
  <c r="R89" i="15" s="1"/>
  <c r="P89" i="15" s="1"/>
  <c r="V89" i="15" s="1"/>
  <c r="F89" i="15" s="1"/>
  <c r="U91" i="15"/>
  <c r="T91" i="15" s="1"/>
  <c r="S91" i="15" s="1"/>
  <c r="R91" i="15" s="1"/>
  <c r="P91" i="15" s="1"/>
  <c r="V91" i="15" s="1"/>
  <c r="F91" i="15" s="1"/>
  <c r="U93" i="15"/>
  <c r="T93" i="15" s="1"/>
  <c r="S93" i="15" s="1"/>
  <c r="R93" i="15" s="1"/>
  <c r="P93" i="15" s="1"/>
  <c r="V93" i="15" s="1"/>
  <c r="F93" i="15" s="1"/>
  <c r="U95" i="15"/>
  <c r="T95" i="15" s="1"/>
  <c r="S95" i="15" s="1"/>
  <c r="R95" i="15" s="1"/>
  <c r="P95" i="15" s="1"/>
  <c r="V95" i="15" s="1"/>
  <c r="F95" i="15" s="1"/>
  <c r="U97" i="15"/>
  <c r="T97" i="15" s="1"/>
  <c r="S97" i="15" s="1"/>
  <c r="R97" i="15" s="1"/>
  <c r="P97" i="15" s="1"/>
  <c r="V97" i="15" s="1"/>
  <c r="F97" i="15" s="1"/>
  <c r="U99" i="15"/>
  <c r="T99" i="15" s="1"/>
  <c r="S99" i="15" s="1"/>
  <c r="R99" i="15" s="1"/>
  <c r="P99" i="15" s="1"/>
  <c r="V99" i="15" s="1"/>
  <c r="F99" i="15" s="1"/>
  <c r="U101" i="15"/>
  <c r="T101" i="15" s="1"/>
  <c r="S101" i="15" s="1"/>
  <c r="R101" i="15" s="1"/>
  <c r="P101" i="15" s="1"/>
  <c r="U103" i="15"/>
  <c r="T103" i="15" s="1"/>
  <c r="S103" i="15" s="1"/>
  <c r="R103" i="15" s="1"/>
  <c r="P103" i="15" s="1"/>
  <c r="V103" i="15" s="1"/>
  <c r="F103" i="15" s="1"/>
  <c r="U105" i="15"/>
  <c r="T105" i="15" s="1"/>
  <c r="S105" i="15" s="1"/>
  <c r="R105" i="15" s="1"/>
  <c r="P105" i="15" s="1"/>
  <c r="V105" i="15" s="1"/>
  <c r="F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U181" i="15"/>
  <c r="T181" i="15" s="1"/>
  <c r="S181" i="15" s="1"/>
  <c r="R181" i="15" s="1"/>
  <c r="U183" i="15"/>
  <c r="T183" i="15" s="1"/>
  <c r="S183" i="15" s="1"/>
  <c r="R183" i="15" s="1"/>
  <c r="P183" i="15" s="1"/>
  <c r="V183" i="15" s="1"/>
  <c r="F183" i="15" s="1"/>
  <c r="Q81" i="15"/>
  <c r="P81" i="15" s="1"/>
  <c r="V81" i="15" s="1"/>
  <c r="F81" i="15" s="1"/>
  <c r="Q77" i="15"/>
  <c r="Q73" i="15"/>
  <c r="Q69" i="15"/>
  <c r="Q65" i="15"/>
  <c r="P65" i="15" s="1"/>
  <c r="V65" i="15" s="1"/>
  <c r="F65" i="15" s="1"/>
  <c r="Q57" i="15"/>
  <c r="Q49" i="15"/>
  <c r="P49" i="15" s="1"/>
  <c r="V49" i="15" s="1"/>
  <c r="F49" i="15" s="1"/>
  <c r="Q41" i="15"/>
  <c r="Q33" i="15"/>
  <c r="P33" i="15" s="1"/>
  <c r="V33" i="15" s="1"/>
  <c r="F33" i="15" s="1"/>
  <c r="Q25" i="15"/>
  <c r="Q84" i="15"/>
  <c r="Q82" i="15"/>
  <c r="Q80" i="15"/>
  <c r="Q78" i="15"/>
  <c r="P78" i="15" s="1"/>
  <c r="Q76" i="15"/>
  <c r="Q74" i="15"/>
  <c r="P74" i="15" s="1"/>
  <c r="Q72" i="15"/>
  <c r="Q70" i="15"/>
  <c r="Q68" i="15"/>
  <c r="Q66" i="15"/>
  <c r="Q63" i="15"/>
  <c r="Q59" i="15"/>
  <c r="P59" i="15" s="1"/>
  <c r="V59" i="15" s="1"/>
  <c r="F59" i="15" s="1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E379" i="16"/>
  <c r="AI12" i="16"/>
  <c r="AH379" i="15"/>
  <c r="AH376" i="15"/>
  <c r="AH372" i="15"/>
  <c r="AG368" i="15"/>
  <c r="AF368" i="15" s="1"/>
  <c r="AH364" i="15"/>
  <c r="AG360" i="15"/>
  <c r="AF360" i="15" s="1"/>
  <c r="AG356" i="15"/>
  <c r="AF356" i="15" s="1"/>
  <c r="AH352" i="15"/>
  <c r="AH348" i="15"/>
  <c r="AG344" i="15"/>
  <c r="AF344" i="15" s="1"/>
  <c r="AG340" i="15"/>
  <c r="AF340" i="15" s="1"/>
  <c r="AG336" i="15"/>
  <c r="AF336" i="15" s="1"/>
  <c r="AH332" i="15"/>
  <c r="AH328" i="15"/>
  <c r="AG324" i="15"/>
  <c r="AF324" i="15" s="1"/>
  <c r="AH320" i="15"/>
  <c r="AG316" i="15"/>
  <c r="AF316" i="15" s="1"/>
  <c r="AH312" i="15"/>
  <c r="AH308" i="15"/>
  <c r="AH304" i="15"/>
  <c r="AH300" i="15"/>
  <c r="AH296" i="15"/>
  <c r="AH292" i="15"/>
  <c r="AG288" i="15"/>
  <c r="AF288" i="15" s="1"/>
  <c r="AH284" i="15"/>
  <c r="AG280" i="15"/>
  <c r="AF280" i="15" s="1"/>
  <c r="AH276" i="15"/>
  <c r="AH272" i="15"/>
  <c r="AH268" i="15"/>
  <c r="AG264" i="15"/>
  <c r="AF264" i="15" s="1"/>
  <c r="AH260" i="15"/>
  <c r="AH256" i="15"/>
  <c r="AH252" i="15"/>
  <c r="AH248" i="15"/>
  <c r="AG244" i="15"/>
  <c r="AF244" i="15" s="1"/>
  <c r="AG240" i="15"/>
  <c r="AF240" i="15" s="1"/>
  <c r="AG238" i="15"/>
  <c r="AF238" i="15" s="1"/>
  <c r="AG234" i="15"/>
  <c r="AF234" i="15" s="1"/>
  <c r="AG230" i="15"/>
  <c r="AF230" i="15" s="1"/>
  <c r="AH226" i="15"/>
  <c r="AH222" i="15"/>
  <c r="AH218" i="15"/>
  <c r="AH214" i="15"/>
  <c r="AG210" i="15"/>
  <c r="AF210" i="15" s="1"/>
  <c r="AG206" i="15"/>
  <c r="AF206" i="15" s="1"/>
  <c r="AG202" i="15"/>
  <c r="AF202" i="15" s="1"/>
  <c r="AH198" i="15"/>
  <c r="AH194" i="15"/>
  <c r="AH190" i="15"/>
  <c r="AH186" i="15"/>
  <c r="AG182" i="15"/>
  <c r="AF182" i="15" s="1"/>
  <c r="AH178" i="15"/>
  <c r="AH174" i="15"/>
  <c r="AG170" i="15"/>
  <c r="AF170" i="15" s="1"/>
  <c r="AG166" i="15"/>
  <c r="AF166" i="15" s="1"/>
  <c r="AG162" i="15"/>
  <c r="AF162" i="15" s="1"/>
  <c r="AH158" i="15"/>
  <c r="AH154" i="15"/>
  <c r="AG150" i="15"/>
  <c r="AF150" i="15" s="1"/>
  <c r="AH146" i="15"/>
  <c r="AG142" i="15"/>
  <c r="AF142" i="15" s="1"/>
  <c r="AG138" i="15"/>
  <c r="AF138" i="15" s="1"/>
  <c r="AG134" i="15"/>
  <c r="AF134" i="15" s="1"/>
  <c r="AG130" i="15"/>
  <c r="AF130" i="15" s="1"/>
  <c r="AH126" i="15"/>
  <c r="AH122" i="15"/>
  <c r="AH118" i="15"/>
  <c r="AH114" i="15"/>
  <c r="AH110" i="15"/>
  <c r="AH106" i="15"/>
  <c r="AG102" i="15"/>
  <c r="AF102" i="15" s="1"/>
  <c r="AG98" i="15"/>
  <c r="AF98" i="15" s="1"/>
  <c r="AH94" i="15"/>
  <c r="AH90" i="15"/>
  <c r="AH86" i="15"/>
  <c r="AH82" i="15"/>
  <c r="AG78" i="15"/>
  <c r="AF78" i="15" s="1"/>
  <c r="AH74" i="15"/>
  <c r="AG70" i="15"/>
  <c r="AF70" i="15" s="1"/>
  <c r="AH66" i="15"/>
  <c r="AH62" i="15"/>
  <c r="AG58" i="15"/>
  <c r="AF58" i="15" s="1"/>
  <c r="AH54" i="15"/>
  <c r="AG50" i="15"/>
  <c r="AF50" i="15" s="1"/>
  <c r="AH46" i="15"/>
  <c r="AG42" i="15"/>
  <c r="AF42" i="15" s="1"/>
  <c r="AH38" i="15"/>
  <c r="AG34" i="15"/>
  <c r="AF34" i="15" s="1"/>
  <c r="AH30" i="15"/>
  <c r="AH16" i="15"/>
  <c r="AH28" i="15"/>
  <c r="AH18" i="15"/>
  <c r="AI382" i="15"/>
  <c r="AB378" i="20"/>
  <c r="X378" i="20"/>
  <c r="AK378" i="20"/>
  <c r="K378" i="20"/>
  <c r="A379" i="20"/>
  <c r="L378" i="20"/>
  <c r="AJ378" i="20"/>
  <c r="O378" i="20"/>
  <c r="AC378" i="20"/>
  <c r="AM5" i="17"/>
  <c r="AK6" i="17"/>
  <c r="AK5" i="17"/>
  <c r="AK7" i="17"/>
  <c r="AK11" i="17" s="1"/>
  <c r="AM9" i="17"/>
  <c r="AK9" i="17"/>
  <c r="AM7" i="17"/>
  <c r="AM11" i="17" s="1"/>
  <c r="AJ5" i="17"/>
  <c r="AJ6" i="17"/>
  <c r="D379" i="17"/>
  <c r="AJ8" i="17" s="1"/>
  <c r="L382" i="17"/>
  <c r="L381" i="17"/>
  <c r="L383" i="17"/>
  <c r="S365" i="15"/>
  <c r="R365" i="15" s="1"/>
  <c r="S345" i="15"/>
  <c r="R345" i="15" s="1"/>
  <c r="S333" i="15"/>
  <c r="R333" i="15" s="1"/>
  <c r="S297" i="15"/>
  <c r="R297" i="15" s="1"/>
  <c r="P297" i="15" s="1"/>
  <c r="S277" i="15"/>
  <c r="R277" i="15" s="1"/>
  <c r="S233" i="15"/>
  <c r="R233" i="15" s="1"/>
  <c r="P233" i="15" s="1"/>
  <c r="S227" i="15"/>
  <c r="R227" i="15" s="1"/>
  <c r="S197" i="15"/>
  <c r="R197" i="15" s="1"/>
  <c r="P197" i="15" s="1"/>
  <c r="S193" i="15"/>
  <c r="R193" i="15" s="1"/>
  <c r="S137" i="15"/>
  <c r="R137" i="15" s="1"/>
  <c r="S37" i="15"/>
  <c r="R37" i="15" s="1"/>
  <c r="P37" i="15" s="1"/>
  <c r="V37" i="15" s="1"/>
  <c r="F37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77" i="15"/>
  <c r="AG375" i="15"/>
  <c r="AF375" i="15" s="1"/>
  <c r="AD375" i="15" s="1"/>
  <c r="AH371" i="15"/>
  <c r="AH369" i="15"/>
  <c r="AG367" i="15"/>
  <c r="AF367" i="15" s="1"/>
  <c r="AD367" i="15" s="1"/>
  <c r="AH363" i="15"/>
  <c r="AH361" i="15"/>
  <c r="AG359" i="15"/>
  <c r="AF359" i="15" s="1"/>
  <c r="AD359" i="15" s="1"/>
  <c r="AH355" i="15"/>
  <c r="AG353" i="15"/>
  <c r="AF353" i="15" s="1"/>
  <c r="AG351" i="15"/>
  <c r="AF351" i="15" s="1"/>
  <c r="AD351" i="15" s="1"/>
  <c r="AG347" i="15"/>
  <c r="AF347" i="15" s="1"/>
  <c r="AD347" i="15" s="1"/>
  <c r="AG345" i="15"/>
  <c r="AF345" i="15" s="1"/>
  <c r="AH343" i="15"/>
  <c r="AH339" i="15"/>
  <c r="AG337" i="15"/>
  <c r="AF337" i="15" s="1"/>
  <c r="AH335" i="15"/>
  <c r="AH331" i="15"/>
  <c r="AH329" i="15"/>
  <c r="AH327" i="15"/>
  <c r="AH323" i="15"/>
  <c r="AH321" i="15"/>
  <c r="AH319" i="15"/>
  <c r="AG315" i="15"/>
  <c r="AF315" i="15" s="1"/>
  <c r="AD315" i="15" s="1"/>
  <c r="AG313" i="15"/>
  <c r="AF313" i="15" s="1"/>
  <c r="AG311" i="15"/>
  <c r="AF311" i="15" s="1"/>
  <c r="AD311" i="15" s="1"/>
  <c r="AG307" i="15"/>
  <c r="AF307" i="15" s="1"/>
  <c r="AD307" i="15" s="1"/>
  <c r="AH305" i="15"/>
  <c r="AG303" i="15"/>
  <c r="AF303" i="15" s="1"/>
  <c r="AD303" i="15" s="1"/>
  <c r="AG299" i="15"/>
  <c r="AF299" i="15" s="1"/>
  <c r="AD299" i="15" s="1"/>
  <c r="AH297" i="15"/>
  <c r="AH295" i="15"/>
  <c r="AG291" i="15"/>
  <c r="AF291" i="15" s="1"/>
  <c r="AD291" i="15" s="1"/>
  <c r="AG289" i="15"/>
  <c r="AF289" i="15" s="1"/>
  <c r="AH287" i="15"/>
  <c r="AG283" i="15"/>
  <c r="AF283" i="15" s="1"/>
  <c r="AD283" i="15" s="1"/>
  <c r="AG281" i="15"/>
  <c r="AF281" i="15" s="1"/>
  <c r="AG279" i="15"/>
  <c r="AF279" i="15" s="1"/>
  <c r="AD279" i="15" s="1"/>
  <c r="AH275" i="15"/>
  <c r="AG273" i="15"/>
  <c r="AF273" i="15" s="1"/>
  <c r="AG271" i="15"/>
  <c r="AF271" i="15" s="1"/>
  <c r="AD271" i="15" s="1"/>
  <c r="AG267" i="15"/>
  <c r="AF267" i="15" s="1"/>
  <c r="AD267" i="15" s="1"/>
  <c r="AG265" i="15"/>
  <c r="AF265" i="15" s="1"/>
  <c r="AG263" i="15"/>
  <c r="AF263" i="15" s="1"/>
  <c r="AD263" i="15" s="1"/>
  <c r="AG259" i="15"/>
  <c r="AF259" i="15" s="1"/>
  <c r="AD259" i="15" s="1"/>
  <c r="AG257" i="15"/>
  <c r="AF257" i="15" s="1"/>
  <c r="AG255" i="15"/>
  <c r="AF255" i="15" s="1"/>
  <c r="AD255" i="15" s="1"/>
  <c r="AG251" i="15"/>
  <c r="AF251" i="15" s="1"/>
  <c r="AD251" i="15" s="1"/>
  <c r="AG249" i="15"/>
  <c r="AF249" i="15" s="1"/>
  <c r="AH247" i="15"/>
  <c r="AH243" i="15"/>
  <c r="AG241" i="15"/>
  <c r="AF241" i="15" s="1"/>
  <c r="AG239" i="15"/>
  <c r="AF239" i="15" s="1"/>
  <c r="AD239" i="15" s="1"/>
  <c r="AH233" i="15"/>
  <c r="AG231" i="15"/>
  <c r="AF231" i="15" s="1"/>
  <c r="AG227" i="15"/>
  <c r="AF227" i="15" s="1"/>
  <c r="AD227" i="15" s="1"/>
  <c r="AH225" i="15"/>
  <c r="AH223" i="15"/>
  <c r="AG217" i="15"/>
  <c r="AF217" i="15" s="1"/>
  <c r="AG215" i="15"/>
  <c r="AF215" i="15" s="1"/>
  <c r="AG211" i="15"/>
  <c r="AF211" i="15" s="1"/>
  <c r="AD211" i="15" s="1"/>
  <c r="AH209" i="15"/>
  <c r="AG207" i="15"/>
  <c r="AF207" i="15" s="1"/>
  <c r="AD207" i="15" s="1"/>
  <c r="AG201" i="15"/>
  <c r="AF201" i="15" s="1"/>
  <c r="AG199" i="15"/>
  <c r="AF199" i="15" s="1"/>
  <c r="AG195" i="15"/>
  <c r="AF195" i="15" s="1"/>
  <c r="AD195" i="15" s="1"/>
  <c r="AH193" i="15"/>
  <c r="AH191" i="15"/>
  <c r="AH185" i="15"/>
  <c r="AG183" i="15"/>
  <c r="AF183" i="15" s="1"/>
  <c r="AH179" i="15"/>
  <c r="AG177" i="15"/>
  <c r="AF177" i="15" s="1"/>
  <c r="AG175" i="15"/>
  <c r="AF175" i="15" s="1"/>
  <c r="AD175" i="15" s="1"/>
  <c r="AG169" i="15"/>
  <c r="AF169" i="15" s="1"/>
  <c r="AH167" i="15"/>
  <c r="AG163" i="15"/>
  <c r="AF163" i="15" s="1"/>
  <c r="AD163" i="15" s="1"/>
  <c r="AG161" i="15"/>
  <c r="AF161" i="15" s="1"/>
  <c r="AH159" i="15"/>
  <c r="AG153" i="15"/>
  <c r="AF153" i="15" s="1"/>
  <c r="AH151" i="15"/>
  <c r="AH147" i="15"/>
  <c r="AG145" i="15"/>
  <c r="AF145" i="15" s="1"/>
  <c r="AG143" i="15"/>
  <c r="AF143" i="15" s="1"/>
  <c r="AD143" i="15" s="1"/>
  <c r="AH137" i="15"/>
  <c r="AG135" i="15"/>
  <c r="AF135" i="15" s="1"/>
  <c r="AH131" i="15"/>
  <c r="AG129" i="15"/>
  <c r="AF129" i="15" s="1"/>
  <c r="AH127" i="15"/>
  <c r="AH121" i="15"/>
  <c r="AG119" i="15"/>
  <c r="AF119" i="15" s="1"/>
  <c r="AH115" i="15"/>
  <c r="AH113" i="15"/>
  <c r="AH111" i="15"/>
  <c r="AG105" i="15"/>
  <c r="AF105" i="15" s="1"/>
  <c r="AG103" i="15"/>
  <c r="AF103" i="15" s="1"/>
  <c r="AH99" i="15"/>
  <c r="AG97" i="15"/>
  <c r="AF97" i="15" s="1"/>
  <c r="AG95" i="15"/>
  <c r="AF95" i="15" s="1"/>
  <c r="AD95" i="15" s="1"/>
  <c r="AG89" i="15"/>
  <c r="AF89" i="15" s="1"/>
  <c r="AH87" i="15"/>
  <c r="AH83" i="15"/>
  <c r="AH81" i="15"/>
  <c r="AG79" i="15"/>
  <c r="AF79" i="15" s="1"/>
  <c r="AD79" i="15" s="1"/>
  <c r="AG73" i="15"/>
  <c r="AF73" i="15" s="1"/>
  <c r="AG71" i="15"/>
  <c r="AF71" i="15" s="1"/>
  <c r="AG67" i="15"/>
  <c r="AF67" i="15" s="1"/>
  <c r="AD67" i="15" s="1"/>
  <c r="AG65" i="15"/>
  <c r="AF65" i="15" s="1"/>
  <c r="AH63" i="15"/>
  <c r="AG57" i="15"/>
  <c r="AF57" i="15" s="1"/>
  <c r="AH55" i="15"/>
  <c r="AH51" i="15"/>
  <c r="AG49" i="15"/>
  <c r="AF49" i="15" s="1"/>
  <c r="AG47" i="15"/>
  <c r="AF47" i="15" s="1"/>
  <c r="AD47" i="15" s="1"/>
  <c r="AH41" i="15"/>
  <c r="AH39" i="15"/>
  <c r="AG35" i="15"/>
  <c r="AF35" i="15" s="1"/>
  <c r="AD35" i="15" s="1"/>
  <c r="AH33" i="15"/>
  <c r="AG31" i="15"/>
  <c r="AF31" i="15" s="1"/>
  <c r="AD31" i="15" s="1"/>
  <c r="AG21" i="15"/>
  <c r="AF21" i="15" s="1"/>
  <c r="AH17" i="15"/>
  <c r="AH23" i="15"/>
  <c r="AG24" i="15"/>
  <c r="AF24" i="15" s="1"/>
  <c r="AG22" i="15"/>
  <c r="AF22" i="15" s="1"/>
  <c r="AD22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E379" i="17"/>
  <c r="AJ10" i="17" s="1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70" i="15"/>
  <c r="R370" i="15" s="1"/>
  <c r="S362" i="15"/>
  <c r="R362" i="15" s="1"/>
  <c r="S326" i="15"/>
  <c r="R326" i="15" s="1"/>
  <c r="P326" i="15" s="1"/>
  <c r="V326" i="15" s="1"/>
  <c r="F326" i="15" s="1"/>
  <c r="S318" i="15"/>
  <c r="R318" i="15" s="1"/>
  <c r="S298" i="15"/>
  <c r="R298" i="15" s="1"/>
  <c r="S294" i="15"/>
  <c r="R294" i="15" s="1"/>
  <c r="P294" i="15" s="1"/>
  <c r="V294" i="15" s="1"/>
  <c r="F294" i="15" s="1"/>
  <c r="S264" i="15"/>
  <c r="R264" i="15" s="1"/>
  <c r="S254" i="15"/>
  <c r="R254" i="15" s="1"/>
  <c r="S252" i="15"/>
  <c r="R252" i="15" s="1"/>
  <c r="P252" i="15" s="1"/>
  <c r="V252" i="15" s="1"/>
  <c r="F252" i="15" s="1"/>
  <c r="S214" i="15"/>
  <c r="R214" i="15" s="1"/>
  <c r="S172" i="15"/>
  <c r="R172" i="15" s="1"/>
  <c r="S150" i="15"/>
  <c r="R150" i="15" s="1"/>
  <c r="S138" i="15"/>
  <c r="R138" i="15" s="1"/>
  <c r="S30" i="15"/>
  <c r="R30" i="15" s="1"/>
  <c r="T15" i="15"/>
  <c r="Q64" i="15"/>
  <c r="P64" i="15" s="1"/>
  <c r="Q62" i="15"/>
  <c r="Q60" i="15"/>
  <c r="Q58" i="15"/>
  <c r="P58" i="15" s="1"/>
  <c r="Q56" i="15"/>
  <c r="Q54" i="15"/>
  <c r="P54" i="15" s="1"/>
  <c r="Q52" i="15"/>
  <c r="Q50" i="15"/>
  <c r="Q48" i="15"/>
  <c r="P48" i="15" s="1"/>
  <c r="Q46" i="15"/>
  <c r="P46" i="15" s="1"/>
  <c r="Q44" i="15"/>
  <c r="Q42" i="15"/>
  <c r="P42" i="15" s="1"/>
  <c r="Q40" i="15"/>
  <c r="P40" i="15" s="1"/>
  <c r="Q38" i="15"/>
  <c r="Q36" i="15"/>
  <c r="Q34" i="15"/>
  <c r="Q32" i="15"/>
  <c r="P32" i="15" s="1"/>
  <c r="Q30" i="15"/>
  <c r="Q28" i="15"/>
  <c r="Q26" i="15"/>
  <c r="P26" i="15" s="1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223" i="15" l="1"/>
  <c r="V223" i="15" s="1"/>
  <c r="F223" i="15" s="1"/>
  <c r="P358" i="15"/>
  <c r="AD43" i="15"/>
  <c r="AD59" i="15"/>
  <c r="AD123" i="15"/>
  <c r="AD139" i="15"/>
  <c r="AD171" i="15"/>
  <c r="AD71" i="15"/>
  <c r="AD103" i="15"/>
  <c r="AD119" i="15"/>
  <c r="AD135" i="15"/>
  <c r="J16" i="7"/>
  <c r="P11" i="7" s="1"/>
  <c r="U11" i="16" s="1"/>
  <c r="P301" i="15"/>
  <c r="V301" i="15" s="1"/>
  <c r="F301" i="15" s="1"/>
  <c r="H301" i="15" s="1"/>
  <c r="P237" i="15"/>
  <c r="V237" i="15" s="1"/>
  <c r="F237" i="15" s="1"/>
  <c r="P205" i="15"/>
  <c r="V205" i="15" s="1"/>
  <c r="F205" i="15" s="1"/>
  <c r="G205" i="15" s="1"/>
  <c r="BX205" i="6" s="1"/>
  <c r="P374" i="15"/>
  <c r="V374" i="15" s="1"/>
  <c r="F374" i="15" s="1"/>
  <c r="AD183" i="15"/>
  <c r="AD187" i="15"/>
  <c r="AD199" i="15"/>
  <c r="AD215" i="15"/>
  <c r="AD219" i="15"/>
  <c r="AD231" i="15"/>
  <c r="AD235" i="15"/>
  <c r="P108" i="15"/>
  <c r="P92" i="15"/>
  <c r="V92" i="15" s="1"/>
  <c r="F92" i="15" s="1"/>
  <c r="H92" i="15" s="1"/>
  <c r="P337" i="15"/>
  <c r="V337" i="15" s="1"/>
  <c r="F337" i="15" s="1"/>
  <c r="P316" i="15"/>
  <c r="V316" i="15" s="1"/>
  <c r="F316" i="15" s="1"/>
  <c r="H316" i="15" s="1"/>
  <c r="P284" i="15"/>
  <c r="V284" i="15" s="1"/>
  <c r="F284" i="15" s="1"/>
  <c r="AD27" i="15"/>
  <c r="P379" i="15"/>
  <c r="D36" i="19" s="1"/>
  <c r="P207" i="15"/>
  <c r="V207" i="15" s="1"/>
  <c r="F207" i="15" s="1"/>
  <c r="AA207" i="15" s="1"/>
  <c r="Z207" i="15" s="1"/>
  <c r="Y207" i="15" s="1"/>
  <c r="P62" i="15"/>
  <c r="V62" i="15" s="1"/>
  <c r="F62" i="15" s="1"/>
  <c r="AD21" i="15"/>
  <c r="P137" i="15"/>
  <c r="V137" i="15" s="1"/>
  <c r="F137" i="15" s="1"/>
  <c r="G137" i="15" s="1"/>
  <c r="BX137" i="6" s="1"/>
  <c r="U12" i="16"/>
  <c r="AI383" i="15"/>
  <c r="P23" i="15"/>
  <c r="V23" i="15" s="1"/>
  <c r="F23" i="15" s="1"/>
  <c r="P16" i="15"/>
  <c r="P20" i="15"/>
  <c r="V20" i="15" s="1"/>
  <c r="F20" i="15" s="1"/>
  <c r="AI381" i="15"/>
  <c r="P165" i="15"/>
  <c r="V165" i="15" s="1"/>
  <c r="F165" i="15" s="1"/>
  <c r="P102" i="15"/>
  <c r="V102" i="15" s="1"/>
  <c r="F102" i="15" s="1"/>
  <c r="H102" i="15" s="1"/>
  <c r="P216" i="15"/>
  <c r="V216" i="15" s="1"/>
  <c r="F216" i="15" s="1"/>
  <c r="H216" i="15" s="1"/>
  <c r="P220" i="15"/>
  <c r="V220" i="15" s="1"/>
  <c r="F220" i="15" s="1"/>
  <c r="G220" i="15" s="1"/>
  <c r="BX220" i="6" s="1"/>
  <c r="P224" i="15"/>
  <c r="V224" i="15" s="1"/>
  <c r="F224" i="15" s="1"/>
  <c r="P228" i="15"/>
  <c r="V228" i="15" s="1"/>
  <c r="F228" i="15" s="1"/>
  <c r="H228" i="15" s="1"/>
  <c r="P188" i="15"/>
  <c r="V188" i="15" s="1"/>
  <c r="F188" i="15" s="1"/>
  <c r="G188" i="15" s="1"/>
  <c r="BX188" i="6" s="1"/>
  <c r="P196" i="15"/>
  <c r="V196" i="15" s="1"/>
  <c r="F196" i="15" s="1"/>
  <c r="G196" i="15" s="1"/>
  <c r="BX196" i="6" s="1"/>
  <c r="P204" i="15"/>
  <c r="V204" i="15" s="1"/>
  <c r="F204" i="15" s="1"/>
  <c r="G204" i="15" s="1"/>
  <c r="BX204" i="6" s="1"/>
  <c r="P208" i="15"/>
  <c r="V208" i="15" s="1"/>
  <c r="F208" i="15" s="1"/>
  <c r="G208" i="15" s="1"/>
  <c r="BX208" i="6" s="1"/>
  <c r="P212" i="15"/>
  <c r="V212" i="15" s="1"/>
  <c r="F212" i="15" s="1"/>
  <c r="P321" i="15"/>
  <c r="V321" i="15" s="1"/>
  <c r="F321" i="15" s="1"/>
  <c r="H321" i="15" s="1"/>
  <c r="P305" i="15"/>
  <c r="V305" i="15" s="1"/>
  <c r="F305" i="15" s="1"/>
  <c r="G305" i="15" s="1"/>
  <c r="BX305" i="6" s="1"/>
  <c r="P289" i="15"/>
  <c r="V289" i="15" s="1"/>
  <c r="F289" i="15" s="1"/>
  <c r="H289" i="15" s="1"/>
  <c r="P273" i="15"/>
  <c r="V273" i="15" s="1"/>
  <c r="F273" i="15" s="1"/>
  <c r="G273" i="15" s="1"/>
  <c r="BX273" i="6" s="1"/>
  <c r="P257" i="15"/>
  <c r="V257" i="15" s="1"/>
  <c r="F257" i="15" s="1"/>
  <c r="G257" i="15" s="1"/>
  <c r="BX257" i="6" s="1"/>
  <c r="P241" i="15"/>
  <c r="P180" i="15"/>
  <c r="D37" i="7" s="1"/>
  <c r="P348" i="15"/>
  <c r="V348" i="15" s="1"/>
  <c r="F348" i="15" s="1"/>
  <c r="P340" i="15"/>
  <c r="V340" i="15" s="1"/>
  <c r="F340" i="15" s="1"/>
  <c r="H340" i="15" s="1"/>
  <c r="P332" i="15"/>
  <c r="V332" i="15" s="1"/>
  <c r="F332" i="15" s="1"/>
  <c r="P308" i="15"/>
  <c r="V308" i="15" s="1"/>
  <c r="F308" i="15" s="1"/>
  <c r="G308" i="15" s="1"/>
  <c r="BX308" i="6" s="1"/>
  <c r="P300" i="15"/>
  <c r="V300" i="15" s="1"/>
  <c r="F300" i="15" s="1"/>
  <c r="P292" i="15"/>
  <c r="V292" i="15" s="1"/>
  <c r="F292" i="15" s="1"/>
  <c r="H292" i="15" s="1"/>
  <c r="P268" i="15"/>
  <c r="V268" i="15" s="1"/>
  <c r="F268" i="15" s="1"/>
  <c r="H268" i="15" s="1"/>
  <c r="P260" i="15"/>
  <c r="V260" i="15" s="1"/>
  <c r="F260" i="15" s="1"/>
  <c r="G260" i="15" s="1"/>
  <c r="BX260" i="6" s="1"/>
  <c r="P244" i="15"/>
  <c r="V244" i="15" s="1"/>
  <c r="F244" i="15" s="1"/>
  <c r="P236" i="15"/>
  <c r="V236" i="15" s="1"/>
  <c r="F236" i="15" s="1"/>
  <c r="H236" i="15" s="1"/>
  <c r="P368" i="15"/>
  <c r="V368" i="15" s="1"/>
  <c r="F368" i="15" s="1"/>
  <c r="H368" i="15" s="1"/>
  <c r="P215" i="15"/>
  <c r="V215" i="15" s="1"/>
  <c r="F215" i="15" s="1"/>
  <c r="H215" i="15" s="1"/>
  <c r="P24" i="15"/>
  <c r="V24" i="15" s="1"/>
  <c r="F24" i="15" s="1"/>
  <c r="P22" i="15"/>
  <c r="P38" i="15"/>
  <c r="V38" i="15" s="1"/>
  <c r="F38" i="15" s="1"/>
  <c r="P50" i="15"/>
  <c r="U382" i="15"/>
  <c r="U383" i="15"/>
  <c r="P138" i="15"/>
  <c r="V138" i="15" s="1"/>
  <c r="F138" i="15" s="1"/>
  <c r="P248" i="15"/>
  <c r="V248" i="15" s="1"/>
  <c r="F248" i="15" s="1"/>
  <c r="H248" i="15" s="1"/>
  <c r="P254" i="15"/>
  <c r="V254" i="15" s="1"/>
  <c r="F254" i="15" s="1"/>
  <c r="P272" i="15"/>
  <c r="D40" i="7" s="1"/>
  <c r="P296" i="15"/>
  <c r="V296" i="15" s="1"/>
  <c r="F296" i="15" s="1"/>
  <c r="P370" i="15"/>
  <c r="V370" i="15" s="1"/>
  <c r="F370" i="15" s="1"/>
  <c r="G370" i="15" s="1"/>
  <c r="BX370" i="6" s="1"/>
  <c r="AD24" i="15"/>
  <c r="AD29" i="15"/>
  <c r="AD37" i="15"/>
  <c r="AA37" i="15" s="1"/>
  <c r="Z37" i="15" s="1"/>
  <c r="Y37" i="15" s="1"/>
  <c r="AD45" i="15"/>
  <c r="AD49" i="15"/>
  <c r="AA49" i="15" s="1"/>
  <c r="Z49" i="15" s="1"/>
  <c r="Y49" i="15" s="1"/>
  <c r="AD53" i="15"/>
  <c r="AD57" i="15"/>
  <c r="AD65" i="15"/>
  <c r="AD69" i="15"/>
  <c r="AD73" i="15"/>
  <c r="AD77" i="15"/>
  <c r="AD85" i="15"/>
  <c r="AA85" i="15" s="1"/>
  <c r="Z85" i="15" s="1"/>
  <c r="Y85" i="15" s="1"/>
  <c r="AD89" i="15"/>
  <c r="AA89" i="15" s="1"/>
  <c r="Z89" i="15" s="1"/>
  <c r="Y89" i="15" s="1"/>
  <c r="AD97" i="15"/>
  <c r="AA97" i="15" s="1"/>
  <c r="Z97" i="15" s="1"/>
  <c r="Y97" i="15" s="1"/>
  <c r="P18" i="15"/>
  <c r="V18" i="15" s="1"/>
  <c r="F18" i="15" s="1"/>
  <c r="P71" i="15"/>
  <c r="V71" i="15" s="1"/>
  <c r="F71" i="15" s="1"/>
  <c r="G71" i="15" s="1"/>
  <c r="BX71" i="6" s="1"/>
  <c r="P73" i="15"/>
  <c r="V73" i="15" s="1"/>
  <c r="F73" i="15" s="1"/>
  <c r="AA73" i="15" s="1"/>
  <c r="Z73" i="15" s="1"/>
  <c r="Y73" i="15" s="1"/>
  <c r="P100" i="15"/>
  <c r="V100" i="15" s="1"/>
  <c r="F100" i="15" s="1"/>
  <c r="H100" i="15" s="1"/>
  <c r="P134" i="15"/>
  <c r="V134" i="15" s="1"/>
  <c r="F134" i="15" s="1"/>
  <c r="G134" i="15" s="1"/>
  <c r="BX134" i="6" s="1"/>
  <c r="P203" i="15"/>
  <c r="V203" i="15" s="1"/>
  <c r="F203" i="15" s="1"/>
  <c r="G203" i="15" s="1"/>
  <c r="BX203" i="6" s="1"/>
  <c r="AK3" i="15"/>
  <c r="Q12" i="19" s="1"/>
  <c r="P21" i="15"/>
  <c r="V21" i="15" s="1"/>
  <c r="F21" i="15" s="1"/>
  <c r="P36" i="15"/>
  <c r="P44" i="15"/>
  <c r="V44" i="15" s="1"/>
  <c r="F44" i="15" s="1"/>
  <c r="P52" i="15"/>
  <c r="P60" i="15"/>
  <c r="V60" i="15" s="1"/>
  <c r="F60" i="15" s="1"/>
  <c r="P150" i="15"/>
  <c r="V150" i="15" s="1"/>
  <c r="F150" i="15" s="1"/>
  <c r="H150" i="15" s="1"/>
  <c r="P214" i="15"/>
  <c r="V214" i="15" s="1"/>
  <c r="F214" i="15" s="1"/>
  <c r="H214" i="15" s="1"/>
  <c r="P264" i="15"/>
  <c r="V264" i="15" s="1"/>
  <c r="P298" i="15"/>
  <c r="P318" i="15"/>
  <c r="V318" i="15" s="1"/>
  <c r="F318" i="15" s="1"/>
  <c r="H318" i="15" s="1"/>
  <c r="P362" i="15"/>
  <c r="V362" i="15" s="1"/>
  <c r="F362" i="15" s="1"/>
  <c r="P193" i="15"/>
  <c r="V193" i="15" s="1"/>
  <c r="F193" i="15" s="1"/>
  <c r="G193" i="15" s="1"/>
  <c r="BX193" i="6" s="1"/>
  <c r="P231" i="15"/>
  <c r="V231" i="15" s="1"/>
  <c r="F231" i="15" s="1"/>
  <c r="H231" i="15" s="1"/>
  <c r="P66" i="15"/>
  <c r="V66" i="15" s="1"/>
  <c r="F66" i="15" s="1"/>
  <c r="P70" i="15"/>
  <c r="V70" i="15" s="1"/>
  <c r="F70" i="15" s="1"/>
  <c r="P82" i="15"/>
  <c r="V82" i="15" s="1"/>
  <c r="F82" i="15" s="1"/>
  <c r="P25" i="15"/>
  <c r="V25" i="15" s="1"/>
  <c r="F25" i="15" s="1"/>
  <c r="G25" i="15" s="1"/>
  <c r="BX25" i="6" s="1"/>
  <c r="P41" i="15"/>
  <c r="V41" i="15" s="1"/>
  <c r="F41" i="15" s="1"/>
  <c r="G41" i="15" s="1"/>
  <c r="BX41" i="6" s="1"/>
  <c r="P57" i="15"/>
  <c r="V57" i="15" s="1"/>
  <c r="F57" i="15" s="1"/>
  <c r="P69" i="15"/>
  <c r="V69" i="15" s="1"/>
  <c r="F69" i="15" s="1"/>
  <c r="AA69" i="15" s="1"/>
  <c r="Z69" i="15" s="1"/>
  <c r="Y69" i="15" s="1"/>
  <c r="P77" i="15"/>
  <c r="V77" i="15" s="1"/>
  <c r="F77" i="15" s="1"/>
  <c r="P179" i="15"/>
  <c r="V179" i="15" s="1"/>
  <c r="F179" i="15" s="1"/>
  <c r="G179" i="15" s="1"/>
  <c r="BX179" i="6" s="1"/>
  <c r="P175" i="15"/>
  <c r="V175" i="15" s="1"/>
  <c r="F175" i="15" s="1"/>
  <c r="G175" i="15" s="1"/>
  <c r="BX175" i="6" s="1"/>
  <c r="P171" i="15"/>
  <c r="V171" i="15" s="1"/>
  <c r="P167" i="15"/>
  <c r="V167" i="15" s="1"/>
  <c r="F167" i="15" s="1"/>
  <c r="G167" i="15" s="1"/>
  <c r="BX167" i="6" s="1"/>
  <c r="P163" i="15"/>
  <c r="V163" i="15" s="1"/>
  <c r="F163" i="15" s="1"/>
  <c r="G163" i="15" s="1"/>
  <c r="BX163" i="6" s="1"/>
  <c r="P159" i="15"/>
  <c r="V159" i="15" s="1"/>
  <c r="F159" i="15" s="1"/>
  <c r="G159" i="15" s="1"/>
  <c r="BX159" i="6" s="1"/>
  <c r="P155" i="15"/>
  <c r="V155" i="15" s="1"/>
  <c r="F155" i="15" s="1"/>
  <c r="H155" i="15" s="1"/>
  <c r="P151" i="15"/>
  <c r="V151" i="15" s="1"/>
  <c r="F151" i="15" s="1"/>
  <c r="G151" i="15" s="1"/>
  <c r="BX151" i="6" s="1"/>
  <c r="P147" i="15"/>
  <c r="V147" i="15" s="1"/>
  <c r="F147" i="15" s="1"/>
  <c r="H147" i="15" s="1"/>
  <c r="P143" i="15"/>
  <c r="V143" i="15" s="1"/>
  <c r="F143" i="15" s="1"/>
  <c r="AA143" i="15" s="1"/>
  <c r="Z143" i="15" s="1"/>
  <c r="Y143" i="15" s="1"/>
  <c r="P139" i="15"/>
  <c r="V139" i="15" s="1"/>
  <c r="F139" i="15" s="1"/>
  <c r="AA139" i="15" s="1"/>
  <c r="Z139" i="15" s="1"/>
  <c r="Y139" i="15" s="1"/>
  <c r="P135" i="15"/>
  <c r="V135" i="15" s="1"/>
  <c r="F135" i="15" s="1"/>
  <c r="H135" i="15" s="1"/>
  <c r="P131" i="15"/>
  <c r="V131" i="15" s="1"/>
  <c r="F131" i="15" s="1"/>
  <c r="H131" i="15" s="1"/>
  <c r="P127" i="15"/>
  <c r="V127" i="15" s="1"/>
  <c r="F127" i="15" s="1"/>
  <c r="G127" i="15" s="1"/>
  <c r="BX127" i="6" s="1"/>
  <c r="P123" i="15"/>
  <c r="V123" i="15" s="1"/>
  <c r="F123" i="15" s="1"/>
  <c r="P119" i="15"/>
  <c r="D35" i="7" s="1"/>
  <c r="P115" i="15"/>
  <c r="V115" i="15" s="1"/>
  <c r="F115" i="15" s="1"/>
  <c r="H115" i="15" s="1"/>
  <c r="P111" i="15"/>
  <c r="V111" i="15" s="1"/>
  <c r="F111" i="15" s="1"/>
  <c r="H111" i="15" s="1"/>
  <c r="P107" i="15"/>
  <c r="V107" i="15" s="1"/>
  <c r="F107" i="15" s="1"/>
  <c r="H107" i="15" s="1"/>
  <c r="P83" i="15"/>
  <c r="V83" i="15" s="1"/>
  <c r="F83" i="15" s="1"/>
  <c r="G83" i="15" s="1"/>
  <c r="BX83" i="6" s="1"/>
  <c r="P116" i="15"/>
  <c r="V116" i="15" s="1"/>
  <c r="F116" i="15" s="1"/>
  <c r="H116" i="15" s="1"/>
  <c r="P124" i="15"/>
  <c r="V124" i="15" s="1"/>
  <c r="F124" i="15" s="1"/>
  <c r="G124" i="15" s="1"/>
  <c r="BX124" i="6" s="1"/>
  <c r="P132" i="15"/>
  <c r="V132" i="15" s="1"/>
  <c r="F132" i="15" s="1"/>
  <c r="P140" i="15"/>
  <c r="V140" i="15" s="1"/>
  <c r="F140" i="15" s="1"/>
  <c r="H140" i="15" s="1"/>
  <c r="P98" i="15"/>
  <c r="V98" i="15" s="1"/>
  <c r="F98" i="15" s="1"/>
  <c r="H98" i="15" s="1"/>
  <c r="P154" i="15"/>
  <c r="V154" i="15" s="1"/>
  <c r="F154" i="15" s="1"/>
  <c r="H154" i="15" s="1"/>
  <c r="P170" i="15"/>
  <c r="V170" i="15" s="1"/>
  <c r="F170" i="15" s="1"/>
  <c r="P195" i="15"/>
  <c r="V195" i="15" s="1"/>
  <c r="F195" i="15" s="1"/>
  <c r="H195" i="15" s="1"/>
  <c r="P176" i="15"/>
  <c r="V176" i="15" s="1"/>
  <c r="F176" i="15" s="1"/>
  <c r="H176" i="15" s="1"/>
  <c r="P144" i="15"/>
  <c r="V144" i="15" s="1"/>
  <c r="F144" i="15" s="1"/>
  <c r="H144" i="15" s="1"/>
  <c r="P130" i="15"/>
  <c r="V130" i="15" s="1"/>
  <c r="F130" i="15" s="1"/>
  <c r="P191" i="15"/>
  <c r="V191" i="15" s="1"/>
  <c r="F191" i="15" s="1"/>
  <c r="H191" i="15" s="1"/>
  <c r="J15" i="7"/>
  <c r="P152" i="15"/>
  <c r="V152" i="15" s="1"/>
  <c r="F152" i="15" s="1"/>
  <c r="H152" i="15" s="1"/>
  <c r="D41" i="7"/>
  <c r="V302" i="15"/>
  <c r="F302" i="15" s="1"/>
  <c r="G302" i="15" s="1"/>
  <c r="BX302" i="6" s="1"/>
  <c r="AD101" i="15"/>
  <c r="AD105" i="15"/>
  <c r="AA105" i="15" s="1"/>
  <c r="Z105" i="15" s="1"/>
  <c r="Y105" i="15" s="1"/>
  <c r="AD109" i="15"/>
  <c r="AD125" i="15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A201" i="15" s="1"/>
  <c r="Z201" i="15" s="1"/>
  <c r="Y201" i="15" s="1"/>
  <c r="AD213" i="15"/>
  <c r="AA213" i="15" s="1"/>
  <c r="Z213" i="15" s="1"/>
  <c r="Y213" i="15" s="1"/>
  <c r="P160" i="15"/>
  <c r="V160" i="15" s="1"/>
  <c r="F160" i="15" s="1"/>
  <c r="H160" i="15" s="1"/>
  <c r="P114" i="15"/>
  <c r="V114" i="15" s="1"/>
  <c r="F114" i="15" s="1"/>
  <c r="G114" i="15" s="1"/>
  <c r="BX114" i="6" s="1"/>
  <c r="P168" i="15"/>
  <c r="V168" i="15" s="1"/>
  <c r="F168" i="15" s="1"/>
  <c r="H168" i="15" s="1"/>
  <c r="P136" i="15"/>
  <c r="V136" i="15" s="1"/>
  <c r="P19" i="15"/>
  <c r="V19" i="15" s="1"/>
  <c r="F19" i="15" s="1"/>
  <c r="H19" i="15" s="1"/>
  <c r="L38" i="19"/>
  <c r="P56" i="15"/>
  <c r="V56" i="15" s="1"/>
  <c r="F56" i="15" s="1"/>
  <c r="P17" i="15"/>
  <c r="V17" i="15" s="1"/>
  <c r="F17" i="15" s="1"/>
  <c r="P172" i="15"/>
  <c r="V172" i="15" s="1"/>
  <c r="F172" i="15" s="1"/>
  <c r="H172" i="15" s="1"/>
  <c r="P276" i="15"/>
  <c r="V276" i="15" s="1"/>
  <c r="F276" i="15" s="1"/>
  <c r="G276" i="15" s="1"/>
  <c r="BX276" i="6" s="1"/>
  <c r="P324" i="15"/>
  <c r="V324" i="15" s="1"/>
  <c r="P227" i="15"/>
  <c r="V227" i="15" s="1"/>
  <c r="P271" i="15"/>
  <c r="V271" i="15" s="1"/>
  <c r="F271" i="15" s="1"/>
  <c r="AA271" i="15" s="1"/>
  <c r="Z271" i="15" s="1"/>
  <c r="Y271" i="15" s="1"/>
  <c r="P365" i="15"/>
  <c r="V365" i="15" s="1"/>
  <c r="F365" i="15" s="1"/>
  <c r="G365" i="15" s="1"/>
  <c r="BX365" i="6" s="1"/>
  <c r="P72" i="15"/>
  <c r="P80" i="15"/>
  <c r="V80" i="15" s="1"/>
  <c r="F80" i="15" s="1"/>
  <c r="H80" i="15" s="1"/>
  <c r="P112" i="15"/>
  <c r="V112" i="15" s="1"/>
  <c r="F112" i="15" s="1"/>
  <c r="H112" i="15" s="1"/>
  <c r="P120" i="15"/>
  <c r="V120" i="15" s="1"/>
  <c r="F120" i="15" s="1"/>
  <c r="H120" i="15" s="1"/>
  <c r="P128" i="15"/>
  <c r="V128" i="15" s="1"/>
  <c r="F128" i="15" s="1"/>
  <c r="H128" i="15" s="1"/>
  <c r="D43" i="7"/>
  <c r="V363" i="15"/>
  <c r="F363" i="15" s="1"/>
  <c r="G363" i="15" s="1"/>
  <c r="BX363" i="6" s="1"/>
  <c r="P145" i="15"/>
  <c r="V145" i="15" s="1"/>
  <c r="F145" i="15" s="1"/>
  <c r="H145" i="15" s="1"/>
  <c r="P269" i="15"/>
  <c r="V269" i="15" s="1"/>
  <c r="F269" i="15" s="1"/>
  <c r="H269" i="15" s="1"/>
  <c r="P277" i="15"/>
  <c r="V277" i="15" s="1"/>
  <c r="F277" i="15" s="1"/>
  <c r="H277" i="15" s="1"/>
  <c r="P333" i="15"/>
  <c r="V333" i="15" s="1"/>
  <c r="F333" i="15" s="1"/>
  <c r="P345" i="15"/>
  <c r="V345" i="15" s="1"/>
  <c r="F345" i="15" s="1"/>
  <c r="H345" i="15" s="1"/>
  <c r="P31" i="15"/>
  <c r="V31" i="15" s="1"/>
  <c r="F31" i="15" s="1"/>
  <c r="G31" i="15" s="1"/>
  <c r="BX31" i="6" s="1"/>
  <c r="P68" i="15"/>
  <c r="V68" i="15" s="1"/>
  <c r="F68" i="15" s="1"/>
  <c r="H68" i="15" s="1"/>
  <c r="P76" i="15"/>
  <c r="V76" i="15" s="1"/>
  <c r="F76" i="15" s="1"/>
  <c r="G76" i="15" s="1"/>
  <c r="BX76" i="6" s="1"/>
  <c r="P84" i="15"/>
  <c r="V84" i="15" s="1"/>
  <c r="F84" i="15" s="1"/>
  <c r="G84" i="15" s="1"/>
  <c r="BX84" i="6" s="1"/>
  <c r="P181" i="15"/>
  <c r="V181" i="15" s="1"/>
  <c r="F181" i="15" s="1"/>
  <c r="H181" i="15" s="1"/>
  <c r="P177" i="15"/>
  <c r="V177" i="15" s="1"/>
  <c r="F177" i="15" s="1"/>
  <c r="H177" i="15" s="1"/>
  <c r="P173" i="15"/>
  <c r="V173" i="15" s="1"/>
  <c r="F173" i="15" s="1"/>
  <c r="H173" i="15" s="1"/>
  <c r="P169" i="15"/>
  <c r="V169" i="15" s="1"/>
  <c r="F169" i="15" s="1"/>
  <c r="P161" i="15"/>
  <c r="V161" i="15" s="1"/>
  <c r="F161" i="15" s="1"/>
  <c r="P157" i="15"/>
  <c r="V157" i="15" s="1"/>
  <c r="F157" i="15" s="1"/>
  <c r="G157" i="15" s="1"/>
  <c r="BX157" i="6" s="1"/>
  <c r="P153" i="15"/>
  <c r="V153" i="15" s="1"/>
  <c r="F153" i="15" s="1"/>
  <c r="AA153" i="15" s="1"/>
  <c r="Z153" i="15" s="1"/>
  <c r="Y153" i="15" s="1"/>
  <c r="P149" i="15"/>
  <c r="V149" i="15" s="1"/>
  <c r="F149" i="15" s="1"/>
  <c r="H149" i="15" s="1"/>
  <c r="P141" i="15"/>
  <c r="V141" i="15" s="1"/>
  <c r="F141" i="15" s="1"/>
  <c r="H141" i="15" s="1"/>
  <c r="P133" i="15"/>
  <c r="V133" i="15" s="1"/>
  <c r="F133" i="15" s="1"/>
  <c r="H133" i="15" s="1"/>
  <c r="P129" i="15"/>
  <c r="V129" i="15" s="1"/>
  <c r="F129" i="15" s="1"/>
  <c r="AA129" i="15" s="1"/>
  <c r="Z129" i="15" s="1"/>
  <c r="Y129" i="15" s="1"/>
  <c r="P125" i="15"/>
  <c r="V125" i="15" s="1"/>
  <c r="F125" i="15" s="1"/>
  <c r="H125" i="15" s="1"/>
  <c r="P121" i="15"/>
  <c r="V121" i="15" s="1"/>
  <c r="F121" i="15" s="1"/>
  <c r="G121" i="15" s="1"/>
  <c r="BX121" i="6" s="1"/>
  <c r="P117" i="15"/>
  <c r="V117" i="15" s="1"/>
  <c r="F117" i="15" s="1"/>
  <c r="H117" i="15" s="1"/>
  <c r="P113" i="15"/>
  <c r="V113" i="15" s="1"/>
  <c r="F113" i="15" s="1"/>
  <c r="G113" i="15" s="1"/>
  <c r="BX113" i="6" s="1"/>
  <c r="P109" i="15"/>
  <c r="V109" i="15" s="1"/>
  <c r="F109" i="15" s="1"/>
  <c r="P61" i="15"/>
  <c r="V61" i="15" s="1"/>
  <c r="F61" i="15" s="1"/>
  <c r="H61" i="15" s="1"/>
  <c r="P53" i="15"/>
  <c r="V53" i="15" s="1"/>
  <c r="F53" i="15" s="1"/>
  <c r="H53" i="15" s="1"/>
  <c r="P29" i="15"/>
  <c r="V29" i="15" s="1"/>
  <c r="F29" i="15" s="1"/>
  <c r="V180" i="15"/>
  <c r="F180" i="15" s="1"/>
  <c r="G180" i="15" s="1"/>
  <c r="BX180" i="6" s="1"/>
  <c r="V210" i="15"/>
  <c r="F210" i="15" s="1"/>
  <c r="H210" i="15" s="1"/>
  <c r="P47" i="15"/>
  <c r="V47" i="15" s="1"/>
  <c r="F47" i="15" s="1"/>
  <c r="AA47" i="15" s="1"/>
  <c r="Z47" i="15" s="1"/>
  <c r="Y47" i="15" s="1"/>
  <c r="AJ12" i="17"/>
  <c r="F378" i="15"/>
  <c r="G378" i="15" s="1"/>
  <c r="BX378" i="6" s="1"/>
  <c r="AJ10" i="15"/>
  <c r="AJ12" i="15" s="1"/>
  <c r="AJ13" i="15" s="1"/>
  <c r="AD217" i="15"/>
  <c r="AA217" i="15" s="1"/>
  <c r="Z217" i="15" s="1"/>
  <c r="Y217" i="15" s="1"/>
  <c r="AD221" i="15"/>
  <c r="AA221" i="15" s="1"/>
  <c r="Z221" i="15" s="1"/>
  <c r="Y221" i="15" s="1"/>
  <c r="AD237" i="15"/>
  <c r="AA237" i="15" s="1"/>
  <c r="Z237" i="15" s="1"/>
  <c r="Y237" i="15" s="1"/>
  <c r="AD241" i="15"/>
  <c r="AD249" i="15"/>
  <c r="AA249" i="15" s="1"/>
  <c r="Z249" i="15" s="1"/>
  <c r="Y249" i="15" s="1"/>
  <c r="AD253" i="15"/>
  <c r="AA253" i="15" s="1"/>
  <c r="Z253" i="15" s="1"/>
  <c r="Y253" i="15" s="1"/>
  <c r="AD257" i="15"/>
  <c r="AA257" i="15" s="1"/>
  <c r="Z257" i="15" s="1"/>
  <c r="Y257" i="15" s="1"/>
  <c r="AD261" i="15"/>
  <c r="AA261" i="15" s="1"/>
  <c r="Z261" i="15" s="1"/>
  <c r="Y261" i="15" s="1"/>
  <c r="AD265" i="15"/>
  <c r="AA265" i="15" s="1"/>
  <c r="Z265" i="15" s="1"/>
  <c r="Y265" i="15" s="1"/>
  <c r="AD269" i="15"/>
  <c r="AA269" i="15" s="1"/>
  <c r="Z269" i="15" s="1"/>
  <c r="Y269" i="15" s="1"/>
  <c r="AD273" i="15"/>
  <c r="AD277" i="15"/>
  <c r="AD281" i="15"/>
  <c r="AA281" i="15" s="1"/>
  <c r="Z281" i="15" s="1"/>
  <c r="Y281" i="15" s="1"/>
  <c r="AD285" i="15"/>
  <c r="AA285" i="15" s="1"/>
  <c r="Z285" i="15" s="1"/>
  <c r="Y285" i="15" s="1"/>
  <c r="AD289" i="15"/>
  <c r="AA289" i="15" s="1"/>
  <c r="Z289" i="15" s="1"/>
  <c r="Y289" i="15" s="1"/>
  <c r="V88" i="15"/>
  <c r="F88" i="15" s="1"/>
  <c r="H88" i="15" s="1"/>
  <c r="D34" i="7"/>
  <c r="AD301" i="15"/>
  <c r="AA301" i="15" s="1"/>
  <c r="Z301" i="15" s="1"/>
  <c r="Y301" i="15" s="1"/>
  <c r="AD309" i="15"/>
  <c r="AA309" i="15" s="1"/>
  <c r="Z309" i="15" s="1"/>
  <c r="Y309" i="15" s="1"/>
  <c r="AD313" i="15"/>
  <c r="AA313" i="15" s="1"/>
  <c r="Z313" i="15" s="1"/>
  <c r="Y313" i="15" s="1"/>
  <c r="AD317" i="15"/>
  <c r="AA317" i="15" s="1"/>
  <c r="Z317" i="15" s="1"/>
  <c r="Y317" i="15" s="1"/>
  <c r="AD333" i="15"/>
  <c r="AD337" i="15"/>
  <c r="AA337" i="15" s="1"/>
  <c r="Z337" i="15" s="1"/>
  <c r="Y337" i="15" s="1"/>
  <c r="AD341" i="15"/>
  <c r="AA341" i="15" s="1"/>
  <c r="Z341" i="15" s="1"/>
  <c r="Y341" i="15" s="1"/>
  <c r="AD345" i="15"/>
  <c r="AA345" i="15" s="1"/>
  <c r="Z345" i="15" s="1"/>
  <c r="Y345" i="15" s="1"/>
  <c r="AD349" i="15"/>
  <c r="AA349" i="15" s="1"/>
  <c r="Z349" i="15" s="1"/>
  <c r="Y349" i="15" s="1"/>
  <c r="AD353" i="15"/>
  <c r="AA353" i="15" s="1"/>
  <c r="Z353" i="15" s="1"/>
  <c r="Y353" i="15" s="1"/>
  <c r="AD357" i="15"/>
  <c r="AA357" i="15" s="1"/>
  <c r="Z357" i="15" s="1"/>
  <c r="Y357" i="15" s="1"/>
  <c r="AD365" i="15"/>
  <c r="AA365" i="15" s="1"/>
  <c r="Z365" i="15" s="1"/>
  <c r="Y365" i="15" s="1"/>
  <c r="AD373" i="15"/>
  <c r="AA373" i="15" s="1"/>
  <c r="Z373" i="15" s="1"/>
  <c r="Y373" i="15" s="1"/>
  <c r="D36" i="7"/>
  <c r="P51" i="15"/>
  <c r="V51" i="15" s="1"/>
  <c r="P39" i="15"/>
  <c r="V39" i="15" s="1"/>
  <c r="F39" i="15" s="1"/>
  <c r="G39" i="15" s="1"/>
  <c r="BX39" i="6" s="1"/>
  <c r="P35" i="15"/>
  <c r="V35" i="15" s="1"/>
  <c r="F35" i="15" s="1"/>
  <c r="AA35" i="15" s="1"/>
  <c r="Z35" i="15" s="1"/>
  <c r="Y35" i="15" s="1"/>
  <c r="E383" i="15"/>
  <c r="AK8" i="15"/>
  <c r="E381" i="15"/>
  <c r="E9" i="15"/>
  <c r="E11" i="15" s="1"/>
  <c r="E382" i="15"/>
  <c r="AJ3" i="15"/>
  <c r="O12" i="19" s="1"/>
  <c r="P34" i="15"/>
  <c r="V34" i="15" s="1"/>
  <c r="F34" i="15" s="1"/>
  <c r="G34" i="15" s="1"/>
  <c r="BX34" i="6" s="1"/>
  <c r="U381" i="15"/>
  <c r="P27" i="15"/>
  <c r="V27" i="15" s="1"/>
  <c r="F27" i="15" s="1"/>
  <c r="H27" i="15" s="1"/>
  <c r="P43" i="15"/>
  <c r="V43" i="15" s="1"/>
  <c r="F43" i="15" s="1"/>
  <c r="AA43" i="15" s="1"/>
  <c r="Z43" i="15" s="1"/>
  <c r="Y43" i="15" s="1"/>
  <c r="P55" i="15"/>
  <c r="V55" i="15" s="1"/>
  <c r="F55" i="15" s="1"/>
  <c r="G55" i="15" s="1"/>
  <c r="BX55" i="6" s="1"/>
  <c r="P63" i="15"/>
  <c r="V63" i="15" s="1"/>
  <c r="F63" i="15" s="1"/>
  <c r="H63" i="15" s="1"/>
  <c r="V74" i="15"/>
  <c r="F74" i="15" s="1"/>
  <c r="V78" i="15"/>
  <c r="F78" i="15" s="1"/>
  <c r="V72" i="15"/>
  <c r="F72" i="15" s="1"/>
  <c r="H72" i="15" s="1"/>
  <c r="P28" i="15"/>
  <c r="V28" i="15" s="1"/>
  <c r="F28" i="15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D72" i="15"/>
  <c r="AD76" i="15"/>
  <c r="AD92" i="15"/>
  <c r="AD104" i="15"/>
  <c r="AA104" i="15" s="1"/>
  <c r="Z104" i="15" s="1"/>
  <c r="Y104" i="15" s="1"/>
  <c r="AD112" i="15"/>
  <c r="AD124" i="15"/>
  <c r="AA124" i="15" s="1"/>
  <c r="Z124" i="15" s="1"/>
  <c r="Y124" i="15" s="1"/>
  <c r="AD136" i="15"/>
  <c r="AD140" i="15"/>
  <c r="AA140" i="15" s="1"/>
  <c r="Z140" i="15" s="1"/>
  <c r="Y140" i="15" s="1"/>
  <c r="AD156" i="15"/>
  <c r="AA156" i="15" s="1"/>
  <c r="Z156" i="15" s="1"/>
  <c r="Y156" i="15" s="1"/>
  <c r="AD160" i="15"/>
  <c r="AD164" i="15"/>
  <c r="AA164" i="15" s="1"/>
  <c r="Z164" i="15" s="1"/>
  <c r="Y164" i="15" s="1"/>
  <c r="AD176" i="15"/>
  <c r="AD184" i="15"/>
  <c r="AA184" i="15" s="1"/>
  <c r="Z184" i="15" s="1"/>
  <c r="Y184" i="15" s="1"/>
  <c r="AD192" i="15"/>
  <c r="AA192" i="15" s="1"/>
  <c r="Z192" i="15" s="1"/>
  <c r="Y192" i="15" s="1"/>
  <c r="AD200" i="15"/>
  <c r="AA200" i="15" s="1"/>
  <c r="Z200" i="15" s="1"/>
  <c r="Y200" i="15" s="1"/>
  <c r="AD216" i="15"/>
  <c r="AD220" i="15"/>
  <c r="AD224" i="15"/>
  <c r="AD236" i="15"/>
  <c r="AD240" i="15"/>
  <c r="AA240" i="15" s="1"/>
  <c r="Z240" i="15" s="1"/>
  <c r="Y240" i="15" s="1"/>
  <c r="AD244" i="15"/>
  <c r="AD264" i="15"/>
  <c r="AD280" i="15"/>
  <c r="AA280" i="15" s="1"/>
  <c r="Z280" i="15" s="1"/>
  <c r="Y280" i="15" s="1"/>
  <c r="AD288" i="15"/>
  <c r="AD316" i="15"/>
  <c r="AD324" i="15"/>
  <c r="AD336" i="15"/>
  <c r="AA336" i="15" s="1"/>
  <c r="Z336" i="15" s="1"/>
  <c r="Y336" i="15" s="1"/>
  <c r="AD340" i="15"/>
  <c r="AA340" i="15" s="1"/>
  <c r="Z340" i="15" s="1"/>
  <c r="Y340" i="15" s="1"/>
  <c r="AD344" i="15"/>
  <c r="AA344" i="15" s="1"/>
  <c r="Z344" i="15" s="1"/>
  <c r="Y344" i="15" s="1"/>
  <c r="AD356" i="15"/>
  <c r="AA356" i="15" s="1"/>
  <c r="Z356" i="15" s="1"/>
  <c r="Y356" i="15" s="1"/>
  <c r="AD360" i="15"/>
  <c r="AA360" i="15" s="1"/>
  <c r="Z360" i="15" s="1"/>
  <c r="Y360" i="15" s="1"/>
  <c r="AD368" i="15"/>
  <c r="AJ7" i="16"/>
  <c r="AJ6" i="16"/>
  <c r="AJ9" i="16"/>
  <c r="AJ5" i="16"/>
  <c r="AK5" i="16"/>
  <c r="AM5" i="16"/>
  <c r="AK9" i="16"/>
  <c r="AK6" i="16"/>
  <c r="AM7" i="16"/>
  <c r="AM11" i="16" s="1"/>
  <c r="AK7" i="16"/>
  <c r="AK11" i="16" s="1"/>
  <c r="AM9" i="16"/>
  <c r="L382" i="16"/>
  <c r="L381" i="16"/>
  <c r="D380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A102" i="15" s="1"/>
  <c r="Z102" i="15" s="1"/>
  <c r="Y102" i="15" s="1"/>
  <c r="AD130" i="15"/>
  <c r="AD134" i="15"/>
  <c r="AD138" i="15"/>
  <c r="AD142" i="15"/>
  <c r="AA142" i="15" s="1"/>
  <c r="Z142" i="15" s="1"/>
  <c r="Y142" i="15" s="1"/>
  <c r="AD150" i="15"/>
  <c r="AD162" i="15"/>
  <c r="AA162" i="15" s="1"/>
  <c r="Z162" i="15" s="1"/>
  <c r="Y162" i="15" s="1"/>
  <c r="AD166" i="15"/>
  <c r="AA166" i="15" s="1"/>
  <c r="Z166" i="15" s="1"/>
  <c r="Y166" i="15" s="1"/>
  <c r="AD170" i="15"/>
  <c r="AD182" i="15"/>
  <c r="AA182" i="15" s="1"/>
  <c r="Z182" i="15" s="1"/>
  <c r="Y182" i="15" s="1"/>
  <c r="AD202" i="15"/>
  <c r="AA202" i="15" s="1"/>
  <c r="Z202" i="15" s="1"/>
  <c r="Y202" i="15" s="1"/>
  <c r="AD206" i="15"/>
  <c r="AA206" i="15" s="1"/>
  <c r="Z206" i="15" s="1"/>
  <c r="Y206" i="15" s="1"/>
  <c r="AD210" i="15"/>
  <c r="AD230" i="15"/>
  <c r="AA230" i="15" s="1"/>
  <c r="Z230" i="15" s="1"/>
  <c r="Y230" i="15" s="1"/>
  <c r="AD234" i="15"/>
  <c r="AA234" i="15" s="1"/>
  <c r="Z234" i="15" s="1"/>
  <c r="Y234" i="15" s="1"/>
  <c r="AD238" i="15"/>
  <c r="AA238" i="15" s="1"/>
  <c r="Z238" i="15" s="1"/>
  <c r="Y238" i="15" s="1"/>
  <c r="AD254" i="15"/>
  <c r="AD258" i="15"/>
  <c r="AA258" i="15" s="1"/>
  <c r="Z258" i="15" s="1"/>
  <c r="Y258" i="15" s="1"/>
  <c r="AD262" i="15"/>
  <c r="AA262" i="15" s="1"/>
  <c r="Z262" i="15" s="1"/>
  <c r="Y262" i="15" s="1"/>
  <c r="AD278" i="15"/>
  <c r="AA278" i="15" s="1"/>
  <c r="Z278" i="15" s="1"/>
  <c r="Y278" i="15" s="1"/>
  <c r="AD282" i="15"/>
  <c r="AA282" i="15" s="1"/>
  <c r="Z282" i="15" s="1"/>
  <c r="Y282" i="15" s="1"/>
  <c r="AD290" i="15"/>
  <c r="AA290" i="15" s="1"/>
  <c r="Z290" i="15" s="1"/>
  <c r="Y290" i="15" s="1"/>
  <c r="AD294" i="15"/>
  <c r="AA294" i="15" s="1"/>
  <c r="Z294" i="15" s="1"/>
  <c r="Y294" i="15" s="1"/>
  <c r="AD310" i="15"/>
  <c r="AA310" i="15" s="1"/>
  <c r="Z310" i="15" s="1"/>
  <c r="Y310" i="15" s="1"/>
  <c r="AD318" i="15"/>
  <c r="AD322" i="15"/>
  <c r="AA322" i="15" s="1"/>
  <c r="Z322" i="15" s="1"/>
  <c r="Y322" i="15" s="1"/>
  <c r="AD342" i="15"/>
  <c r="AA342" i="15" s="1"/>
  <c r="Z342" i="15" s="1"/>
  <c r="Y342" i="15" s="1"/>
  <c r="AD350" i="15"/>
  <c r="AA350" i="15" s="1"/>
  <c r="Z350" i="15" s="1"/>
  <c r="Y350" i="15" s="1"/>
  <c r="AD374" i="15"/>
  <c r="AA374" i="15" s="1"/>
  <c r="Z374" i="15" s="1"/>
  <c r="Y374" i="15" s="1"/>
  <c r="AD378" i="15"/>
  <c r="AC382" i="16"/>
  <c r="AC381" i="16"/>
  <c r="AC383" i="16"/>
  <c r="O383" i="16"/>
  <c r="O382" i="16"/>
  <c r="O381" i="16"/>
  <c r="V26" i="15"/>
  <c r="F26" i="15" s="1"/>
  <c r="V46" i="15"/>
  <c r="F46" i="15" s="1"/>
  <c r="V50" i="15"/>
  <c r="F50" i="15" s="1"/>
  <c r="V58" i="15"/>
  <c r="F58" i="15" s="1"/>
  <c r="G100" i="15"/>
  <c r="BX100" i="6" s="1"/>
  <c r="V108" i="15"/>
  <c r="H124" i="15"/>
  <c r="G144" i="15"/>
  <c r="BX144" i="6" s="1"/>
  <c r="G164" i="15"/>
  <c r="BX164" i="6" s="1"/>
  <c r="H164" i="15"/>
  <c r="G222" i="15"/>
  <c r="BX222" i="6" s="1"/>
  <c r="H222" i="15"/>
  <c r="G230" i="15"/>
  <c r="BX230" i="6" s="1"/>
  <c r="H230" i="15"/>
  <c r="H238" i="15"/>
  <c r="G238" i="15"/>
  <c r="BX238" i="6" s="1"/>
  <c r="H262" i="15"/>
  <c r="G262" i="15"/>
  <c r="BX262" i="6" s="1"/>
  <c r="H270" i="15"/>
  <c r="G270" i="15"/>
  <c r="BX270" i="6" s="1"/>
  <c r="G278" i="15"/>
  <c r="BX278" i="6" s="1"/>
  <c r="H278" i="15"/>
  <c r="H294" i="15"/>
  <c r="G294" i="15"/>
  <c r="BX294" i="6" s="1"/>
  <c r="G243" i="15"/>
  <c r="BX243" i="6" s="1"/>
  <c r="H243" i="15"/>
  <c r="H251" i="15"/>
  <c r="G251" i="15"/>
  <c r="BX251" i="6" s="1"/>
  <c r="AA251" i="15"/>
  <c r="Z251" i="15" s="1"/>
  <c r="Y251" i="15" s="1"/>
  <c r="G259" i="15"/>
  <c r="BX259" i="6" s="1"/>
  <c r="AA259" i="15"/>
  <c r="Z259" i="15" s="1"/>
  <c r="Y259" i="15" s="1"/>
  <c r="H259" i="15"/>
  <c r="AA263" i="15"/>
  <c r="Z263" i="15" s="1"/>
  <c r="Y263" i="15" s="1"/>
  <c r="G263" i="15"/>
  <c r="BX263" i="6" s="1"/>
  <c r="H263" i="15"/>
  <c r="G267" i="15"/>
  <c r="BX267" i="6" s="1"/>
  <c r="H267" i="15"/>
  <c r="AA267" i="15"/>
  <c r="Z267" i="15" s="1"/>
  <c r="Y267" i="15" s="1"/>
  <c r="G275" i="15"/>
  <c r="BX275" i="6" s="1"/>
  <c r="H275" i="15"/>
  <c r="AA283" i="15"/>
  <c r="Z283" i="15" s="1"/>
  <c r="Y283" i="15" s="1"/>
  <c r="G283" i="15"/>
  <c r="BX283" i="6" s="1"/>
  <c r="H283" i="15"/>
  <c r="G291" i="15"/>
  <c r="BX291" i="6" s="1"/>
  <c r="AA291" i="15"/>
  <c r="Z291" i="15" s="1"/>
  <c r="Y291" i="15" s="1"/>
  <c r="H291" i="15"/>
  <c r="G299" i="15"/>
  <c r="BX299" i="6" s="1"/>
  <c r="AA299" i="15"/>
  <c r="Z299" i="15" s="1"/>
  <c r="Y299" i="15" s="1"/>
  <c r="H299" i="15"/>
  <c r="AA307" i="15"/>
  <c r="Z307" i="15" s="1"/>
  <c r="Y307" i="15" s="1"/>
  <c r="H307" i="15"/>
  <c r="G307" i="15"/>
  <c r="BX307" i="6" s="1"/>
  <c r="AA315" i="15"/>
  <c r="Z315" i="15" s="1"/>
  <c r="Y315" i="15" s="1"/>
  <c r="H315" i="15"/>
  <c r="G315" i="15"/>
  <c r="BX315" i="6" s="1"/>
  <c r="G323" i="15"/>
  <c r="BX323" i="6" s="1"/>
  <c r="H323" i="15"/>
  <c r="G331" i="15"/>
  <c r="BX331" i="6" s="1"/>
  <c r="H331" i="15"/>
  <c r="H339" i="15"/>
  <c r="G339" i="15"/>
  <c r="BX339" i="6" s="1"/>
  <c r="H347" i="15"/>
  <c r="AA347" i="15"/>
  <c r="Z347" i="15" s="1"/>
  <c r="Y347" i="15" s="1"/>
  <c r="G347" i="15"/>
  <c r="BX347" i="6" s="1"/>
  <c r="H355" i="15"/>
  <c r="G355" i="15"/>
  <c r="BX355" i="6" s="1"/>
  <c r="V16" i="15"/>
  <c r="F16" i="15" s="1"/>
  <c r="V32" i="15"/>
  <c r="F32" i="15" s="1"/>
  <c r="D33" i="7"/>
  <c r="V64" i="15"/>
  <c r="F64" i="15" s="1"/>
  <c r="G90" i="15"/>
  <c r="BX90" i="6" s="1"/>
  <c r="H90" i="15"/>
  <c r="G94" i="15"/>
  <c r="BX94" i="6" s="1"/>
  <c r="H94" i="15"/>
  <c r="G102" i="15"/>
  <c r="BX102" i="6" s="1"/>
  <c r="G106" i="15"/>
  <c r="BX106" i="6" s="1"/>
  <c r="H106" i="15"/>
  <c r="G110" i="15"/>
  <c r="BX110" i="6" s="1"/>
  <c r="H110" i="15"/>
  <c r="G118" i="15"/>
  <c r="BX118" i="6" s="1"/>
  <c r="H118" i="15"/>
  <c r="G122" i="15"/>
  <c r="BX122" i="6" s="1"/>
  <c r="H122" i="15"/>
  <c r="G126" i="15"/>
  <c r="BX126" i="6" s="1"/>
  <c r="H126" i="15"/>
  <c r="G142" i="15"/>
  <c r="BX142" i="6" s="1"/>
  <c r="H142" i="15"/>
  <c r="G146" i="15"/>
  <c r="BX146" i="6" s="1"/>
  <c r="H146" i="15"/>
  <c r="G158" i="15"/>
  <c r="BX158" i="6" s="1"/>
  <c r="H158" i="15"/>
  <c r="G162" i="15"/>
  <c r="BX162" i="6" s="1"/>
  <c r="H162" i="15"/>
  <c r="G166" i="15"/>
  <c r="BX166" i="6" s="1"/>
  <c r="H166" i="15"/>
  <c r="H174" i="15"/>
  <c r="G174" i="15"/>
  <c r="BX174" i="6" s="1"/>
  <c r="G178" i="15"/>
  <c r="BX178" i="6" s="1"/>
  <c r="H178" i="15"/>
  <c r="G216" i="15"/>
  <c r="BX216" i="6" s="1"/>
  <c r="H220" i="15"/>
  <c r="G228" i="15"/>
  <c r="BX228" i="6" s="1"/>
  <c r="G232" i="15"/>
  <c r="BX232" i="6" s="1"/>
  <c r="H232" i="15"/>
  <c r="G236" i="15"/>
  <c r="BX236" i="6" s="1"/>
  <c r="H240" i="15"/>
  <c r="G240" i="15"/>
  <c r="BX240" i="6" s="1"/>
  <c r="G248" i="15"/>
  <c r="BX248" i="6" s="1"/>
  <c r="G252" i="15"/>
  <c r="BX252" i="6" s="1"/>
  <c r="H252" i="15"/>
  <c r="G256" i="15"/>
  <c r="BX256" i="6" s="1"/>
  <c r="H256" i="15"/>
  <c r="H260" i="15"/>
  <c r="G268" i="15"/>
  <c r="BX268" i="6" s="1"/>
  <c r="V272" i="15"/>
  <c r="F272" i="15" s="1"/>
  <c r="H280" i="15"/>
  <c r="G280" i="15"/>
  <c r="BX280" i="6" s="1"/>
  <c r="G284" i="15"/>
  <c r="BX284" i="6" s="1"/>
  <c r="H284" i="15"/>
  <c r="G292" i="15"/>
  <c r="BX292" i="6" s="1"/>
  <c r="H137" i="15"/>
  <c r="G245" i="15"/>
  <c r="BX245" i="6" s="1"/>
  <c r="H245" i="15"/>
  <c r="G249" i="15"/>
  <c r="BX249" i="6" s="1"/>
  <c r="H249" i="15"/>
  <c r="G253" i="15"/>
  <c r="BX253" i="6" s="1"/>
  <c r="H253" i="15"/>
  <c r="H257" i="15"/>
  <c r="H261" i="15"/>
  <c r="G261" i="15"/>
  <c r="BX261" i="6" s="1"/>
  <c r="H265" i="15"/>
  <c r="G265" i="15"/>
  <c r="BX265" i="6" s="1"/>
  <c r="H281" i="15"/>
  <c r="G281" i="15"/>
  <c r="BX281" i="6" s="1"/>
  <c r="G285" i="15"/>
  <c r="BX285" i="6" s="1"/>
  <c r="H285" i="15"/>
  <c r="G289" i="15"/>
  <c r="BX289" i="6" s="1"/>
  <c r="G293" i="15"/>
  <c r="BX293" i="6" s="1"/>
  <c r="H293" i="15"/>
  <c r="V297" i="15"/>
  <c r="F297" i="15" s="1"/>
  <c r="G301" i="15"/>
  <c r="BX301" i="6" s="1"/>
  <c r="H305" i="15"/>
  <c r="G309" i="15"/>
  <c r="BX309" i="6" s="1"/>
  <c r="H309" i="15"/>
  <c r="H313" i="15"/>
  <c r="G313" i="15"/>
  <c r="BX313" i="6" s="1"/>
  <c r="G317" i="15"/>
  <c r="BX317" i="6" s="1"/>
  <c r="H317" i="15"/>
  <c r="G321" i="15"/>
  <c r="BX321" i="6" s="1"/>
  <c r="G325" i="15"/>
  <c r="BX325" i="6" s="1"/>
  <c r="H325" i="15"/>
  <c r="G329" i="15"/>
  <c r="BX329" i="6" s="1"/>
  <c r="H329" i="15"/>
  <c r="H337" i="15"/>
  <c r="G337" i="15"/>
  <c r="BX337" i="6" s="1"/>
  <c r="G341" i="15"/>
  <c r="BX341" i="6" s="1"/>
  <c r="H341" i="15"/>
  <c r="H349" i="15"/>
  <c r="G349" i="15"/>
  <c r="BX349" i="6" s="1"/>
  <c r="G353" i="15"/>
  <c r="BX353" i="6" s="1"/>
  <c r="H353" i="15"/>
  <c r="G357" i="15"/>
  <c r="BX357" i="6" s="1"/>
  <c r="H357" i="15"/>
  <c r="H361" i="15"/>
  <c r="G361" i="15"/>
  <c r="BX361" i="6" s="1"/>
  <c r="V22" i="15"/>
  <c r="F22" i="15" s="1"/>
  <c r="V42" i="15"/>
  <c r="F42" i="15" s="1"/>
  <c r="V54" i="15"/>
  <c r="F54" i="15" s="1"/>
  <c r="G92" i="15"/>
  <c r="BX92" i="6" s="1"/>
  <c r="H96" i="15"/>
  <c r="G96" i="15"/>
  <c r="BX96" i="6" s="1"/>
  <c r="G104" i="15"/>
  <c r="BX104" i="6" s="1"/>
  <c r="H104" i="15"/>
  <c r="H148" i="15"/>
  <c r="G148" i="15"/>
  <c r="BX148" i="6" s="1"/>
  <c r="G156" i="15"/>
  <c r="BX156" i="6" s="1"/>
  <c r="H156" i="15"/>
  <c r="G218" i="15"/>
  <c r="BX218" i="6" s="1"/>
  <c r="H218" i="15"/>
  <c r="H226" i="15"/>
  <c r="G226" i="15"/>
  <c r="BX226" i="6" s="1"/>
  <c r="G234" i="15"/>
  <c r="BX234" i="6" s="1"/>
  <c r="H234" i="15"/>
  <c r="G242" i="15"/>
  <c r="BX242" i="6" s="1"/>
  <c r="H242" i="15"/>
  <c r="H246" i="15"/>
  <c r="G246" i="15"/>
  <c r="BX246" i="6" s="1"/>
  <c r="G250" i="15"/>
  <c r="BX250" i="6" s="1"/>
  <c r="H250" i="15"/>
  <c r="H258" i="15"/>
  <c r="G258" i="15"/>
  <c r="BX258" i="6" s="1"/>
  <c r="G266" i="15"/>
  <c r="BX266" i="6" s="1"/>
  <c r="H266" i="15"/>
  <c r="G274" i="15"/>
  <c r="BX274" i="6" s="1"/>
  <c r="H274" i="15"/>
  <c r="H282" i="15"/>
  <c r="G282" i="15"/>
  <c r="BX282" i="6" s="1"/>
  <c r="H286" i="15"/>
  <c r="G286" i="15"/>
  <c r="BX286" i="6" s="1"/>
  <c r="G290" i="15"/>
  <c r="BX290" i="6" s="1"/>
  <c r="H290" i="15"/>
  <c r="V298" i="15"/>
  <c r="F298" i="15" s="1"/>
  <c r="G247" i="15"/>
  <c r="BX247" i="6" s="1"/>
  <c r="H247" i="15"/>
  <c r="G255" i="15"/>
  <c r="BX255" i="6" s="1"/>
  <c r="AA255" i="15"/>
  <c r="Z255" i="15" s="1"/>
  <c r="Y255" i="15" s="1"/>
  <c r="H255" i="15"/>
  <c r="G279" i="15"/>
  <c r="BX279" i="6" s="1"/>
  <c r="H279" i="15"/>
  <c r="AA279" i="15"/>
  <c r="Z279" i="15" s="1"/>
  <c r="Y279" i="15" s="1"/>
  <c r="H287" i="15"/>
  <c r="G287" i="15"/>
  <c r="BX287" i="6" s="1"/>
  <c r="H295" i="15"/>
  <c r="G295" i="15"/>
  <c r="BX295" i="6" s="1"/>
  <c r="G303" i="15"/>
  <c r="BX303" i="6" s="1"/>
  <c r="AA303" i="15"/>
  <c r="Z303" i="15" s="1"/>
  <c r="Y303" i="15" s="1"/>
  <c r="H303" i="15"/>
  <c r="H311" i="15"/>
  <c r="AA311" i="15"/>
  <c r="Z311" i="15" s="1"/>
  <c r="Y311" i="15" s="1"/>
  <c r="G311" i="15"/>
  <c r="BX311" i="6" s="1"/>
  <c r="G319" i="15"/>
  <c r="BX319" i="6" s="1"/>
  <c r="H319" i="15"/>
  <c r="G327" i="15"/>
  <c r="BX327" i="6" s="1"/>
  <c r="H327" i="15"/>
  <c r="G335" i="15"/>
  <c r="BX335" i="6" s="1"/>
  <c r="H335" i="15"/>
  <c r="G343" i="15"/>
  <c r="BX343" i="6" s="1"/>
  <c r="H343" i="15"/>
  <c r="G351" i="15"/>
  <c r="BX351" i="6" s="1"/>
  <c r="AA351" i="15"/>
  <c r="Z351" i="15" s="1"/>
  <c r="Y351" i="15" s="1"/>
  <c r="H351" i="15"/>
  <c r="AA359" i="15"/>
  <c r="Z359" i="15" s="1"/>
  <c r="Y359" i="15" s="1"/>
  <c r="G359" i="15"/>
  <c r="BX359" i="6" s="1"/>
  <c r="H359" i="15"/>
  <c r="V40" i="15"/>
  <c r="F40" i="15" s="1"/>
  <c r="G86" i="15"/>
  <c r="BX86" i="6" s="1"/>
  <c r="H86" i="15"/>
  <c r="G182" i="15"/>
  <c r="BX182" i="6" s="1"/>
  <c r="H182" i="15"/>
  <c r="H186" i="15"/>
  <c r="G186" i="15"/>
  <c r="BX186" i="6" s="1"/>
  <c r="G190" i="15"/>
  <c r="BX190" i="6" s="1"/>
  <c r="H190" i="15"/>
  <c r="G194" i="15"/>
  <c r="BX194" i="6" s="1"/>
  <c r="H194" i="15"/>
  <c r="H198" i="15"/>
  <c r="G198" i="15"/>
  <c r="BX198" i="6" s="1"/>
  <c r="G202" i="15"/>
  <c r="BX202" i="6" s="1"/>
  <c r="H202" i="15"/>
  <c r="G206" i="15"/>
  <c r="BX206" i="6" s="1"/>
  <c r="H206" i="15"/>
  <c r="H304" i="15"/>
  <c r="G304" i="15"/>
  <c r="BX304" i="6" s="1"/>
  <c r="G306" i="15"/>
  <c r="BX306" i="6" s="1"/>
  <c r="H306" i="15"/>
  <c r="H308" i="15"/>
  <c r="H310" i="15"/>
  <c r="G310" i="15"/>
  <c r="BX310" i="6" s="1"/>
  <c r="H312" i="15"/>
  <c r="G312" i="15"/>
  <c r="BX312" i="6" s="1"/>
  <c r="H314" i="15"/>
  <c r="G314" i="15"/>
  <c r="BX314" i="6" s="1"/>
  <c r="G316" i="15"/>
  <c r="BX316" i="6" s="1"/>
  <c r="G320" i="15"/>
  <c r="BX320" i="6" s="1"/>
  <c r="H320" i="15"/>
  <c r="H322" i="15"/>
  <c r="G322" i="15"/>
  <c r="BX322" i="6" s="1"/>
  <c r="G326" i="15"/>
  <c r="BX326" i="6" s="1"/>
  <c r="H326" i="15"/>
  <c r="G328" i="15"/>
  <c r="BX328" i="6" s="1"/>
  <c r="H328" i="15"/>
  <c r="H330" i="15"/>
  <c r="G330" i="15"/>
  <c r="BX330" i="6" s="1"/>
  <c r="G334" i="15"/>
  <c r="BX334" i="6" s="1"/>
  <c r="H334" i="15"/>
  <c r="H336" i="15"/>
  <c r="G336" i="15"/>
  <c r="BX336" i="6" s="1"/>
  <c r="H338" i="15"/>
  <c r="G338" i="15"/>
  <c r="BX338" i="6" s="1"/>
  <c r="G340" i="15"/>
  <c r="BX340" i="6" s="1"/>
  <c r="H342" i="15"/>
  <c r="G342" i="15"/>
  <c r="BX342" i="6" s="1"/>
  <c r="G344" i="15"/>
  <c r="BX344" i="6" s="1"/>
  <c r="H344" i="15"/>
  <c r="H346" i="15"/>
  <c r="G346" i="15"/>
  <c r="BX346" i="6" s="1"/>
  <c r="G350" i="15"/>
  <c r="BX350" i="6" s="1"/>
  <c r="H350" i="15"/>
  <c r="G352" i="15"/>
  <c r="BX352" i="6" s="1"/>
  <c r="H352" i="15"/>
  <c r="G354" i="15"/>
  <c r="BX354" i="6" s="1"/>
  <c r="H354" i="15"/>
  <c r="G356" i="15"/>
  <c r="BX356" i="6" s="1"/>
  <c r="H356" i="15"/>
  <c r="V358" i="15"/>
  <c r="G360" i="15"/>
  <c r="BX360" i="6" s="1"/>
  <c r="H360" i="15"/>
  <c r="G364" i="15"/>
  <c r="BX364" i="6" s="1"/>
  <c r="H364" i="15"/>
  <c r="G366" i="15"/>
  <c r="BX366" i="6" s="1"/>
  <c r="H366" i="15"/>
  <c r="G368" i="15"/>
  <c r="BX368" i="6" s="1"/>
  <c r="H370" i="15"/>
  <c r="G372" i="15"/>
  <c r="BX372" i="6" s="1"/>
  <c r="H372" i="15"/>
  <c r="G374" i="15"/>
  <c r="BX374" i="6" s="1"/>
  <c r="H374" i="15"/>
  <c r="H376" i="15"/>
  <c r="G376" i="15"/>
  <c r="BX376" i="6" s="1"/>
  <c r="K378" i="22"/>
  <c r="X378" i="22"/>
  <c r="A379" i="22"/>
  <c r="AB378" i="22"/>
  <c r="L378" i="22"/>
  <c r="AJ378" i="22"/>
  <c r="AK378" i="22"/>
  <c r="O378" i="22"/>
  <c r="AC378" i="22"/>
  <c r="AJ9" i="17"/>
  <c r="E9" i="17"/>
  <c r="AK8" i="17"/>
  <c r="E383" i="17"/>
  <c r="E382" i="17"/>
  <c r="E381" i="17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O15" i="7"/>
  <c r="Q10" i="16"/>
  <c r="Q75" i="16" s="1"/>
  <c r="Q210" i="16"/>
  <c r="Q274" i="16"/>
  <c r="Q295" i="16"/>
  <c r="Q303" i="16"/>
  <c r="Q311" i="16"/>
  <c r="Q319" i="16"/>
  <c r="Q327" i="16"/>
  <c r="Q335" i="16"/>
  <c r="Q343" i="16"/>
  <c r="Q351" i="16"/>
  <c r="Q359" i="16"/>
  <c r="Q367" i="16"/>
  <c r="Q375" i="16"/>
  <c r="H33" i="15"/>
  <c r="G33" i="15"/>
  <c r="BX33" i="6" s="1"/>
  <c r="G37" i="15"/>
  <c r="BX37" i="6" s="1"/>
  <c r="H37" i="15"/>
  <c r="G45" i="15"/>
  <c r="BX45" i="6" s="1"/>
  <c r="AA45" i="15"/>
  <c r="Z45" i="15" s="1"/>
  <c r="Y45" i="15" s="1"/>
  <c r="H45" i="15"/>
  <c r="H49" i="15"/>
  <c r="G49" i="15"/>
  <c r="BX49" i="6" s="1"/>
  <c r="G57" i="15"/>
  <c r="BX57" i="6" s="1"/>
  <c r="G59" i="15"/>
  <c r="BX59" i="6" s="1"/>
  <c r="AA59" i="15"/>
  <c r="Z59" i="15" s="1"/>
  <c r="Y59" i="15" s="1"/>
  <c r="H59" i="15"/>
  <c r="H65" i="15"/>
  <c r="G65" i="15"/>
  <c r="BX65" i="6" s="1"/>
  <c r="AA65" i="15"/>
  <c r="Z65" i="15" s="1"/>
  <c r="Y65" i="15" s="1"/>
  <c r="AA67" i="15"/>
  <c r="Z67" i="15" s="1"/>
  <c r="Y67" i="15" s="1"/>
  <c r="G67" i="15"/>
  <c r="BX67" i="6" s="1"/>
  <c r="H67" i="15"/>
  <c r="AA71" i="15"/>
  <c r="Z71" i="15" s="1"/>
  <c r="Y71" i="15" s="1"/>
  <c r="V75" i="15"/>
  <c r="F75" i="15" s="1"/>
  <c r="H77" i="15"/>
  <c r="G79" i="15"/>
  <c r="BX79" i="6" s="1"/>
  <c r="AA79" i="15"/>
  <c r="Z79" i="15" s="1"/>
  <c r="Y79" i="15" s="1"/>
  <c r="H79" i="15"/>
  <c r="H81" i="15"/>
  <c r="G81" i="15"/>
  <c r="BX81" i="6" s="1"/>
  <c r="H83" i="15"/>
  <c r="G85" i="15"/>
  <c r="BX85" i="6" s="1"/>
  <c r="H85" i="15"/>
  <c r="H87" i="15"/>
  <c r="G87" i="15"/>
  <c r="BX87" i="6" s="1"/>
  <c r="H89" i="15"/>
  <c r="G89" i="15"/>
  <c r="BX89" i="6" s="1"/>
  <c r="G91" i="15"/>
  <c r="BX91" i="6" s="1"/>
  <c r="H91" i="15"/>
  <c r="H93" i="15"/>
  <c r="G93" i="15"/>
  <c r="BX93" i="6" s="1"/>
  <c r="AA95" i="15"/>
  <c r="Z95" i="15" s="1"/>
  <c r="Y95" i="15" s="1"/>
  <c r="G95" i="15"/>
  <c r="BX95" i="6" s="1"/>
  <c r="H95" i="15"/>
  <c r="H97" i="15"/>
  <c r="G97" i="15"/>
  <c r="BX97" i="6" s="1"/>
  <c r="G99" i="15"/>
  <c r="BX99" i="6" s="1"/>
  <c r="H99" i="15"/>
  <c r="V101" i="15"/>
  <c r="F101" i="15" s="1"/>
  <c r="H103" i="15"/>
  <c r="G103" i="15"/>
  <c r="BX103" i="6" s="1"/>
  <c r="AA103" i="15"/>
  <c r="Z103" i="15" s="1"/>
  <c r="Y103" i="15" s="1"/>
  <c r="H105" i="15"/>
  <c r="G105" i="15"/>
  <c r="BX105" i="6" s="1"/>
  <c r="G111" i="15"/>
  <c r="BX111" i="6" s="1"/>
  <c r="H159" i="15"/>
  <c r="AA175" i="15"/>
  <c r="Z175" i="15" s="1"/>
  <c r="Y175" i="15" s="1"/>
  <c r="G183" i="15"/>
  <c r="BX183" i="6" s="1"/>
  <c r="H183" i="15"/>
  <c r="AA183" i="15"/>
  <c r="Z183" i="15" s="1"/>
  <c r="Y183" i="15" s="1"/>
  <c r="G185" i="15"/>
  <c r="BX185" i="6" s="1"/>
  <c r="H185" i="15"/>
  <c r="G187" i="15"/>
  <c r="BX187" i="6" s="1"/>
  <c r="AA187" i="15"/>
  <c r="Z187" i="15" s="1"/>
  <c r="Y187" i="15" s="1"/>
  <c r="H187" i="15"/>
  <c r="G189" i="15"/>
  <c r="BX189" i="6" s="1"/>
  <c r="H189" i="15"/>
  <c r="G195" i="15"/>
  <c r="BX195" i="6" s="1"/>
  <c r="V197" i="15"/>
  <c r="G199" i="15"/>
  <c r="BX199" i="6" s="1"/>
  <c r="H199" i="15"/>
  <c r="AA199" i="15"/>
  <c r="Z199" i="15" s="1"/>
  <c r="Y199" i="15" s="1"/>
  <c r="G201" i="15"/>
  <c r="BX201" i="6" s="1"/>
  <c r="H201" i="15"/>
  <c r="H205" i="15"/>
  <c r="G209" i="15"/>
  <c r="BX209" i="6" s="1"/>
  <c r="H209" i="15"/>
  <c r="G211" i="15"/>
  <c r="BX211" i="6" s="1"/>
  <c r="AA211" i="15"/>
  <c r="Z211" i="15" s="1"/>
  <c r="Y211" i="15" s="1"/>
  <c r="H211" i="15"/>
  <c r="G213" i="15"/>
  <c r="BX213" i="6" s="1"/>
  <c r="H213" i="15"/>
  <c r="AA215" i="15"/>
  <c r="Z215" i="15" s="1"/>
  <c r="Y215" i="15" s="1"/>
  <c r="G215" i="15"/>
  <c r="BX215" i="6" s="1"/>
  <c r="G217" i="15"/>
  <c r="BX217" i="6" s="1"/>
  <c r="H217" i="15"/>
  <c r="G219" i="15"/>
  <c r="BX219" i="6" s="1"/>
  <c r="AA219" i="15"/>
  <c r="Z219" i="15" s="1"/>
  <c r="Y219" i="15" s="1"/>
  <c r="H219" i="15"/>
  <c r="G221" i="15"/>
  <c r="BX221" i="6" s="1"/>
  <c r="H221" i="15"/>
  <c r="G223" i="15"/>
  <c r="BX223" i="6" s="1"/>
  <c r="H223" i="15"/>
  <c r="G225" i="15"/>
  <c r="BX225" i="6" s="1"/>
  <c r="H225" i="15"/>
  <c r="G229" i="15"/>
  <c r="BX229" i="6" s="1"/>
  <c r="H229" i="15"/>
  <c r="V233" i="15"/>
  <c r="F233" i="15" s="1"/>
  <c r="AA235" i="15"/>
  <c r="Z235" i="15" s="1"/>
  <c r="Y235" i="15" s="1"/>
  <c r="G235" i="15"/>
  <c r="BX235" i="6" s="1"/>
  <c r="H235" i="15"/>
  <c r="G237" i="15"/>
  <c r="BX237" i="6" s="1"/>
  <c r="H237" i="15"/>
  <c r="H239" i="15"/>
  <c r="G239" i="15"/>
  <c r="BX239" i="6" s="1"/>
  <c r="AA239" i="15"/>
  <c r="Z239" i="15" s="1"/>
  <c r="Y239" i="15" s="1"/>
  <c r="G367" i="15"/>
  <c r="BX367" i="6" s="1"/>
  <c r="AA367" i="15"/>
  <c r="Z367" i="15" s="1"/>
  <c r="Y367" i="15" s="1"/>
  <c r="H367" i="15"/>
  <c r="G369" i="15"/>
  <c r="BX369" i="6" s="1"/>
  <c r="H369" i="15"/>
  <c r="H371" i="15"/>
  <c r="G371" i="15"/>
  <c r="BX371" i="6" s="1"/>
  <c r="G373" i="15"/>
  <c r="BX373" i="6" s="1"/>
  <c r="H373" i="15"/>
  <c r="AA375" i="15"/>
  <c r="Z375" i="15" s="1"/>
  <c r="Y375" i="15" s="1"/>
  <c r="G375" i="15"/>
  <c r="BX375" i="6" s="1"/>
  <c r="H375" i="15"/>
  <c r="H377" i="15"/>
  <c r="G377" i="15"/>
  <c r="BX377" i="6" s="1"/>
  <c r="D9" i="17"/>
  <c r="D11" i="17" s="1"/>
  <c r="E38" i="19" s="1"/>
  <c r="D381" i="17"/>
  <c r="D383" i="17"/>
  <c r="D382" i="17"/>
  <c r="AJ7" i="17"/>
  <c r="AK3" i="17"/>
  <c r="Q14" i="19" s="1"/>
  <c r="AH383" i="15"/>
  <c r="AG15" i="15"/>
  <c r="AH381" i="15"/>
  <c r="AH382" i="15"/>
  <c r="AG379" i="15"/>
  <c r="AF379" i="15" s="1"/>
  <c r="AD379" i="15" s="1"/>
  <c r="E11" i="1"/>
  <c r="F35" i="19" s="1"/>
  <c r="T382" i="15"/>
  <c r="T381" i="15"/>
  <c r="T383" i="15"/>
  <c r="S15" i="15"/>
  <c r="V36" i="15"/>
  <c r="F36" i="15" s="1"/>
  <c r="V48" i="15"/>
  <c r="F48" i="15" s="1"/>
  <c r="V52" i="15"/>
  <c r="F52" i="15" s="1"/>
  <c r="G184" i="15"/>
  <c r="BX184" i="6" s="1"/>
  <c r="H184" i="15"/>
  <c r="H188" i="15"/>
  <c r="G192" i="15"/>
  <c r="BX192" i="6" s="1"/>
  <c r="H192" i="15"/>
  <c r="H196" i="15"/>
  <c r="G200" i="15"/>
  <c r="BX200" i="6" s="1"/>
  <c r="H200" i="15"/>
  <c r="H204" i="15"/>
  <c r="H208" i="15"/>
  <c r="AJ13" i="1"/>
  <c r="F288" i="15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A33" i="15" s="1"/>
  <c r="Z33" i="15" s="1"/>
  <c r="Y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A81" i="15" s="1"/>
  <c r="Z81" i="15" s="1"/>
  <c r="Y81" i="15" s="1"/>
  <c r="AG83" i="15"/>
  <c r="AF83" i="15" s="1"/>
  <c r="AD83" i="15" s="1"/>
  <c r="AG87" i="15"/>
  <c r="AF87" i="15" s="1"/>
  <c r="AD87" i="15" s="1"/>
  <c r="AA87" i="15" s="1"/>
  <c r="Z87" i="15" s="1"/>
  <c r="Y87" i="15" s="1"/>
  <c r="AG91" i="15"/>
  <c r="AF91" i="15" s="1"/>
  <c r="AD91" i="15" s="1"/>
  <c r="AA91" i="15" s="1"/>
  <c r="Z91" i="15" s="1"/>
  <c r="Y91" i="15" s="1"/>
  <c r="AG93" i="15"/>
  <c r="AF93" i="15" s="1"/>
  <c r="AD93" i="15" s="1"/>
  <c r="AA93" i="15" s="1"/>
  <c r="Z93" i="15" s="1"/>
  <c r="Y93" i="15" s="1"/>
  <c r="AG99" i="15"/>
  <c r="AF99" i="15" s="1"/>
  <c r="AD99" i="15" s="1"/>
  <c r="AA99" i="15" s="1"/>
  <c r="Z99" i="15" s="1"/>
  <c r="Y99" i="15" s="1"/>
  <c r="AG107" i="15"/>
  <c r="AF107" i="15" s="1"/>
  <c r="AD107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G133" i="15"/>
  <c r="AF133" i="15" s="1"/>
  <c r="AD133" i="15" s="1"/>
  <c r="AG137" i="15"/>
  <c r="AF137" i="15" s="1"/>
  <c r="AD137" i="15" s="1"/>
  <c r="AA137" i="15" s="1"/>
  <c r="Z137" i="15" s="1"/>
  <c r="Y137" i="15" s="1"/>
  <c r="AG141" i="15"/>
  <c r="AF141" i="15" s="1"/>
  <c r="AD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G179" i="15"/>
  <c r="AF179" i="15" s="1"/>
  <c r="AD179" i="15" s="1"/>
  <c r="AG181" i="15"/>
  <c r="AF181" i="15" s="1"/>
  <c r="AD181" i="15" s="1"/>
  <c r="AG185" i="15"/>
  <c r="AF185" i="15" s="1"/>
  <c r="AD185" i="15" s="1"/>
  <c r="AA185" i="15" s="1"/>
  <c r="Z185" i="15" s="1"/>
  <c r="Y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A203" i="15" s="1"/>
  <c r="Z203" i="15" s="1"/>
  <c r="Y203" i="15" s="1"/>
  <c r="AG205" i="15"/>
  <c r="AF205" i="15" s="1"/>
  <c r="AD205" i="15" s="1"/>
  <c r="AG209" i="15"/>
  <c r="AF209" i="15" s="1"/>
  <c r="AD209" i="15" s="1"/>
  <c r="AA209" i="15" s="1"/>
  <c r="Z209" i="15" s="1"/>
  <c r="Y209" i="15" s="1"/>
  <c r="AG223" i="15"/>
  <c r="AF223" i="15" s="1"/>
  <c r="AD223" i="15" s="1"/>
  <c r="AA223" i="15" s="1"/>
  <c r="Z223" i="15" s="1"/>
  <c r="Y223" i="15" s="1"/>
  <c r="AG225" i="15"/>
  <c r="AF225" i="15" s="1"/>
  <c r="AD225" i="15" s="1"/>
  <c r="AA225" i="15" s="1"/>
  <c r="Z225" i="15" s="1"/>
  <c r="Y225" i="15" s="1"/>
  <c r="AG229" i="15"/>
  <c r="AF229" i="15" s="1"/>
  <c r="AD229" i="15" s="1"/>
  <c r="AA229" i="15" s="1"/>
  <c r="Z229" i="15" s="1"/>
  <c r="Y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A245" i="15" s="1"/>
  <c r="Z245" i="15" s="1"/>
  <c r="Y245" i="15" s="1"/>
  <c r="AG247" i="15"/>
  <c r="AF247" i="15" s="1"/>
  <c r="AD247" i="15" s="1"/>
  <c r="AA247" i="15" s="1"/>
  <c r="Z247" i="15" s="1"/>
  <c r="Y247" i="15" s="1"/>
  <c r="AG275" i="15"/>
  <c r="AF275" i="15" s="1"/>
  <c r="AD275" i="15" s="1"/>
  <c r="AA275" i="15" s="1"/>
  <c r="Z275" i="15" s="1"/>
  <c r="Y275" i="15" s="1"/>
  <c r="AG287" i="15"/>
  <c r="AF287" i="15" s="1"/>
  <c r="AD287" i="15" s="1"/>
  <c r="AA287" i="15" s="1"/>
  <c r="Z287" i="15" s="1"/>
  <c r="Y287" i="15" s="1"/>
  <c r="AG293" i="15"/>
  <c r="AF293" i="15" s="1"/>
  <c r="AD293" i="15" s="1"/>
  <c r="AA293" i="15" s="1"/>
  <c r="Z293" i="15" s="1"/>
  <c r="Y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A319" i="15" s="1"/>
  <c r="Z319" i="15" s="1"/>
  <c r="Y319" i="15" s="1"/>
  <c r="AG321" i="15"/>
  <c r="AF321" i="15" s="1"/>
  <c r="AD321" i="15" s="1"/>
  <c r="AA321" i="15" s="1"/>
  <c r="Z321" i="15" s="1"/>
  <c r="Y321" i="15" s="1"/>
  <c r="AG323" i="15"/>
  <c r="AF323" i="15" s="1"/>
  <c r="AD323" i="15" s="1"/>
  <c r="AA323" i="15" s="1"/>
  <c r="Z323" i="15" s="1"/>
  <c r="Y323" i="15" s="1"/>
  <c r="AG325" i="15"/>
  <c r="AF325" i="15" s="1"/>
  <c r="AD325" i="15" s="1"/>
  <c r="AA325" i="15" s="1"/>
  <c r="Z325" i="15" s="1"/>
  <c r="Y325" i="15" s="1"/>
  <c r="AG327" i="15"/>
  <c r="AF327" i="15" s="1"/>
  <c r="AD327" i="15" s="1"/>
  <c r="AA327" i="15" s="1"/>
  <c r="Z327" i="15" s="1"/>
  <c r="Y327" i="15" s="1"/>
  <c r="AG329" i="15"/>
  <c r="AF329" i="15" s="1"/>
  <c r="AD329" i="15" s="1"/>
  <c r="AA329" i="15" s="1"/>
  <c r="Z329" i="15" s="1"/>
  <c r="Y329" i="15" s="1"/>
  <c r="AG331" i="15"/>
  <c r="AF331" i="15" s="1"/>
  <c r="AD331" i="15" s="1"/>
  <c r="AA331" i="15" s="1"/>
  <c r="Z331" i="15" s="1"/>
  <c r="Y331" i="15" s="1"/>
  <c r="AG335" i="15"/>
  <c r="AF335" i="15" s="1"/>
  <c r="AD335" i="15" s="1"/>
  <c r="AA335" i="15" s="1"/>
  <c r="Z335" i="15" s="1"/>
  <c r="Y335" i="15" s="1"/>
  <c r="AG339" i="15"/>
  <c r="AF339" i="15" s="1"/>
  <c r="AD339" i="15" s="1"/>
  <c r="AA339" i="15" s="1"/>
  <c r="Z339" i="15" s="1"/>
  <c r="Y339" i="15" s="1"/>
  <c r="AG343" i="15"/>
  <c r="AF343" i="15" s="1"/>
  <c r="AD343" i="15" s="1"/>
  <c r="AA343" i="15" s="1"/>
  <c r="Z343" i="15" s="1"/>
  <c r="Y343" i="15" s="1"/>
  <c r="AG355" i="15"/>
  <c r="AF355" i="15" s="1"/>
  <c r="AD355" i="15" s="1"/>
  <c r="AA355" i="15" s="1"/>
  <c r="Z355" i="15" s="1"/>
  <c r="Y355" i="15" s="1"/>
  <c r="AG361" i="15"/>
  <c r="AF361" i="15" s="1"/>
  <c r="AD361" i="15" s="1"/>
  <c r="AA361" i="15" s="1"/>
  <c r="Z361" i="15" s="1"/>
  <c r="Y361" i="15" s="1"/>
  <c r="AG363" i="15"/>
  <c r="AF363" i="15" s="1"/>
  <c r="AD363" i="15" s="1"/>
  <c r="AG369" i="15"/>
  <c r="AF369" i="15" s="1"/>
  <c r="AD369" i="15" s="1"/>
  <c r="AA369" i="15" s="1"/>
  <c r="Z369" i="15" s="1"/>
  <c r="Y369" i="15" s="1"/>
  <c r="AG371" i="15"/>
  <c r="AF371" i="15" s="1"/>
  <c r="AD371" i="15" s="1"/>
  <c r="AA371" i="15" s="1"/>
  <c r="Z371" i="15" s="1"/>
  <c r="Y371" i="15" s="1"/>
  <c r="AG377" i="15"/>
  <c r="AF377" i="15" s="1"/>
  <c r="AD377" i="15" s="1"/>
  <c r="AA377" i="15" s="1"/>
  <c r="Z377" i="15" s="1"/>
  <c r="Y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V379" i="15"/>
  <c r="F379" i="15" s="1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A86" i="15" s="1"/>
  <c r="Z86" i="15" s="1"/>
  <c r="Y86" i="15" s="1"/>
  <c r="AG88" i="15"/>
  <c r="AF88" i="15" s="1"/>
  <c r="AD88" i="15" s="1"/>
  <c r="AG90" i="15"/>
  <c r="AF90" i="15" s="1"/>
  <c r="AD90" i="15" s="1"/>
  <c r="AA90" i="15" s="1"/>
  <c r="Z90" i="15" s="1"/>
  <c r="Y90" i="15" s="1"/>
  <c r="AG94" i="15"/>
  <c r="AF94" i="15" s="1"/>
  <c r="AD94" i="15" s="1"/>
  <c r="AA94" i="15" s="1"/>
  <c r="Z94" i="15" s="1"/>
  <c r="Y94" i="15" s="1"/>
  <c r="AG96" i="15"/>
  <c r="AF96" i="15" s="1"/>
  <c r="AD96" i="15" s="1"/>
  <c r="AA96" i="15" s="1"/>
  <c r="Z96" i="15" s="1"/>
  <c r="Y96" i="15" s="1"/>
  <c r="AG100" i="15"/>
  <c r="AF100" i="15" s="1"/>
  <c r="AD100" i="15" s="1"/>
  <c r="AA100" i="15" s="1"/>
  <c r="Z100" i="15" s="1"/>
  <c r="Y100" i="15" s="1"/>
  <c r="AG106" i="15"/>
  <c r="AF106" i="15" s="1"/>
  <c r="AD106" i="15" s="1"/>
  <c r="AA106" i="15" s="1"/>
  <c r="Z106" i="15" s="1"/>
  <c r="Y106" i="15" s="1"/>
  <c r="AG108" i="15"/>
  <c r="AF108" i="15" s="1"/>
  <c r="AD108" i="15" s="1"/>
  <c r="AG110" i="15"/>
  <c r="AF110" i="15" s="1"/>
  <c r="AD110" i="15" s="1"/>
  <c r="AA110" i="15" s="1"/>
  <c r="Z110" i="15" s="1"/>
  <c r="Y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A118" i="15" s="1"/>
  <c r="Z118" i="15" s="1"/>
  <c r="Y118" i="15" s="1"/>
  <c r="AG120" i="15"/>
  <c r="AF120" i="15" s="1"/>
  <c r="AD120" i="15" s="1"/>
  <c r="AG122" i="15"/>
  <c r="AF122" i="15" s="1"/>
  <c r="AD122" i="15" s="1"/>
  <c r="AA122" i="15" s="1"/>
  <c r="Z122" i="15" s="1"/>
  <c r="Y122" i="15" s="1"/>
  <c r="AG126" i="15"/>
  <c r="AF126" i="15" s="1"/>
  <c r="AD126" i="15" s="1"/>
  <c r="AA126" i="15" s="1"/>
  <c r="Z126" i="15" s="1"/>
  <c r="Y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A146" i="15" s="1"/>
  <c r="Z146" i="15" s="1"/>
  <c r="Y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A158" i="15" s="1"/>
  <c r="Z158" i="15" s="1"/>
  <c r="Y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A174" i="15" s="1"/>
  <c r="Z174" i="15" s="1"/>
  <c r="Y174" i="15" s="1"/>
  <c r="AG178" i="15"/>
  <c r="AF178" i="15" s="1"/>
  <c r="AD178" i="15" s="1"/>
  <c r="AA178" i="15" s="1"/>
  <c r="Z178" i="15" s="1"/>
  <c r="Y178" i="15" s="1"/>
  <c r="AG180" i="15"/>
  <c r="AF180" i="15" s="1"/>
  <c r="AD180" i="15" s="1"/>
  <c r="AG186" i="15"/>
  <c r="AF186" i="15" s="1"/>
  <c r="AD186" i="15" s="1"/>
  <c r="AA186" i="15" s="1"/>
  <c r="Z186" i="15" s="1"/>
  <c r="Y186" i="15" s="1"/>
  <c r="AG188" i="15"/>
  <c r="AF188" i="15" s="1"/>
  <c r="AD188" i="15" s="1"/>
  <c r="AG190" i="15"/>
  <c r="AF190" i="15" s="1"/>
  <c r="AD190" i="15" s="1"/>
  <c r="AA190" i="15" s="1"/>
  <c r="Z190" i="15" s="1"/>
  <c r="Y190" i="15" s="1"/>
  <c r="AG194" i="15"/>
  <c r="AF194" i="15" s="1"/>
  <c r="AD194" i="15" s="1"/>
  <c r="AA194" i="15" s="1"/>
  <c r="Z194" i="15" s="1"/>
  <c r="Y194" i="15" s="1"/>
  <c r="AG196" i="15"/>
  <c r="AF196" i="15" s="1"/>
  <c r="AD196" i="15" s="1"/>
  <c r="AA196" i="15" s="1"/>
  <c r="Z196" i="15" s="1"/>
  <c r="Y196" i="15" s="1"/>
  <c r="AG198" i="15"/>
  <c r="AF198" i="15" s="1"/>
  <c r="AD198" i="15" s="1"/>
  <c r="AA198" i="15" s="1"/>
  <c r="Z198" i="15" s="1"/>
  <c r="Y198" i="15" s="1"/>
  <c r="AG204" i="15"/>
  <c r="AF204" i="15" s="1"/>
  <c r="AD204" i="15" s="1"/>
  <c r="AG208" i="15"/>
  <c r="AF208" i="15" s="1"/>
  <c r="AD208" i="15" s="1"/>
  <c r="AA208" i="15" s="1"/>
  <c r="Z208" i="15" s="1"/>
  <c r="Y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A218" i="15" s="1"/>
  <c r="Z218" i="15" s="1"/>
  <c r="Y218" i="15" s="1"/>
  <c r="AG222" i="15"/>
  <c r="AF222" i="15" s="1"/>
  <c r="AD222" i="15" s="1"/>
  <c r="AA222" i="15" s="1"/>
  <c r="Z222" i="15" s="1"/>
  <c r="Y222" i="15" s="1"/>
  <c r="AG226" i="15"/>
  <c r="AF226" i="15" s="1"/>
  <c r="AD226" i="15" s="1"/>
  <c r="AA226" i="15" s="1"/>
  <c r="Z226" i="15" s="1"/>
  <c r="Y226" i="15" s="1"/>
  <c r="AG228" i="15"/>
  <c r="AF228" i="15" s="1"/>
  <c r="AD228" i="15" s="1"/>
  <c r="AA228" i="15" s="1"/>
  <c r="Z228" i="15" s="1"/>
  <c r="Y228" i="15" s="1"/>
  <c r="AG232" i="15"/>
  <c r="AF232" i="15" s="1"/>
  <c r="AD232" i="15" s="1"/>
  <c r="AA232" i="15" s="1"/>
  <c r="Z232" i="15" s="1"/>
  <c r="Y232" i="15" s="1"/>
  <c r="AG242" i="15"/>
  <c r="AF242" i="15" s="1"/>
  <c r="AD242" i="15" s="1"/>
  <c r="AA242" i="15" s="1"/>
  <c r="Z242" i="15" s="1"/>
  <c r="Y242" i="15" s="1"/>
  <c r="AG246" i="15"/>
  <c r="AF246" i="15" s="1"/>
  <c r="AD246" i="15" s="1"/>
  <c r="AA246" i="15" s="1"/>
  <c r="Z246" i="15" s="1"/>
  <c r="Y246" i="15" s="1"/>
  <c r="AG248" i="15"/>
  <c r="AF248" i="15" s="1"/>
  <c r="AD248" i="15" s="1"/>
  <c r="AA248" i="15" s="1"/>
  <c r="Z248" i="15" s="1"/>
  <c r="Y248" i="15" s="1"/>
  <c r="AG250" i="15"/>
  <c r="AF250" i="15" s="1"/>
  <c r="AD250" i="15" s="1"/>
  <c r="AA250" i="15" s="1"/>
  <c r="Z250" i="15" s="1"/>
  <c r="Y250" i="15" s="1"/>
  <c r="AG252" i="15"/>
  <c r="AF252" i="15" s="1"/>
  <c r="AD252" i="15" s="1"/>
  <c r="AA252" i="15" s="1"/>
  <c r="Z252" i="15" s="1"/>
  <c r="Y252" i="15" s="1"/>
  <c r="AG256" i="15"/>
  <c r="AF256" i="15" s="1"/>
  <c r="AD256" i="15" s="1"/>
  <c r="AA256" i="15" s="1"/>
  <c r="Z256" i="15" s="1"/>
  <c r="Y256" i="15" s="1"/>
  <c r="AG260" i="15"/>
  <c r="AF260" i="15" s="1"/>
  <c r="AD260" i="15" s="1"/>
  <c r="AA260" i="15" s="1"/>
  <c r="Z260" i="15" s="1"/>
  <c r="Y260" i="15" s="1"/>
  <c r="AG266" i="15"/>
  <c r="AF266" i="15" s="1"/>
  <c r="AD266" i="15" s="1"/>
  <c r="AA266" i="15" s="1"/>
  <c r="Z266" i="15" s="1"/>
  <c r="Y266" i="15" s="1"/>
  <c r="AG268" i="15"/>
  <c r="AF268" i="15" s="1"/>
  <c r="AD268" i="15" s="1"/>
  <c r="AG270" i="15"/>
  <c r="AF270" i="15" s="1"/>
  <c r="AD270" i="15" s="1"/>
  <c r="AA270" i="15" s="1"/>
  <c r="Z270" i="15" s="1"/>
  <c r="Y270" i="15" s="1"/>
  <c r="AG272" i="15"/>
  <c r="AF272" i="15" s="1"/>
  <c r="AD272" i="15" s="1"/>
  <c r="AG274" i="15"/>
  <c r="AF274" i="15" s="1"/>
  <c r="AD274" i="15" s="1"/>
  <c r="AA274" i="15" s="1"/>
  <c r="Z274" i="15" s="1"/>
  <c r="Y274" i="15" s="1"/>
  <c r="AG276" i="15"/>
  <c r="AF276" i="15" s="1"/>
  <c r="AD276" i="15" s="1"/>
  <c r="AG284" i="15"/>
  <c r="AF284" i="15" s="1"/>
  <c r="AD284" i="15" s="1"/>
  <c r="AA284" i="15" s="1"/>
  <c r="Z284" i="15" s="1"/>
  <c r="Y284" i="15" s="1"/>
  <c r="AG286" i="15"/>
  <c r="AF286" i="15" s="1"/>
  <c r="AD286" i="15" s="1"/>
  <c r="AA286" i="15" s="1"/>
  <c r="Z286" i="15" s="1"/>
  <c r="Y286" i="15" s="1"/>
  <c r="AG292" i="15"/>
  <c r="AF292" i="15" s="1"/>
  <c r="AD292" i="15" s="1"/>
  <c r="AA292" i="15" s="1"/>
  <c r="Z292" i="15" s="1"/>
  <c r="Y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A304" i="15" s="1"/>
  <c r="Z304" i="15" s="1"/>
  <c r="Y304" i="15" s="1"/>
  <c r="AG306" i="15"/>
  <c r="AF306" i="15" s="1"/>
  <c r="AD306" i="15" s="1"/>
  <c r="AA306" i="15" s="1"/>
  <c r="Z306" i="15" s="1"/>
  <c r="Y306" i="15" s="1"/>
  <c r="AG308" i="15"/>
  <c r="AF308" i="15" s="1"/>
  <c r="AD308" i="15" s="1"/>
  <c r="AA308" i="15" s="1"/>
  <c r="Z308" i="15" s="1"/>
  <c r="Y308" i="15" s="1"/>
  <c r="AG312" i="15"/>
  <c r="AF312" i="15" s="1"/>
  <c r="AD312" i="15" s="1"/>
  <c r="AA312" i="15" s="1"/>
  <c r="Z312" i="15" s="1"/>
  <c r="Y312" i="15" s="1"/>
  <c r="AG314" i="15"/>
  <c r="AF314" i="15" s="1"/>
  <c r="AD314" i="15" s="1"/>
  <c r="AA314" i="15" s="1"/>
  <c r="Z314" i="15" s="1"/>
  <c r="Y314" i="15" s="1"/>
  <c r="AG320" i="15"/>
  <c r="AF320" i="15" s="1"/>
  <c r="AD320" i="15" s="1"/>
  <c r="AA320" i="15" s="1"/>
  <c r="Z320" i="15" s="1"/>
  <c r="Y320" i="15" s="1"/>
  <c r="AG326" i="15"/>
  <c r="AF326" i="15" s="1"/>
  <c r="AD326" i="15" s="1"/>
  <c r="AA326" i="15" s="1"/>
  <c r="Z326" i="15" s="1"/>
  <c r="Y326" i="15" s="1"/>
  <c r="AG328" i="15"/>
  <c r="AF328" i="15" s="1"/>
  <c r="AD328" i="15" s="1"/>
  <c r="AA328" i="15" s="1"/>
  <c r="Z328" i="15" s="1"/>
  <c r="Y328" i="15" s="1"/>
  <c r="AG330" i="15"/>
  <c r="AF330" i="15" s="1"/>
  <c r="AD330" i="15" s="1"/>
  <c r="AA330" i="15" s="1"/>
  <c r="Z330" i="15" s="1"/>
  <c r="Y330" i="15" s="1"/>
  <c r="AG332" i="15"/>
  <c r="AF332" i="15" s="1"/>
  <c r="AD332" i="15" s="1"/>
  <c r="AG334" i="15"/>
  <c r="AF334" i="15" s="1"/>
  <c r="AD334" i="15" s="1"/>
  <c r="AA334" i="15" s="1"/>
  <c r="Z334" i="15" s="1"/>
  <c r="Y334" i="15" s="1"/>
  <c r="AG338" i="15"/>
  <c r="AF338" i="15" s="1"/>
  <c r="AD338" i="15" s="1"/>
  <c r="AA338" i="15" s="1"/>
  <c r="Z338" i="15" s="1"/>
  <c r="Y338" i="15" s="1"/>
  <c r="AG346" i="15"/>
  <c r="AF346" i="15" s="1"/>
  <c r="AD346" i="15" s="1"/>
  <c r="AA346" i="15" s="1"/>
  <c r="Z346" i="15" s="1"/>
  <c r="Y346" i="15" s="1"/>
  <c r="AG348" i="15"/>
  <c r="AF348" i="15" s="1"/>
  <c r="AD348" i="15" s="1"/>
  <c r="AG352" i="15"/>
  <c r="AF352" i="15" s="1"/>
  <c r="AD352" i="15" s="1"/>
  <c r="AA352" i="15" s="1"/>
  <c r="Z352" i="15" s="1"/>
  <c r="Y352" i="15" s="1"/>
  <c r="AG354" i="15"/>
  <c r="AF354" i="15" s="1"/>
  <c r="AD354" i="15" s="1"/>
  <c r="AA354" i="15" s="1"/>
  <c r="Z354" i="15" s="1"/>
  <c r="Y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A364" i="15" s="1"/>
  <c r="Z364" i="15" s="1"/>
  <c r="Y364" i="15" s="1"/>
  <c r="AG366" i="15"/>
  <c r="AF366" i="15" s="1"/>
  <c r="AD366" i="15" s="1"/>
  <c r="AA366" i="15" s="1"/>
  <c r="Z366" i="15" s="1"/>
  <c r="Y366" i="15" s="1"/>
  <c r="AG370" i="15"/>
  <c r="AF370" i="15" s="1"/>
  <c r="AD370" i="15" s="1"/>
  <c r="AA370" i="15" s="1"/>
  <c r="Z370" i="15" s="1"/>
  <c r="Y370" i="15" s="1"/>
  <c r="AG372" i="15"/>
  <c r="AF372" i="15" s="1"/>
  <c r="AD372" i="15" s="1"/>
  <c r="AA372" i="15" s="1"/>
  <c r="Z372" i="15" s="1"/>
  <c r="Y372" i="15" s="1"/>
  <c r="AG376" i="15"/>
  <c r="AF376" i="15" s="1"/>
  <c r="AD376" i="15" s="1"/>
  <c r="AA376" i="15" s="1"/>
  <c r="Z376" i="15" s="1"/>
  <c r="Y376" i="15" s="1"/>
  <c r="AA348" i="15" l="1"/>
  <c r="Z348" i="15" s="1"/>
  <c r="Y348" i="15" s="1"/>
  <c r="AA332" i="15"/>
  <c r="Z332" i="15" s="1"/>
  <c r="Y332" i="15" s="1"/>
  <c r="AA212" i="15"/>
  <c r="Z212" i="15" s="1"/>
  <c r="Y212" i="15" s="1"/>
  <c r="AA204" i="15"/>
  <c r="Z204" i="15" s="1"/>
  <c r="Y204" i="15" s="1"/>
  <c r="AA305" i="15"/>
  <c r="Z305" i="15" s="1"/>
  <c r="Y305" i="15" s="1"/>
  <c r="AA205" i="15"/>
  <c r="Z205" i="15" s="1"/>
  <c r="Y205" i="15" s="1"/>
  <c r="G69" i="15"/>
  <c r="BX69" i="6" s="1"/>
  <c r="H273" i="15"/>
  <c r="I273" i="15" s="1"/>
  <c r="H134" i="15"/>
  <c r="AA316" i="15"/>
  <c r="Z316" i="15" s="1"/>
  <c r="Y316" i="15" s="1"/>
  <c r="AA92" i="15"/>
  <c r="Z92" i="15" s="1"/>
  <c r="Y92" i="15" s="1"/>
  <c r="Q379" i="16"/>
  <c r="Q371" i="16"/>
  <c r="Q363" i="16"/>
  <c r="Q355" i="16"/>
  <c r="Q347" i="16"/>
  <c r="Q339" i="16"/>
  <c r="Q331" i="16"/>
  <c r="Q323" i="16"/>
  <c r="Q315" i="16"/>
  <c r="Q307" i="16"/>
  <c r="Q299" i="16"/>
  <c r="Q290" i="16"/>
  <c r="Q242" i="16"/>
  <c r="Q165" i="16"/>
  <c r="G139" i="15"/>
  <c r="BX139" i="6" s="1"/>
  <c r="AA160" i="15"/>
  <c r="Z160" i="15" s="1"/>
  <c r="Y160" i="15" s="1"/>
  <c r="AA273" i="15"/>
  <c r="Z273" i="15" s="1"/>
  <c r="Y273" i="15" s="1"/>
  <c r="H203" i="15"/>
  <c r="G191" i="15"/>
  <c r="BX191" i="6" s="1"/>
  <c r="H167" i="15"/>
  <c r="H151" i="15"/>
  <c r="I151" i="15" s="1"/>
  <c r="H71" i="15"/>
  <c r="AA236" i="15"/>
  <c r="Z236" i="15" s="1"/>
  <c r="Y236" i="15" s="1"/>
  <c r="AA220" i="15"/>
  <c r="Z220" i="15" s="1"/>
  <c r="Y220" i="15" s="1"/>
  <c r="AA29" i="15"/>
  <c r="Z29" i="15" s="1"/>
  <c r="Y29" i="15" s="1"/>
  <c r="Q258" i="16"/>
  <c r="Q226" i="16"/>
  <c r="Q194" i="16"/>
  <c r="Q133" i="16"/>
  <c r="H130" i="15"/>
  <c r="G130" i="15"/>
  <c r="BX130" i="6" s="1"/>
  <c r="H170" i="15"/>
  <c r="G170" i="15"/>
  <c r="BX170" i="6" s="1"/>
  <c r="G132" i="15"/>
  <c r="BX132" i="6" s="1"/>
  <c r="H132" i="15"/>
  <c r="J132" i="15" s="1"/>
  <c r="H123" i="15"/>
  <c r="G123" i="15"/>
  <c r="BX123" i="6" s="1"/>
  <c r="H73" i="15"/>
  <c r="G73" i="15"/>
  <c r="BX73" i="6" s="1"/>
  <c r="G296" i="15"/>
  <c r="BX296" i="6" s="1"/>
  <c r="H296" i="15"/>
  <c r="I296" i="15" s="1"/>
  <c r="G254" i="15"/>
  <c r="BX254" i="6" s="1"/>
  <c r="H254" i="15"/>
  <c r="I254" i="15" s="1"/>
  <c r="G138" i="15"/>
  <c r="BX138" i="6" s="1"/>
  <c r="H138" i="15"/>
  <c r="I138" i="15" s="1"/>
  <c r="H244" i="15"/>
  <c r="G244" i="15"/>
  <c r="BX244" i="6" s="1"/>
  <c r="H300" i="15"/>
  <c r="G300" i="15"/>
  <c r="BX300" i="6" s="1"/>
  <c r="H332" i="15"/>
  <c r="G332" i="15"/>
  <c r="BX332" i="6" s="1"/>
  <c r="H348" i="15"/>
  <c r="G348" i="15"/>
  <c r="BX348" i="6" s="1"/>
  <c r="V241" i="15"/>
  <c r="F241" i="15" s="1"/>
  <c r="H241" i="15" s="1"/>
  <c r="D39" i="7"/>
  <c r="G212" i="15"/>
  <c r="BX212" i="6" s="1"/>
  <c r="H212" i="15"/>
  <c r="J212" i="15" s="1"/>
  <c r="G224" i="15"/>
  <c r="BX224" i="6" s="1"/>
  <c r="H224" i="15"/>
  <c r="J224" i="15" s="1"/>
  <c r="H165" i="15"/>
  <c r="G165" i="15"/>
  <c r="BX165" i="6" s="1"/>
  <c r="U10" i="16"/>
  <c r="U16" i="16" s="1"/>
  <c r="T16" i="16" s="1"/>
  <c r="S16" i="16" s="1"/>
  <c r="R16" i="16" s="1"/>
  <c r="O16" i="7"/>
  <c r="U17" i="16"/>
  <c r="T17" i="16" s="1"/>
  <c r="U24" i="16"/>
  <c r="T24" i="16" s="1"/>
  <c r="S24" i="16" s="1"/>
  <c r="R24" i="16" s="1"/>
  <c r="U28" i="16"/>
  <c r="T28" i="16" s="1"/>
  <c r="S28" i="16" s="1"/>
  <c r="R28" i="16" s="1"/>
  <c r="U32" i="16"/>
  <c r="T32" i="16" s="1"/>
  <c r="S32" i="16" s="1"/>
  <c r="R32" i="16" s="1"/>
  <c r="U34" i="16"/>
  <c r="T34" i="16" s="1"/>
  <c r="S34" i="16" s="1"/>
  <c r="R34" i="16" s="1"/>
  <c r="U36" i="16"/>
  <c r="T36" i="16" s="1"/>
  <c r="U38" i="16"/>
  <c r="T38" i="16" s="1"/>
  <c r="U40" i="16"/>
  <c r="T40" i="16" s="1"/>
  <c r="U42" i="16"/>
  <c r="T42" i="16" s="1"/>
  <c r="U44" i="16"/>
  <c r="T44" i="16" s="1"/>
  <c r="S44" i="16" s="1"/>
  <c r="R44" i="16" s="1"/>
  <c r="U46" i="16"/>
  <c r="T46" i="16" s="1"/>
  <c r="S46" i="16" s="1"/>
  <c r="R46" i="16" s="1"/>
  <c r="U48" i="16"/>
  <c r="T48" i="16" s="1"/>
  <c r="S48" i="16" s="1"/>
  <c r="R48" i="16" s="1"/>
  <c r="U50" i="16"/>
  <c r="T50" i="16" s="1"/>
  <c r="U52" i="16"/>
  <c r="T52" i="16" s="1"/>
  <c r="S52" i="16" s="1"/>
  <c r="R52" i="16" s="1"/>
  <c r="U54" i="16"/>
  <c r="T54" i="16" s="1"/>
  <c r="U56" i="16"/>
  <c r="T56" i="16" s="1"/>
  <c r="U58" i="16"/>
  <c r="T58" i="16" s="1"/>
  <c r="U60" i="16"/>
  <c r="T60" i="16" s="1"/>
  <c r="S60" i="16" s="1"/>
  <c r="R60" i="16" s="1"/>
  <c r="U62" i="16"/>
  <c r="T62" i="16" s="1"/>
  <c r="U64" i="16"/>
  <c r="T64" i="16" s="1"/>
  <c r="S64" i="16" s="1"/>
  <c r="R64" i="16" s="1"/>
  <c r="U66" i="16"/>
  <c r="T66" i="16" s="1"/>
  <c r="S66" i="16" s="1"/>
  <c r="R66" i="16" s="1"/>
  <c r="U68" i="16"/>
  <c r="T68" i="16" s="1"/>
  <c r="S68" i="16" s="1"/>
  <c r="R68" i="16" s="1"/>
  <c r="U70" i="16"/>
  <c r="T70" i="16" s="1"/>
  <c r="U72" i="16"/>
  <c r="T72" i="16" s="1"/>
  <c r="S72" i="16" s="1"/>
  <c r="R72" i="16" s="1"/>
  <c r="U74" i="16"/>
  <c r="T74" i="16" s="1"/>
  <c r="S74" i="16" s="1"/>
  <c r="R74" i="16" s="1"/>
  <c r="U76" i="16"/>
  <c r="T76" i="16" s="1"/>
  <c r="S76" i="16" s="1"/>
  <c r="R76" i="16" s="1"/>
  <c r="U78" i="16"/>
  <c r="T78" i="16" s="1"/>
  <c r="S78" i="16" s="1"/>
  <c r="R78" i="16" s="1"/>
  <c r="U80" i="16"/>
  <c r="T80" i="16" s="1"/>
  <c r="S80" i="16" s="1"/>
  <c r="R80" i="16" s="1"/>
  <c r="U82" i="16"/>
  <c r="T82" i="16" s="1"/>
  <c r="S82" i="16" s="1"/>
  <c r="R82" i="16" s="1"/>
  <c r="U84" i="16"/>
  <c r="T84" i="16" s="1"/>
  <c r="U86" i="16"/>
  <c r="T86" i="16" s="1"/>
  <c r="S86" i="16" s="1"/>
  <c r="R86" i="16" s="1"/>
  <c r="U88" i="16"/>
  <c r="T88" i="16" s="1"/>
  <c r="U90" i="16"/>
  <c r="T90" i="16" s="1"/>
  <c r="U92" i="16"/>
  <c r="T92" i="16" s="1"/>
  <c r="U94" i="16"/>
  <c r="T94" i="16" s="1"/>
  <c r="U96" i="16"/>
  <c r="T96" i="16" s="1"/>
  <c r="S96" i="16" s="1"/>
  <c r="R96" i="16" s="1"/>
  <c r="U98" i="16"/>
  <c r="T98" i="16" s="1"/>
  <c r="U100" i="16"/>
  <c r="T100" i="16" s="1"/>
  <c r="S100" i="16" s="1"/>
  <c r="R100" i="16" s="1"/>
  <c r="U102" i="16"/>
  <c r="T102" i="16" s="1"/>
  <c r="S102" i="16" s="1"/>
  <c r="R102" i="16" s="1"/>
  <c r="U104" i="16"/>
  <c r="T104" i="16" s="1"/>
  <c r="S104" i="16" s="1"/>
  <c r="R104" i="16" s="1"/>
  <c r="U106" i="16"/>
  <c r="T106" i="16" s="1"/>
  <c r="S106" i="16" s="1"/>
  <c r="R106" i="16" s="1"/>
  <c r="U108" i="16"/>
  <c r="T108" i="16" s="1"/>
  <c r="U110" i="16"/>
  <c r="T110" i="16" s="1"/>
  <c r="S110" i="16" s="1"/>
  <c r="R110" i="16" s="1"/>
  <c r="U112" i="16"/>
  <c r="T112" i="16" s="1"/>
  <c r="U114" i="16"/>
  <c r="T114" i="16" s="1"/>
  <c r="U116" i="16"/>
  <c r="T116" i="16" s="1"/>
  <c r="S116" i="16" s="1"/>
  <c r="R116" i="16" s="1"/>
  <c r="U118" i="16"/>
  <c r="T118" i="16" s="1"/>
  <c r="U120" i="16"/>
  <c r="T120" i="16" s="1"/>
  <c r="S120" i="16" s="1"/>
  <c r="R120" i="16" s="1"/>
  <c r="U122" i="16"/>
  <c r="T122" i="16" s="1"/>
  <c r="S122" i="16" s="1"/>
  <c r="R122" i="16" s="1"/>
  <c r="U124" i="16"/>
  <c r="T124" i="16" s="1"/>
  <c r="S124" i="16" s="1"/>
  <c r="R124" i="16" s="1"/>
  <c r="U126" i="16"/>
  <c r="T126" i="16" s="1"/>
  <c r="S126" i="16" s="1"/>
  <c r="R126" i="16" s="1"/>
  <c r="U128" i="16"/>
  <c r="T128" i="16" s="1"/>
  <c r="S128" i="16" s="1"/>
  <c r="R128" i="16" s="1"/>
  <c r="U18" i="16"/>
  <c r="T18" i="16" s="1"/>
  <c r="U21" i="16"/>
  <c r="T21" i="16" s="1"/>
  <c r="U25" i="16"/>
  <c r="T25" i="16" s="1"/>
  <c r="U29" i="16"/>
  <c r="T29" i="16" s="1"/>
  <c r="S29" i="16" s="1"/>
  <c r="R29" i="16" s="1"/>
  <c r="U33" i="16"/>
  <c r="T33" i="16" s="1"/>
  <c r="U37" i="16"/>
  <c r="T37" i="16" s="1"/>
  <c r="U41" i="16"/>
  <c r="T41" i="16" s="1"/>
  <c r="S41" i="16" s="1"/>
  <c r="R41" i="16" s="1"/>
  <c r="U45" i="16"/>
  <c r="T45" i="16" s="1"/>
  <c r="U49" i="16"/>
  <c r="T49" i="16" s="1"/>
  <c r="S49" i="16" s="1"/>
  <c r="R49" i="16" s="1"/>
  <c r="U53" i="16"/>
  <c r="T53" i="16" s="1"/>
  <c r="U57" i="16"/>
  <c r="T57" i="16" s="1"/>
  <c r="U61" i="16"/>
  <c r="T61" i="16" s="1"/>
  <c r="S61" i="16" s="1"/>
  <c r="R61" i="16" s="1"/>
  <c r="U65" i="16"/>
  <c r="T65" i="16" s="1"/>
  <c r="S65" i="16" s="1"/>
  <c r="R65" i="16" s="1"/>
  <c r="U69" i="16"/>
  <c r="T69" i="16" s="1"/>
  <c r="U73" i="16"/>
  <c r="T73" i="16" s="1"/>
  <c r="U77" i="16"/>
  <c r="T77" i="16" s="1"/>
  <c r="S77" i="16" s="1"/>
  <c r="R77" i="16" s="1"/>
  <c r="U81" i="16"/>
  <c r="T81" i="16" s="1"/>
  <c r="U85" i="16"/>
  <c r="T85" i="16" s="1"/>
  <c r="S85" i="16" s="1"/>
  <c r="R85" i="16" s="1"/>
  <c r="U89" i="16"/>
  <c r="T89" i="16" s="1"/>
  <c r="U93" i="16"/>
  <c r="T93" i="16" s="1"/>
  <c r="U97" i="16"/>
  <c r="T97" i="16" s="1"/>
  <c r="U101" i="16"/>
  <c r="T101" i="16" s="1"/>
  <c r="U105" i="16"/>
  <c r="T105" i="16" s="1"/>
  <c r="S105" i="16" s="1"/>
  <c r="R105" i="16" s="1"/>
  <c r="U109" i="16"/>
  <c r="T109" i="16" s="1"/>
  <c r="S109" i="16" s="1"/>
  <c r="R109" i="16" s="1"/>
  <c r="U113" i="16"/>
  <c r="T113" i="16" s="1"/>
  <c r="S113" i="16" s="1"/>
  <c r="R113" i="16" s="1"/>
  <c r="U117" i="16"/>
  <c r="T117" i="16" s="1"/>
  <c r="S117" i="16" s="1"/>
  <c r="R117" i="16" s="1"/>
  <c r="U121" i="16"/>
  <c r="T121" i="16" s="1"/>
  <c r="U125" i="16"/>
  <c r="T125" i="16" s="1"/>
  <c r="S125" i="16" s="1"/>
  <c r="R125" i="16" s="1"/>
  <c r="U129" i="16"/>
  <c r="T129" i="16" s="1"/>
  <c r="S129" i="16" s="1"/>
  <c r="R129" i="16" s="1"/>
  <c r="U131" i="16"/>
  <c r="T131" i="16" s="1"/>
  <c r="S131" i="16" s="1"/>
  <c r="R131" i="16" s="1"/>
  <c r="U133" i="16"/>
  <c r="T133" i="16" s="1"/>
  <c r="S133" i="16" s="1"/>
  <c r="R133" i="16" s="1"/>
  <c r="U135" i="16"/>
  <c r="T135" i="16" s="1"/>
  <c r="U137" i="16"/>
  <c r="T137" i="16" s="1"/>
  <c r="S137" i="16" s="1"/>
  <c r="R137" i="16" s="1"/>
  <c r="U139" i="16"/>
  <c r="T139" i="16" s="1"/>
  <c r="U141" i="16"/>
  <c r="T141" i="16" s="1"/>
  <c r="U143" i="16"/>
  <c r="T143" i="16" s="1"/>
  <c r="U145" i="16"/>
  <c r="T145" i="16" s="1"/>
  <c r="S145" i="16" s="1"/>
  <c r="R145" i="16" s="1"/>
  <c r="U147" i="16"/>
  <c r="T147" i="16" s="1"/>
  <c r="U149" i="16"/>
  <c r="T149" i="16" s="1"/>
  <c r="U151" i="16"/>
  <c r="T151" i="16" s="1"/>
  <c r="U153" i="16"/>
  <c r="T153" i="16" s="1"/>
  <c r="U155" i="16"/>
  <c r="T155" i="16" s="1"/>
  <c r="S155" i="16" s="1"/>
  <c r="R155" i="16" s="1"/>
  <c r="U157" i="16"/>
  <c r="T157" i="16" s="1"/>
  <c r="S157" i="16" s="1"/>
  <c r="R157" i="16" s="1"/>
  <c r="U159" i="16"/>
  <c r="T159" i="16" s="1"/>
  <c r="S159" i="16" s="1"/>
  <c r="R159" i="16" s="1"/>
  <c r="U161" i="16"/>
  <c r="T161" i="16" s="1"/>
  <c r="U163" i="16"/>
  <c r="T163" i="16" s="1"/>
  <c r="S163" i="16" s="1"/>
  <c r="R163" i="16" s="1"/>
  <c r="U165" i="16"/>
  <c r="T165" i="16" s="1"/>
  <c r="S165" i="16" s="1"/>
  <c r="R165" i="16" s="1"/>
  <c r="U167" i="16"/>
  <c r="T167" i="16" s="1"/>
  <c r="S167" i="16" s="1"/>
  <c r="R167" i="16" s="1"/>
  <c r="U169" i="16"/>
  <c r="T169" i="16" s="1"/>
  <c r="U171" i="16"/>
  <c r="T171" i="16" s="1"/>
  <c r="S171" i="16" s="1"/>
  <c r="R171" i="16" s="1"/>
  <c r="U173" i="16"/>
  <c r="T173" i="16" s="1"/>
  <c r="U175" i="16"/>
  <c r="T175" i="16" s="1"/>
  <c r="S175" i="16" s="1"/>
  <c r="R175" i="16" s="1"/>
  <c r="U177" i="16"/>
  <c r="T177" i="16" s="1"/>
  <c r="S177" i="16" s="1"/>
  <c r="R177" i="16" s="1"/>
  <c r="U179" i="16"/>
  <c r="T179" i="16" s="1"/>
  <c r="S179" i="16" s="1"/>
  <c r="R179" i="16" s="1"/>
  <c r="U181" i="16"/>
  <c r="T181" i="16" s="1"/>
  <c r="S181" i="16" s="1"/>
  <c r="R181" i="16" s="1"/>
  <c r="U183" i="16"/>
  <c r="T183" i="16" s="1"/>
  <c r="S183" i="16" s="1"/>
  <c r="R183" i="16" s="1"/>
  <c r="U185" i="16"/>
  <c r="T185" i="16" s="1"/>
  <c r="U187" i="16"/>
  <c r="T187" i="16" s="1"/>
  <c r="S187" i="16" s="1"/>
  <c r="R187" i="16" s="1"/>
  <c r="U189" i="16"/>
  <c r="T189" i="16" s="1"/>
  <c r="S189" i="16" s="1"/>
  <c r="R189" i="16" s="1"/>
  <c r="U191" i="16"/>
  <c r="T191" i="16" s="1"/>
  <c r="S191" i="16" s="1"/>
  <c r="R191" i="16" s="1"/>
  <c r="U193" i="16"/>
  <c r="T193" i="16" s="1"/>
  <c r="S193" i="16" s="1"/>
  <c r="R193" i="16" s="1"/>
  <c r="U195" i="16"/>
  <c r="T195" i="16" s="1"/>
  <c r="S195" i="16" s="1"/>
  <c r="R195" i="16" s="1"/>
  <c r="U197" i="16"/>
  <c r="T197" i="16" s="1"/>
  <c r="U199" i="16"/>
  <c r="T199" i="16" s="1"/>
  <c r="U201" i="16"/>
  <c r="T201" i="16" s="1"/>
  <c r="S201" i="16" s="1"/>
  <c r="R201" i="16" s="1"/>
  <c r="U203" i="16"/>
  <c r="T203" i="16" s="1"/>
  <c r="S203" i="16" s="1"/>
  <c r="R203" i="16" s="1"/>
  <c r="U205" i="16"/>
  <c r="T205" i="16" s="1"/>
  <c r="S205" i="16" s="1"/>
  <c r="R205" i="16" s="1"/>
  <c r="U207" i="16"/>
  <c r="T207" i="16" s="1"/>
  <c r="U209" i="16"/>
  <c r="T209" i="16" s="1"/>
  <c r="S209" i="16" s="1"/>
  <c r="R209" i="16" s="1"/>
  <c r="U211" i="16"/>
  <c r="T211" i="16" s="1"/>
  <c r="S211" i="16" s="1"/>
  <c r="R211" i="16" s="1"/>
  <c r="U213" i="16"/>
  <c r="T213" i="16" s="1"/>
  <c r="G207" i="15"/>
  <c r="BX207" i="6" s="1"/>
  <c r="H207" i="15"/>
  <c r="AA378" i="15"/>
  <c r="Z378" i="15" s="1"/>
  <c r="Y378" i="15" s="1"/>
  <c r="AA150" i="15"/>
  <c r="Z150" i="15" s="1"/>
  <c r="Y150" i="15" s="1"/>
  <c r="AA138" i="15"/>
  <c r="Z138" i="15" s="1"/>
  <c r="Y138" i="15" s="1"/>
  <c r="AA130" i="15"/>
  <c r="Z130" i="15" s="1"/>
  <c r="Y130" i="15" s="1"/>
  <c r="AA98" i="15"/>
  <c r="Z98" i="15" s="1"/>
  <c r="Y98" i="15" s="1"/>
  <c r="AA244" i="15"/>
  <c r="Z244" i="15" s="1"/>
  <c r="Y244" i="15" s="1"/>
  <c r="AA241" i="15"/>
  <c r="Z241" i="15" s="1"/>
  <c r="Y241" i="15" s="1"/>
  <c r="AA77" i="15"/>
  <c r="Z77" i="15" s="1"/>
  <c r="Y77" i="15" s="1"/>
  <c r="AA57" i="15"/>
  <c r="Z57" i="15" s="1"/>
  <c r="Y57" i="15" s="1"/>
  <c r="AA300" i="15"/>
  <c r="Z300" i="15" s="1"/>
  <c r="Y300" i="15" s="1"/>
  <c r="AA296" i="15"/>
  <c r="Z296" i="15" s="1"/>
  <c r="Y296" i="15" s="1"/>
  <c r="AA268" i="15"/>
  <c r="Z268" i="15" s="1"/>
  <c r="Y268" i="15" s="1"/>
  <c r="AA188" i="15"/>
  <c r="Z188" i="15" s="1"/>
  <c r="Y188" i="15" s="1"/>
  <c r="AA165" i="15"/>
  <c r="Z165" i="15" s="1"/>
  <c r="Y165" i="15" s="1"/>
  <c r="AA147" i="15"/>
  <c r="Z147" i="15" s="1"/>
  <c r="Y147" i="15" s="1"/>
  <c r="AA131" i="15"/>
  <c r="Z131" i="15" s="1"/>
  <c r="Y131" i="15" s="1"/>
  <c r="AA115" i="15"/>
  <c r="Z115" i="15" s="1"/>
  <c r="Y115" i="15" s="1"/>
  <c r="H193" i="15"/>
  <c r="I193" i="15" s="1"/>
  <c r="H179" i="15"/>
  <c r="J179" i="15" s="1"/>
  <c r="H163" i="15"/>
  <c r="I163" i="15" s="1"/>
  <c r="G155" i="15"/>
  <c r="BX155" i="6" s="1"/>
  <c r="G115" i="15"/>
  <c r="BX115" i="6" s="1"/>
  <c r="G107" i="15"/>
  <c r="BX107" i="6" s="1"/>
  <c r="H41" i="15"/>
  <c r="J41" i="15" s="1"/>
  <c r="G318" i="15"/>
  <c r="BX318" i="6" s="1"/>
  <c r="G147" i="15"/>
  <c r="BX147" i="6" s="1"/>
  <c r="G131" i="15"/>
  <c r="BX131" i="6" s="1"/>
  <c r="AA123" i="15"/>
  <c r="Z123" i="15" s="1"/>
  <c r="Y123" i="15" s="1"/>
  <c r="G176" i="15"/>
  <c r="BX176" i="6" s="1"/>
  <c r="G150" i="15"/>
  <c r="BX150" i="6" s="1"/>
  <c r="G98" i="15"/>
  <c r="BX98" i="6" s="1"/>
  <c r="G116" i="15"/>
  <c r="BX116" i="6" s="1"/>
  <c r="AA254" i="15"/>
  <c r="Z254" i="15" s="1"/>
  <c r="Y254" i="15" s="1"/>
  <c r="AA134" i="15"/>
  <c r="Z134" i="15" s="1"/>
  <c r="Y134" i="15" s="1"/>
  <c r="AA368" i="15"/>
  <c r="Z368" i="15" s="1"/>
  <c r="Y368" i="15" s="1"/>
  <c r="AA224" i="15"/>
  <c r="Z224" i="15" s="1"/>
  <c r="Y224" i="15" s="1"/>
  <c r="AA216" i="15"/>
  <c r="Z216" i="15" s="1"/>
  <c r="Y216" i="15" s="1"/>
  <c r="G135" i="15"/>
  <c r="BX135" i="6" s="1"/>
  <c r="H127" i="15"/>
  <c r="I127" i="15" s="1"/>
  <c r="Q282" i="16"/>
  <c r="Q266" i="16"/>
  <c r="Q250" i="16"/>
  <c r="Q234" i="16"/>
  <c r="Q218" i="16"/>
  <c r="Q202" i="16"/>
  <c r="Q181" i="16"/>
  <c r="P181" i="16" s="1"/>
  <c r="V181" i="16" s="1"/>
  <c r="F181" i="16" s="1"/>
  <c r="G181" i="16" s="1"/>
  <c r="BY181" i="6" s="1"/>
  <c r="Q149" i="16"/>
  <c r="Q117" i="16"/>
  <c r="G231" i="15"/>
  <c r="BX231" i="6" s="1"/>
  <c r="G214" i="15"/>
  <c r="BX214" i="6" s="1"/>
  <c r="AA167" i="15"/>
  <c r="Z167" i="15" s="1"/>
  <c r="Y167" i="15" s="1"/>
  <c r="AA159" i="15"/>
  <c r="Z159" i="15" s="1"/>
  <c r="Y159" i="15" s="1"/>
  <c r="AA127" i="15"/>
  <c r="Z127" i="15" s="1"/>
  <c r="Y127" i="15" s="1"/>
  <c r="AA195" i="15"/>
  <c r="Z195" i="15" s="1"/>
  <c r="Y195" i="15" s="1"/>
  <c r="AA135" i="15"/>
  <c r="Z135" i="15" s="1"/>
  <c r="Y135" i="15" s="1"/>
  <c r="G140" i="15"/>
  <c r="BX140" i="6" s="1"/>
  <c r="G154" i="15"/>
  <c r="BX154" i="6" s="1"/>
  <c r="G143" i="15"/>
  <c r="BX143" i="6" s="1"/>
  <c r="H25" i="15"/>
  <c r="I25" i="15" s="1"/>
  <c r="G160" i="15"/>
  <c r="BX160" i="6" s="1"/>
  <c r="AA132" i="15"/>
  <c r="Z132" i="15" s="1"/>
  <c r="Y132" i="15" s="1"/>
  <c r="AA116" i="15"/>
  <c r="Z116" i="15" s="1"/>
  <c r="Y116" i="15" s="1"/>
  <c r="AA193" i="15"/>
  <c r="Z193" i="15" s="1"/>
  <c r="Y193" i="15" s="1"/>
  <c r="AA179" i="15"/>
  <c r="Z179" i="15" s="1"/>
  <c r="Y179" i="15" s="1"/>
  <c r="AA155" i="15"/>
  <c r="Z155" i="15" s="1"/>
  <c r="Y155" i="15" s="1"/>
  <c r="AA107" i="15"/>
  <c r="Z107" i="15" s="1"/>
  <c r="Y107" i="15" s="1"/>
  <c r="AA41" i="15"/>
  <c r="Z41" i="15" s="1"/>
  <c r="Y41" i="15" s="1"/>
  <c r="AA163" i="15"/>
  <c r="Z163" i="15" s="1"/>
  <c r="Y163" i="15" s="1"/>
  <c r="H69" i="15"/>
  <c r="J69" i="15" s="1"/>
  <c r="H139" i="15"/>
  <c r="J139" i="15" s="1"/>
  <c r="AA318" i="15"/>
  <c r="Z318" i="15" s="1"/>
  <c r="Y318" i="15" s="1"/>
  <c r="AA170" i="15"/>
  <c r="Z170" i="15" s="1"/>
  <c r="Y170" i="15" s="1"/>
  <c r="AA176" i="15"/>
  <c r="Z176" i="15" s="1"/>
  <c r="Y176" i="15" s="1"/>
  <c r="AA214" i="15"/>
  <c r="Z214" i="15" s="1"/>
  <c r="Y214" i="15" s="1"/>
  <c r="AA154" i="15"/>
  <c r="Z154" i="15" s="1"/>
  <c r="Y154" i="15" s="1"/>
  <c r="AA144" i="15"/>
  <c r="Z144" i="15" s="1"/>
  <c r="Y144" i="15" s="1"/>
  <c r="AA191" i="15"/>
  <c r="Z191" i="15" s="1"/>
  <c r="Y191" i="15" s="1"/>
  <c r="AA151" i="15"/>
  <c r="Z151" i="15" s="1"/>
  <c r="Y151" i="15" s="1"/>
  <c r="AA111" i="15"/>
  <c r="Z111" i="15" s="1"/>
  <c r="Y111" i="15" s="1"/>
  <c r="AA83" i="15"/>
  <c r="Z83" i="15" s="1"/>
  <c r="Y83" i="15" s="1"/>
  <c r="AA231" i="15"/>
  <c r="Z231" i="15" s="1"/>
  <c r="Y231" i="15" s="1"/>
  <c r="H175" i="15"/>
  <c r="I175" i="15" s="1"/>
  <c r="G77" i="15"/>
  <c r="BX77" i="6" s="1"/>
  <c r="H57" i="15"/>
  <c r="J57" i="15" s="1"/>
  <c r="H143" i="15"/>
  <c r="I143" i="15" s="1"/>
  <c r="AA25" i="15"/>
  <c r="Z25" i="15" s="1"/>
  <c r="Y25" i="15" s="1"/>
  <c r="V119" i="15"/>
  <c r="F119" i="15" s="1"/>
  <c r="AA119" i="15" s="1"/>
  <c r="Z119" i="15" s="1"/>
  <c r="Y119" i="15" s="1"/>
  <c r="P165" i="16"/>
  <c r="V165" i="16" s="1"/>
  <c r="F165" i="16" s="1"/>
  <c r="G165" i="16" s="1"/>
  <c r="BY165" i="6" s="1"/>
  <c r="P133" i="16"/>
  <c r="V133" i="16" s="1"/>
  <c r="F133" i="16" s="1"/>
  <c r="G133" i="16" s="1"/>
  <c r="BY133" i="6" s="1"/>
  <c r="Q377" i="16"/>
  <c r="Q373" i="16"/>
  <c r="Q369" i="16"/>
  <c r="Q365" i="16"/>
  <c r="Q361" i="16"/>
  <c r="Q357" i="16"/>
  <c r="Q353" i="16"/>
  <c r="Q349" i="16"/>
  <c r="Q345" i="16"/>
  <c r="Q341" i="16"/>
  <c r="Q337" i="16"/>
  <c r="Q333" i="16"/>
  <c r="Q329" i="16"/>
  <c r="Q325" i="16"/>
  <c r="Q321" i="16"/>
  <c r="Q317" i="16"/>
  <c r="Q313" i="16"/>
  <c r="Q309" i="16"/>
  <c r="Q305" i="16"/>
  <c r="Q301" i="16"/>
  <c r="Q297" i="16"/>
  <c r="Q293" i="16"/>
  <c r="Q286" i="16"/>
  <c r="Q278" i="16"/>
  <c r="Q270" i="16"/>
  <c r="Q262" i="16"/>
  <c r="Q254" i="16"/>
  <c r="Q246" i="16"/>
  <c r="Q238" i="16"/>
  <c r="Q230" i="16"/>
  <c r="Q222" i="16"/>
  <c r="Q214" i="16"/>
  <c r="Q206" i="16"/>
  <c r="Q198" i="16"/>
  <c r="Q189" i="16"/>
  <c r="P189" i="16" s="1"/>
  <c r="V189" i="16" s="1"/>
  <c r="F189" i="16" s="1"/>
  <c r="G189" i="16" s="1"/>
  <c r="BY189" i="6" s="1"/>
  <c r="Q173" i="16"/>
  <c r="Q157" i="16"/>
  <c r="P157" i="16" s="1"/>
  <c r="V157" i="16" s="1"/>
  <c r="F157" i="16" s="1"/>
  <c r="G157" i="16" s="1"/>
  <c r="BY157" i="6" s="1"/>
  <c r="Q141" i="16"/>
  <c r="Q125" i="16"/>
  <c r="P125" i="16" s="1"/>
  <c r="V125" i="16" s="1"/>
  <c r="F125" i="16" s="1"/>
  <c r="Q93" i="16"/>
  <c r="W2" i="7"/>
  <c r="Q109" i="16"/>
  <c r="G152" i="15"/>
  <c r="BX152" i="6" s="1"/>
  <c r="AA152" i="15"/>
  <c r="Z152" i="15" s="1"/>
  <c r="Y152" i="15" s="1"/>
  <c r="Q31" i="16"/>
  <c r="Q59" i="16"/>
  <c r="Q85" i="16"/>
  <c r="P85" i="16" s="1"/>
  <c r="V85" i="16" s="1"/>
  <c r="F85" i="16" s="1"/>
  <c r="G85" i="16" s="1"/>
  <c r="BY85" i="6" s="1"/>
  <c r="Q101" i="16"/>
  <c r="Q113" i="16"/>
  <c r="Q121" i="16"/>
  <c r="Q129" i="16"/>
  <c r="P129" i="16" s="1"/>
  <c r="V129" i="16" s="1"/>
  <c r="F129" i="16" s="1"/>
  <c r="G129" i="16" s="1"/>
  <c r="BY129" i="6" s="1"/>
  <c r="Q137" i="16"/>
  <c r="Q145" i="16"/>
  <c r="P145" i="16" s="1"/>
  <c r="V145" i="16" s="1"/>
  <c r="F145" i="16" s="1"/>
  <c r="G145" i="16" s="1"/>
  <c r="BY145" i="6" s="1"/>
  <c r="Q153" i="16"/>
  <c r="Q161" i="16"/>
  <c r="Q169" i="16"/>
  <c r="Q177" i="16"/>
  <c r="Q185" i="16"/>
  <c r="Q192" i="16"/>
  <c r="Q196" i="16"/>
  <c r="Q200" i="16"/>
  <c r="Q204" i="16"/>
  <c r="Q208" i="16"/>
  <c r="Q212" i="16"/>
  <c r="Q216" i="16"/>
  <c r="Q220" i="16"/>
  <c r="Q224" i="16"/>
  <c r="Q228" i="16"/>
  <c r="Q232" i="16"/>
  <c r="Q236" i="16"/>
  <c r="Q240" i="16"/>
  <c r="Q244" i="16"/>
  <c r="Q248" i="16"/>
  <c r="Q252" i="16"/>
  <c r="Q256" i="16"/>
  <c r="Q260" i="16"/>
  <c r="Q264" i="16"/>
  <c r="Q268" i="16"/>
  <c r="Q272" i="16"/>
  <c r="Q276" i="16"/>
  <c r="Q280" i="16"/>
  <c r="Q284" i="16"/>
  <c r="Q288" i="16"/>
  <c r="Q292" i="16"/>
  <c r="Q294" i="16"/>
  <c r="Q296" i="16"/>
  <c r="Q298" i="16"/>
  <c r="Q300" i="16"/>
  <c r="Q302" i="16"/>
  <c r="Q304" i="16"/>
  <c r="Q306" i="16"/>
  <c r="Q308" i="16"/>
  <c r="Q310" i="16"/>
  <c r="Q312" i="16"/>
  <c r="Q314" i="16"/>
  <c r="Q316" i="16"/>
  <c r="Q318" i="16"/>
  <c r="Q320" i="16"/>
  <c r="Q322" i="16"/>
  <c r="Q324" i="16"/>
  <c r="Q326" i="16"/>
  <c r="Q328" i="16"/>
  <c r="Q330" i="16"/>
  <c r="Q332" i="16"/>
  <c r="Q334" i="16"/>
  <c r="Q336" i="16"/>
  <c r="Q338" i="16"/>
  <c r="Q340" i="16"/>
  <c r="Q342" i="16"/>
  <c r="Q344" i="16"/>
  <c r="Q346" i="16"/>
  <c r="Q348" i="16"/>
  <c r="Q350" i="16"/>
  <c r="Q352" i="16"/>
  <c r="Q354" i="16"/>
  <c r="Q356" i="16"/>
  <c r="Q358" i="16"/>
  <c r="Q360" i="16"/>
  <c r="Q362" i="16"/>
  <c r="Q364" i="16"/>
  <c r="Q366" i="16"/>
  <c r="Q368" i="16"/>
  <c r="Q370" i="16"/>
  <c r="Q372" i="16"/>
  <c r="Q374" i="16"/>
  <c r="Q376" i="16"/>
  <c r="Q378" i="16"/>
  <c r="Q380" i="16"/>
  <c r="Q43" i="16"/>
  <c r="G181" i="15"/>
  <c r="BX181" i="6" s="1"/>
  <c r="H153" i="15"/>
  <c r="J153" i="15" s="1"/>
  <c r="AA31" i="15"/>
  <c r="Z31" i="15" s="1"/>
  <c r="Y31" i="15" s="1"/>
  <c r="H129" i="15"/>
  <c r="I129" i="15" s="1"/>
  <c r="H271" i="15"/>
  <c r="J271" i="15" s="1"/>
  <c r="G128" i="15"/>
  <c r="BX128" i="6" s="1"/>
  <c r="G141" i="15"/>
  <c r="BX141" i="6" s="1"/>
  <c r="G145" i="15"/>
  <c r="BX145" i="6" s="1"/>
  <c r="G133" i="15"/>
  <c r="BX133" i="6" s="1"/>
  <c r="G125" i="15"/>
  <c r="BX125" i="6" s="1"/>
  <c r="AA172" i="15"/>
  <c r="Z172" i="15" s="1"/>
  <c r="Y172" i="15" s="1"/>
  <c r="AA141" i="15"/>
  <c r="Z141" i="15" s="1"/>
  <c r="Y141" i="15" s="1"/>
  <c r="AA113" i="15"/>
  <c r="Z113" i="15" s="1"/>
  <c r="Y113" i="15" s="1"/>
  <c r="G19" i="15"/>
  <c r="BX19" i="6" s="1"/>
  <c r="D42" i="7"/>
  <c r="H363" i="15"/>
  <c r="J363" i="15" s="1"/>
  <c r="G168" i="15"/>
  <c r="BX168" i="6" s="1"/>
  <c r="AA109" i="15"/>
  <c r="Z109" i="15" s="1"/>
  <c r="Y109" i="15" s="1"/>
  <c r="AA169" i="15"/>
  <c r="Z169" i="15" s="1"/>
  <c r="Y169" i="15" s="1"/>
  <c r="AA177" i="15"/>
  <c r="Z177" i="15" s="1"/>
  <c r="Y177" i="15" s="1"/>
  <c r="AA276" i="15"/>
  <c r="Z276" i="15" s="1"/>
  <c r="Y276" i="15" s="1"/>
  <c r="AA114" i="15"/>
  <c r="Z114" i="15" s="1"/>
  <c r="Y114" i="15" s="1"/>
  <c r="AA157" i="15"/>
  <c r="Z157" i="15" s="1"/>
  <c r="Y157" i="15" s="1"/>
  <c r="G277" i="15"/>
  <c r="BX277" i="6" s="1"/>
  <c r="H169" i="15"/>
  <c r="J169" i="15" s="1"/>
  <c r="G53" i="15"/>
  <c r="BX53" i="6" s="1"/>
  <c r="G149" i="15"/>
  <c r="BX149" i="6" s="1"/>
  <c r="H114" i="15"/>
  <c r="I114" i="15" s="1"/>
  <c r="H302" i="15"/>
  <c r="J302" i="15" s="1"/>
  <c r="AA161" i="15"/>
  <c r="Z161" i="15" s="1"/>
  <c r="Y161" i="15" s="1"/>
  <c r="AA168" i="15"/>
  <c r="Z168" i="15" s="1"/>
  <c r="Y168" i="15" s="1"/>
  <c r="AA19" i="15"/>
  <c r="Z19" i="15" s="1"/>
  <c r="Y19" i="15" s="1"/>
  <c r="G173" i="15"/>
  <c r="BX173" i="6" s="1"/>
  <c r="G161" i="15"/>
  <c r="BX161" i="6" s="1"/>
  <c r="H113" i="15"/>
  <c r="J113" i="15" s="1"/>
  <c r="G61" i="15"/>
  <c r="BX61" i="6" s="1"/>
  <c r="G271" i="15"/>
  <c r="BX271" i="6" s="1"/>
  <c r="G29" i="15"/>
  <c r="BX29" i="6" s="1"/>
  <c r="G172" i="15"/>
  <c r="BX172" i="6" s="1"/>
  <c r="G112" i="15"/>
  <c r="BX112" i="6" s="1"/>
  <c r="G269" i="15"/>
  <c r="BX269" i="6" s="1"/>
  <c r="G129" i="15"/>
  <c r="BX129" i="6" s="1"/>
  <c r="H121" i="15"/>
  <c r="J121" i="15" s="1"/>
  <c r="F62" i="19"/>
  <c r="AA112" i="15"/>
  <c r="Z112" i="15" s="1"/>
  <c r="Y112" i="15" s="1"/>
  <c r="AA302" i="15"/>
  <c r="Z302" i="15" s="1"/>
  <c r="Y302" i="15" s="1"/>
  <c r="H365" i="15"/>
  <c r="J365" i="15" s="1"/>
  <c r="G177" i="15"/>
  <c r="BX177" i="6" s="1"/>
  <c r="H157" i="15"/>
  <c r="J157" i="15" s="1"/>
  <c r="G117" i="15"/>
  <c r="BX117" i="6" s="1"/>
  <c r="G109" i="15"/>
  <c r="BX109" i="6" s="1"/>
  <c r="G120" i="15"/>
  <c r="BX120" i="6" s="1"/>
  <c r="G345" i="15"/>
  <c r="BX345" i="6" s="1"/>
  <c r="AA145" i="15"/>
  <c r="Z145" i="15" s="1"/>
  <c r="Y145" i="15" s="1"/>
  <c r="AA125" i="15"/>
  <c r="Z125" i="15" s="1"/>
  <c r="Y125" i="15" s="1"/>
  <c r="H276" i="15"/>
  <c r="J276" i="15" s="1"/>
  <c r="Q105" i="16"/>
  <c r="Q97" i="16"/>
  <c r="Q89" i="16"/>
  <c r="Q81" i="16"/>
  <c r="Q67" i="16"/>
  <c r="Q51" i="16"/>
  <c r="AA128" i="15"/>
  <c r="Z128" i="15" s="1"/>
  <c r="Y128" i="15" s="1"/>
  <c r="AA363" i="15"/>
  <c r="Z363" i="15" s="1"/>
  <c r="Y363" i="15" s="1"/>
  <c r="AA181" i="15"/>
  <c r="Z181" i="15" s="1"/>
  <c r="Y181" i="15" s="1"/>
  <c r="AA173" i="15"/>
  <c r="Z173" i="15" s="1"/>
  <c r="Y173" i="15" s="1"/>
  <c r="AA121" i="15"/>
  <c r="Z121" i="15" s="1"/>
  <c r="Y121" i="15" s="1"/>
  <c r="AA61" i="15"/>
  <c r="Z61" i="15" s="1"/>
  <c r="Y61" i="15" s="1"/>
  <c r="H161" i="15"/>
  <c r="I161" i="15" s="1"/>
  <c r="G153" i="15"/>
  <c r="BX153" i="6" s="1"/>
  <c r="H31" i="15"/>
  <c r="J31" i="15" s="1"/>
  <c r="H29" i="15"/>
  <c r="I29" i="15" s="1"/>
  <c r="L37" i="19"/>
  <c r="C12" i="19"/>
  <c r="F36" i="19"/>
  <c r="AA120" i="15"/>
  <c r="Z120" i="15" s="1"/>
  <c r="Y120" i="15" s="1"/>
  <c r="AA149" i="15"/>
  <c r="Z149" i="15" s="1"/>
  <c r="Y149" i="15" s="1"/>
  <c r="AA133" i="15"/>
  <c r="Z133" i="15" s="1"/>
  <c r="Y133" i="15" s="1"/>
  <c r="AA117" i="15"/>
  <c r="Z117" i="15" s="1"/>
  <c r="Y117" i="15" s="1"/>
  <c r="P177" i="16"/>
  <c r="V177" i="16" s="1"/>
  <c r="F177" i="16" s="1"/>
  <c r="G177" i="16" s="1"/>
  <c r="BY177" i="6" s="1"/>
  <c r="P137" i="16"/>
  <c r="V137" i="16" s="1"/>
  <c r="F137" i="16" s="1"/>
  <c r="P113" i="16"/>
  <c r="V113" i="16" s="1"/>
  <c r="F113" i="16" s="1"/>
  <c r="G113" i="16" s="1"/>
  <c r="BY113" i="6" s="1"/>
  <c r="P105" i="16"/>
  <c r="V105" i="16" s="1"/>
  <c r="F105" i="16" s="1"/>
  <c r="G105" i="16" s="1"/>
  <c r="BY105" i="6" s="1"/>
  <c r="G169" i="15"/>
  <c r="BX169" i="6" s="1"/>
  <c r="H109" i="15"/>
  <c r="J109" i="15" s="1"/>
  <c r="AA53" i="15"/>
  <c r="Z53" i="15" s="1"/>
  <c r="Y53" i="15" s="1"/>
  <c r="AA277" i="15"/>
  <c r="Z277" i="15" s="1"/>
  <c r="Y277" i="15" s="1"/>
  <c r="D32" i="7"/>
  <c r="AJ11" i="16"/>
  <c r="G62" i="19"/>
  <c r="H180" i="15"/>
  <c r="I180" i="15" s="1"/>
  <c r="AA180" i="15"/>
  <c r="Z180" i="15" s="1"/>
  <c r="Y180" i="15" s="1"/>
  <c r="AA210" i="15"/>
  <c r="Z210" i="15" s="1"/>
  <c r="Y210" i="15" s="1"/>
  <c r="G241" i="15"/>
  <c r="BX241" i="6" s="1"/>
  <c r="G210" i="15"/>
  <c r="BX210" i="6" s="1"/>
  <c r="H62" i="19"/>
  <c r="G47" i="15"/>
  <c r="BX47" i="6" s="1"/>
  <c r="H47" i="15"/>
  <c r="J47" i="15" s="1"/>
  <c r="Q23" i="16"/>
  <c r="Q39" i="16"/>
  <c r="Q47" i="16"/>
  <c r="Q55" i="16"/>
  <c r="Q63" i="16"/>
  <c r="Q71" i="16"/>
  <c r="Q79" i="16"/>
  <c r="Q83" i="16"/>
  <c r="Q87" i="16"/>
  <c r="Q91" i="16"/>
  <c r="Q95" i="16"/>
  <c r="Q99" i="16"/>
  <c r="Q103" i="16"/>
  <c r="Q107" i="16"/>
  <c r="Q111" i="16"/>
  <c r="Q115" i="16"/>
  <c r="Q119" i="16"/>
  <c r="Q123" i="16"/>
  <c r="Q127" i="16"/>
  <c r="Q131" i="16"/>
  <c r="Q135" i="16"/>
  <c r="Q139" i="16"/>
  <c r="Q143" i="16"/>
  <c r="Q147" i="16"/>
  <c r="Q151" i="16"/>
  <c r="Q155" i="16"/>
  <c r="Q159" i="16"/>
  <c r="P159" i="16" s="1"/>
  <c r="V159" i="16" s="1"/>
  <c r="F159" i="16" s="1"/>
  <c r="G159" i="16" s="1"/>
  <c r="BY159" i="6" s="1"/>
  <c r="Q163" i="16"/>
  <c r="Q167" i="16"/>
  <c r="P167" i="16" s="1"/>
  <c r="V167" i="16" s="1"/>
  <c r="Q171" i="16"/>
  <c r="Q175" i="16"/>
  <c r="P175" i="16" s="1"/>
  <c r="V175" i="16" s="1"/>
  <c r="F175" i="16" s="1"/>
  <c r="G175" i="16" s="1"/>
  <c r="BY175" i="6" s="1"/>
  <c r="Q179" i="16"/>
  <c r="Q183" i="16"/>
  <c r="P183" i="16" s="1"/>
  <c r="V183" i="16" s="1"/>
  <c r="F183" i="16" s="1"/>
  <c r="G183" i="16" s="1"/>
  <c r="BY183" i="6" s="1"/>
  <c r="Q187" i="16"/>
  <c r="Q191" i="16"/>
  <c r="P191" i="16" s="1"/>
  <c r="V191" i="16" s="1"/>
  <c r="F191" i="16" s="1"/>
  <c r="Q193" i="16"/>
  <c r="P193" i="16" s="1"/>
  <c r="V193" i="16" s="1"/>
  <c r="F193" i="16" s="1"/>
  <c r="G193" i="16" s="1"/>
  <c r="BY193" i="6" s="1"/>
  <c r="Q195" i="16"/>
  <c r="P195" i="16" s="1"/>
  <c r="V195" i="16" s="1"/>
  <c r="F195" i="16" s="1"/>
  <c r="G195" i="16" s="1"/>
  <c r="BY195" i="6" s="1"/>
  <c r="Q197" i="16"/>
  <c r="Q199" i="16"/>
  <c r="Q201" i="16"/>
  <c r="P201" i="16" s="1"/>
  <c r="V201" i="16" s="1"/>
  <c r="F201" i="16" s="1"/>
  <c r="G201" i="16" s="1"/>
  <c r="BY201" i="6" s="1"/>
  <c r="Q203" i="16"/>
  <c r="P203" i="16" s="1"/>
  <c r="V203" i="16" s="1"/>
  <c r="F203" i="16" s="1"/>
  <c r="G203" i="16" s="1"/>
  <c r="BY203" i="6" s="1"/>
  <c r="Q205" i="16"/>
  <c r="P205" i="16" s="1"/>
  <c r="V205" i="16" s="1"/>
  <c r="F205" i="16" s="1"/>
  <c r="Q207" i="16"/>
  <c r="Q209" i="16"/>
  <c r="P209" i="16" s="1"/>
  <c r="V209" i="16" s="1"/>
  <c r="F209" i="16" s="1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H378" i="15"/>
  <c r="I378" i="15" s="1"/>
  <c r="G88" i="15"/>
  <c r="BX88" i="6" s="1"/>
  <c r="AA88" i="15"/>
  <c r="Z88" i="15" s="1"/>
  <c r="Y88" i="15" s="1"/>
  <c r="H39" i="15"/>
  <c r="J39" i="15" s="1"/>
  <c r="G63" i="15"/>
  <c r="BX63" i="6" s="1"/>
  <c r="G27" i="15"/>
  <c r="BX27" i="6" s="1"/>
  <c r="AA84" i="15"/>
  <c r="Z84" i="15" s="1"/>
  <c r="Y84" i="15" s="1"/>
  <c r="AA39" i="15"/>
  <c r="Z39" i="15" s="1"/>
  <c r="Y39" i="15" s="1"/>
  <c r="H84" i="15"/>
  <c r="I84" i="15" s="1"/>
  <c r="G68" i="15"/>
  <c r="BX68" i="6" s="1"/>
  <c r="G43" i="15"/>
  <c r="BX43" i="6" s="1"/>
  <c r="L62" i="19"/>
  <c r="G35" i="15"/>
  <c r="BX35" i="6" s="1"/>
  <c r="AA80" i="15"/>
  <c r="Z80" i="15" s="1"/>
  <c r="Y80" i="15" s="1"/>
  <c r="AA66" i="15"/>
  <c r="Z66" i="15" s="1"/>
  <c r="Y66" i="15" s="1"/>
  <c r="G80" i="15"/>
  <c r="BX80" i="6" s="1"/>
  <c r="G72" i="15"/>
  <c r="BX72" i="6" s="1"/>
  <c r="H35" i="15"/>
  <c r="I35" i="15" s="1"/>
  <c r="H55" i="15"/>
  <c r="I55" i="15" s="1"/>
  <c r="AA27" i="15"/>
  <c r="Z27" i="15" s="1"/>
  <c r="Y27" i="15" s="1"/>
  <c r="AA76" i="15"/>
  <c r="Z76" i="15" s="1"/>
  <c r="Y76" i="15" s="1"/>
  <c r="AA63" i="15"/>
  <c r="Z63" i="15" s="1"/>
  <c r="Y63" i="15" s="1"/>
  <c r="H76" i="15"/>
  <c r="J76" i="15" s="1"/>
  <c r="AA68" i="15"/>
  <c r="Z68" i="15" s="1"/>
  <c r="Y68" i="15" s="1"/>
  <c r="H43" i="15"/>
  <c r="J43" i="15" s="1"/>
  <c r="AA34" i="15"/>
  <c r="Z34" i="15" s="1"/>
  <c r="Y34" i="15" s="1"/>
  <c r="AA82" i="15"/>
  <c r="Z82" i="15" s="1"/>
  <c r="Y82" i="15" s="1"/>
  <c r="AA74" i="15"/>
  <c r="Z74" i="15" s="1"/>
  <c r="Y74" i="15" s="1"/>
  <c r="AA55" i="15"/>
  <c r="Z55" i="15" s="1"/>
  <c r="Y55" i="15" s="1"/>
  <c r="AA72" i="15"/>
  <c r="Z72" i="15" s="1"/>
  <c r="Y72" i="15" s="1"/>
  <c r="H34" i="15"/>
  <c r="I34" i="15" s="1"/>
  <c r="H82" i="15"/>
  <c r="J82" i="15" s="1"/>
  <c r="G82" i="15"/>
  <c r="BX82" i="6" s="1"/>
  <c r="H74" i="15"/>
  <c r="I74" i="15" s="1"/>
  <c r="G74" i="15"/>
  <c r="BX74" i="6" s="1"/>
  <c r="H66" i="15"/>
  <c r="I66" i="15" s="1"/>
  <c r="G66" i="15"/>
  <c r="BX66" i="6" s="1"/>
  <c r="P211" i="16"/>
  <c r="V211" i="16" s="1"/>
  <c r="F211" i="16" s="1"/>
  <c r="G211" i="16" s="1"/>
  <c r="BY211" i="6" s="1"/>
  <c r="P155" i="16"/>
  <c r="V155" i="16" s="1"/>
  <c r="F155" i="16" s="1"/>
  <c r="G155" i="16" s="1"/>
  <c r="BY155" i="6" s="1"/>
  <c r="Q15" i="7"/>
  <c r="Q19" i="16"/>
  <c r="Q27" i="16"/>
  <c r="Q35" i="16"/>
  <c r="Q41" i="16"/>
  <c r="P41" i="16" s="1"/>
  <c r="V41" i="16" s="1"/>
  <c r="F41" i="16" s="1"/>
  <c r="G41" i="16" s="1"/>
  <c r="BY41" i="6" s="1"/>
  <c r="Q45" i="16"/>
  <c r="Q49" i="16"/>
  <c r="P49" i="16" s="1"/>
  <c r="V49" i="16" s="1"/>
  <c r="F49" i="16" s="1"/>
  <c r="G49" i="16" s="1"/>
  <c r="BY49" i="6" s="1"/>
  <c r="Q53" i="16"/>
  <c r="Q57" i="16"/>
  <c r="Q61" i="16"/>
  <c r="P61" i="16" s="1"/>
  <c r="V61" i="16" s="1"/>
  <c r="F61" i="16" s="1"/>
  <c r="Q65" i="16"/>
  <c r="P65" i="16" s="1"/>
  <c r="V65" i="16" s="1"/>
  <c r="F65" i="16" s="1"/>
  <c r="Q69" i="16"/>
  <c r="Q73" i="16"/>
  <c r="Q77" i="16"/>
  <c r="P77" i="16" s="1"/>
  <c r="V77" i="16" s="1"/>
  <c r="F77" i="16" s="1"/>
  <c r="G77" i="16" s="1"/>
  <c r="BY77" i="6" s="1"/>
  <c r="Q80" i="16"/>
  <c r="Q82" i="16"/>
  <c r="P82" i="16" s="1"/>
  <c r="V82" i="16" s="1"/>
  <c r="F82" i="16" s="1"/>
  <c r="G82" i="16" s="1"/>
  <c r="BY82" i="6" s="1"/>
  <c r="Q84" i="16"/>
  <c r="Q86" i="16"/>
  <c r="P86" i="16" s="1"/>
  <c r="V86" i="16" s="1"/>
  <c r="F86" i="16" s="1"/>
  <c r="Q88" i="16"/>
  <c r="Q90" i="16"/>
  <c r="Q92" i="16"/>
  <c r="Q94" i="16"/>
  <c r="Q96" i="16"/>
  <c r="Q98" i="16"/>
  <c r="Q100" i="16"/>
  <c r="Q102" i="16"/>
  <c r="P102" i="16" s="1"/>
  <c r="V102" i="16" s="1"/>
  <c r="F102" i="16" s="1"/>
  <c r="G102" i="16" s="1"/>
  <c r="BY102" i="6" s="1"/>
  <c r="Q104" i="16"/>
  <c r="Q106" i="16"/>
  <c r="P106" i="16" s="1"/>
  <c r="V106" i="16" s="1"/>
  <c r="F106" i="16" s="1"/>
  <c r="Q108" i="16"/>
  <c r="Q110" i="16"/>
  <c r="P110" i="16" s="1"/>
  <c r="V110" i="16" s="1"/>
  <c r="F110" i="16" s="1"/>
  <c r="G110" i="16" s="1"/>
  <c r="BY110" i="6" s="1"/>
  <c r="Q112" i="16"/>
  <c r="Q114" i="16"/>
  <c r="Q116" i="16"/>
  <c r="Q118" i="16"/>
  <c r="Q120" i="16"/>
  <c r="Q122" i="16"/>
  <c r="P122" i="16" s="1"/>
  <c r="V122" i="16" s="1"/>
  <c r="F122" i="16" s="1"/>
  <c r="G122" i="16" s="1"/>
  <c r="BY122" i="6" s="1"/>
  <c r="Q124" i="16"/>
  <c r="Q126" i="16"/>
  <c r="P126" i="16" s="1"/>
  <c r="V126" i="16" s="1"/>
  <c r="F126" i="16" s="1"/>
  <c r="G126" i="16" s="1"/>
  <c r="BY126" i="6" s="1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Q186" i="16"/>
  <c r="Q188" i="16"/>
  <c r="Q190" i="16"/>
  <c r="AA78" i="15"/>
  <c r="Z78" i="15" s="1"/>
  <c r="Y78" i="15" s="1"/>
  <c r="G78" i="15"/>
  <c r="BX78" i="6" s="1"/>
  <c r="H78" i="15"/>
  <c r="I78" i="15" s="1"/>
  <c r="AA70" i="15"/>
  <c r="Z70" i="15" s="1"/>
  <c r="Y70" i="15" s="1"/>
  <c r="H70" i="15"/>
  <c r="J70" i="15" s="1"/>
  <c r="G70" i="15"/>
  <c r="BX70" i="6" s="1"/>
  <c r="F136" i="15"/>
  <c r="AA136" i="15" s="1"/>
  <c r="Z136" i="15" s="1"/>
  <c r="Y136" i="15" s="1"/>
  <c r="AC383" i="20"/>
  <c r="AC382" i="20"/>
  <c r="AC381" i="20"/>
  <c r="I62" i="19"/>
  <c r="C62" i="19"/>
  <c r="Q37" i="16"/>
  <c r="Q33" i="16"/>
  <c r="Q29" i="16"/>
  <c r="Q25" i="16"/>
  <c r="Q21" i="16"/>
  <c r="Q17" i="16"/>
  <c r="M62" i="19"/>
  <c r="J62" i="19"/>
  <c r="V379" i="1"/>
  <c r="P382" i="1"/>
  <c r="P381" i="1"/>
  <c r="P383" i="1"/>
  <c r="AK3" i="16"/>
  <c r="Q13" i="19" s="1"/>
  <c r="K62" i="19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E380" i="16"/>
  <c r="G379" i="15"/>
  <c r="BX379" i="6" s="1"/>
  <c r="AA379" i="15"/>
  <c r="Z379" i="15" s="1"/>
  <c r="Y379" i="15" s="1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AA288" i="15"/>
  <c r="Z288" i="15" s="1"/>
  <c r="Y288" i="15" s="1"/>
  <c r="G288" i="15"/>
  <c r="BX288" i="6" s="1"/>
  <c r="H288" i="15"/>
  <c r="J208" i="15"/>
  <c r="I208" i="15"/>
  <c r="I204" i="15"/>
  <c r="J204" i="15"/>
  <c r="J196" i="15"/>
  <c r="I196" i="15"/>
  <c r="I188" i="15"/>
  <c r="J188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S213" i="16"/>
  <c r="R213" i="16" s="1"/>
  <c r="P213" i="16" s="1"/>
  <c r="V213" i="16" s="1"/>
  <c r="F213" i="16" s="1"/>
  <c r="S207" i="16"/>
  <c r="R207" i="16" s="1"/>
  <c r="P207" i="16" s="1"/>
  <c r="V207" i="16" s="1"/>
  <c r="F207" i="16" s="1"/>
  <c r="S199" i="16"/>
  <c r="R199" i="16" s="1"/>
  <c r="S197" i="16"/>
  <c r="R197" i="16" s="1"/>
  <c r="S185" i="16"/>
  <c r="R185" i="16" s="1"/>
  <c r="P185" i="16" s="1"/>
  <c r="V185" i="16" s="1"/>
  <c r="F185" i="16" s="1"/>
  <c r="S173" i="16"/>
  <c r="R173" i="16" s="1"/>
  <c r="P173" i="16" s="1"/>
  <c r="S169" i="16"/>
  <c r="R169" i="16" s="1"/>
  <c r="P169" i="16" s="1"/>
  <c r="V169" i="16" s="1"/>
  <c r="F169" i="16" s="1"/>
  <c r="S161" i="16"/>
  <c r="R161" i="16" s="1"/>
  <c r="P161" i="16" s="1"/>
  <c r="V161" i="16" s="1"/>
  <c r="F161" i="16" s="1"/>
  <c r="S153" i="16"/>
  <c r="R153" i="16" s="1"/>
  <c r="P153" i="16" s="1"/>
  <c r="V153" i="16" s="1"/>
  <c r="F153" i="16" s="1"/>
  <c r="S151" i="16"/>
  <c r="R151" i="16" s="1"/>
  <c r="P151" i="16" s="1"/>
  <c r="V151" i="16" s="1"/>
  <c r="F151" i="16" s="1"/>
  <c r="S149" i="16"/>
  <c r="R149" i="16" s="1"/>
  <c r="P149" i="16" s="1"/>
  <c r="S147" i="16"/>
  <c r="R147" i="16" s="1"/>
  <c r="P147" i="16" s="1"/>
  <c r="V147" i="16" s="1"/>
  <c r="F147" i="16" s="1"/>
  <c r="S143" i="16"/>
  <c r="R143" i="16" s="1"/>
  <c r="S141" i="16"/>
  <c r="R141" i="16" s="1"/>
  <c r="P141" i="16" s="1"/>
  <c r="V141" i="16" s="1"/>
  <c r="F141" i="16" s="1"/>
  <c r="S139" i="16"/>
  <c r="R139" i="16" s="1"/>
  <c r="S135" i="16"/>
  <c r="R135" i="16" s="1"/>
  <c r="P135" i="16" s="1"/>
  <c r="V135" i="16" s="1"/>
  <c r="F135" i="16" s="1"/>
  <c r="S121" i="16"/>
  <c r="R121" i="16" s="1"/>
  <c r="P121" i="16" s="1"/>
  <c r="V121" i="16" s="1"/>
  <c r="F121" i="16" s="1"/>
  <c r="S101" i="16"/>
  <c r="R101" i="16" s="1"/>
  <c r="P101" i="16" s="1"/>
  <c r="V101" i="16" s="1"/>
  <c r="F101" i="16" s="1"/>
  <c r="S97" i="16"/>
  <c r="R97" i="16" s="1"/>
  <c r="S93" i="16"/>
  <c r="R93" i="16" s="1"/>
  <c r="P93" i="16" s="1"/>
  <c r="S89" i="16"/>
  <c r="R89" i="16" s="1"/>
  <c r="S81" i="16"/>
  <c r="R81" i="16" s="1"/>
  <c r="P81" i="16" s="1"/>
  <c r="V81" i="16" s="1"/>
  <c r="F81" i="16" s="1"/>
  <c r="S73" i="16"/>
  <c r="R73" i="16" s="1"/>
  <c r="S69" i="16"/>
  <c r="R69" i="16" s="1"/>
  <c r="S57" i="16"/>
  <c r="R57" i="16" s="1"/>
  <c r="P57" i="16" s="1"/>
  <c r="S53" i="16"/>
  <c r="R53" i="16" s="1"/>
  <c r="S45" i="16"/>
  <c r="R45" i="16" s="1"/>
  <c r="S37" i="16"/>
  <c r="R37" i="16" s="1"/>
  <c r="S33" i="16"/>
  <c r="R33" i="16" s="1"/>
  <c r="S25" i="16"/>
  <c r="R25" i="16" s="1"/>
  <c r="S21" i="16"/>
  <c r="R21" i="16" s="1"/>
  <c r="S18" i="16"/>
  <c r="R18" i="16" s="1"/>
  <c r="I377" i="15"/>
  <c r="J377" i="15"/>
  <c r="J373" i="15"/>
  <c r="I373" i="15"/>
  <c r="I239" i="15"/>
  <c r="J239" i="15"/>
  <c r="J235" i="15"/>
  <c r="I235" i="15"/>
  <c r="I229" i="15"/>
  <c r="J229" i="15"/>
  <c r="J225" i="15"/>
  <c r="I225" i="15"/>
  <c r="J223" i="15"/>
  <c r="I223" i="15"/>
  <c r="I219" i="15"/>
  <c r="J219" i="15"/>
  <c r="J217" i="15"/>
  <c r="I217" i="15"/>
  <c r="J211" i="15"/>
  <c r="I211" i="15"/>
  <c r="J207" i="15"/>
  <c r="I207" i="15"/>
  <c r="J205" i="15"/>
  <c r="I205" i="15"/>
  <c r="J203" i="15"/>
  <c r="I203" i="15"/>
  <c r="J195" i="15"/>
  <c r="I195" i="15"/>
  <c r="J193" i="15"/>
  <c r="I189" i="15"/>
  <c r="J189" i="15"/>
  <c r="J185" i="15"/>
  <c r="I185" i="15"/>
  <c r="I183" i="15"/>
  <c r="J183" i="15"/>
  <c r="J181" i="15"/>
  <c r="I181" i="15"/>
  <c r="I173" i="15"/>
  <c r="J173" i="15"/>
  <c r="I167" i="15"/>
  <c r="J167" i="15"/>
  <c r="J165" i="15"/>
  <c r="I165" i="15"/>
  <c r="I159" i="15"/>
  <c r="J159" i="15"/>
  <c r="J155" i="15"/>
  <c r="I155" i="15"/>
  <c r="J151" i="15"/>
  <c r="I111" i="15"/>
  <c r="J111" i="15"/>
  <c r="J105" i="15"/>
  <c r="I105" i="15"/>
  <c r="H101" i="15"/>
  <c r="G101" i="15"/>
  <c r="BX101" i="6" s="1"/>
  <c r="AA101" i="15"/>
  <c r="Z101" i="15" s="1"/>
  <c r="Y101" i="15" s="1"/>
  <c r="I99" i="15"/>
  <c r="J99" i="15"/>
  <c r="I97" i="15"/>
  <c r="J97" i="15"/>
  <c r="I95" i="15"/>
  <c r="J95" i="15"/>
  <c r="J93" i="15"/>
  <c r="I93" i="15"/>
  <c r="I91" i="15"/>
  <c r="J91" i="15"/>
  <c r="J89" i="15"/>
  <c r="I89" i="15"/>
  <c r="I83" i="15"/>
  <c r="J83" i="15"/>
  <c r="J79" i="15"/>
  <c r="I79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I57" i="15"/>
  <c r="J53" i="15"/>
  <c r="I53" i="15"/>
  <c r="P15" i="7"/>
  <c r="Q12" i="17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J11" i="17"/>
  <c r="AJ13" i="17" s="1"/>
  <c r="AB379" i="22"/>
  <c r="K379" i="22"/>
  <c r="AJ379" i="22"/>
  <c r="X379" i="22"/>
  <c r="L379" i="22"/>
  <c r="B41" i="19" s="1"/>
  <c r="A380" i="22"/>
  <c r="AK379" i="22"/>
  <c r="O379" i="22"/>
  <c r="C41" i="19" s="1"/>
  <c r="AC379" i="22"/>
  <c r="J376" i="15"/>
  <c r="I376" i="15"/>
  <c r="I372" i="15"/>
  <c r="J372" i="15"/>
  <c r="I368" i="15"/>
  <c r="J368" i="15"/>
  <c r="J366" i="15"/>
  <c r="I366" i="15"/>
  <c r="J364" i="15"/>
  <c r="I364" i="15"/>
  <c r="F358" i="15"/>
  <c r="I356" i="15"/>
  <c r="J356" i="15"/>
  <c r="I352" i="15"/>
  <c r="J352" i="15"/>
  <c r="I346" i="15"/>
  <c r="J346" i="15"/>
  <c r="J344" i="15"/>
  <c r="I344" i="15"/>
  <c r="I340" i="15"/>
  <c r="J340" i="15"/>
  <c r="J328" i="15"/>
  <c r="I328" i="15"/>
  <c r="F324" i="15"/>
  <c r="I322" i="15"/>
  <c r="J322" i="15"/>
  <c r="J318" i="15"/>
  <c r="I318" i="15"/>
  <c r="J316" i="15"/>
  <c r="I316" i="15"/>
  <c r="I312" i="15"/>
  <c r="J312" i="15"/>
  <c r="I306" i="15"/>
  <c r="J306" i="15"/>
  <c r="I210" i="15"/>
  <c r="J210" i="15"/>
  <c r="J202" i="15"/>
  <c r="I202" i="15"/>
  <c r="J182" i="15"/>
  <c r="I182" i="15"/>
  <c r="J86" i="15"/>
  <c r="I86" i="15"/>
  <c r="J19" i="15"/>
  <c r="I19" i="15"/>
  <c r="I351" i="15"/>
  <c r="J351" i="15"/>
  <c r="J335" i="15"/>
  <c r="I335" i="15"/>
  <c r="I303" i="15"/>
  <c r="J303" i="15"/>
  <c r="J295" i="15"/>
  <c r="I295" i="15"/>
  <c r="I287" i="15"/>
  <c r="J287" i="15"/>
  <c r="I279" i="15"/>
  <c r="J279" i="15"/>
  <c r="I247" i="15"/>
  <c r="J247" i="15"/>
  <c r="I139" i="15"/>
  <c r="J135" i="15"/>
  <c r="I135" i="15"/>
  <c r="I131" i="15"/>
  <c r="J131" i="15"/>
  <c r="J123" i="15"/>
  <c r="I123" i="15"/>
  <c r="J290" i="15"/>
  <c r="I290" i="15"/>
  <c r="J282" i="15"/>
  <c r="I282" i="15"/>
  <c r="I274" i="15"/>
  <c r="J274" i="15"/>
  <c r="I266" i="15"/>
  <c r="J266" i="15"/>
  <c r="J234" i="15"/>
  <c r="I234" i="15"/>
  <c r="I156" i="15"/>
  <c r="J156" i="15"/>
  <c r="I140" i="15"/>
  <c r="J140" i="15"/>
  <c r="I132" i="15"/>
  <c r="J128" i="15"/>
  <c r="I128" i="15"/>
  <c r="I120" i="15"/>
  <c r="J120" i="15"/>
  <c r="I96" i="15"/>
  <c r="J96" i="15"/>
  <c r="I92" i="15"/>
  <c r="J92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I357" i="15"/>
  <c r="J357" i="15"/>
  <c r="J345" i="15"/>
  <c r="I345" i="15"/>
  <c r="AA333" i="15"/>
  <c r="Z333" i="15" s="1"/>
  <c r="Y333" i="15" s="1"/>
  <c r="G333" i="15"/>
  <c r="BX333" i="6" s="1"/>
  <c r="H333" i="15"/>
  <c r="J325" i="15"/>
  <c r="I325" i="15"/>
  <c r="I321" i="15"/>
  <c r="J321" i="15"/>
  <c r="I317" i="15"/>
  <c r="J317" i="15"/>
  <c r="I313" i="15"/>
  <c r="J313" i="15"/>
  <c r="J301" i="15"/>
  <c r="I301" i="15"/>
  <c r="J273" i="15"/>
  <c r="J261" i="15"/>
  <c r="I261" i="15"/>
  <c r="I257" i="15"/>
  <c r="J257" i="15"/>
  <c r="I253" i="15"/>
  <c r="J253" i="15"/>
  <c r="I149" i="15"/>
  <c r="J149" i="15"/>
  <c r="J145" i="15"/>
  <c r="I145" i="15"/>
  <c r="J133" i="15"/>
  <c r="I133" i="15"/>
  <c r="J296" i="15"/>
  <c r="I292" i="15"/>
  <c r="J292" i="15"/>
  <c r="J280" i="15"/>
  <c r="I280" i="15"/>
  <c r="I256" i="15"/>
  <c r="J256" i="15"/>
  <c r="I248" i="15"/>
  <c r="J248" i="15"/>
  <c r="I244" i="15"/>
  <c r="J244" i="15"/>
  <c r="I224" i="15"/>
  <c r="J220" i="15"/>
  <c r="I220" i="15"/>
  <c r="I216" i="15"/>
  <c r="J216" i="15"/>
  <c r="I178" i="15"/>
  <c r="J178" i="15"/>
  <c r="I162" i="15"/>
  <c r="J162" i="15"/>
  <c r="J154" i="15"/>
  <c r="I154" i="15"/>
  <c r="I146" i="15"/>
  <c r="J146" i="15"/>
  <c r="J138" i="15"/>
  <c r="I134" i="15"/>
  <c r="J134" i="15"/>
  <c r="I130" i="15"/>
  <c r="J130" i="15"/>
  <c r="I90" i="15"/>
  <c r="J90" i="15"/>
  <c r="J355" i="15"/>
  <c r="I355" i="15"/>
  <c r="I347" i="15"/>
  <c r="J347" i="15"/>
  <c r="J339" i="15"/>
  <c r="I339" i="15"/>
  <c r="J323" i="15"/>
  <c r="I323" i="15"/>
  <c r="I307" i="15"/>
  <c r="J307" i="15"/>
  <c r="J299" i="15"/>
  <c r="I299" i="15"/>
  <c r="I283" i="15"/>
  <c r="J283" i="15"/>
  <c r="I275" i="15"/>
  <c r="J275" i="15"/>
  <c r="I259" i="15"/>
  <c r="J259" i="15"/>
  <c r="J278" i="15"/>
  <c r="I278" i="15"/>
  <c r="I222" i="15"/>
  <c r="J222" i="15"/>
  <c r="J214" i="15"/>
  <c r="I214" i="15"/>
  <c r="J168" i="15"/>
  <c r="I168" i="15"/>
  <c r="I164" i="15"/>
  <c r="J164" i="15"/>
  <c r="I160" i="15"/>
  <c r="J160" i="15"/>
  <c r="I116" i="15"/>
  <c r="J116" i="15"/>
  <c r="AG382" i="15"/>
  <c r="AF17" i="15"/>
  <c r="I200" i="15"/>
  <c r="J200" i="15"/>
  <c r="I192" i="15"/>
  <c r="J192" i="15"/>
  <c r="I184" i="15"/>
  <c r="J184" i="15"/>
  <c r="J88" i="15"/>
  <c r="I88" i="15"/>
  <c r="J80" i="15"/>
  <c r="I80" i="15"/>
  <c r="J68" i="15"/>
  <c r="I68" i="15"/>
  <c r="S382" i="15"/>
  <c r="S383" i="15"/>
  <c r="S381" i="15"/>
  <c r="R15" i="15"/>
  <c r="S118" i="16"/>
  <c r="R118" i="16" s="1"/>
  <c r="S114" i="16"/>
  <c r="R114" i="16" s="1"/>
  <c r="S112" i="16"/>
  <c r="R112" i="16" s="1"/>
  <c r="S108" i="16"/>
  <c r="R108" i="16" s="1"/>
  <c r="S98" i="16"/>
  <c r="R98" i="16" s="1"/>
  <c r="S94" i="16"/>
  <c r="R94" i="16" s="1"/>
  <c r="S92" i="16"/>
  <c r="R92" i="16" s="1"/>
  <c r="S90" i="16"/>
  <c r="R90" i="16" s="1"/>
  <c r="S88" i="16"/>
  <c r="R88" i="16" s="1"/>
  <c r="S84" i="16"/>
  <c r="R84" i="16" s="1"/>
  <c r="S70" i="16"/>
  <c r="R70" i="16" s="1"/>
  <c r="S62" i="16"/>
  <c r="R62" i="16" s="1"/>
  <c r="S58" i="16"/>
  <c r="R58" i="16" s="1"/>
  <c r="S56" i="16"/>
  <c r="R56" i="16" s="1"/>
  <c r="S54" i="16"/>
  <c r="R54" i="16" s="1"/>
  <c r="S50" i="16"/>
  <c r="R50" i="16" s="1"/>
  <c r="S42" i="16"/>
  <c r="R42" i="16" s="1"/>
  <c r="S40" i="16"/>
  <c r="R40" i="16" s="1"/>
  <c r="S38" i="16"/>
  <c r="R38" i="16" s="1"/>
  <c r="S36" i="16"/>
  <c r="R36" i="16" s="1"/>
  <c r="S17" i="16"/>
  <c r="R17" i="16" s="1"/>
  <c r="J375" i="15"/>
  <c r="I375" i="15"/>
  <c r="J371" i="15"/>
  <c r="I371" i="15"/>
  <c r="J369" i="15"/>
  <c r="I369" i="15"/>
  <c r="I367" i="15"/>
  <c r="J367" i="15"/>
  <c r="I241" i="15"/>
  <c r="J241" i="15"/>
  <c r="I237" i="15"/>
  <c r="J237" i="15"/>
  <c r="I231" i="15"/>
  <c r="J231" i="15"/>
  <c r="F227" i="15"/>
  <c r="J221" i="15"/>
  <c r="I221" i="15"/>
  <c r="J215" i="15"/>
  <c r="I215" i="15"/>
  <c r="J213" i="15"/>
  <c r="I213" i="15"/>
  <c r="I209" i="15"/>
  <c r="J209" i="15"/>
  <c r="I201" i="15"/>
  <c r="J201" i="15"/>
  <c r="J199" i="15"/>
  <c r="I199" i="15"/>
  <c r="F197" i="15"/>
  <c r="J191" i="15"/>
  <c r="I191" i="15"/>
  <c r="J187" i="15"/>
  <c r="I187" i="15"/>
  <c r="I179" i="15"/>
  <c r="I177" i="15"/>
  <c r="J177" i="15"/>
  <c r="F171" i="15"/>
  <c r="J163" i="15"/>
  <c r="J117" i="15"/>
  <c r="I117" i="15"/>
  <c r="J115" i="15"/>
  <c r="I115" i="15"/>
  <c r="J107" i="15"/>
  <c r="I107" i="15"/>
  <c r="J103" i="15"/>
  <c r="I103" i="15"/>
  <c r="J87" i="15"/>
  <c r="I87" i="15"/>
  <c r="J85" i="15"/>
  <c r="I85" i="15"/>
  <c r="J81" i="15"/>
  <c r="I81" i="15"/>
  <c r="J73" i="15"/>
  <c r="I73" i="15"/>
  <c r="I71" i="15"/>
  <c r="J71" i="15"/>
  <c r="I67" i="15"/>
  <c r="J67" i="15"/>
  <c r="J63" i="15"/>
  <c r="I63" i="15"/>
  <c r="J59" i="15"/>
  <c r="I59" i="15"/>
  <c r="F51" i="15"/>
  <c r="J49" i="15"/>
  <c r="I49" i="15"/>
  <c r="J45" i="15"/>
  <c r="I45" i="15"/>
  <c r="I41" i="15"/>
  <c r="J37" i="15"/>
  <c r="I37" i="15"/>
  <c r="I33" i="15"/>
  <c r="J33" i="15"/>
  <c r="Q78" i="16"/>
  <c r="P78" i="16" s="1"/>
  <c r="Q76" i="16"/>
  <c r="P76" i="16" s="1"/>
  <c r="V76" i="16" s="1"/>
  <c r="F76" i="16" s="1"/>
  <c r="Q74" i="16"/>
  <c r="P74" i="16" s="1"/>
  <c r="Q72" i="16"/>
  <c r="P72" i="16" s="1"/>
  <c r="V72" i="16" s="1"/>
  <c r="F72" i="16" s="1"/>
  <c r="Q70" i="16"/>
  <c r="Q68" i="16"/>
  <c r="P68" i="16" s="1"/>
  <c r="V68" i="16" s="1"/>
  <c r="F68" i="16" s="1"/>
  <c r="Q66" i="16"/>
  <c r="P66" i="16" s="1"/>
  <c r="V66" i="16" s="1"/>
  <c r="F66" i="16" s="1"/>
  <c r="Q64" i="16"/>
  <c r="P64" i="16" s="1"/>
  <c r="V64" i="16" s="1"/>
  <c r="F64" i="16" s="1"/>
  <c r="Q62" i="16"/>
  <c r="Q60" i="16"/>
  <c r="P60" i="16" s="1"/>
  <c r="Q58" i="16"/>
  <c r="Q56" i="16"/>
  <c r="Q54" i="16"/>
  <c r="Q52" i="16"/>
  <c r="P52" i="16" s="1"/>
  <c r="Q50" i="16"/>
  <c r="Q48" i="16"/>
  <c r="P48" i="16" s="1"/>
  <c r="Q46" i="16"/>
  <c r="P46" i="16" s="1"/>
  <c r="Q44" i="16"/>
  <c r="P44" i="16" s="1"/>
  <c r="V44" i="16" s="1"/>
  <c r="F44" i="16" s="1"/>
  <c r="Q42" i="16"/>
  <c r="Q40" i="16"/>
  <c r="Q38" i="16"/>
  <c r="Q36" i="16"/>
  <c r="Q34" i="16"/>
  <c r="P34" i="16" s="1"/>
  <c r="V34" i="16" s="1"/>
  <c r="F34" i="16" s="1"/>
  <c r="Q32" i="16"/>
  <c r="P32" i="16" s="1"/>
  <c r="V32" i="16" s="1"/>
  <c r="F32" i="16" s="1"/>
  <c r="Q30" i="16"/>
  <c r="Q28" i="16"/>
  <c r="P28" i="16" s="1"/>
  <c r="Q26" i="16"/>
  <c r="Q24" i="16"/>
  <c r="P24" i="16" s="1"/>
  <c r="V24" i="16" s="1"/>
  <c r="F24" i="16" s="1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E11" i="17"/>
  <c r="I374" i="15"/>
  <c r="J374" i="15"/>
  <c r="I370" i="15"/>
  <c r="J370" i="15"/>
  <c r="AA362" i="15"/>
  <c r="Z362" i="15" s="1"/>
  <c r="Y362" i="15" s="1"/>
  <c r="H362" i="15"/>
  <c r="G362" i="15"/>
  <c r="BX362" i="6" s="1"/>
  <c r="I360" i="15"/>
  <c r="J360" i="15"/>
  <c r="I354" i="15"/>
  <c r="J354" i="15"/>
  <c r="J350" i="15"/>
  <c r="I350" i="15"/>
  <c r="I348" i="15"/>
  <c r="J348" i="15"/>
  <c r="I342" i="15"/>
  <c r="J342" i="15"/>
  <c r="J338" i="15"/>
  <c r="I338" i="15"/>
  <c r="J336" i="15"/>
  <c r="I336" i="15"/>
  <c r="J334" i="15"/>
  <c r="I334" i="15"/>
  <c r="I332" i="15"/>
  <c r="J332" i="15"/>
  <c r="J330" i="15"/>
  <c r="I330" i="15"/>
  <c r="J326" i="15"/>
  <c r="I326" i="15"/>
  <c r="J320" i="15"/>
  <c r="I320" i="15"/>
  <c r="I314" i="15"/>
  <c r="J314" i="15"/>
  <c r="J310" i="15"/>
  <c r="I310" i="15"/>
  <c r="I308" i="15"/>
  <c r="J308" i="15"/>
  <c r="I304" i="15"/>
  <c r="J304" i="15"/>
  <c r="J206" i="15"/>
  <c r="I206" i="15"/>
  <c r="I198" i="15"/>
  <c r="J198" i="15"/>
  <c r="J194" i="15"/>
  <c r="I194" i="15"/>
  <c r="J190" i="15"/>
  <c r="I190" i="15"/>
  <c r="I186" i="15"/>
  <c r="J186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I343" i="15"/>
  <c r="J343" i="15"/>
  <c r="J327" i="15"/>
  <c r="I327" i="15"/>
  <c r="J319" i="15"/>
  <c r="I319" i="15"/>
  <c r="I311" i="15"/>
  <c r="J311" i="15"/>
  <c r="J255" i="15"/>
  <c r="I255" i="15"/>
  <c r="J147" i="15"/>
  <c r="I147" i="15"/>
  <c r="J286" i="15"/>
  <c r="I286" i="15"/>
  <c r="J258" i="15"/>
  <c r="I258" i="15"/>
  <c r="J250" i="15"/>
  <c r="I250" i="15"/>
  <c r="I246" i="15"/>
  <c r="J246" i="15"/>
  <c r="J242" i="15"/>
  <c r="I242" i="15"/>
  <c r="I226" i="15"/>
  <c r="J226" i="15"/>
  <c r="I218" i="15"/>
  <c r="J218" i="15"/>
  <c r="I176" i="15"/>
  <c r="J176" i="15"/>
  <c r="J172" i="15"/>
  <c r="I172" i="15"/>
  <c r="J148" i="15"/>
  <c r="I148" i="15"/>
  <c r="I112" i="15"/>
  <c r="J112" i="15"/>
  <c r="J104" i="15"/>
  <c r="I104" i="15"/>
  <c r="J361" i="15"/>
  <c r="I361" i="15"/>
  <c r="I353" i="15"/>
  <c r="J353" i="15"/>
  <c r="I349" i="15"/>
  <c r="J349" i="15"/>
  <c r="I341" i="15"/>
  <c r="J341" i="15"/>
  <c r="J337" i="15"/>
  <c r="I337" i="15"/>
  <c r="J329" i="15"/>
  <c r="I329" i="15"/>
  <c r="J309" i="15"/>
  <c r="I309" i="15"/>
  <c r="J305" i="15"/>
  <c r="I305" i="15"/>
  <c r="J293" i="15"/>
  <c r="I293" i="15"/>
  <c r="I289" i="15"/>
  <c r="J289" i="15"/>
  <c r="J285" i="15"/>
  <c r="I285" i="15"/>
  <c r="J281" i="15"/>
  <c r="I281" i="15"/>
  <c r="I277" i="15"/>
  <c r="J277" i="15"/>
  <c r="J269" i="15"/>
  <c r="I269" i="15"/>
  <c r="I265" i="15"/>
  <c r="J265" i="15"/>
  <c r="J249" i="15"/>
  <c r="I249" i="15"/>
  <c r="J245" i="15"/>
  <c r="I245" i="15"/>
  <c r="J141" i="15"/>
  <c r="I141" i="15"/>
  <c r="I137" i="15"/>
  <c r="J137" i="15"/>
  <c r="J125" i="15"/>
  <c r="I125" i="15"/>
  <c r="I27" i="15"/>
  <c r="J27" i="15"/>
  <c r="J300" i="15"/>
  <c r="I300" i="15"/>
  <c r="J284" i="15"/>
  <c r="I284" i="15"/>
  <c r="I268" i="15"/>
  <c r="J268" i="15"/>
  <c r="F264" i="15"/>
  <c r="I260" i="15"/>
  <c r="J260" i="15"/>
  <c r="J252" i="15"/>
  <c r="I252" i="15"/>
  <c r="I240" i="15"/>
  <c r="J240" i="15"/>
  <c r="J236" i="15"/>
  <c r="I236" i="15"/>
  <c r="J232" i="15"/>
  <c r="I232" i="15"/>
  <c r="J228" i="15"/>
  <c r="I228" i="15"/>
  <c r="I212" i="15"/>
  <c r="J174" i="15"/>
  <c r="I174" i="15"/>
  <c r="J170" i="15"/>
  <c r="I170" i="15"/>
  <c r="J166" i="15"/>
  <c r="I166" i="15"/>
  <c r="J158" i="15"/>
  <c r="I158" i="15"/>
  <c r="J150" i="15"/>
  <c r="I150" i="15"/>
  <c r="J142" i="15"/>
  <c r="I142" i="15"/>
  <c r="J126" i="15"/>
  <c r="I126" i="15"/>
  <c r="J122" i="15"/>
  <c r="I122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67" i="15"/>
  <c r="I267" i="15"/>
  <c r="I263" i="15"/>
  <c r="J263" i="15"/>
  <c r="I251" i="15"/>
  <c r="J251" i="15"/>
  <c r="J243" i="15"/>
  <c r="I243" i="15"/>
  <c r="J25" i="15"/>
  <c r="I294" i="15"/>
  <c r="J294" i="15"/>
  <c r="J270" i="15"/>
  <c r="I270" i="15"/>
  <c r="I262" i="15"/>
  <c r="J262" i="15"/>
  <c r="J254" i="15"/>
  <c r="I238" i="15"/>
  <c r="J238" i="15"/>
  <c r="I230" i="15"/>
  <c r="J230" i="15"/>
  <c r="J152" i="15"/>
  <c r="I152" i="15"/>
  <c r="I144" i="15"/>
  <c r="J144" i="15"/>
  <c r="J124" i="15"/>
  <c r="I124" i="15"/>
  <c r="J100" i="15"/>
  <c r="I100" i="15"/>
  <c r="J143" i="15" l="1"/>
  <c r="J127" i="15"/>
  <c r="P97" i="16"/>
  <c r="P143" i="16"/>
  <c r="V143" i="16" s="1"/>
  <c r="F143" i="16" s="1"/>
  <c r="P29" i="16"/>
  <c r="V29" i="16" s="1"/>
  <c r="P128" i="16"/>
  <c r="V128" i="16" s="1"/>
  <c r="F128" i="16" s="1"/>
  <c r="P124" i="16"/>
  <c r="P120" i="16"/>
  <c r="V120" i="16" s="1"/>
  <c r="F120" i="16" s="1"/>
  <c r="P116" i="16"/>
  <c r="V116" i="16" s="1"/>
  <c r="F116" i="16" s="1"/>
  <c r="G116" i="16" s="1"/>
  <c r="BY116" i="6" s="1"/>
  <c r="P104" i="16"/>
  <c r="V104" i="16" s="1"/>
  <c r="F104" i="16" s="1"/>
  <c r="G104" i="16" s="1"/>
  <c r="BY104" i="6" s="1"/>
  <c r="P100" i="16"/>
  <c r="V100" i="16" s="1"/>
  <c r="F100" i="16" s="1"/>
  <c r="G100" i="16" s="1"/>
  <c r="BY100" i="6" s="1"/>
  <c r="P96" i="16"/>
  <c r="V96" i="16" s="1"/>
  <c r="F96" i="16" s="1"/>
  <c r="P80" i="16"/>
  <c r="V80" i="16" s="1"/>
  <c r="F80" i="16" s="1"/>
  <c r="P187" i="16"/>
  <c r="V187" i="16" s="1"/>
  <c r="F187" i="16" s="1"/>
  <c r="G187" i="16" s="1"/>
  <c r="BY187" i="6" s="1"/>
  <c r="P179" i="16"/>
  <c r="V179" i="16" s="1"/>
  <c r="F179" i="16" s="1"/>
  <c r="G179" i="16" s="1"/>
  <c r="BY179" i="6" s="1"/>
  <c r="P171" i="16"/>
  <c r="V171" i="16" s="1"/>
  <c r="F171" i="16" s="1"/>
  <c r="P163" i="16"/>
  <c r="V163" i="16" s="1"/>
  <c r="F163" i="16" s="1"/>
  <c r="G163" i="16" s="1"/>
  <c r="BY163" i="6" s="1"/>
  <c r="P131" i="16"/>
  <c r="V131" i="16" s="1"/>
  <c r="F131" i="16" s="1"/>
  <c r="G131" i="16" s="1"/>
  <c r="BY131" i="6" s="1"/>
  <c r="E62" i="19"/>
  <c r="P109" i="16"/>
  <c r="V109" i="16" s="1"/>
  <c r="F109" i="16" s="1"/>
  <c r="P117" i="16"/>
  <c r="V117" i="16" s="1"/>
  <c r="F117" i="16" s="1"/>
  <c r="G117" i="16" s="1"/>
  <c r="BY117" i="6" s="1"/>
  <c r="U30" i="16"/>
  <c r="T30" i="16" s="1"/>
  <c r="S30" i="16" s="1"/>
  <c r="R30" i="16" s="1"/>
  <c r="U26" i="16"/>
  <c r="T26" i="16" s="1"/>
  <c r="S26" i="16" s="1"/>
  <c r="R26" i="16" s="1"/>
  <c r="U22" i="16"/>
  <c r="T22" i="16" s="1"/>
  <c r="S22" i="16" s="1"/>
  <c r="R22" i="16" s="1"/>
  <c r="U20" i="16"/>
  <c r="T20" i="16" s="1"/>
  <c r="S20" i="16" s="1"/>
  <c r="R20" i="16" s="1"/>
  <c r="Q16" i="7"/>
  <c r="U15" i="16"/>
  <c r="U23" i="16"/>
  <c r="T23" i="16" s="1"/>
  <c r="U31" i="16"/>
  <c r="T31" i="16" s="1"/>
  <c r="S31" i="16" s="1"/>
  <c r="R31" i="16" s="1"/>
  <c r="P31" i="16" s="1"/>
  <c r="U39" i="16"/>
  <c r="T39" i="16" s="1"/>
  <c r="U47" i="16"/>
  <c r="T47" i="16" s="1"/>
  <c r="U55" i="16"/>
  <c r="T55" i="16" s="1"/>
  <c r="U63" i="16"/>
  <c r="T63" i="16" s="1"/>
  <c r="U71" i="16"/>
  <c r="T71" i="16" s="1"/>
  <c r="S71" i="16" s="1"/>
  <c r="R71" i="16" s="1"/>
  <c r="P71" i="16" s="1"/>
  <c r="V71" i="16" s="1"/>
  <c r="F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P111" i="16" s="1"/>
  <c r="U119" i="16"/>
  <c r="T119" i="16" s="1"/>
  <c r="S119" i="16" s="1"/>
  <c r="R119" i="16" s="1"/>
  <c r="U127" i="16"/>
  <c r="T127" i="16" s="1"/>
  <c r="S127" i="16" s="1"/>
  <c r="R127" i="16" s="1"/>
  <c r="U132" i="16"/>
  <c r="T132" i="16" s="1"/>
  <c r="S132" i="16" s="1"/>
  <c r="R132" i="16" s="1"/>
  <c r="U136" i="16"/>
  <c r="T136" i="16" s="1"/>
  <c r="S136" i="16" s="1"/>
  <c r="R136" i="16" s="1"/>
  <c r="U140" i="16"/>
  <c r="T140" i="16" s="1"/>
  <c r="S140" i="16" s="1"/>
  <c r="R140" i="16" s="1"/>
  <c r="U144" i="16"/>
  <c r="T144" i="16" s="1"/>
  <c r="S144" i="16" s="1"/>
  <c r="R144" i="16" s="1"/>
  <c r="U148" i="16"/>
  <c r="T148" i="16" s="1"/>
  <c r="S148" i="16" s="1"/>
  <c r="R148" i="16" s="1"/>
  <c r="U152" i="16"/>
  <c r="T152" i="16" s="1"/>
  <c r="S152" i="16" s="1"/>
  <c r="R152" i="16" s="1"/>
  <c r="U156" i="16"/>
  <c r="T156" i="16" s="1"/>
  <c r="S156" i="16" s="1"/>
  <c r="R156" i="16" s="1"/>
  <c r="U160" i="16"/>
  <c r="T160" i="16" s="1"/>
  <c r="S160" i="16" s="1"/>
  <c r="R160" i="16" s="1"/>
  <c r="U164" i="16"/>
  <c r="T164" i="16" s="1"/>
  <c r="S164" i="16" s="1"/>
  <c r="R164" i="16" s="1"/>
  <c r="U168" i="16"/>
  <c r="T168" i="16" s="1"/>
  <c r="S168" i="16" s="1"/>
  <c r="R168" i="16" s="1"/>
  <c r="U172" i="16"/>
  <c r="T172" i="16" s="1"/>
  <c r="S172" i="16" s="1"/>
  <c r="R172" i="16" s="1"/>
  <c r="U176" i="16"/>
  <c r="T176" i="16" s="1"/>
  <c r="S176" i="16" s="1"/>
  <c r="R176" i="16" s="1"/>
  <c r="U180" i="16"/>
  <c r="T180" i="16" s="1"/>
  <c r="S180" i="16" s="1"/>
  <c r="R180" i="16" s="1"/>
  <c r="U184" i="16"/>
  <c r="T184" i="16" s="1"/>
  <c r="S184" i="16" s="1"/>
  <c r="R184" i="16" s="1"/>
  <c r="U188" i="16"/>
  <c r="T188" i="16" s="1"/>
  <c r="S188" i="16" s="1"/>
  <c r="R188" i="16" s="1"/>
  <c r="U192" i="16"/>
  <c r="T192" i="16" s="1"/>
  <c r="U196" i="16"/>
  <c r="T196" i="16" s="1"/>
  <c r="S196" i="16" s="1"/>
  <c r="R196" i="16" s="1"/>
  <c r="U200" i="16"/>
  <c r="T200" i="16" s="1"/>
  <c r="S200" i="16" s="1"/>
  <c r="R200" i="16" s="1"/>
  <c r="P200" i="16" s="1"/>
  <c r="V200" i="16" s="1"/>
  <c r="F200" i="16" s="1"/>
  <c r="U204" i="16"/>
  <c r="T204" i="16" s="1"/>
  <c r="S204" i="16" s="1"/>
  <c r="R204" i="16" s="1"/>
  <c r="U208" i="16"/>
  <c r="T208" i="16" s="1"/>
  <c r="S208" i="16" s="1"/>
  <c r="R208" i="16" s="1"/>
  <c r="P208" i="16" s="1"/>
  <c r="V208" i="16" s="1"/>
  <c r="F208" i="16" s="1"/>
  <c r="U212" i="16"/>
  <c r="T212" i="16" s="1"/>
  <c r="S212" i="16" s="1"/>
  <c r="R212" i="16" s="1"/>
  <c r="P212" i="16" s="1"/>
  <c r="U215" i="16"/>
  <c r="T215" i="16" s="1"/>
  <c r="S215" i="16" s="1"/>
  <c r="R215" i="16" s="1"/>
  <c r="U217" i="16"/>
  <c r="T217" i="16" s="1"/>
  <c r="S217" i="16" s="1"/>
  <c r="R217" i="16" s="1"/>
  <c r="U219" i="16"/>
  <c r="T219" i="16" s="1"/>
  <c r="S219" i="16" s="1"/>
  <c r="R219" i="16" s="1"/>
  <c r="U221" i="16"/>
  <c r="T221" i="16" s="1"/>
  <c r="U223" i="16"/>
  <c r="T223" i="16" s="1"/>
  <c r="S223" i="16" s="1"/>
  <c r="R223" i="16" s="1"/>
  <c r="U225" i="16"/>
  <c r="T225" i="16" s="1"/>
  <c r="S225" i="16" s="1"/>
  <c r="R225" i="16" s="1"/>
  <c r="U227" i="16"/>
  <c r="T227" i="16" s="1"/>
  <c r="S227" i="16" s="1"/>
  <c r="R227" i="16" s="1"/>
  <c r="U229" i="16"/>
  <c r="T229" i="16" s="1"/>
  <c r="S229" i="16" s="1"/>
  <c r="R229" i="16" s="1"/>
  <c r="U231" i="16"/>
  <c r="T231" i="16" s="1"/>
  <c r="S231" i="16" s="1"/>
  <c r="R231" i="16" s="1"/>
  <c r="U233" i="16"/>
  <c r="T233" i="16" s="1"/>
  <c r="S233" i="16" s="1"/>
  <c r="R233" i="16" s="1"/>
  <c r="P233" i="16" s="1"/>
  <c r="U235" i="16"/>
  <c r="T235" i="16" s="1"/>
  <c r="S235" i="16" s="1"/>
  <c r="R235" i="16" s="1"/>
  <c r="U237" i="16"/>
  <c r="T237" i="16" s="1"/>
  <c r="S237" i="16" s="1"/>
  <c r="R237" i="16" s="1"/>
  <c r="U239" i="16"/>
  <c r="T239" i="16" s="1"/>
  <c r="U241" i="16"/>
  <c r="T241" i="16" s="1"/>
  <c r="S241" i="16" s="1"/>
  <c r="R241" i="16" s="1"/>
  <c r="U243" i="16"/>
  <c r="T243" i="16" s="1"/>
  <c r="S243" i="16" s="1"/>
  <c r="R243" i="16" s="1"/>
  <c r="U245" i="16"/>
  <c r="T245" i="16" s="1"/>
  <c r="S245" i="16" s="1"/>
  <c r="R245" i="16" s="1"/>
  <c r="U247" i="16"/>
  <c r="T247" i="16" s="1"/>
  <c r="S247" i="16" s="1"/>
  <c r="R247" i="16" s="1"/>
  <c r="P247" i="16" s="1"/>
  <c r="V247" i="16" s="1"/>
  <c r="F247" i="16" s="1"/>
  <c r="U249" i="16"/>
  <c r="T249" i="16" s="1"/>
  <c r="U251" i="16"/>
  <c r="T251" i="16" s="1"/>
  <c r="U253" i="16"/>
  <c r="T253" i="16" s="1"/>
  <c r="U255" i="16"/>
  <c r="T255" i="16" s="1"/>
  <c r="U257" i="16"/>
  <c r="T257" i="16" s="1"/>
  <c r="S257" i="16" s="1"/>
  <c r="R257" i="16" s="1"/>
  <c r="P257" i="16" s="1"/>
  <c r="V257" i="16" s="1"/>
  <c r="F257" i="16" s="1"/>
  <c r="U259" i="16"/>
  <c r="T259" i="16" s="1"/>
  <c r="S259" i="16" s="1"/>
  <c r="R259" i="16" s="1"/>
  <c r="U261" i="16"/>
  <c r="T261" i="16" s="1"/>
  <c r="U263" i="16"/>
  <c r="T263" i="16" s="1"/>
  <c r="S263" i="16" s="1"/>
  <c r="R263" i="16" s="1"/>
  <c r="U265" i="16"/>
  <c r="T265" i="16" s="1"/>
  <c r="S265" i="16" s="1"/>
  <c r="R265" i="16" s="1"/>
  <c r="U267" i="16"/>
  <c r="T267" i="16" s="1"/>
  <c r="S267" i="16" s="1"/>
  <c r="R267" i="16" s="1"/>
  <c r="U269" i="16"/>
  <c r="T269" i="16" s="1"/>
  <c r="S269" i="16" s="1"/>
  <c r="R269" i="16" s="1"/>
  <c r="U271" i="16"/>
  <c r="T271" i="16" s="1"/>
  <c r="S271" i="16" s="1"/>
  <c r="R271" i="16" s="1"/>
  <c r="U273" i="16"/>
  <c r="T273" i="16" s="1"/>
  <c r="S273" i="16" s="1"/>
  <c r="R273" i="16" s="1"/>
  <c r="U275" i="16"/>
  <c r="T275" i="16" s="1"/>
  <c r="S275" i="16" s="1"/>
  <c r="R275" i="16" s="1"/>
  <c r="P275" i="16" s="1"/>
  <c r="U277" i="16"/>
  <c r="T277" i="16" s="1"/>
  <c r="S277" i="16" s="1"/>
  <c r="R277" i="16" s="1"/>
  <c r="U279" i="16"/>
  <c r="T279" i="16" s="1"/>
  <c r="S279" i="16" s="1"/>
  <c r="R279" i="16" s="1"/>
  <c r="U281" i="16"/>
  <c r="T281" i="16" s="1"/>
  <c r="S281" i="16" s="1"/>
  <c r="R281" i="16" s="1"/>
  <c r="U283" i="16"/>
  <c r="T283" i="16" s="1"/>
  <c r="S283" i="16" s="1"/>
  <c r="R283" i="16" s="1"/>
  <c r="U285" i="16"/>
  <c r="T285" i="16" s="1"/>
  <c r="U287" i="16"/>
  <c r="T287" i="16" s="1"/>
  <c r="S287" i="16" s="1"/>
  <c r="R287" i="16" s="1"/>
  <c r="U289" i="16"/>
  <c r="T289" i="16" s="1"/>
  <c r="S289" i="16" s="1"/>
  <c r="R289" i="16" s="1"/>
  <c r="U291" i="16"/>
  <c r="T291" i="16" s="1"/>
  <c r="S291" i="16" s="1"/>
  <c r="R291" i="16" s="1"/>
  <c r="U293" i="16"/>
  <c r="T293" i="16" s="1"/>
  <c r="S293" i="16" s="1"/>
  <c r="R293" i="16" s="1"/>
  <c r="P293" i="16" s="1"/>
  <c r="V293" i="16" s="1"/>
  <c r="F293" i="16" s="1"/>
  <c r="U295" i="16"/>
  <c r="T295" i="16" s="1"/>
  <c r="U297" i="16"/>
  <c r="T297" i="16" s="1"/>
  <c r="S297" i="16" s="1"/>
  <c r="R297" i="16" s="1"/>
  <c r="P297" i="16" s="1"/>
  <c r="V297" i="16" s="1"/>
  <c r="F297" i="16" s="1"/>
  <c r="U299" i="16"/>
  <c r="T299" i="16" s="1"/>
  <c r="S299" i="16" s="1"/>
  <c r="R299" i="16" s="1"/>
  <c r="P299" i="16" s="1"/>
  <c r="U301" i="16"/>
  <c r="T301" i="16" s="1"/>
  <c r="U303" i="16"/>
  <c r="T303" i="16" s="1"/>
  <c r="U305" i="16"/>
  <c r="T305" i="16" s="1"/>
  <c r="S305" i="16" s="1"/>
  <c r="R305" i="16" s="1"/>
  <c r="P305" i="16" s="1"/>
  <c r="V305" i="16" s="1"/>
  <c r="F305" i="16" s="1"/>
  <c r="U307" i="16"/>
  <c r="T307" i="16" s="1"/>
  <c r="S307" i="16" s="1"/>
  <c r="R307" i="16" s="1"/>
  <c r="P307" i="16" s="1"/>
  <c r="V307" i="16" s="1"/>
  <c r="F307" i="16" s="1"/>
  <c r="U309" i="16"/>
  <c r="T309" i="16" s="1"/>
  <c r="S309" i="16" s="1"/>
  <c r="R309" i="16" s="1"/>
  <c r="P309" i="16" s="1"/>
  <c r="V309" i="16" s="1"/>
  <c r="F309" i="16" s="1"/>
  <c r="U311" i="16"/>
  <c r="T311" i="16" s="1"/>
  <c r="U313" i="16"/>
  <c r="T313" i="16" s="1"/>
  <c r="S313" i="16" s="1"/>
  <c r="R313" i="16" s="1"/>
  <c r="P313" i="16" s="1"/>
  <c r="V313" i="16" s="1"/>
  <c r="F313" i="16" s="1"/>
  <c r="U315" i="16"/>
  <c r="T315" i="16" s="1"/>
  <c r="S315" i="16" s="1"/>
  <c r="R315" i="16" s="1"/>
  <c r="P315" i="16" s="1"/>
  <c r="V315" i="16" s="1"/>
  <c r="F315" i="16" s="1"/>
  <c r="U317" i="16"/>
  <c r="T317" i="16" s="1"/>
  <c r="U319" i="16"/>
  <c r="T319" i="16" s="1"/>
  <c r="U321" i="16"/>
  <c r="T321" i="16" s="1"/>
  <c r="S321" i="16" s="1"/>
  <c r="R321" i="16" s="1"/>
  <c r="P321" i="16" s="1"/>
  <c r="V321" i="16" s="1"/>
  <c r="U323" i="16"/>
  <c r="T323" i="16" s="1"/>
  <c r="U325" i="16"/>
  <c r="T325" i="16" s="1"/>
  <c r="S325" i="16" s="1"/>
  <c r="R325" i="16" s="1"/>
  <c r="P325" i="16" s="1"/>
  <c r="V325" i="16" s="1"/>
  <c r="F325" i="16" s="1"/>
  <c r="U327" i="16"/>
  <c r="T327" i="16" s="1"/>
  <c r="U329" i="16"/>
  <c r="T329" i="16" s="1"/>
  <c r="U331" i="16"/>
  <c r="T331" i="16" s="1"/>
  <c r="U333" i="16"/>
  <c r="T333" i="16" s="1"/>
  <c r="S333" i="16" s="1"/>
  <c r="R333" i="16" s="1"/>
  <c r="P333" i="16" s="1"/>
  <c r="U335" i="16"/>
  <c r="T335" i="16" s="1"/>
  <c r="U337" i="16"/>
  <c r="T337" i="16" s="1"/>
  <c r="S337" i="16" s="1"/>
  <c r="R337" i="16" s="1"/>
  <c r="P337" i="16" s="1"/>
  <c r="V337" i="16" s="1"/>
  <c r="F337" i="16" s="1"/>
  <c r="U339" i="16"/>
  <c r="T339" i="16" s="1"/>
  <c r="U341" i="16"/>
  <c r="T341" i="16" s="1"/>
  <c r="S341" i="16" s="1"/>
  <c r="R341" i="16" s="1"/>
  <c r="P341" i="16" s="1"/>
  <c r="U343" i="16"/>
  <c r="T343" i="16" s="1"/>
  <c r="U345" i="16"/>
  <c r="T345" i="16" s="1"/>
  <c r="U347" i="16"/>
  <c r="T347" i="16" s="1"/>
  <c r="S347" i="16" s="1"/>
  <c r="R347" i="16" s="1"/>
  <c r="P347" i="16" s="1"/>
  <c r="V347" i="16" s="1"/>
  <c r="F347" i="16" s="1"/>
  <c r="U349" i="16"/>
  <c r="T349" i="16" s="1"/>
  <c r="U351" i="16"/>
  <c r="T351" i="16" s="1"/>
  <c r="U353" i="16"/>
  <c r="T353" i="16" s="1"/>
  <c r="U355" i="16"/>
  <c r="T355" i="16" s="1"/>
  <c r="S355" i="16" s="1"/>
  <c r="R355" i="16" s="1"/>
  <c r="P355" i="16" s="1"/>
  <c r="V355" i="16" s="1"/>
  <c r="F355" i="16" s="1"/>
  <c r="U357" i="16"/>
  <c r="T357" i="16" s="1"/>
  <c r="U359" i="16"/>
  <c r="T359" i="16" s="1"/>
  <c r="S359" i="16" s="1"/>
  <c r="R359" i="16" s="1"/>
  <c r="P359" i="16" s="1"/>
  <c r="V359" i="16" s="1"/>
  <c r="F359" i="16" s="1"/>
  <c r="U361" i="16"/>
  <c r="T361" i="16" s="1"/>
  <c r="U363" i="16"/>
  <c r="T363" i="16" s="1"/>
  <c r="S363" i="16" s="1"/>
  <c r="R363" i="16" s="1"/>
  <c r="P363" i="16" s="1"/>
  <c r="U365" i="16"/>
  <c r="T365" i="16" s="1"/>
  <c r="U367" i="16"/>
  <c r="T367" i="16" s="1"/>
  <c r="U369" i="16"/>
  <c r="T369" i="16" s="1"/>
  <c r="S369" i="16" s="1"/>
  <c r="R369" i="16" s="1"/>
  <c r="P369" i="16" s="1"/>
  <c r="V369" i="16" s="1"/>
  <c r="F369" i="16" s="1"/>
  <c r="U371" i="16"/>
  <c r="T371" i="16" s="1"/>
  <c r="U373" i="16"/>
  <c r="T373" i="16" s="1"/>
  <c r="U375" i="16"/>
  <c r="T375" i="16" s="1"/>
  <c r="U377" i="16"/>
  <c r="T377" i="16" s="1"/>
  <c r="U379" i="16"/>
  <c r="AI18" i="16"/>
  <c r="AH18" i="16" s="1"/>
  <c r="AG18" i="16" s="1"/>
  <c r="AF18" i="16" s="1"/>
  <c r="AI16" i="16"/>
  <c r="AH16" i="16" s="1"/>
  <c r="AG16" i="16" s="1"/>
  <c r="AF16" i="16" s="1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G29" i="16" s="1"/>
  <c r="AF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G53" i="16" s="1"/>
  <c r="AF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AI63" i="16"/>
  <c r="AH63" i="16" s="1"/>
  <c r="AG63" i="16" s="1"/>
  <c r="AF63" i="16" s="1"/>
  <c r="AI65" i="16"/>
  <c r="AH65" i="16" s="1"/>
  <c r="AG65" i="16" s="1"/>
  <c r="AF65" i="16" s="1"/>
  <c r="AI67" i="16"/>
  <c r="AH67" i="16" s="1"/>
  <c r="AG67" i="16" s="1"/>
  <c r="AF67" i="16" s="1"/>
  <c r="AI69" i="16"/>
  <c r="AH69" i="16" s="1"/>
  <c r="AG69" i="16" s="1"/>
  <c r="AF69" i="16" s="1"/>
  <c r="AI71" i="16"/>
  <c r="AH71" i="16" s="1"/>
  <c r="AG71" i="16" s="1"/>
  <c r="AF71" i="16" s="1"/>
  <c r="AI73" i="16"/>
  <c r="AH73" i="16" s="1"/>
  <c r="AG73" i="16" s="1"/>
  <c r="AF73" i="16" s="1"/>
  <c r="AI75" i="16"/>
  <c r="AH75" i="16" s="1"/>
  <c r="AG75" i="16" s="1"/>
  <c r="AF75" i="16" s="1"/>
  <c r="AI77" i="16"/>
  <c r="AH77" i="16" s="1"/>
  <c r="AG77" i="16" s="1"/>
  <c r="AF77" i="16" s="1"/>
  <c r="AI79" i="16"/>
  <c r="AH79" i="16" s="1"/>
  <c r="AG79" i="16" s="1"/>
  <c r="AF79" i="16" s="1"/>
  <c r="AI81" i="16"/>
  <c r="AH81" i="16" s="1"/>
  <c r="AG81" i="16" s="1"/>
  <c r="AF81" i="16" s="1"/>
  <c r="AI83" i="16"/>
  <c r="AH83" i="16" s="1"/>
  <c r="AG83" i="16" s="1"/>
  <c r="AF83" i="16" s="1"/>
  <c r="AI85" i="16"/>
  <c r="AH85" i="16" s="1"/>
  <c r="AG85" i="16" s="1"/>
  <c r="AF85" i="16" s="1"/>
  <c r="AI87" i="16"/>
  <c r="AH87" i="16" s="1"/>
  <c r="AG87" i="16" s="1"/>
  <c r="AF87" i="16" s="1"/>
  <c r="AI89" i="16"/>
  <c r="AH89" i="16" s="1"/>
  <c r="AG89" i="16" s="1"/>
  <c r="AF89" i="16" s="1"/>
  <c r="AI91" i="16"/>
  <c r="AH91" i="16" s="1"/>
  <c r="AG91" i="16" s="1"/>
  <c r="AF91" i="16" s="1"/>
  <c r="AI93" i="16"/>
  <c r="AH93" i="16" s="1"/>
  <c r="AG93" i="16" s="1"/>
  <c r="AF93" i="16" s="1"/>
  <c r="AI95" i="16"/>
  <c r="AH95" i="16" s="1"/>
  <c r="AG95" i="16" s="1"/>
  <c r="AF95" i="16" s="1"/>
  <c r="AI97" i="16"/>
  <c r="AH97" i="16" s="1"/>
  <c r="AG97" i="16" s="1"/>
  <c r="AF97" i="16" s="1"/>
  <c r="AI99" i="16"/>
  <c r="AH99" i="16" s="1"/>
  <c r="AG99" i="16" s="1"/>
  <c r="AF99" i="16" s="1"/>
  <c r="AI101" i="16"/>
  <c r="AH101" i="16" s="1"/>
  <c r="AG101" i="16" s="1"/>
  <c r="AF101" i="16" s="1"/>
  <c r="AI103" i="16"/>
  <c r="AH103" i="16" s="1"/>
  <c r="AG103" i="16" s="1"/>
  <c r="AF103" i="16" s="1"/>
  <c r="U27" i="16"/>
  <c r="T27" i="16" s="1"/>
  <c r="S27" i="16" s="1"/>
  <c r="R27" i="16" s="1"/>
  <c r="U43" i="16"/>
  <c r="T43" i="16" s="1"/>
  <c r="S43" i="16" s="1"/>
  <c r="R43" i="16" s="1"/>
  <c r="U59" i="16"/>
  <c r="T59" i="16" s="1"/>
  <c r="S59" i="16" s="1"/>
  <c r="R59" i="16" s="1"/>
  <c r="P59" i="16" s="1"/>
  <c r="V59" i="16" s="1"/>
  <c r="F59" i="16" s="1"/>
  <c r="U75" i="16"/>
  <c r="T75" i="16" s="1"/>
  <c r="S75" i="16" s="1"/>
  <c r="R75" i="16" s="1"/>
  <c r="P75" i="16" s="1"/>
  <c r="U91" i="16"/>
  <c r="T91" i="16" s="1"/>
  <c r="S91" i="16" s="1"/>
  <c r="R91" i="16" s="1"/>
  <c r="U107" i="16"/>
  <c r="T107" i="16" s="1"/>
  <c r="S107" i="16" s="1"/>
  <c r="R107" i="16" s="1"/>
  <c r="U123" i="16"/>
  <c r="T123" i="16" s="1"/>
  <c r="S123" i="16" s="1"/>
  <c r="R123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66" i="16"/>
  <c r="T166" i="16" s="1"/>
  <c r="S166" i="16" s="1"/>
  <c r="R166" i="16" s="1"/>
  <c r="U174" i="16"/>
  <c r="T174" i="16" s="1"/>
  <c r="S174" i="16" s="1"/>
  <c r="R174" i="16" s="1"/>
  <c r="U182" i="16"/>
  <c r="T182" i="16" s="1"/>
  <c r="S182" i="16" s="1"/>
  <c r="R182" i="16" s="1"/>
  <c r="U190" i="16"/>
  <c r="T190" i="16" s="1"/>
  <c r="S190" i="16" s="1"/>
  <c r="R190" i="16" s="1"/>
  <c r="U198" i="16"/>
  <c r="T198" i="16" s="1"/>
  <c r="S198" i="16" s="1"/>
  <c r="R198" i="16" s="1"/>
  <c r="P198" i="16" s="1"/>
  <c r="V198" i="16" s="1"/>
  <c r="F198" i="16" s="1"/>
  <c r="U206" i="16"/>
  <c r="T206" i="16" s="1"/>
  <c r="S206" i="16" s="1"/>
  <c r="R206" i="16" s="1"/>
  <c r="U214" i="16"/>
  <c r="T214" i="16" s="1"/>
  <c r="U218" i="16"/>
  <c r="T218" i="16" s="1"/>
  <c r="U222" i="16"/>
  <c r="T222" i="16" s="1"/>
  <c r="S222" i="16" s="1"/>
  <c r="R222" i="16" s="1"/>
  <c r="P222" i="16" s="1"/>
  <c r="U226" i="16"/>
  <c r="T226" i="16" s="1"/>
  <c r="S226" i="16" s="1"/>
  <c r="R226" i="16" s="1"/>
  <c r="P226" i="16" s="1"/>
  <c r="V226" i="16" s="1"/>
  <c r="F226" i="16" s="1"/>
  <c r="U230" i="16"/>
  <c r="T230" i="16" s="1"/>
  <c r="S230" i="16" s="1"/>
  <c r="R230" i="16" s="1"/>
  <c r="P230" i="16" s="1"/>
  <c r="V230" i="16" s="1"/>
  <c r="F230" i="16" s="1"/>
  <c r="U234" i="16"/>
  <c r="T234" i="16" s="1"/>
  <c r="U238" i="16"/>
  <c r="T238" i="16" s="1"/>
  <c r="S238" i="16" s="1"/>
  <c r="R238" i="16" s="1"/>
  <c r="P238" i="16" s="1"/>
  <c r="V238" i="16" s="1"/>
  <c r="F238" i="16" s="1"/>
  <c r="U242" i="16"/>
  <c r="T242" i="16" s="1"/>
  <c r="S242" i="16" s="1"/>
  <c r="R242" i="16" s="1"/>
  <c r="P242" i="16" s="1"/>
  <c r="V242" i="16" s="1"/>
  <c r="F242" i="16" s="1"/>
  <c r="U246" i="16"/>
  <c r="T246" i="16" s="1"/>
  <c r="U250" i="16"/>
  <c r="T250" i="16" s="1"/>
  <c r="U254" i="16"/>
  <c r="T254" i="16" s="1"/>
  <c r="U258" i="16"/>
  <c r="T258" i="16" s="1"/>
  <c r="S258" i="16" s="1"/>
  <c r="R258" i="16" s="1"/>
  <c r="P258" i="16" s="1"/>
  <c r="V258" i="16" s="1"/>
  <c r="F258" i="16" s="1"/>
  <c r="G258" i="16" s="1"/>
  <c r="BY258" i="6" s="1"/>
  <c r="U262" i="16"/>
  <c r="T262" i="16" s="1"/>
  <c r="S262" i="16" s="1"/>
  <c r="R262" i="16" s="1"/>
  <c r="P262" i="16" s="1"/>
  <c r="V262" i="16" s="1"/>
  <c r="F262" i="16" s="1"/>
  <c r="U266" i="16"/>
  <c r="T266" i="16" s="1"/>
  <c r="S266" i="16" s="1"/>
  <c r="R266" i="16" s="1"/>
  <c r="P266" i="16" s="1"/>
  <c r="U270" i="16"/>
  <c r="T270" i="16" s="1"/>
  <c r="S270" i="16" s="1"/>
  <c r="R270" i="16" s="1"/>
  <c r="U274" i="16"/>
  <c r="T274" i="16" s="1"/>
  <c r="S274" i="16" s="1"/>
  <c r="R274" i="16" s="1"/>
  <c r="P274" i="16" s="1"/>
  <c r="U278" i="16"/>
  <c r="T278" i="16" s="1"/>
  <c r="S278" i="16" s="1"/>
  <c r="R278" i="16" s="1"/>
  <c r="P278" i="16" s="1"/>
  <c r="V278" i="16" s="1"/>
  <c r="F278" i="16" s="1"/>
  <c r="U282" i="16"/>
  <c r="T282" i="16" s="1"/>
  <c r="U286" i="16"/>
  <c r="T286" i="16" s="1"/>
  <c r="U290" i="16"/>
  <c r="T290" i="16" s="1"/>
  <c r="S290" i="16" s="1"/>
  <c r="R290" i="16" s="1"/>
  <c r="P290" i="16" s="1"/>
  <c r="V290" i="16" s="1"/>
  <c r="F290" i="16" s="1"/>
  <c r="G290" i="16" s="1"/>
  <c r="BY290" i="6" s="1"/>
  <c r="U294" i="16"/>
  <c r="T294" i="16" s="1"/>
  <c r="S294" i="16" s="1"/>
  <c r="R294" i="16" s="1"/>
  <c r="P294" i="16" s="1"/>
  <c r="V294" i="16" s="1"/>
  <c r="F294" i="16" s="1"/>
  <c r="U298" i="16"/>
  <c r="T298" i="16" s="1"/>
  <c r="S298" i="16" s="1"/>
  <c r="R298" i="16" s="1"/>
  <c r="U302" i="16"/>
  <c r="T302" i="16" s="1"/>
  <c r="S302" i="16" s="1"/>
  <c r="R302" i="16" s="1"/>
  <c r="U306" i="16"/>
  <c r="T306" i="16" s="1"/>
  <c r="S306" i="16" s="1"/>
  <c r="R306" i="16" s="1"/>
  <c r="U310" i="16"/>
  <c r="T310" i="16" s="1"/>
  <c r="S310" i="16" s="1"/>
  <c r="R310" i="16" s="1"/>
  <c r="P310" i="16" s="1"/>
  <c r="U314" i="16"/>
  <c r="T314" i="16" s="1"/>
  <c r="S314" i="16" s="1"/>
  <c r="R314" i="16" s="1"/>
  <c r="U318" i="16"/>
  <c r="T318" i="16" s="1"/>
  <c r="S318" i="16" s="1"/>
  <c r="R318" i="16" s="1"/>
  <c r="P318" i="16" s="1"/>
  <c r="V318" i="16" s="1"/>
  <c r="F318" i="16" s="1"/>
  <c r="U322" i="16"/>
  <c r="T322" i="16" s="1"/>
  <c r="S322" i="16" s="1"/>
  <c r="R322" i="16" s="1"/>
  <c r="P322" i="16" s="1"/>
  <c r="U326" i="16"/>
  <c r="T326" i="16" s="1"/>
  <c r="S326" i="16" s="1"/>
  <c r="R326" i="16" s="1"/>
  <c r="P326" i="16" s="1"/>
  <c r="V326" i="16" s="1"/>
  <c r="F326" i="16" s="1"/>
  <c r="U330" i="16"/>
  <c r="T330" i="16" s="1"/>
  <c r="S330" i="16" s="1"/>
  <c r="R330" i="16" s="1"/>
  <c r="U334" i="16"/>
  <c r="T334" i="16" s="1"/>
  <c r="S334" i="16" s="1"/>
  <c r="R334" i="16" s="1"/>
  <c r="U338" i="16"/>
  <c r="T338" i="16" s="1"/>
  <c r="S338" i="16" s="1"/>
  <c r="R338" i="16" s="1"/>
  <c r="U342" i="16"/>
  <c r="T342" i="16" s="1"/>
  <c r="S342" i="16" s="1"/>
  <c r="R342" i="16" s="1"/>
  <c r="P342" i="16" s="1"/>
  <c r="U346" i="16"/>
  <c r="T346" i="16" s="1"/>
  <c r="S346" i="16" s="1"/>
  <c r="R346" i="16" s="1"/>
  <c r="U350" i="16"/>
  <c r="T350" i="16" s="1"/>
  <c r="S350" i="16" s="1"/>
  <c r="R350" i="16" s="1"/>
  <c r="U354" i="16"/>
  <c r="T354" i="16" s="1"/>
  <c r="S354" i="16" s="1"/>
  <c r="R354" i="16" s="1"/>
  <c r="U358" i="16"/>
  <c r="T358" i="16" s="1"/>
  <c r="S358" i="16" s="1"/>
  <c r="R358" i="16" s="1"/>
  <c r="P358" i="16" s="1"/>
  <c r="V358" i="16" s="1"/>
  <c r="F358" i="16" s="1"/>
  <c r="U362" i="16"/>
  <c r="T362" i="16" s="1"/>
  <c r="S362" i="16" s="1"/>
  <c r="R362" i="16" s="1"/>
  <c r="P362" i="16" s="1"/>
  <c r="V362" i="16" s="1"/>
  <c r="F362" i="16" s="1"/>
  <c r="U366" i="16"/>
  <c r="T366" i="16" s="1"/>
  <c r="S366" i="16" s="1"/>
  <c r="R366" i="16" s="1"/>
  <c r="U370" i="16"/>
  <c r="T370" i="16" s="1"/>
  <c r="S370" i="16" s="1"/>
  <c r="R370" i="16" s="1"/>
  <c r="U374" i="16"/>
  <c r="T374" i="16" s="1"/>
  <c r="S374" i="16" s="1"/>
  <c r="R374" i="16" s="1"/>
  <c r="P374" i="16" s="1"/>
  <c r="U378" i="16"/>
  <c r="T378" i="16" s="1"/>
  <c r="S378" i="16" s="1"/>
  <c r="R378" i="16" s="1"/>
  <c r="P378" i="16" s="1"/>
  <c r="AI15" i="16"/>
  <c r="AI20" i="16"/>
  <c r="AH20" i="16" s="1"/>
  <c r="AG20" i="16" s="1"/>
  <c r="AF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44" i="16"/>
  <c r="AH44" i="16" s="1"/>
  <c r="AG44" i="16" s="1"/>
  <c r="AF44" i="16" s="1"/>
  <c r="AI48" i="16"/>
  <c r="AH48" i="16" s="1"/>
  <c r="AG48" i="16" s="1"/>
  <c r="AF48" i="16" s="1"/>
  <c r="AI52" i="16"/>
  <c r="AH52" i="16" s="1"/>
  <c r="AG52" i="16" s="1"/>
  <c r="AF52" i="16" s="1"/>
  <c r="AI56" i="16"/>
  <c r="AH56" i="16" s="1"/>
  <c r="AG56" i="16" s="1"/>
  <c r="AF56" i="16" s="1"/>
  <c r="AI60" i="16"/>
  <c r="AH60" i="16" s="1"/>
  <c r="AG60" i="16" s="1"/>
  <c r="AF60" i="16" s="1"/>
  <c r="AI64" i="16"/>
  <c r="AH64" i="16" s="1"/>
  <c r="AG64" i="16" s="1"/>
  <c r="AF64" i="16" s="1"/>
  <c r="AI68" i="16"/>
  <c r="AH68" i="16" s="1"/>
  <c r="AG68" i="16" s="1"/>
  <c r="AF68" i="16" s="1"/>
  <c r="AI72" i="16"/>
  <c r="AH72" i="16" s="1"/>
  <c r="AG72" i="16" s="1"/>
  <c r="AF72" i="16" s="1"/>
  <c r="AI76" i="16"/>
  <c r="AH76" i="16" s="1"/>
  <c r="AG76" i="16" s="1"/>
  <c r="AF76" i="16" s="1"/>
  <c r="AI80" i="16"/>
  <c r="AH80" i="16" s="1"/>
  <c r="AG80" i="16" s="1"/>
  <c r="AF80" i="16" s="1"/>
  <c r="AI84" i="16"/>
  <c r="AH84" i="16" s="1"/>
  <c r="AG84" i="16" s="1"/>
  <c r="AF84" i="16" s="1"/>
  <c r="AI88" i="16"/>
  <c r="AH88" i="16" s="1"/>
  <c r="AG88" i="16" s="1"/>
  <c r="AF88" i="16" s="1"/>
  <c r="AI92" i="16"/>
  <c r="AH92" i="16" s="1"/>
  <c r="AG92" i="16" s="1"/>
  <c r="AF92" i="16" s="1"/>
  <c r="AI96" i="16"/>
  <c r="AH96" i="16" s="1"/>
  <c r="AG96" i="16" s="1"/>
  <c r="AF96" i="16" s="1"/>
  <c r="AI100" i="16"/>
  <c r="AH100" i="16" s="1"/>
  <c r="AG100" i="16" s="1"/>
  <c r="AF100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17" i="16"/>
  <c r="AH17" i="16" s="1"/>
  <c r="AG17" i="16" s="1"/>
  <c r="AF17" i="16" s="1"/>
  <c r="AI26" i="16"/>
  <c r="AH26" i="16" s="1"/>
  <c r="AG26" i="16" s="1"/>
  <c r="AF26" i="16" s="1"/>
  <c r="AI34" i="16"/>
  <c r="AH34" i="16" s="1"/>
  <c r="AG34" i="16" s="1"/>
  <c r="AF34" i="16" s="1"/>
  <c r="AI42" i="16"/>
  <c r="AH42" i="16" s="1"/>
  <c r="AG42" i="16" s="1"/>
  <c r="AF42" i="16" s="1"/>
  <c r="AI50" i="16"/>
  <c r="AH50" i="16" s="1"/>
  <c r="AG50" i="16" s="1"/>
  <c r="AF50" i="16" s="1"/>
  <c r="AI58" i="16"/>
  <c r="AH58" i="16" s="1"/>
  <c r="AG58" i="16" s="1"/>
  <c r="AF58" i="16" s="1"/>
  <c r="AI66" i="16"/>
  <c r="AH66" i="16" s="1"/>
  <c r="AG66" i="16" s="1"/>
  <c r="AF66" i="16" s="1"/>
  <c r="AI74" i="16"/>
  <c r="AH74" i="16" s="1"/>
  <c r="AG74" i="16" s="1"/>
  <c r="AF74" i="16" s="1"/>
  <c r="AI82" i="16"/>
  <c r="AH82" i="16" s="1"/>
  <c r="AG82" i="16" s="1"/>
  <c r="AF82" i="16" s="1"/>
  <c r="AI90" i="16"/>
  <c r="AH90" i="16" s="1"/>
  <c r="AG90" i="16" s="1"/>
  <c r="AF90" i="16" s="1"/>
  <c r="AI98" i="16"/>
  <c r="AH98" i="16" s="1"/>
  <c r="AG98" i="16" s="1"/>
  <c r="AF98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9" i="16"/>
  <c r="AH149" i="16" s="1"/>
  <c r="AG149" i="16" s="1"/>
  <c r="AF149" i="16" s="1"/>
  <c r="AI157" i="16"/>
  <c r="AH157" i="16" s="1"/>
  <c r="AG157" i="16" s="1"/>
  <c r="AF157" i="16" s="1"/>
  <c r="AI165" i="16"/>
  <c r="AH165" i="16" s="1"/>
  <c r="AG165" i="16" s="1"/>
  <c r="AF165" i="16" s="1"/>
  <c r="AI173" i="16"/>
  <c r="AH173" i="16" s="1"/>
  <c r="AG173" i="16" s="1"/>
  <c r="AF173" i="16" s="1"/>
  <c r="AI181" i="16"/>
  <c r="AH181" i="16" s="1"/>
  <c r="AG181" i="16" s="1"/>
  <c r="AF181" i="16" s="1"/>
  <c r="AI189" i="16"/>
  <c r="AH189" i="16" s="1"/>
  <c r="AG189" i="16" s="1"/>
  <c r="AF189" i="16" s="1"/>
  <c r="AI197" i="16"/>
  <c r="AH197" i="16" s="1"/>
  <c r="AG197" i="16" s="1"/>
  <c r="AF197" i="16" s="1"/>
  <c r="AI205" i="16"/>
  <c r="AH205" i="16" s="1"/>
  <c r="AG205" i="16" s="1"/>
  <c r="AF205" i="16" s="1"/>
  <c r="AI213" i="16"/>
  <c r="AH213" i="16" s="1"/>
  <c r="AG213" i="16" s="1"/>
  <c r="AF213" i="16" s="1"/>
  <c r="AI221" i="16"/>
  <c r="AH221" i="16" s="1"/>
  <c r="AG221" i="16" s="1"/>
  <c r="AF221" i="16" s="1"/>
  <c r="AI229" i="16"/>
  <c r="AH229" i="16" s="1"/>
  <c r="AG229" i="16" s="1"/>
  <c r="AF229" i="16" s="1"/>
  <c r="AI237" i="16"/>
  <c r="AH237" i="16" s="1"/>
  <c r="AG237" i="16" s="1"/>
  <c r="AF237" i="16" s="1"/>
  <c r="AI245" i="16"/>
  <c r="AH245" i="16" s="1"/>
  <c r="AG245" i="16" s="1"/>
  <c r="AF245" i="16" s="1"/>
  <c r="AI253" i="16"/>
  <c r="AH253" i="16" s="1"/>
  <c r="AG253" i="16" s="1"/>
  <c r="AF253" i="16" s="1"/>
  <c r="AI261" i="16"/>
  <c r="AH261" i="16" s="1"/>
  <c r="AI269" i="16"/>
  <c r="AH269" i="16" s="1"/>
  <c r="AG269" i="16" s="1"/>
  <c r="AF269" i="16" s="1"/>
  <c r="AI277" i="16"/>
  <c r="AH277" i="16" s="1"/>
  <c r="AG277" i="16" s="1"/>
  <c r="AF277" i="16" s="1"/>
  <c r="AD277" i="16" s="1"/>
  <c r="AI283" i="16"/>
  <c r="AH283" i="16" s="1"/>
  <c r="AG283" i="16" s="1"/>
  <c r="AF283" i="16" s="1"/>
  <c r="AI287" i="16"/>
  <c r="AH287" i="16" s="1"/>
  <c r="AG287" i="16" s="1"/>
  <c r="AF287" i="16" s="1"/>
  <c r="AI293" i="16"/>
  <c r="AH293" i="16" s="1"/>
  <c r="AG293" i="16" s="1"/>
  <c r="AF293" i="16" s="1"/>
  <c r="AI297" i="16"/>
  <c r="AH297" i="16" s="1"/>
  <c r="AG297" i="16" s="1"/>
  <c r="AF297" i="16" s="1"/>
  <c r="AI299" i="16"/>
  <c r="AH299" i="16" s="1"/>
  <c r="AG299" i="16" s="1"/>
  <c r="AF299" i="16" s="1"/>
  <c r="AI303" i="16"/>
  <c r="AH303" i="16" s="1"/>
  <c r="AI307" i="16"/>
  <c r="AH307" i="16" s="1"/>
  <c r="AG307" i="16" s="1"/>
  <c r="AF307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G319" i="16" s="1"/>
  <c r="AF319" i="16" s="1"/>
  <c r="AI323" i="16"/>
  <c r="AH323" i="16" s="1"/>
  <c r="AG323" i="16" s="1"/>
  <c r="AF323" i="16" s="1"/>
  <c r="AI327" i="16"/>
  <c r="AH327" i="16" s="1"/>
  <c r="AG327" i="16" s="1"/>
  <c r="AF327" i="16" s="1"/>
  <c r="AI331" i="16"/>
  <c r="AH331" i="16" s="1"/>
  <c r="AG331" i="16" s="1"/>
  <c r="AF331" i="16" s="1"/>
  <c r="AI335" i="16"/>
  <c r="AH335" i="16" s="1"/>
  <c r="AG335" i="16" s="1"/>
  <c r="AF335" i="16" s="1"/>
  <c r="AI339" i="16"/>
  <c r="AH339" i="16" s="1"/>
  <c r="AG339" i="16" s="1"/>
  <c r="AF339" i="16" s="1"/>
  <c r="AI343" i="16"/>
  <c r="AH343" i="16" s="1"/>
  <c r="AG343" i="16" s="1"/>
  <c r="AF343" i="16" s="1"/>
  <c r="AI347" i="16"/>
  <c r="AH347" i="16" s="1"/>
  <c r="AG347" i="16" s="1"/>
  <c r="AF347" i="16" s="1"/>
  <c r="AI351" i="16"/>
  <c r="AH351" i="16" s="1"/>
  <c r="AG351" i="16" s="1"/>
  <c r="AF351" i="16" s="1"/>
  <c r="AI355" i="16"/>
  <c r="AH355" i="16" s="1"/>
  <c r="AG355" i="16" s="1"/>
  <c r="AF355" i="16" s="1"/>
  <c r="AI359" i="16"/>
  <c r="AH359" i="16" s="1"/>
  <c r="AG359" i="16" s="1"/>
  <c r="AF359" i="16" s="1"/>
  <c r="AI363" i="16"/>
  <c r="AH363" i="16" s="1"/>
  <c r="AG363" i="16" s="1"/>
  <c r="AF363" i="16" s="1"/>
  <c r="AI367" i="16"/>
  <c r="AH367" i="16" s="1"/>
  <c r="AG367" i="16" s="1"/>
  <c r="AF367" i="16" s="1"/>
  <c r="AI371" i="16"/>
  <c r="AH371" i="16" s="1"/>
  <c r="AG371" i="16" s="1"/>
  <c r="AF371" i="16" s="1"/>
  <c r="AI375" i="16"/>
  <c r="AH375" i="16" s="1"/>
  <c r="AG375" i="16" s="1"/>
  <c r="AF375" i="16" s="1"/>
  <c r="AI379" i="16"/>
  <c r="U35" i="16"/>
  <c r="T35" i="16" s="1"/>
  <c r="S35" i="16" s="1"/>
  <c r="R35" i="16" s="1"/>
  <c r="U67" i="16"/>
  <c r="T67" i="16" s="1"/>
  <c r="S67" i="16" s="1"/>
  <c r="R67" i="16" s="1"/>
  <c r="P67" i="16" s="1"/>
  <c r="V67" i="16" s="1"/>
  <c r="F67" i="16" s="1"/>
  <c r="G67" i="16" s="1"/>
  <c r="BY67" i="6" s="1"/>
  <c r="U99" i="16"/>
  <c r="T99" i="16" s="1"/>
  <c r="U130" i="16"/>
  <c r="T130" i="16" s="1"/>
  <c r="S130" i="16" s="1"/>
  <c r="R130" i="16" s="1"/>
  <c r="U146" i="16"/>
  <c r="T146" i="16" s="1"/>
  <c r="S146" i="16" s="1"/>
  <c r="R146" i="16" s="1"/>
  <c r="U162" i="16"/>
  <c r="T162" i="16" s="1"/>
  <c r="S162" i="16" s="1"/>
  <c r="R162" i="16" s="1"/>
  <c r="U178" i="16"/>
  <c r="T178" i="16" s="1"/>
  <c r="S178" i="16" s="1"/>
  <c r="R178" i="16" s="1"/>
  <c r="U194" i="16"/>
  <c r="T194" i="16" s="1"/>
  <c r="U210" i="16"/>
  <c r="T210" i="16" s="1"/>
  <c r="S210" i="16" s="1"/>
  <c r="R210" i="16" s="1"/>
  <c r="P210" i="16" s="1"/>
  <c r="U220" i="16"/>
  <c r="T220" i="16" s="1"/>
  <c r="S220" i="16" s="1"/>
  <c r="R220" i="16" s="1"/>
  <c r="U228" i="16"/>
  <c r="T228" i="16" s="1"/>
  <c r="S228" i="16" s="1"/>
  <c r="R228" i="16" s="1"/>
  <c r="P228" i="16" s="1"/>
  <c r="U236" i="16"/>
  <c r="T236" i="16" s="1"/>
  <c r="S236" i="16" s="1"/>
  <c r="R236" i="16" s="1"/>
  <c r="U244" i="16"/>
  <c r="T244" i="16" s="1"/>
  <c r="S244" i="16" s="1"/>
  <c r="R244" i="16" s="1"/>
  <c r="U252" i="16"/>
  <c r="T252" i="16" s="1"/>
  <c r="S252" i="16" s="1"/>
  <c r="R252" i="16" s="1"/>
  <c r="U260" i="16"/>
  <c r="T260" i="16" s="1"/>
  <c r="S260" i="16" s="1"/>
  <c r="R260" i="16" s="1"/>
  <c r="P260" i="16" s="1"/>
  <c r="V260" i="16" s="1"/>
  <c r="F260" i="16" s="1"/>
  <c r="U268" i="16"/>
  <c r="T268" i="16" s="1"/>
  <c r="S268" i="16" s="1"/>
  <c r="R268" i="16" s="1"/>
  <c r="U276" i="16"/>
  <c r="T276" i="16" s="1"/>
  <c r="S276" i="16" s="1"/>
  <c r="R276" i="16" s="1"/>
  <c r="U284" i="16"/>
  <c r="T284" i="16" s="1"/>
  <c r="S284" i="16" s="1"/>
  <c r="R284" i="16" s="1"/>
  <c r="P284" i="16" s="1"/>
  <c r="V284" i="16" s="1"/>
  <c r="F284" i="16" s="1"/>
  <c r="H284" i="16" s="1"/>
  <c r="U292" i="16"/>
  <c r="T292" i="16" s="1"/>
  <c r="S292" i="16" s="1"/>
  <c r="R292" i="16" s="1"/>
  <c r="U300" i="16"/>
  <c r="T300" i="16" s="1"/>
  <c r="S300" i="16" s="1"/>
  <c r="R300" i="16" s="1"/>
  <c r="P300" i="16" s="1"/>
  <c r="V300" i="16" s="1"/>
  <c r="F300" i="16" s="1"/>
  <c r="G300" i="16" s="1"/>
  <c r="BY300" i="6" s="1"/>
  <c r="U308" i="16"/>
  <c r="T308" i="16" s="1"/>
  <c r="S308" i="16" s="1"/>
  <c r="R308" i="16" s="1"/>
  <c r="P308" i="16" s="1"/>
  <c r="U316" i="16"/>
  <c r="T316" i="16" s="1"/>
  <c r="S316" i="16" s="1"/>
  <c r="R316" i="16" s="1"/>
  <c r="P316" i="16" s="1"/>
  <c r="V316" i="16" s="1"/>
  <c r="F316" i="16" s="1"/>
  <c r="H316" i="16" s="1"/>
  <c r="U324" i="16"/>
  <c r="T324" i="16" s="1"/>
  <c r="S324" i="16" s="1"/>
  <c r="R324" i="16" s="1"/>
  <c r="U332" i="16"/>
  <c r="T332" i="16" s="1"/>
  <c r="S332" i="16" s="1"/>
  <c r="R332" i="16" s="1"/>
  <c r="U340" i="16"/>
  <c r="T340" i="16" s="1"/>
  <c r="S340" i="16" s="1"/>
  <c r="R340" i="16" s="1"/>
  <c r="U348" i="16"/>
  <c r="T348" i="16" s="1"/>
  <c r="S348" i="16" s="1"/>
  <c r="R348" i="16" s="1"/>
  <c r="U356" i="16"/>
  <c r="T356" i="16" s="1"/>
  <c r="S356" i="16" s="1"/>
  <c r="R356" i="16" s="1"/>
  <c r="U364" i="16"/>
  <c r="T364" i="16" s="1"/>
  <c r="S364" i="16" s="1"/>
  <c r="R364" i="16" s="1"/>
  <c r="P364" i="16" s="1"/>
  <c r="V364" i="16" s="1"/>
  <c r="F364" i="16" s="1"/>
  <c r="G364" i="16" s="1"/>
  <c r="BY364" i="6" s="1"/>
  <c r="U372" i="16"/>
  <c r="T372" i="16" s="1"/>
  <c r="S372" i="16" s="1"/>
  <c r="R372" i="16" s="1"/>
  <c r="P372" i="16" s="1"/>
  <c r="U380" i="16"/>
  <c r="T380" i="16" s="1"/>
  <c r="S380" i="16" s="1"/>
  <c r="R380" i="16" s="1"/>
  <c r="AI22" i="16"/>
  <c r="AH22" i="16" s="1"/>
  <c r="AG22" i="16" s="1"/>
  <c r="AF22" i="16" s="1"/>
  <c r="AI30" i="16"/>
  <c r="AH30" i="16" s="1"/>
  <c r="AG30" i="16" s="1"/>
  <c r="AF30" i="16" s="1"/>
  <c r="AI38" i="16"/>
  <c r="AH38" i="16" s="1"/>
  <c r="AG38" i="16" s="1"/>
  <c r="AF38" i="16" s="1"/>
  <c r="AI46" i="16"/>
  <c r="AH46" i="16" s="1"/>
  <c r="AG46" i="16" s="1"/>
  <c r="AF46" i="16" s="1"/>
  <c r="AI54" i="16"/>
  <c r="AH54" i="16" s="1"/>
  <c r="AG54" i="16" s="1"/>
  <c r="AF54" i="16" s="1"/>
  <c r="AI62" i="16"/>
  <c r="AH62" i="16" s="1"/>
  <c r="AG62" i="16" s="1"/>
  <c r="AF62" i="16" s="1"/>
  <c r="AI70" i="16"/>
  <c r="AH70" i="16" s="1"/>
  <c r="AG70" i="16" s="1"/>
  <c r="AF70" i="16" s="1"/>
  <c r="AI78" i="16"/>
  <c r="AH78" i="16" s="1"/>
  <c r="AG78" i="16" s="1"/>
  <c r="AF78" i="16" s="1"/>
  <c r="AI86" i="16"/>
  <c r="AH86" i="16" s="1"/>
  <c r="AG86" i="16" s="1"/>
  <c r="AF86" i="16" s="1"/>
  <c r="AI94" i="16"/>
  <c r="AH94" i="16" s="1"/>
  <c r="AG94" i="16" s="1"/>
  <c r="AF94" i="16" s="1"/>
  <c r="AI102" i="16"/>
  <c r="AH102" i="16" s="1"/>
  <c r="AG102" i="16" s="1"/>
  <c r="AF102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9" i="16"/>
  <c r="AH159" i="16" s="1"/>
  <c r="AG159" i="16" s="1"/>
  <c r="AF159" i="16" s="1"/>
  <c r="AI163" i="16"/>
  <c r="AH163" i="16" s="1"/>
  <c r="AG163" i="16" s="1"/>
  <c r="AF163" i="16" s="1"/>
  <c r="AI167" i="16"/>
  <c r="AH167" i="16" s="1"/>
  <c r="AG167" i="16" s="1"/>
  <c r="AF167" i="16" s="1"/>
  <c r="AI171" i="16"/>
  <c r="AH171" i="16" s="1"/>
  <c r="AG171" i="16" s="1"/>
  <c r="AF171" i="16" s="1"/>
  <c r="AI175" i="16"/>
  <c r="AH175" i="16" s="1"/>
  <c r="AG175" i="16" s="1"/>
  <c r="AF175" i="16" s="1"/>
  <c r="AD175" i="16" s="1"/>
  <c r="AI179" i="16"/>
  <c r="AH179" i="16" s="1"/>
  <c r="AG179" i="16" s="1"/>
  <c r="AF179" i="16" s="1"/>
  <c r="AI183" i="16"/>
  <c r="AH183" i="16" s="1"/>
  <c r="AG183" i="16" s="1"/>
  <c r="AF183" i="16" s="1"/>
  <c r="AI187" i="16"/>
  <c r="AH187" i="16" s="1"/>
  <c r="AG187" i="16" s="1"/>
  <c r="AF187" i="16" s="1"/>
  <c r="AI191" i="16"/>
  <c r="AH191" i="16" s="1"/>
  <c r="AG191" i="16" s="1"/>
  <c r="AF191" i="16" s="1"/>
  <c r="AI195" i="16"/>
  <c r="AH195" i="16" s="1"/>
  <c r="AG195" i="16" s="1"/>
  <c r="AF195" i="16" s="1"/>
  <c r="AI199" i="16"/>
  <c r="AH199" i="16" s="1"/>
  <c r="AG199" i="16" s="1"/>
  <c r="AF199" i="16" s="1"/>
  <c r="AI203" i="16"/>
  <c r="AH203" i="16" s="1"/>
  <c r="AG203" i="16" s="1"/>
  <c r="AF203" i="16" s="1"/>
  <c r="AI207" i="16"/>
  <c r="AH207" i="16" s="1"/>
  <c r="AG207" i="16" s="1"/>
  <c r="AF207" i="16" s="1"/>
  <c r="AI211" i="16"/>
  <c r="AH211" i="16" s="1"/>
  <c r="AG211" i="16" s="1"/>
  <c r="AF211" i="16" s="1"/>
  <c r="AD211" i="16" s="1"/>
  <c r="AA211" i="16" s="1"/>
  <c r="Z211" i="16" s="1"/>
  <c r="Y211" i="16" s="1"/>
  <c r="AI215" i="16"/>
  <c r="AH215" i="16" s="1"/>
  <c r="AG215" i="16" s="1"/>
  <c r="AF215" i="16" s="1"/>
  <c r="AI219" i="16"/>
  <c r="AH219" i="16" s="1"/>
  <c r="AI223" i="16"/>
  <c r="AH223" i="16" s="1"/>
  <c r="AG223" i="16" s="1"/>
  <c r="AF223" i="16" s="1"/>
  <c r="AD223" i="16" s="1"/>
  <c r="AI227" i="16"/>
  <c r="AH227" i="16" s="1"/>
  <c r="AG227" i="16" s="1"/>
  <c r="AF227" i="16" s="1"/>
  <c r="AD227" i="16" s="1"/>
  <c r="AI231" i="16"/>
  <c r="AH231" i="16" s="1"/>
  <c r="AG231" i="16" s="1"/>
  <c r="AF231" i="16" s="1"/>
  <c r="AI235" i="16"/>
  <c r="AH235" i="16" s="1"/>
  <c r="AG235" i="16" s="1"/>
  <c r="AF235" i="16" s="1"/>
  <c r="AI239" i="16"/>
  <c r="AH239" i="16" s="1"/>
  <c r="AG239" i="16" s="1"/>
  <c r="AF239" i="16" s="1"/>
  <c r="AI243" i="16"/>
  <c r="AH243" i="16" s="1"/>
  <c r="AG243" i="16" s="1"/>
  <c r="AF243" i="16" s="1"/>
  <c r="AI247" i="16"/>
  <c r="AH247" i="16" s="1"/>
  <c r="AG247" i="16" s="1"/>
  <c r="AF247" i="16" s="1"/>
  <c r="AI251" i="16"/>
  <c r="AH251" i="16" s="1"/>
  <c r="AG251" i="16" s="1"/>
  <c r="AF251" i="16" s="1"/>
  <c r="AI255" i="16"/>
  <c r="AH255" i="16" s="1"/>
  <c r="AG255" i="16" s="1"/>
  <c r="AF255" i="16" s="1"/>
  <c r="AI259" i="16"/>
  <c r="AH259" i="16" s="1"/>
  <c r="AG259" i="16" s="1"/>
  <c r="AF259" i="16" s="1"/>
  <c r="AI263" i="16"/>
  <c r="AH263" i="16" s="1"/>
  <c r="AG263" i="16" s="1"/>
  <c r="AF263" i="16" s="1"/>
  <c r="AI267" i="16"/>
  <c r="AH267" i="16" s="1"/>
  <c r="AG267" i="16" s="1"/>
  <c r="AF267" i="16" s="1"/>
  <c r="AI271" i="16"/>
  <c r="AH271" i="16" s="1"/>
  <c r="AG271" i="16" s="1"/>
  <c r="AF271" i="16" s="1"/>
  <c r="AI275" i="16"/>
  <c r="AH275" i="16" s="1"/>
  <c r="AG275" i="16" s="1"/>
  <c r="AF275" i="16" s="1"/>
  <c r="AI279" i="16"/>
  <c r="AH279" i="16" s="1"/>
  <c r="AG279" i="16" s="1"/>
  <c r="AF279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AI380" i="16"/>
  <c r="AH380" i="16" s="1"/>
  <c r="AG380" i="16" s="1"/>
  <c r="AF380" i="16" s="1"/>
  <c r="U19" i="16"/>
  <c r="T19" i="16" s="1"/>
  <c r="S19" i="16" s="1"/>
  <c r="R19" i="16" s="1"/>
  <c r="U51" i="16"/>
  <c r="T51" i="16" s="1"/>
  <c r="S51" i="16" s="1"/>
  <c r="R51" i="16" s="1"/>
  <c r="P51" i="16" s="1"/>
  <c r="V51" i="16" s="1"/>
  <c r="F51" i="16" s="1"/>
  <c r="U83" i="16"/>
  <c r="T83" i="16" s="1"/>
  <c r="S83" i="16" s="1"/>
  <c r="R83" i="16" s="1"/>
  <c r="U115" i="16"/>
  <c r="T115" i="16" s="1"/>
  <c r="S115" i="16" s="1"/>
  <c r="R115" i="16" s="1"/>
  <c r="U138" i="16"/>
  <c r="T138" i="16" s="1"/>
  <c r="S138" i="16" s="1"/>
  <c r="R138" i="16" s="1"/>
  <c r="U154" i="16"/>
  <c r="T154" i="16" s="1"/>
  <c r="S154" i="16" s="1"/>
  <c r="R154" i="16" s="1"/>
  <c r="U170" i="16"/>
  <c r="T170" i="16" s="1"/>
  <c r="S170" i="16" s="1"/>
  <c r="R170" i="16" s="1"/>
  <c r="U186" i="16"/>
  <c r="T186" i="16" s="1"/>
  <c r="S186" i="16" s="1"/>
  <c r="R186" i="16" s="1"/>
  <c r="U202" i="16"/>
  <c r="T202" i="16" s="1"/>
  <c r="U216" i="16"/>
  <c r="T216" i="16" s="1"/>
  <c r="S216" i="16" s="1"/>
  <c r="R216" i="16" s="1"/>
  <c r="U224" i="16"/>
  <c r="T224" i="16" s="1"/>
  <c r="S224" i="16" s="1"/>
  <c r="R224" i="16" s="1"/>
  <c r="P224" i="16" s="1"/>
  <c r="V224" i="16" s="1"/>
  <c r="F224" i="16" s="1"/>
  <c r="H224" i="16" s="1"/>
  <c r="U232" i="16"/>
  <c r="T232" i="16" s="1"/>
  <c r="S232" i="16" s="1"/>
  <c r="R232" i="16" s="1"/>
  <c r="U240" i="16"/>
  <c r="T240" i="16" s="1"/>
  <c r="S240" i="16" s="1"/>
  <c r="R240" i="16" s="1"/>
  <c r="U248" i="16"/>
  <c r="T248" i="16" s="1"/>
  <c r="S248" i="16" s="1"/>
  <c r="R248" i="16" s="1"/>
  <c r="U256" i="16"/>
  <c r="T256" i="16" s="1"/>
  <c r="S256" i="16" s="1"/>
  <c r="R256" i="16" s="1"/>
  <c r="U264" i="16"/>
  <c r="T264" i="16" s="1"/>
  <c r="S264" i="16" s="1"/>
  <c r="R264" i="16" s="1"/>
  <c r="U272" i="16"/>
  <c r="T272" i="16" s="1"/>
  <c r="S272" i="16" s="1"/>
  <c r="R272" i="16" s="1"/>
  <c r="U280" i="16"/>
  <c r="T280" i="16" s="1"/>
  <c r="S280" i="16" s="1"/>
  <c r="R280" i="16" s="1"/>
  <c r="U288" i="16"/>
  <c r="T288" i="16" s="1"/>
  <c r="S288" i="16" s="1"/>
  <c r="R288" i="16" s="1"/>
  <c r="U296" i="16"/>
  <c r="T296" i="16" s="1"/>
  <c r="S296" i="16" s="1"/>
  <c r="R296" i="16" s="1"/>
  <c r="P296" i="16" s="1"/>
  <c r="U304" i="16"/>
  <c r="T304" i="16" s="1"/>
  <c r="S304" i="16" s="1"/>
  <c r="R304" i="16" s="1"/>
  <c r="P304" i="16" s="1"/>
  <c r="V304" i="16" s="1"/>
  <c r="F304" i="16" s="1"/>
  <c r="G304" i="16" s="1"/>
  <c r="BY304" i="6" s="1"/>
  <c r="U312" i="16"/>
  <c r="T312" i="16" s="1"/>
  <c r="S312" i="16" s="1"/>
  <c r="R312" i="16" s="1"/>
  <c r="U320" i="16"/>
  <c r="T320" i="16" s="1"/>
  <c r="S320" i="16" s="1"/>
  <c r="R320" i="16" s="1"/>
  <c r="U328" i="16"/>
  <c r="T328" i="16" s="1"/>
  <c r="S328" i="16" s="1"/>
  <c r="R328" i="16" s="1"/>
  <c r="P328" i="16" s="1"/>
  <c r="V328" i="16" s="1"/>
  <c r="F328" i="16" s="1"/>
  <c r="U336" i="16"/>
  <c r="T336" i="16" s="1"/>
  <c r="S336" i="16" s="1"/>
  <c r="R336" i="16" s="1"/>
  <c r="U344" i="16"/>
  <c r="T344" i="16" s="1"/>
  <c r="S344" i="16" s="1"/>
  <c r="R344" i="16" s="1"/>
  <c r="U352" i="16"/>
  <c r="T352" i="16" s="1"/>
  <c r="S352" i="16" s="1"/>
  <c r="R352" i="16" s="1"/>
  <c r="U360" i="16"/>
  <c r="T360" i="16" s="1"/>
  <c r="S360" i="16" s="1"/>
  <c r="R360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376" i="16"/>
  <c r="T376" i="16" s="1"/>
  <c r="S376" i="16" s="1"/>
  <c r="R376" i="16" s="1"/>
  <c r="P376" i="16" s="1"/>
  <c r="V376" i="16" s="1"/>
  <c r="F376" i="16" s="1"/>
  <c r="AI125" i="16"/>
  <c r="AH125" i="16" s="1"/>
  <c r="AG125" i="16" s="1"/>
  <c r="AF125" i="16" s="1"/>
  <c r="AI145" i="16"/>
  <c r="AH145" i="16" s="1"/>
  <c r="AG145" i="16" s="1"/>
  <c r="AF145" i="16" s="1"/>
  <c r="AI153" i="16"/>
  <c r="AH153" i="16" s="1"/>
  <c r="AG153" i="16" s="1"/>
  <c r="AF153" i="16" s="1"/>
  <c r="AI161" i="16"/>
  <c r="AH161" i="16" s="1"/>
  <c r="AG161" i="16" s="1"/>
  <c r="AF161" i="16" s="1"/>
  <c r="AI169" i="16"/>
  <c r="AH169" i="16" s="1"/>
  <c r="AG169" i="16" s="1"/>
  <c r="AF169" i="16" s="1"/>
  <c r="AI177" i="16"/>
  <c r="AH177" i="16" s="1"/>
  <c r="AG177" i="16" s="1"/>
  <c r="AF177" i="16" s="1"/>
  <c r="AI185" i="16"/>
  <c r="AH185" i="16" s="1"/>
  <c r="AG185" i="16" s="1"/>
  <c r="AF185" i="16" s="1"/>
  <c r="AI193" i="16"/>
  <c r="AH193" i="16" s="1"/>
  <c r="AG193" i="16" s="1"/>
  <c r="AF193" i="16" s="1"/>
  <c r="AI201" i="16"/>
  <c r="AH201" i="16" s="1"/>
  <c r="AG201" i="16" s="1"/>
  <c r="AF201" i="16" s="1"/>
  <c r="AI209" i="16"/>
  <c r="AH209" i="16" s="1"/>
  <c r="AG209" i="16" s="1"/>
  <c r="AF209" i="16" s="1"/>
  <c r="AI217" i="16"/>
  <c r="AH217" i="16" s="1"/>
  <c r="AG217" i="16" s="1"/>
  <c r="AF217" i="16" s="1"/>
  <c r="AI225" i="16"/>
  <c r="AH225" i="16" s="1"/>
  <c r="AG225" i="16" s="1"/>
  <c r="AF225" i="16" s="1"/>
  <c r="AI233" i="16"/>
  <c r="AH233" i="16" s="1"/>
  <c r="AG233" i="16" s="1"/>
  <c r="AF233" i="16" s="1"/>
  <c r="AI241" i="16"/>
  <c r="AH241" i="16" s="1"/>
  <c r="AG241" i="16" s="1"/>
  <c r="AF241" i="16" s="1"/>
  <c r="AI249" i="16"/>
  <c r="AH249" i="16" s="1"/>
  <c r="AG249" i="16" s="1"/>
  <c r="AF249" i="16" s="1"/>
  <c r="AI257" i="16"/>
  <c r="AH257" i="16" s="1"/>
  <c r="AG257" i="16" s="1"/>
  <c r="AF257" i="16" s="1"/>
  <c r="AI265" i="16"/>
  <c r="AH265" i="16" s="1"/>
  <c r="AI273" i="16"/>
  <c r="AH273" i="16" s="1"/>
  <c r="AI281" i="16"/>
  <c r="AH281" i="16" s="1"/>
  <c r="AG281" i="16" s="1"/>
  <c r="AF281" i="16" s="1"/>
  <c r="AI285" i="16"/>
  <c r="AH285" i="16" s="1"/>
  <c r="AG285" i="16" s="1"/>
  <c r="AF285" i="16" s="1"/>
  <c r="AI289" i="16"/>
  <c r="AH289" i="16" s="1"/>
  <c r="AG289" i="16" s="1"/>
  <c r="AF289" i="16" s="1"/>
  <c r="AI291" i="16"/>
  <c r="AH291" i="16" s="1"/>
  <c r="AG291" i="16" s="1"/>
  <c r="AF291" i="16" s="1"/>
  <c r="AI295" i="16"/>
  <c r="AH295" i="16" s="1"/>
  <c r="AG295" i="16" s="1"/>
  <c r="AF295" i="16" s="1"/>
  <c r="AD295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D309" i="16" s="1"/>
  <c r="AI313" i="16"/>
  <c r="AH313" i="16" s="1"/>
  <c r="AG313" i="16" s="1"/>
  <c r="AF313" i="16" s="1"/>
  <c r="AI317" i="16"/>
  <c r="AH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D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7" i="16"/>
  <c r="AH377" i="16" s="1"/>
  <c r="AG377" i="16" s="1"/>
  <c r="AF377" i="16" s="1"/>
  <c r="H165" i="16"/>
  <c r="I165" i="16" s="1"/>
  <c r="G119" i="15"/>
  <c r="BX119" i="6" s="1"/>
  <c r="H119" i="15"/>
  <c r="J119" i="15" s="1"/>
  <c r="J175" i="15"/>
  <c r="I69" i="15"/>
  <c r="P88" i="16"/>
  <c r="D46" i="7" s="1"/>
  <c r="P92" i="16"/>
  <c r="V92" i="16" s="1"/>
  <c r="F92" i="16" s="1"/>
  <c r="P112" i="16"/>
  <c r="V112" i="16" s="1"/>
  <c r="F112" i="16" s="1"/>
  <c r="G112" i="16" s="1"/>
  <c r="BY112" i="6" s="1"/>
  <c r="P140" i="16"/>
  <c r="V140" i="16" s="1"/>
  <c r="F140" i="16" s="1"/>
  <c r="H140" i="16" s="1"/>
  <c r="P172" i="16"/>
  <c r="V172" i="16" s="1"/>
  <c r="P184" i="16"/>
  <c r="P21" i="16"/>
  <c r="V21" i="16" s="1"/>
  <c r="F21" i="16" s="1"/>
  <c r="P27" i="16"/>
  <c r="V27" i="16" s="1"/>
  <c r="F27" i="16" s="1"/>
  <c r="G27" i="16" s="1"/>
  <c r="BY27" i="6" s="1"/>
  <c r="P89" i="16"/>
  <c r="V89" i="16" s="1"/>
  <c r="F89" i="16" s="1"/>
  <c r="G89" i="16" s="1"/>
  <c r="BY89" i="6" s="1"/>
  <c r="P139" i="16"/>
  <c r="H133" i="16"/>
  <c r="I133" i="16" s="1"/>
  <c r="H181" i="16"/>
  <c r="J181" i="16" s="1"/>
  <c r="H189" i="16"/>
  <c r="I189" i="16" s="1"/>
  <c r="I153" i="15"/>
  <c r="J129" i="15"/>
  <c r="H85" i="16"/>
  <c r="J85" i="16" s="1"/>
  <c r="J114" i="15"/>
  <c r="I363" i="15"/>
  <c r="I271" i="15"/>
  <c r="J180" i="15"/>
  <c r="J29" i="15"/>
  <c r="H105" i="16"/>
  <c r="J105" i="16" s="1"/>
  <c r="I109" i="15"/>
  <c r="H109" i="16" s="1"/>
  <c r="I121" i="15"/>
  <c r="H121" i="16" s="1"/>
  <c r="I302" i="15"/>
  <c r="I169" i="15"/>
  <c r="H169" i="16" s="1"/>
  <c r="I276" i="15"/>
  <c r="J161" i="15"/>
  <c r="I113" i="15"/>
  <c r="H113" i="16" s="1"/>
  <c r="H177" i="16"/>
  <c r="I177" i="16" s="1"/>
  <c r="I157" i="15"/>
  <c r="H157" i="16" s="1"/>
  <c r="J157" i="16" s="1"/>
  <c r="I31" i="15"/>
  <c r="I365" i="15"/>
  <c r="C14" i="19"/>
  <c r="F38" i="19"/>
  <c r="L40" i="19"/>
  <c r="H129" i="16"/>
  <c r="J129" i="16" s="1"/>
  <c r="AD126" i="16"/>
  <c r="AA126" i="16" s="1"/>
  <c r="Z126" i="16" s="1"/>
  <c r="Y126" i="16" s="1"/>
  <c r="AD142" i="16"/>
  <c r="AD186" i="16"/>
  <c r="AD246" i="16"/>
  <c r="AD338" i="16"/>
  <c r="P84" i="16"/>
  <c r="V84" i="16" s="1"/>
  <c r="F84" i="16" s="1"/>
  <c r="H84" i="16" s="1"/>
  <c r="P108" i="16"/>
  <c r="V108" i="16" s="1"/>
  <c r="F108" i="16" s="1"/>
  <c r="P152" i="16"/>
  <c r="V152" i="16" s="1"/>
  <c r="F152" i="16" s="1"/>
  <c r="P176" i="16"/>
  <c r="V176" i="16" s="1"/>
  <c r="F176" i="16" s="1"/>
  <c r="G176" i="16" s="1"/>
  <c r="BY176" i="6" s="1"/>
  <c r="P188" i="16"/>
  <c r="V188" i="16" s="1"/>
  <c r="F188" i="16" s="1"/>
  <c r="H188" i="16" s="1"/>
  <c r="AD43" i="16"/>
  <c r="AD51" i="16"/>
  <c r="AA51" i="16" s="1"/>
  <c r="Z51" i="16" s="1"/>
  <c r="Y51" i="16" s="1"/>
  <c r="AD55" i="16"/>
  <c r="AD63" i="16"/>
  <c r="AD355" i="16"/>
  <c r="AA355" i="16" s="1"/>
  <c r="Z355" i="16" s="1"/>
  <c r="Y355" i="16" s="1"/>
  <c r="H145" i="16"/>
  <c r="I145" i="16" s="1"/>
  <c r="I47" i="15"/>
  <c r="P37" i="16"/>
  <c r="V37" i="16" s="1"/>
  <c r="F37" i="16" s="1"/>
  <c r="H37" i="16" s="1"/>
  <c r="P73" i="16"/>
  <c r="V73" i="16" s="1"/>
  <c r="F73" i="16" s="1"/>
  <c r="P91" i="16"/>
  <c r="V91" i="16" s="1"/>
  <c r="F91" i="16" s="1"/>
  <c r="G91" i="16" s="1"/>
  <c r="BY91" i="6" s="1"/>
  <c r="P123" i="16"/>
  <c r="V123" i="16" s="1"/>
  <c r="F123" i="16" s="1"/>
  <c r="H123" i="16" s="1"/>
  <c r="P197" i="16"/>
  <c r="V197" i="16" s="1"/>
  <c r="F197" i="16" s="1"/>
  <c r="P217" i="16"/>
  <c r="V217" i="16" s="1"/>
  <c r="F217" i="16" s="1"/>
  <c r="P237" i="16"/>
  <c r="V237" i="16" s="1"/>
  <c r="F237" i="16" s="1"/>
  <c r="H237" i="16" s="1"/>
  <c r="P269" i="16"/>
  <c r="V269" i="16" s="1"/>
  <c r="F269" i="16" s="1"/>
  <c r="H269" i="16" s="1"/>
  <c r="P289" i="16"/>
  <c r="V289" i="16" s="1"/>
  <c r="F289" i="16" s="1"/>
  <c r="P90" i="16"/>
  <c r="V90" i="16" s="1"/>
  <c r="F90" i="16" s="1"/>
  <c r="H90" i="16" s="1"/>
  <c r="P94" i="16"/>
  <c r="V94" i="16" s="1"/>
  <c r="F94" i="16" s="1"/>
  <c r="H94" i="16" s="1"/>
  <c r="P114" i="16"/>
  <c r="V114" i="16" s="1"/>
  <c r="F114" i="16" s="1"/>
  <c r="G114" i="16" s="1"/>
  <c r="BY114" i="6" s="1"/>
  <c r="P182" i="16"/>
  <c r="V182" i="16" s="1"/>
  <c r="F182" i="16" s="1"/>
  <c r="P33" i="16"/>
  <c r="V33" i="16" s="1"/>
  <c r="F33" i="16" s="1"/>
  <c r="G33" i="16" s="1"/>
  <c r="BY33" i="6" s="1"/>
  <c r="P199" i="16"/>
  <c r="V199" i="16" s="1"/>
  <c r="F199" i="16" s="1"/>
  <c r="P219" i="16"/>
  <c r="V219" i="16" s="1"/>
  <c r="F219" i="16" s="1"/>
  <c r="G219" i="16" s="1"/>
  <c r="BY219" i="6" s="1"/>
  <c r="P287" i="16"/>
  <c r="V287" i="16" s="1"/>
  <c r="F287" i="16" s="1"/>
  <c r="G287" i="16" s="1"/>
  <c r="BY287" i="6" s="1"/>
  <c r="J378" i="15"/>
  <c r="I39" i="15"/>
  <c r="AD19" i="16"/>
  <c r="AD23" i="16"/>
  <c r="AD83" i="16"/>
  <c r="AD91" i="16"/>
  <c r="AA91" i="16" s="1"/>
  <c r="Z91" i="16" s="1"/>
  <c r="Y91" i="16" s="1"/>
  <c r="AD103" i="16"/>
  <c r="AD111" i="16"/>
  <c r="AD131" i="16"/>
  <c r="AA131" i="16" s="1"/>
  <c r="Z131" i="16" s="1"/>
  <c r="Y131" i="16" s="1"/>
  <c r="AD135" i="16"/>
  <c r="AA135" i="16" s="1"/>
  <c r="Z135" i="16" s="1"/>
  <c r="Y135" i="16" s="1"/>
  <c r="AD143" i="16"/>
  <c r="AA143" i="16" s="1"/>
  <c r="Z143" i="16" s="1"/>
  <c r="Y143" i="16" s="1"/>
  <c r="AD151" i="16"/>
  <c r="AA151" i="16" s="1"/>
  <c r="Z151" i="16" s="1"/>
  <c r="Y151" i="16" s="1"/>
  <c r="AD159" i="16"/>
  <c r="AA159" i="16" s="1"/>
  <c r="Z159" i="16" s="1"/>
  <c r="Y159" i="16" s="1"/>
  <c r="AD263" i="16"/>
  <c r="AD275" i="16"/>
  <c r="AD287" i="16"/>
  <c r="AA287" i="16" s="1"/>
  <c r="Z287" i="16" s="1"/>
  <c r="Y287" i="16" s="1"/>
  <c r="P79" i="16"/>
  <c r="V79" i="16" s="1"/>
  <c r="F79" i="16" s="1"/>
  <c r="P87" i="16"/>
  <c r="V87" i="16" s="1"/>
  <c r="F87" i="16" s="1"/>
  <c r="P103" i="16"/>
  <c r="V103" i="16" s="1"/>
  <c r="F103" i="16" s="1"/>
  <c r="P119" i="16"/>
  <c r="V119" i="16" s="1"/>
  <c r="F119" i="16" s="1"/>
  <c r="P127" i="16"/>
  <c r="V127" i="16" s="1"/>
  <c r="F127" i="16" s="1"/>
  <c r="P231" i="16"/>
  <c r="V231" i="16" s="1"/>
  <c r="F231" i="16" s="1"/>
  <c r="P243" i="16"/>
  <c r="V243" i="16" s="1"/>
  <c r="F243" i="16" s="1"/>
  <c r="H243" i="16" s="1"/>
  <c r="P271" i="16"/>
  <c r="V271" i="16" s="1"/>
  <c r="F271" i="16" s="1"/>
  <c r="AD128" i="16"/>
  <c r="AA128" i="16" s="1"/>
  <c r="Z128" i="16" s="1"/>
  <c r="Y128" i="16" s="1"/>
  <c r="AD248" i="16"/>
  <c r="AD340" i="16"/>
  <c r="AD344" i="16"/>
  <c r="AD376" i="16"/>
  <c r="AA376" i="16" s="1"/>
  <c r="Z376" i="16" s="1"/>
  <c r="Y376" i="16" s="1"/>
  <c r="P17" i="16"/>
  <c r="V17" i="16" s="1"/>
  <c r="F17" i="16" s="1"/>
  <c r="G17" i="16" s="1"/>
  <c r="BY17" i="6" s="1"/>
  <c r="P98" i="16"/>
  <c r="V98" i="16" s="1"/>
  <c r="F98" i="16" s="1"/>
  <c r="G98" i="16" s="1"/>
  <c r="BY98" i="6" s="1"/>
  <c r="P118" i="16"/>
  <c r="V118" i="16" s="1"/>
  <c r="F118" i="16" s="1"/>
  <c r="P178" i="16"/>
  <c r="V178" i="16" s="1"/>
  <c r="F178" i="16" s="1"/>
  <c r="G178" i="16" s="1"/>
  <c r="BY178" i="6" s="1"/>
  <c r="AD27" i="16"/>
  <c r="AA27" i="16" s="1"/>
  <c r="Z27" i="16" s="1"/>
  <c r="Y27" i="16" s="1"/>
  <c r="AD35" i="16"/>
  <c r="AD75" i="16"/>
  <c r="AD87" i="16"/>
  <c r="AD99" i="16"/>
  <c r="AD139" i="16"/>
  <c r="AD183" i="16"/>
  <c r="AA183" i="16" s="1"/>
  <c r="Z183" i="16" s="1"/>
  <c r="Y183" i="16" s="1"/>
  <c r="AD207" i="16"/>
  <c r="AA207" i="16" s="1"/>
  <c r="Z207" i="16" s="1"/>
  <c r="Y207" i="16" s="1"/>
  <c r="AD247" i="16"/>
  <c r="AA247" i="16" s="1"/>
  <c r="Z247" i="16" s="1"/>
  <c r="Y247" i="16" s="1"/>
  <c r="AD251" i="16"/>
  <c r="AD255" i="16"/>
  <c r="AD327" i="16"/>
  <c r="AD339" i="16"/>
  <c r="P19" i="16"/>
  <c r="V19" i="16" s="1"/>
  <c r="F19" i="16" s="1"/>
  <c r="AA19" i="16" s="1"/>
  <c r="Z19" i="16" s="1"/>
  <c r="Y19" i="16" s="1"/>
  <c r="P25" i="16"/>
  <c r="V25" i="16" s="1"/>
  <c r="F25" i="16" s="1"/>
  <c r="P45" i="16"/>
  <c r="V45" i="16" s="1"/>
  <c r="F45" i="16" s="1"/>
  <c r="P53" i="16"/>
  <c r="V53" i="16" s="1"/>
  <c r="F53" i="16" s="1"/>
  <c r="P69" i="16"/>
  <c r="V69" i="16" s="1"/>
  <c r="F69" i="16" s="1"/>
  <c r="G69" i="16" s="1"/>
  <c r="BY69" i="6" s="1"/>
  <c r="AD29" i="16"/>
  <c r="AD37" i="16"/>
  <c r="AA37" i="16" s="1"/>
  <c r="Z37" i="16" s="1"/>
  <c r="Y37" i="16" s="1"/>
  <c r="AD133" i="16"/>
  <c r="AA133" i="16" s="1"/>
  <c r="Z133" i="16" s="1"/>
  <c r="Y133" i="16" s="1"/>
  <c r="AD185" i="16"/>
  <c r="AA185" i="16" s="1"/>
  <c r="Z185" i="16" s="1"/>
  <c r="Y185" i="16" s="1"/>
  <c r="AD253" i="16"/>
  <c r="J84" i="15"/>
  <c r="I70" i="15"/>
  <c r="H136" i="15"/>
  <c r="J136" i="15" s="1"/>
  <c r="J74" i="15"/>
  <c r="J55" i="15"/>
  <c r="H163" i="16"/>
  <c r="I163" i="16" s="1"/>
  <c r="H179" i="16"/>
  <c r="J179" i="16" s="1"/>
  <c r="H187" i="16"/>
  <c r="I187" i="16" s="1"/>
  <c r="H201" i="16"/>
  <c r="I201" i="16" s="1"/>
  <c r="J35" i="15"/>
  <c r="I76" i="15"/>
  <c r="H76" i="16" s="1"/>
  <c r="H155" i="16"/>
  <c r="I155" i="16" s="1"/>
  <c r="H193" i="16"/>
  <c r="I193" i="16" s="1"/>
  <c r="H211" i="16"/>
  <c r="J211" i="16" s="1"/>
  <c r="AA108" i="15"/>
  <c r="Z108" i="15" s="1"/>
  <c r="Y108" i="15" s="1"/>
  <c r="G136" i="15"/>
  <c r="BX136" i="6" s="1"/>
  <c r="J66" i="15"/>
  <c r="I82" i="15"/>
  <c r="H82" i="16" s="1"/>
  <c r="I82" i="16" s="1"/>
  <c r="I43" i="15"/>
  <c r="J34" i="15"/>
  <c r="AA175" i="16"/>
  <c r="Z175" i="16" s="1"/>
  <c r="Y175" i="16" s="1"/>
  <c r="H131" i="16"/>
  <c r="J131" i="16" s="1"/>
  <c r="J78" i="15"/>
  <c r="H159" i="16"/>
  <c r="I159" i="16" s="1"/>
  <c r="H183" i="16"/>
  <c r="I183" i="16" s="1"/>
  <c r="H108" i="15"/>
  <c r="I108" i="15" s="1"/>
  <c r="H175" i="16"/>
  <c r="J175" i="16" s="1"/>
  <c r="H195" i="16"/>
  <c r="J195" i="16" s="1"/>
  <c r="H203" i="16"/>
  <c r="J203" i="16" s="1"/>
  <c r="F167" i="16"/>
  <c r="AD26" i="16"/>
  <c r="AD34" i="16"/>
  <c r="AA34" i="16" s="1"/>
  <c r="Z34" i="16" s="1"/>
  <c r="Y34" i="16" s="1"/>
  <c r="AD46" i="16"/>
  <c r="AD50" i="16"/>
  <c r="AD154" i="16"/>
  <c r="AD158" i="16"/>
  <c r="AD222" i="16"/>
  <c r="AD258" i="16"/>
  <c r="AA258" i="16" s="1"/>
  <c r="Z258" i="16" s="1"/>
  <c r="Y258" i="16" s="1"/>
  <c r="AD322" i="16"/>
  <c r="AD370" i="16"/>
  <c r="P18" i="16"/>
  <c r="V18" i="16" s="1"/>
  <c r="F18" i="16" s="1"/>
  <c r="G18" i="16" s="1"/>
  <c r="BY18" i="6" s="1"/>
  <c r="AD323" i="16"/>
  <c r="V124" i="16"/>
  <c r="F124" i="16" s="1"/>
  <c r="G120" i="16"/>
  <c r="BY120" i="6" s="1"/>
  <c r="H120" i="16"/>
  <c r="I120" i="16" s="1"/>
  <c r="G80" i="16"/>
  <c r="BY80" i="6" s="1"/>
  <c r="H80" i="16"/>
  <c r="I80" i="16" s="1"/>
  <c r="H100" i="16"/>
  <c r="J100" i="16" s="1"/>
  <c r="H104" i="16"/>
  <c r="J104" i="16" s="1"/>
  <c r="H110" i="16"/>
  <c r="J110" i="16" s="1"/>
  <c r="H122" i="16"/>
  <c r="J122" i="16" s="1"/>
  <c r="H126" i="16"/>
  <c r="I126" i="16" s="1"/>
  <c r="P38" i="16"/>
  <c r="V38" i="16" s="1"/>
  <c r="F38" i="16" s="1"/>
  <c r="G38" i="16" s="1"/>
  <c r="BY38" i="6" s="1"/>
  <c r="P54" i="16"/>
  <c r="V54" i="16" s="1"/>
  <c r="F54" i="16" s="1"/>
  <c r="G54" i="16" s="1"/>
  <c r="BY54" i="6" s="1"/>
  <c r="H41" i="16"/>
  <c r="I41" i="16" s="1"/>
  <c r="P40" i="16"/>
  <c r="V40" i="16" s="1"/>
  <c r="F40" i="16" s="1"/>
  <c r="P56" i="16"/>
  <c r="V56" i="16" s="1"/>
  <c r="F56" i="16" s="1"/>
  <c r="G56" i="16" s="1"/>
  <c r="BY56" i="6" s="1"/>
  <c r="H77" i="16"/>
  <c r="J77" i="16" s="1"/>
  <c r="H102" i="16"/>
  <c r="I102" i="16" s="1"/>
  <c r="H49" i="16"/>
  <c r="J49" i="16" s="1"/>
  <c r="H116" i="16"/>
  <c r="J116" i="16" s="1"/>
  <c r="AD61" i="16"/>
  <c r="AA61" i="16" s="1"/>
  <c r="Z61" i="16" s="1"/>
  <c r="Y61" i="16" s="1"/>
  <c r="AD65" i="16"/>
  <c r="AA65" i="16" s="1"/>
  <c r="Z65" i="16" s="1"/>
  <c r="Y65" i="16" s="1"/>
  <c r="AD93" i="16"/>
  <c r="AD217" i="16"/>
  <c r="AD237" i="16"/>
  <c r="AD301" i="16"/>
  <c r="AD305" i="16"/>
  <c r="AA305" i="16" s="1"/>
  <c r="Z305" i="16" s="1"/>
  <c r="Y305" i="16" s="1"/>
  <c r="P36" i="16"/>
  <c r="V36" i="16" s="1"/>
  <c r="F36" i="16" s="1"/>
  <c r="G36" i="16" s="1"/>
  <c r="BY36" i="6" s="1"/>
  <c r="P30" i="16"/>
  <c r="V30" i="16" s="1"/>
  <c r="F30" i="16" s="1"/>
  <c r="P42" i="16"/>
  <c r="V42" i="16" s="1"/>
  <c r="F42" i="16" s="1"/>
  <c r="P58" i="16"/>
  <c r="V58" i="16" s="1"/>
  <c r="F58" i="16" s="1"/>
  <c r="G58" i="16" s="1"/>
  <c r="BY58" i="6" s="1"/>
  <c r="P70" i="16"/>
  <c r="V70" i="16" s="1"/>
  <c r="F70" i="16" s="1"/>
  <c r="P50" i="16"/>
  <c r="V50" i="16" s="1"/>
  <c r="F50" i="16" s="1"/>
  <c r="P62" i="16"/>
  <c r="V62" i="16" s="1"/>
  <c r="F62" i="16" s="1"/>
  <c r="G62" i="16" s="1"/>
  <c r="BY62" i="6" s="1"/>
  <c r="AD49" i="16"/>
  <c r="AA49" i="16" s="1"/>
  <c r="Z49" i="16" s="1"/>
  <c r="Y49" i="16" s="1"/>
  <c r="AD53" i="16"/>
  <c r="AD73" i="16"/>
  <c r="AD109" i="16"/>
  <c r="AA109" i="16" s="1"/>
  <c r="Z109" i="16" s="1"/>
  <c r="Y109" i="16" s="1"/>
  <c r="AD165" i="16"/>
  <c r="AA165" i="16" s="1"/>
  <c r="Z165" i="16" s="1"/>
  <c r="Y165" i="16" s="1"/>
  <c r="AD17" i="16"/>
  <c r="AD56" i="16"/>
  <c r="AD164" i="16"/>
  <c r="AD192" i="16"/>
  <c r="D44" i="7"/>
  <c r="F29" i="16"/>
  <c r="P16" i="16"/>
  <c r="V16" i="16" s="1"/>
  <c r="F16" i="16" s="1"/>
  <c r="G16" i="16" s="1"/>
  <c r="BY16" i="6" s="1"/>
  <c r="AD16" i="16"/>
  <c r="F321" i="16"/>
  <c r="AD18" i="16"/>
  <c r="AD21" i="16"/>
  <c r="AD33" i="16"/>
  <c r="AD41" i="16"/>
  <c r="AA41" i="16" s="1"/>
  <c r="Z41" i="16" s="1"/>
  <c r="Y41" i="16" s="1"/>
  <c r="AD69" i="16"/>
  <c r="AD77" i="16"/>
  <c r="AA77" i="16" s="1"/>
  <c r="Z77" i="16" s="1"/>
  <c r="Y77" i="16" s="1"/>
  <c r="AD153" i="16"/>
  <c r="AA153" i="16" s="1"/>
  <c r="Z153" i="16" s="1"/>
  <c r="Y153" i="16" s="1"/>
  <c r="AD225" i="16"/>
  <c r="AD229" i="16"/>
  <c r="AD20" i="16"/>
  <c r="AD44" i="16"/>
  <c r="AA44" i="16" s="1"/>
  <c r="Z44" i="16" s="1"/>
  <c r="Y44" i="16" s="1"/>
  <c r="AD48" i="16"/>
  <c r="AD54" i="16"/>
  <c r="AD88" i="16"/>
  <c r="AD102" i="16"/>
  <c r="AA102" i="16" s="1"/>
  <c r="Z102" i="16" s="1"/>
  <c r="Y102" i="16" s="1"/>
  <c r="AD114" i="16"/>
  <c r="AD120" i="16"/>
  <c r="AA120" i="16" s="1"/>
  <c r="Z120" i="16" s="1"/>
  <c r="Y120" i="16" s="1"/>
  <c r="AD146" i="16"/>
  <c r="AD156" i="16"/>
  <c r="AD200" i="16"/>
  <c r="AA200" i="16" s="1"/>
  <c r="Z200" i="16" s="1"/>
  <c r="Y200" i="16" s="1"/>
  <c r="AD220" i="16"/>
  <c r="AD242" i="16"/>
  <c r="AA242" i="16" s="1"/>
  <c r="Z242" i="16" s="1"/>
  <c r="Y242" i="16" s="1"/>
  <c r="AD254" i="16"/>
  <c r="AD286" i="16"/>
  <c r="AD304" i="16"/>
  <c r="AA304" i="16" s="1"/>
  <c r="Z304" i="16" s="1"/>
  <c r="Y304" i="16" s="1"/>
  <c r="AD346" i="16"/>
  <c r="AD380" i="16"/>
  <c r="AD333" i="16"/>
  <c r="F379" i="1"/>
  <c r="V382" i="1"/>
  <c r="V383" i="1"/>
  <c r="V381" i="1"/>
  <c r="M61" i="19"/>
  <c r="AD24" i="16"/>
  <c r="AA24" i="16" s="1"/>
  <c r="Z24" i="16" s="1"/>
  <c r="Y24" i="16" s="1"/>
  <c r="AD60" i="16"/>
  <c r="AD68" i="16"/>
  <c r="AA68" i="16" s="1"/>
  <c r="Z68" i="16" s="1"/>
  <c r="Y68" i="16" s="1"/>
  <c r="AD84" i="16"/>
  <c r="AD96" i="16"/>
  <c r="AA96" i="16" s="1"/>
  <c r="Z96" i="16" s="1"/>
  <c r="Y96" i="16" s="1"/>
  <c r="AD110" i="16"/>
  <c r="AA110" i="16" s="1"/>
  <c r="Z110" i="16" s="1"/>
  <c r="Y110" i="16" s="1"/>
  <c r="AD140" i="16"/>
  <c r="AA140" i="16" s="1"/>
  <c r="Z140" i="16" s="1"/>
  <c r="Y140" i="16" s="1"/>
  <c r="AD168" i="16"/>
  <c r="AD206" i="16"/>
  <c r="AD244" i="16"/>
  <c r="AD250" i="16"/>
  <c r="AD256" i="16"/>
  <c r="AD270" i="16"/>
  <c r="AD274" i="16"/>
  <c r="AD306" i="16"/>
  <c r="AD328" i="16"/>
  <c r="AA328" i="16" s="1"/>
  <c r="Z328" i="16" s="1"/>
  <c r="Y328" i="16" s="1"/>
  <c r="AD358" i="16"/>
  <c r="AA358" i="16" s="1"/>
  <c r="Z358" i="16" s="1"/>
  <c r="Y358" i="16" s="1"/>
  <c r="AD341" i="16"/>
  <c r="AD367" i="16"/>
  <c r="AD373" i="16"/>
  <c r="AK8" i="16"/>
  <c r="E9" i="16"/>
  <c r="E11" i="16" s="1"/>
  <c r="AJ10" i="16"/>
  <c r="AJ12" i="16" s="1"/>
  <c r="AJ13" i="16" s="1"/>
  <c r="E381" i="16"/>
  <c r="E382" i="16"/>
  <c r="E383" i="16"/>
  <c r="G32" i="16"/>
  <c r="BY32" i="6" s="1"/>
  <c r="G44" i="16"/>
  <c r="BY44" i="6" s="1"/>
  <c r="V48" i="16"/>
  <c r="F48" i="16" s="1"/>
  <c r="D45" i="7"/>
  <c r="V60" i="16"/>
  <c r="F60" i="16" s="1"/>
  <c r="G72" i="16"/>
  <c r="BY72" i="6" s="1"/>
  <c r="H72" i="16"/>
  <c r="G76" i="16"/>
  <c r="BY76" i="6" s="1"/>
  <c r="G86" i="16"/>
  <c r="BY86" i="6" s="1"/>
  <c r="H86" i="16"/>
  <c r="G140" i="16"/>
  <c r="BY140" i="6" s="1"/>
  <c r="G200" i="16"/>
  <c r="BY200" i="6" s="1"/>
  <c r="H200" i="16"/>
  <c r="D50" i="7"/>
  <c r="V210" i="16"/>
  <c r="F210" i="16" s="1"/>
  <c r="V266" i="16"/>
  <c r="G284" i="16"/>
  <c r="BY284" i="6" s="1"/>
  <c r="G358" i="16"/>
  <c r="BY358" i="6" s="1"/>
  <c r="H364" i="16"/>
  <c r="J133" i="16"/>
  <c r="G59" i="16"/>
  <c r="BY59" i="6" s="1"/>
  <c r="H59" i="16"/>
  <c r="G65" i="16"/>
  <c r="BY65" i="6" s="1"/>
  <c r="H65" i="16"/>
  <c r="G101" i="16"/>
  <c r="BY101" i="6" s="1"/>
  <c r="V111" i="16"/>
  <c r="F111" i="16" s="1"/>
  <c r="G125" i="16"/>
  <c r="BY125" i="6" s="1"/>
  <c r="H125" i="16"/>
  <c r="V139" i="16"/>
  <c r="F139" i="16" s="1"/>
  <c r="G143" i="16"/>
  <c r="BY143" i="6" s="1"/>
  <c r="H143" i="16"/>
  <c r="H161" i="16"/>
  <c r="G161" i="16"/>
  <c r="BY161" i="6" s="1"/>
  <c r="V173" i="16"/>
  <c r="F173" i="16" s="1"/>
  <c r="G205" i="16"/>
  <c r="BY205" i="6" s="1"/>
  <c r="H205" i="16"/>
  <c r="H247" i="16"/>
  <c r="G247" i="16"/>
  <c r="BY247" i="6" s="1"/>
  <c r="H293" i="16"/>
  <c r="G293" i="16"/>
  <c r="BY293" i="6" s="1"/>
  <c r="V299" i="16"/>
  <c r="F299" i="16" s="1"/>
  <c r="G305" i="16"/>
  <c r="BY305" i="6" s="1"/>
  <c r="H305" i="16"/>
  <c r="AA309" i="16"/>
  <c r="Z309" i="16" s="1"/>
  <c r="Y309" i="16" s="1"/>
  <c r="G309" i="16"/>
  <c r="BY309" i="6" s="1"/>
  <c r="H309" i="16"/>
  <c r="V341" i="16"/>
  <c r="F341" i="16" s="1"/>
  <c r="H359" i="16"/>
  <c r="G359" i="16"/>
  <c r="BY359" i="6" s="1"/>
  <c r="H34" i="16"/>
  <c r="G34" i="16"/>
  <c r="BY34" i="6" s="1"/>
  <c r="V46" i="16"/>
  <c r="G66" i="16"/>
  <c r="BY66" i="6" s="1"/>
  <c r="H66" i="16"/>
  <c r="V74" i="16"/>
  <c r="F74" i="16" s="1"/>
  <c r="V78" i="16"/>
  <c r="F78" i="16" s="1"/>
  <c r="G96" i="16"/>
  <c r="BY96" i="6" s="1"/>
  <c r="H96" i="16"/>
  <c r="G128" i="16"/>
  <c r="BY128" i="6" s="1"/>
  <c r="H128" i="16"/>
  <c r="G198" i="16"/>
  <c r="BY198" i="6" s="1"/>
  <c r="H198" i="16"/>
  <c r="G208" i="16"/>
  <c r="BY208" i="6" s="1"/>
  <c r="H208" i="16"/>
  <c r="V212" i="16"/>
  <c r="F212" i="16" s="1"/>
  <c r="H238" i="16"/>
  <c r="G238" i="16"/>
  <c r="BY238" i="6" s="1"/>
  <c r="H300" i="16"/>
  <c r="G362" i="16"/>
  <c r="BY362" i="6" s="1"/>
  <c r="H368" i="16"/>
  <c r="J165" i="16"/>
  <c r="G51" i="16"/>
  <c r="BY51" i="6" s="1"/>
  <c r="V57" i="16"/>
  <c r="F57" i="16" s="1"/>
  <c r="G81" i="16"/>
  <c r="BY81" i="6" s="1"/>
  <c r="H81" i="16"/>
  <c r="G135" i="16"/>
  <c r="BY135" i="6" s="1"/>
  <c r="H135" i="16"/>
  <c r="G141" i="16"/>
  <c r="BY141" i="6" s="1"/>
  <c r="H141" i="16"/>
  <c r="G169" i="16"/>
  <c r="BY169" i="6" s="1"/>
  <c r="H191" i="16"/>
  <c r="G191" i="16"/>
  <c r="BY191" i="6" s="1"/>
  <c r="G209" i="16"/>
  <c r="BY209" i="6" s="1"/>
  <c r="H209" i="16"/>
  <c r="G213" i="16"/>
  <c r="BY213" i="6" s="1"/>
  <c r="H213" i="16"/>
  <c r="V233" i="16"/>
  <c r="F233" i="16" s="1"/>
  <c r="G257" i="16"/>
  <c r="BY257" i="6" s="1"/>
  <c r="H257" i="16"/>
  <c r="V275" i="16"/>
  <c r="F275" i="16" s="1"/>
  <c r="G297" i="16"/>
  <c r="BY297" i="6" s="1"/>
  <c r="G307" i="16"/>
  <c r="BY307" i="6" s="1"/>
  <c r="H307" i="16"/>
  <c r="G325" i="16"/>
  <c r="BY325" i="6" s="1"/>
  <c r="H325" i="16"/>
  <c r="G337" i="16"/>
  <c r="BY337" i="6" s="1"/>
  <c r="H337" i="16"/>
  <c r="J64" i="15"/>
  <c r="I64" i="15"/>
  <c r="H64" i="16" s="1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G24" i="16"/>
  <c r="BY24" i="6" s="1"/>
  <c r="H68" i="16"/>
  <c r="G68" i="16"/>
  <c r="BY68" i="6" s="1"/>
  <c r="H112" i="16"/>
  <c r="G224" i="16"/>
  <c r="BY224" i="6" s="1"/>
  <c r="G230" i="16"/>
  <c r="BY230" i="6" s="1"/>
  <c r="H230" i="16"/>
  <c r="G242" i="16"/>
  <c r="BY242" i="6" s="1"/>
  <c r="H242" i="16"/>
  <c r="G262" i="16"/>
  <c r="BY262" i="6" s="1"/>
  <c r="H262" i="16"/>
  <c r="H278" i="16"/>
  <c r="G278" i="16"/>
  <c r="BY278" i="6" s="1"/>
  <c r="V296" i="16"/>
  <c r="F296" i="16" s="1"/>
  <c r="V310" i="16"/>
  <c r="F310" i="16" s="1"/>
  <c r="G316" i="16"/>
  <c r="BY316" i="6" s="1"/>
  <c r="G328" i="16"/>
  <c r="BY328" i="6" s="1"/>
  <c r="H328" i="16"/>
  <c r="H376" i="16"/>
  <c r="G376" i="16"/>
  <c r="BY376" i="6" s="1"/>
  <c r="AF381" i="15"/>
  <c r="AD17" i="15"/>
  <c r="AA17" i="15" s="1"/>
  <c r="Z17" i="15" s="1"/>
  <c r="Y17" i="15" s="1"/>
  <c r="K380" i="22"/>
  <c r="L380" i="22"/>
  <c r="AJ380" i="22"/>
  <c r="AB380" i="22"/>
  <c r="X380" i="22"/>
  <c r="AK380" i="22"/>
  <c r="O380" i="22"/>
  <c r="AC380" i="22"/>
  <c r="V31" i="16"/>
  <c r="F31" i="16" s="1"/>
  <c r="H67" i="16"/>
  <c r="H71" i="16"/>
  <c r="G71" i="16"/>
  <c r="BY71" i="6" s="1"/>
  <c r="V75" i="16"/>
  <c r="V97" i="16"/>
  <c r="F97" i="16" s="1"/>
  <c r="G137" i="16"/>
  <c r="BY137" i="6" s="1"/>
  <c r="H137" i="16"/>
  <c r="G147" i="16"/>
  <c r="BY147" i="6" s="1"/>
  <c r="H147" i="16"/>
  <c r="G151" i="16"/>
  <c r="BY151" i="6" s="1"/>
  <c r="H151" i="16"/>
  <c r="G207" i="16"/>
  <c r="BY207" i="6" s="1"/>
  <c r="H207" i="16"/>
  <c r="G315" i="16"/>
  <c r="BY315" i="6" s="1"/>
  <c r="H315" i="16"/>
  <c r="D54" i="7"/>
  <c r="V333" i="16"/>
  <c r="F333" i="16" s="1"/>
  <c r="G347" i="16"/>
  <c r="BY347" i="6" s="1"/>
  <c r="H347" i="16"/>
  <c r="D55" i="7"/>
  <c r="V363" i="16"/>
  <c r="F363" i="16" s="1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H32" i="16" s="1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V28" i="16"/>
  <c r="F28" i="16" s="1"/>
  <c r="V52" i="16"/>
  <c r="F52" i="16" s="1"/>
  <c r="G64" i="16"/>
  <c r="BY64" i="6" s="1"/>
  <c r="V88" i="16"/>
  <c r="F88" i="16" s="1"/>
  <c r="H106" i="16"/>
  <c r="G106" i="16"/>
  <c r="BY106" i="6" s="1"/>
  <c r="V184" i="16"/>
  <c r="F184" i="16" s="1"/>
  <c r="V222" i="16"/>
  <c r="F222" i="16" s="1"/>
  <c r="G226" i="16"/>
  <c r="BY226" i="6" s="1"/>
  <c r="H226" i="16"/>
  <c r="V228" i="16"/>
  <c r="G260" i="16"/>
  <c r="BY260" i="6" s="1"/>
  <c r="H260" i="16"/>
  <c r="V274" i="16"/>
  <c r="F274" i="16" s="1"/>
  <c r="G294" i="16"/>
  <c r="BY294" i="6" s="1"/>
  <c r="H294" i="16"/>
  <c r="H304" i="16"/>
  <c r="V308" i="16"/>
  <c r="F308" i="16" s="1"/>
  <c r="H318" i="16"/>
  <c r="G318" i="16"/>
  <c r="BY318" i="6" s="1"/>
  <c r="V322" i="16"/>
  <c r="F322" i="16" s="1"/>
  <c r="H326" i="16"/>
  <c r="G326" i="16"/>
  <c r="BY326" i="6" s="1"/>
  <c r="V342" i="16"/>
  <c r="F342" i="16" s="1"/>
  <c r="V372" i="16"/>
  <c r="F372" i="16" s="1"/>
  <c r="V374" i="16"/>
  <c r="F374" i="16" s="1"/>
  <c r="V378" i="16"/>
  <c r="F378" i="16" s="1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G61" i="16"/>
  <c r="BY61" i="6" s="1"/>
  <c r="H61" i="16"/>
  <c r="H89" i="16"/>
  <c r="V93" i="16"/>
  <c r="F93" i="16" s="1"/>
  <c r="G109" i="16"/>
  <c r="BY109" i="6" s="1"/>
  <c r="G121" i="16"/>
  <c r="BY121" i="6" s="1"/>
  <c r="D48" i="7"/>
  <c r="V149" i="16"/>
  <c r="F149" i="16" s="1"/>
  <c r="H153" i="16"/>
  <c r="G153" i="16"/>
  <c r="BY153" i="6" s="1"/>
  <c r="G171" i="16"/>
  <c r="BY171" i="6" s="1"/>
  <c r="G185" i="16"/>
  <c r="BY185" i="6" s="1"/>
  <c r="H185" i="16"/>
  <c r="H313" i="16"/>
  <c r="G313" i="16"/>
  <c r="BY313" i="6" s="1"/>
  <c r="G355" i="16"/>
  <c r="BY355" i="6" s="1"/>
  <c r="H355" i="16"/>
  <c r="H369" i="16"/>
  <c r="G369" i="16"/>
  <c r="BY369" i="6" s="1"/>
  <c r="AF382" i="15"/>
  <c r="AF383" i="15"/>
  <c r="AD15" i="15"/>
  <c r="J288" i="15"/>
  <c r="I288" i="15"/>
  <c r="J30" i="15"/>
  <c r="I30" i="15"/>
  <c r="J18" i="15"/>
  <c r="I18" i="15"/>
  <c r="J362" i="15"/>
  <c r="I362" i="15"/>
  <c r="H362" i="16" s="1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Q10" i="17"/>
  <c r="Q33" i="17" s="1"/>
  <c r="J101" i="15"/>
  <c r="I101" i="15"/>
  <c r="H101" i="16" s="1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H24" i="16" s="1"/>
  <c r="J24" i="15"/>
  <c r="I16" i="15"/>
  <c r="J16" i="15"/>
  <c r="J44" i="15"/>
  <c r="I44" i="15"/>
  <c r="H44" i="16" s="1"/>
  <c r="J46" i="15"/>
  <c r="I46" i="15"/>
  <c r="J58" i="15"/>
  <c r="I58" i="15"/>
  <c r="I23" i="15"/>
  <c r="J23" i="15"/>
  <c r="J272" i="15"/>
  <c r="I272" i="15"/>
  <c r="I297" i="15"/>
  <c r="H297" i="16" s="1"/>
  <c r="J297" i="15"/>
  <c r="I298" i="15"/>
  <c r="J298" i="15"/>
  <c r="J40" i="15"/>
  <c r="I40" i="15"/>
  <c r="AD302" i="16" l="1"/>
  <c r="AD232" i="16"/>
  <c r="AD196" i="16"/>
  <c r="AD144" i="16"/>
  <c r="AD116" i="16"/>
  <c r="AA116" i="16" s="1"/>
  <c r="Z116" i="16" s="1"/>
  <c r="Y116" i="16" s="1"/>
  <c r="AD345" i="16"/>
  <c r="AD318" i="16"/>
  <c r="AA318" i="16" s="1"/>
  <c r="Z318" i="16" s="1"/>
  <c r="Y318" i="16" s="1"/>
  <c r="AD298" i="16"/>
  <c r="AD224" i="16"/>
  <c r="AA224" i="16" s="1"/>
  <c r="Z224" i="16" s="1"/>
  <c r="Y224" i="16" s="1"/>
  <c r="AD212" i="16"/>
  <c r="AD188" i="16"/>
  <c r="AA188" i="16" s="1"/>
  <c r="Z188" i="16" s="1"/>
  <c r="Y188" i="16" s="1"/>
  <c r="AD94" i="16"/>
  <c r="AA94" i="16" s="1"/>
  <c r="Z94" i="16" s="1"/>
  <c r="Y94" i="16" s="1"/>
  <c r="AD74" i="16"/>
  <c r="AD30" i="16"/>
  <c r="AA30" i="16" s="1"/>
  <c r="Z30" i="16" s="1"/>
  <c r="Y30" i="16" s="1"/>
  <c r="AD221" i="16"/>
  <c r="AD105" i="16"/>
  <c r="AA105" i="16" s="1"/>
  <c r="Z105" i="16" s="1"/>
  <c r="Y105" i="16" s="1"/>
  <c r="AD260" i="16"/>
  <c r="AA260" i="16" s="1"/>
  <c r="Z260" i="16" s="1"/>
  <c r="Y260" i="16" s="1"/>
  <c r="AD176" i="16"/>
  <c r="AD132" i="16"/>
  <c r="AD233" i="16"/>
  <c r="AD205" i="16"/>
  <c r="AA205" i="16" s="1"/>
  <c r="Z205" i="16" s="1"/>
  <c r="Y205" i="16" s="1"/>
  <c r="AD366" i="16"/>
  <c r="AD249" i="16"/>
  <c r="AD173" i="16"/>
  <c r="AD125" i="16"/>
  <c r="AA125" i="16" s="1"/>
  <c r="Z125" i="16" s="1"/>
  <c r="Y125" i="16" s="1"/>
  <c r="AD363" i="16"/>
  <c r="AD331" i="16"/>
  <c r="AD203" i="16"/>
  <c r="AA203" i="16" s="1"/>
  <c r="Z203" i="16" s="1"/>
  <c r="Y203" i="16" s="1"/>
  <c r="AD147" i="16"/>
  <c r="AA147" i="16" s="1"/>
  <c r="Z147" i="16" s="1"/>
  <c r="Y147" i="16" s="1"/>
  <c r="AD115" i="16"/>
  <c r="AD184" i="16"/>
  <c r="AD267" i="16"/>
  <c r="AD259" i="16"/>
  <c r="AD123" i="16"/>
  <c r="AA123" i="16" s="1"/>
  <c r="Z123" i="16" s="1"/>
  <c r="Y123" i="16" s="1"/>
  <c r="AD107" i="16"/>
  <c r="AD329" i="16"/>
  <c r="P138" i="16"/>
  <c r="V138" i="16" s="1"/>
  <c r="F138" i="16" s="1"/>
  <c r="G138" i="16" s="1"/>
  <c r="BY138" i="6" s="1"/>
  <c r="AD90" i="16"/>
  <c r="H117" i="16"/>
  <c r="P26" i="16"/>
  <c r="V26" i="16" s="1"/>
  <c r="F26" i="16" s="1"/>
  <c r="G26" i="16" s="1"/>
  <c r="BY26" i="6" s="1"/>
  <c r="P22" i="16"/>
  <c r="V22" i="16" s="1"/>
  <c r="F22" i="16" s="1"/>
  <c r="G22" i="16" s="1"/>
  <c r="BY22" i="6" s="1"/>
  <c r="P20" i="16"/>
  <c r="V20" i="16" s="1"/>
  <c r="F20" i="16" s="1"/>
  <c r="G20" i="16" s="1"/>
  <c r="BY20" i="6" s="1"/>
  <c r="P215" i="16"/>
  <c r="V215" i="16" s="1"/>
  <c r="F215" i="16" s="1"/>
  <c r="P259" i="16"/>
  <c r="V259" i="16" s="1"/>
  <c r="F259" i="16" s="1"/>
  <c r="P283" i="16"/>
  <c r="V283" i="16" s="1"/>
  <c r="F283" i="16" s="1"/>
  <c r="P160" i="16"/>
  <c r="V160" i="16" s="1"/>
  <c r="F160" i="16" s="1"/>
  <c r="P227" i="16"/>
  <c r="V227" i="16" s="1"/>
  <c r="F227" i="16" s="1"/>
  <c r="P267" i="16"/>
  <c r="V267" i="16" s="1"/>
  <c r="F267" i="16" s="1"/>
  <c r="AA267" i="16" s="1"/>
  <c r="Z267" i="16" s="1"/>
  <c r="Y267" i="16" s="1"/>
  <c r="P136" i="16"/>
  <c r="P168" i="16"/>
  <c r="V168" i="16" s="1"/>
  <c r="F168" i="16" s="1"/>
  <c r="AG265" i="16"/>
  <c r="AF265" i="16" s="1"/>
  <c r="AD265" i="16" s="1"/>
  <c r="S202" i="16"/>
  <c r="R202" i="16" s="1"/>
  <c r="P202" i="16" s="1"/>
  <c r="V202" i="16" s="1"/>
  <c r="F202" i="16" s="1"/>
  <c r="AG219" i="16"/>
  <c r="AF219" i="16" s="1"/>
  <c r="AD219" i="16" s="1"/>
  <c r="AA219" i="16" s="1"/>
  <c r="Z219" i="16" s="1"/>
  <c r="Y219" i="16" s="1"/>
  <c r="S194" i="16"/>
  <c r="R194" i="16" s="1"/>
  <c r="P194" i="16" s="1"/>
  <c r="V194" i="16" s="1"/>
  <c r="F194" i="16" s="1"/>
  <c r="AH379" i="16"/>
  <c r="AI12" i="17"/>
  <c r="AH15" i="16"/>
  <c r="AI383" i="16"/>
  <c r="AI381" i="16"/>
  <c r="AI382" i="16"/>
  <c r="S286" i="16"/>
  <c r="R286" i="16" s="1"/>
  <c r="P286" i="16"/>
  <c r="V286" i="16" s="1"/>
  <c r="F286" i="16" s="1"/>
  <c r="S254" i="16"/>
  <c r="R254" i="16" s="1"/>
  <c r="P254" i="16"/>
  <c r="V254" i="16" s="1"/>
  <c r="F254" i="16" s="1"/>
  <c r="AA254" i="16" s="1"/>
  <c r="Z254" i="16" s="1"/>
  <c r="Y254" i="16" s="1"/>
  <c r="S246" i="16"/>
  <c r="R246" i="16" s="1"/>
  <c r="P246" i="16"/>
  <c r="V246" i="16" s="1"/>
  <c r="F246" i="16" s="1"/>
  <c r="AA246" i="16" s="1"/>
  <c r="Z246" i="16" s="1"/>
  <c r="Y246" i="16" s="1"/>
  <c r="S214" i="16"/>
  <c r="R214" i="16" s="1"/>
  <c r="P214" i="16"/>
  <c r="V214" i="16" s="1"/>
  <c r="F214" i="16" s="1"/>
  <c r="S377" i="16"/>
  <c r="R377" i="16" s="1"/>
  <c r="P377" i="16"/>
  <c r="V377" i="16" s="1"/>
  <c r="F377" i="16" s="1"/>
  <c r="S373" i="16"/>
  <c r="R373" i="16" s="1"/>
  <c r="P373" i="16"/>
  <c r="V373" i="16" s="1"/>
  <c r="F373" i="16" s="1"/>
  <c r="S365" i="16"/>
  <c r="R365" i="16" s="1"/>
  <c r="P365" i="16"/>
  <c r="V365" i="16" s="1"/>
  <c r="F365" i="16" s="1"/>
  <c r="S361" i="16"/>
  <c r="R361" i="16" s="1"/>
  <c r="P361" i="16"/>
  <c r="V361" i="16" s="1"/>
  <c r="F361" i="16" s="1"/>
  <c r="S357" i="16"/>
  <c r="R357" i="16" s="1"/>
  <c r="P357" i="16"/>
  <c r="V357" i="16" s="1"/>
  <c r="F357" i="16" s="1"/>
  <c r="S353" i="16"/>
  <c r="R353" i="16" s="1"/>
  <c r="P353" i="16"/>
  <c r="V353" i="16" s="1"/>
  <c r="F353" i="16" s="1"/>
  <c r="S349" i="16"/>
  <c r="R349" i="16" s="1"/>
  <c r="P349" i="16"/>
  <c r="V349" i="16" s="1"/>
  <c r="F349" i="16" s="1"/>
  <c r="S345" i="16"/>
  <c r="R345" i="16" s="1"/>
  <c r="P345" i="16"/>
  <c r="V345" i="16" s="1"/>
  <c r="F345" i="16" s="1"/>
  <c r="AA345" i="16" s="1"/>
  <c r="Z345" i="16" s="1"/>
  <c r="Y345" i="16" s="1"/>
  <c r="S329" i="16"/>
  <c r="R329" i="16" s="1"/>
  <c r="P329" i="16"/>
  <c r="V329" i="16" s="1"/>
  <c r="F329" i="16" s="1"/>
  <c r="S317" i="16"/>
  <c r="R317" i="16" s="1"/>
  <c r="P317" i="16"/>
  <c r="V317" i="16" s="1"/>
  <c r="F317" i="16" s="1"/>
  <c r="S301" i="16"/>
  <c r="R301" i="16" s="1"/>
  <c r="P301" i="16"/>
  <c r="V301" i="16" s="1"/>
  <c r="F301" i="16" s="1"/>
  <c r="AA301" i="16" s="1"/>
  <c r="Z301" i="16" s="1"/>
  <c r="Y301" i="16" s="1"/>
  <c r="S285" i="16"/>
  <c r="R285" i="16" s="1"/>
  <c r="P285" i="16"/>
  <c r="V285" i="16" s="1"/>
  <c r="F285" i="16" s="1"/>
  <c r="S261" i="16"/>
  <c r="R261" i="16" s="1"/>
  <c r="P261" i="16"/>
  <c r="V261" i="16" s="1"/>
  <c r="F261" i="16" s="1"/>
  <c r="S253" i="16"/>
  <c r="R253" i="16" s="1"/>
  <c r="P253" i="16"/>
  <c r="V253" i="16" s="1"/>
  <c r="F253" i="16" s="1"/>
  <c r="AA253" i="16" s="1"/>
  <c r="Z253" i="16" s="1"/>
  <c r="Y253" i="16" s="1"/>
  <c r="S249" i="16"/>
  <c r="R249" i="16" s="1"/>
  <c r="P249" i="16"/>
  <c r="V249" i="16" s="1"/>
  <c r="F249" i="16" s="1"/>
  <c r="S221" i="16"/>
  <c r="R221" i="16" s="1"/>
  <c r="P221" i="16"/>
  <c r="V221" i="16" s="1"/>
  <c r="F221" i="16" s="1"/>
  <c r="S55" i="16"/>
  <c r="R55" i="16" s="1"/>
  <c r="P55" i="16"/>
  <c r="V55" i="16" s="1"/>
  <c r="F55" i="16" s="1"/>
  <c r="S39" i="16"/>
  <c r="R39" i="16" s="1"/>
  <c r="P39" i="16"/>
  <c r="V39" i="16" s="1"/>
  <c r="F39" i="16" s="1"/>
  <c r="S23" i="16"/>
  <c r="R23" i="16" s="1"/>
  <c r="P23" i="16"/>
  <c r="V23" i="16" s="1"/>
  <c r="F23" i="16" s="1"/>
  <c r="G23" i="16" s="1"/>
  <c r="BY23" i="6" s="1"/>
  <c r="P206" i="16"/>
  <c r="V206" i="16" s="1"/>
  <c r="F206" i="16" s="1"/>
  <c r="AA206" i="16" s="1"/>
  <c r="Z206" i="16" s="1"/>
  <c r="Y206" i="16" s="1"/>
  <c r="P232" i="16"/>
  <c r="V232" i="16" s="1"/>
  <c r="F232" i="16" s="1"/>
  <c r="AA232" i="16" s="1"/>
  <c r="Z232" i="16" s="1"/>
  <c r="Y232" i="16" s="1"/>
  <c r="P248" i="16"/>
  <c r="V248" i="16" s="1"/>
  <c r="F248" i="16" s="1"/>
  <c r="P264" i="16"/>
  <c r="V264" i="16" s="1"/>
  <c r="F264" i="16" s="1"/>
  <c r="P280" i="16"/>
  <c r="V280" i="16" s="1"/>
  <c r="F280" i="16" s="1"/>
  <c r="P298" i="16"/>
  <c r="V298" i="16" s="1"/>
  <c r="F298" i="16" s="1"/>
  <c r="G298" i="16" s="1"/>
  <c r="BY298" i="6" s="1"/>
  <c r="P306" i="16"/>
  <c r="V306" i="16" s="1"/>
  <c r="F306" i="16" s="1"/>
  <c r="P330" i="16"/>
  <c r="V330" i="16" s="1"/>
  <c r="F330" i="16" s="1"/>
  <c r="P338" i="16"/>
  <c r="V338" i="16" s="1"/>
  <c r="F338" i="16" s="1"/>
  <c r="AA338" i="16" s="1"/>
  <c r="Z338" i="16" s="1"/>
  <c r="Y338" i="16" s="1"/>
  <c r="P350" i="16"/>
  <c r="P366" i="16"/>
  <c r="V366" i="16" s="1"/>
  <c r="F366" i="16" s="1"/>
  <c r="P43" i="16"/>
  <c r="V43" i="16" s="1"/>
  <c r="F43" i="16" s="1"/>
  <c r="G43" i="16" s="1"/>
  <c r="BY43" i="6" s="1"/>
  <c r="P35" i="16"/>
  <c r="V35" i="16" s="1"/>
  <c r="F35" i="16" s="1"/>
  <c r="P134" i="16"/>
  <c r="V134" i="16" s="1"/>
  <c r="F134" i="16" s="1"/>
  <c r="P146" i="16"/>
  <c r="V146" i="16" s="1"/>
  <c r="F146" i="16" s="1"/>
  <c r="P154" i="16"/>
  <c r="V154" i="16" s="1"/>
  <c r="F154" i="16" s="1"/>
  <c r="P162" i="16"/>
  <c r="V162" i="16" s="1"/>
  <c r="F162" i="16" s="1"/>
  <c r="P170" i="16"/>
  <c r="V170" i="16" s="1"/>
  <c r="F170" i="16" s="1"/>
  <c r="P186" i="16"/>
  <c r="V186" i="16" s="1"/>
  <c r="F186" i="16" s="1"/>
  <c r="AD377" i="16"/>
  <c r="AD361" i="16"/>
  <c r="AD353" i="16"/>
  <c r="AD325" i="16"/>
  <c r="AA325" i="16" s="1"/>
  <c r="Z325" i="16" s="1"/>
  <c r="Y325" i="16" s="1"/>
  <c r="AD313" i="16"/>
  <c r="AA313" i="16" s="1"/>
  <c r="Z313" i="16" s="1"/>
  <c r="Y313" i="16" s="1"/>
  <c r="AD293" i="16"/>
  <c r="AA293" i="16" s="1"/>
  <c r="Z293" i="16" s="1"/>
  <c r="Y293" i="16" s="1"/>
  <c r="AD285" i="16"/>
  <c r="AD269" i="16"/>
  <c r="AD245" i="16"/>
  <c r="AD213" i="16"/>
  <c r="AA213" i="16" s="1"/>
  <c r="Z213" i="16" s="1"/>
  <c r="Y213" i="16" s="1"/>
  <c r="AD201" i="16"/>
  <c r="AA201" i="16" s="1"/>
  <c r="Z201" i="16" s="1"/>
  <c r="Y201" i="16" s="1"/>
  <c r="AD193" i="16"/>
  <c r="AA193" i="16" s="1"/>
  <c r="Z193" i="16" s="1"/>
  <c r="Y193" i="16" s="1"/>
  <c r="AD181" i="16"/>
  <c r="AA181" i="16" s="1"/>
  <c r="Z181" i="16" s="1"/>
  <c r="Y181" i="16" s="1"/>
  <c r="AD169" i="16"/>
  <c r="AA169" i="16" s="1"/>
  <c r="Z169" i="16" s="1"/>
  <c r="Y169" i="16" s="1"/>
  <c r="AD157" i="16"/>
  <c r="AA157" i="16" s="1"/>
  <c r="Z157" i="16" s="1"/>
  <c r="Y157" i="16" s="1"/>
  <c r="AD145" i="16"/>
  <c r="AA145" i="16" s="1"/>
  <c r="Z145" i="16" s="1"/>
  <c r="Y145" i="16" s="1"/>
  <c r="AD137" i="16"/>
  <c r="AA137" i="16" s="1"/>
  <c r="Z137" i="16" s="1"/>
  <c r="Y137" i="16" s="1"/>
  <c r="AD121" i="16"/>
  <c r="AA121" i="16" s="1"/>
  <c r="Z121" i="16" s="1"/>
  <c r="Y121" i="16" s="1"/>
  <c r="AD113" i="16"/>
  <c r="AA113" i="16" s="1"/>
  <c r="Z113" i="16" s="1"/>
  <c r="Y113" i="16" s="1"/>
  <c r="AD97" i="16"/>
  <c r="AD85" i="16"/>
  <c r="AA85" i="16" s="1"/>
  <c r="Z85" i="16" s="1"/>
  <c r="Y85" i="16" s="1"/>
  <c r="AD57" i="16"/>
  <c r="AD25" i="16"/>
  <c r="AA25" i="16" s="1"/>
  <c r="Z25" i="16" s="1"/>
  <c r="Y25" i="16" s="1"/>
  <c r="AD368" i="16"/>
  <c r="AA368" i="16" s="1"/>
  <c r="Z368" i="16" s="1"/>
  <c r="Y368" i="16" s="1"/>
  <c r="AD360" i="16"/>
  <c r="AD352" i="16"/>
  <c r="AD336" i="16"/>
  <c r="AD324" i="16"/>
  <c r="AD316" i="16"/>
  <c r="AA316" i="16" s="1"/>
  <c r="Z316" i="16" s="1"/>
  <c r="Y316" i="16" s="1"/>
  <c r="AD308" i="16"/>
  <c r="AD296" i="16"/>
  <c r="AD288" i="16"/>
  <c r="AD280" i="16"/>
  <c r="AD272" i="16"/>
  <c r="AD264" i="16"/>
  <c r="AD240" i="16"/>
  <c r="AD228" i="16"/>
  <c r="AD208" i="16"/>
  <c r="AA208" i="16" s="1"/>
  <c r="Z208" i="16" s="1"/>
  <c r="Y208" i="16" s="1"/>
  <c r="AD180" i="16"/>
  <c r="AD160" i="16"/>
  <c r="AD148" i="16"/>
  <c r="AD124" i="16"/>
  <c r="AA124" i="16" s="1"/>
  <c r="Z124" i="16" s="1"/>
  <c r="Y124" i="16" s="1"/>
  <c r="AD108" i="16"/>
  <c r="AA108" i="16" s="1"/>
  <c r="Z108" i="16" s="1"/>
  <c r="Y108" i="16" s="1"/>
  <c r="AD100" i="16"/>
  <c r="AA100" i="16" s="1"/>
  <c r="Z100" i="16" s="1"/>
  <c r="Y100" i="16" s="1"/>
  <c r="AD80" i="16"/>
  <c r="AA80" i="16" s="1"/>
  <c r="Z80" i="16" s="1"/>
  <c r="Y80" i="16" s="1"/>
  <c r="AD72" i="16"/>
  <c r="AA72" i="16" s="1"/>
  <c r="Z72" i="16" s="1"/>
  <c r="Y72" i="16" s="1"/>
  <c r="AD52" i="16"/>
  <c r="AD36" i="16"/>
  <c r="AD28" i="16"/>
  <c r="P196" i="16"/>
  <c r="V196" i="16" s="1"/>
  <c r="F196" i="16" s="1"/>
  <c r="P220" i="16"/>
  <c r="V220" i="16" s="1"/>
  <c r="F220" i="16" s="1"/>
  <c r="P244" i="16"/>
  <c r="V244" i="16" s="1"/>
  <c r="F244" i="16" s="1"/>
  <c r="P268" i="16"/>
  <c r="V268" i="16" s="1"/>
  <c r="F268" i="16" s="1"/>
  <c r="P292" i="16"/>
  <c r="V292" i="16" s="1"/>
  <c r="F292" i="16" s="1"/>
  <c r="P320" i="16"/>
  <c r="V320" i="16" s="1"/>
  <c r="F320" i="16" s="1"/>
  <c r="G320" i="16" s="1"/>
  <c r="BY320" i="6" s="1"/>
  <c r="P332" i="16"/>
  <c r="V332" i="16" s="1"/>
  <c r="F332" i="16" s="1"/>
  <c r="P340" i="16"/>
  <c r="V340" i="16" s="1"/>
  <c r="F340" i="16" s="1"/>
  <c r="P348" i="16"/>
  <c r="V348" i="16" s="1"/>
  <c r="F348" i="16" s="1"/>
  <c r="P356" i="16"/>
  <c r="V356" i="16" s="1"/>
  <c r="F356" i="16" s="1"/>
  <c r="P380" i="16"/>
  <c r="P115" i="16"/>
  <c r="V115" i="16" s="1"/>
  <c r="F115" i="16" s="1"/>
  <c r="P229" i="16"/>
  <c r="V229" i="16" s="1"/>
  <c r="F229" i="16" s="1"/>
  <c r="P245" i="16"/>
  <c r="V245" i="16" s="1"/>
  <c r="F245" i="16" s="1"/>
  <c r="P273" i="16"/>
  <c r="V273" i="16" s="1"/>
  <c r="F273" i="16" s="1"/>
  <c r="P281" i="16"/>
  <c r="V281" i="16" s="1"/>
  <c r="F281" i="16" s="1"/>
  <c r="P148" i="16"/>
  <c r="V148" i="16" s="1"/>
  <c r="F148" i="16" s="1"/>
  <c r="AD375" i="16"/>
  <c r="AD359" i="16"/>
  <c r="AA359" i="16" s="1"/>
  <c r="Z359" i="16" s="1"/>
  <c r="Y359" i="16" s="1"/>
  <c r="AD347" i="16"/>
  <c r="AA347" i="16" s="1"/>
  <c r="Z347" i="16" s="1"/>
  <c r="Y347" i="16" s="1"/>
  <c r="AD335" i="16"/>
  <c r="AD315" i="16"/>
  <c r="AA315" i="16" s="1"/>
  <c r="Z315" i="16" s="1"/>
  <c r="Y315" i="16" s="1"/>
  <c r="AD307" i="16"/>
  <c r="AA307" i="16" s="1"/>
  <c r="Z307" i="16" s="1"/>
  <c r="Y307" i="16" s="1"/>
  <c r="AD291" i="16"/>
  <c r="AD279" i="16"/>
  <c r="AD243" i="16"/>
  <c r="AA243" i="16" s="1"/>
  <c r="Z243" i="16" s="1"/>
  <c r="Y243" i="16" s="1"/>
  <c r="AD235" i="16"/>
  <c r="AD215" i="16"/>
  <c r="AA215" i="16" s="1"/>
  <c r="Z215" i="16" s="1"/>
  <c r="Y215" i="16" s="1"/>
  <c r="AD195" i="16"/>
  <c r="AA195" i="16" s="1"/>
  <c r="Z195" i="16" s="1"/>
  <c r="Y195" i="16" s="1"/>
  <c r="AD187" i="16"/>
  <c r="AA187" i="16" s="1"/>
  <c r="Z187" i="16" s="1"/>
  <c r="Y187" i="16" s="1"/>
  <c r="AD171" i="16"/>
  <c r="AA171" i="16" s="1"/>
  <c r="Z171" i="16" s="1"/>
  <c r="Y171" i="16" s="1"/>
  <c r="AD163" i="16"/>
  <c r="AA163" i="16" s="1"/>
  <c r="Z163" i="16" s="1"/>
  <c r="Y163" i="16" s="1"/>
  <c r="AD127" i="16"/>
  <c r="AD95" i="16"/>
  <c r="AD71" i="16"/>
  <c r="AA71" i="16" s="1"/>
  <c r="Z71" i="16" s="1"/>
  <c r="Y71" i="16" s="1"/>
  <c r="AD59" i="16"/>
  <c r="AA59" i="16" s="1"/>
  <c r="Z59" i="16" s="1"/>
  <c r="Y59" i="16" s="1"/>
  <c r="AD39" i="16"/>
  <c r="H290" i="16"/>
  <c r="AD374" i="16"/>
  <c r="AD354" i="16"/>
  <c r="AD334" i="16"/>
  <c r="AD326" i="16"/>
  <c r="AA326" i="16" s="1"/>
  <c r="Z326" i="16" s="1"/>
  <c r="Y326" i="16" s="1"/>
  <c r="AD310" i="16"/>
  <c r="AD290" i="16"/>
  <c r="AA290" i="16" s="1"/>
  <c r="Z290" i="16" s="1"/>
  <c r="Y290" i="16" s="1"/>
  <c r="AD278" i="16"/>
  <c r="AA278" i="16" s="1"/>
  <c r="Z278" i="16" s="1"/>
  <c r="Y278" i="16" s="1"/>
  <c r="AD262" i="16"/>
  <c r="AA262" i="16" s="1"/>
  <c r="Z262" i="16" s="1"/>
  <c r="Y262" i="16" s="1"/>
  <c r="AD234" i="16"/>
  <c r="AD226" i="16"/>
  <c r="AA226" i="16" s="1"/>
  <c r="Z226" i="16" s="1"/>
  <c r="Y226" i="16" s="1"/>
  <c r="AD214" i="16"/>
  <c r="AD202" i="16"/>
  <c r="AD194" i="16"/>
  <c r="AD182" i="16"/>
  <c r="AA182" i="16" s="1"/>
  <c r="Z182" i="16" s="1"/>
  <c r="Y182" i="16" s="1"/>
  <c r="AD174" i="16"/>
  <c r="AD166" i="16"/>
  <c r="AD150" i="16"/>
  <c r="AD134" i="16"/>
  <c r="AD122" i="16"/>
  <c r="AA122" i="16" s="1"/>
  <c r="Z122" i="16" s="1"/>
  <c r="Y122" i="16" s="1"/>
  <c r="AD106" i="16"/>
  <c r="AA106" i="16" s="1"/>
  <c r="Z106" i="16" s="1"/>
  <c r="Y106" i="16" s="1"/>
  <c r="AD86" i="16"/>
  <c r="AA86" i="16" s="1"/>
  <c r="Z86" i="16" s="1"/>
  <c r="Y86" i="16" s="1"/>
  <c r="AD78" i="16"/>
  <c r="AD66" i="16"/>
  <c r="AA66" i="16" s="1"/>
  <c r="Z66" i="16" s="1"/>
  <c r="Y66" i="16" s="1"/>
  <c r="AD58" i="16"/>
  <c r="AA58" i="16" s="1"/>
  <c r="Z58" i="16" s="1"/>
  <c r="Y58" i="16" s="1"/>
  <c r="AD38" i="16"/>
  <c r="AA373" i="16"/>
  <c r="Z373" i="16" s="1"/>
  <c r="Y373" i="16" s="1"/>
  <c r="AA196" i="16"/>
  <c r="Z196" i="16" s="1"/>
  <c r="Y196" i="16" s="1"/>
  <c r="AA298" i="16"/>
  <c r="Z298" i="16" s="1"/>
  <c r="Y298" i="16" s="1"/>
  <c r="AA146" i="16"/>
  <c r="Z146" i="16" s="1"/>
  <c r="Y146" i="16" s="1"/>
  <c r="AA229" i="16"/>
  <c r="Z229" i="16" s="1"/>
  <c r="Y229" i="16" s="1"/>
  <c r="AA221" i="16"/>
  <c r="Z221" i="16" s="1"/>
  <c r="Y221" i="16" s="1"/>
  <c r="AA154" i="16"/>
  <c r="Z154" i="16" s="1"/>
  <c r="Y154" i="16" s="1"/>
  <c r="AA248" i="16"/>
  <c r="Z248" i="16" s="1"/>
  <c r="Y248" i="16" s="1"/>
  <c r="AA127" i="16"/>
  <c r="Z127" i="16" s="1"/>
  <c r="Y127" i="16" s="1"/>
  <c r="P83" i="16"/>
  <c r="V83" i="16" s="1"/>
  <c r="F83" i="16" s="1"/>
  <c r="G83" i="16" s="1"/>
  <c r="BY83" i="6" s="1"/>
  <c r="AD369" i="16"/>
  <c r="AA369" i="16" s="1"/>
  <c r="Z369" i="16" s="1"/>
  <c r="Y369" i="16" s="1"/>
  <c r="AA55" i="16"/>
  <c r="Z55" i="16" s="1"/>
  <c r="Y55" i="16" s="1"/>
  <c r="AD342" i="16"/>
  <c r="AG317" i="16"/>
  <c r="AF317" i="16" s="1"/>
  <c r="AD317" i="16" s="1"/>
  <c r="AG273" i="16"/>
  <c r="AF273" i="16" s="1"/>
  <c r="AD273" i="16" s="1"/>
  <c r="S99" i="16"/>
  <c r="R99" i="16" s="1"/>
  <c r="P99" i="16" s="1"/>
  <c r="V99" i="16" s="1"/>
  <c r="F99" i="16" s="1"/>
  <c r="AG303" i="16"/>
  <c r="AF303" i="16" s="1"/>
  <c r="AD303" i="16" s="1"/>
  <c r="AG261" i="16"/>
  <c r="AF261" i="16" s="1"/>
  <c r="AD261" i="16" s="1"/>
  <c r="S282" i="16"/>
  <c r="R282" i="16" s="1"/>
  <c r="P282" i="16" s="1"/>
  <c r="V282" i="16" s="1"/>
  <c r="F282" i="16" s="1"/>
  <c r="S250" i="16"/>
  <c r="R250" i="16" s="1"/>
  <c r="P250" i="16" s="1"/>
  <c r="V250" i="16" s="1"/>
  <c r="F250" i="16" s="1"/>
  <c r="S234" i="16"/>
  <c r="R234" i="16" s="1"/>
  <c r="P234" i="16" s="1"/>
  <c r="V234" i="16" s="1"/>
  <c r="F234" i="16" s="1"/>
  <c r="S218" i="16"/>
  <c r="R218" i="16" s="1"/>
  <c r="P218" i="16" s="1"/>
  <c r="V218" i="16" s="1"/>
  <c r="F218" i="16" s="1"/>
  <c r="U12" i="17"/>
  <c r="U16" i="7" s="1"/>
  <c r="P16" i="7"/>
  <c r="V11" i="7" s="1"/>
  <c r="U11" i="17" s="1"/>
  <c r="T379" i="16"/>
  <c r="S379" i="16" s="1"/>
  <c r="R379" i="16" s="1"/>
  <c r="P379" i="16" s="1"/>
  <c r="S375" i="16"/>
  <c r="R375" i="16" s="1"/>
  <c r="P375" i="16" s="1"/>
  <c r="V375" i="16" s="1"/>
  <c r="F375" i="16" s="1"/>
  <c r="S371" i="16"/>
  <c r="R371" i="16" s="1"/>
  <c r="P371" i="16" s="1"/>
  <c r="V371" i="16" s="1"/>
  <c r="F371" i="16" s="1"/>
  <c r="S367" i="16"/>
  <c r="R367" i="16" s="1"/>
  <c r="P367" i="16" s="1"/>
  <c r="V367" i="16" s="1"/>
  <c r="F367" i="16" s="1"/>
  <c r="S351" i="16"/>
  <c r="R351" i="16" s="1"/>
  <c r="P351" i="16" s="1"/>
  <c r="V351" i="16" s="1"/>
  <c r="F351" i="16" s="1"/>
  <c r="S343" i="16"/>
  <c r="R343" i="16" s="1"/>
  <c r="P343" i="16" s="1"/>
  <c r="V343" i="16" s="1"/>
  <c r="F343" i="16" s="1"/>
  <c r="S339" i="16"/>
  <c r="R339" i="16" s="1"/>
  <c r="P339" i="16" s="1"/>
  <c r="V339" i="16" s="1"/>
  <c r="F339" i="16" s="1"/>
  <c r="S335" i="16"/>
  <c r="R335" i="16" s="1"/>
  <c r="P335" i="16" s="1"/>
  <c r="V335" i="16" s="1"/>
  <c r="F335" i="16" s="1"/>
  <c r="S331" i="16"/>
  <c r="R331" i="16" s="1"/>
  <c r="P331" i="16" s="1"/>
  <c r="V331" i="16" s="1"/>
  <c r="F331" i="16" s="1"/>
  <c r="S327" i="16"/>
  <c r="R327" i="16" s="1"/>
  <c r="P327" i="16" s="1"/>
  <c r="V327" i="16" s="1"/>
  <c r="F327" i="16" s="1"/>
  <c r="S323" i="16"/>
  <c r="R323" i="16" s="1"/>
  <c r="P323" i="16" s="1"/>
  <c r="V323" i="16" s="1"/>
  <c r="S319" i="16"/>
  <c r="R319" i="16" s="1"/>
  <c r="P319" i="16" s="1"/>
  <c r="V319" i="16" s="1"/>
  <c r="F319" i="16" s="1"/>
  <c r="S311" i="16"/>
  <c r="R311" i="16" s="1"/>
  <c r="P311" i="16" s="1"/>
  <c r="V311" i="16" s="1"/>
  <c r="F311" i="16" s="1"/>
  <c r="S303" i="16"/>
  <c r="R303" i="16" s="1"/>
  <c r="P303" i="16" s="1"/>
  <c r="V303" i="16" s="1"/>
  <c r="F303" i="16" s="1"/>
  <c r="S295" i="16"/>
  <c r="R295" i="16" s="1"/>
  <c r="P295" i="16" s="1"/>
  <c r="V295" i="16" s="1"/>
  <c r="S255" i="16"/>
  <c r="R255" i="16" s="1"/>
  <c r="P255" i="16" s="1"/>
  <c r="V255" i="16" s="1"/>
  <c r="F255" i="16" s="1"/>
  <c r="S251" i="16"/>
  <c r="R251" i="16" s="1"/>
  <c r="P251" i="16" s="1"/>
  <c r="V251" i="16" s="1"/>
  <c r="F251" i="16" s="1"/>
  <c r="S239" i="16"/>
  <c r="R239" i="16" s="1"/>
  <c r="P239" i="16" s="1"/>
  <c r="V239" i="16" s="1"/>
  <c r="S192" i="16"/>
  <c r="R192" i="16" s="1"/>
  <c r="P192" i="16" s="1"/>
  <c r="V192" i="16" s="1"/>
  <c r="F192" i="16" s="1"/>
  <c r="S63" i="16"/>
  <c r="R63" i="16" s="1"/>
  <c r="P63" i="16" s="1"/>
  <c r="V63" i="16" s="1"/>
  <c r="F63" i="16" s="1"/>
  <c r="S47" i="16"/>
  <c r="R47" i="16" s="1"/>
  <c r="P47" i="16" s="1"/>
  <c r="V47" i="16" s="1"/>
  <c r="U381" i="16"/>
  <c r="U382" i="16"/>
  <c r="U383" i="16"/>
  <c r="T15" i="16"/>
  <c r="P270" i="16"/>
  <c r="V270" i="16" s="1"/>
  <c r="F270" i="16" s="1"/>
  <c r="P216" i="16"/>
  <c r="V216" i="16" s="1"/>
  <c r="F216" i="16" s="1"/>
  <c r="P240" i="16"/>
  <c r="V240" i="16" s="1"/>
  <c r="F240" i="16" s="1"/>
  <c r="P256" i="16"/>
  <c r="V256" i="16" s="1"/>
  <c r="F256" i="16" s="1"/>
  <c r="AA256" i="16" s="1"/>
  <c r="Z256" i="16" s="1"/>
  <c r="Y256" i="16" s="1"/>
  <c r="P272" i="16"/>
  <c r="P288" i="16"/>
  <c r="V288" i="16" s="1"/>
  <c r="F288" i="16" s="1"/>
  <c r="H288" i="16" s="1"/>
  <c r="P302" i="16"/>
  <c r="P314" i="16"/>
  <c r="V314" i="16" s="1"/>
  <c r="F314" i="16" s="1"/>
  <c r="P334" i="16"/>
  <c r="V334" i="16" s="1"/>
  <c r="F334" i="16" s="1"/>
  <c r="P346" i="16"/>
  <c r="V346" i="16" s="1"/>
  <c r="F346" i="16" s="1"/>
  <c r="P354" i="16"/>
  <c r="V354" i="16" s="1"/>
  <c r="F354" i="16" s="1"/>
  <c r="P370" i="16"/>
  <c r="V370" i="16" s="1"/>
  <c r="F370" i="16" s="1"/>
  <c r="P95" i="16"/>
  <c r="V95" i="16" s="1"/>
  <c r="F95" i="16" s="1"/>
  <c r="P223" i="16"/>
  <c r="V223" i="16" s="1"/>
  <c r="F223" i="16" s="1"/>
  <c r="P235" i="16"/>
  <c r="V235" i="16" s="1"/>
  <c r="F235" i="16" s="1"/>
  <c r="P263" i="16"/>
  <c r="V263" i="16" s="1"/>
  <c r="F263" i="16" s="1"/>
  <c r="P279" i="16"/>
  <c r="V279" i="16" s="1"/>
  <c r="F279" i="16" s="1"/>
  <c r="P291" i="16"/>
  <c r="V291" i="16" s="1"/>
  <c r="F291" i="16" s="1"/>
  <c r="P130" i="16"/>
  <c r="V130" i="16" s="1"/>
  <c r="F130" i="16" s="1"/>
  <c r="P142" i="16"/>
  <c r="V142" i="16" s="1"/>
  <c r="F142" i="16" s="1"/>
  <c r="P150" i="16"/>
  <c r="V150" i="16" s="1"/>
  <c r="F150" i="16" s="1"/>
  <c r="P158" i="16"/>
  <c r="V158" i="16" s="1"/>
  <c r="F158" i="16" s="1"/>
  <c r="P166" i="16"/>
  <c r="V166" i="16" s="1"/>
  <c r="F166" i="16" s="1"/>
  <c r="P174" i="16"/>
  <c r="V174" i="16" s="1"/>
  <c r="F174" i="16" s="1"/>
  <c r="P190" i="16"/>
  <c r="V190" i="16" s="1"/>
  <c r="F190" i="16" s="1"/>
  <c r="AD365" i="16"/>
  <c r="AD357" i="16"/>
  <c r="AD337" i="16"/>
  <c r="AA337" i="16" s="1"/>
  <c r="Z337" i="16" s="1"/>
  <c r="Y337" i="16" s="1"/>
  <c r="AD321" i="16"/>
  <c r="AA321" i="16" s="1"/>
  <c r="Z321" i="16" s="1"/>
  <c r="Y321" i="16" s="1"/>
  <c r="AD297" i="16"/>
  <c r="AA297" i="16" s="1"/>
  <c r="Z297" i="16" s="1"/>
  <c r="Y297" i="16" s="1"/>
  <c r="AD289" i="16"/>
  <c r="AD281" i="16"/>
  <c r="AD257" i="16"/>
  <c r="AA257" i="16" s="1"/>
  <c r="Z257" i="16" s="1"/>
  <c r="Y257" i="16" s="1"/>
  <c r="AD241" i="16"/>
  <c r="AD209" i="16"/>
  <c r="AA209" i="16" s="1"/>
  <c r="Z209" i="16" s="1"/>
  <c r="Y209" i="16" s="1"/>
  <c r="AD197" i="16"/>
  <c r="AD189" i="16"/>
  <c r="AA189" i="16" s="1"/>
  <c r="Z189" i="16" s="1"/>
  <c r="Y189" i="16" s="1"/>
  <c r="AD177" i="16"/>
  <c r="AA177" i="16" s="1"/>
  <c r="Z177" i="16" s="1"/>
  <c r="Y177" i="16" s="1"/>
  <c r="AD161" i="16"/>
  <c r="AA161" i="16" s="1"/>
  <c r="Z161" i="16" s="1"/>
  <c r="Y161" i="16" s="1"/>
  <c r="AD149" i="16"/>
  <c r="AD141" i="16"/>
  <c r="AA141" i="16" s="1"/>
  <c r="Z141" i="16" s="1"/>
  <c r="Y141" i="16" s="1"/>
  <c r="AD129" i="16"/>
  <c r="AA129" i="16" s="1"/>
  <c r="Z129" i="16" s="1"/>
  <c r="Y129" i="16" s="1"/>
  <c r="AD117" i="16"/>
  <c r="AA117" i="16" s="1"/>
  <c r="Z117" i="16" s="1"/>
  <c r="Y117" i="16" s="1"/>
  <c r="AD101" i="16"/>
  <c r="AA101" i="16" s="1"/>
  <c r="Z101" i="16" s="1"/>
  <c r="Y101" i="16" s="1"/>
  <c r="AD89" i="16"/>
  <c r="AA89" i="16" s="1"/>
  <c r="Z89" i="16" s="1"/>
  <c r="Y89" i="16" s="1"/>
  <c r="AD81" i="16"/>
  <c r="AA81" i="16" s="1"/>
  <c r="Z81" i="16" s="1"/>
  <c r="Y81" i="16" s="1"/>
  <c r="AD45" i="16"/>
  <c r="AA45" i="16" s="1"/>
  <c r="Z45" i="16" s="1"/>
  <c r="Y45" i="16" s="1"/>
  <c r="AD372" i="16"/>
  <c r="AD364" i="16"/>
  <c r="AA364" i="16" s="1"/>
  <c r="Z364" i="16" s="1"/>
  <c r="Y364" i="16" s="1"/>
  <c r="AD356" i="16"/>
  <c r="AD348" i="16"/>
  <c r="AD332" i="16"/>
  <c r="AD320" i="16"/>
  <c r="AD312" i="16"/>
  <c r="AD300" i="16"/>
  <c r="AA300" i="16" s="1"/>
  <c r="Z300" i="16" s="1"/>
  <c r="Y300" i="16" s="1"/>
  <c r="AD292" i="16"/>
  <c r="AD284" i="16"/>
  <c r="AA284" i="16" s="1"/>
  <c r="Z284" i="16" s="1"/>
  <c r="Y284" i="16" s="1"/>
  <c r="AD276" i="16"/>
  <c r="AD268" i="16"/>
  <c r="AD252" i="16"/>
  <c r="AD236" i="16"/>
  <c r="AD216" i="16"/>
  <c r="AD204" i="16"/>
  <c r="AD172" i="16"/>
  <c r="AD152" i="16"/>
  <c r="AA152" i="16" s="1"/>
  <c r="Z152" i="16" s="1"/>
  <c r="Y152" i="16" s="1"/>
  <c r="AD136" i="16"/>
  <c r="AD112" i="16"/>
  <c r="AA112" i="16" s="1"/>
  <c r="Z112" i="16" s="1"/>
  <c r="Y112" i="16" s="1"/>
  <c r="AD104" i="16"/>
  <c r="AA104" i="16" s="1"/>
  <c r="Z104" i="16" s="1"/>
  <c r="Y104" i="16" s="1"/>
  <c r="AD92" i="16"/>
  <c r="AA92" i="16" s="1"/>
  <c r="Z92" i="16" s="1"/>
  <c r="Y92" i="16" s="1"/>
  <c r="AD76" i="16"/>
  <c r="AA76" i="16" s="1"/>
  <c r="Z76" i="16" s="1"/>
  <c r="Y76" i="16" s="1"/>
  <c r="AD64" i="16"/>
  <c r="AA64" i="16" s="1"/>
  <c r="Z64" i="16" s="1"/>
  <c r="Y64" i="16" s="1"/>
  <c r="AD40" i="16"/>
  <c r="AA40" i="16" s="1"/>
  <c r="Z40" i="16" s="1"/>
  <c r="Y40" i="16" s="1"/>
  <c r="AD32" i="16"/>
  <c r="AA32" i="16" s="1"/>
  <c r="Z32" i="16" s="1"/>
  <c r="Y32" i="16" s="1"/>
  <c r="H258" i="16"/>
  <c r="P204" i="16"/>
  <c r="V204" i="16" s="1"/>
  <c r="F204" i="16" s="1"/>
  <c r="P236" i="16"/>
  <c r="V236" i="16" s="1"/>
  <c r="F236" i="16" s="1"/>
  <c r="P252" i="16"/>
  <c r="V252" i="16" s="1"/>
  <c r="F252" i="16" s="1"/>
  <c r="P276" i="16"/>
  <c r="V276" i="16" s="1"/>
  <c r="F276" i="16" s="1"/>
  <c r="P312" i="16"/>
  <c r="V312" i="16" s="1"/>
  <c r="F312" i="16" s="1"/>
  <c r="P324" i="16"/>
  <c r="V324" i="16" s="1"/>
  <c r="F324" i="16" s="1"/>
  <c r="P336" i="16"/>
  <c r="V336" i="16" s="1"/>
  <c r="F336" i="16" s="1"/>
  <c r="P344" i="16"/>
  <c r="V344" i="16" s="1"/>
  <c r="F344" i="16" s="1"/>
  <c r="P352" i="16"/>
  <c r="V352" i="16" s="1"/>
  <c r="F352" i="16" s="1"/>
  <c r="P360" i="16"/>
  <c r="V360" i="16" s="1"/>
  <c r="F360" i="16" s="1"/>
  <c r="P107" i="16"/>
  <c r="V107" i="16" s="1"/>
  <c r="F107" i="16" s="1"/>
  <c r="P225" i="16"/>
  <c r="V225" i="16" s="1"/>
  <c r="F225" i="16" s="1"/>
  <c r="P241" i="16"/>
  <c r="P265" i="16"/>
  <c r="V265" i="16" s="1"/>
  <c r="F265" i="16" s="1"/>
  <c r="P277" i="16"/>
  <c r="V277" i="16" s="1"/>
  <c r="F277" i="16" s="1"/>
  <c r="P132" i="16"/>
  <c r="V132" i="16" s="1"/>
  <c r="F132" i="16" s="1"/>
  <c r="P144" i="16"/>
  <c r="V144" i="16" s="1"/>
  <c r="F144" i="16" s="1"/>
  <c r="P156" i="16"/>
  <c r="V156" i="16" s="1"/>
  <c r="F156" i="16" s="1"/>
  <c r="AA156" i="16" s="1"/>
  <c r="Z156" i="16" s="1"/>
  <c r="Y156" i="16" s="1"/>
  <c r="P164" i="16"/>
  <c r="V164" i="16" s="1"/>
  <c r="F164" i="16" s="1"/>
  <c r="P180" i="16"/>
  <c r="AD371" i="16"/>
  <c r="AD351" i="16"/>
  <c r="AD343" i="16"/>
  <c r="AD319" i="16"/>
  <c r="AD311" i="16"/>
  <c r="AD299" i="16"/>
  <c r="AD283" i="16"/>
  <c r="AA283" i="16" s="1"/>
  <c r="Z283" i="16" s="1"/>
  <c r="Y283" i="16" s="1"/>
  <c r="AD271" i="16"/>
  <c r="AA271" i="16" s="1"/>
  <c r="Z271" i="16" s="1"/>
  <c r="Y271" i="16" s="1"/>
  <c r="AD239" i="16"/>
  <c r="AD231" i="16"/>
  <c r="AA231" i="16" s="1"/>
  <c r="Z231" i="16" s="1"/>
  <c r="Y231" i="16" s="1"/>
  <c r="AD199" i="16"/>
  <c r="AD191" i="16"/>
  <c r="AA191" i="16" s="1"/>
  <c r="Z191" i="16" s="1"/>
  <c r="Y191" i="16" s="1"/>
  <c r="AD179" i="16"/>
  <c r="AA179" i="16" s="1"/>
  <c r="Z179" i="16" s="1"/>
  <c r="Y179" i="16" s="1"/>
  <c r="AD167" i="16"/>
  <c r="AA167" i="16" s="1"/>
  <c r="Z167" i="16" s="1"/>
  <c r="Y167" i="16" s="1"/>
  <c r="AD155" i="16"/>
  <c r="AA155" i="16" s="1"/>
  <c r="Z155" i="16" s="1"/>
  <c r="Y155" i="16" s="1"/>
  <c r="AD119" i="16"/>
  <c r="AD79" i="16"/>
  <c r="AA79" i="16" s="1"/>
  <c r="Z79" i="16" s="1"/>
  <c r="Y79" i="16" s="1"/>
  <c r="AD67" i="16"/>
  <c r="AA67" i="16" s="1"/>
  <c r="Z67" i="16" s="1"/>
  <c r="Y67" i="16" s="1"/>
  <c r="AD47" i="16"/>
  <c r="AD31" i="16"/>
  <c r="AD378" i="16"/>
  <c r="AD362" i="16"/>
  <c r="AA362" i="16" s="1"/>
  <c r="Z362" i="16" s="1"/>
  <c r="Y362" i="16" s="1"/>
  <c r="AD350" i="16"/>
  <c r="AD330" i="16"/>
  <c r="AD314" i="16"/>
  <c r="AD294" i="16"/>
  <c r="AA294" i="16" s="1"/>
  <c r="Z294" i="16" s="1"/>
  <c r="Y294" i="16" s="1"/>
  <c r="AD282" i="16"/>
  <c r="AD266" i="16"/>
  <c r="AD238" i="16"/>
  <c r="AA238" i="16" s="1"/>
  <c r="Z238" i="16" s="1"/>
  <c r="Y238" i="16" s="1"/>
  <c r="AD230" i="16"/>
  <c r="AA230" i="16" s="1"/>
  <c r="Z230" i="16" s="1"/>
  <c r="Y230" i="16" s="1"/>
  <c r="AD218" i="16"/>
  <c r="AD210" i="16"/>
  <c r="AD198" i="16"/>
  <c r="AA198" i="16" s="1"/>
  <c r="Z198" i="16" s="1"/>
  <c r="Y198" i="16" s="1"/>
  <c r="AD190" i="16"/>
  <c r="AD178" i="16"/>
  <c r="AA178" i="16" s="1"/>
  <c r="Z178" i="16" s="1"/>
  <c r="Y178" i="16" s="1"/>
  <c r="AD170" i="16"/>
  <c r="AD162" i="16"/>
  <c r="AD138" i="16"/>
  <c r="AD130" i="16"/>
  <c r="AD118" i="16"/>
  <c r="AD98" i="16"/>
  <c r="AA98" i="16" s="1"/>
  <c r="Z98" i="16" s="1"/>
  <c r="Y98" i="16" s="1"/>
  <c r="AD82" i="16"/>
  <c r="AA82" i="16" s="1"/>
  <c r="Z82" i="16" s="1"/>
  <c r="Y82" i="16" s="1"/>
  <c r="AD70" i="16"/>
  <c r="AA70" i="16" s="1"/>
  <c r="Z70" i="16" s="1"/>
  <c r="Y70" i="16" s="1"/>
  <c r="AD62" i="16"/>
  <c r="AD42" i="16"/>
  <c r="AA42" i="16" s="1"/>
  <c r="Z42" i="16" s="1"/>
  <c r="Y42" i="16" s="1"/>
  <c r="AD22" i="16"/>
  <c r="AA22" i="16" s="1"/>
  <c r="Z22" i="16" s="1"/>
  <c r="Y22" i="16" s="1"/>
  <c r="G92" i="16"/>
  <c r="BY92" i="6" s="1"/>
  <c r="I181" i="16"/>
  <c r="I119" i="15"/>
  <c r="H92" i="16"/>
  <c r="H27" i="16"/>
  <c r="J27" i="16" s="1"/>
  <c r="J189" i="16"/>
  <c r="I85" i="16"/>
  <c r="H287" i="16"/>
  <c r="J287" i="16" s="1"/>
  <c r="I105" i="16"/>
  <c r="J177" i="16"/>
  <c r="AA320" i="16"/>
  <c r="Z320" i="16" s="1"/>
  <c r="Y320" i="16" s="1"/>
  <c r="H320" i="16"/>
  <c r="I320" i="16" s="1"/>
  <c r="J145" i="16"/>
  <c r="G84" i="16"/>
  <c r="BY84" i="6" s="1"/>
  <c r="I129" i="16"/>
  <c r="H91" i="16"/>
  <c r="I91" i="16" s="1"/>
  <c r="G188" i="16"/>
  <c r="BY188" i="6" s="1"/>
  <c r="G237" i="16"/>
  <c r="BY237" i="6" s="1"/>
  <c r="G152" i="16"/>
  <c r="BY152" i="6" s="1"/>
  <c r="G94" i="16"/>
  <c r="BY94" i="6" s="1"/>
  <c r="H138" i="16"/>
  <c r="J138" i="16" s="1"/>
  <c r="I113" i="16"/>
  <c r="J113" i="16"/>
  <c r="H108" i="16"/>
  <c r="I108" i="16" s="1"/>
  <c r="H152" i="16"/>
  <c r="I152" i="16" s="1"/>
  <c r="AA138" i="16"/>
  <c r="Z138" i="16" s="1"/>
  <c r="Y138" i="16" s="1"/>
  <c r="AA84" i="16"/>
  <c r="Z84" i="16" s="1"/>
  <c r="Y84" i="16" s="1"/>
  <c r="AA237" i="16"/>
  <c r="Z237" i="16" s="1"/>
  <c r="Y237" i="16" s="1"/>
  <c r="I157" i="16"/>
  <c r="H114" i="16"/>
  <c r="J114" i="16" s="1"/>
  <c r="G37" i="16"/>
  <c r="BY37" i="6" s="1"/>
  <c r="H83" i="16"/>
  <c r="I83" i="16" s="1"/>
  <c r="G269" i="16"/>
  <c r="BY269" i="6" s="1"/>
  <c r="AA90" i="16"/>
  <c r="Z90" i="16" s="1"/>
  <c r="Y90" i="16" s="1"/>
  <c r="G108" i="16"/>
  <c r="BY108" i="6" s="1"/>
  <c r="V379" i="16"/>
  <c r="F379" i="16" s="1"/>
  <c r="D37" i="19"/>
  <c r="AA269" i="16"/>
  <c r="Z269" i="16" s="1"/>
  <c r="Y269" i="16" s="1"/>
  <c r="H33" i="16"/>
  <c r="J33" i="16" s="1"/>
  <c r="H219" i="16"/>
  <c r="I219" i="16" s="1"/>
  <c r="G123" i="16"/>
  <c r="BY123" i="6" s="1"/>
  <c r="G182" i="16"/>
  <c r="BY182" i="6" s="1"/>
  <c r="G90" i="16"/>
  <c r="BY90" i="6" s="1"/>
  <c r="H176" i="16"/>
  <c r="I176" i="16" s="1"/>
  <c r="AA114" i="16"/>
  <c r="Z114" i="16" s="1"/>
  <c r="Y114" i="16" s="1"/>
  <c r="AA69" i="16"/>
  <c r="Z69" i="16" s="1"/>
  <c r="Y69" i="16" s="1"/>
  <c r="AA33" i="16"/>
  <c r="Z33" i="16" s="1"/>
  <c r="Y33" i="16" s="1"/>
  <c r="AA176" i="16"/>
  <c r="Z176" i="16" s="1"/>
  <c r="Y176" i="16" s="1"/>
  <c r="AA17" i="16"/>
  <c r="Z17" i="16" s="1"/>
  <c r="Y17" i="16" s="1"/>
  <c r="C13" i="19"/>
  <c r="F37" i="19"/>
  <c r="Q372" i="17"/>
  <c r="Q244" i="17"/>
  <c r="G127" i="16"/>
  <c r="BY127" i="6" s="1"/>
  <c r="H17" i="16"/>
  <c r="I17" i="16" s="1"/>
  <c r="H182" i="16"/>
  <c r="I182" i="16" s="1"/>
  <c r="Q308" i="17"/>
  <c r="Q159" i="17"/>
  <c r="Q340" i="17"/>
  <c r="Q276" i="17"/>
  <c r="Q212" i="17"/>
  <c r="Q95" i="17"/>
  <c r="Q356" i="17"/>
  <c r="Q324" i="17"/>
  <c r="Q292" i="17"/>
  <c r="Q260" i="17"/>
  <c r="Q228" i="17"/>
  <c r="Q191" i="17"/>
  <c r="Q127" i="17"/>
  <c r="Q63" i="17"/>
  <c r="G271" i="16"/>
  <c r="BY271" i="6" s="1"/>
  <c r="G231" i="16"/>
  <c r="BY231" i="6" s="1"/>
  <c r="D47" i="7"/>
  <c r="H231" i="16"/>
  <c r="J231" i="16" s="1"/>
  <c r="H271" i="16"/>
  <c r="J271" i="16" s="1"/>
  <c r="G25" i="16"/>
  <c r="BY25" i="6" s="1"/>
  <c r="G243" i="16"/>
  <c r="BY243" i="6" s="1"/>
  <c r="H127" i="16"/>
  <c r="I127" i="16" s="1"/>
  <c r="H79" i="16"/>
  <c r="I79" i="16" s="1"/>
  <c r="G79" i="16"/>
  <c r="BY79" i="6" s="1"/>
  <c r="Q364" i="17"/>
  <c r="Q348" i="17"/>
  <c r="Q332" i="17"/>
  <c r="Q316" i="17"/>
  <c r="Q300" i="17"/>
  <c r="Q284" i="17"/>
  <c r="Q268" i="17"/>
  <c r="Q252" i="17"/>
  <c r="Q236" i="17"/>
  <c r="Q220" i="17"/>
  <c r="Q204" i="17"/>
  <c r="Q175" i="17"/>
  <c r="Q143" i="17"/>
  <c r="Q111" i="17"/>
  <c r="Q79" i="17"/>
  <c r="Q47" i="17"/>
  <c r="H98" i="16"/>
  <c r="J98" i="16" s="1"/>
  <c r="H25" i="16"/>
  <c r="I25" i="16" s="1"/>
  <c r="H69" i="16"/>
  <c r="I69" i="16" s="1"/>
  <c r="H19" i="16"/>
  <c r="I19" i="16" s="1"/>
  <c r="G45" i="16"/>
  <c r="BY45" i="6" s="1"/>
  <c r="G19" i="16"/>
  <c r="BY19" i="6" s="1"/>
  <c r="H45" i="16"/>
  <c r="J45" i="16" s="1"/>
  <c r="AA50" i="16"/>
  <c r="Z50" i="16" s="1"/>
  <c r="Y50" i="16" s="1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80" i="17"/>
  <c r="Q272" i="17"/>
  <c r="Q264" i="17"/>
  <c r="Q256" i="17"/>
  <c r="Q248" i="17"/>
  <c r="Q240" i="17"/>
  <c r="Q232" i="17"/>
  <c r="Q224" i="17"/>
  <c r="Q216" i="17"/>
  <c r="Q208" i="17"/>
  <c r="Q199" i="17"/>
  <c r="Q183" i="17"/>
  <c r="Q167" i="17"/>
  <c r="Q151" i="17"/>
  <c r="Q135" i="17"/>
  <c r="Q119" i="17"/>
  <c r="Q103" i="17"/>
  <c r="Q87" i="17"/>
  <c r="Q71" i="17"/>
  <c r="Q55" i="17"/>
  <c r="Q39" i="17"/>
  <c r="H178" i="16"/>
  <c r="I178" i="16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6" i="17"/>
  <c r="Q282" i="17"/>
  <c r="Q278" i="17"/>
  <c r="Q274" i="17"/>
  <c r="Q270" i="17"/>
  <c r="Q266" i="17"/>
  <c r="Q262" i="17"/>
  <c r="Q258" i="17"/>
  <c r="Q254" i="17"/>
  <c r="Q250" i="17"/>
  <c r="Q246" i="17"/>
  <c r="Q242" i="17"/>
  <c r="Q238" i="17"/>
  <c r="Q234" i="17"/>
  <c r="Q230" i="17"/>
  <c r="Q226" i="17"/>
  <c r="Q222" i="17"/>
  <c r="Q218" i="17"/>
  <c r="Q214" i="17"/>
  <c r="Q210" i="17"/>
  <c r="Q206" i="17"/>
  <c r="Q202" i="17"/>
  <c r="Q195" i="17"/>
  <c r="Q187" i="17"/>
  <c r="Q179" i="17"/>
  <c r="Q171" i="17"/>
  <c r="Q163" i="17"/>
  <c r="Q155" i="17"/>
  <c r="Q147" i="17"/>
  <c r="Q139" i="17"/>
  <c r="Q131" i="17"/>
  <c r="Q123" i="17"/>
  <c r="Q115" i="17"/>
  <c r="Q107" i="17"/>
  <c r="Q99" i="17"/>
  <c r="Q91" i="17"/>
  <c r="Q83" i="17"/>
  <c r="Q75" i="17"/>
  <c r="Q67" i="17"/>
  <c r="Q59" i="17"/>
  <c r="Q51" i="17"/>
  <c r="Q43" i="17"/>
  <c r="AA29" i="16"/>
  <c r="Z29" i="16" s="1"/>
  <c r="Y29" i="16" s="1"/>
  <c r="J201" i="16"/>
  <c r="H124" i="16"/>
  <c r="J124" i="16" s="1"/>
  <c r="H36" i="16"/>
  <c r="J36" i="16" s="1"/>
  <c r="J108" i="15"/>
  <c r="I136" i="15"/>
  <c r="I49" i="16"/>
  <c r="J155" i="16"/>
  <c r="I179" i="16"/>
  <c r="AA38" i="16"/>
  <c r="Z38" i="16" s="1"/>
  <c r="Y38" i="16" s="1"/>
  <c r="J159" i="16"/>
  <c r="H62" i="16"/>
  <c r="I62" i="16" s="1"/>
  <c r="G29" i="16"/>
  <c r="BY29" i="6" s="1"/>
  <c r="J120" i="16"/>
  <c r="I211" i="16"/>
  <c r="AA62" i="16"/>
  <c r="Z62" i="16" s="1"/>
  <c r="Y62" i="16" s="1"/>
  <c r="G70" i="16"/>
  <c r="BY70" i="6" s="1"/>
  <c r="J82" i="16"/>
  <c r="J163" i="16"/>
  <c r="H29" i="16"/>
  <c r="I29" i="16" s="1"/>
  <c r="AA36" i="16"/>
  <c r="Z36" i="16" s="1"/>
  <c r="Y36" i="16" s="1"/>
  <c r="H70" i="16"/>
  <c r="I70" i="16" s="1"/>
  <c r="G42" i="16"/>
  <c r="BY42" i="6" s="1"/>
  <c r="J126" i="16"/>
  <c r="J193" i="16"/>
  <c r="J187" i="16"/>
  <c r="J183" i="16"/>
  <c r="H42" i="16"/>
  <c r="J42" i="16" s="1"/>
  <c r="J102" i="16"/>
  <c r="H56" i="16"/>
  <c r="J56" i="16" s="1"/>
  <c r="H38" i="16"/>
  <c r="J38" i="16" s="1"/>
  <c r="G124" i="16"/>
  <c r="BY124" i="6" s="1"/>
  <c r="J80" i="16"/>
  <c r="I195" i="16"/>
  <c r="I175" i="16"/>
  <c r="J41" i="16"/>
  <c r="I110" i="16"/>
  <c r="I104" i="16"/>
  <c r="AA56" i="16"/>
  <c r="Z56" i="16" s="1"/>
  <c r="Y56" i="16" s="1"/>
  <c r="W15" i="7"/>
  <c r="Q21" i="17"/>
  <c r="Q29" i="17"/>
  <c r="Q35" i="17"/>
  <c r="Q38" i="17"/>
  <c r="Q40" i="17"/>
  <c r="Q42" i="17"/>
  <c r="Q44" i="17"/>
  <c r="Q46" i="17"/>
  <c r="Q48" i="17"/>
  <c r="Q50" i="17"/>
  <c r="Q52" i="17"/>
  <c r="Q54" i="17"/>
  <c r="Q56" i="17"/>
  <c r="Q58" i="17"/>
  <c r="Q60" i="17"/>
  <c r="Q62" i="17"/>
  <c r="Q64" i="17"/>
  <c r="Q66" i="17"/>
  <c r="Q68" i="17"/>
  <c r="Q70" i="17"/>
  <c r="Q72" i="17"/>
  <c r="Q74" i="17"/>
  <c r="Q76" i="17"/>
  <c r="Q78" i="17"/>
  <c r="Q80" i="17"/>
  <c r="Q82" i="17"/>
  <c r="Q84" i="17"/>
  <c r="Q86" i="17"/>
  <c r="Q88" i="17"/>
  <c r="Q90" i="17"/>
  <c r="Q92" i="17"/>
  <c r="Q94" i="17"/>
  <c r="Q96" i="17"/>
  <c r="Q98" i="17"/>
  <c r="Q100" i="17"/>
  <c r="Q102" i="17"/>
  <c r="Q104" i="17"/>
  <c r="Q106" i="17"/>
  <c r="Q108" i="17"/>
  <c r="Q110" i="17"/>
  <c r="Q112" i="17"/>
  <c r="Q114" i="17"/>
  <c r="Q116" i="17"/>
  <c r="Q118" i="17"/>
  <c r="Q120" i="17"/>
  <c r="Q122" i="17"/>
  <c r="Q124" i="17"/>
  <c r="Q126" i="17"/>
  <c r="Q128" i="17"/>
  <c r="Q130" i="17"/>
  <c r="Q132" i="17"/>
  <c r="Q134" i="17"/>
  <c r="Q136" i="17"/>
  <c r="Q138" i="17"/>
  <c r="Q140" i="17"/>
  <c r="Q142" i="17"/>
  <c r="Q144" i="17"/>
  <c r="Q146" i="17"/>
  <c r="Q148" i="17"/>
  <c r="Q150" i="17"/>
  <c r="Q152" i="17"/>
  <c r="Q154" i="17"/>
  <c r="Q156" i="17"/>
  <c r="Q158" i="17"/>
  <c r="Q160" i="17"/>
  <c r="Q162" i="17"/>
  <c r="Q164" i="17"/>
  <c r="Q166" i="17"/>
  <c r="Q168" i="17"/>
  <c r="Q170" i="17"/>
  <c r="Q172" i="17"/>
  <c r="Q174" i="17"/>
  <c r="Q176" i="17"/>
  <c r="Q178" i="17"/>
  <c r="Q180" i="17"/>
  <c r="Q182" i="17"/>
  <c r="Q184" i="17"/>
  <c r="Q186" i="17"/>
  <c r="Q188" i="17"/>
  <c r="Q190" i="17"/>
  <c r="Q192" i="17"/>
  <c r="Q194" i="17"/>
  <c r="Q196" i="17"/>
  <c r="Q198" i="17"/>
  <c r="Q200" i="17"/>
  <c r="Q379" i="17"/>
  <c r="Q377" i="17"/>
  <c r="Q375" i="17"/>
  <c r="Q373" i="17"/>
  <c r="Q371" i="17"/>
  <c r="Q369" i="17"/>
  <c r="Q367" i="17"/>
  <c r="Q365" i="17"/>
  <c r="Q363" i="17"/>
  <c r="Q361" i="17"/>
  <c r="Q359" i="17"/>
  <c r="Q357" i="17"/>
  <c r="Q355" i="17"/>
  <c r="Q353" i="17"/>
  <c r="Q351" i="17"/>
  <c r="Q349" i="17"/>
  <c r="Q347" i="17"/>
  <c r="Q345" i="17"/>
  <c r="Q343" i="17"/>
  <c r="Q341" i="17"/>
  <c r="Q339" i="17"/>
  <c r="Q337" i="17"/>
  <c r="Q335" i="17"/>
  <c r="Q333" i="17"/>
  <c r="Q331" i="17"/>
  <c r="Q329" i="17"/>
  <c r="Q327" i="17"/>
  <c r="Q325" i="17"/>
  <c r="Q323" i="17"/>
  <c r="Q321" i="17"/>
  <c r="Q319" i="17"/>
  <c r="Q317" i="17"/>
  <c r="Q315" i="17"/>
  <c r="Q313" i="17"/>
  <c r="Q311" i="17"/>
  <c r="Q309" i="17"/>
  <c r="Q307" i="17"/>
  <c r="Q305" i="17"/>
  <c r="Q303" i="17"/>
  <c r="Q301" i="17"/>
  <c r="Q299" i="17"/>
  <c r="Q297" i="17"/>
  <c r="Q295" i="17"/>
  <c r="Q293" i="17"/>
  <c r="Q291" i="17"/>
  <c r="Q289" i="17"/>
  <c r="Q287" i="17"/>
  <c r="Q285" i="17"/>
  <c r="Q283" i="17"/>
  <c r="Q281" i="17"/>
  <c r="Q279" i="17"/>
  <c r="Q277" i="17"/>
  <c r="Q275" i="17"/>
  <c r="Q273" i="17"/>
  <c r="Q271" i="17"/>
  <c r="Q269" i="17"/>
  <c r="Q267" i="17"/>
  <c r="Q265" i="17"/>
  <c r="Q263" i="17"/>
  <c r="Q261" i="17"/>
  <c r="Q259" i="17"/>
  <c r="Q257" i="17"/>
  <c r="Q255" i="17"/>
  <c r="Q253" i="17"/>
  <c r="Q251" i="17"/>
  <c r="Q249" i="17"/>
  <c r="Q247" i="17"/>
  <c r="Q245" i="17"/>
  <c r="Q243" i="17"/>
  <c r="Q241" i="17"/>
  <c r="Q239" i="17"/>
  <c r="Q237" i="17"/>
  <c r="Q235" i="17"/>
  <c r="Q233" i="17"/>
  <c r="Q231" i="17"/>
  <c r="Q229" i="17"/>
  <c r="Q227" i="17"/>
  <c r="Q225" i="17"/>
  <c r="Q223" i="17"/>
  <c r="Q221" i="17"/>
  <c r="Q219" i="17"/>
  <c r="Q217" i="17"/>
  <c r="Q215" i="17"/>
  <c r="Q213" i="17"/>
  <c r="Q211" i="17"/>
  <c r="Q209" i="17"/>
  <c r="Q207" i="17"/>
  <c r="Q205" i="17"/>
  <c r="Q203" i="17"/>
  <c r="Q201" i="17"/>
  <c r="Q197" i="17"/>
  <c r="Q193" i="17"/>
  <c r="Q189" i="17"/>
  <c r="Q185" i="17"/>
  <c r="Q181" i="17"/>
  <c r="Q177" i="17"/>
  <c r="Q173" i="17"/>
  <c r="Q169" i="17"/>
  <c r="Q165" i="17"/>
  <c r="Q161" i="17"/>
  <c r="Q157" i="17"/>
  <c r="Q153" i="17"/>
  <c r="Q149" i="17"/>
  <c r="Q145" i="17"/>
  <c r="Q141" i="17"/>
  <c r="Q137" i="17"/>
  <c r="Q133" i="17"/>
  <c r="Q129" i="17"/>
  <c r="Q125" i="17"/>
  <c r="Q121" i="17"/>
  <c r="Q117" i="17"/>
  <c r="Q113" i="17"/>
  <c r="Q109" i="17"/>
  <c r="Q105" i="17"/>
  <c r="Q101" i="17"/>
  <c r="Q97" i="17"/>
  <c r="Q93" i="17"/>
  <c r="Q89" i="17"/>
  <c r="Q85" i="17"/>
  <c r="Q81" i="17"/>
  <c r="Q77" i="17"/>
  <c r="Q73" i="17"/>
  <c r="Q69" i="17"/>
  <c r="Q65" i="17"/>
  <c r="Q61" i="17"/>
  <c r="Q57" i="17"/>
  <c r="Q53" i="17"/>
  <c r="Q49" i="17"/>
  <c r="Q45" i="17"/>
  <c r="Q41" i="17"/>
  <c r="Q37" i="17"/>
  <c r="Q25" i="17"/>
  <c r="I203" i="16"/>
  <c r="I131" i="16"/>
  <c r="AA18" i="16"/>
  <c r="Z18" i="16" s="1"/>
  <c r="Y18" i="16" s="1"/>
  <c r="H167" i="16"/>
  <c r="J167" i="16" s="1"/>
  <c r="G321" i="16"/>
  <c r="BY321" i="6" s="1"/>
  <c r="I100" i="16"/>
  <c r="H16" i="16"/>
  <c r="J16" i="16" s="1"/>
  <c r="G167" i="16"/>
  <c r="BY167" i="6" s="1"/>
  <c r="H54" i="16"/>
  <c r="I54" i="16" s="1"/>
  <c r="I116" i="16"/>
  <c r="H18" i="16"/>
  <c r="J18" i="16" s="1"/>
  <c r="AA54" i="16"/>
  <c r="Z54" i="16" s="1"/>
  <c r="Y54" i="16" s="1"/>
  <c r="H40" i="16"/>
  <c r="J40" i="16" s="1"/>
  <c r="H58" i="16"/>
  <c r="I58" i="16" s="1"/>
  <c r="H321" i="16"/>
  <c r="J321" i="16" s="1"/>
  <c r="H50" i="16"/>
  <c r="J50" i="16" s="1"/>
  <c r="G40" i="16"/>
  <c r="BY40" i="6" s="1"/>
  <c r="I77" i="16"/>
  <c r="G50" i="16"/>
  <c r="BY50" i="6" s="1"/>
  <c r="G30" i="16"/>
  <c r="BY30" i="6" s="1"/>
  <c r="AA16" i="16"/>
  <c r="Z16" i="16" s="1"/>
  <c r="Y16" i="16" s="1"/>
  <c r="I122" i="16"/>
  <c r="H30" i="16"/>
  <c r="J30" i="16" s="1"/>
  <c r="Q36" i="17"/>
  <c r="Q34" i="17"/>
  <c r="Q31" i="17"/>
  <c r="Q27" i="17"/>
  <c r="Q23" i="17"/>
  <c r="Q15" i="17"/>
  <c r="Q17" i="17"/>
  <c r="F266" i="16"/>
  <c r="AA266" i="16" s="1"/>
  <c r="Z266" i="16" s="1"/>
  <c r="Y266" i="16" s="1"/>
  <c r="O381" i="23"/>
  <c r="O382" i="23"/>
  <c r="O383" i="23"/>
  <c r="D63" i="19"/>
  <c r="AC383" i="22"/>
  <c r="AC381" i="22"/>
  <c r="AC382" i="22"/>
  <c r="F172" i="16"/>
  <c r="G172" i="16" s="1"/>
  <c r="BY172" i="6" s="1"/>
  <c r="N61" i="19"/>
  <c r="F383" i="1"/>
  <c r="F382" i="1"/>
  <c r="F381" i="1"/>
  <c r="AK10" i="1"/>
  <c r="AK12" i="1" s="1"/>
  <c r="AK13" i="1" s="1"/>
  <c r="F9" i="1"/>
  <c r="AM10" i="1"/>
  <c r="AA379" i="1"/>
  <c r="G379" i="1"/>
  <c r="BW379" i="6" s="1"/>
  <c r="I379" i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H63" i="19"/>
  <c r="F75" i="16"/>
  <c r="G75" i="16" s="1"/>
  <c r="BY75" i="6" s="1"/>
  <c r="O382" i="22"/>
  <c r="O383" i="22"/>
  <c r="O381" i="22"/>
  <c r="I297" i="16"/>
  <c r="J297" i="16"/>
  <c r="I24" i="16"/>
  <c r="J24" i="16"/>
  <c r="J101" i="16"/>
  <c r="I101" i="16"/>
  <c r="G93" i="16"/>
  <c r="BY93" i="6" s="1"/>
  <c r="AA93" i="16"/>
  <c r="Z93" i="16" s="1"/>
  <c r="Y93" i="16" s="1"/>
  <c r="H93" i="16"/>
  <c r="G378" i="16"/>
  <c r="BY378" i="6" s="1"/>
  <c r="H378" i="16"/>
  <c r="AA378" i="16"/>
  <c r="Z378" i="16" s="1"/>
  <c r="Y378" i="16" s="1"/>
  <c r="AA372" i="16"/>
  <c r="Z372" i="16" s="1"/>
  <c r="Y372" i="16" s="1"/>
  <c r="G372" i="16"/>
  <c r="BY372" i="6" s="1"/>
  <c r="H372" i="16"/>
  <c r="I44" i="16"/>
  <c r="J44" i="16"/>
  <c r="J362" i="16"/>
  <c r="I362" i="16"/>
  <c r="AA149" i="16"/>
  <c r="Z149" i="16" s="1"/>
  <c r="Y149" i="16" s="1"/>
  <c r="H149" i="16"/>
  <c r="G149" i="16"/>
  <c r="BY149" i="6" s="1"/>
  <c r="AA374" i="16"/>
  <c r="Z374" i="16" s="1"/>
  <c r="Y374" i="16" s="1"/>
  <c r="G374" i="16"/>
  <c r="BY374" i="6" s="1"/>
  <c r="H374" i="16"/>
  <c r="G322" i="16"/>
  <c r="BY322" i="6" s="1"/>
  <c r="AA322" i="16"/>
  <c r="Z322" i="16" s="1"/>
  <c r="Y322" i="16" s="1"/>
  <c r="H322" i="16"/>
  <c r="G97" i="16"/>
  <c r="BY97" i="6" s="1"/>
  <c r="H97" i="16"/>
  <c r="AA97" i="16"/>
  <c r="Z97" i="16" s="1"/>
  <c r="Y97" i="16" s="1"/>
  <c r="AA21" i="16"/>
  <c r="Z21" i="16" s="1"/>
  <c r="Y21" i="16" s="1"/>
  <c r="G21" i="16"/>
  <c r="BY21" i="6" s="1"/>
  <c r="H21" i="16"/>
  <c r="AA296" i="16"/>
  <c r="Z296" i="16" s="1"/>
  <c r="Y296" i="16" s="1"/>
  <c r="H296" i="16"/>
  <c r="G296" i="16"/>
  <c r="BY296" i="6" s="1"/>
  <c r="AA233" i="16"/>
  <c r="Z233" i="16" s="1"/>
  <c r="Y233" i="16" s="1"/>
  <c r="H233" i="16"/>
  <c r="G233" i="16"/>
  <c r="BY233" i="6" s="1"/>
  <c r="AA74" i="16"/>
  <c r="Z74" i="16" s="1"/>
  <c r="Y74" i="16" s="1"/>
  <c r="G74" i="16"/>
  <c r="BY74" i="6" s="1"/>
  <c r="H74" i="16"/>
  <c r="AA341" i="16"/>
  <c r="Z341" i="16" s="1"/>
  <c r="Y341" i="16" s="1"/>
  <c r="H341" i="16"/>
  <c r="G341" i="16"/>
  <c r="BY341" i="6" s="1"/>
  <c r="G173" i="16"/>
  <c r="BY173" i="6" s="1"/>
  <c r="H173" i="16"/>
  <c r="AA173" i="16"/>
  <c r="Z173" i="16" s="1"/>
  <c r="Y173" i="16" s="1"/>
  <c r="AA60" i="16"/>
  <c r="Z60" i="16" s="1"/>
  <c r="Y60" i="16" s="1"/>
  <c r="H60" i="16"/>
  <c r="G60" i="16"/>
  <c r="BY60" i="6" s="1"/>
  <c r="AA52" i="16"/>
  <c r="Z52" i="16" s="1"/>
  <c r="Y52" i="16" s="1"/>
  <c r="G52" i="16"/>
  <c r="BY52" i="6" s="1"/>
  <c r="H52" i="16"/>
  <c r="I32" i="16"/>
  <c r="J32" i="16"/>
  <c r="AA333" i="16"/>
  <c r="Z333" i="16" s="1"/>
  <c r="Y333" i="16" s="1"/>
  <c r="H333" i="16"/>
  <c r="G333" i="16"/>
  <c r="BY333" i="6" s="1"/>
  <c r="AA31" i="16"/>
  <c r="Z31" i="16" s="1"/>
  <c r="Y31" i="16" s="1"/>
  <c r="G31" i="16"/>
  <c r="BY31" i="6" s="1"/>
  <c r="H31" i="16"/>
  <c r="AA103" i="16"/>
  <c r="Z103" i="16" s="1"/>
  <c r="Y103" i="16" s="1"/>
  <c r="G103" i="16"/>
  <c r="BY103" i="6" s="1"/>
  <c r="H103" i="16"/>
  <c r="G78" i="16"/>
  <c r="BY78" i="6" s="1"/>
  <c r="AA78" i="16"/>
  <c r="Z78" i="16" s="1"/>
  <c r="Y78" i="16" s="1"/>
  <c r="H78" i="16"/>
  <c r="G299" i="16"/>
  <c r="BY299" i="6" s="1"/>
  <c r="AA299" i="16"/>
  <c r="Z299" i="16" s="1"/>
  <c r="Y299" i="16" s="1"/>
  <c r="H299" i="16"/>
  <c r="AA139" i="16"/>
  <c r="Z139" i="16" s="1"/>
  <c r="Y139" i="16" s="1"/>
  <c r="G139" i="16"/>
  <c r="BY139" i="6" s="1"/>
  <c r="H139" i="16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H171" i="16" s="1"/>
  <c r="I369" i="16"/>
  <c r="J369" i="16"/>
  <c r="I355" i="16"/>
  <c r="J355" i="16"/>
  <c r="J313" i="16"/>
  <c r="I313" i="16"/>
  <c r="I269" i="16"/>
  <c r="J269" i="16"/>
  <c r="G217" i="16"/>
  <c r="BY217" i="6" s="1"/>
  <c r="H217" i="16"/>
  <c r="AA217" i="16"/>
  <c r="Z217" i="16" s="1"/>
  <c r="Y217" i="16" s="1"/>
  <c r="AA199" i="16"/>
  <c r="Z199" i="16" s="1"/>
  <c r="Y199" i="16" s="1"/>
  <c r="G199" i="16"/>
  <c r="BY199" i="6" s="1"/>
  <c r="H199" i="16"/>
  <c r="J185" i="16"/>
  <c r="I185" i="16"/>
  <c r="I153" i="16"/>
  <c r="J153" i="16"/>
  <c r="G73" i="16"/>
  <c r="BY73" i="6" s="1"/>
  <c r="AA73" i="16"/>
  <c r="Z73" i="16" s="1"/>
  <c r="Y73" i="16" s="1"/>
  <c r="H73" i="16"/>
  <c r="I61" i="16"/>
  <c r="J61" i="16"/>
  <c r="I358" i="15"/>
  <c r="H358" i="16" s="1"/>
  <c r="J358" i="15"/>
  <c r="G342" i="16"/>
  <c r="BY342" i="6" s="1"/>
  <c r="H342" i="16"/>
  <c r="AA342" i="16"/>
  <c r="Z342" i="16" s="1"/>
  <c r="Y342" i="16" s="1"/>
  <c r="J318" i="16"/>
  <c r="I318" i="16"/>
  <c r="AA308" i="16"/>
  <c r="Z308" i="16" s="1"/>
  <c r="Y308" i="16" s="1"/>
  <c r="G308" i="16"/>
  <c r="BY308" i="6" s="1"/>
  <c r="H308" i="16"/>
  <c r="J304" i="16"/>
  <c r="I304" i="16"/>
  <c r="I294" i="16"/>
  <c r="J294" i="16"/>
  <c r="G274" i="16"/>
  <c r="BY274" i="6" s="1"/>
  <c r="H274" i="16"/>
  <c r="AA274" i="16"/>
  <c r="Z274" i="16" s="1"/>
  <c r="Y274" i="16" s="1"/>
  <c r="J260" i="16"/>
  <c r="I260" i="16"/>
  <c r="J226" i="16"/>
  <c r="I226" i="16"/>
  <c r="AA222" i="16"/>
  <c r="Z222" i="16" s="1"/>
  <c r="Y222" i="16" s="1"/>
  <c r="H222" i="16"/>
  <c r="G222" i="16"/>
  <c r="BY222" i="6" s="1"/>
  <c r="G184" i="16"/>
  <c r="BY184" i="6" s="1"/>
  <c r="AA184" i="16"/>
  <c r="Z184" i="16" s="1"/>
  <c r="Y184" i="16" s="1"/>
  <c r="H184" i="16"/>
  <c r="AA88" i="16"/>
  <c r="Z88" i="16" s="1"/>
  <c r="Y88" i="16" s="1"/>
  <c r="G88" i="16"/>
  <c r="BY88" i="6" s="1"/>
  <c r="H88" i="16"/>
  <c r="I64" i="16"/>
  <c r="J64" i="16"/>
  <c r="H28" i="16"/>
  <c r="G28" i="16"/>
  <c r="BY28" i="6" s="1"/>
  <c r="AA28" i="16"/>
  <c r="Z28" i="16" s="1"/>
  <c r="Y28" i="16" s="1"/>
  <c r="AA363" i="16"/>
  <c r="Z363" i="16" s="1"/>
  <c r="Y363" i="16" s="1"/>
  <c r="G363" i="16"/>
  <c r="BY363" i="6" s="1"/>
  <c r="H363" i="16"/>
  <c r="I315" i="16"/>
  <c r="J315" i="16"/>
  <c r="J237" i="16"/>
  <c r="I237" i="16"/>
  <c r="G197" i="16"/>
  <c r="BY197" i="6" s="1"/>
  <c r="AA197" i="16"/>
  <c r="Z197" i="16" s="1"/>
  <c r="Y197" i="16" s="1"/>
  <c r="J151" i="16"/>
  <c r="I151" i="16"/>
  <c r="J123" i="16"/>
  <c r="I123" i="16"/>
  <c r="H119" i="16"/>
  <c r="G119" i="16"/>
  <c r="BY119" i="6" s="1"/>
  <c r="AA119" i="16"/>
  <c r="Z119" i="16" s="1"/>
  <c r="Y119" i="16" s="1"/>
  <c r="AA87" i="16"/>
  <c r="Z87" i="16" s="1"/>
  <c r="Y87" i="16" s="1"/>
  <c r="G87" i="16"/>
  <c r="BY87" i="6" s="1"/>
  <c r="H87" i="16"/>
  <c r="I37" i="16"/>
  <c r="J37" i="16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I376" i="16"/>
  <c r="J376" i="16"/>
  <c r="G310" i="16"/>
  <c r="BY310" i="6" s="1"/>
  <c r="AA310" i="16"/>
  <c r="Z310" i="16" s="1"/>
  <c r="Y310" i="16" s="1"/>
  <c r="H310" i="16"/>
  <c r="J224" i="16"/>
  <c r="I224" i="16"/>
  <c r="I112" i="16"/>
  <c r="J112" i="16"/>
  <c r="I197" i="15"/>
  <c r="H197" i="16" s="1"/>
  <c r="J197" i="15"/>
  <c r="I337" i="16"/>
  <c r="J337" i="16"/>
  <c r="J307" i="16"/>
  <c r="I307" i="16"/>
  <c r="AA289" i="16"/>
  <c r="Z289" i="16" s="1"/>
  <c r="Y289" i="16" s="1"/>
  <c r="G289" i="16"/>
  <c r="BY289" i="6" s="1"/>
  <c r="H289" i="16"/>
  <c r="G275" i="16"/>
  <c r="BY275" i="6" s="1"/>
  <c r="H275" i="16"/>
  <c r="AA275" i="16"/>
  <c r="Z275" i="16" s="1"/>
  <c r="Y275" i="16" s="1"/>
  <c r="J257" i="16"/>
  <c r="I257" i="16"/>
  <c r="J209" i="16"/>
  <c r="I209" i="16"/>
  <c r="J191" i="16"/>
  <c r="I191" i="16"/>
  <c r="I141" i="16"/>
  <c r="J141" i="16"/>
  <c r="AA57" i="16"/>
  <c r="Z57" i="16" s="1"/>
  <c r="Y57" i="16" s="1"/>
  <c r="H57" i="16"/>
  <c r="G57" i="16"/>
  <c r="BY57" i="6" s="1"/>
  <c r="AA212" i="16"/>
  <c r="Z212" i="16" s="1"/>
  <c r="Y212" i="16" s="1"/>
  <c r="G212" i="16"/>
  <c r="BY212" i="6" s="1"/>
  <c r="H212" i="16"/>
  <c r="I208" i="16"/>
  <c r="J208" i="16"/>
  <c r="J128" i="16"/>
  <c r="I128" i="16"/>
  <c r="I66" i="16"/>
  <c r="J66" i="16"/>
  <c r="J34" i="16"/>
  <c r="I34" i="16"/>
  <c r="J359" i="16"/>
  <c r="I359" i="16"/>
  <c r="J305" i="16"/>
  <c r="I305" i="16"/>
  <c r="I293" i="16"/>
  <c r="J293" i="16"/>
  <c r="J247" i="16"/>
  <c r="I247" i="16"/>
  <c r="I205" i="16"/>
  <c r="J205" i="16"/>
  <c r="J161" i="16"/>
  <c r="I161" i="16"/>
  <c r="J143" i="16"/>
  <c r="I143" i="16"/>
  <c r="G111" i="16"/>
  <c r="BY111" i="6" s="1"/>
  <c r="AA111" i="16"/>
  <c r="Z111" i="16" s="1"/>
  <c r="Y111" i="16" s="1"/>
  <c r="H111" i="16"/>
  <c r="I59" i="16"/>
  <c r="J59" i="16"/>
  <c r="AA53" i="16"/>
  <c r="Z53" i="16" s="1"/>
  <c r="Y53" i="16" s="1"/>
  <c r="G53" i="16"/>
  <c r="BY53" i="6" s="1"/>
  <c r="H53" i="16"/>
  <c r="I27" i="16"/>
  <c r="AA210" i="16"/>
  <c r="Z210" i="16" s="1"/>
  <c r="Y210" i="16" s="1"/>
  <c r="G210" i="16"/>
  <c r="BY210" i="6" s="1"/>
  <c r="H210" i="16"/>
  <c r="AA118" i="16"/>
  <c r="Z118" i="16" s="1"/>
  <c r="Y118" i="16" s="1"/>
  <c r="H118" i="16"/>
  <c r="G118" i="16"/>
  <c r="BY118" i="6" s="1"/>
  <c r="I86" i="16"/>
  <c r="J86" i="16"/>
  <c r="J76" i="16"/>
  <c r="I76" i="16"/>
  <c r="J72" i="16"/>
  <c r="I72" i="16"/>
  <c r="G48" i="16"/>
  <c r="BY48" i="6" s="1"/>
  <c r="AA48" i="16"/>
  <c r="Z48" i="16" s="1"/>
  <c r="Y48" i="16" s="1"/>
  <c r="H48" i="16"/>
  <c r="I324" i="15"/>
  <c r="H324" i="16" s="1"/>
  <c r="J324" i="15"/>
  <c r="I227" i="15"/>
  <c r="H227" i="16" s="1"/>
  <c r="J227" i="15"/>
  <c r="I51" i="15"/>
  <c r="H51" i="16" s="1"/>
  <c r="J51" i="15"/>
  <c r="AD381" i="15"/>
  <c r="AD382" i="15"/>
  <c r="AD383" i="15"/>
  <c r="I243" i="16"/>
  <c r="J243" i="16"/>
  <c r="J121" i="16"/>
  <c r="I121" i="16"/>
  <c r="I109" i="16"/>
  <c r="J109" i="16"/>
  <c r="J89" i="16"/>
  <c r="I89" i="16"/>
  <c r="P383" i="15"/>
  <c r="P381" i="15"/>
  <c r="V15" i="15"/>
  <c r="P382" i="15"/>
  <c r="F15" i="15"/>
  <c r="I326" i="16"/>
  <c r="J326" i="16"/>
  <c r="F228" i="16"/>
  <c r="J106" i="16"/>
  <c r="I106" i="16"/>
  <c r="J92" i="16"/>
  <c r="I92" i="16"/>
  <c r="I84" i="16"/>
  <c r="J84" i="16"/>
  <c r="X378" i="25"/>
  <c r="L378" i="25"/>
  <c r="AB378" i="25"/>
  <c r="AJ378" i="25"/>
  <c r="K378" i="25"/>
  <c r="A379" i="25"/>
  <c r="AK378" i="25"/>
  <c r="O378" i="25"/>
  <c r="AC378" i="25"/>
  <c r="J347" i="16"/>
  <c r="I347" i="16"/>
  <c r="I207" i="16"/>
  <c r="J207" i="16"/>
  <c r="J147" i="16"/>
  <c r="I147" i="16"/>
  <c r="I137" i="16"/>
  <c r="J137" i="16"/>
  <c r="I71" i="16"/>
  <c r="J71" i="16"/>
  <c r="I67" i="16"/>
  <c r="J67" i="16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328" i="16"/>
  <c r="J328" i="16"/>
  <c r="I316" i="16"/>
  <c r="J316" i="16"/>
  <c r="J278" i="16"/>
  <c r="I278" i="16"/>
  <c r="J262" i="16"/>
  <c r="I262" i="16"/>
  <c r="J242" i="16"/>
  <c r="I242" i="16"/>
  <c r="J230" i="16"/>
  <c r="I230" i="16"/>
  <c r="I94" i="16"/>
  <c r="J94" i="16"/>
  <c r="I90" i="16"/>
  <c r="J90" i="16"/>
  <c r="J68" i="16"/>
  <c r="I68" i="16"/>
  <c r="I264" i="15"/>
  <c r="H264" i="16" s="1"/>
  <c r="J264" i="15"/>
  <c r="J325" i="16"/>
  <c r="I325" i="16"/>
  <c r="I213" i="16"/>
  <c r="J213" i="16"/>
  <c r="I169" i="16"/>
  <c r="J169" i="16"/>
  <c r="J135" i="16"/>
  <c r="I135" i="16"/>
  <c r="J81" i="16"/>
  <c r="I81" i="16"/>
  <c r="J368" i="16"/>
  <c r="I368" i="16"/>
  <c r="I300" i="16"/>
  <c r="J300" i="16"/>
  <c r="J238" i="16"/>
  <c r="I238" i="16"/>
  <c r="J198" i="16"/>
  <c r="I198" i="16"/>
  <c r="J188" i="16"/>
  <c r="I188" i="16"/>
  <c r="I96" i="16"/>
  <c r="J96" i="16"/>
  <c r="F46" i="16"/>
  <c r="I309" i="16"/>
  <c r="J309" i="16"/>
  <c r="J125" i="16"/>
  <c r="I125" i="16"/>
  <c r="J65" i="16"/>
  <c r="I65" i="16"/>
  <c r="I364" i="16"/>
  <c r="J364" i="16"/>
  <c r="J284" i="16"/>
  <c r="I284" i="16"/>
  <c r="I200" i="16"/>
  <c r="J200" i="16"/>
  <c r="I140" i="16"/>
  <c r="J140" i="16"/>
  <c r="E63" i="19" l="1"/>
  <c r="AA160" i="16"/>
  <c r="Z160" i="16" s="1"/>
  <c r="Y160" i="16" s="1"/>
  <c r="AA366" i="16"/>
  <c r="Z366" i="16" s="1"/>
  <c r="Y366" i="16" s="1"/>
  <c r="J117" i="16"/>
  <c r="I117" i="16"/>
  <c r="AA26" i="16"/>
  <c r="Z26" i="16" s="1"/>
  <c r="Y26" i="16" s="1"/>
  <c r="H26" i="16"/>
  <c r="H22" i="16"/>
  <c r="AA20" i="16"/>
  <c r="Z20" i="16" s="1"/>
  <c r="Y20" i="16" s="1"/>
  <c r="H20" i="16"/>
  <c r="V136" i="16"/>
  <c r="F63" i="19" s="1"/>
  <c r="G227" i="16"/>
  <c r="BY227" i="6" s="1"/>
  <c r="AA227" i="16"/>
  <c r="Z227" i="16" s="1"/>
  <c r="Y227" i="16" s="1"/>
  <c r="G283" i="16"/>
  <c r="BY283" i="6" s="1"/>
  <c r="H283" i="16"/>
  <c r="G215" i="16"/>
  <c r="BY215" i="6" s="1"/>
  <c r="H215" i="16"/>
  <c r="U10" i="17"/>
  <c r="G168" i="16"/>
  <c r="BY168" i="6" s="1"/>
  <c r="H168" i="16"/>
  <c r="G267" i="16"/>
  <c r="BY267" i="6" s="1"/>
  <c r="H267" i="16"/>
  <c r="G160" i="16"/>
  <c r="BY160" i="6" s="1"/>
  <c r="H160" i="16"/>
  <c r="G259" i="16"/>
  <c r="BY259" i="6" s="1"/>
  <c r="H259" i="16"/>
  <c r="AA259" i="16"/>
  <c r="Z259" i="16" s="1"/>
  <c r="Y259" i="16" s="1"/>
  <c r="AA168" i="16"/>
  <c r="Z168" i="16" s="1"/>
  <c r="Y168" i="16" s="1"/>
  <c r="G63" i="16"/>
  <c r="BY63" i="6" s="1"/>
  <c r="H63" i="16"/>
  <c r="AA63" i="16"/>
  <c r="Z63" i="16" s="1"/>
  <c r="Y63" i="16" s="1"/>
  <c r="F239" i="16"/>
  <c r="G255" i="16"/>
  <c r="BY255" i="6" s="1"/>
  <c r="H255" i="16"/>
  <c r="AA255" i="16"/>
  <c r="Z255" i="16" s="1"/>
  <c r="Y255" i="16" s="1"/>
  <c r="G303" i="16"/>
  <c r="BY303" i="6" s="1"/>
  <c r="H303" i="16"/>
  <c r="AA303" i="16"/>
  <c r="Z303" i="16" s="1"/>
  <c r="Y303" i="16" s="1"/>
  <c r="G319" i="16"/>
  <c r="BY319" i="6" s="1"/>
  <c r="AA319" i="16"/>
  <c r="Z319" i="16" s="1"/>
  <c r="Y319" i="16" s="1"/>
  <c r="H319" i="16"/>
  <c r="G327" i="16"/>
  <c r="BY327" i="6" s="1"/>
  <c r="H327" i="16"/>
  <c r="AA327" i="16"/>
  <c r="Z327" i="16" s="1"/>
  <c r="Y327" i="16" s="1"/>
  <c r="G335" i="16"/>
  <c r="BY335" i="6" s="1"/>
  <c r="AA335" i="16"/>
  <c r="Z335" i="16" s="1"/>
  <c r="Y335" i="16" s="1"/>
  <c r="H335" i="16"/>
  <c r="AA343" i="16"/>
  <c r="Z343" i="16" s="1"/>
  <c r="Y343" i="16" s="1"/>
  <c r="H343" i="16"/>
  <c r="G343" i="16"/>
  <c r="BY343" i="6" s="1"/>
  <c r="G367" i="16"/>
  <c r="BY367" i="6" s="1"/>
  <c r="H367" i="16"/>
  <c r="AA367" i="16"/>
  <c r="Z367" i="16" s="1"/>
  <c r="Y367" i="16" s="1"/>
  <c r="G375" i="16"/>
  <c r="BY375" i="6" s="1"/>
  <c r="H375" i="16"/>
  <c r="AA375" i="16"/>
  <c r="Z375" i="16" s="1"/>
  <c r="Y375" i="16" s="1"/>
  <c r="J288" i="16"/>
  <c r="I288" i="16"/>
  <c r="F47" i="16"/>
  <c r="C63" i="19"/>
  <c r="G192" i="16"/>
  <c r="BY192" i="6" s="1"/>
  <c r="H192" i="16"/>
  <c r="AA192" i="16"/>
  <c r="Z192" i="16" s="1"/>
  <c r="Y192" i="16" s="1"/>
  <c r="G251" i="16"/>
  <c r="BY251" i="6" s="1"/>
  <c r="H251" i="16"/>
  <c r="AA251" i="16"/>
  <c r="Z251" i="16" s="1"/>
  <c r="Y251" i="16" s="1"/>
  <c r="F295" i="16"/>
  <c r="G311" i="16"/>
  <c r="BY311" i="6" s="1"/>
  <c r="AA311" i="16"/>
  <c r="Z311" i="16" s="1"/>
  <c r="Y311" i="16" s="1"/>
  <c r="H311" i="16"/>
  <c r="F323" i="16"/>
  <c r="L63" i="19"/>
  <c r="G331" i="16"/>
  <c r="BY331" i="6" s="1"/>
  <c r="H331" i="16"/>
  <c r="AA331" i="16"/>
  <c r="Z331" i="16" s="1"/>
  <c r="Y331" i="16" s="1"/>
  <c r="H339" i="16"/>
  <c r="G339" i="16"/>
  <c r="BY339" i="6" s="1"/>
  <c r="AA339" i="16"/>
  <c r="Z339" i="16" s="1"/>
  <c r="Y339" i="16" s="1"/>
  <c r="H351" i="16"/>
  <c r="AA351" i="16"/>
  <c r="Z351" i="16" s="1"/>
  <c r="Y351" i="16" s="1"/>
  <c r="G351" i="16"/>
  <c r="BY351" i="6" s="1"/>
  <c r="G371" i="16"/>
  <c r="BY371" i="6" s="1"/>
  <c r="H371" i="16"/>
  <c r="AA371" i="16"/>
  <c r="Z371" i="16" s="1"/>
  <c r="Y371" i="16" s="1"/>
  <c r="H164" i="16"/>
  <c r="G164" i="16"/>
  <c r="BY164" i="6" s="1"/>
  <c r="G144" i="16"/>
  <c r="BY144" i="6" s="1"/>
  <c r="H144" i="16"/>
  <c r="G277" i="16"/>
  <c r="BY277" i="6" s="1"/>
  <c r="AA277" i="16"/>
  <c r="Z277" i="16" s="1"/>
  <c r="Y277" i="16" s="1"/>
  <c r="H277" i="16"/>
  <c r="V241" i="16"/>
  <c r="F241" i="16" s="1"/>
  <c r="D51" i="7"/>
  <c r="G107" i="16"/>
  <c r="BY107" i="6" s="1"/>
  <c r="H107" i="16"/>
  <c r="G352" i="16"/>
  <c r="BY352" i="6" s="1"/>
  <c r="AA352" i="16"/>
  <c r="Z352" i="16" s="1"/>
  <c r="Y352" i="16" s="1"/>
  <c r="H352" i="16"/>
  <c r="G336" i="16"/>
  <c r="BY336" i="6" s="1"/>
  <c r="AA336" i="16"/>
  <c r="Z336" i="16" s="1"/>
  <c r="Y336" i="16" s="1"/>
  <c r="H336" i="16"/>
  <c r="G312" i="16"/>
  <c r="BY312" i="6" s="1"/>
  <c r="H312" i="16"/>
  <c r="AA312" i="16"/>
  <c r="Z312" i="16" s="1"/>
  <c r="Y312" i="16" s="1"/>
  <c r="G252" i="16"/>
  <c r="BY252" i="6" s="1"/>
  <c r="AA252" i="16"/>
  <c r="Z252" i="16" s="1"/>
  <c r="Y252" i="16" s="1"/>
  <c r="H252" i="16"/>
  <c r="H204" i="16"/>
  <c r="AA204" i="16"/>
  <c r="Z204" i="16" s="1"/>
  <c r="Y204" i="16" s="1"/>
  <c r="G204" i="16"/>
  <c r="BY204" i="6" s="1"/>
  <c r="G190" i="16"/>
  <c r="BY190" i="6" s="1"/>
  <c r="H190" i="16"/>
  <c r="AA190" i="16"/>
  <c r="Z190" i="16" s="1"/>
  <c r="Y190" i="16" s="1"/>
  <c r="G166" i="16"/>
  <c r="BY166" i="6" s="1"/>
  <c r="AA166" i="16"/>
  <c r="Z166" i="16" s="1"/>
  <c r="Y166" i="16" s="1"/>
  <c r="H166" i="16"/>
  <c r="G150" i="16"/>
  <c r="BY150" i="6" s="1"/>
  <c r="AA150" i="16"/>
  <c r="Z150" i="16" s="1"/>
  <c r="Y150" i="16" s="1"/>
  <c r="H150" i="16"/>
  <c r="G130" i="16"/>
  <c r="BY130" i="6" s="1"/>
  <c r="AA130" i="16"/>
  <c r="Z130" i="16" s="1"/>
  <c r="Y130" i="16" s="1"/>
  <c r="H130" i="16"/>
  <c r="G279" i="16"/>
  <c r="BY279" i="6" s="1"/>
  <c r="H279" i="16"/>
  <c r="AA279" i="16"/>
  <c r="Z279" i="16" s="1"/>
  <c r="Y279" i="16" s="1"/>
  <c r="G235" i="16"/>
  <c r="BY235" i="6" s="1"/>
  <c r="AA235" i="16"/>
  <c r="Z235" i="16" s="1"/>
  <c r="Y235" i="16" s="1"/>
  <c r="H235" i="16"/>
  <c r="AA95" i="16"/>
  <c r="Z95" i="16" s="1"/>
  <c r="Y95" i="16" s="1"/>
  <c r="G95" i="16"/>
  <c r="BY95" i="6" s="1"/>
  <c r="H95" i="16"/>
  <c r="G354" i="16"/>
  <c r="BY354" i="6" s="1"/>
  <c r="H354" i="16"/>
  <c r="AA354" i="16"/>
  <c r="Z354" i="16" s="1"/>
  <c r="Y354" i="16" s="1"/>
  <c r="G334" i="16"/>
  <c r="BY334" i="6" s="1"/>
  <c r="H334" i="16"/>
  <c r="AA334" i="16"/>
  <c r="Z334" i="16" s="1"/>
  <c r="Y334" i="16" s="1"/>
  <c r="D53" i="7"/>
  <c r="V302" i="16"/>
  <c r="F302" i="16" s="1"/>
  <c r="D52" i="7"/>
  <c r="V272" i="16"/>
  <c r="G240" i="16"/>
  <c r="BY240" i="6" s="1"/>
  <c r="H240" i="16"/>
  <c r="AA240" i="16"/>
  <c r="Z240" i="16" s="1"/>
  <c r="Y240" i="16" s="1"/>
  <c r="G270" i="16"/>
  <c r="BY270" i="6" s="1"/>
  <c r="H270" i="16"/>
  <c r="AA218" i="16"/>
  <c r="Z218" i="16" s="1"/>
  <c r="Y218" i="16" s="1"/>
  <c r="G218" i="16"/>
  <c r="BY218" i="6" s="1"/>
  <c r="H218" i="16"/>
  <c r="G234" i="16"/>
  <c r="BY234" i="6" s="1"/>
  <c r="H234" i="16"/>
  <c r="AA234" i="16"/>
  <c r="Z234" i="16" s="1"/>
  <c r="Y234" i="16" s="1"/>
  <c r="G250" i="16"/>
  <c r="BY250" i="6" s="1"/>
  <c r="H250" i="16"/>
  <c r="G282" i="16"/>
  <c r="BY282" i="6" s="1"/>
  <c r="AA282" i="16"/>
  <c r="Z282" i="16" s="1"/>
  <c r="Y282" i="16" s="1"/>
  <c r="H282" i="16"/>
  <c r="G99" i="16"/>
  <c r="BY99" i="6" s="1"/>
  <c r="H99" i="16"/>
  <c r="AA83" i="16"/>
  <c r="Z83" i="16" s="1"/>
  <c r="Y83" i="16" s="1"/>
  <c r="AA99" i="16"/>
  <c r="Z99" i="16" s="1"/>
  <c r="Y99" i="16" s="1"/>
  <c r="AA144" i="16"/>
  <c r="Z144" i="16" s="1"/>
  <c r="Y144" i="16" s="1"/>
  <c r="AA270" i="16"/>
  <c r="Z270" i="16" s="1"/>
  <c r="Y270" i="16" s="1"/>
  <c r="I290" i="16"/>
  <c r="J290" i="16"/>
  <c r="G281" i="16"/>
  <c r="BY281" i="6" s="1"/>
  <c r="AA281" i="16"/>
  <c r="Z281" i="16" s="1"/>
  <c r="Y281" i="16" s="1"/>
  <c r="H281" i="16"/>
  <c r="G245" i="16"/>
  <c r="BY245" i="6" s="1"/>
  <c r="AA245" i="16"/>
  <c r="Z245" i="16" s="1"/>
  <c r="Y245" i="16" s="1"/>
  <c r="H245" i="16"/>
  <c r="G115" i="16"/>
  <c r="BY115" i="6" s="1"/>
  <c r="H115" i="16"/>
  <c r="G356" i="16"/>
  <c r="BY356" i="6" s="1"/>
  <c r="H356" i="16"/>
  <c r="AA356" i="16"/>
  <c r="Z356" i="16" s="1"/>
  <c r="Y356" i="16" s="1"/>
  <c r="G340" i="16"/>
  <c r="BY340" i="6" s="1"/>
  <c r="H340" i="16"/>
  <c r="G268" i="16"/>
  <c r="BY268" i="6" s="1"/>
  <c r="H268" i="16"/>
  <c r="AA268" i="16"/>
  <c r="Z268" i="16" s="1"/>
  <c r="Y268" i="16" s="1"/>
  <c r="G220" i="16"/>
  <c r="BY220" i="6" s="1"/>
  <c r="H220" i="16"/>
  <c r="G170" i="16"/>
  <c r="BY170" i="6" s="1"/>
  <c r="H170" i="16"/>
  <c r="AA170" i="16"/>
  <c r="Z170" i="16" s="1"/>
  <c r="Y170" i="16" s="1"/>
  <c r="G154" i="16"/>
  <c r="BY154" i="6" s="1"/>
  <c r="H154" i="16"/>
  <c r="H134" i="16"/>
  <c r="G134" i="16"/>
  <c r="BY134" i="6" s="1"/>
  <c r="AA134" i="16"/>
  <c r="Z134" i="16" s="1"/>
  <c r="Y134" i="16" s="1"/>
  <c r="V350" i="16"/>
  <c r="G330" i="16"/>
  <c r="BY330" i="6" s="1"/>
  <c r="H330" i="16"/>
  <c r="AA330" i="16"/>
  <c r="Z330" i="16" s="1"/>
  <c r="Y330" i="16" s="1"/>
  <c r="G264" i="16"/>
  <c r="BY264" i="6" s="1"/>
  <c r="AA264" i="16"/>
  <c r="Z264" i="16" s="1"/>
  <c r="Y264" i="16" s="1"/>
  <c r="G232" i="16"/>
  <c r="BY232" i="6" s="1"/>
  <c r="H232" i="16"/>
  <c r="G39" i="16"/>
  <c r="BY39" i="6" s="1"/>
  <c r="AA39" i="16"/>
  <c r="Z39" i="16" s="1"/>
  <c r="Y39" i="16" s="1"/>
  <c r="H55" i="16"/>
  <c r="G55" i="16"/>
  <c r="BY55" i="6" s="1"/>
  <c r="G221" i="16"/>
  <c r="BY221" i="6" s="1"/>
  <c r="H221" i="16"/>
  <c r="G249" i="16"/>
  <c r="BY249" i="6" s="1"/>
  <c r="H249" i="16"/>
  <c r="G253" i="16"/>
  <c r="BY253" i="6" s="1"/>
  <c r="H253" i="16"/>
  <c r="G261" i="16"/>
  <c r="BY261" i="6" s="1"/>
  <c r="AA261" i="16"/>
  <c r="Z261" i="16" s="1"/>
  <c r="Y261" i="16" s="1"/>
  <c r="H261" i="16"/>
  <c r="G285" i="16"/>
  <c r="BY285" i="6" s="1"/>
  <c r="H285" i="16"/>
  <c r="AA285" i="16"/>
  <c r="Z285" i="16" s="1"/>
  <c r="Y285" i="16" s="1"/>
  <c r="G301" i="16"/>
  <c r="BY301" i="6" s="1"/>
  <c r="H301" i="16"/>
  <c r="G317" i="16"/>
  <c r="BY317" i="6" s="1"/>
  <c r="AA317" i="16"/>
  <c r="Z317" i="16" s="1"/>
  <c r="Y317" i="16" s="1"/>
  <c r="H317" i="16"/>
  <c r="G329" i="16"/>
  <c r="BY329" i="6" s="1"/>
  <c r="H329" i="16"/>
  <c r="G345" i="16"/>
  <c r="BY345" i="6" s="1"/>
  <c r="H345" i="16"/>
  <c r="G349" i="16"/>
  <c r="BY349" i="6" s="1"/>
  <c r="H349" i="16"/>
  <c r="AA349" i="16"/>
  <c r="Z349" i="16" s="1"/>
  <c r="Y349" i="16" s="1"/>
  <c r="G353" i="16"/>
  <c r="BY353" i="6" s="1"/>
  <c r="H353" i="16"/>
  <c r="AA353" i="16"/>
  <c r="Z353" i="16" s="1"/>
  <c r="Y353" i="16" s="1"/>
  <c r="G357" i="16"/>
  <c r="BY357" i="6" s="1"/>
  <c r="H357" i="16"/>
  <c r="AA357" i="16"/>
  <c r="Z357" i="16" s="1"/>
  <c r="Y357" i="16" s="1"/>
  <c r="G361" i="16"/>
  <c r="BY361" i="6" s="1"/>
  <c r="AA361" i="16"/>
  <c r="Z361" i="16" s="1"/>
  <c r="Y361" i="16" s="1"/>
  <c r="H361" i="16"/>
  <c r="G365" i="16"/>
  <c r="BY365" i="6" s="1"/>
  <c r="H365" i="16"/>
  <c r="AA365" i="16"/>
  <c r="Z365" i="16" s="1"/>
  <c r="Y365" i="16" s="1"/>
  <c r="G373" i="16"/>
  <c r="BY373" i="6" s="1"/>
  <c r="H373" i="16"/>
  <c r="G377" i="16"/>
  <c r="BY377" i="6" s="1"/>
  <c r="H377" i="16"/>
  <c r="AA377" i="16"/>
  <c r="Z377" i="16" s="1"/>
  <c r="Y377" i="16" s="1"/>
  <c r="G214" i="16"/>
  <c r="BY214" i="6" s="1"/>
  <c r="AA214" i="16"/>
  <c r="Z214" i="16" s="1"/>
  <c r="Y214" i="16" s="1"/>
  <c r="H214" i="16"/>
  <c r="G246" i="16"/>
  <c r="BY246" i="6" s="1"/>
  <c r="H246" i="16"/>
  <c r="G254" i="16"/>
  <c r="BY254" i="6" s="1"/>
  <c r="H254" i="16"/>
  <c r="G286" i="16"/>
  <c r="BY286" i="6" s="1"/>
  <c r="H286" i="16"/>
  <c r="G194" i="16"/>
  <c r="BY194" i="6" s="1"/>
  <c r="H194" i="16"/>
  <c r="AA194" i="16"/>
  <c r="Z194" i="16" s="1"/>
  <c r="Y194" i="16" s="1"/>
  <c r="G202" i="16"/>
  <c r="BY202" i="6" s="1"/>
  <c r="AA202" i="16"/>
  <c r="Z202" i="16" s="1"/>
  <c r="Y202" i="16" s="1"/>
  <c r="H202" i="16"/>
  <c r="AA329" i="16"/>
  <c r="Z329" i="16" s="1"/>
  <c r="Y329" i="16" s="1"/>
  <c r="AA23" i="16"/>
  <c r="Z23" i="16" s="1"/>
  <c r="Y23" i="16" s="1"/>
  <c r="AA340" i="16"/>
  <c r="Z340" i="16" s="1"/>
  <c r="Y340" i="16" s="1"/>
  <c r="AA115" i="16"/>
  <c r="Z115" i="16" s="1"/>
  <c r="Y115" i="16" s="1"/>
  <c r="AA249" i="16"/>
  <c r="Z249" i="16" s="1"/>
  <c r="Y249" i="16" s="1"/>
  <c r="AA164" i="16"/>
  <c r="Z164" i="16" s="1"/>
  <c r="Y164" i="16" s="1"/>
  <c r="AA286" i="16"/>
  <c r="Z286" i="16" s="1"/>
  <c r="Y286" i="16" s="1"/>
  <c r="V180" i="16"/>
  <c r="D49" i="7"/>
  <c r="H156" i="16"/>
  <c r="G156" i="16"/>
  <c r="BY156" i="6" s="1"/>
  <c r="H132" i="16"/>
  <c r="G132" i="16"/>
  <c r="BY132" i="6" s="1"/>
  <c r="G265" i="16"/>
  <c r="BY265" i="6" s="1"/>
  <c r="H265" i="16"/>
  <c r="AA265" i="16"/>
  <c r="Z265" i="16" s="1"/>
  <c r="Y265" i="16" s="1"/>
  <c r="G225" i="16"/>
  <c r="BY225" i="6" s="1"/>
  <c r="H225" i="16"/>
  <c r="G360" i="16"/>
  <c r="BY360" i="6" s="1"/>
  <c r="H360" i="16"/>
  <c r="AA360" i="16"/>
  <c r="Z360" i="16" s="1"/>
  <c r="Y360" i="16" s="1"/>
  <c r="G344" i="16"/>
  <c r="BY344" i="6" s="1"/>
  <c r="H344" i="16"/>
  <c r="AA324" i="16"/>
  <c r="Z324" i="16" s="1"/>
  <c r="Y324" i="16" s="1"/>
  <c r="G324" i="16"/>
  <c r="BY324" i="6" s="1"/>
  <c r="AA276" i="16"/>
  <c r="Z276" i="16" s="1"/>
  <c r="Y276" i="16" s="1"/>
  <c r="G276" i="16"/>
  <c r="BY276" i="6" s="1"/>
  <c r="G236" i="16"/>
  <c r="BY236" i="6" s="1"/>
  <c r="H236" i="16"/>
  <c r="AA236" i="16"/>
  <c r="Z236" i="16" s="1"/>
  <c r="Y236" i="16" s="1"/>
  <c r="J258" i="16"/>
  <c r="I258" i="16"/>
  <c r="G174" i="16"/>
  <c r="BY174" i="6" s="1"/>
  <c r="H174" i="16"/>
  <c r="AA174" i="16"/>
  <c r="Z174" i="16" s="1"/>
  <c r="Y174" i="16" s="1"/>
  <c r="G158" i="16"/>
  <c r="BY158" i="6" s="1"/>
  <c r="H158" i="16"/>
  <c r="G142" i="16"/>
  <c r="BY142" i="6" s="1"/>
  <c r="H142" i="16"/>
  <c r="AA291" i="16"/>
  <c r="Z291" i="16" s="1"/>
  <c r="Y291" i="16" s="1"/>
  <c r="G291" i="16"/>
  <c r="BY291" i="6" s="1"/>
  <c r="H291" i="16"/>
  <c r="H263" i="16"/>
  <c r="G263" i="16"/>
  <c r="BY263" i="6" s="1"/>
  <c r="G223" i="16"/>
  <c r="BY223" i="6" s="1"/>
  <c r="AA223" i="16"/>
  <c r="Z223" i="16" s="1"/>
  <c r="Y223" i="16" s="1"/>
  <c r="H223" i="16"/>
  <c r="G370" i="16"/>
  <c r="BY370" i="6" s="1"/>
  <c r="H370" i="16"/>
  <c r="G346" i="16"/>
  <c r="BY346" i="6" s="1"/>
  <c r="H346" i="16"/>
  <c r="G314" i="16"/>
  <c r="BY314" i="6" s="1"/>
  <c r="AA314" i="16"/>
  <c r="Z314" i="16" s="1"/>
  <c r="Y314" i="16" s="1"/>
  <c r="H314" i="16"/>
  <c r="G288" i="16"/>
  <c r="BY288" i="6" s="1"/>
  <c r="AA288" i="16"/>
  <c r="Z288" i="16" s="1"/>
  <c r="Y288" i="16" s="1"/>
  <c r="G256" i="16"/>
  <c r="BY256" i="6" s="1"/>
  <c r="H256" i="16"/>
  <c r="G216" i="16"/>
  <c r="BY216" i="6" s="1"/>
  <c r="H216" i="16"/>
  <c r="AA216" i="16"/>
  <c r="Z216" i="16" s="1"/>
  <c r="Y216" i="16" s="1"/>
  <c r="T382" i="16"/>
  <c r="S15" i="16"/>
  <c r="T383" i="16"/>
  <c r="T381" i="16"/>
  <c r="AA142" i="16"/>
  <c r="Z142" i="16" s="1"/>
  <c r="Y142" i="16" s="1"/>
  <c r="AA43" i="16"/>
  <c r="Z43" i="16" s="1"/>
  <c r="Y43" i="16" s="1"/>
  <c r="AA263" i="16"/>
  <c r="Z263" i="16" s="1"/>
  <c r="Y263" i="16" s="1"/>
  <c r="AA344" i="16"/>
  <c r="Z344" i="16" s="1"/>
  <c r="Y344" i="16" s="1"/>
  <c r="AA370" i="16"/>
  <c r="Z370" i="16" s="1"/>
  <c r="Y370" i="16" s="1"/>
  <c r="AA132" i="16"/>
  <c r="Z132" i="16" s="1"/>
  <c r="Y132" i="16" s="1"/>
  <c r="AA250" i="16"/>
  <c r="Z250" i="16" s="1"/>
  <c r="Y250" i="16" s="1"/>
  <c r="G148" i="16"/>
  <c r="BY148" i="6" s="1"/>
  <c r="AA148" i="16"/>
  <c r="Z148" i="16" s="1"/>
  <c r="Y148" i="16" s="1"/>
  <c r="H148" i="16"/>
  <c r="G273" i="16"/>
  <c r="BY273" i="6" s="1"/>
  <c r="AA273" i="16"/>
  <c r="Z273" i="16" s="1"/>
  <c r="Y273" i="16" s="1"/>
  <c r="H273" i="16"/>
  <c r="G229" i="16"/>
  <c r="BY229" i="6" s="1"/>
  <c r="H229" i="16"/>
  <c r="V380" i="16"/>
  <c r="F380" i="16"/>
  <c r="G348" i="16"/>
  <c r="BY348" i="6" s="1"/>
  <c r="H348" i="16"/>
  <c r="AA348" i="16"/>
  <c r="Z348" i="16" s="1"/>
  <c r="Y348" i="16" s="1"/>
  <c r="G332" i="16"/>
  <c r="BY332" i="6" s="1"/>
  <c r="H332" i="16"/>
  <c r="AA332" i="16"/>
  <c r="Z332" i="16" s="1"/>
  <c r="Y332" i="16" s="1"/>
  <c r="G292" i="16"/>
  <c r="BY292" i="6" s="1"/>
  <c r="AA292" i="16"/>
  <c r="Z292" i="16" s="1"/>
  <c r="Y292" i="16" s="1"/>
  <c r="H292" i="16"/>
  <c r="G244" i="16"/>
  <c r="BY244" i="6" s="1"/>
  <c r="H244" i="16"/>
  <c r="G196" i="16"/>
  <c r="BY196" i="6" s="1"/>
  <c r="H196" i="16"/>
  <c r="G186" i="16"/>
  <c r="BY186" i="6" s="1"/>
  <c r="AA186" i="16"/>
  <c r="Z186" i="16" s="1"/>
  <c r="Y186" i="16" s="1"/>
  <c r="H186" i="16"/>
  <c r="G162" i="16"/>
  <c r="BY162" i="6" s="1"/>
  <c r="AA162" i="16"/>
  <c r="Z162" i="16" s="1"/>
  <c r="Y162" i="16" s="1"/>
  <c r="H162" i="16"/>
  <c r="G146" i="16"/>
  <c r="BY146" i="6" s="1"/>
  <c r="H146" i="16"/>
  <c r="G35" i="16"/>
  <c r="BY35" i="6" s="1"/>
  <c r="H35" i="16"/>
  <c r="G366" i="16"/>
  <c r="BY366" i="6" s="1"/>
  <c r="H366" i="16"/>
  <c r="G338" i="16"/>
  <c r="BY338" i="6" s="1"/>
  <c r="H338" i="16"/>
  <c r="G306" i="16"/>
  <c r="BY306" i="6" s="1"/>
  <c r="H306" i="16"/>
  <c r="AA280" i="16"/>
  <c r="Z280" i="16" s="1"/>
  <c r="Y280" i="16" s="1"/>
  <c r="G280" i="16"/>
  <c r="BY280" i="6" s="1"/>
  <c r="H280" i="16"/>
  <c r="G248" i="16"/>
  <c r="BY248" i="6" s="1"/>
  <c r="H248" i="16"/>
  <c r="G206" i="16"/>
  <c r="BY206" i="6" s="1"/>
  <c r="H206" i="16"/>
  <c r="AG15" i="16"/>
  <c r="AH383" i="16"/>
  <c r="AH381" i="16"/>
  <c r="AH382" i="16"/>
  <c r="AG379" i="16"/>
  <c r="AF379" i="16" s="1"/>
  <c r="AD379" i="16" s="1"/>
  <c r="AA379" i="16" s="1"/>
  <c r="Z379" i="16" s="1"/>
  <c r="Y379" i="16" s="1"/>
  <c r="H276" i="16"/>
  <c r="H39" i="16"/>
  <c r="AA107" i="16"/>
  <c r="Z107" i="16" s="1"/>
  <c r="Y107" i="16" s="1"/>
  <c r="AA35" i="16"/>
  <c r="Z35" i="16" s="1"/>
  <c r="Y35" i="16" s="1"/>
  <c r="H43" i="16"/>
  <c r="AA158" i="16"/>
  <c r="Z158" i="16" s="1"/>
  <c r="Y158" i="16" s="1"/>
  <c r="AA225" i="16"/>
  <c r="Z225" i="16" s="1"/>
  <c r="Y225" i="16" s="1"/>
  <c r="AA220" i="16"/>
  <c r="Z220" i="16" s="1"/>
  <c r="Y220" i="16" s="1"/>
  <c r="AA346" i="16"/>
  <c r="Z346" i="16" s="1"/>
  <c r="Y346" i="16" s="1"/>
  <c r="AA244" i="16"/>
  <c r="Z244" i="16" s="1"/>
  <c r="Y244" i="16" s="1"/>
  <c r="AA306" i="16"/>
  <c r="Z306" i="16" s="1"/>
  <c r="Y306" i="16" s="1"/>
  <c r="H298" i="16"/>
  <c r="H23" i="16"/>
  <c r="L42" i="19"/>
  <c r="Q12" i="18"/>
  <c r="J320" i="16"/>
  <c r="I287" i="16"/>
  <c r="J91" i="16"/>
  <c r="I114" i="16"/>
  <c r="J83" i="16"/>
  <c r="J219" i="16"/>
  <c r="I138" i="16"/>
  <c r="J152" i="16"/>
  <c r="J108" i="16"/>
  <c r="J176" i="16"/>
  <c r="I271" i="16"/>
  <c r="G379" i="16"/>
  <c r="BY379" i="6" s="1"/>
  <c r="J182" i="16"/>
  <c r="I33" i="16"/>
  <c r="J17" i="16"/>
  <c r="J127" i="16"/>
  <c r="L41" i="19"/>
  <c r="V15" i="7"/>
  <c r="J79" i="16"/>
  <c r="I231" i="16"/>
  <c r="I98" i="16"/>
  <c r="J69" i="16"/>
  <c r="I45" i="16"/>
  <c r="J25" i="16"/>
  <c r="J19" i="16"/>
  <c r="J178" i="16"/>
  <c r="I36" i="16"/>
  <c r="Q382" i="17"/>
  <c r="I42" i="16"/>
  <c r="I124" i="16"/>
  <c r="J62" i="16"/>
  <c r="I16" i="16"/>
  <c r="J70" i="16"/>
  <c r="J29" i="16"/>
  <c r="I38" i="16"/>
  <c r="I40" i="16"/>
  <c r="I56" i="16"/>
  <c r="J58" i="16"/>
  <c r="I167" i="16"/>
  <c r="I50" i="16"/>
  <c r="I18" i="16"/>
  <c r="J54" i="16"/>
  <c r="I30" i="16"/>
  <c r="H266" i="16"/>
  <c r="J266" i="16" s="1"/>
  <c r="H75" i="16"/>
  <c r="J75" i="16" s="1"/>
  <c r="AA172" i="16"/>
  <c r="Z172" i="16" s="1"/>
  <c r="Y172" i="16" s="1"/>
  <c r="I321" i="16"/>
  <c r="Q383" i="17"/>
  <c r="Q381" i="17"/>
  <c r="H172" i="16"/>
  <c r="J172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H379" i="15"/>
  <c r="Z379" i="1"/>
  <c r="AA382" i="1"/>
  <c r="AA9" i="1"/>
  <c r="AM8" i="1"/>
  <c r="AA381" i="1"/>
  <c r="AA383" i="1"/>
  <c r="AL10" i="1"/>
  <c r="AB9" i="1"/>
  <c r="G11" i="19"/>
  <c r="J35" i="19" s="1"/>
  <c r="F11" i="1"/>
  <c r="I197" i="16"/>
  <c r="J197" i="16"/>
  <c r="I324" i="16"/>
  <c r="J324" i="16"/>
  <c r="J48" i="16"/>
  <c r="I48" i="16"/>
  <c r="I53" i="16"/>
  <c r="J53" i="16"/>
  <c r="J57" i="16"/>
  <c r="I57" i="16"/>
  <c r="I87" i="16"/>
  <c r="J87" i="16"/>
  <c r="J88" i="16"/>
  <c r="I88" i="16"/>
  <c r="I184" i="16"/>
  <c r="J184" i="16"/>
  <c r="I308" i="16"/>
  <c r="J308" i="16"/>
  <c r="I342" i="16"/>
  <c r="J342" i="16"/>
  <c r="I358" i="16"/>
  <c r="J358" i="16"/>
  <c r="J199" i="16"/>
  <c r="I199" i="16"/>
  <c r="I217" i="16"/>
  <c r="J217" i="16"/>
  <c r="I171" i="16"/>
  <c r="J171" i="16"/>
  <c r="AK5" i="24"/>
  <c r="AM5" i="24"/>
  <c r="AK7" i="24"/>
  <c r="AK11" i="24" s="1"/>
  <c r="AM9" i="24"/>
  <c r="AK9" i="24"/>
  <c r="AM7" i="24"/>
  <c r="AM11" i="24" s="1"/>
  <c r="J299" i="16"/>
  <c r="I299" i="16"/>
  <c r="J31" i="16"/>
  <c r="I31" i="16"/>
  <c r="I333" i="16"/>
  <c r="J333" i="16"/>
  <c r="I52" i="16"/>
  <c r="J52" i="16"/>
  <c r="J60" i="16"/>
  <c r="I60" i="16"/>
  <c r="J341" i="16"/>
  <c r="I341" i="16"/>
  <c r="I74" i="16"/>
  <c r="J74" i="16"/>
  <c r="I233" i="16"/>
  <c r="J233" i="16"/>
  <c r="I374" i="16"/>
  <c r="J374" i="16"/>
  <c r="I149" i="16"/>
  <c r="J149" i="16"/>
  <c r="J372" i="16"/>
  <c r="I372" i="16"/>
  <c r="I378" i="16"/>
  <c r="J378" i="16"/>
  <c r="J93" i="16"/>
  <c r="I93" i="16"/>
  <c r="J264" i="16"/>
  <c r="I264" i="16"/>
  <c r="G46" i="16"/>
  <c r="BY46" i="6" s="1"/>
  <c r="AA46" i="16"/>
  <c r="Z46" i="16" s="1"/>
  <c r="Y46" i="16" s="1"/>
  <c r="H46" i="16"/>
  <c r="AE382" i="17"/>
  <c r="AE381" i="17"/>
  <c r="AE383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0" i="15"/>
  <c r="V381" i="15" s="1"/>
  <c r="J51" i="16"/>
  <c r="I51" i="16"/>
  <c r="J227" i="16"/>
  <c r="I227" i="16"/>
  <c r="AA15" i="7"/>
  <c r="Q10" i="18"/>
  <c r="AE18" i="18" s="1"/>
  <c r="J118" i="16"/>
  <c r="I118" i="16"/>
  <c r="I210" i="16"/>
  <c r="J210" i="16"/>
  <c r="J111" i="16"/>
  <c r="I111" i="16"/>
  <c r="I212" i="16"/>
  <c r="J212" i="16"/>
  <c r="I275" i="16"/>
  <c r="J275" i="16"/>
  <c r="J289" i="16"/>
  <c r="I289" i="16"/>
  <c r="I310" i="16"/>
  <c r="J310" i="16"/>
  <c r="AK3" i="22"/>
  <c r="Q17" i="19" s="1"/>
  <c r="I119" i="16"/>
  <c r="J119" i="16"/>
  <c r="J363" i="16"/>
  <c r="I363" i="16"/>
  <c r="J28" i="16"/>
  <c r="I28" i="16"/>
  <c r="I222" i="16"/>
  <c r="J222" i="16"/>
  <c r="J274" i="16"/>
  <c r="I274" i="16"/>
  <c r="I73" i="16"/>
  <c r="J73" i="16"/>
  <c r="L381" i="24"/>
  <c r="L382" i="24"/>
  <c r="L383" i="24"/>
  <c r="I139" i="16"/>
  <c r="J139" i="16"/>
  <c r="J78" i="16"/>
  <c r="I78" i="16"/>
  <c r="I103" i="16"/>
  <c r="J103" i="16"/>
  <c r="J173" i="16"/>
  <c r="I173" i="16"/>
  <c r="J296" i="16"/>
  <c r="I296" i="16"/>
  <c r="J21" i="16"/>
  <c r="I21" i="16"/>
  <c r="I97" i="16"/>
  <c r="J97" i="16"/>
  <c r="J322" i="16"/>
  <c r="I322" i="16"/>
  <c r="I26" i="16" l="1"/>
  <c r="J26" i="16"/>
  <c r="J22" i="16"/>
  <c r="I22" i="16"/>
  <c r="I20" i="16"/>
  <c r="J20" i="16"/>
  <c r="J259" i="16"/>
  <c r="I259" i="16"/>
  <c r="J160" i="16"/>
  <c r="I160" i="16"/>
  <c r="I267" i="16"/>
  <c r="J267" i="16"/>
  <c r="I168" i="16"/>
  <c r="J168" i="16"/>
  <c r="AI15" i="17"/>
  <c r="AI18" i="17"/>
  <c r="AH18" i="17" s="1"/>
  <c r="AI336" i="17"/>
  <c r="AH336" i="17" s="1"/>
  <c r="AI368" i="17"/>
  <c r="AH368" i="17" s="1"/>
  <c r="AI207" i="17"/>
  <c r="AH207" i="17" s="1"/>
  <c r="AI352" i="17"/>
  <c r="AH352" i="17" s="1"/>
  <c r="AI288" i="17"/>
  <c r="AH288" i="17" s="1"/>
  <c r="AI175" i="17"/>
  <c r="AH175" i="17" s="1"/>
  <c r="AI47" i="17"/>
  <c r="AH47" i="17" s="1"/>
  <c r="AI376" i="17"/>
  <c r="AH376" i="17" s="1"/>
  <c r="AI344" i="17"/>
  <c r="AH344" i="17" s="1"/>
  <c r="AI312" i="17"/>
  <c r="AH312" i="17" s="1"/>
  <c r="AI280" i="17"/>
  <c r="AH280" i="17" s="1"/>
  <c r="AI223" i="17"/>
  <c r="AH223" i="17" s="1"/>
  <c r="AI159" i="17"/>
  <c r="AH159" i="17" s="1"/>
  <c r="AI95" i="17"/>
  <c r="AH95" i="17" s="1"/>
  <c r="AI31" i="17"/>
  <c r="AH31" i="17" s="1"/>
  <c r="AI372" i="17"/>
  <c r="AH372" i="17" s="1"/>
  <c r="AI356" i="17"/>
  <c r="AH356" i="17" s="1"/>
  <c r="AI340" i="17"/>
  <c r="AH340" i="17" s="1"/>
  <c r="AI324" i="17"/>
  <c r="AH324" i="17" s="1"/>
  <c r="AI308" i="17"/>
  <c r="AH308" i="17" s="1"/>
  <c r="AI292" i="17"/>
  <c r="AH292" i="17" s="1"/>
  <c r="AI276" i="17"/>
  <c r="AH276" i="17" s="1"/>
  <c r="AI247" i="17"/>
  <c r="AH247" i="17" s="1"/>
  <c r="AI215" i="17"/>
  <c r="AH215" i="17" s="1"/>
  <c r="AI183" i="17"/>
  <c r="AH183" i="17" s="1"/>
  <c r="AI151" i="17"/>
  <c r="AH151" i="17" s="1"/>
  <c r="AI119" i="17"/>
  <c r="AH119" i="17" s="1"/>
  <c r="AI87" i="17"/>
  <c r="AH87" i="17" s="1"/>
  <c r="AI55" i="17"/>
  <c r="AH55" i="17" s="1"/>
  <c r="AI23" i="17"/>
  <c r="AH23" i="17" s="1"/>
  <c r="AI374" i="17"/>
  <c r="AH374" i="17" s="1"/>
  <c r="AI366" i="17"/>
  <c r="AH366" i="17" s="1"/>
  <c r="AI358" i="17"/>
  <c r="AH358" i="17" s="1"/>
  <c r="AI350" i="17"/>
  <c r="AH350" i="17" s="1"/>
  <c r="AI342" i="17"/>
  <c r="AH342" i="17" s="1"/>
  <c r="AI334" i="17"/>
  <c r="AH334" i="17" s="1"/>
  <c r="AI326" i="17"/>
  <c r="AH326" i="17" s="1"/>
  <c r="AI318" i="17"/>
  <c r="AH318" i="17" s="1"/>
  <c r="AI310" i="17"/>
  <c r="AH310" i="17" s="1"/>
  <c r="AI302" i="17"/>
  <c r="AH302" i="17" s="1"/>
  <c r="AI294" i="17"/>
  <c r="AH294" i="17" s="1"/>
  <c r="AI286" i="17"/>
  <c r="AH286" i="17" s="1"/>
  <c r="AI278" i="17"/>
  <c r="AH278" i="17" s="1"/>
  <c r="AI267" i="17"/>
  <c r="AH267" i="17" s="1"/>
  <c r="AI251" i="17"/>
  <c r="AH251" i="17" s="1"/>
  <c r="AI235" i="17"/>
  <c r="AH235" i="17" s="1"/>
  <c r="AI219" i="17"/>
  <c r="AH219" i="17" s="1"/>
  <c r="AI203" i="17"/>
  <c r="AH203" i="17" s="1"/>
  <c r="AI187" i="17"/>
  <c r="AH187" i="17" s="1"/>
  <c r="AI171" i="17"/>
  <c r="AH171" i="17" s="1"/>
  <c r="AI155" i="17"/>
  <c r="AH155" i="17" s="1"/>
  <c r="AI139" i="17"/>
  <c r="AH139" i="17" s="1"/>
  <c r="AI123" i="17"/>
  <c r="AH123" i="17" s="1"/>
  <c r="AI107" i="17"/>
  <c r="AH107" i="17" s="1"/>
  <c r="AI91" i="17"/>
  <c r="AH91" i="17" s="1"/>
  <c r="AI75" i="17"/>
  <c r="AH75" i="17" s="1"/>
  <c r="AI59" i="17"/>
  <c r="AH59" i="17" s="1"/>
  <c r="AI43" i="17"/>
  <c r="AH43" i="17" s="1"/>
  <c r="AI27" i="17"/>
  <c r="AH27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271" i="17"/>
  <c r="AH271" i="17" s="1"/>
  <c r="AI143" i="17"/>
  <c r="AH143" i="17" s="1"/>
  <c r="AI304" i="17"/>
  <c r="AH304" i="17" s="1"/>
  <c r="AI79" i="17"/>
  <c r="AH79" i="17" s="1"/>
  <c r="AI320" i="17"/>
  <c r="AH320" i="17" s="1"/>
  <c r="AI239" i="17"/>
  <c r="AH239" i="17" s="1"/>
  <c r="AI111" i="17"/>
  <c r="AH111" i="17" s="1"/>
  <c r="AI360" i="17"/>
  <c r="AH360" i="17" s="1"/>
  <c r="AI328" i="17"/>
  <c r="AH328" i="17" s="1"/>
  <c r="AI296" i="17"/>
  <c r="AH296" i="17" s="1"/>
  <c r="AI255" i="17"/>
  <c r="AH255" i="17" s="1"/>
  <c r="AI191" i="17"/>
  <c r="AH191" i="17" s="1"/>
  <c r="AI127" i="17"/>
  <c r="AH127" i="17" s="1"/>
  <c r="AI63" i="17"/>
  <c r="AH63" i="17" s="1"/>
  <c r="AI364" i="17"/>
  <c r="AH364" i="17" s="1"/>
  <c r="AI348" i="17"/>
  <c r="AH348" i="17" s="1"/>
  <c r="AI332" i="17"/>
  <c r="AH332" i="17" s="1"/>
  <c r="AI316" i="17"/>
  <c r="AH316" i="17" s="1"/>
  <c r="AI300" i="17"/>
  <c r="AH300" i="17" s="1"/>
  <c r="AI284" i="17"/>
  <c r="AH284" i="17" s="1"/>
  <c r="AI263" i="17"/>
  <c r="AH263" i="17" s="1"/>
  <c r="AI231" i="17"/>
  <c r="AH231" i="17" s="1"/>
  <c r="AI199" i="17"/>
  <c r="AH199" i="17" s="1"/>
  <c r="AI167" i="17"/>
  <c r="AH167" i="17" s="1"/>
  <c r="AI135" i="17"/>
  <c r="AH135" i="17" s="1"/>
  <c r="AI103" i="17"/>
  <c r="AH103" i="17" s="1"/>
  <c r="AI71" i="17"/>
  <c r="AH71" i="17" s="1"/>
  <c r="AI39" i="17"/>
  <c r="AH39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22" i="17"/>
  <c r="AH322" i="17" s="1"/>
  <c r="AI314" i="17"/>
  <c r="AH314" i="17" s="1"/>
  <c r="AI306" i="17"/>
  <c r="AH306" i="17" s="1"/>
  <c r="AI298" i="17"/>
  <c r="AH298" i="17" s="1"/>
  <c r="AI290" i="17"/>
  <c r="AH290" i="17" s="1"/>
  <c r="AI282" i="17"/>
  <c r="AH282" i="17" s="1"/>
  <c r="AI274" i="17"/>
  <c r="AH274" i="17" s="1"/>
  <c r="AI259" i="17"/>
  <c r="AH259" i="17" s="1"/>
  <c r="AI243" i="17"/>
  <c r="AH243" i="17" s="1"/>
  <c r="AI227" i="17"/>
  <c r="AH227" i="17" s="1"/>
  <c r="AI211" i="17"/>
  <c r="AH211" i="17" s="1"/>
  <c r="AI195" i="17"/>
  <c r="AH195" i="17" s="1"/>
  <c r="AI179" i="17"/>
  <c r="AH179" i="17" s="1"/>
  <c r="AI163" i="17"/>
  <c r="AH163" i="17" s="1"/>
  <c r="AI147" i="17"/>
  <c r="AH147" i="17" s="1"/>
  <c r="AI131" i="17"/>
  <c r="AH131" i="17" s="1"/>
  <c r="AI115" i="17"/>
  <c r="AH115" i="17" s="1"/>
  <c r="AI99" i="17"/>
  <c r="AH99" i="17" s="1"/>
  <c r="AI83" i="17"/>
  <c r="AH83" i="17" s="1"/>
  <c r="AI67" i="17"/>
  <c r="AH67" i="17" s="1"/>
  <c r="AI51" i="17"/>
  <c r="AH51" i="17" s="1"/>
  <c r="AI35" i="17"/>
  <c r="AH35" i="17" s="1"/>
  <c r="AI16" i="17"/>
  <c r="AH16" i="17" s="1"/>
  <c r="AI26" i="17"/>
  <c r="AH26" i="17" s="1"/>
  <c r="AI34" i="17"/>
  <c r="AH34" i="17" s="1"/>
  <c r="AI42" i="17"/>
  <c r="AH42" i="17" s="1"/>
  <c r="AI50" i="17"/>
  <c r="AH50" i="17" s="1"/>
  <c r="AI58" i="17"/>
  <c r="AH58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132" i="17"/>
  <c r="AH132" i="17" s="1"/>
  <c r="AI136" i="17"/>
  <c r="AH136" i="17" s="1"/>
  <c r="AI140" i="17"/>
  <c r="AH140" i="17" s="1"/>
  <c r="AI144" i="17"/>
  <c r="AH144" i="17" s="1"/>
  <c r="AI148" i="17"/>
  <c r="AH148" i="17" s="1"/>
  <c r="AI152" i="17"/>
  <c r="AH152" i="17" s="1"/>
  <c r="AI156" i="17"/>
  <c r="AH156" i="17" s="1"/>
  <c r="AI160" i="17"/>
  <c r="AH160" i="17" s="1"/>
  <c r="AI164" i="17"/>
  <c r="AH164" i="17" s="1"/>
  <c r="AI168" i="17"/>
  <c r="AH168" i="17" s="1"/>
  <c r="AI172" i="17"/>
  <c r="AH172" i="17" s="1"/>
  <c r="AI176" i="17"/>
  <c r="AH176" i="17" s="1"/>
  <c r="AI180" i="17"/>
  <c r="AH180" i="17" s="1"/>
  <c r="AI184" i="17"/>
  <c r="AH184" i="17" s="1"/>
  <c r="AI188" i="17"/>
  <c r="AH188" i="17" s="1"/>
  <c r="AI192" i="17"/>
  <c r="AH192" i="17" s="1"/>
  <c r="AI196" i="17"/>
  <c r="AH196" i="17" s="1"/>
  <c r="AI200" i="17"/>
  <c r="AH200" i="17" s="1"/>
  <c r="AI204" i="17"/>
  <c r="AH204" i="17" s="1"/>
  <c r="AI208" i="17"/>
  <c r="AH208" i="17" s="1"/>
  <c r="AI212" i="17"/>
  <c r="AH212" i="17" s="1"/>
  <c r="AI216" i="17"/>
  <c r="AH216" i="17" s="1"/>
  <c r="AI220" i="17"/>
  <c r="AH220" i="17" s="1"/>
  <c r="AI224" i="17"/>
  <c r="AH224" i="17" s="1"/>
  <c r="AI228" i="17"/>
  <c r="AH228" i="17" s="1"/>
  <c r="AI232" i="17"/>
  <c r="AH232" i="17" s="1"/>
  <c r="AI236" i="17"/>
  <c r="AH236" i="17" s="1"/>
  <c r="AI240" i="17"/>
  <c r="AH240" i="17" s="1"/>
  <c r="AI244" i="17"/>
  <c r="AH244" i="17" s="1"/>
  <c r="AI248" i="17"/>
  <c r="AH248" i="17" s="1"/>
  <c r="AI252" i="17"/>
  <c r="AH252" i="17" s="1"/>
  <c r="AI256" i="17"/>
  <c r="AH256" i="17" s="1"/>
  <c r="AI260" i="17"/>
  <c r="AH260" i="17" s="1"/>
  <c r="AI264" i="17"/>
  <c r="AH264" i="17" s="1"/>
  <c r="AI268" i="17"/>
  <c r="AH268" i="17" s="1"/>
  <c r="AI272" i="17"/>
  <c r="AH272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W16" i="7"/>
  <c r="AI22" i="17"/>
  <c r="AH22" i="17" s="1"/>
  <c r="AI30" i="17"/>
  <c r="AH30" i="17" s="1"/>
  <c r="AI38" i="17"/>
  <c r="AH38" i="17" s="1"/>
  <c r="AI46" i="17"/>
  <c r="AH46" i="17" s="1"/>
  <c r="AI54" i="17"/>
  <c r="AH54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130" i="17"/>
  <c r="AH130" i="17" s="1"/>
  <c r="AI134" i="17"/>
  <c r="AH134" i="17" s="1"/>
  <c r="AI138" i="17"/>
  <c r="AH138" i="17" s="1"/>
  <c r="AI142" i="17"/>
  <c r="AH142" i="17" s="1"/>
  <c r="AI146" i="17"/>
  <c r="AH146" i="17" s="1"/>
  <c r="AI150" i="17"/>
  <c r="AH150" i="17" s="1"/>
  <c r="AI154" i="17"/>
  <c r="AH154" i="17" s="1"/>
  <c r="AI158" i="17"/>
  <c r="AH158" i="17" s="1"/>
  <c r="AI162" i="17"/>
  <c r="AH162" i="17" s="1"/>
  <c r="AI166" i="17"/>
  <c r="AH166" i="17" s="1"/>
  <c r="AI170" i="17"/>
  <c r="AH170" i="17" s="1"/>
  <c r="AI174" i="17"/>
  <c r="AH174" i="17" s="1"/>
  <c r="AI178" i="17"/>
  <c r="AH178" i="17" s="1"/>
  <c r="AI182" i="17"/>
  <c r="AH182" i="17" s="1"/>
  <c r="AI186" i="17"/>
  <c r="AH186" i="17" s="1"/>
  <c r="AI190" i="17"/>
  <c r="AH190" i="17" s="1"/>
  <c r="AI194" i="17"/>
  <c r="AH194" i="17" s="1"/>
  <c r="AI198" i="17"/>
  <c r="AH198" i="17" s="1"/>
  <c r="AI202" i="17"/>
  <c r="AH202" i="17" s="1"/>
  <c r="AI206" i="17"/>
  <c r="AH206" i="17" s="1"/>
  <c r="AI210" i="17"/>
  <c r="AH210" i="17" s="1"/>
  <c r="AI214" i="17"/>
  <c r="AH214" i="17" s="1"/>
  <c r="AI218" i="17"/>
  <c r="AH218" i="17" s="1"/>
  <c r="AI222" i="17"/>
  <c r="AH222" i="17" s="1"/>
  <c r="AI226" i="17"/>
  <c r="AH226" i="17" s="1"/>
  <c r="AI230" i="17"/>
  <c r="AH230" i="17" s="1"/>
  <c r="AI234" i="17"/>
  <c r="AH234" i="17" s="1"/>
  <c r="AI238" i="17"/>
  <c r="AH238" i="17" s="1"/>
  <c r="AI242" i="17"/>
  <c r="AH242" i="17" s="1"/>
  <c r="AI246" i="17"/>
  <c r="AH246" i="17" s="1"/>
  <c r="AI250" i="17"/>
  <c r="AH250" i="17" s="1"/>
  <c r="AI254" i="17"/>
  <c r="AH254" i="17" s="1"/>
  <c r="AI258" i="17"/>
  <c r="AH258" i="17" s="1"/>
  <c r="AI262" i="17"/>
  <c r="AH262" i="17" s="1"/>
  <c r="AI266" i="17"/>
  <c r="AH266" i="17" s="1"/>
  <c r="AI270" i="17"/>
  <c r="AH270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69" i="17"/>
  <c r="AH269" i="17" s="1"/>
  <c r="AI261" i="17"/>
  <c r="AH261" i="17" s="1"/>
  <c r="AI253" i="17"/>
  <c r="AH253" i="17" s="1"/>
  <c r="AI245" i="17"/>
  <c r="AH245" i="17" s="1"/>
  <c r="AI237" i="17"/>
  <c r="AH237" i="17" s="1"/>
  <c r="AI229" i="17"/>
  <c r="AH229" i="17" s="1"/>
  <c r="AI221" i="17"/>
  <c r="AH221" i="17" s="1"/>
  <c r="AI213" i="17"/>
  <c r="AH213" i="17" s="1"/>
  <c r="AI205" i="17"/>
  <c r="AH205" i="17" s="1"/>
  <c r="AI197" i="17"/>
  <c r="AH197" i="17" s="1"/>
  <c r="AI189" i="17"/>
  <c r="AH189" i="17" s="1"/>
  <c r="AI181" i="17"/>
  <c r="AH181" i="17" s="1"/>
  <c r="AI173" i="17"/>
  <c r="AH173" i="17" s="1"/>
  <c r="AI165" i="17"/>
  <c r="AH165" i="17" s="1"/>
  <c r="AI157" i="17"/>
  <c r="AH157" i="17" s="1"/>
  <c r="AI149" i="17"/>
  <c r="AH149" i="17" s="1"/>
  <c r="AI141" i="17"/>
  <c r="AH141" i="17" s="1"/>
  <c r="AI133" i="17"/>
  <c r="AH133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F373" i="17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F361" i="17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U337" i="17"/>
  <c r="T337" i="17" s="1"/>
  <c r="S337" i="17" s="1"/>
  <c r="R337" i="17" s="1"/>
  <c r="P337" i="17" s="1"/>
  <c r="V337" i="17" s="1"/>
  <c r="F337" i="17" s="1"/>
  <c r="H337" i="17" s="1"/>
  <c r="U333" i="17"/>
  <c r="T333" i="17" s="1"/>
  <c r="U329" i="17"/>
  <c r="T329" i="17" s="1"/>
  <c r="S329" i="17" s="1"/>
  <c r="R329" i="17" s="1"/>
  <c r="P329" i="17" s="1"/>
  <c r="V329" i="17" s="1"/>
  <c r="F329" i="17" s="1"/>
  <c r="U325" i="17"/>
  <c r="T325" i="17" s="1"/>
  <c r="S325" i="17" s="1"/>
  <c r="R325" i="17" s="1"/>
  <c r="P325" i="17" s="1"/>
  <c r="U321" i="17"/>
  <c r="T321" i="17" s="1"/>
  <c r="U317" i="17"/>
  <c r="T317" i="17" s="1"/>
  <c r="S317" i="17" s="1"/>
  <c r="R317" i="17" s="1"/>
  <c r="P317" i="17" s="1"/>
  <c r="U313" i="17"/>
  <c r="T313" i="17" s="1"/>
  <c r="S313" i="17" s="1"/>
  <c r="R313" i="17" s="1"/>
  <c r="P313" i="17" s="1"/>
  <c r="U309" i="17"/>
  <c r="T309" i="17" s="1"/>
  <c r="S309" i="17" s="1"/>
  <c r="R309" i="17" s="1"/>
  <c r="P309" i="17" s="1"/>
  <c r="V309" i="17" s="1"/>
  <c r="U305" i="17"/>
  <c r="T305" i="17" s="1"/>
  <c r="U301" i="17"/>
  <c r="T301" i="17" s="1"/>
  <c r="S301" i="17" s="1"/>
  <c r="R301" i="17" s="1"/>
  <c r="P301" i="17" s="1"/>
  <c r="V301" i="17" s="1"/>
  <c r="F301" i="17" s="1"/>
  <c r="U297" i="17"/>
  <c r="T297" i="17" s="1"/>
  <c r="S297" i="17" s="1"/>
  <c r="R297" i="17" s="1"/>
  <c r="P297" i="17" s="1"/>
  <c r="V297" i="17" s="1"/>
  <c r="F297" i="17" s="1"/>
  <c r="H297" i="17" s="1"/>
  <c r="U293" i="17"/>
  <c r="T293" i="17" s="1"/>
  <c r="S293" i="17" s="1"/>
  <c r="R293" i="17" s="1"/>
  <c r="P293" i="17" s="1"/>
  <c r="U289" i="17"/>
  <c r="T289" i="17" s="1"/>
  <c r="U285" i="17"/>
  <c r="T285" i="17" s="1"/>
  <c r="S285" i="17" s="1"/>
  <c r="R285" i="17" s="1"/>
  <c r="P285" i="17" s="1"/>
  <c r="V285" i="17" s="1"/>
  <c r="F285" i="17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U269" i="17"/>
  <c r="T269" i="17" s="1"/>
  <c r="U265" i="17"/>
  <c r="T265" i="17" s="1"/>
  <c r="U261" i="17"/>
  <c r="T261" i="17" s="1"/>
  <c r="U257" i="17"/>
  <c r="T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U245" i="17"/>
  <c r="T245" i="17" s="1"/>
  <c r="U241" i="17"/>
  <c r="T241" i="17" s="1"/>
  <c r="S241" i="17" s="1"/>
  <c r="R241" i="17" s="1"/>
  <c r="P241" i="17" s="1"/>
  <c r="U237" i="17"/>
  <c r="T237" i="17" s="1"/>
  <c r="S237" i="17" s="1"/>
  <c r="R237" i="17" s="1"/>
  <c r="P237" i="17" s="1"/>
  <c r="V237" i="17" s="1"/>
  <c r="U233" i="17"/>
  <c r="T233" i="17" s="1"/>
  <c r="U229" i="17"/>
  <c r="T229" i="17" s="1"/>
  <c r="S229" i="17" s="1"/>
  <c r="R229" i="17" s="1"/>
  <c r="P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F217" i="17" s="1"/>
  <c r="U213" i="17"/>
  <c r="T213" i="17" s="1"/>
  <c r="U209" i="17"/>
  <c r="T209" i="17" s="1"/>
  <c r="S209" i="17" s="1"/>
  <c r="R209" i="17" s="1"/>
  <c r="P209" i="17" s="1"/>
  <c r="V209" i="17" s="1"/>
  <c r="F209" i="17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U157" i="17"/>
  <c r="T157" i="17" s="1"/>
  <c r="S157" i="17" s="1"/>
  <c r="R157" i="17" s="1"/>
  <c r="P157" i="17" s="1"/>
  <c r="V157" i="17" s="1"/>
  <c r="F157" i="17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U137" i="17"/>
  <c r="T137" i="17" s="1"/>
  <c r="U133" i="17"/>
  <c r="T133" i="17" s="1"/>
  <c r="U129" i="17"/>
  <c r="T129" i="17" s="1"/>
  <c r="S129" i="17" s="1"/>
  <c r="R129" i="17" s="1"/>
  <c r="P129" i="17" s="1"/>
  <c r="U125" i="17"/>
  <c r="T125" i="17" s="1"/>
  <c r="U121" i="17"/>
  <c r="T121" i="17" s="1"/>
  <c r="U117" i="17"/>
  <c r="T117" i="17" s="1"/>
  <c r="S117" i="17" s="1"/>
  <c r="R117" i="17" s="1"/>
  <c r="P117" i="17" s="1"/>
  <c r="U113" i="17"/>
  <c r="T113" i="17" s="1"/>
  <c r="S113" i="17" s="1"/>
  <c r="R113" i="17" s="1"/>
  <c r="P113" i="17" s="1"/>
  <c r="U109" i="17"/>
  <c r="T109" i="17" s="1"/>
  <c r="U105" i="17"/>
  <c r="T105" i="17" s="1"/>
  <c r="S105" i="17" s="1"/>
  <c r="R105" i="17" s="1"/>
  <c r="P105" i="17" s="1"/>
  <c r="U101" i="17"/>
  <c r="T101" i="17" s="1"/>
  <c r="U97" i="17"/>
  <c r="T97" i="17" s="1"/>
  <c r="U93" i="17"/>
  <c r="T93" i="17" s="1"/>
  <c r="S93" i="17" s="1"/>
  <c r="R93" i="17" s="1"/>
  <c r="P93" i="17" s="1"/>
  <c r="U89" i="17"/>
  <c r="T89" i="17" s="1"/>
  <c r="S89" i="17" s="1"/>
  <c r="R89" i="17" s="1"/>
  <c r="P89" i="17" s="1"/>
  <c r="U85" i="17"/>
  <c r="T85" i="17" s="1"/>
  <c r="S85" i="17" s="1"/>
  <c r="R85" i="17" s="1"/>
  <c r="P85" i="17" s="1"/>
  <c r="U81" i="17"/>
  <c r="T81" i="17" s="1"/>
  <c r="U77" i="17"/>
  <c r="T77" i="17" s="1"/>
  <c r="U73" i="17"/>
  <c r="T73" i="17" s="1"/>
  <c r="S73" i="17" s="1"/>
  <c r="R73" i="17" s="1"/>
  <c r="P73" i="17" s="1"/>
  <c r="U69" i="17"/>
  <c r="T69" i="17" s="1"/>
  <c r="S69" i="17" s="1"/>
  <c r="R69" i="17" s="1"/>
  <c r="P69" i="17" s="1"/>
  <c r="U65" i="17"/>
  <c r="T65" i="17" s="1"/>
  <c r="S65" i="17" s="1"/>
  <c r="R65" i="17" s="1"/>
  <c r="P65" i="17" s="1"/>
  <c r="U61" i="17"/>
  <c r="T61" i="17" s="1"/>
  <c r="S61" i="17" s="1"/>
  <c r="R61" i="17" s="1"/>
  <c r="P61" i="17" s="1"/>
  <c r="U57" i="17"/>
  <c r="T57" i="17" s="1"/>
  <c r="U53" i="17"/>
  <c r="T53" i="17" s="1"/>
  <c r="U49" i="17"/>
  <c r="T49" i="17" s="1"/>
  <c r="S49" i="17" s="1"/>
  <c r="R49" i="17" s="1"/>
  <c r="P49" i="17" s="1"/>
  <c r="U45" i="17"/>
  <c r="T45" i="17" s="1"/>
  <c r="S45" i="17" s="1"/>
  <c r="R45" i="17" s="1"/>
  <c r="P45" i="17" s="1"/>
  <c r="U41" i="17"/>
  <c r="T41" i="17" s="1"/>
  <c r="U37" i="17"/>
  <c r="T37" i="17" s="1"/>
  <c r="U33" i="17"/>
  <c r="T33" i="17" s="1"/>
  <c r="S33" i="17" s="1"/>
  <c r="R33" i="17" s="1"/>
  <c r="P33" i="17" s="1"/>
  <c r="U29" i="17"/>
  <c r="T29" i="17" s="1"/>
  <c r="U25" i="17"/>
  <c r="T25" i="17" s="1"/>
  <c r="S25" i="17" s="1"/>
  <c r="R25" i="17" s="1"/>
  <c r="P25" i="17" s="1"/>
  <c r="U21" i="17"/>
  <c r="T21" i="17" s="1"/>
  <c r="S21" i="17" s="1"/>
  <c r="R21" i="17" s="1"/>
  <c r="P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U370" i="17"/>
  <c r="T370" i="17" s="1"/>
  <c r="S370" i="17" s="1"/>
  <c r="R370" i="17" s="1"/>
  <c r="P370" i="17" s="1"/>
  <c r="U366" i="17"/>
  <c r="T366" i="17" s="1"/>
  <c r="U362" i="17"/>
  <c r="T362" i="17" s="1"/>
  <c r="S362" i="17" s="1"/>
  <c r="R362" i="17" s="1"/>
  <c r="P362" i="17" s="1"/>
  <c r="V362" i="17" s="1"/>
  <c r="F362" i="17" s="1"/>
  <c r="H362" i="17" s="1"/>
  <c r="U358" i="17"/>
  <c r="T358" i="17" s="1"/>
  <c r="S358" i="17" s="1"/>
  <c r="R358" i="17" s="1"/>
  <c r="P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U338" i="17"/>
  <c r="T338" i="17" s="1"/>
  <c r="S338" i="17" s="1"/>
  <c r="R338" i="17" s="1"/>
  <c r="P338" i="17" s="1"/>
  <c r="U334" i="17"/>
  <c r="T334" i="17" s="1"/>
  <c r="U330" i="17"/>
  <c r="T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U310" i="17"/>
  <c r="T310" i="17" s="1"/>
  <c r="S310" i="17" s="1"/>
  <c r="R310" i="17" s="1"/>
  <c r="P310" i="17" s="1"/>
  <c r="U306" i="17"/>
  <c r="T306" i="17" s="1"/>
  <c r="S306" i="17" s="1"/>
  <c r="R306" i="17" s="1"/>
  <c r="P306" i="17" s="1"/>
  <c r="V306" i="17" s="1"/>
  <c r="F306" i="17" s="1"/>
  <c r="U302" i="17"/>
  <c r="T302" i="17" s="1"/>
  <c r="S302" i="17" s="1"/>
  <c r="R302" i="17" s="1"/>
  <c r="P302" i="17" s="1"/>
  <c r="U298" i="17"/>
  <c r="T298" i="17" s="1"/>
  <c r="S298" i="17" s="1"/>
  <c r="R298" i="17" s="1"/>
  <c r="P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U274" i="17"/>
  <c r="T274" i="17" s="1"/>
  <c r="S274" i="17" s="1"/>
  <c r="R274" i="17" s="1"/>
  <c r="P274" i="17" s="1"/>
  <c r="U270" i="17"/>
  <c r="T270" i="17" s="1"/>
  <c r="S270" i="17" s="1"/>
  <c r="R270" i="17" s="1"/>
  <c r="P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U250" i="17"/>
  <c r="T250" i="17" s="1"/>
  <c r="S250" i="17" s="1"/>
  <c r="R250" i="17" s="1"/>
  <c r="P250" i="17" s="1"/>
  <c r="U246" i="17"/>
  <c r="T246" i="17" s="1"/>
  <c r="U242" i="17"/>
  <c r="T242" i="17" s="1"/>
  <c r="S242" i="17" s="1"/>
  <c r="R242" i="17" s="1"/>
  <c r="P242" i="17" s="1"/>
  <c r="AI275" i="17"/>
  <c r="AH275" i="17" s="1"/>
  <c r="AI265" i="17"/>
  <c r="AH265" i="17" s="1"/>
  <c r="AI257" i="17"/>
  <c r="AH257" i="17" s="1"/>
  <c r="AI249" i="17"/>
  <c r="AH249" i="17" s="1"/>
  <c r="AI241" i="17"/>
  <c r="AH241" i="17" s="1"/>
  <c r="AI233" i="17"/>
  <c r="AH233" i="17" s="1"/>
  <c r="AI225" i="17"/>
  <c r="AH225" i="17" s="1"/>
  <c r="AI217" i="17"/>
  <c r="AH217" i="17" s="1"/>
  <c r="AI209" i="17"/>
  <c r="AH209" i="17" s="1"/>
  <c r="AI201" i="17"/>
  <c r="AH201" i="17" s="1"/>
  <c r="AI193" i="17"/>
  <c r="AH193" i="17" s="1"/>
  <c r="AI185" i="17"/>
  <c r="AH185" i="17" s="1"/>
  <c r="AI177" i="17"/>
  <c r="AH177" i="17" s="1"/>
  <c r="AI169" i="17"/>
  <c r="AH169" i="17" s="1"/>
  <c r="AI161" i="17"/>
  <c r="AH161" i="17" s="1"/>
  <c r="AI153" i="17"/>
  <c r="AH153" i="17" s="1"/>
  <c r="AI145" i="17"/>
  <c r="AH145" i="17" s="1"/>
  <c r="AI137" i="17"/>
  <c r="AH137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U379" i="17"/>
  <c r="U375" i="17"/>
  <c r="T375" i="17" s="1"/>
  <c r="S375" i="17" s="1"/>
  <c r="R375" i="17" s="1"/>
  <c r="P375" i="17" s="1"/>
  <c r="U371" i="17"/>
  <c r="T371" i="17" s="1"/>
  <c r="S371" i="17" s="1"/>
  <c r="R371" i="17" s="1"/>
  <c r="P371" i="17" s="1"/>
  <c r="U367" i="17"/>
  <c r="T367" i="17" s="1"/>
  <c r="U363" i="17"/>
  <c r="T363" i="17" s="1"/>
  <c r="U359" i="17"/>
  <c r="T359" i="17" s="1"/>
  <c r="S359" i="17" s="1"/>
  <c r="R359" i="17" s="1"/>
  <c r="P359" i="17" s="1"/>
  <c r="U355" i="17"/>
  <c r="T355" i="17" s="1"/>
  <c r="S355" i="17" s="1"/>
  <c r="R355" i="17" s="1"/>
  <c r="P355" i="17" s="1"/>
  <c r="U351" i="17"/>
  <c r="T351" i="17" s="1"/>
  <c r="U347" i="17"/>
  <c r="T347" i="17" s="1"/>
  <c r="U343" i="17"/>
  <c r="T343" i="17" s="1"/>
  <c r="S343" i="17" s="1"/>
  <c r="R343" i="17" s="1"/>
  <c r="P343" i="17" s="1"/>
  <c r="U339" i="17"/>
  <c r="T339" i="17" s="1"/>
  <c r="S339" i="17" s="1"/>
  <c r="R339" i="17" s="1"/>
  <c r="P339" i="17" s="1"/>
  <c r="U335" i="17"/>
  <c r="T335" i="17" s="1"/>
  <c r="S335" i="17" s="1"/>
  <c r="R335" i="17" s="1"/>
  <c r="P335" i="17" s="1"/>
  <c r="V335" i="17" s="1"/>
  <c r="F335" i="17" s="1"/>
  <c r="U331" i="17"/>
  <c r="T331" i="17" s="1"/>
  <c r="S331" i="17" s="1"/>
  <c r="R331" i="17" s="1"/>
  <c r="P331" i="17" s="1"/>
  <c r="U327" i="17"/>
  <c r="T327" i="17" s="1"/>
  <c r="S327" i="17" s="1"/>
  <c r="R327" i="17" s="1"/>
  <c r="P327" i="17" s="1"/>
  <c r="U323" i="17"/>
  <c r="T323" i="17" s="1"/>
  <c r="U319" i="17"/>
  <c r="T319" i="17" s="1"/>
  <c r="S319" i="17" s="1"/>
  <c r="R319" i="17" s="1"/>
  <c r="P319" i="17" s="1"/>
  <c r="U315" i="17"/>
  <c r="T315" i="17" s="1"/>
  <c r="S315" i="17" s="1"/>
  <c r="R315" i="17" s="1"/>
  <c r="P315" i="17" s="1"/>
  <c r="U311" i="17"/>
  <c r="T311" i="17" s="1"/>
  <c r="S311" i="17" s="1"/>
  <c r="R311" i="17" s="1"/>
  <c r="P311" i="17" s="1"/>
  <c r="V311" i="17" s="1"/>
  <c r="U307" i="17"/>
  <c r="T307" i="17" s="1"/>
  <c r="U303" i="17"/>
  <c r="T303" i="17" s="1"/>
  <c r="U299" i="17"/>
  <c r="T299" i="17" s="1"/>
  <c r="S299" i="17" s="1"/>
  <c r="R299" i="17" s="1"/>
  <c r="P299" i="17" s="1"/>
  <c r="U295" i="17"/>
  <c r="T295" i="17" s="1"/>
  <c r="U291" i="17"/>
  <c r="T291" i="17" s="1"/>
  <c r="U287" i="17"/>
  <c r="T287" i="17" s="1"/>
  <c r="S287" i="17" s="1"/>
  <c r="R287" i="17" s="1"/>
  <c r="P287" i="17" s="1"/>
  <c r="U283" i="17"/>
  <c r="T283" i="17" s="1"/>
  <c r="S283" i="17" s="1"/>
  <c r="R283" i="17" s="1"/>
  <c r="P283" i="17" s="1"/>
  <c r="U279" i="17"/>
  <c r="T279" i="17" s="1"/>
  <c r="S279" i="17" s="1"/>
  <c r="R279" i="17" s="1"/>
  <c r="P279" i="17" s="1"/>
  <c r="V279" i="17" s="1"/>
  <c r="U275" i="17"/>
  <c r="T275" i="17" s="1"/>
  <c r="U271" i="17"/>
  <c r="T271" i="17" s="1"/>
  <c r="S271" i="17" s="1"/>
  <c r="R271" i="17" s="1"/>
  <c r="P271" i="17" s="1"/>
  <c r="U267" i="17"/>
  <c r="T267" i="17" s="1"/>
  <c r="U263" i="17"/>
  <c r="T263" i="17" s="1"/>
  <c r="S263" i="17" s="1"/>
  <c r="R263" i="17" s="1"/>
  <c r="P263" i="17" s="1"/>
  <c r="V263" i="17" s="1"/>
  <c r="U259" i="17"/>
  <c r="T259" i="17" s="1"/>
  <c r="S259" i="17" s="1"/>
  <c r="R259" i="17" s="1"/>
  <c r="P259" i="17" s="1"/>
  <c r="U255" i="17"/>
  <c r="T255" i="17" s="1"/>
  <c r="S255" i="17" s="1"/>
  <c r="R255" i="17" s="1"/>
  <c r="P255" i="17" s="1"/>
  <c r="V255" i="17" s="1"/>
  <c r="U251" i="17"/>
  <c r="T251" i="17" s="1"/>
  <c r="U247" i="17"/>
  <c r="T247" i="17" s="1"/>
  <c r="S247" i="17" s="1"/>
  <c r="R247" i="17" s="1"/>
  <c r="P247" i="17" s="1"/>
  <c r="U243" i="17"/>
  <c r="T243" i="17" s="1"/>
  <c r="U239" i="17"/>
  <c r="T239" i="17" s="1"/>
  <c r="U235" i="17"/>
  <c r="T235" i="17" s="1"/>
  <c r="U231" i="17"/>
  <c r="T231" i="17" s="1"/>
  <c r="U227" i="17"/>
  <c r="T227" i="17" s="1"/>
  <c r="U223" i="17"/>
  <c r="T223" i="17" s="1"/>
  <c r="U219" i="17"/>
  <c r="T219" i="17" s="1"/>
  <c r="S219" i="17" s="1"/>
  <c r="R219" i="17" s="1"/>
  <c r="P219" i="17" s="1"/>
  <c r="V219" i="17" s="1"/>
  <c r="F219" i="17" s="1"/>
  <c r="H219" i="17" s="1"/>
  <c r="U215" i="17"/>
  <c r="T215" i="17" s="1"/>
  <c r="S215" i="17" s="1"/>
  <c r="R215" i="17" s="1"/>
  <c r="P215" i="17" s="1"/>
  <c r="V215" i="17" s="1"/>
  <c r="F215" i="17" s="1"/>
  <c r="U211" i="17"/>
  <c r="T211" i="17" s="1"/>
  <c r="S211" i="17" s="1"/>
  <c r="R211" i="17" s="1"/>
  <c r="P211" i="17" s="1"/>
  <c r="U207" i="17"/>
  <c r="T207" i="17" s="1"/>
  <c r="U203" i="17"/>
  <c r="T203" i="17" s="1"/>
  <c r="S203" i="17" s="1"/>
  <c r="R203" i="17" s="1"/>
  <c r="P203" i="17" s="1"/>
  <c r="V203" i="17" s="1"/>
  <c r="F203" i="17" s="1"/>
  <c r="U199" i="17"/>
  <c r="T199" i="17" s="1"/>
  <c r="S199" i="17" s="1"/>
  <c r="R199" i="17" s="1"/>
  <c r="P199" i="17" s="1"/>
  <c r="U195" i="17"/>
  <c r="T195" i="17" s="1"/>
  <c r="S195" i="17" s="1"/>
  <c r="R195" i="17" s="1"/>
  <c r="P195" i="17" s="1"/>
  <c r="V195" i="17" s="1"/>
  <c r="U191" i="17"/>
  <c r="T191" i="17" s="1"/>
  <c r="S191" i="17" s="1"/>
  <c r="R191" i="17" s="1"/>
  <c r="P191" i="17" s="1"/>
  <c r="V191" i="17" s="1"/>
  <c r="F191" i="17" s="1"/>
  <c r="H191" i="17" s="1"/>
  <c r="U187" i="17"/>
  <c r="T187" i="17" s="1"/>
  <c r="S187" i="17" s="1"/>
  <c r="R187" i="17" s="1"/>
  <c r="P187" i="17" s="1"/>
  <c r="U183" i="17"/>
  <c r="T183" i="17" s="1"/>
  <c r="U179" i="17"/>
  <c r="T179" i="17" s="1"/>
  <c r="U175" i="17"/>
  <c r="T175" i="17" s="1"/>
  <c r="S175" i="17" s="1"/>
  <c r="R175" i="17" s="1"/>
  <c r="P175" i="17" s="1"/>
  <c r="U171" i="17"/>
  <c r="T171" i="17" s="1"/>
  <c r="U167" i="17"/>
  <c r="T167" i="17" s="1"/>
  <c r="S167" i="17" s="1"/>
  <c r="R167" i="17" s="1"/>
  <c r="P167" i="17" s="1"/>
  <c r="V167" i="17" s="1"/>
  <c r="U163" i="17"/>
  <c r="T163" i="17" s="1"/>
  <c r="U159" i="17"/>
  <c r="T159" i="17" s="1"/>
  <c r="S159" i="17" s="1"/>
  <c r="R159" i="17" s="1"/>
  <c r="P159" i="17" s="1"/>
  <c r="V159" i="17" s="1"/>
  <c r="F159" i="17" s="1"/>
  <c r="U155" i="17"/>
  <c r="T155" i="17" s="1"/>
  <c r="U151" i="17"/>
  <c r="T151" i="17" s="1"/>
  <c r="S151" i="17" s="1"/>
  <c r="R151" i="17" s="1"/>
  <c r="P151" i="17" s="1"/>
  <c r="U147" i="17"/>
  <c r="T147" i="17" s="1"/>
  <c r="U143" i="17"/>
  <c r="T143" i="17" s="1"/>
  <c r="S143" i="17" s="1"/>
  <c r="R143" i="17" s="1"/>
  <c r="P143" i="17" s="1"/>
  <c r="U139" i="17"/>
  <c r="T139" i="17" s="1"/>
  <c r="S139" i="17" s="1"/>
  <c r="R139" i="17" s="1"/>
  <c r="P139" i="17" s="1"/>
  <c r="U135" i="17"/>
  <c r="T135" i="17" s="1"/>
  <c r="U131" i="17"/>
  <c r="T131" i="17" s="1"/>
  <c r="U127" i="17"/>
  <c r="T127" i="17" s="1"/>
  <c r="S127" i="17" s="1"/>
  <c r="R127" i="17" s="1"/>
  <c r="P127" i="17" s="1"/>
  <c r="U123" i="17"/>
  <c r="T123" i="17" s="1"/>
  <c r="S123" i="17" s="1"/>
  <c r="R123" i="17" s="1"/>
  <c r="P123" i="17" s="1"/>
  <c r="U119" i="17"/>
  <c r="T119" i="17" s="1"/>
  <c r="U115" i="17"/>
  <c r="T115" i="17" s="1"/>
  <c r="U111" i="17"/>
  <c r="T111" i="17" s="1"/>
  <c r="U107" i="17"/>
  <c r="T107" i="17" s="1"/>
  <c r="S107" i="17" s="1"/>
  <c r="R107" i="17" s="1"/>
  <c r="P107" i="17" s="1"/>
  <c r="U103" i="17"/>
  <c r="T103" i="17" s="1"/>
  <c r="S103" i="17" s="1"/>
  <c r="R103" i="17" s="1"/>
  <c r="P103" i="17" s="1"/>
  <c r="U99" i="17"/>
  <c r="T99" i="17" s="1"/>
  <c r="S99" i="17" s="1"/>
  <c r="R99" i="17" s="1"/>
  <c r="P99" i="17" s="1"/>
  <c r="U95" i="17"/>
  <c r="T95" i="17" s="1"/>
  <c r="S95" i="17" s="1"/>
  <c r="R95" i="17" s="1"/>
  <c r="P95" i="17" s="1"/>
  <c r="U91" i="17"/>
  <c r="T91" i="17" s="1"/>
  <c r="U87" i="17"/>
  <c r="T87" i="17" s="1"/>
  <c r="U83" i="17"/>
  <c r="T83" i="17" s="1"/>
  <c r="S83" i="17" s="1"/>
  <c r="R83" i="17" s="1"/>
  <c r="P83" i="17" s="1"/>
  <c r="U79" i="17"/>
  <c r="T79" i="17" s="1"/>
  <c r="S79" i="17" s="1"/>
  <c r="R79" i="17" s="1"/>
  <c r="P79" i="17" s="1"/>
  <c r="U75" i="17"/>
  <c r="T75" i="17" s="1"/>
  <c r="U71" i="17"/>
  <c r="T71" i="17" s="1"/>
  <c r="U67" i="17"/>
  <c r="T67" i="17" s="1"/>
  <c r="S67" i="17" s="1"/>
  <c r="R67" i="17" s="1"/>
  <c r="P67" i="17" s="1"/>
  <c r="U63" i="17"/>
  <c r="T63" i="17" s="1"/>
  <c r="S63" i="17" s="1"/>
  <c r="R63" i="17" s="1"/>
  <c r="P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U43" i="17"/>
  <c r="T43" i="17" s="1"/>
  <c r="U39" i="17"/>
  <c r="T39" i="17" s="1"/>
  <c r="S39" i="17" s="1"/>
  <c r="R39" i="17" s="1"/>
  <c r="P39" i="17" s="1"/>
  <c r="U35" i="17"/>
  <c r="T35" i="17" s="1"/>
  <c r="S35" i="17" s="1"/>
  <c r="R35" i="17" s="1"/>
  <c r="P35" i="17" s="1"/>
  <c r="U31" i="17"/>
  <c r="T31" i="17" s="1"/>
  <c r="U27" i="17"/>
  <c r="T27" i="17" s="1"/>
  <c r="U23" i="17"/>
  <c r="T23" i="17" s="1"/>
  <c r="S23" i="17" s="1"/>
  <c r="R23" i="17" s="1"/>
  <c r="P23" i="17" s="1"/>
  <c r="U15" i="17"/>
  <c r="U19" i="17"/>
  <c r="T19" i="17" s="1"/>
  <c r="S19" i="17" s="1"/>
  <c r="R19" i="17" s="1"/>
  <c r="P19" i="17" s="1"/>
  <c r="U376" i="17"/>
  <c r="T376" i="17" s="1"/>
  <c r="U372" i="17"/>
  <c r="T372" i="17" s="1"/>
  <c r="S372" i="17" s="1"/>
  <c r="R372" i="17" s="1"/>
  <c r="P372" i="17" s="1"/>
  <c r="U368" i="17"/>
  <c r="T368" i="17" s="1"/>
  <c r="S368" i="17" s="1"/>
  <c r="R368" i="17" s="1"/>
  <c r="P368" i="17" s="1"/>
  <c r="V368" i="17" s="1"/>
  <c r="F368" i="17" s="1"/>
  <c r="U364" i="17"/>
  <c r="T364" i="17" s="1"/>
  <c r="S364" i="17" s="1"/>
  <c r="R364" i="17" s="1"/>
  <c r="P364" i="17" s="1"/>
  <c r="U360" i="17"/>
  <c r="T360" i="17" s="1"/>
  <c r="U356" i="17"/>
  <c r="T356" i="17" s="1"/>
  <c r="S356" i="17" s="1"/>
  <c r="R356" i="17" s="1"/>
  <c r="P356" i="17" s="1"/>
  <c r="V356" i="17" s="1"/>
  <c r="F356" i="17" s="1"/>
  <c r="U352" i="17"/>
  <c r="T352" i="17" s="1"/>
  <c r="S352" i="17" s="1"/>
  <c r="R352" i="17" s="1"/>
  <c r="P352" i="17" s="1"/>
  <c r="U348" i="17"/>
  <c r="T348" i="17" s="1"/>
  <c r="S348" i="17" s="1"/>
  <c r="R348" i="17" s="1"/>
  <c r="P348" i="17" s="1"/>
  <c r="U344" i="17"/>
  <c r="T344" i="17" s="1"/>
  <c r="S344" i="17" s="1"/>
  <c r="R344" i="17" s="1"/>
  <c r="P344" i="17" s="1"/>
  <c r="V344" i="17" s="1"/>
  <c r="F344" i="17" s="1"/>
  <c r="U340" i="17"/>
  <c r="T340" i="17" s="1"/>
  <c r="S340" i="17" s="1"/>
  <c r="R340" i="17" s="1"/>
  <c r="P340" i="17" s="1"/>
  <c r="V340" i="17" s="1"/>
  <c r="U336" i="17"/>
  <c r="T336" i="17" s="1"/>
  <c r="U332" i="17"/>
  <c r="T332" i="17" s="1"/>
  <c r="S332" i="17" s="1"/>
  <c r="R332" i="17" s="1"/>
  <c r="P332" i="17" s="1"/>
  <c r="V332" i="17" s="1"/>
  <c r="F332" i="17" s="1"/>
  <c r="G332" i="17" s="1"/>
  <c r="BZ332" i="6" s="1"/>
  <c r="U328" i="17"/>
  <c r="T328" i="17" s="1"/>
  <c r="S328" i="17" s="1"/>
  <c r="R328" i="17" s="1"/>
  <c r="P328" i="17" s="1"/>
  <c r="V328" i="17" s="1"/>
  <c r="F328" i="17" s="1"/>
  <c r="U324" i="17"/>
  <c r="T324" i="17" s="1"/>
  <c r="S324" i="17" s="1"/>
  <c r="R324" i="17" s="1"/>
  <c r="P324" i="17" s="1"/>
  <c r="V324" i="17" s="1"/>
  <c r="F324" i="17" s="1"/>
  <c r="U320" i="17"/>
  <c r="T320" i="17" s="1"/>
  <c r="S320" i="17" s="1"/>
  <c r="R320" i="17" s="1"/>
  <c r="P320" i="17" s="1"/>
  <c r="V320" i="17" s="1"/>
  <c r="F320" i="17" s="1"/>
  <c r="U316" i="17"/>
  <c r="T316" i="17" s="1"/>
  <c r="U312" i="17"/>
  <c r="T312" i="17" s="1"/>
  <c r="U308" i="17"/>
  <c r="T308" i="17" s="1"/>
  <c r="U304" i="17"/>
  <c r="T304" i="17" s="1"/>
  <c r="S304" i="17" s="1"/>
  <c r="R304" i="17" s="1"/>
  <c r="P304" i="17" s="1"/>
  <c r="U300" i="17"/>
  <c r="T300" i="17" s="1"/>
  <c r="S300" i="17" s="1"/>
  <c r="R300" i="17" s="1"/>
  <c r="P300" i="17" s="1"/>
  <c r="V300" i="17" s="1"/>
  <c r="F300" i="17" s="1"/>
  <c r="U296" i="17"/>
  <c r="T296" i="17" s="1"/>
  <c r="U292" i="17"/>
  <c r="T292" i="17" s="1"/>
  <c r="S292" i="17" s="1"/>
  <c r="R292" i="17" s="1"/>
  <c r="P292" i="17" s="1"/>
  <c r="U288" i="17"/>
  <c r="T288" i="17" s="1"/>
  <c r="S288" i="17" s="1"/>
  <c r="R288" i="17" s="1"/>
  <c r="P288" i="17" s="1"/>
  <c r="U284" i="17"/>
  <c r="T284" i="17" s="1"/>
  <c r="U280" i="17"/>
  <c r="T280" i="17" s="1"/>
  <c r="U276" i="17"/>
  <c r="T276" i="17" s="1"/>
  <c r="S276" i="17" s="1"/>
  <c r="R276" i="17" s="1"/>
  <c r="P276" i="17" s="1"/>
  <c r="U272" i="17"/>
  <c r="T272" i="17" s="1"/>
  <c r="U268" i="17"/>
  <c r="T268" i="17" s="1"/>
  <c r="S268" i="17" s="1"/>
  <c r="R268" i="17" s="1"/>
  <c r="P268" i="17" s="1"/>
  <c r="V268" i="17" s="1"/>
  <c r="F268" i="17" s="1"/>
  <c r="G268" i="17" s="1"/>
  <c r="BZ268" i="6" s="1"/>
  <c r="U264" i="17"/>
  <c r="T264" i="17" s="1"/>
  <c r="S264" i="17" s="1"/>
  <c r="R264" i="17" s="1"/>
  <c r="P264" i="17" s="1"/>
  <c r="U260" i="17"/>
  <c r="T260" i="17" s="1"/>
  <c r="U256" i="17"/>
  <c r="T256" i="17" s="1"/>
  <c r="U252" i="17"/>
  <c r="T252" i="17" s="1"/>
  <c r="S252" i="17" s="1"/>
  <c r="R252" i="17" s="1"/>
  <c r="P252" i="17" s="1"/>
  <c r="U248" i="17"/>
  <c r="T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F240" i="17" s="1"/>
  <c r="U238" i="17"/>
  <c r="T238" i="17" s="1"/>
  <c r="S238" i="17" s="1"/>
  <c r="R238" i="17" s="1"/>
  <c r="P238" i="17" s="1"/>
  <c r="U234" i="17"/>
  <c r="T234" i="17" s="1"/>
  <c r="U230" i="17"/>
  <c r="T230" i="17" s="1"/>
  <c r="S230" i="17" s="1"/>
  <c r="R230" i="17" s="1"/>
  <c r="P230" i="17" s="1"/>
  <c r="V230" i="17" s="1"/>
  <c r="F230" i="17" s="1"/>
  <c r="U226" i="17"/>
  <c r="T226" i="17" s="1"/>
  <c r="S226" i="17" s="1"/>
  <c r="R226" i="17" s="1"/>
  <c r="P226" i="17" s="1"/>
  <c r="U222" i="17"/>
  <c r="T222" i="17" s="1"/>
  <c r="S222" i="17" s="1"/>
  <c r="R222" i="17" s="1"/>
  <c r="P222" i="17" s="1"/>
  <c r="V222" i="17" s="1"/>
  <c r="F222" i="17" s="1"/>
  <c r="U218" i="17"/>
  <c r="T218" i="17" s="1"/>
  <c r="U214" i="17"/>
  <c r="T214" i="17" s="1"/>
  <c r="S214" i="17" s="1"/>
  <c r="R214" i="17" s="1"/>
  <c r="P214" i="17" s="1"/>
  <c r="V214" i="17" s="1"/>
  <c r="F214" i="17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U190" i="17"/>
  <c r="T190" i="17" s="1"/>
  <c r="U186" i="17"/>
  <c r="T186" i="17" s="1"/>
  <c r="S186" i="17" s="1"/>
  <c r="R186" i="17" s="1"/>
  <c r="P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F154" i="17" s="1"/>
  <c r="U150" i="17"/>
  <c r="T150" i="17" s="1"/>
  <c r="S150" i="17" s="1"/>
  <c r="R150" i="17" s="1"/>
  <c r="P150" i="17" s="1"/>
  <c r="V150" i="17" s="1"/>
  <c r="F150" i="17" s="1"/>
  <c r="G150" i="17" s="1"/>
  <c r="BZ150" i="6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U102" i="17"/>
  <c r="T102" i="17" s="1"/>
  <c r="U98" i="17"/>
  <c r="T98" i="17" s="1"/>
  <c r="S98" i="17" s="1"/>
  <c r="R98" i="17" s="1"/>
  <c r="P98" i="17" s="1"/>
  <c r="U94" i="17"/>
  <c r="T94" i="17" s="1"/>
  <c r="U90" i="17"/>
  <c r="T90" i="17" s="1"/>
  <c r="S90" i="17" s="1"/>
  <c r="R90" i="17" s="1"/>
  <c r="P90" i="17" s="1"/>
  <c r="U86" i="17"/>
  <c r="T86" i="17" s="1"/>
  <c r="S86" i="17" s="1"/>
  <c r="R86" i="17" s="1"/>
  <c r="P86" i="17" s="1"/>
  <c r="V86" i="17" s="1"/>
  <c r="F86" i="17" s="1"/>
  <c r="U82" i="17"/>
  <c r="T82" i="17" s="1"/>
  <c r="U78" i="17"/>
  <c r="T78" i="17" s="1"/>
  <c r="S78" i="17" s="1"/>
  <c r="R78" i="17" s="1"/>
  <c r="P78" i="17" s="1"/>
  <c r="U74" i="17"/>
  <c r="T74" i="17" s="1"/>
  <c r="S74" i="17" s="1"/>
  <c r="R74" i="17" s="1"/>
  <c r="P74" i="17" s="1"/>
  <c r="U70" i="17"/>
  <c r="T70" i="17" s="1"/>
  <c r="S70" i="17" s="1"/>
  <c r="R70" i="17" s="1"/>
  <c r="P70" i="17" s="1"/>
  <c r="U66" i="17"/>
  <c r="T66" i="17" s="1"/>
  <c r="S66" i="17" s="1"/>
  <c r="R66" i="17" s="1"/>
  <c r="P66" i="17" s="1"/>
  <c r="U62" i="17"/>
  <c r="T62" i="17" s="1"/>
  <c r="S62" i="17" s="1"/>
  <c r="R62" i="17" s="1"/>
  <c r="P62" i="17" s="1"/>
  <c r="U58" i="17"/>
  <c r="T58" i="17" s="1"/>
  <c r="S58" i="17" s="1"/>
  <c r="R58" i="17" s="1"/>
  <c r="P58" i="17" s="1"/>
  <c r="U54" i="17"/>
  <c r="T54" i="17" s="1"/>
  <c r="U50" i="17"/>
  <c r="T50" i="17" s="1"/>
  <c r="S50" i="17" s="1"/>
  <c r="R50" i="17" s="1"/>
  <c r="P50" i="17" s="1"/>
  <c r="U46" i="17"/>
  <c r="T46" i="17" s="1"/>
  <c r="U42" i="17"/>
  <c r="T42" i="17" s="1"/>
  <c r="U38" i="17"/>
  <c r="T38" i="17" s="1"/>
  <c r="U34" i="17"/>
  <c r="T34" i="17" s="1"/>
  <c r="S34" i="17" s="1"/>
  <c r="R34" i="17" s="1"/>
  <c r="P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U236" i="17"/>
  <c r="T236" i="17" s="1"/>
  <c r="S236" i="17" s="1"/>
  <c r="R236" i="17" s="1"/>
  <c r="P236" i="17" s="1"/>
  <c r="V236" i="17" s="1"/>
  <c r="F236" i="17" s="1"/>
  <c r="U232" i="17"/>
  <c r="T232" i="17" s="1"/>
  <c r="S232" i="17" s="1"/>
  <c r="R232" i="17" s="1"/>
  <c r="P232" i="17" s="1"/>
  <c r="V232" i="17" s="1"/>
  <c r="F232" i="17" s="1"/>
  <c r="U228" i="17"/>
  <c r="T228" i="17" s="1"/>
  <c r="S228" i="17" s="1"/>
  <c r="R228" i="17" s="1"/>
  <c r="P228" i="17" s="1"/>
  <c r="U224" i="17"/>
  <c r="T224" i="17" s="1"/>
  <c r="S224" i="17" s="1"/>
  <c r="R224" i="17" s="1"/>
  <c r="P224" i="17" s="1"/>
  <c r="V224" i="17" s="1"/>
  <c r="F224" i="17" s="1"/>
  <c r="H224" i="17" s="1"/>
  <c r="U220" i="17"/>
  <c r="T220" i="17" s="1"/>
  <c r="U216" i="17"/>
  <c r="T216" i="17" s="1"/>
  <c r="U212" i="17"/>
  <c r="T212" i="17" s="1"/>
  <c r="S212" i="17" s="1"/>
  <c r="R212" i="17" s="1"/>
  <c r="P212" i="17" s="1"/>
  <c r="U208" i="17"/>
  <c r="T208" i="17" s="1"/>
  <c r="U204" i="17"/>
  <c r="T204" i="17" s="1"/>
  <c r="S204" i="17" s="1"/>
  <c r="R204" i="17" s="1"/>
  <c r="P204" i="17" s="1"/>
  <c r="V204" i="17" s="1"/>
  <c r="F204" i="17" s="1"/>
  <c r="U200" i="17"/>
  <c r="T200" i="17" s="1"/>
  <c r="U196" i="17"/>
  <c r="T196" i="17" s="1"/>
  <c r="U192" i="17"/>
  <c r="T192" i="17" s="1"/>
  <c r="S192" i="17" s="1"/>
  <c r="R192" i="17" s="1"/>
  <c r="P192" i="17" s="1"/>
  <c r="U188" i="17"/>
  <c r="T188" i="17" s="1"/>
  <c r="S188" i="17" s="1"/>
  <c r="R188" i="17" s="1"/>
  <c r="P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V180" i="17" s="1"/>
  <c r="F180" i="17" s="1"/>
  <c r="U176" i="17"/>
  <c r="T176" i="17" s="1"/>
  <c r="U172" i="17"/>
  <c r="T172" i="17" s="1"/>
  <c r="S172" i="17" s="1"/>
  <c r="R172" i="17" s="1"/>
  <c r="P172" i="17" s="1"/>
  <c r="V172" i="17" s="1"/>
  <c r="F172" i="17" s="1"/>
  <c r="U168" i="17"/>
  <c r="T168" i="17" s="1"/>
  <c r="S168" i="17" s="1"/>
  <c r="R168" i="17" s="1"/>
  <c r="P168" i="17" s="1"/>
  <c r="U164" i="17"/>
  <c r="T164" i="17" s="1"/>
  <c r="S164" i="17" s="1"/>
  <c r="R164" i="17" s="1"/>
  <c r="P164" i="17" s="1"/>
  <c r="V164" i="17" s="1"/>
  <c r="F164" i="17" s="1"/>
  <c r="G164" i="17" s="1"/>
  <c r="BZ164" i="6" s="1"/>
  <c r="U160" i="17"/>
  <c r="T160" i="17" s="1"/>
  <c r="S160" i="17" s="1"/>
  <c r="R160" i="17" s="1"/>
  <c r="P160" i="17" s="1"/>
  <c r="U156" i="17"/>
  <c r="T156" i="17" s="1"/>
  <c r="U152" i="17"/>
  <c r="T152" i="17" s="1"/>
  <c r="U148" i="17"/>
  <c r="T148" i="17" s="1"/>
  <c r="S148" i="17" s="1"/>
  <c r="R148" i="17" s="1"/>
  <c r="P148" i="17" s="1"/>
  <c r="V148" i="17" s="1"/>
  <c r="F148" i="17" s="1"/>
  <c r="U144" i="17"/>
  <c r="T144" i="17" s="1"/>
  <c r="S144" i="17" s="1"/>
  <c r="R144" i="17" s="1"/>
  <c r="P144" i="17" s="1"/>
  <c r="U140" i="17"/>
  <c r="T140" i="17" s="1"/>
  <c r="S140" i="17" s="1"/>
  <c r="R140" i="17" s="1"/>
  <c r="P140" i="17" s="1"/>
  <c r="V140" i="17" s="1"/>
  <c r="F140" i="17" s="1"/>
  <c r="G140" i="17" s="1"/>
  <c r="BZ140" i="6" s="1"/>
  <c r="U136" i="17"/>
  <c r="T136" i="17" s="1"/>
  <c r="U132" i="17"/>
  <c r="T132" i="17" s="1"/>
  <c r="S132" i="17" s="1"/>
  <c r="R132" i="17" s="1"/>
  <c r="P132" i="17" s="1"/>
  <c r="V132" i="17" s="1"/>
  <c r="F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U116" i="17"/>
  <c r="T116" i="17" s="1"/>
  <c r="U112" i="17"/>
  <c r="T112" i="17" s="1"/>
  <c r="S112" i="17" s="1"/>
  <c r="R112" i="17" s="1"/>
  <c r="P112" i="17" s="1"/>
  <c r="U108" i="17"/>
  <c r="T108" i="17" s="1"/>
  <c r="U104" i="17"/>
  <c r="T104" i="17" s="1"/>
  <c r="S104" i="17" s="1"/>
  <c r="R104" i="17" s="1"/>
  <c r="P104" i="17" s="1"/>
  <c r="U100" i="17"/>
  <c r="T100" i="17" s="1"/>
  <c r="S100" i="17" s="1"/>
  <c r="R100" i="17" s="1"/>
  <c r="P100" i="17" s="1"/>
  <c r="U96" i="17"/>
  <c r="T96" i="17" s="1"/>
  <c r="S96" i="17" s="1"/>
  <c r="R96" i="17" s="1"/>
  <c r="P96" i="17" s="1"/>
  <c r="U92" i="17"/>
  <c r="T92" i="17" s="1"/>
  <c r="U88" i="17"/>
  <c r="T88" i="17" s="1"/>
  <c r="U84" i="17"/>
  <c r="T84" i="17" s="1"/>
  <c r="S84" i="17" s="1"/>
  <c r="R84" i="17" s="1"/>
  <c r="P84" i="17" s="1"/>
  <c r="U80" i="17"/>
  <c r="T80" i="17" s="1"/>
  <c r="S80" i="17" s="1"/>
  <c r="R80" i="17" s="1"/>
  <c r="P80" i="17" s="1"/>
  <c r="U76" i="17"/>
  <c r="T76" i="17" s="1"/>
  <c r="S76" i="17" s="1"/>
  <c r="R76" i="17" s="1"/>
  <c r="P76" i="17" s="1"/>
  <c r="V76" i="17" s="1"/>
  <c r="F76" i="17" s="1"/>
  <c r="U72" i="17"/>
  <c r="T72" i="17" s="1"/>
  <c r="U68" i="17"/>
  <c r="T68" i="17" s="1"/>
  <c r="U64" i="17"/>
  <c r="T64" i="17" s="1"/>
  <c r="U60" i="17"/>
  <c r="T60" i="17" s="1"/>
  <c r="S60" i="17" s="1"/>
  <c r="R60" i="17" s="1"/>
  <c r="P60" i="17" s="1"/>
  <c r="V60" i="17" s="1"/>
  <c r="F60" i="17" s="1"/>
  <c r="H60" i="17" s="1"/>
  <c r="U56" i="17"/>
  <c r="T56" i="17" s="1"/>
  <c r="U52" i="17"/>
  <c r="T52" i="17" s="1"/>
  <c r="S52" i="17" s="1"/>
  <c r="R52" i="17" s="1"/>
  <c r="P52" i="17" s="1"/>
  <c r="U48" i="17"/>
  <c r="T48" i="17" s="1"/>
  <c r="U44" i="17"/>
  <c r="T44" i="17" s="1"/>
  <c r="U40" i="17"/>
  <c r="T40" i="17" s="1"/>
  <c r="S40" i="17" s="1"/>
  <c r="R40" i="17" s="1"/>
  <c r="P40" i="17" s="1"/>
  <c r="U36" i="17"/>
  <c r="T36" i="17" s="1"/>
  <c r="U32" i="17"/>
  <c r="T32" i="17" s="1"/>
  <c r="U28" i="17"/>
  <c r="T28" i="17" s="1"/>
  <c r="S28" i="17" s="1"/>
  <c r="R28" i="17" s="1"/>
  <c r="P28" i="17" s="1"/>
  <c r="V28" i="17" s="1"/>
  <c r="F28" i="17" s="1"/>
  <c r="H28" i="17" s="1"/>
  <c r="U24" i="17"/>
  <c r="T24" i="17" s="1"/>
  <c r="S24" i="17" s="1"/>
  <c r="R24" i="17" s="1"/>
  <c r="P24" i="17" s="1"/>
  <c r="U20" i="17"/>
  <c r="T20" i="17" s="1"/>
  <c r="S20" i="17" s="1"/>
  <c r="R20" i="17" s="1"/>
  <c r="P20" i="17" s="1"/>
  <c r="U18" i="17"/>
  <c r="T18" i="17" s="1"/>
  <c r="S18" i="17" s="1"/>
  <c r="R18" i="17" s="1"/>
  <c r="P18" i="17" s="1"/>
  <c r="J215" i="16"/>
  <c r="I215" i="16"/>
  <c r="I283" i="16"/>
  <c r="J283" i="16"/>
  <c r="F136" i="16"/>
  <c r="J23" i="16"/>
  <c r="I23" i="16"/>
  <c r="J43" i="16"/>
  <c r="I43" i="16"/>
  <c r="J276" i="16"/>
  <c r="I276" i="16"/>
  <c r="AG381" i="16"/>
  <c r="AF15" i="16"/>
  <c r="AG383" i="16"/>
  <c r="AG382" i="16"/>
  <c r="I306" i="16"/>
  <c r="H306" i="17" s="1"/>
  <c r="J306" i="16"/>
  <c r="I338" i="16"/>
  <c r="J338" i="16"/>
  <c r="I366" i="16"/>
  <c r="J366" i="16"/>
  <c r="I35" i="16"/>
  <c r="J35" i="16"/>
  <c r="J146" i="16"/>
  <c r="I146" i="16"/>
  <c r="I162" i="16"/>
  <c r="J162" i="16"/>
  <c r="J196" i="16"/>
  <c r="I196" i="16"/>
  <c r="J244" i="16"/>
  <c r="I244" i="16"/>
  <c r="I292" i="16"/>
  <c r="J292" i="16"/>
  <c r="J332" i="16"/>
  <c r="I332" i="16"/>
  <c r="I148" i="16"/>
  <c r="J148" i="16"/>
  <c r="S383" i="16"/>
  <c r="R15" i="16"/>
  <c r="S382" i="16"/>
  <c r="S381" i="16"/>
  <c r="J346" i="16"/>
  <c r="I346" i="16"/>
  <c r="I370" i="16"/>
  <c r="J370" i="16"/>
  <c r="I223" i="16"/>
  <c r="J223" i="16"/>
  <c r="I263" i="16"/>
  <c r="J263" i="16"/>
  <c r="J142" i="16"/>
  <c r="I142" i="16"/>
  <c r="I158" i="16"/>
  <c r="J158" i="16"/>
  <c r="J236" i="16"/>
  <c r="I236" i="16"/>
  <c r="I344" i="16"/>
  <c r="J344" i="16"/>
  <c r="I265" i="16"/>
  <c r="J265" i="16"/>
  <c r="I202" i="16"/>
  <c r="J202" i="16"/>
  <c r="J194" i="16"/>
  <c r="I194" i="16"/>
  <c r="J286" i="16"/>
  <c r="I286" i="16"/>
  <c r="J254" i="16"/>
  <c r="I254" i="16"/>
  <c r="J246" i="16"/>
  <c r="I246" i="16"/>
  <c r="J214" i="16"/>
  <c r="I214" i="16"/>
  <c r="H214" i="17" s="1"/>
  <c r="I377" i="16"/>
  <c r="J377" i="16"/>
  <c r="J373" i="16"/>
  <c r="I373" i="16"/>
  <c r="H373" i="17" s="1"/>
  <c r="J353" i="16"/>
  <c r="I353" i="16"/>
  <c r="I301" i="16"/>
  <c r="J301" i="16"/>
  <c r="J253" i="16"/>
  <c r="I253" i="16"/>
  <c r="I249" i="16"/>
  <c r="J249" i="16"/>
  <c r="I221" i="16"/>
  <c r="J221" i="16"/>
  <c r="I232" i="16"/>
  <c r="J232" i="16"/>
  <c r="M63" i="19"/>
  <c r="I154" i="16"/>
  <c r="J154" i="16"/>
  <c r="J268" i="16"/>
  <c r="I268" i="16"/>
  <c r="J340" i="16"/>
  <c r="I340" i="16"/>
  <c r="J281" i="16"/>
  <c r="I281" i="16"/>
  <c r="I250" i="16"/>
  <c r="J250" i="16"/>
  <c r="J270" i="16"/>
  <c r="I270" i="16"/>
  <c r="J334" i="16"/>
  <c r="I334" i="16"/>
  <c r="I235" i="16"/>
  <c r="J235" i="16"/>
  <c r="I279" i="16"/>
  <c r="J279" i="16"/>
  <c r="J130" i="16"/>
  <c r="I130" i="16"/>
  <c r="I166" i="16"/>
  <c r="J166" i="16"/>
  <c r="I190" i="16"/>
  <c r="J190" i="16"/>
  <c r="J204" i="16"/>
  <c r="I204" i="16"/>
  <c r="J352" i="16"/>
  <c r="I352" i="16"/>
  <c r="AA241" i="16"/>
  <c r="Z241" i="16" s="1"/>
  <c r="Y241" i="16" s="1"/>
  <c r="H241" i="16"/>
  <c r="G241" i="16"/>
  <c r="BY241" i="6" s="1"/>
  <c r="J144" i="16"/>
  <c r="I144" i="16"/>
  <c r="J339" i="16"/>
  <c r="I339" i="16"/>
  <c r="I331" i="16"/>
  <c r="J331" i="16"/>
  <c r="I311" i="16"/>
  <c r="J311" i="16"/>
  <c r="AA295" i="16"/>
  <c r="Z295" i="16" s="1"/>
  <c r="Y295" i="16" s="1"/>
  <c r="G295" i="16"/>
  <c r="BY295" i="6" s="1"/>
  <c r="H295" i="16"/>
  <c r="I251" i="16"/>
  <c r="J251" i="16"/>
  <c r="G47" i="16"/>
  <c r="BY47" i="6" s="1"/>
  <c r="AA47" i="16"/>
  <c r="Z47" i="16" s="1"/>
  <c r="Y47" i="16" s="1"/>
  <c r="H47" i="16"/>
  <c r="I375" i="16"/>
  <c r="J375" i="16"/>
  <c r="I343" i="16"/>
  <c r="J343" i="16"/>
  <c r="I335" i="16"/>
  <c r="J335" i="16"/>
  <c r="J327" i="16"/>
  <c r="I327" i="16"/>
  <c r="J319" i="16"/>
  <c r="I319" i="16"/>
  <c r="I303" i="16"/>
  <c r="J303" i="16"/>
  <c r="G239" i="16"/>
  <c r="BY239" i="6" s="1"/>
  <c r="AA239" i="16"/>
  <c r="Z239" i="16" s="1"/>
  <c r="Y239" i="16" s="1"/>
  <c r="H239" i="16"/>
  <c r="J63" i="16"/>
  <c r="I63" i="16"/>
  <c r="H154" i="17"/>
  <c r="I154" i="17" s="1"/>
  <c r="I298" i="16"/>
  <c r="J298" i="16"/>
  <c r="J39" i="16"/>
  <c r="I39" i="16"/>
  <c r="J206" i="16"/>
  <c r="I206" i="16"/>
  <c r="I248" i="16"/>
  <c r="J248" i="16"/>
  <c r="I280" i="16"/>
  <c r="J280" i="16"/>
  <c r="J186" i="16"/>
  <c r="I186" i="16"/>
  <c r="J348" i="16"/>
  <c r="I348" i="16"/>
  <c r="G380" i="16"/>
  <c r="BY380" i="6" s="1"/>
  <c r="AA380" i="16"/>
  <c r="Z380" i="16" s="1"/>
  <c r="Y380" i="16" s="1"/>
  <c r="H380" i="16"/>
  <c r="I229" i="16"/>
  <c r="J229" i="16"/>
  <c r="J273" i="16"/>
  <c r="I273" i="16"/>
  <c r="I216" i="16"/>
  <c r="J216" i="16"/>
  <c r="I256" i="16"/>
  <c r="J256" i="16"/>
  <c r="J314" i="16"/>
  <c r="I314" i="16"/>
  <c r="J291" i="16"/>
  <c r="I291" i="16"/>
  <c r="J174" i="16"/>
  <c r="I174" i="16"/>
  <c r="I360" i="16"/>
  <c r="J360" i="16"/>
  <c r="I225" i="16"/>
  <c r="J225" i="16"/>
  <c r="J132" i="16"/>
  <c r="I132" i="16"/>
  <c r="J156" i="16"/>
  <c r="I156" i="16"/>
  <c r="F180" i="16"/>
  <c r="G63" i="19"/>
  <c r="I365" i="16"/>
  <c r="J365" i="16"/>
  <c r="J361" i="16"/>
  <c r="I361" i="16"/>
  <c r="J357" i="16"/>
  <c r="I357" i="16"/>
  <c r="I349" i="16"/>
  <c r="J349" i="16"/>
  <c r="I345" i="16"/>
  <c r="J345" i="16"/>
  <c r="J329" i="16"/>
  <c r="I329" i="16"/>
  <c r="J317" i="16"/>
  <c r="I317" i="16"/>
  <c r="I285" i="16"/>
  <c r="H285" i="17" s="1"/>
  <c r="J285" i="16"/>
  <c r="I261" i="16"/>
  <c r="J261" i="16"/>
  <c r="I55" i="16"/>
  <c r="J55" i="16"/>
  <c r="J330" i="16"/>
  <c r="I330" i="16"/>
  <c r="F350" i="16"/>
  <c r="J134" i="16"/>
  <c r="I134" i="16"/>
  <c r="J170" i="16"/>
  <c r="I170" i="16"/>
  <c r="J220" i="16"/>
  <c r="I220" i="16"/>
  <c r="I356" i="16"/>
  <c r="J356" i="16"/>
  <c r="I115" i="16"/>
  <c r="J115" i="16"/>
  <c r="J245" i="16"/>
  <c r="I245" i="16"/>
  <c r="J99" i="16"/>
  <c r="I99" i="16"/>
  <c r="I282" i="16"/>
  <c r="J282" i="16"/>
  <c r="J234" i="16"/>
  <c r="I234" i="16"/>
  <c r="J218" i="16"/>
  <c r="I218" i="16"/>
  <c r="J240" i="16"/>
  <c r="I240" i="16"/>
  <c r="H240" i="17" s="1"/>
  <c r="F272" i="16"/>
  <c r="J63" i="19"/>
  <c r="G302" i="16"/>
  <c r="BY302" i="6" s="1"/>
  <c r="AA302" i="16"/>
  <c r="Z302" i="16" s="1"/>
  <c r="Y302" i="16" s="1"/>
  <c r="H302" i="16"/>
  <c r="J354" i="16"/>
  <c r="I354" i="16"/>
  <c r="I95" i="16"/>
  <c r="J95" i="16"/>
  <c r="J150" i="16"/>
  <c r="I150" i="16"/>
  <c r="J252" i="16"/>
  <c r="I252" i="16"/>
  <c r="I312" i="16"/>
  <c r="J312" i="16"/>
  <c r="I336" i="16"/>
  <c r="J336" i="16"/>
  <c r="J107" i="16"/>
  <c r="I107" i="16"/>
  <c r="I277" i="16"/>
  <c r="J277" i="16"/>
  <c r="I164" i="16"/>
  <c r="J164" i="16"/>
  <c r="I371" i="16"/>
  <c r="J371" i="16"/>
  <c r="J351" i="16"/>
  <c r="I351" i="16"/>
  <c r="G323" i="16"/>
  <c r="BY323" i="6" s="1"/>
  <c r="H323" i="16"/>
  <c r="AA323" i="16"/>
  <c r="Z323" i="16" s="1"/>
  <c r="Y323" i="16" s="1"/>
  <c r="K63" i="19"/>
  <c r="I192" i="16"/>
  <c r="J192" i="16"/>
  <c r="J367" i="16"/>
  <c r="I367" i="16"/>
  <c r="J255" i="16"/>
  <c r="I255" i="16"/>
  <c r="I63" i="19"/>
  <c r="D11" i="19"/>
  <c r="E11" i="19" s="1"/>
  <c r="G35" i="19"/>
  <c r="L43" i="19"/>
  <c r="Q271" i="18"/>
  <c r="Q142" i="18"/>
  <c r="Q335" i="18"/>
  <c r="Q206" i="18"/>
  <c r="Q78" i="18"/>
  <c r="Q367" i="18"/>
  <c r="Q303" i="18"/>
  <c r="Q239" i="18"/>
  <c r="Q174" i="18"/>
  <c r="Q110" i="18"/>
  <c r="Q46" i="18"/>
  <c r="Q351" i="18"/>
  <c r="Q319" i="18"/>
  <c r="Q287" i="18"/>
  <c r="Q255" i="18"/>
  <c r="Q222" i="18"/>
  <c r="Q190" i="18"/>
  <c r="Q158" i="18"/>
  <c r="Q126" i="18"/>
  <c r="Q94" i="18"/>
  <c r="Q62" i="18"/>
  <c r="Q30" i="18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22" i="18"/>
  <c r="Q379" i="18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Q26" i="18"/>
  <c r="Q16" i="18"/>
  <c r="I266" i="16"/>
  <c r="I75" i="16"/>
  <c r="I172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V383" i="15"/>
  <c r="AC382" i="25"/>
  <c r="AC383" i="25"/>
  <c r="AC381" i="25"/>
  <c r="Y379" i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V113" i="17"/>
  <c r="F113" i="17" s="1"/>
  <c r="V105" i="17"/>
  <c r="F105" i="17" s="1"/>
  <c r="V89" i="17"/>
  <c r="F89" i="17" s="1"/>
  <c r="V73" i="17"/>
  <c r="F73" i="17" s="1"/>
  <c r="V65" i="17"/>
  <c r="F65" i="17" s="1"/>
  <c r="V49" i="17"/>
  <c r="F49" i="17" s="1"/>
  <c r="V33" i="17"/>
  <c r="F33" i="17" s="1"/>
  <c r="J362" i="17"/>
  <c r="I362" i="17"/>
  <c r="V186" i="17"/>
  <c r="F186" i="17" s="1"/>
  <c r="V170" i="17"/>
  <c r="F170" i="17" s="1"/>
  <c r="J154" i="17"/>
  <c r="V359" i="17"/>
  <c r="F359" i="17" s="1"/>
  <c r="V343" i="17"/>
  <c r="F343" i="17" s="1"/>
  <c r="G335" i="17"/>
  <c r="BZ335" i="6" s="1"/>
  <c r="H335" i="17"/>
  <c r="V327" i="17"/>
  <c r="F327" i="17" s="1"/>
  <c r="V315" i="17"/>
  <c r="F315" i="17" s="1"/>
  <c r="V283" i="17"/>
  <c r="F283" i="17" s="1"/>
  <c r="V259" i="17"/>
  <c r="F259" i="17" s="1"/>
  <c r="V247" i="17"/>
  <c r="J219" i="17"/>
  <c r="I219" i="17"/>
  <c r="H159" i="17"/>
  <c r="G159" i="17"/>
  <c r="BZ159" i="6" s="1"/>
  <c r="V127" i="17"/>
  <c r="F127" i="17" s="1"/>
  <c r="V19" i="17"/>
  <c r="F19" i="17" s="1"/>
  <c r="G368" i="17"/>
  <c r="BZ368" i="6" s="1"/>
  <c r="H368" i="17"/>
  <c r="V348" i="17"/>
  <c r="F348" i="17" s="1"/>
  <c r="F340" i="17"/>
  <c r="G328" i="17"/>
  <c r="BZ328" i="6" s="1"/>
  <c r="H328" i="17"/>
  <c r="G320" i="17"/>
  <c r="BZ320" i="6" s="1"/>
  <c r="H320" i="17"/>
  <c r="G236" i="17"/>
  <c r="BZ236" i="6" s="1"/>
  <c r="G204" i="17"/>
  <c r="BZ204" i="6" s="1"/>
  <c r="V80" i="17"/>
  <c r="F80" i="17" s="1"/>
  <c r="V40" i="17"/>
  <c r="F40" i="17" s="1"/>
  <c r="V20" i="17"/>
  <c r="F20" i="17" s="1"/>
  <c r="J337" i="17"/>
  <c r="I337" i="17"/>
  <c r="V141" i="17"/>
  <c r="F141" i="17" s="1"/>
  <c r="V129" i="17"/>
  <c r="F129" i="17" s="1"/>
  <c r="V117" i="17"/>
  <c r="F117" i="17" s="1"/>
  <c r="V93" i="17"/>
  <c r="F93" i="17" s="1"/>
  <c r="H93" i="17" s="1"/>
  <c r="V85" i="17"/>
  <c r="F85" i="17" s="1"/>
  <c r="V69" i="17"/>
  <c r="F69" i="17" s="1"/>
  <c r="V61" i="17"/>
  <c r="F61" i="17" s="1"/>
  <c r="V45" i="17"/>
  <c r="F45" i="17" s="1"/>
  <c r="V194" i="17"/>
  <c r="V355" i="17"/>
  <c r="F355" i="17" s="1"/>
  <c r="V339" i="17"/>
  <c r="F339" i="17" s="1"/>
  <c r="V331" i="17"/>
  <c r="F331" i="17" s="1"/>
  <c r="V319" i="17"/>
  <c r="F319" i="17" s="1"/>
  <c r="F311" i="17"/>
  <c r="V299" i="17"/>
  <c r="F299" i="17" s="1"/>
  <c r="H299" i="17" s="1"/>
  <c r="V287" i="17"/>
  <c r="F287" i="17" s="1"/>
  <c r="F279" i="17"/>
  <c r="V271" i="17"/>
  <c r="F271" i="17" s="1"/>
  <c r="F263" i="17"/>
  <c r="F255" i="17"/>
  <c r="J191" i="17"/>
  <c r="I191" i="17"/>
  <c r="V123" i="17"/>
  <c r="F123" i="17" s="1"/>
  <c r="V352" i="17"/>
  <c r="G344" i="17"/>
  <c r="BZ344" i="6" s="1"/>
  <c r="H344" i="17"/>
  <c r="V304" i="17"/>
  <c r="F304" i="17" s="1"/>
  <c r="V288" i="17"/>
  <c r="F288" i="17" s="1"/>
  <c r="V84" i="17"/>
  <c r="F84" i="17" s="1"/>
  <c r="V52" i="17"/>
  <c r="F52" i="17" s="1"/>
  <c r="H52" i="17" s="1"/>
  <c r="V24" i="17"/>
  <c r="F24" i="17" s="1"/>
  <c r="V18" i="17"/>
  <c r="F18" i="17" s="1"/>
  <c r="I297" i="17"/>
  <c r="J297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L382" i="25"/>
  <c r="L383" i="25"/>
  <c r="L381" i="25"/>
  <c r="AK3" i="24"/>
  <c r="Q19" i="19" s="1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F377" i="17"/>
  <c r="G373" i="17"/>
  <c r="BZ373" i="6" s="1"/>
  <c r="F369" i="17"/>
  <c r="G361" i="17"/>
  <c r="BZ361" i="6" s="1"/>
  <c r="H361" i="17"/>
  <c r="F353" i="17"/>
  <c r="V341" i="17"/>
  <c r="F341" i="17" s="1"/>
  <c r="G337" i="17"/>
  <c r="BZ337" i="6" s="1"/>
  <c r="G329" i="17"/>
  <c r="BZ329" i="6" s="1"/>
  <c r="H329" i="17"/>
  <c r="V325" i="17"/>
  <c r="F325" i="17" s="1"/>
  <c r="V317" i="17"/>
  <c r="F317" i="17" s="1"/>
  <c r="V313" i="17"/>
  <c r="F313" i="17" s="1"/>
  <c r="F309" i="17"/>
  <c r="G301" i="17"/>
  <c r="BZ301" i="6" s="1"/>
  <c r="H301" i="17"/>
  <c r="G297" i="17"/>
  <c r="BZ297" i="6" s="1"/>
  <c r="V293" i="17"/>
  <c r="F293" i="17" s="1"/>
  <c r="G285" i="17"/>
  <c r="BZ285" i="6" s="1"/>
  <c r="F281" i="17"/>
  <c r="F253" i="17"/>
  <c r="V249" i="17"/>
  <c r="F249" i="17" s="1"/>
  <c r="D63" i="7"/>
  <c r="V241" i="17"/>
  <c r="F241" i="17" s="1"/>
  <c r="F237" i="17"/>
  <c r="V229" i="17"/>
  <c r="F229" i="17" s="1"/>
  <c r="F225" i="17"/>
  <c r="G217" i="17"/>
  <c r="BZ217" i="6" s="1"/>
  <c r="G209" i="17"/>
  <c r="BZ209" i="6" s="1"/>
  <c r="V193" i="17"/>
  <c r="F193" i="17" s="1"/>
  <c r="F181" i="17"/>
  <c r="V161" i="17"/>
  <c r="F161" i="17" s="1"/>
  <c r="G157" i="17"/>
  <c r="BZ157" i="6" s="1"/>
  <c r="H157" i="17"/>
  <c r="V25" i="17"/>
  <c r="F25" i="17" s="1"/>
  <c r="V21" i="17"/>
  <c r="F21" i="17" s="1"/>
  <c r="J224" i="17"/>
  <c r="I224" i="17"/>
  <c r="Q12" i="20"/>
  <c r="Q237" i="18"/>
  <c r="AC15" i="7"/>
  <c r="F11" i="15"/>
  <c r="G12" i="19"/>
  <c r="AB9" i="15"/>
  <c r="J15" i="15"/>
  <c r="I15" i="15"/>
  <c r="AA383" i="15"/>
  <c r="AL10" i="15"/>
  <c r="AM8" i="15"/>
  <c r="Z15" i="15"/>
  <c r="AA382" i="15"/>
  <c r="AA9" i="15"/>
  <c r="AA381" i="15"/>
  <c r="F378" i="17"/>
  <c r="H378" i="17" s="1"/>
  <c r="V374" i="17"/>
  <c r="F374" i="17" s="1"/>
  <c r="V370" i="17"/>
  <c r="F370" i="17" s="1"/>
  <c r="G362" i="17"/>
  <c r="BZ362" i="6" s="1"/>
  <c r="V358" i="17"/>
  <c r="F358" i="17" s="1"/>
  <c r="V342" i="17"/>
  <c r="F342" i="17" s="1"/>
  <c r="V338" i="17"/>
  <c r="F338" i="17" s="1"/>
  <c r="V314" i="17"/>
  <c r="F314" i="17" s="1"/>
  <c r="V310" i="17"/>
  <c r="F310" i="17" s="1"/>
  <c r="G306" i="17"/>
  <c r="BZ306" i="6" s="1"/>
  <c r="D65" i="7"/>
  <c r="V302" i="17"/>
  <c r="F302" i="17" s="1"/>
  <c r="V298" i="17"/>
  <c r="F298" i="17" s="1"/>
  <c r="F294" i="17"/>
  <c r="V290" i="17"/>
  <c r="F290" i="17" s="1"/>
  <c r="F286" i="17"/>
  <c r="V278" i="17"/>
  <c r="F278" i="17" s="1"/>
  <c r="V274" i="17"/>
  <c r="F274" i="17" s="1"/>
  <c r="V270" i="17"/>
  <c r="F270" i="17" s="1"/>
  <c r="F258" i="17"/>
  <c r="V254" i="17"/>
  <c r="F254" i="17" s="1"/>
  <c r="V250" i="17"/>
  <c r="F250" i="17" s="1"/>
  <c r="V242" i="17"/>
  <c r="F242" i="17" s="1"/>
  <c r="V238" i="17"/>
  <c r="F238" i="17" s="1"/>
  <c r="V226" i="17"/>
  <c r="F226" i="17" s="1"/>
  <c r="G214" i="17"/>
  <c r="BZ214" i="6" s="1"/>
  <c r="F162" i="17"/>
  <c r="G154" i="17"/>
  <c r="BZ154" i="6" s="1"/>
  <c r="H150" i="17"/>
  <c r="F134" i="17"/>
  <c r="V122" i="17"/>
  <c r="F122" i="17" s="1"/>
  <c r="V106" i="17"/>
  <c r="F106" i="17" s="1"/>
  <c r="V98" i="17"/>
  <c r="F98" i="17" s="1"/>
  <c r="V90" i="17"/>
  <c r="F90" i="17" s="1"/>
  <c r="V78" i="17"/>
  <c r="F78" i="17" s="1"/>
  <c r="V74" i="17"/>
  <c r="F74" i="17" s="1"/>
  <c r="V70" i="17"/>
  <c r="F70" i="17" s="1"/>
  <c r="V66" i="17"/>
  <c r="F66" i="17" s="1"/>
  <c r="V62" i="17"/>
  <c r="F62" i="17" s="1"/>
  <c r="V58" i="17"/>
  <c r="F58" i="17" s="1"/>
  <c r="V50" i="17"/>
  <c r="F50" i="17" s="1"/>
  <c r="V34" i="17"/>
  <c r="F34" i="17" s="1"/>
  <c r="V17" i="17"/>
  <c r="F17" i="17" s="1"/>
  <c r="J46" i="16"/>
  <c r="I46" i="16"/>
  <c r="H217" i="17"/>
  <c r="V375" i="17"/>
  <c r="F375" i="17" s="1"/>
  <c r="V371" i="17"/>
  <c r="F371" i="17" s="1"/>
  <c r="G219" i="17"/>
  <c r="BZ219" i="6" s="1"/>
  <c r="G215" i="17"/>
  <c r="BZ215" i="6" s="1"/>
  <c r="H215" i="17"/>
  <c r="V211" i="17"/>
  <c r="F211" i="17" s="1"/>
  <c r="G203" i="17"/>
  <c r="BZ203" i="6" s="1"/>
  <c r="H203" i="17"/>
  <c r="V199" i="17"/>
  <c r="F199" i="17" s="1"/>
  <c r="F195" i="17"/>
  <c r="G191" i="17"/>
  <c r="BZ191" i="6" s="1"/>
  <c r="V187" i="17"/>
  <c r="F187" i="17" s="1"/>
  <c r="V175" i="17"/>
  <c r="F175" i="17" s="1"/>
  <c r="F167" i="17"/>
  <c r="V151" i="17"/>
  <c r="F151" i="17" s="1"/>
  <c r="V139" i="17"/>
  <c r="V107" i="17"/>
  <c r="F107" i="17" s="1"/>
  <c r="V103" i="17"/>
  <c r="F103" i="17" s="1"/>
  <c r="V99" i="17"/>
  <c r="F99" i="17" s="1"/>
  <c r="V83" i="17"/>
  <c r="F83" i="17" s="1"/>
  <c r="V67" i="17"/>
  <c r="F67" i="17" s="1"/>
  <c r="V63" i="17"/>
  <c r="F63" i="17" s="1"/>
  <c r="V47" i="17"/>
  <c r="V39" i="17"/>
  <c r="F39" i="17" s="1"/>
  <c r="V35" i="17"/>
  <c r="F35" i="17" s="1"/>
  <c r="V23" i="17"/>
  <c r="F23" i="17" s="1"/>
  <c r="H209" i="17"/>
  <c r="V264" i="17"/>
  <c r="F264" i="17" s="1"/>
  <c r="V252" i="17"/>
  <c r="F252" i="17" s="1"/>
  <c r="G240" i="17"/>
  <c r="BZ240" i="6" s="1"/>
  <c r="G232" i="17"/>
  <c r="BZ232" i="6" s="1"/>
  <c r="H232" i="17"/>
  <c r="G224" i="17"/>
  <c r="BZ224" i="6" s="1"/>
  <c r="V212" i="17"/>
  <c r="F212" i="17" s="1"/>
  <c r="V192" i="17"/>
  <c r="F192" i="17" s="1"/>
  <c r="V188" i="17"/>
  <c r="F188" i="17" s="1"/>
  <c r="F184" i="17"/>
  <c r="H184" i="17" s="1"/>
  <c r="D61" i="7"/>
  <c r="V168" i="17"/>
  <c r="F168" i="17" s="1"/>
  <c r="V160" i="17"/>
  <c r="F160" i="17" s="1"/>
  <c r="V144" i="17"/>
  <c r="F144" i="17" s="1"/>
  <c r="F124" i="17"/>
  <c r="V120" i="17"/>
  <c r="F120" i="17" s="1"/>
  <c r="V112" i="17"/>
  <c r="F112" i="17" s="1"/>
  <c r="V104" i="17"/>
  <c r="F104" i="17" s="1"/>
  <c r="V100" i="17"/>
  <c r="F100" i="17" s="1"/>
  <c r="V96" i="17"/>
  <c r="F96" i="17" s="1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H140" i="17"/>
  <c r="H204" i="17" l="1"/>
  <c r="H236" i="17"/>
  <c r="H332" i="17"/>
  <c r="H164" i="17"/>
  <c r="F244" i="17"/>
  <c r="F142" i="17"/>
  <c r="D57" i="7"/>
  <c r="H356" i="17"/>
  <c r="I356" i="17" s="1"/>
  <c r="H268" i="17"/>
  <c r="S32" i="17"/>
  <c r="R32" i="17" s="1"/>
  <c r="P32" i="17" s="1"/>
  <c r="V32" i="17" s="1"/>
  <c r="F32" i="17" s="1"/>
  <c r="S48" i="17"/>
  <c r="R48" i="17" s="1"/>
  <c r="P48" i="17" s="1"/>
  <c r="V48" i="17" s="1"/>
  <c r="F48" i="17" s="1"/>
  <c r="S56" i="17"/>
  <c r="R56" i="17" s="1"/>
  <c r="P56" i="17" s="1"/>
  <c r="S64" i="17"/>
  <c r="R64" i="17" s="1"/>
  <c r="P64" i="17" s="1"/>
  <c r="V64" i="17" s="1"/>
  <c r="F64" i="17" s="1"/>
  <c r="S72" i="17"/>
  <c r="R72" i="17" s="1"/>
  <c r="P72" i="17" s="1"/>
  <c r="V72" i="17" s="1"/>
  <c r="F72" i="17" s="1"/>
  <c r="S88" i="17"/>
  <c r="R88" i="17" s="1"/>
  <c r="P88" i="17" s="1"/>
  <c r="S128" i="17"/>
  <c r="R128" i="17" s="1"/>
  <c r="P128" i="17" s="1"/>
  <c r="V128" i="17" s="1"/>
  <c r="F128" i="17" s="1"/>
  <c r="S136" i="17"/>
  <c r="R136" i="17" s="1"/>
  <c r="P136" i="17" s="1"/>
  <c r="V136" i="17" s="1"/>
  <c r="F136" i="17" s="1"/>
  <c r="S152" i="17"/>
  <c r="R152" i="17" s="1"/>
  <c r="P152" i="17" s="1"/>
  <c r="S176" i="17"/>
  <c r="R176" i="17" s="1"/>
  <c r="P176" i="17" s="1"/>
  <c r="S200" i="17"/>
  <c r="R200" i="17" s="1"/>
  <c r="P200" i="17" s="1"/>
  <c r="V200" i="17" s="1"/>
  <c r="F200" i="17" s="1"/>
  <c r="S208" i="17"/>
  <c r="R208" i="17" s="1"/>
  <c r="P208" i="17" s="1"/>
  <c r="V208" i="17" s="1"/>
  <c r="F208" i="17" s="1"/>
  <c r="S216" i="17"/>
  <c r="R216" i="17" s="1"/>
  <c r="P216" i="17" s="1"/>
  <c r="V216" i="17" s="1"/>
  <c r="F216" i="17" s="1"/>
  <c r="S26" i="17"/>
  <c r="R26" i="17" s="1"/>
  <c r="P26" i="17" s="1"/>
  <c r="V26" i="17" s="1"/>
  <c r="F26" i="17" s="1"/>
  <c r="S42" i="17"/>
  <c r="R42" i="17" s="1"/>
  <c r="P42" i="17" s="1"/>
  <c r="V42" i="17" s="1"/>
  <c r="F42" i="17" s="1"/>
  <c r="S82" i="17"/>
  <c r="R82" i="17" s="1"/>
  <c r="P82" i="17" s="1"/>
  <c r="V82" i="17" s="1"/>
  <c r="F82" i="17" s="1"/>
  <c r="S114" i="17"/>
  <c r="R114" i="17" s="1"/>
  <c r="P114" i="17" s="1"/>
  <c r="V114" i="17" s="1"/>
  <c r="F114" i="17" s="1"/>
  <c r="S130" i="17"/>
  <c r="R130" i="17" s="1"/>
  <c r="P130" i="17" s="1"/>
  <c r="V130" i="17" s="1"/>
  <c r="F130" i="17" s="1"/>
  <c r="S138" i="17"/>
  <c r="R138" i="17" s="1"/>
  <c r="P138" i="17" s="1"/>
  <c r="V138" i="17" s="1"/>
  <c r="F138" i="17" s="1"/>
  <c r="S146" i="17"/>
  <c r="R146" i="17" s="1"/>
  <c r="P146" i="17" s="1"/>
  <c r="V146" i="17" s="1"/>
  <c r="F146" i="17" s="1"/>
  <c r="S178" i="17"/>
  <c r="R178" i="17" s="1"/>
  <c r="P178" i="17" s="1"/>
  <c r="V178" i="17" s="1"/>
  <c r="F178" i="17" s="1"/>
  <c r="S202" i="17"/>
  <c r="R202" i="17" s="1"/>
  <c r="P202" i="17" s="1"/>
  <c r="V202" i="17" s="1"/>
  <c r="F202" i="17" s="1"/>
  <c r="S210" i="17"/>
  <c r="R210" i="17" s="1"/>
  <c r="P210" i="17" s="1"/>
  <c r="S218" i="17"/>
  <c r="R218" i="17" s="1"/>
  <c r="P218" i="17" s="1"/>
  <c r="V218" i="17" s="1"/>
  <c r="F218" i="17" s="1"/>
  <c r="H218" i="17" s="1"/>
  <c r="S234" i="17"/>
  <c r="R234" i="17" s="1"/>
  <c r="P234" i="17" s="1"/>
  <c r="V234" i="17" s="1"/>
  <c r="F234" i="17" s="1"/>
  <c r="S248" i="17"/>
  <c r="R248" i="17" s="1"/>
  <c r="P248" i="17" s="1"/>
  <c r="V248" i="17" s="1"/>
  <c r="F248" i="17" s="1"/>
  <c r="S256" i="17"/>
  <c r="R256" i="17" s="1"/>
  <c r="P256" i="17" s="1"/>
  <c r="V256" i="17" s="1"/>
  <c r="F256" i="17" s="1"/>
  <c r="S272" i="17"/>
  <c r="R272" i="17" s="1"/>
  <c r="P272" i="17" s="1"/>
  <c r="S280" i="17"/>
  <c r="R280" i="17" s="1"/>
  <c r="P280" i="17" s="1"/>
  <c r="V280" i="17" s="1"/>
  <c r="F280" i="17" s="1"/>
  <c r="S296" i="17"/>
  <c r="R296" i="17" s="1"/>
  <c r="P296" i="17" s="1"/>
  <c r="V296" i="17" s="1"/>
  <c r="F296" i="17" s="1"/>
  <c r="S312" i="17"/>
  <c r="R312" i="17" s="1"/>
  <c r="P312" i="17" s="1"/>
  <c r="V312" i="17" s="1"/>
  <c r="F312" i="17" s="1"/>
  <c r="S336" i="17"/>
  <c r="R336" i="17" s="1"/>
  <c r="P336" i="17" s="1"/>
  <c r="V336" i="17" s="1"/>
  <c r="F336" i="17" s="1"/>
  <c r="S360" i="17"/>
  <c r="R360" i="17" s="1"/>
  <c r="P360" i="17" s="1"/>
  <c r="V360" i="17" s="1"/>
  <c r="F360" i="17" s="1"/>
  <c r="H360" i="17" s="1"/>
  <c r="S376" i="17"/>
  <c r="R376" i="17" s="1"/>
  <c r="P376" i="17" s="1"/>
  <c r="V376" i="17" s="1"/>
  <c r="F376" i="17" s="1"/>
  <c r="U381" i="17"/>
  <c r="U383" i="17"/>
  <c r="T15" i="17"/>
  <c r="U382" i="17"/>
  <c r="S27" i="17"/>
  <c r="R27" i="17" s="1"/>
  <c r="P27" i="17"/>
  <c r="V27" i="17" s="1"/>
  <c r="F27" i="17" s="1"/>
  <c r="S43" i="17"/>
  <c r="R43" i="17" s="1"/>
  <c r="P43" i="17"/>
  <c r="V43" i="17" s="1"/>
  <c r="F43" i="17" s="1"/>
  <c r="S51" i="17"/>
  <c r="R51" i="17" s="1"/>
  <c r="P51" i="17"/>
  <c r="V51" i="17" s="1"/>
  <c r="F51" i="17" s="1"/>
  <c r="S59" i="17"/>
  <c r="R59" i="17" s="1"/>
  <c r="P59" i="17"/>
  <c r="V59" i="17" s="1"/>
  <c r="F59" i="17" s="1"/>
  <c r="S75" i="17"/>
  <c r="R75" i="17" s="1"/>
  <c r="P75" i="17"/>
  <c r="V75" i="17" s="1"/>
  <c r="F75" i="17" s="1"/>
  <c r="S91" i="17"/>
  <c r="R91" i="17" s="1"/>
  <c r="P91" i="17"/>
  <c r="V91" i="17" s="1"/>
  <c r="F91" i="17" s="1"/>
  <c r="S115" i="17"/>
  <c r="R115" i="17" s="1"/>
  <c r="P115" i="17"/>
  <c r="V115" i="17" s="1"/>
  <c r="F115" i="17" s="1"/>
  <c r="S131" i="17"/>
  <c r="R131" i="17" s="1"/>
  <c r="P131" i="17"/>
  <c r="V131" i="17" s="1"/>
  <c r="F131" i="17" s="1"/>
  <c r="S147" i="17"/>
  <c r="R147" i="17" s="1"/>
  <c r="P147" i="17"/>
  <c r="V147" i="17" s="1"/>
  <c r="F147" i="17" s="1"/>
  <c r="S155" i="17"/>
  <c r="R155" i="17" s="1"/>
  <c r="P155" i="17"/>
  <c r="S163" i="17"/>
  <c r="R163" i="17" s="1"/>
  <c r="P163" i="17"/>
  <c r="V163" i="17" s="1"/>
  <c r="F163" i="17" s="1"/>
  <c r="S171" i="17"/>
  <c r="R171" i="17" s="1"/>
  <c r="P171" i="17"/>
  <c r="V171" i="17" s="1"/>
  <c r="F171" i="17" s="1"/>
  <c r="S179" i="17"/>
  <c r="R179" i="17" s="1"/>
  <c r="P179" i="17"/>
  <c r="V179" i="17" s="1"/>
  <c r="F179" i="17" s="1"/>
  <c r="S227" i="17"/>
  <c r="R227" i="17" s="1"/>
  <c r="P227" i="17"/>
  <c r="S235" i="17"/>
  <c r="R235" i="17" s="1"/>
  <c r="P235" i="17"/>
  <c r="V235" i="17" s="1"/>
  <c r="F235" i="17" s="1"/>
  <c r="S243" i="17"/>
  <c r="R243" i="17" s="1"/>
  <c r="P243" i="17"/>
  <c r="V243" i="17" s="1"/>
  <c r="F243" i="17" s="1"/>
  <c r="S251" i="17"/>
  <c r="R251" i="17" s="1"/>
  <c r="P251" i="17"/>
  <c r="V251" i="17" s="1"/>
  <c r="F251" i="17" s="1"/>
  <c r="S267" i="17"/>
  <c r="R267" i="17" s="1"/>
  <c r="P267" i="17"/>
  <c r="S275" i="17"/>
  <c r="R275" i="17" s="1"/>
  <c r="P275" i="17"/>
  <c r="V275" i="17" s="1"/>
  <c r="F275" i="17" s="1"/>
  <c r="S291" i="17"/>
  <c r="R291" i="17" s="1"/>
  <c r="P291" i="17"/>
  <c r="S307" i="17"/>
  <c r="R307" i="17" s="1"/>
  <c r="P307" i="17"/>
  <c r="V307" i="17" s="1"/>
  <c r="F307" i="17" s="1"/>
  <c r="S323" i="17"/>
  <c r="R323" i="17" s="1"/>
  <c r="P323" i="17"/>
  <c r="V323" i="17" s="1"/>
  <c r="F323" i="17" s="1"/>
  <c r="S347" i="17"/>
  <c r="R347" i="17" s="1"/>
  <c r="P347" i="17"/>
  <c r="V347" i="17" s="1"/>
  <c r="F347" i="17" s="1"/>
  <c r="S363" i="17"/>
  <c r="R363" i="17" s="1"/>
  <c r="P363" i="17"/>
  <c r="T379" i="17"/>
  <c r="S379" i="17" s="1"/>
  <c r="R379" i="17" s="1"/>
  <c r="P379" i="17" s="1"/>
  <c r="D38" i="19" s="1"/>
  <c r="V16" i="7"/>
  <c r="AB11" i="7" s="1"/>
  <c r="U11" i="18" s="1"/>
  <c r="U10" i="18" s="1"/>
  <c r="U12" i="18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7" i="17"/>
  <c r="AF137" i="17" s="1"/>
  <c r="AD137" i="17" s="1"/>
  <c r="AG153" i="17"/>
  <c r="AF153" i="17" s="1"/>
  <c r="AD153" i="17" s="1"/>
  <c r="AG169" i="17"/>
  <c r="AF169" i="17" s="1"/>
  <c r="AD169" i="17" s="1"/>
  <c r="AG185" i="17"/>
  <c r="AF185" i="17" s="1"/>
  <c r="AD185" i="17" s="1"/>
  <c r="AG201" i="17"/>
  <c r="AF201" i="17" s="1"/>
  <c r="AD201" i="17" s="1"/>
  <c r="AG217" i="17"/>
  <c r="AF217" i="17" s="1"/>
  <c r="AD217" i="17" s="1"/>
  <c r="AA217" i="17" s="1"/>
  <c r="Z217" i="17" s="1"/>
  <c r="Y217" i="17" s="1"/>
  <c r="AG233" i="17"/>
  <c r="AF233" i="17" s="1"/>
  <c r="AD233" i="17" s="1"/>
  <c r="AG249" i="17"/>
  <c r="AF249" i="17" s="1"/>
  <c r="AD249" i="17" s="1"/>
  <c r="AG265" i="17"/>
  <c r="AF265" i="17" s="1"/>
  <c r="AD265" i="17" s="1"/>
  <c r="S266" i="17"/>
  <c r="R266" i="17" s="1"/>
  <c r="P266" i="17" s="1"/>
  <c r="V266" i="17" s="1"/>
  <c r="F266" i="17" s="1"/>
  <c r="S282" i="17"/>
  <c r="R282" i="17" s="1"/>
  <c r="P282" i="17" s="1"/>
  <c r="V282" i="17" s="1"/>
  <c r="F282" i="17" s="1"/>
  <c r="S322" i="17"/>
  <c r="R322" i="17" s="1"/>
  <c r="P322" i="17" s="1"/>
  <c r="V322" i="17" s="1"/>
  <c r="F322" i="17" s="1"/>
  <c r="S330" i="17"/>
  <c r="R330" i="17" s="1"/>
  <c r="P330" i="17" s="1"/>
  <c r="V330" i="17" s="1"/>
  <c r="F330" i="17" s="1"/>
  <c r="S346" i="17"/>
  <c r="R346" i="17" s="1"/>
  <c r="P346" i="17" s="1"/>
  <c r="V346" i="17" s="1"/>
  <c r="F346" i="17" s="1"/>
  <c r="S354" i="17"/>
  <c r="R354" i="17" s="1"/>
  <c r="P354" i="17" s="1"/>
  <c r="V354" i="17" s="1"/>
  <c r="F354" i="17" s="1"/>
  <c r="S29" i="17"/>
  <c r="R29" i="17" s="1"/>
  <c r="P29" i="17" s="1"/>
  <c r="S37" i="17"/>
  <c r="R37" i="17" s="1"/>
  <c r="P37" i="17" s="1"/>
  <c r="V37" i="17" s="1"/>
  <c r="F37" i="17" s="1"/>
  <c r="S53" i="17"/>
  <c r="R53" i="17" s="1"/>
  <c r="P53" i="17" s="1"/>
  <c r="V53" i="17" s="1"/>
  <c r="F53" i="17" s="1"/>
  <c r="S77" i="17"/>
  <c r="R77" i="17" s="1"/>
  <c r="P77" i="17" s="1"/>
  <c r="V77" i="17" s="1"/>
  <c r="F77" i="17" s="1"/>
  <c r="S101" i="17"/>
  <c r="R101" i="17" s="1"/>
  <c r="P101" i="17" s="1"/>
  <c r="V101" i="17" s="1"/>
  <c r="F101" i="17" s="1"/>
  <c r="S109" i="17"/>
  <c r="R109" i="17" s="1"/>
  <c r="P109" i="17" s="1"/>
  <c r="V109" i="17" s="1"/>
  <c r="F109" i="17" s="1"/>
  <c r="S125" i="17"/>
  <c r="R125" i="17" s="1"/>
  <c r="P125" i="17" s="1"/>
  <c r="V125" i="17" s="1"/>
  <c r="F125" i="17" s="1"/>
  <c r="S133" i="17"/>
  <c r="R133" i="17" s="1"/>
  <c r="P133" i="17" s="1"/>
  <c r="V133" i="17" s="1"/>
  <c r="F133" i="17" s="1"/>
  <c r="S149" i="17"/>
  <c r="R149" i="17" s="1"/>
  <c r="P149" i="17" s="1"/>
  <c r="S165" i="17"/>
  <c r="R165" i="17" s="1"/>
  <c r="P165" i="17" s="1"/>
  <c r="V165" i="17" s="1"/>
  <c r="F165" i="17" s="1"/>
  <c r="S173" i="17"/>
  <c r="R173" i="17" s="1"/>
  <c r="P173" i="17" s="1"/>
  <c r="V173" i="17" s="1"/>
  <c r="F173" i="17" s="1"/>
  <c r="S189" i="17"/>
  <c r="R189" i="17" s="1"/>
  <c r="P189" i="17" s="1"/>
  <c r="V189" i="17" s="1"/>
  <c r="F189" i="17" s="1"/>
  <c r="S197" i="17"/>
  <c r="R197" i="17" s="1"/>
  <c r="P197" i="17" s="1"/>
  <c r="V197" i="17" s="1"/>
  <c r="F197" i="17" s="1"/>
  <c r="S205" i="17"/>
  <c r="R205" i="17" s="1"/>
  <c r="P205" i="17" s="1"/>
  <c r="S213" i="17"/>
  <c r="R213" i="17" s="1"/>
  <c r="P213" i="17" s="1"/>
  <c r="V213" i="17" s="1"/>
  <c r="F213" i="17" s="1"/>
  <c r="S221" i="17"/>
  <c r="R221" i="17" s="1"/>
  <c r="P221" i="17" s="1"/>
  <c r="V221" i="17" s="1"/>
  <c r="F221" i="17" s="1"/>
  <c r="S245" i="17"/>
  <c r="R245" i="17" s="1"/>
  <c r="P245" i="17" s="1"/>
  <c r="S261" i="17"/>
  <c r="R261" i="17" s="1"/>
  <c r="P261" i="17" s="1"/>
  <c r="S269" i="17"/>
  <c r="R269" i="17" s="1"/>
  <c r="P269" i="17" s="1"/>
  <c r="V269" i="17" s="1"/>
  <c r="F269" i="17" s="1"/>
  <c r="S277" i="17"/>
  <c r="R277" i="17" s="1"/>
  <c r="P277" i="17" s="1"/>
  <c r="V277" i="17" s="1"/>
  <c r="F277" i="17" s="1"/>
  <c r="S333" i="17"/>
  <c r="R333" i="17" s="1"/>
  <c r="P333" i="17" s="1"/>
  <c r="S349" i="17"/>
  <c r="R349" i="17" s="1"/>
  <c r="P349" i="17" s="1"/>
  <c r="V349" i="17" s="1"/>
  <c r="F349" i="17" s="1"/>
  <c r="S357" i="17"/>
  <c r="R357" i="17" s="1"/>
  <c r="P357" i="17" s="1"/>
  <c r="V357" i="17" s="1"/>
  <c r="F357" i="17" s="1"/>
  <c r="S365" i="17"/>
  <c r="R365" i="17" s="1"/>
  <c r="P365" i="17" s="1"/>
  <c r="AG21" i="17"/>
  <c r="AF21" i="17" s="1"/>
  <c r="AD21" i="17" s="1"/>
  <c r="AG37" i="17"/>
  <c r="AF37" i="17" s="1"/>
  <c r="AD37" i="17" s="1"/>
  <c r="AG53" i="17"/>
  <c r="AF53" i="17" s="1"/>
  <c r="AD53" i="17" s="1"/>
  <c r="AG69" i="17"/>
  <c r="AF69" i="17" s="1"/>
  <c r="AD69" i="17" s="1"/>
  <c r="AG85" i="17"/>
  <c r="AF85" i="17" s="1"/>
  <c r="AD85" i="17" s="1"/>
  <c r="AG101" i="17"/>
  <c r="AF101" i="17" s="1"/>
  <c r="AD101" i="17" s="1"/>
  <c r="AG117" i="17"/>
  <c r="AF117" i="17" s="1"/>
  <c r="AD117" i="17" s="1"/>
  <c r="AG133" i="17"/>
  <c r="AF133" i="17" s="1"/>
  <c r="AD133" i="17" s="1"/>
  <c r="AG149" i="17"/>
  <c r="AF149" i="17" s="1"/>
  <c r="AD149" i="17" s="1"/>
  <c r="AG165" i="17"/>
  <c r="AF165" i="17" s="1"/>
  <c r="AD165" i="17" s="1"/>
  <c r="AG181" i="17"/>
  <c r="AF181" i="17" s="1"/>
  <c r="AD181" i="17" s="1"/>
  <c r="AG197" i="17"/>
  <c r="AF197" i="17" s="1"/>
  <c r="AD197" i="17" s="1"/>
  <c r="AG213" i="17"/>
  <c r="AF213" i="17" s="1"/>
  <c r="AD213" i="17" s="1"/>
  <c r="AG229" i="17"/>
  <c r="AF229" i="17" s="1"/>
  <c r="AD229" i="17" s="1"/>
  <c r="AG245" i="17"/>
  <c r="AF245" i="17" s="1"/>
  <c r="AD245" i="17" s="1"/>
  <c r="AG261" i="17"/>
  <c r="AF261" i="17" s="1"/>
  <c r="AD261" i="17" s="1"/>
  <c r="AG279" i="17"/>
  <c r="AF279" i="17" s="1"/>
  <c r="AD279" i="17" s="1"/>
  <c r="AG287" i="17"/>
  <c r="AF287" i="17" s="1"/>
  <c r="AD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A335" i="17" s="1"/>
  <c r="Z335" i="17" s="1"/>
  <c r="Y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270" i="17"/>
  <c r="AF270" i="17" s="1"/>
  <c r="AD270" i="17" s="1"/>
  <c r="AG262" i="17"/>
  <c r="AF262" i="17" s="1"/>
  <c r="AD262" i="17" s="1"/>
  <c r="AG254" i="17"/>
  <c r="AF254" i="17" s="1"/>
  <c r="AD254" i="17" s="1"/>
  <c r="AG246" i="17"/>
  <c r="AF246" i="17" s="1"/>
  <c r="AD246" i="17" s="1"/>
  <c r="AG238" i="17"/>
  <c r="AF238" i="17" s="1"/>
  <c r="AD238" i="17" s="1"/>
  <c r="AG230" i="17"/>
  <c r="AF230" i="17" s="1"/>
  <c r="AD230" i="17" s="1"/>
  <c r="AG222" i="17"/>
  <c r="AF222" i="17" s="1"/>
  <c r="AD222" i="17" s="1"/>
  <c r="AG214" i="17"/>
  <c r="AF214" i="17" s="1"/>
  <c r="AD214" i="17" s="1"/>
  <c r="AA214" i="17" s="1"/>
  <c r="Z214" i="17" s="1"/>
  <c r="Y214" i="17" s="1"/>
  <c r="AG206" i="17"/>
  <c r="AF206" i="17" s="1"/>
  <c r="AD206" i="17" s="1"/>
  <c r="AG198" i="17"/>
  <c r="AF198" i="17" s="1"/>
  <c r="AD198" i="17" s="1"/>
  <c r="AG190" i="17"/>
  <c r="AF190" i="17" s="1"/>
  <c r="AD190" i="17" s="1"/>
  <c r="AG182" i="17"/>
  <c r="AF182" i="17" s="1"/>
  <c r="AD182" i="17" s="1"/>
  <c r="AG174" i="17"/>
  <c r="AF174" i="17" s="1"/>
  <c r="AD174" i="17" s="1"/>
  <c r="AG166" i="17"/>
  <c r="AF166" i="17" s="1"/>
  <c r="AD166" i="17" s="1"/>
  <c r="AG158" i="17"/>
  <c r="AF158" i="17" s="1"/>
  <c r="AD158" i="17" s="1"/>
  <c r="AG150" i="17"/>
  <c r="AF150" i="17" s="1"/>
  <c r="AD150" i="17" s="1"/>
  <c r="AA150" i="17" s="1"/>
  <c r="Z150" i="17" s="1"/>
  <c r="Y150" i="17" s="1"/>
  <c r="AG142" i="17"/>
  <c r="AF142" i="17" s="1"/>
  <c r="AD142" i="17" s="1"/>
  <c r="AG134" i="17"/>
  <c r="AF134" i="17" s="1"/>
  <c r="AD134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G46" i="17"/>
  <c r="AF46" i="17" s="1"/>
  <c r="AD46" i="17" s="1"/>
  <c r="AG30" i="17"/>
  <c r="AF30" i="17" s="1"/>
  <c r="AD30" i="17" s="1"/>
  <c r="AG277" i="17"/>
  <c r="AF277" i="17" s="1"/>
  <c r="AD277" i="17" s="1"/>
  <c r="AG285" i="17"/>
  <c r="AF285" i="17" s="1"/>
  <c r="AD285" i="17" s="1"/>
  <c r="AA285" i="17" s="1"/>
  <c r="Z285" i="17" s="1"/>
  <c r="Y285" i="17" s="1"/>
  <c r="AG293" i="17"/>
  <c r="AF293" i="17" s="1"/>
  <c r="AD293" i="17" s="1"/>
  <c r="AG301" i="17"/>
  <c r="AF301" i="17" s="1"/>
  <c r="AD301" i="17" s="1"/>
  <c r="AA301" i="17" s="1"/>
  <c r="Z301" i="17" s="1"/>
  <c r="Y301" i="17" s="1"/>
  <c r="AG309" i="17"/>
  <c r="AF309" i="17" s="1"/>
  <c r="AD309" i="17" s="1"/>
  <c r="AG317" i="17"/>
  <c r="AF317" i="17" s="1"/>
  <c r="AD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A373" i="17" s="1"/>
  <c r="Z373" i="17" s="1"/>
  <c r="Y373" i="17" s="1"/>
  <c r="AG272" i="17"/>
  <c r="AF272" i="17" s="1"/>
  <c r="AD272" i="17" s="1"/>
  <c r="AG264" i="17"/>
  <c r="AF264" i="17" s="1"/>
  <c r="AD264" i="17" s="1"/>
  <c r="AG256" i="17"/>
  <c r="AF256" i="17" s="1"/>
  <c r="AD256" i="17" s="1"/>
  <c r="AG248" i="17"/>
  <c r="AF248" i="17" s="1"/>
  <c r="AD248" i="17" s="1"/>
  <c r="AG240" i="17"/>
  <c r="AF240" i="17" s="1"/>
  <c r="AD240" i="17" s="1"/>
  <c r="AA240" i="17" s="1"/>
  <c r="Z240" i="17" s="1"/>
  <c r="Y240" i="17" s="1"/>
  <c r="AG232" i="17"/>
  <c r="AF232" i="17" s="1"/>
  <c r="AD232" i="17" s="1"/>
  <c r="AA232" i="17" s="1"/>
  <c r="Z232" i="17" s="1"/>
  <c r="Y232" i="17" s="1"/>
  <c r="AG224" i="17"/>
  <c r="AF224" i="17" s="1"/>
  <c r="AD224" i="17" s="1"/>
  <c r="AA224" i="17" s="1"/>
  <c r="Z224" i="17" s="1"/>
  <c r="Y224" i="17" s="1"/>
  <c r="AG216" i="17"/>
  <c r="AF216" i="17" s="1"/>
  <c r="AD216" i="17" s="1"/>
  <c r="AG208" i="17"/>
  <c r="AF208" i="17" s="1"/>
  <c r="AD208" i="17" s="1"/>
  <c r="AG200" i="17"/>
  <c r="AF200" i="17" s="1"/>
  <c r="AD200" i="17" s="1"/>
  <c r="AG192" i="17"/>
  <c r="AF192" i="17" s="1"/>
  <c r="AD192" i="17" s="1"/>
  <c r="AG184" i="17"/>
  <c r="AF184" i="17" s="1"/>
  <c r="AD184" i="17" s="1"/>
  <c r="AG176" i="17"/>
  <c r="AF176" i="17" s="1"/>
  <c r="AD176" i="17" s="1"/>
  <c r="AG168" i="17"/>
  <c r="AF168" i="17" s="1"/>
  <c r="AD168" i="17" s="1"/>
  <c r="AG160" i="17"/>
  <c r="AF160" i="17" s="1"/>
  <c r="AD160" i="17" s="1"/>
  <c r="AG152" i="17"/>
  <c r="AF152" i="17" s="1"/>
  <c r="AD152" i="17" s="1"/>
  <c r="AG144" i="17"/>
  <c r="AF144" i="17" s="1"/>
  <c r="AD144" i="17" s="1"/>
  <c r="AG136" i="17"/>
  <c r="AF136" i="17" s="1"/>
  <c r="AD136" i="17" s="1"/>
  <c r="AG128" i="17"/>
  <c r="AF128" i="17" s="1"/>
  <c r="AD128" i="17" s="1"/>
  <c r="AG120" i="17"/>
  <c r="AF120" i="17" s="1"/>
  <c r="AD120" i="17" s="1"/>
  <c r="AG112" i="17"/>
  <c r="AF112" i="17" s="1"/>
  <c r="AD112" i="17" s="1"/>
  <c r="AG104" i="17"/>
  <c r="AF104" i="17" s="1"/>
  <c r="AD104" i="17" s="1"/>
  <c r="AG96" i="17"/>
  <c r="AF96" i="17" s="1"/>
  <c r="AD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0" i="17"/>
  <c r="AF50" i="17" s="1"/>
  <c r="AD50" i="17" s="1"/>
  <c r="AG34" i="17"/>
  <c r="AF34" i="17" s="1"/>
  <c r="AD34" i="17" s="1"/>
  <c r="AG16" i="17"/>
  <c r="AF16" i="17" s="1"/>
  <c r="AD16" i="17" s="1"/>
  <c r="AG51" i="17"/>
  <c r="AF51" i="17" s="1"/>
  <c r="AD51" i="17" s="1"/>
  <c r="AG83" i="17"/>
  <c r="AF83" i="17" s="1"/>
  <c r="AD83" i="17" s="1"/>
  <c r="AG115" i="17"/>
  <c r="AF115" i="17" s="1"/>
  <c r="AD115" i="17" s="1"/>
  <c r="AG147" i="17"/>
  <c r="AF147" i="17" s="1"/>
  <c r="AD147" i="17" s="1"/>
  <c r="AG179" i="17"/>
  <c r="AF179" i="17" s="1"/>
  <c r="AD179" i="17" s="1"/>
  <c r="AG211" i="17"/>
  <c r="AF211" i="17" s="1"/>
  <c r="AD211" i="17" s="1"/>
  <c r="AG243" i="17"/>
  <c r="AF243" i="17" s="1"/>
  <c r="AD243" i="17" s="1"/>
  <c r="AG274" i="17"/>
  <c r="AF274" i="17" s="1"/>
  <c r="AD274" i="17" s="1"/>
  <c r="AG290" i="17"/>
  <c r="AF290" i="17" s="1"/>
  <c r="AD290" i="17" s="1"/>
  <c r="AG306" i="17"/>
  <c r="AF306" i="17" s="1"/>
  <c r="AD306" i="17" s="1"/>
  <c r="AA306" i="17" s="1"/>
  <c r="Z306" i="17" s="1"/>
  <c r="Y306" i="17" s="1"/>
  <c r="AG322" i="17"/>
  <c r="AF322" i="17" s="1"/>
  <c r="AD322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9" i="17"/>
  <c r="AF39" i="17" s="1"/>
  <c r="AD39" i="17" s="1"/>
  <c r="AG103" i="17"/>
  <c r="AF103" i="17" s="1"/>
  <c r="AD103" i="17" s="1"/>
  <c r="AG167" i="17"/>
  <c r="AF167" i="17" s="1"/>
  <c r="AD167" i="17" s="1"/>
  <c r="AG231" i="17"/>
  <c r="AF231" i="17" s="1"/>
  <c r="AD231" i="17" s="1"/>
  <c r="AG284" i="17"/>
  <c r="AF284" i="17" s="1"/>
  <c r="AD284" i="17" s="1"/>
  <c r="AG316" i="17"/>
  <c r="AF316" i="17" s="1"/>
  <c r="AD316" i="17" s="1"/>
  <c r="AG348" i="17"/>
  <c r="AF348" i="17" s="1"/>
  <c r="AD348" i="17" s="1"/>
  <c r="AG63" i="17"/>
  <c r="AF63" i="17" s="1"/>
  <c r="AD63" i="17" s="1"/>
  <c r="AG191" i="17"/>
  <c r="AF191" i="17" s="1"/>
  <c r="AD191" i="17" s="1"/>
  <c r="AA191" i="17" s="1"/>
  <c r="Z191" i="17" s="1"/>
  <c r="Y191" i="17" s="1"/>
  <c r="AG296" i="17"/>
  <c r="AF296" i="17" s="1"/>
  <c r="AD296" i="17" s="1"/>
  <c r="AG360" i="17"/>
  <c r="AF360" i="17" s="1"/>
  <c r="AD360" i="17" s="1"/>
  <c r="AG239" i="17"/>
  <c r="AF239" i="17" s="1"/>
  <c r="AD239" i="17" s="1"/>
  <c r="AG79" i="17"/>
  <c r="AF79" i="17" s="1"/>
  <c r="AD79" i="17" s="1"/>
  <c r="AG143" i="17"/>
  <c r="AF143" i="17" s="1"/>
  <c r="AD143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G20" i="17"/>
  <c r="AF20" i="17" s="1"/>
  <c r="AD20" i="17" s="1"/>
  <c r="AG27" i="17"/>
  <c r="AF27" i="17" s="1"/>
  <c r="AD27" i="17" s="1"/>
  <c r="AG59" i="17"/>
  <c r="AF59" i="17" s="1"/>
  <c r="AD59" i="17" s="1"/>
  <c r="AG91" i="17"/>
  <c r="AF91" i="17" s="1"/>
  <c r="AD91" i="17" s="1"/>
  <c r="AG123" i="17"/>
  <c r="AF123" i="17" s="1"/>
  <c r="AD123" i="17" s="1"/>
  <c r="AG155" i="17"/>
  <c r="AF155" i="17" s="1"/>
  <c r="AD155" i="17" s="1"/>
  <c r="AG187" i="17"/>
  <c r="AF187" i="17" s="1"/>
  <c r="AD187" i="17" s="1"/>
  <c r="AG219" i="17"/>
  <c r="AF219" i="17" s="1"/>
  <c r="AD219" i="17" s="1"/>
  <c r="AA219" i="17" s="1"/>
  <c r="Z219" i="17" s="1"/>
  <c r="Y219" i="17" s="1"/>
  <c r="AG251" i="17"/>
  <c r="AF251" i="17" s="1"/>
  <c r="AD251" i="17" s="1"/>
  <c r="AG278" i="17"/>
  <c r="AF278" i="17" s="1"/>
  <c r="AD278" i="17" s="1"/>
  <c r="AG294" i="17"/>
  <c r="AF294" i="17" s="1"/>
  <c r="AD294" i="17" s="1"/>
  <c r="AG310" i="17"/>
  <c r="AF310" i="17" s="1"/>
  <c r="AD310" i="17" s="1"/>
  <c r="AG326" i="17"/>
  <c r="AF326" i="17" s="1"/>
  <c r="AD326" i="17" s="1"/>
  <c r="AG342" i="17"/>
  <c r="AF342" i="17" s="1"/>
  <c r="AD342" i="17" s="1"/>
  <c r="AG358" i="17"/>
  <c r="AF358" i="17" s="1"/>
  <c r="AD358" i="17" s="1"/>
  <c r="AG374" i="17"/>
  <c r="AF374" i="17" s="1"/>
  <c r="AD374" i="17" s="1"/>
  <c r="AG55" i="17"/>
  <c r="AF55" i="17" s="1"/>
  <c r="AD55" i="17" s="1"/>
  <c r="AG119" i="17"/>
  <c r="AF119" i="17" s="1"/>
  <c r="AD119" i="17" s="1"/>
  <c r="AG183" i="17"/>
  <c r="AF183" i="17" s="1"/>
  <c r="AD183" i="17" s="1"/>
  <c r="AG247" i="17"/>
  <c r="AF247" i="17" s="1"/>
  <c r="AD247" i="17" s="1"/>
  <c r="AG292" i="17"/>
  <c r="AF292" i="17" s="1"/>
  <c r="AD292" i="17" s="1"/>
  <c r="AG324" i="17"/>
  <c r="AF324" i="17" s="1"/>
  <c r="AD324" i="17" s="1"/>
  <c r="AG356" i="17"/>
  <c r="AF356" i="17" s="1"/>
  <c r="AD356" i="17" s="1"/>
  <c r="AG31" i="17"/>
  <c r="AF31" i="17" s="1"/>
  <c r="AD31" i="17" s="1"/>
  <c r="AG159" i="17"/>
  <c r="AF159" i="17" s="1"/>
  <c r="AD159" i="17" s="1"/>
  <c r="AA159" i="17" s="1"/>
  <c r="Z159" i="17" s="1"/>
  <c r="Y159" i="17" s="1"/>
  <c r="AG280" i="17"/>
  <c r="AF280" i="17" s="1"/>
  <c r="AD280" i="17" s="1"/>
  <c r="AG344" i="17"/>
  <c r="AF344" i="17" s="1"/>
  <c r="AD344" i="17" s="1"/>
  <c r="AA344" i="17" s="1"/>
  <c r="Z344" i="17" s="1"/>
  <c r="Y344" i="17" s="1"/>
  <c r="AG47" i="17"/>
  <c r="AF47" i="17" s="1"/>
  <c r="AD47" i="17" s="1"/>
  <c r="AG288" i="17"/>
  <c r="AF288" i="17" s="1"/>
  <c r="AD288" i="17" s="1"/>
  <c r="AG207" i="17"/>
  <c r="AF207" i="17" s="1"/>
  <c r="AD207" i="17" s="1"/>
  <c r="AG336" i="17"/>
  <c r="AF336" i="17" s="1"/>
  <c r="AD336" i="17" s="1"/>
  <c r="AH15" i="17"/>
  <c r="AI381" i="17"/>
  <c r="AI383" i="17"/>
  <c r="AI382" i="17"/>
  <c r="H75" i="17"/>
  <c r="G136" i="16"/>
  <c r="BY136" i="6" s="1"/>
  <c r="AA136" i="16"/>
  <c r="Z136" i="16" s="1"/>
  <c r="Y136" i="16" s="1"/>
  <c r="H136" i="16"/>
  <c r="S36" i="17"/>
  <c r="R36" i="17" s="1"/>
  <c r="P36" i="17" s="1"/>
  <c r="V36" i="17" s="1"/>
  <c r="F36" i="17" s="1"/>
  <c r="S44" i="17"/>
  <c r="R44" i="17" s="1"/>
  <c r="P44" i="17" s="1"/>
  <c r="V44" i="17" s="1"/>
  <c r="F44" i="17" s="1"/>
  <c r="S68" i="17"/>
  <c r="R68" i="17" s="1"/>
  <c r="P68" i="17" s="1"/>
  <c r="V68" i="17" s="1"/>
  <c r="F68" i="17" s="1"/>
  <c r="S92" i="17"/>
  <c r="R92" i="17" s="1"/>
  <c r="P92" i="17" s="1"/>
  <c r="V92" i="17" s="1"/>
  <c r="F92" i="17" s="1"/>
  <c r="S108" i="17"/>
  <c r="R108" i="17" s="1"/>
  <c r="P108" i="17" s="1"/>
  <c r="V108" i="17" s="1"/>
  <c r="F108" i="17" s="1"/>
  <c r="S116" i="17"/>
  <c r="R116" i="17" s="1"/>
  <c r="P116" i="17" s="1"/>
  <c r="V116" i="17" s="1"/>
  <c r="F116" i="17" s="1"/>
  <c r="S156" i="17"/>
  <c r="R156" i="17" s="1"/>
  <c r="P156" i="17" s="1"/>
  <c r="V156" i="17" s="1"/>
  <c r="F156" i="17" s="1"/>
  <c r="S196" i="17"/>
  <c r="R196" i="17" s="1"/>
  <c r="P196" i="17" s="1"/>
  <c r="V196" i="17" s="1"/>
  <c r="F196" i="17" s="1"/>
  <c r="S220" i="17"/>
  <c r="R220" i="17" s="1"/>
  <c r="P220" i="17" s="1"/>
  <c r="V220" i="17" s="1"/>
  <c r="F220" i="17" s="1"/>
  <c r="V228" i="17"/>
  <c r="F228" i="17" s="1"/>
  <c r="S22" i="17"/>
  <c r="R22" i="17" s="1"/>
  <c r="P22" i="17" s="1"/>
  <c r="S30" i="17"/>
  <c r="R30" i="17" s="1"/>
  <c r="P30" i="17" s="1"/>
  <c r="V30" i="17" s="1"/>
  <c r="F30" i="17" s="1"/>
  <c r="S38" i="17"/>
  <c r="R38" i="17" s="1"/>
  <c r="P38" i="17" s="1"/>
  <c r="V38" i="17" s="1"/>
  <c r="F38" i="17" s="1"/>
  <c r="S46" i="17"/>
  <c r="R46" i="17" s="1"/>
  <c r="P46" i="17" s="1"/>
  <c r="V46" i="17" s="1"/>
  <c r="F46" i="17" s="1"/>
  <c r="S54" i="17"/>
  <c r="R54" i="17" s="1"/>
  <c r="P54" i="17" s="1"/>
  <c r="V54" i="17" s="1"/>
  <c r="F54" i="17" s="1"/>
  <c r="S94" i="17"/>
  <c r="R94" i="17" s="1"/>
  <c r="P94" i="17" s="1"/>
  <c r="V94" i="17" s="1"/>
  <c r="F94" i="17" s="1"/>
  <c r="S102" i="17"/>
  <c r="R102" i="17" s="1"/>
  <c r="P102" i="17" s="1"/>
  <c r="V102" i="17" s="1"/>
  <c r="F102" i="17" s="1"/>
  <c r="S110" i="17"/>
  <c r="R110" i="17" s="1"/>
  <c r="P110" i="17" s="1"/>
  <c r="V110" i="17" s="1"/>
  <c r="F110" i="17" s="1"/>
  <c r="S118" i="17"/>
  <c r="R118" i="17" s="1"/>
  <c r="P118" i="17" s="1"/>
  <c r="V118" i="17" s="1"/>
  <c r="F118" i="17" s="1"/>
  <c r="S126" i="17"/>
  <c r="R126" i="17" s="1"/>
  <c r="P126" i="17" s="1"/>
  <c r="S158" i="17"/>
  <c r="R158" i="17" s="1"/>
  <c r="P158" i="17" s="1"/>
  <c r="V158" i="17" s="1"/>
  <c r="F158" i="17" s="1"/>
  <c r="S166" i="17"/>
  <c r="R166" i="17" s="1"/>
  <c r="P166" i="17" s="1"/>
  <c r="V166" i="17" s="1"/>
  <c r="F166" i="17" s="1"/>
  <c r="S174" i="17"/>
  <c r="R174" i="17" s="1"/>
  <c r="P174" i="17" s="1"/>
  <c r="S182" i="17"/>
  <c r="R182" i="17" s="1"/>
  <c r="P182" i="17" s="1"/>
  <c r="V182" i="17" s="1"/>
  <c r="F182" i="17" s="1"/>
  <c r="S190" i="17"/>
  <c r="R190" i="17" s="1"/>
  <c r="P190" i="17" s="1"/>
  <c r="V190" i="17" s="1"/>
  <c r="F190" i="17" s="1"/>
  <c r="S198" i="17"/>
  <c r="R198" i="17" s="1"/>
  <c r="P198" i="17" s="1"/>
  <c r="V198" i="17" s="1"/>
  <c r="F198" i="17" s="1"/>
  <c r="S206" i="17"/>
  <c r="R206" i="17" s="1"/>
  <c r="P206" i="17" s="1"/>
  <c r="V206" i="17" s="1"/>
  <c r="F206" i="17" s="1"/>
  <c r="S260" i="17"/>
  <c r="R260" i="17" s="1"/>
  <c r="P260" i="17" s="1"/>
  <c r="V260" i="17" s="1"/>
  <c r="F260" i="17" s="1"/>
  <c r="V276" i="17"/>
  <c r="F276" i="17" s="1"/>
  <c r="S284" i="17"/>
  <c r="R284" i="17" s="1"/>
  <c r="P284" i="17" s="1"/>
  <c r="V284" i="17" s="1"/>
  <c r="F284" i="17" s="1"/>
  <c r="V292" i="17"/>
  <c r="F292" i="17" s="1"/>
  <c r="G300" i="17"/>
  <c r="BZ300" i="6" s="1"/>
  <c r="H300" i="17"/>
  <c r="S308" i="17"/>
  <c r="R308" i="17" s="1"/>
  <c r="P308" i="17" s="1"/>
  <c r="V308" i="17" s="1"/>
  <c r="F308" i="17" s="1"/>
  <c r="S316" i="17"/>
  <c r="R316" i="17" s="1"/>
  <c r="P316" i="17" s="1"/>
  <c r="V316" i="17" s="1"/>
  <c r="F316" i="17" s="1"/>
  <c r="AA356" i="17"/>
  <c r="Z356" i="17" s="1"/>
  <c r="Y356" i="17" s="1"/>
  <c r="G356" i="17"/>
  <c r="BZ356" i="6" s="1"/>
  <c r="V364" i="17"/>
  <c r="F364" i="17" s="1"/>
  <c r="V372" i="17"/>
  <c r="F372" i="17" s="1"/>
  <c r="S31" i="17"/>
  <c r="R31" i="17" s="1"/>
  <c r="P31" i="17" s="1"/>
  <c r="V31" i="17" s="1"/>
  <c r="F31" i="17" s="1"/>
  <c r="S55" i="17"/>
  <c r="R55" i="17" s="1"/>
  <c r="P55" i="17" s="1"/>
  <c r="V55" i="17" s="1"/>
  <c r="F55" i="17" s="1"/>
  <c r="S71" i="17"/>
  <c r="R71" i="17" s="1"/>
  <c r="P71" i="17" s="1"/>
  <c r="V71" i="17" s="1"/>
  <c r="F71" i="17" s="1"/>
  <c r="V79" i="17"/>
  <c r="F79" i="17" s="1"/>
  <c r="S87" i="17"/>
  <c r="R87" i="17" s="1"/>
  <c r="P87" i="17" s="1"/>
  <c r="V87" i="17" s="1"/>
  <c r="F87" i="17" s="1"/>
  <c r="V95" i="17"/>
  <c r="F95" i="17" s="1"/>
  <c r="S111" i="17"/>
  <c r="R111" i="17" s="1"/>
  <c r="P111" i="17" s="1"/>
  <c r="V111" i="17" s="1"/>
  <c r="F111" i="17" s="1"/>
  <c r="S119" i="17"/>
  <c r="R119" i="17" s="1"/>
  <c r="P119" i="17" s="1"/>
  <c r="S135" i="17"/>
  <c r="R135" i="17" s="1"/>
  <c r="P135" i="17" s="1"/>
  <c r="V135" i="17" s="1"/>
  <c r="F135" i="17" s="1"/>
  <c r="V143" i="17"/>
  <c r="F143" i="17" s="1"/>
  <c r="S183" i="17"/>
  <c r="R183" i="17" s="1"/>
  <c r="P183" i="17" s="1"/>
  <c r="S207" i="17"/>
  <c r="R207" i="17" s="1"/>
  <c r="P207" i="17" s="1"/>
  <c r="V207" i="17" s="1"/>
  <c r="F207" i="17" s="1"/>
  <c r="S223" i="17"/>
  <c r="R223" i="17" s="1"/>
  <c r="P223" i="17" s="1"/>
  <c r="V223" i="17" s="1"/>
  <c r="F223" i="17" s="1"/>
  <c r="S231" i="17"/>
  <c r="R231" i="17" s="1"/>
  <c r="P231" i="17" s="1"/>
  <c r="V231" i="17" s="1"/>
  <c r="F231" i="17" s="1"/>
  <c r="S239" i="17"/>
  <c r="R239" i="17" s="1"/>
  <c r="P239" i="17" s="1"/>
  <c r="V239" i="17" s="1"/>
  <c r="F239" i="17" s="1"/>
  <c r="S295" i="17"/>
  <c r="R295" i="17" s="1"/>
  <c r="P295" i="17" s="1"/>
  <c r="V295" i="17" s="1"/>
  <c r="F295" i="17" s="1"/>
  <c r="S303" i="17"/>
  <c r="R303" i="17" s="1"/>
  <c r="P303" i="17" s="1"/>
  <c r="V303" i="17" s="1"/>
  <c r="F303" i="17" s="1"/>
  <c r="S351" i="17"/>
  <c r="R351" i="17" s="1"/>
  <c r="P351" i="17" s="1"/>
  <c r="V351" i="17" s="1"/>
  <c r="F351" i="17" s="1"/>
  <c r="S367" i="17"/>
  <c r="R367" i="17" s="1"/>
  <c r="P367" i="17" s="1"/>
  <c r="V367" i="17" s="1"/>
  <c r="F367" i="17" s="1"/>
  <c r="AG19" i="17"/>
  <c r="AF19" i="17" s="1"/>
  <c r="AD19" i="17" s="1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45" i="17"/>
  <c r="AF145" i="17" s="1"/>
  <c r="AD145" i="17" s="1"/>
  <c r="AG161" i="17"/>
  <c r="AF161" i="17" s="1"/>
  <c r="AD161" i="17" s="1"/>
  <c r="AG177" i="17"/>
  <c r="AF177" i="17" s="1"/>
  <c r="AD177" i="17" s="1"/>
  <c r="AG193" i="17"/>
  <c r="AF193" i="17" s="1"/>
  <c r="AD193" i="17" s="1"/>
  <c r="AG209" i="17"/>
  <c r="AF209" i="17" s="1"/>
  <c r="AD209" i="17" s="1"/>
  <c r="AA209" i="17" s="1"/>
  <c r="Z209" i="17" s="1"/>
  <c r="Y209" i="17" s="1"/>
  <c r="AG225" i="17"/>
  <c r="AF225" i="17" s="1"/>
  <c r="AD225" i="17" s="1"/>
  <c r="AG241" i="17"/>
  <c r="AF241" i="17" s="1"/>
  <c r="AD241" i="17" s="1"/>
  <c r="AG257" i="17"/>
  <c r="AF257" i="17" s="1"/>
  <c r="AD257" i="17" s="1"/>
  <c r="AG275" i="17"/>
  <c r="AF275" i="17" s="1"/>
  <c r="AD275" i="17" s="1"/>
  <c r="S246" i="17"/>
  <c r="R246" i="17" s="1"/>
  <c r="P246" i="17" s="1"/>
  <c r="V246" i="17" s="1"/>
  <c r="F246" i="17" s="1"/>
  <c r="S262" i="17"/>
  <c r="R262" i="17" s="1"/>
  <c r="P262" i="17" s="1"/>
  <c r="V262" i="17" s="1"/>
  <c r="F262" i="17" s="1"/>
  <c r="S318" i="17"/>
  <c r="R318" i="17" s="1"/>
  <c r="P318" i="17" s="1"/>
  <c r="V318" i="17" s="1"/>
  <c r="F318" i="17" s="1"/>
  <c r="S326" i="17"/>
  <c r="R326" i="17" s="1"/>
  <c r="P326" i="17" s="1"/>
  <c r="V326" i="17" s="1"/>
  <c r="F326" i="17" s="1"/>
  <c r="S334" i="17"/>
  <c r="R334" i="17" s="1"/>
  <c r="P334" i="17" s="1"/>
  <c r="S350" i="17"/>
  <c r="R350" i="17" s="1"/>
  <c r="P350" i="17" s="1"/>
  <c r="V350" i="17" s="1"/>
  <c r="F350" i="17" s="1"/>
  <c r="S366" i="17"/>
  <c r="R366" i="17" s="1"/>
  <c r="P366" i="17" s="1"/>
  <c r="V366" i="17" s="1"/>
  <c r="F366" i="17" s="1"/>
  <c r="S16" i="17"/>
  <c r="R16" i="17" s="1"/>
  <c r="P16" i="17" s="1"/>
  <c r="S41" i="17"/>
  <c r="R41" i="17" s="1"/>
  <c r="P41" i="17" s="1"/>
  <c r="V41" i="17" s="1"/>
  <c r="F41" i="17" s="1"/>
  <c r="S57" i="17"/>
  <c r="R57" i="17" s="1"/>
  <c r="P57" i="17" s="1"/>
  <c r="V57" i="17" s="1"/>
  <c r="F57" i="17" s="1"/>
  <c r="S81" i="17"/>
  <c r="R81" i="17" s="1"/>
  <c r="P81" i="17" s="1"/>
  <c r="V81" i="17" s="1"/>
  <c r="F81" i="17" s="1"/>
  <c r="S97" i="17"/>
  <c r="R97" i="17" s="1"/>
  <c r="P97" i="17" s="1"/>
  <c r="V97" i="17" s="1"/>
  <c r="F97" i="17" s="1"/>
  <c r="S121" i="17"/>
  <c r="R121" i="17" s="1"/>
  <c r="P121" i="17" s="1"/>
  <c r="V121" i="17" s="1"/>
  <c r="F121" i="17" s="1"/>
  <c r="S137" i="17"/>
  <c r="R137" i="17" s="1"/>
  <c r="P137" i="17" s="1"/>
  <c r="V137" i="17" s="1"/>
  <c r="F137" i="17" s="1"/>
  <c r="S145" i="17"/>
  <c r="R145" i="17" s="1"/>
  <c r="P145" i="17" s="1"/>
  <c r="V145" i="17" s="1"/>
  <c r="F145" i="17" s="1"/>
  <c r="S153" i="17"/>
  <c r="R153" i="17" s="1"/>
  <c r="P153" i="17" s="1"/>
  <c r="V153" i="17" s="1"/>
  <c r="F153" i="17" s="1"/>
  <c r="S169" i="17"/>
  <c r="R169" i="17" s="1"/>
  <c r="P169" i="17" s="1"/>
  <c r="V169" i="17" s="1"/>
  <c r="F169" i="17" s="1"/>
  <c r="S177" i="17"/>
  <c r="R177" i="17" s="1"/>
  <c r="P177" i="17" s="1"/>
  <c r="V177" i="17" s="1"/>
  <c r="F177" i="17" s="1"/>
  <c r="S185" i="17"/>
  <c r="R185" i="17" s="1"/>
  <c r="P185" i="17" s="1"/>
  <c r="V185" i="17" s="1"/>
  <c r="F185" i="17" s="1"/>
  <c r="S201" i="17"/>
  <c r="R201" i="17" s="1"/>
  <c r="P201" i="17" s="1"/>
  <c r="V201" i="17" s="1"/>
  <c r="F201" i="17" s="1"/>
  <c r="S233" i="17"/>
  <c r="R233" i="17" s="1"/>
  <c r="P233" i="17" s="1"/>
  <c r="V233" i="17" s="1"/>
  <c r="F233" i="17" s="1"/>
  <c r="S257" i="17"/>
  <c r="R257" i="17" s="1"/>
  <c r="P257" i="17" s="1"/>
  <c r="V257" i="17" s="1"/>
  <c r="F257" i="17" s="1"/>
  <c r="S265" i="17"/>
  <c r="R265" i="17" s="1"/>
  <c r="P265" i="17" s="1"/>
  <c r="V265" i="17" s="1"/>
  <c r="F265" i="17" s="1"/>
  <c r="S273" i="17"/>
  <c r="R273" i="17" s="1"/>
  <c r="P273" i="17" s="1"/>
  <c r="V273" i="17" s="1"/>
  <c r="F273" i="17" s="1"/>
  <c r="S289" i="17"/>
  <c r="R289" i="17" s="1"/>
  <c r="P289" i="17" s="1"/>
  <c r="V289" i="17" s="1"/>
  <c r="F289" i="17" s="1"/>
  <c r="S305" i="17"/>
  <c r="R305" i="17" s="1"/>
  <c r="P305" i="17" s="1"/>
  <c r="V305" i="17" s="1"/>
  <c r="F305" i="17" s="1"/>
  <c r="S321" i="17"/>
  <c r="R321" i="17" s="1"/>
  <c r="P321" i="17" s="1"/>
  <c r="V321" i="17" s="1"/>
  <c r="F321" i="17" s="1"/>
  <c r="S345" i="17"/>
  <c r="R345" i="17" s="1"/>
  <c r="P345" i="17" s="1"/>
  <c r="V345" i="17" s="1"/>
  <c r="F345" i="17" s="1"/>
  <c r="AG29" i="17"/>
  <c r="AF29" i="17" s="1"/>
  <c r="AD29" i="17" s="1"/>
  <c r="AG45" i="17"/>
  <c r="AF45" i="17" s="1"/>
  <c r="AD45" i="17" s="1"/>
  <c r="AG61" i="17"/>
  <c r="AF61" i="17" s="1"/>
  <c r="AD61" i="17" s="1"/>
  <c r="AG77" i="17"/>
  <c r="AF77" i="17" s="1"/>
  <c r="AD77" i="17" s="1"/>
  <c r="AG93" i="17"/>
  <c r="AF93" i="17" s="1"/>
  <c r="AD93" i="17" s="1"/>
  <c r="AG109" i="17"/>
  <c r="AF109" i="17" s="1"/>
  <c r="AD109" i="17" s="1"/>
  <c r="AG125" i="17"/>
  <c r="AF125" i="17" s="1"/>
  <c r="AD125" i="17" s="1"/>
  <c r="AG141" i="17"/>
  <c r="AF141" i="17" s="1"/>
  <c r="AD141" i="17" s="1"/>
  <c r="AG157" i="17"/>
  <c r="AF157" i="17" s="1"/>
  <c r="AD157" i="17" s="1"/>
  <c r="AA157" i="17" s="1"/>
  <c r="Z157" i="17" s="1"/>
  <c r="Y157" i="17" s="1"/>
  <c r="AG173" i="17"/>
  <c r="AF173" i="17" s="1"/>
  <c r="AD173" i="17" s="1"/>
  <c r="AG189" i="17"/>
  <c r="AF189" i="17" s="1"/>
  <c r="AD189" i="17" s="1"/>
  <c r="AG205" i="17"/>
  <c r="AF205" i="17" s="1"/>
  <c r="AD205" i="17" s="1"/>
  <c r="AG221" i="17"/>
  <c r="AF221" i="17" s="1"/>
  <c r="AD221" i="17" s="1"/>
  <c r="AG237" i="17"/>
  <c r="AF237" i="17" s="1"/>
  <c r="AD237" i="17" s="1"/>
  <c r="AG253" i="17"/>
  <c r="AF253" i="17" s="1"/>
  <c r="AD253" i="17" s="1"/>
  <c r="AG269" i="17"/>
  <c r="AF269" i="17" s="1"/>
  <c r="AD269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A371" i="17" s="1"/>
  <c r="Z371" i="17" s="1"/>
  <c r="Y371" i="17" s="1"/>
  <c r="AH379" i="17"/>
  <c r="AI12" i="18"/>
  <c r="AG266" i="17"/>
  <c r="AF266" i="17" s="1"/>
  <c r="AD266" i="17" s="1"/>
  <c r="AG258" i="17"/>
  <c r="AF258" i="17" s="1"/>
  <c r="AD258" i="17" s="1"/>
  <c r="AA258" i="17" s="1"/>
  <c r="Z258" i="17" s="1"/>
  <c r="Y258" i="17" s="1"/>
  <c r="AG250" i="17"/>
  <c r="AF250" i="17" s="1"/>
  <c r="AD250" i="17" s="1"/>
  <c r="AA250" i="17" s="1"/>
  <c r="Z250" i="17" s="1"/>
  <c r="Y250" i="17" s="1"/>
  <c r="AG242" i="17"/>
  <c r="AF242" i="17" s="1"/>
  <c r="AD242" i="17" s="1"/>
  <c r="AA242" i="17" s="1"/>
  <c r="Z242" i="17" s="1"/>
  <c r="Y242" i="17" s="1"/>
  <c r="AG234" i="17"/>
  <c r="AF234" i="17" s="1"/>
  <c r="AD234" i="17" s="1"/>
  <c r="AG226" i="17"/>
  <c r="AF226" i="17" s="1"/>
  <c r="AD226" i="17" s="1"/>
  <c r="AA226" i="17" s="1"/>
  <c r="Z226" i="17" s="1"/>
  <c r="Y226" i="17" s="1"/>
  <c r="AG218" i="17"/>
  <c r="AF218" i="17" s="1"/>
  <c r="AD218" i="17" s="1"/>
  <c r="AG210" i="17"/>
  <c r="AF210" i="17" s="1"/>
  <c r="AD210" i="17" s="1"/>
  <c r="AG202" i="17"/>
  <c r="AF202" i="17" s="1"/>
  <c r="AD202" i="17" s="1"/>
  <c r="AG194" i="17"/>
  <c r="AF194" i="17" s="1"/>
  <c r="AD194" i="17" s="1"/>
  <c r="AG186" i="17"/>
  <c r="AF186" i="17" s="1"/>
  <c r="AD186" i="17" s="1"/>
  <c r="AA186" i="17" s="1"/>
  <c r="Z186" i="17" s="1"/>
  <c r="Y186" i="17" s="1"/>
  <c r="AG178" i="17"/>
  <c r="AF178" i="17" s="1"/>
  <c r="AD178" i="17" s="1"/>
  <c r="AG170" i="17"/>
  <c r="AF170" i="17" s="1"/>
  <c r="AD170" i="17" s="1"/>
  <c r="AA170" i="17" s="1"/>
  <c r="Z170" i="17" s="1"/>
  <c r="Y170" i="17" s="1"/>
  <c r="AG162" i="17"/>
  <c r="AF162" i="17" s="1"/>
  <c r="AD162" i="17" s="1"/>
  <c r="AA162" i="17" s="1"/>
  <c r="Z162" i="17" s="1"/>
  <c r="Y162" i="17" s="1"/>
  <c r="AG154" i="17"/>
  <c r="AF154" i="17" s="1"/>
  <c r="AD154" i="17" s="1"/>
  <c r="AA154" i="17" s="1"/>
  <c r="Z154" i="17" s="1"/>
  <c r="Y154" i="17" s="1"/>
  <c r="AG146" i="17"/>
  <c r="AF146" i="17" s="1"/>
  <c r="AD146" i="17" s="1"/>
  <c r="AG138" i="17"/>
  <c r="AF138" i="17" s="1"/>
  <c r="AD138" i="17" s="1"/>
  <c r="AG130" i="17"/>
  <c r="AF130" i="17" s="1"/>
  <c r="AD130" i="17" s="1"/>
  <c r="AG122" i="17"/>
  <c r="AF122" i="17" s="1"/>
  <c r="AD122" i="17" s="1"/>
  <c r="AA122" i="17" s="1"/>
  <c r="Z122" i="17" s="1"/>
  <c r="Y122" i="17" s="1"/>
  <c r="AG114" i="17"/>
  <c r="AF114" i="17" s="1"/>
  <c r="AD114" i="17" s="1"/>
  <c r="AG106" i="17"/>
  <c r="AF106" i="17" s="1"/>
  <c r="AD106" i="17" s="1"/>
  <c r="AA106" i="17" s="1"/>
  <c r="Z106" i="17" s="1"/>
  <c r="Y106" i="17" s="1"/>
  <c r="AG98" i="17"/>
  <c r="AF98" i="17" s="1"/>
  <c r="AD98" i="17" s="1"/>
  <c r="AA98" i="17" s="1"/>
  <c r="Z98" i="17" s="1"/>
  <c r="Y98" i="17" s="1"/>
  <c r="AG90" i="17"/>
  <c r="AF90" i="17" s="1"/>
  <c r="AD90" i="17" s="1"/>
  <c r="AA90" i="17" s="1"/>
  <c r="Z90" i="17" s="1"/>
  <c r="Y90" i="17" s="1"/>
  <c r="AG82" i="17"/>
  <c r="AF82" i="17" s="1"/>
  <c r="AD82" i="17" s="1"/>
  <c r="AG74" i="17"/>
  <c r="AF74" i="17" s="1"/>
  <c r="AD74" i="17" s="1"/>
  <c r="AA74" i="17" s="1"/>
  <c r="Z74" i="17" s="1"/>
  <c r="Y74" i="17" s="1"/>
  <c r="AG66" i="17"/>
  <c r="AF66" i="17" s="1"/>
  <c r="AD66" i="17" s="1"/>
  <c r="AA66" i="17" s="1"/>
  <c r="Z66" i="17" s="1"/>
  <c r="Y66" i="17" s="1"/>
  <c r="AG54" i="17"/>
  <c r="AF54" i="17" s="1"/>
  <c r="AD54" i="17" s="1"/>
  <c r="AG38" i="17"/>
  <c r="AF38" i="17" s="1"/>
  <c r="AD38" i="17" s="1"/>
  <c r="AG22" i="17"/>
  <c r="AF22" i="17" s="1"/>
  <c r="AD22" i="17" s="1"/>
  <c r="AG273" i="17"/>
  <c r="AF273" i="17" s="1"/>
  <c r="AD273" i="17" s="1"/>
  <c r="AG281" i="17"/>
  <c r="AF281" i="17" s="1"/>
  <c r="AD281" i="17" s="1"/>
  <c r="AA281" i="17" s="1"/>
  <c r="Z281" i="17" s="1"/>
  <c r="Y281" i="17" s="1"/>
  <c r="AG289" i="17"/>
  <c r="AF289" i="17" s="1"/>
  <c r="AD289" i="17" s="1"/>
  <c r="AG297" i="17"/>
  <c r="AF297" i="17" s="1"/>
  <c r="AD297" i="17" s="1"/>
  <c r="AA297" i="17" s="1"/>
  <c r="Z297" i="17" s="1"/>
  <c r="Y297" i="17" s="1"/>
  <c r="AG305" i="17"/>
  <c r="AF305" i="17" s="1"/>
  <c r="AD305" i="17" s="1"/>
  <c r="AG313" i="17"/>
  <c r="AF313" i="17" s="1"/>
  <c r="AD313" i="17" s="1"/>
  <c r="AA313" i="17" s="1"/>
  <c r="Z313" i="17" s="1"/>
  <c r="Y313" i="17" s="1"/>
  <c r="AG321" i="17"/>
  <c r="AF321" i="17" s="1"/>
  <c r="AD321" i="17" s="1"/>
  <c r="AG329" i="17"/>
  <c r="AF329" i="17" s="1"/>
  <c r="AD329" i="17" s="1"/>
  <c r="AA329" i="17" s="1"/>
  <c r="Z329" i="17" s="1"/>
  <c r="Y329" i="17" s="1"/>
  <c r="AG337" i="17"/>
  <c r="AF337" i="17" s="1"/>
  <c r="AD337" i="17" s="1"/>
  <c r="AA337" i="17" s="1"/>
  <c r="Z337" i="17" s="1"/>
  <c r="Y337" i="17" s="1"/>
  <c r="AG345" i="17"/>
  <c r="AF345" i="17" s="1"/>
  <c r="AD345" i="17" s="1"/>
  <c r="AG353" i="17"/>
  <c r="AF353" i="17" s="1"/>
  <c r="AD353" i="17" s="1"/>
  <c r="AA353" i="17" s="1"/>
  <c r="Z353" i="17" s="1"/>
  <c r="Y353" i="17" s="1"/>
  <c r="AG361" i="17"/>
  <c r="AF361" i="17" s="1"/>
  <c r="AD361" i="17" s="1"/>
  <c r="AA361" i="17" s="1"/>
  <c r="Z361" i="17" s="1"/>
  <c r="Y361" i="17" s="1"/>
  <c r="AG369" i="17"/>
  <c r="AF369" i="17" s="1"/>
  <c r="AD369" i="17" s="1"/>
  <c r="AA369" i="17" s="1"/>
  <c r="Z369" i="17" s="1"/>
  <c r="Y369" i="17" s="1"/>
  <c r="AG377" i="17"/>
  <c r="AF377" i="17" s="1"/>
  <c r="AD377" i="17" s="1"/>
  <c r="AA377" i="17" s="1"/>
  <c r="Z377" i="17" s="1"/>
  <c r="Y377" i="17" s="1"/>
  <c r="AG268" i="17"/>
  <c r="AF268" i="17" s="1"/>
  <c r="AD268" i="17" s="1"/>
  <c r="AA268" i="17" s="1"/>
  <c r="Z268" i="17" s="1"/>
  <c r="Y268" i="17" s="1"/>
  <c r="AG260" i="17"/>
  <c r="AF260" i="17" s="1"/>
  <c r="AD260" i="17" s="1"/>
  <c r="AG252" i="17"/>
  <c r="AF252" i="17" s="1"/>
  <c r="AD252" i="17" s="1"/>
  <c r="AA252" i="17" s="1"/>
  <c r="Z252" i="17" s="1"/>
  <c r="Y252" i="17" s="1"/>
  <c r="AG244" i="17"/>
  <c r="AF244" i="17" s="1"/>
  <c r="AD244" i="17" s="1"/>
  <c r="AA244" i="17" s="1"/>
  <c r="Z244" i="17" s="1"/>
  <c r="Y244" i="17" s="1"/>
  <c r="AG236" i="17"/>
  <c r="AF236" i="17" s="1"/>
  <c r="AD236" i="17" s="1"/>
  <c r="AA236" i="17" s="1"/>
  <c r="Z236" i="17" s="1"/>
  <c r="Y236" i="17" s="1"/>
  <c r="AG228" i="17"/>
  <c r="AF228" i="17" s="1"/>
  <c r="AD228" i="17" s="1"/>
  <c r="AG220" i="17"/>
  <c r="AF220" i="17" s="1"/>
  <c r="AD220" i="17" s="1"/>
  <c r="AG212" i="17"/>
  <c r="AF212" i="17" s="1"/>
  <c r="AD212" i="17" s="1"/>
  <c r="AA212" i="17" s="1"/>
  <c r="Z212" i="17" s="1"/>
  <c r="Y212" i="17" s="1"/>
  <c r="AG204" i="17"/>
  <c r="AF204" i="17" s="1"/>
  <c r="AD204" i="17" s="1"/>
  <c r="AA204" i="17" s="1"/>
  <c r="Z204" i="17" s="1"/>
  <c r="Y204" i="17" s="1"/>
  <c r="AG196" i="17"/>
  <c r="AF196" i="17" s="1"/>
  <c r="AD196" i="17" s="1"/>
  <c r="AG188" i="17"/>
  <c r="AF188" i="17" s="1"/>
  <c r="AD188" i="17" s="1"/>
  <c r="AA188" i="17" s="1"/>
  <c r="Z188" i="17" s="1"/>
  <c r="Y188" i="17" s="1"/>
  <c r="AG180" i="17"/>
  <c r="AF180" i="17" s="1"/>
  <c r="AD180" i="17" s="1"/>
  <c r="AA180" i="17" s="1"/>
  <c r="Z180" i="17" s="1"/>
  <c r="Y180" i="17" s="1"/>
  <c r="AG172" i="17"/>
  <c r="AF172" i="17" s="1"/>
  <c r="AD172" i="17" s="1"/>
  <c r="AA172" i="17" s="1"/>
  <c r="Z172" i="17" s="1"/>
  <c r="Y172" i="17" s="1"/>
  <c r="AG164" i="17"/>
  <c r="AF164" i="17" s="1"/>
  <c r="AD164" i="17" s="1"/>
  <c r="AA164" i="17" s="1"/>
  <c r="Z164" i="17" s="1"/>
  <c r="Y164" i="17" s="1"/>
  <c r="AG156" i="17"/>
  <c r="AF156" i="17" s="1"/>
  <c r="AD156" i="17" s="1"/>
  <c r="AG148" i="17"/>
  <c r="AF148" i="17" s="1"/>
  <c r="AD148" i="17" s="1"/>
  <c r="AA148" i="17" s="1"/>
  <c r="Z148" i="17" s="1"/>
  <c r="Y148" i="17" s="1"/>
  <c r="AG140" i="17"/>
  <c r="AF140" i="17" s="1"/>
  <c r="AD140" i="17" s="1"/>
  <c r="AA140" i="17" s="1"/>
  <c r="Z140" i="17" s="1"/>
  <c r="Y140" i="17" s="1"/>
  <c r="AG132" i="17"/>
  <c r="AF132" i="17" s="1"/>
  <c r="AD132" i="17" s="1"/>
  <c r="AA132" i="17" s="1"/>
  <c r="Z132" i="17" s="1"/>
  <c r="Y132" i="17" s="1"/>
  <c r="AG124" i="17"/>
  <c r="AF124" i="17" s="1"/>
  <c r="AD124" i="17" s="1"/>
  <c r="AA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A100" i="17" s="1"/>
  <c r="Z100" i="17" s="1"/>
  <c r="Y100" i="17" s="1"/>
  <c r="AG92" i="17"/>
  <c r="AF92" i="17" s="1"/>
  <c r="AD92" i="17" s="1"/>
  <c r="AG84" i="17"/>
  <c r="AF84" i="17" s="1"/>
  <c r="AD84" i="17" s="1"/>
  <c r="AA84" i="17" s="1"/>
  <c r="Z84" i="17" s="1"/>
  <c r="Y84" i="17" s="1"/>
  <c r="AG76" i="17"/>
  <c r="AF76" i="17" s="1"/>
  <c r="AD76" i="17" s="1"/>
  <c r="AA76" i="17" s="1"/>
  <c r="Z76" i="17" s="1"/>
  <c r="Y76" i="17" s="1"/>
  <c r="AG68" i="17"/>
  <c r="AF68" i="17" s="1"/>
  <c r="AD68" i="17" s="1"/>
  <c r="AG58" i="17"/>
  <c r="AF58" i="17" s="1"/>
  <c r="AD58" i="17" s="1"/>
  <c r="AA58" i="17" s="1"/>
  <c r="Z58" i="17" s="1"/>
  <c r="Y58" i="17" s="1"/>
  <c r="AG42" i="17"/>
  <c r="AF42" i="17" s="1"/>
  <c r="AD42" i="17" s="1"/>
  <c r="AG26" i="17"/>
  <c r="AF26" i="17" s="1"/>
  <c r="AD26" i="17" s="1"/>
  <c r="AG35" i="17"/>
  <c r="AF35" i="17" s="1"/>
  <c r="AD35" i="17" s="1"/>
  <c r="AA35" i="17" s="1"/>
  <c r="Z35" i="17" s="1"/>
  <c r="Y35" i="17" s="1"/>
  <c r="AG67" i="17"/>
  <c r="AF67" i="17" s="1"/>
  <c r="AD67" i="17" s="1"/>
  <c r="AA67" i="17" s="1"/>
  <c r="Z67" i="17" s="1"/>
  <c r="Y67" i="17" s="1"/>
  <c r="AG99" i="17"/>
  <c r="AF99" i="17" s="1"/>
  <c r="AD99" i="17" s="1"/>
  <c r="AA99" i="17" s="1"/>
  <c r="Z99" i="17" s="1"/>
  <c r="Y99" i="17" s="1"/>
  <c r="AG131" i="17"/>
  <c r="AF131" i="17" s="1"/>
  <c r="AD131" i="17" s="1"/>
  <c r="AG163" i="17"/>
  <c r="AF163" i="17" s="1"/>
  <c r="AD163" i="17" s="1"/>
  <c r="AG195" i="17"/>
  <c r="AF195" i="17" s="1"/>
  <c r="AD195" i="17" s="1"/>
  <c r="AA195" i="17" s="1"/>
  <c r="Z195" i="17" s="1"/>
  <c r="Y195" i="17" s="1"/>
  <c r="AG227" i="17"/>
  <c r="AF227" i="17" s="1"/>
  <c r="AD227" i="17" s="1"/>
  <c r="AG259" i="17"/>
  <c r="AF259" i="17" s="1"/>
  <c r="AD259" i="17" s="1"/>
  <c r="AA259" i="17" s="1"/>
  <c r="Z259" i="17" s="1"/>
  <c r="Y259" i="17" s="1"/>
  <c r="AG282" i="17"/>
  <c r="AF282" i="17" s="1"/>
  <c r="AD282" i="17" s="1"/>
  <c r="AG298" i="17"/>
  <c r="AF298" i="17" s="1"/>
  <c r="AD298" i="17" s="1"/>
  <c r="AA298" i="17" s="1"/>
  <c r="Z298" i="17" s="1"/>
  <c r="Y298" i="17" s="1"/>
  <c r="AG314" i="17"/>
  <c r="AF314" i="17" s="1"/>
  <c r="AD314" i="17" s="1"/>
  <c r="AA314" i="17" s="1"/>
  <c r="Z314" i="17" s="1"/>
  <c r="Y314" i="17" s="1"/>
  <c r="AG330" i="17"/>
  <c r="AF330" i="17" s="1"/>
  <c r="AD330" i="17" s="1"/>
  <c r="AG346" i="17"/>
  <c r="AF346" i="17" s="1"/>
  <c r="AD346" i="17" s="1"/>
  <c r="AG362" i="17"/>
  <c r="AF362" i="17" s="1"/>
  <c r="AD362" i="17" s="1"/>
  <c r="AA362" i="17" s="1"/>
  <c r="Z362" i="17" s="1"/>
  <c r="Y362" i="17" s="1"/>
  <c r="AG378" i="17"/>
  <c r="AF378" i="17" s="1"/>
  <c r="AD378" i="17" s="1"/>
  <c r="AA378" i="17" s="1"/>
  <c r="Z378" i="17" s="1"/>
  <c r="Y378" i="17" s="1"/>
  <c r="AG71" i="17"/>
  <c r="AF71" i="17" s="1"/>
  <c r="AD71" i="17" s="1"/>
  <c r="AG135" i="17"/>
  <c r="AF135" i="17" s="1"/>
  <c r="AD135" i="17" s="1"/>
  <c r="AG199" i="17"/>
  <c r="AF199" i="17" s="1"/>
  <c r="AD199" i="17" s="1"/>
  <c r="AA199" i="17" s="1"/>
  <c r="Z199" i="17" s="1"/>
  <c r="Y199" i="17" s="1"/>
  <c r="AG263" i="17"/>
  <c r="AF263" i="17" s="1"/>
  <c r="AD263" i="17" s="1"/>
  <c r="AA263" i="17" s="1"/>
  <c r="Z263" i="17" s="1"/>
  <c r="Y263" i="17" s="1"/>
  <c r="AG300" i="17"/>
  <c r="AF300" i="17" s="1"/>
  <c r="AD300" i="17" s="1"/>
  <c r="AA300" i="17" s="1"/>
  <c r="Z300" i="17" s="1"/>
  <c r="Y300" i="17" s="1"/>
  <c r="AG332" i="17"/>
  <c r="AF332" i="17" s="1"/>
  <c r="AD332" i="17" s="1"/>
  <c r="AA332" i="17" s="1"/>
  <c r="Z332" i="17" s="1"/>
  <c r="Y332" i="17" s="1"/>
  <c r="AG364" i="17"/>
  <c r="AF364" i="17" s="1"/>
  <c r="AD364" i="17" s="1"/>
  <c r="AG127" i="17"/>
  <c r="AF127" i="17" s="1"/>
  <c r="AD127" i="17" s="1"/>
  <c r="AA127" i="17" s="1"/>
  <c r="Z127" i="17" s="1"/>
  <c r="Y127" i="17" s="1"/>
  <c r="AG255" i="17"/>
  <c r="AF255" i="17" s="1"/>
  <c r="AD255" i="17" s="1"/>
  <c r="AA255" i="17" s="1"/>
  <c r="Z255" i="17" s="1"/>
  <c r="Y255" i="17" s="1"/>
  <c r="AG328" i="17"/>
  <c r="AF328" i="17" s="1"/>
  <c r="AD328" i="17" s="1"/>
  <c r="AA328" i="17" s="1"/>
  <c r="Z328" i="17" s="1"/>
  <c r="Y328" i="17" s="1"/>
  <c r="AG111" i="17"/>
  <c r="AF111" i="17" s="1"/>
  <c r="AD111" i="17" s="1"/>
  <c r="AG320" i="17"/>
  <c r="AF320" i="17" s="1"/>
  <c r="AD320" i="17" s="1"/>
  <c r="AA320" i="17" s="1"/>
  <c r="Z320" i="17" s="1"/>
  <c r="Y320" i="17" s="1"/>
  <c r="AG304" i="17"/>
  <c r="AF304" i="17" s="1"/>
  <c r="AD304" i="17" s="1"/>
  <c r="AA304" i="17" s="1"/>
  <c r="Z304" i="17" s="1"/>
  <c r="Y304" i="17" s="1"/>
  <c r="AG271" i="17"/>
  <c r="AF271" i="17" s="1"/>
  <c r="AD271" i="17" s="1"/>
  <c r="AA271" i="17" s="1"/>
  <c r="Z271" i="17" s="1"/>
  <c r="Y271" i="17" s="1"/>
  <c r="AG56" i="17"/>
  <c r="AF56" i="17" s="1"/>
  <c r="AD56" i="17" s="1"/>
  <c r="AG48" i="17"/>
  <c r="AF48" i="17" s="1"/>
  <c r="AD48" i="17" s="1"/>
  <c r="AG40" i="17"/>
  <c r="AF40" i="17" s="1"/>
  <c r="AD40" i="17" s="1"/>
  <c r="AA40" i="17" s="1"/>
  <c r="Z40" i="17" s="1"/>
  <c r="Y40" i="17" s="1"/>
  <c r="AG32" i="17"/>
  <c r="AF32" i="17" s="1"/>
  <c r="AD32" i="17" s="1"/>
  <c r="AG24" i="17"/>
  <c r="AF24" i="17" s="1"/>
  <c r="AD24" i="17" s="1"/>
  <c r="AA24" i="17" s="1"/>
  <c r="Z24" i="17" s="1"/>
  <c r="Y24" i="17" s="1"/>
  <c r="AG17" i="17"/>
  <c r="AF17" i="17" s="1"/>
  <c r="AD17" i="17" s="1"/>
  <c r="AA17" i="17" s="1"/>
  <c r="Z17" i="17" s="1"/>
  <c r="Y17" i="17" s="1"/>
  <c r="AG43" i="17"/>
  <c r="AF43" i="17" s="1"/>
  <c r="AD43" i="17" s="1"/>
  <c r="AG75" i="17"/>
  <c r="AF75" i="17" s="1"/>
  <c r="AD75" i="17" s="1"/>
  <c r="AG107" i="17"/>
  <c r="AF107" i="17" s="1"/>
  <c r="AD107" i="17" s="1"/>
  <c r="AA107" i="17" s="1"/>
  <c r="Z107" i="17" s="1"/>
  <c r="Y107" i="17" s="1"/>
  <c r="AG139" i="17"/>
  <c r="AF139" i="17" s="1"/>
  <c r="AD139" i="17" s="1"/>
  <c r="AG171" i="17"/>
  <c r="AF171" i="17" s="1"/>
  <c r="AD171" i="17" s="1"/>
  <c r="AG203" i="17"/>
  <c r="AF203" i="17" s="1"/>
  <c r="AD203" i="17" s="1"/>
  <c r="AA203" i="17" s="1"/>
  <c r="Z203" i="17" s="1"/>
  <c r="Y203" i="17" s="1"/>
  <c r="AG235" i="17"/>
  <c r="AF235" i="17" s="1"/>
  <c r="AD235" i="17" s="1"/>
  <c r="AG267" i="17"/>
  <c r="AF267" i="17" s="1"/>
  <c r="AD267" i="17" s="1"/>
  <c r="AG286" i="17"/>
  <c r="AF286" i="17" s="1"/>
  <c r="AD286" i="17" s="1"/>
  <c r="AA286" i="17" s="1"/>
  <c r="Z286" i="17" s="1"/>
  <c r="Y286" i="17" s="1"/>
  <c r="AG302" i="17"/>
  <c r="AF302" i="17" s="1"/>
  <c r="AD302" i="17" s="1"/>
  <c r="AA302" i="17" s="1"/>
  <c r="Z302" i="17" s="1"/>
  <c r="Y302" i="17" s="1"/>
  <c r="AG318" i="17"/>
  <c r="AF318" i="17" s="1"/>
  <c r="AD318" i="17" s="1"/>
  <c r="AG334" i="17"/>
  <c r="AF334" i="17" s="1"/>
  <c r="AD334" i="17" s="1"/>
  <c r="AG350" i="17"/>
  <c r="AF350" i="17" s="1"/>
  <c r="AD350" i="17" s="1"/>
  <c r="AG366" i="17"/>
  <c r="AF366" i="17" s="1"/>
  <c r="AD366" i="17" s="1"/>
  <c r="AG23" i="17"/>
  <c r="AF23" i="17" s="1"/>
  <c r="AD23" i="17" s="1"/>
  <c r="AA23" i="17" s="1"/>
  <c r="Z23" i="17" s="1"/>
  <c r="Y23" i="17" s="1"/>
  <c r="AG87" i="17"/>
  <c r="AF87" i="17" s="1"/>
  <c r="AD87" i="17" s="1"/>
  <c r="AG151" i="17"/>
  <c r="AF151" i="17" s="1"/>
  <c r="AD151" i="17" s="1"/>
  <c r="AA151" i="17" s="1"/>
  <c r="Z151" i="17" s="1"/>
  <c r="Y151" i="17" s="1"/>
  <c r="AG215" i="17"/>
  <c r="AF215" i="17" s="1"/>
  <c r="AD215" i="17" s="1"/>
  <c r="AA215" i="17" s="1"/>
  <c r="Z215" i="17" s="1"/>
  <c r="Y215" i="17" s="1"/>
  <c r="AG276" i="17"/>
  <c r="AF276" i="17" s="1"/>
  <c r="AD276" i="17" s="1"/>
  <c r="AG308" i="17"/>
  <c r="AF308" i="17" s="1"/>
  <c r="AD308" i="17" s="1"/>
  <c r="AG340" i="17"/>
  <c r="AF340" i="17" s="1"/>
  <c r="AD340" i="17" s="1"/>
  <c r="AA340" i="17" s="1"/>
  <c r="Z340" i="17" s="1"/>
  <c r="Y340" i="17" s="1"/>
  <c r="AG372" i="17"/>
  <c r="AF372" i="17" s="1"/>
  <c r="AD372" i="17" s="1"/>
  <c r="AG95" i="17"/>
  <c r="AF95" i="17" s="1"/>
  <c r="AD95" i="17" s="1"/>
  <c r="AG223" i="17"/>
  <c r="AF223" i="17" s="1"/>
  <c r="AD223" i="17" s="1"/>
  <c r="AG312" i="17"/>
  <c r="AF312" i="17" s="1"/>
  <c r="AD312" i="17" s="1"/>
  <c r="AG376" i="17"/>
  <c r="AF376" i="17" s="1"/>
  <c r="AD376" i="17" s="1"/>
  <c r="AG175" i="17"/>
  <c r="AF175" i="17" s="1"/>
  <c r="AD175" i="17" s="1"/>
  <c r="AA175" i="17" s="1"/>
  <c r="Z175" i="17" s="1"/>
  <c r="Y175" i="17" s="1"/>
  <c r="AG352" i="17"/>
  <c r="AF352" i="17" s="1"/>
  <c r="AD352" i="17" s="1"/>
  <c r="AG368" i="17"/>
  <c r="AF368" i="17" s="1"/>
  <c r="AD368" i="17" s="1"/>
  <c r="AA368" i="17" s="1"/>
  <c r="Z368" i="17" s="1"/>
  <c r="Y368" i="17" s="1"/>
  <c r="AG18" i="17"/>
  <c r="AF18" i="17" s="1"/>
  <c r="AD18" i="17" s="1"/>
  <c r="AA18" i="17" s="1"/>
  <c r="Z18" i="17" s="1"/>
  <c r="Y18" i="17" s="1"/>
  <c r="I306" i="17"/>
  <c r="J306" i="17"/>
  <c r="I323" i="16"/>
  <c r="H323" i="17" s="1"/>
  <c r="J323" i="16"/>
  <c r="J302" i="16"/>
  <c r="I302" i="16"/>
  <c r="G272" i="16"/>
  <c r="BY272" i="6" s="1"/>
  <c r="AA272" i="16"/>
  <c r="Z272" i="16" s="1"/>
  <c r="Y272" i="16" s="1"/>
  <c r="H272" i="16"/>
  <c r="J380" i="16"/>
  <c r="I380" i="16"/>
  <c r="H380" i="17" s="1"/>
  <c r="I47" i="16"/>
  <c r="J47" i="16"/>
  <c r="R382" i="16"/>
  <c r="R383" i="16"/>
  <c r="R381" i="16"/>
  <c r="P15" i="16"/>
  <c r="AF382" i="16"/>
  <c r="AF383" i="16"/>
  <c r="AF381" i="16"/>
  <c r="AD15" i="16"/>
  <c r="G350" i="16"/>
  <c r="BY350" i="6" s="1"/>
  <c r="H350" i="16"/>
  <c r="AA350" i="16"/>
  <c r="Z350" i="16" s="1"/>
  <c r="Y350" i="16" s="1"/>
  <c r="G180" i="16"/>
  <c r="BY180" i="6" s="1"/>
  <c r="AA180" i="16"/>
  <c r="Z180" i="16" s="1"/>
  <c r="Y180" i="16" s="1"/>
  <c r="H180" i="16"/>
  <c r="I239" i="16"/>
  <c r="H239" i="17" s="1"/>
  <c r="J239" i="16"/>
  <c r="I295" i="16"/>
  <c r="H295" i="17" s="1"/>
  <c r="J295" i="16"/>
  <c r="I241" i="16"/>
  <c r="J241" i="16"/>
  <c r="U21" i="18"/>
  <c r="T21" i="18" s="1"/>
  <c r="S21" i="18" s="1"/>
  <c r="R21" i="18" s="1"/>
  <c r="AB15" i="7"/>
  <c r="U373" i="18"/>
  <c r="T373" i="18" s="1"/>
  <c r="S373" i="18" s="1"/>
  <c r="R373" i="18" s="1"/>
  <c r="P373" i="18" s="1"/>
  <c r="V373" i="18" s="1"/>
  <c r="U357" i="18"/>
  <c r="T357" i="18" s="1"/>
  <c r="U341" i="18"/>
  <c r="T341" i="18" s="1"/>
  <c r="S341" i="18" s="1"/>
  <c r="R341" i="18" s="1"/>
  <c r="P341" i="18" s="1"/>
  <c r="V341" i="18" s="1"/>
  <c r="U325" i="18"/>
  <c r="T325" i="18" s="1"/>
  <c r="S325" i="18" s="1"/>
  <c r="R325" i="18" s="1"/>
  <c r="P325" i="18" s="1"/>
  <c r="V325" i="18" s="1"/>
  <c r="U309" i="18"/>
  <c r="T309" i="18" s="1"/>
  <c r="S309" i="18" s="1"/>
  <c r="R309" i="18" s="1"/>
  <c r="P309" i="18" s="1"/>
  <c r="V309" i="18" s="1"/>
  <c r="U293" i="18"/>
  <c r="T293" i="18" s="1"/>
  <c r="U277" i="18"/>
  <c r="T277" i="18" s="1"/>
  <c r="S277" i="18" s="1"/>
  <c r="R277" i="18" s="1"/>
  <c r="P277" i="18" s="1"/>
  <c r="V277" i="18" s="1"/>
  <c r="U261" i="18"/>
  <c r="T261" i="18" s="1"/>
  <c r="U245" i="18"/>
  <c r="T245" i="18" s="1"/>
  <c r="U229" i="18"/>
  <c r="T229" i="18" s="1"/>
  <c r="S229" i="18" s="1"/>
  <c r="R229" i="18" s="1"/>
  <c r="P229" i="18" s="1"/>
  <c r="V229" i="18" s="1"/>
  <c r="U213" i="18"/>
  <c r="T213" i="18" s="1"/>
  <c r="S213" i="18" s="1"/>
  <c r="R213" i="18" s="1"/>
  <c r="P213" i="18" s="1"/>
  <c r="V213" i="18" s="1"/>
  <c r="U197" i="18"/>
  <c r="T197" i="18" s="1"/>
  <c r="S197" i="18" s="1"/>
  <c r="R197" i="18" s="1"/>
  <c r="P197" i="18" s="1"/>
  <c r="V197" i="18" s="1"/>
  <c r="U181" i="18"/>
  <c r="T181" i="18" s="1"/>
  <c r="U165" i="18"/>
  <c r="T165" i="18" s="1"/>
  <c r="S165" i="18" s="1"/>
  <c r="R165" i="18" s="1"/>
  <c r="P165" i="18" s="1"/>
  <c r="V165" i="18" s="1"/>
  <c r="U149" i="18"/>
  <c r="T149" i="18" s="1"/>
  <c r="S149" i="18" s="1"/>
  <c r="R149" i="18" s="1"/>
  <c r="U133" i="18"/>
  <c r="T133" i="18" s="1"/>
  <c r="U117" i="18"/>
  <c r="T117" i="18" s="1"/>
  <c r="S117" i="18" s="1"/>
  <c r="R117" i="18" s="1"/>
  <c r="U101" i="18"/>
  <c r="T101" i="18" s="1"/>
  <c r="S101" i="18" s="1"/>
  <c r="R101" i="18" s="1"/>
  <c r="U85" i="18"/>
  <c r="T85" i="18" s="1"/>
  <c r="S85" i="18" s="1"/>
  <c r="R85" i="18" s="1"/>
  <c r="U69" i="18"/>
  <c r="T69" i="18" s="1"/>
  <c r="S69" i="18" s="1"/>
  <c r="R69" i="18" s="1"/>
  <c r="U53" i="18"/>
  <c r="T53" i="18" s="1"/>
  <c r="S53" i="18" s="1"/>
  <c r="R53" i="18" s="1"/>
  <c r="P53" i="18" s="1"/>
  <c r="V53" i="18" s="1"/>
  <c r="U37" i="18"/>
  <c r="T37" i="18" s="1"/>
  <c r="U18" i="18"/>
  <c r="T18" i="18" s="1"/>
  <c r="S18" i="18" s="1"/>
  <c r="R18" i="18" s="1"/>
  <c r="P18" i="18" s="1"/>
  <c r="V18" i="18" s="1"/>
  <c r="J36" i="19"/>
  <c r="D12" i="19"/>
  <c r="G36" i="19"/>
  <c r="L44" i="19"/>
  <c r="U377" i="18"/>
  <c r="T377" i="18" s="1"/>
  <c r="S377" i="18" s="1"/>
  <c r="R377" i="18" s="1"/>
  <c r="P377" i="18" s="1"/>
  <c r="V377" i="18" s="1"/>
  <c r="U369" i="18"/>
  <c r="T369" i="18" s="1"/>
  <c r="U361" i="18"/>
  <c r="T361" i="18" s="1"/>
  <c r="S361" i="18" s="1"/>
  <c r="R361" i="18" s="1"/>
  <c r="P361" i="18" s="1"/>
  <c r="V361" i="18" s="1"/>
  <c r="D361" i="18" s="1"/>
  <c r="E361" i="18" s="1"/>
  <c r="F361" i="18" s="1"/>
  <c r="U353" i="18"/>
  <c r="T353" i="18" s="1"/>
  <c r="U345" i="18"/>
  <c r="T345" i="18" s="1"/>
  <c r="U337" i="18"/>
  <c r="T337" i="18" s="1"/>
  <c r="S337" i="18" s="1"/>
  <c r="R337" i="18" s="1"/>
  <c r="P337" i="18" s="1"/>
  <c r="V337" i="18" s="1"/>
  <c r="U329" i="18"/>
  <c r="T329" i="18" s="1"/>
  <c r="S329" i="18" s="1"/>
  <c r="R329" i="18" s="1"/>
  <c r="P329" i="18" s="1"/>
  <c r="V329" i="18" s="1"/>
  <c r="D329" i="18" s="1"/>
  <c r="E329" i="18" s="1"/>
  <c r="F329" i="18" s="1"/>
  <c r="U321" i="18"/>
  <c r="T321" i="18" s="1"/>
  <c r="S321" i="18" s="1"/>
  <c r="R321" i="18" s="1"/>
  <c r="P321" i="18" s="1"/>
  <c r="V321" i="18" s="1"/>
  <c r="D321" i="18" s="1"/>
  <c r="E321" i="18" s="1"/>
  <c r="F321" i="18" s="1"/>
  <c r="U313" i="18"/>
  <c r="T313" i="18" s="1"/>
  <c r="S313" i="18" s="1"/>
  <c r="R313" i="18" s="1"/>
  <c r="P313" i="18" s="1"/>
  <c r="V313" i="18" s="1"/>
  <c r="U305" i="18"/>
  <c r="T305" i="18" s="1"/>
  <c r="S305" i="18" s="1"/>
  <c r="R305" i="18" s="1"/>
  <c r="P305" i="18" s="1"/>
  <c r="V305" i="18" s="1"/>
  <c r="D305" i="18" s="1"/>
  <c r="E305" i="18" s="1"/>
  <c r="F305" i="18" s="1"/>
  <c r="U297" i="18"/>
  <c r="T297" i="18" s="1"/>
  <c r="S297" i="18" s="1"/>
  <c r="R297" i="18" s="1"/>
  <c r="P297" i="18" s="1"/>
  <c r="V297" i="18" s="1"/>
  <c r="D297" i="18" s="1"/>
  <c r="E297" i="18" s="1"/>
  <c r="F297" i="18" s="1"/>
  <c r="U289" i="18"/>
  <c r="T289" i="18" s="1"/>
  <c r="U281" i="18"/>
  <c r="T281" i="18" s="1"/>
  <c r="S281" i="18" s="1"/>
  <c r="R281" i="18" s="1"/>
  <c r="P281" i="18" s="1"/>
  <c r="V281" i="18" s="1"/>
  <c r="U273" i="18"/>
  <c r="T273" i="18" s="1"/>
  <c r="S273" i="18" s="1"/>
  <c r="R273" i="18" s="1"/>
  <c r="P273" i="18" s="1"/>
  <c r="V273" i="18" s="1"/>
  <c r="U265" i="18"/>
  <c r="T265" i="18" s="1"/>
  <c r="S265" i="18" s="1"/>
  <c r="R265" i="18" s="1"/>
  <c r="P265" i="18" s="1"/>
  <c r="V265" i="18" s="1"/>
  <c r="U257" i="18"/>
  <c r="T257" i="18" s="1"/>
  <c r="U249" i="18"/>
  <c r="T249" i="18" s="1"/>
  <c r="S249" i="18" s="1"/>
  <c r="R249" i="18" s="1"/>
  <c r="P249" i="18" s="1"/>
  <c r="V249" i="18" s="1"/>
  <c r="U241" i="18"/>
  <c r="T241" i="18" s="1"/>
  <c r="S241" i="18" s="1"/>
  <c r="R241" i="18" s="1"/>
  <c r="P241" i="18" s="1"/>
  <c r="U233" i="18"/>
  <c r="T233" i="18" s="1"/>
  <c r="U225" i="18"/>
  <c r="T225" i="18" s="1"/>
  <c r="S225" i="18" s="1"/>
  <c r="R225" i="18" s="1"/>
  <c r="P225" i="18" s="1"/>
  <c r="V225" i="18" s="1"/>
  <c r="U217" i="18"/>
  <c r="T217" i="18" s="1"/>
  <c r="S217" i="18" s="1"/>
  <c r="R217" i="18" s="1"/>
  <c r="P217" i="18" s="1"/>
  <c r="V217" i="18" s="1"/>
  <c r="U209" i="18"/>
  <c r="T209" i="18" s="1"/>
  <c r="S209" i="18" s="1"/>
  <c r="R209" i="18" s="1"/>
  <c r="P209" i="18" s="1"/>
  <c r="V209" i="18" s="1"/>
  <c r="U201" i="18"/>
  <c r="T201" i="18" s="1"/>
  <c r="S201" i="18" s="1"/>
  <c r="R201" i="18" s="1"/>
  <c r="P201" i="18" s="1"/>
  <c r="V201" i="18" s="1"/>
  <c r="U193" i="18"/>
  <c r="T193" i="18" s="1"/>
  <c r="S193" i="18" s="1"/>
  <c r="R193" i="18" s="1"/>
  <c r="P193" i="18" s="1"/>
  <c r="V193" i="18" s="1"/>
  <c r="U185" i="18"/>
  <c r="T185" i="18" s="1"/>
  <c r="S185" i="18" s="1"/>
  <c r="R185" i="18" s="1"/>
  <c r="P185" i="18" s="1"/>
  <c r="V185" i="18" s="1"/>
  <c r="U177" i="18"/>
  <c r="T177" i="18" s="1"/>
  <c r="S177" i="18" s="1"/>
  <c r="R177" i="18" s="1"/>
  <c r="P177" i="18" s="1"/>
  <c r="V177" i="18" s="1"/>
  <c r="U169" i="18"/>
  <c r="T169" i="18" s="1"/>
  <c r="S169" i="18" s="1"/>
  <c r="R169" i="18" s="1"/>
  <c r="P169" i="18" s="1"/>
  <c r="V169" i="18" s="1"/>
  <c r="U161" i="18"/>
  <c r="T161" i="18" s="1"/>
  <c r="S161" i="18" s="1"/>
  <c r="R161" i="18" s="1"/>
  <c r="P161" i="18" s="1"/>
  <c r="V161" i="18" s="1"/>
  <c r="U153" i="18"/>
  <c r="T153" i="18" s="1"/>
  <c r="S153" i="18" s="1"/>
  <c r="R153" i="18" s="1"/>
  <c r="P153" i="18" s="1"/>
  <c r="V153" i="18" s="1"/>
  <c r="U145" i="18"/>
  <c r="T145" i="18" s="1"/>
  <c r="S145" i="18" s="1"/>
  <c r="R145" i="18" s="1"/>
  <c r="P145" i="18" s="1"/>
  <c r="V145" i="18" s="1"/>
  <c r="U137" i="18"/>
  <c r="T137" i="18" s="1"/>
  <c r="S137" i="18" s="1"/>
  <c r="R137" i="18" s="1"/>
  <c r="P137" i="18" s="1"/>
  <c r="V137" i="18" s="1"/>
  <c r="U129" i="18"/>
  <c r="T129" i="18" s="1"/>
  <c r="S129" i="18" s="1"/>
  <c r="R129" i="18" s="1"/>
  <c r="P129" i="18" s="1"/>
  <c r="V129" i="18" s="1"/>
  <c r="U121" i="18"/>
  <c r="T121" i="18" s="1"/>
  <c r="S121" i="18" s="1"/>
  <c r="R121" i="18" s="1"/>
  <c r="P121" i="18" s="1"/>
  <c r="V121" i="18" s="1"/>
  <c r="U113" i="18"/>
  <c r="T113" i="18" s="1"/>
  <c r="S113" i="18" s="1"/>
  <c r="R113" i="18" s="1"/>
  <c r="P113" i="18" s="1"/>
  <c r="V113" i="18" s="1"/>
  <c r="U105" i="18"/>
  <c r="T105" i="18" s="1"/>
  <c r="S105" i="18" s="1"/>
  <c r="R105" i="18" s="1"/>
  <c r="P105" i="18" s="1"/>
  <c r="V105" i="18" s="1"/>
  <c r="U97" i="18"/>
  <c r="T97" i="18" s="1"/>
  <c r="U89" i="18"/>
  <c r="T89" i="18" s="1"/>
  <c r="S89" i="18" s="1"/>
  <c r="R89" i="18" s="1"/>
  <c r="P89" i="18" s="1"/>
  <c r="V89" i="18" s="1"/>
  <c r="U81" i="18"/>
  <c r="T81" i="18" s="1"/>
  <c r="S81" i="18" s="1"/>
  <c r="R81" i="18" s="1"/>
  <c r="P81" i="18" s="1"/>
  <c r="V81" i="18" s="1"/>
  <c r="U73" i="18"/>
  <c r="T73" i="18" s="1"/>
  <c r="S73" i="18" s="1"/>
  <c r="R73" i="18" s="1"/>
  <c r="P73" i="18" s="1"/>
  <c r="V73" i="18" s="1"/>
  <c r="U65" i="18"/>
  <c r="T65" i="18" s="1"/>
  <c r="S65" i="18" s="1"/>
  <c r="R65" i="18" s="1"/>
  <c r="P65" i="18" s="1"/>
  <c r="V65" i="18" s="1"/>
  <c r="U57" i="18"/>
  <c r="T57" i="18" s="1"/>
  <c r="U49" i="18"/>
  <c r="T49" i="18" s="1"/>
  <c r="S49" i="18" s="1"/>
  <c r="R49" i="18" s="1"/>
  <c r="P49" i="18" s="1"/>
  <c r="V49" i="18" s="1"/>
  <c r="U41" i="18"/>
  <c r="T41" i="18" s="1"/>
  <c r="S41" i="18" s="1"/>
  <c r="R41" i="18" s="1"/>
  <c r="P41" i="18" s="1"/>
  <c r="V41" i="18" s="1"/>
  <c r="U33" i="18"/>
  <c r="T33" i="18" s="1"/>
  <c r="S33" i="18" s="1"/>
  <c r="R33" i="18" s="1"/>
  <c r="P33" i="18" s="1"/>
  <c r="V33" i="18" s="1"/>
  <c r="U25" i="18"/>
  <c r="T25" i="18" s="1"/>
  <c r="S25" i="18" s="1"/>
  <c r="R25" i="18" s="1"/>
  <c r="P25" i="18" s="1"/>
  <c r="V25" i="18" s="1"/>
  <c r="U379" i="18"/>
  <c r="AB16" i="7" s="1"/>
  <c r="U375" i="18"/>
  <c r="T375" i="18" s="1"/>
  <c r="S375" i="18" s="1"/>
  <c r="R375" i="18" s="1"/>
  <c r="P375" i="18" s="1"/>
  <c r="V375" i="18" s="1"/>
  <c r="U371" i="18"/>
  <c r="T371" i="18" s="1"/>
  <c r="S371" i="18" s="1"/>
  <c r="R371" i="18" s="1"/>
  <c r="P371" i="18" s="1"/>
  <c r="V371" i="18" s="1"/>
  <c r="U367" i="18"/>
  <c r="T367" i="18" s="1"/>
  <c r="S367" i="18" s="1"/>
  <c r="R367" i="18" s="1"/>
  <c r="P367" i="18" s="1"/>
  <c r="V367" i="18" s="1"/>
  <c r="D367" i="18" s="1"/>
  <c r="E367" i="18" s="1"/>
  <c r="F367" i="18" s="1"/>
  <c r="U363" i="18"/>
  <c r="T363" i="18" s="1"/>
  <c r="U359" i="18"/>
  <c r="T359" i="18" s="1"/>
  <c r="S359" i="18" s="1"/>
  <c r="R359" i="18" s="1"/>
  <c r="P359" i="18" s="1"/>
  <c r="V359" i="18" s="1"/>
  <c r="U355" i="18"/>
  <c r="T355" i="18" s="1"/>
  <c r="S355" i="18" s="1"/>
  <c r="R355" i="18" s="1"/>
  <c r="P355" i="18" s="1"/>
  <c r="V355" i="18" s="1"/>
  <c r="U351" i="18"/>
  <c r="T351" i="18" s="1"/>
  <c r="S351" i="18" s="1"/>
  <c r="R351" i="18" s="1"/>
  <c r="P351" i="18" s="1"/>
  <c r="V351" i="18" s="1"/>
  <c r="D351" i="18" s="1"/>
  <c r="E351" i="18" s="1"/>
  <c r="F351" i="18" s="1"/>
  <c r="U347" i="18"/>
  <c r="T347" i="18" s="1"/>
  <c r="S347" i="18" s="1"/>
  <c r="R347" i="18" s="1"/>
  <c r="P347" i="18" s="1"/>
  <c r="V347" i="18" s="1"/>
  <c r="D347" i="18" s="1"/>
  <c r="E347" i="18" s="1"/>
  <c r="F347" i="18" s="1"/>
  <c r="U343" i="18"/>
  <c r="T343" i="18" s="1"/>
  <c r="S343" i="18" s="1"/>
  <c r="R343" i="18" s="1"/>
  <c r="P343" i="18" s="1"/>
  <c r="V343" i="18" s="1"/>
  <c r="U339" i="18"/>
  <c r="T339" i="18" s="1"/>
  <c r="S339" i="18" s="1"/>
  <c r="R339" i="18" s="1"/>
  <c r="P339" i="18" s="1"/>
  <c r="V339" i="18" s="1"/>
  <c r="D339" i="18" s="1"/>
  <c r="E339" i="18" s="1"/>
  <c r="F339" i="18" s="1"/>
  <c r="U335" i="18"/>
  <c r="T335" i="18" s="1"/>
  <c r="S335" i="18" s="1"/>
  <c r="R335" i="18" s="1"/>
  <c r="P335" i="18" s="1"/>
  <c r="V335" i="18" s="1"/>
  <c r="W335" i="18" s="1"/>
  <c r="U331" i="18"/>
  <c r="T331" i="18" s="1"/>
  <c r="S331" i="18" s="1"/>
  <c r="R331" i="18" s="1"/>
  <c r="P331" i="18" s="1"/>
  <c r="V331" i="18" s="1"/>
  <c r="U327" i="18"/>
  <c r="T327" i="18" s="1"/>
  <c r="S327" i="18" s="1"/>
  <c r="R327" i="18" s="1"/>
  <c r="P327" i="18" s="1"/>
  <c r="V327" i="18" s="1"/>
  <c r="D327" i="18" s="1"/>
  <c r="E327" i="18" s="1"/>
  <c r="F327" i="18" s="1"/>
  <c r="U323" i="18"/>
  <c r="T323" i="18" s="1"/>
  <c r="U319" i="18"/>
  <c r="T319" i="18" s="1"/>
  <c r="S319" i="18" s="1"/>
  <c r="R319" i="18" s="1"/>
  <c r="P319" i="18" s="1"/>
  <c r="V319" i="18" s="1"/>
  <c r="U315" i="18"/>
  <c r="T315" i="18" s="1"/>
  <c r="U311" i="18"/>
  <c r="T311" i="18" s="1"/>
  <c r="U307" i="18"/>
  <c r="T307" i="18" s="1"/>
  <c r="S307" i="18" s="1"/>
  <c r="R307" i="18" s="1"/>
  <c r="P307" i="18" s="1"/>
  <c r="V307" i="18" s="1"/>
  <c r="D307" i="18" s="1"/>
  <c r="E307" i="18" s="1"/>
  <c r="F307" i="18" s="1"/>
  <c r="U303" i="18"/>
  <c r="T303" i="18" s="1"/>
  <c r="U299" i="18"/>
  <c r="T299" i="18" s="1"/>
  <c r="S299" i="18" s="1"/>
  <c r="R299" i="18" s="1"/>
  <c r="P299" i="18" s="1"/>
  <c r="V299" i="18" s="1"/>
  <c r="D299" i="18" s="1"/>
  <c r="E299" i="18" s="1"/>
  <c r="F299" i="18" s="1"/>
  <c r="U295" i="18"/>
  <c r="T295" i="18" s="1"/>
  <c r="S295" i="18" s="1"/>
  <c r="R295" i="18" s="1"/>
  <c r="P295" i="18" s="1"/>
  <c r="V295" i="18" s="1"/>
  <c r="D295" i="18" s="1"/>
  <c r="E295" i="18" s="1"/>
  <c r="F295" i="18" s="1"/>
  <c r="U291" i="18"/>
  <c r="T291" i="18" s="1"/>
  <c r="S291" i="18" s="1"/>
  <c r="R291" i="18" s="1"/>
  <c r="P291" i="18" s="1"/>
  <c r="V291" i="18" s="1"/>
  <c r="U287" i="18"/>
  <c r="T287" i="18" s="1"/>
  <c r="S287" i="18" s="1"/>
  <c r="R287" i="18" s="1"/>
  <c r="P287" i="18" s="1"/>
  <c r="V287" i="18" s="1"/>
  <c r="U283" i="18"/>
  <c r="T283" i="18" s="1"/>
  <c r="S283" i="18" s="1"/>
  <c r="R283" i="18" s="1"/>
  <c r="P283" i="18" s="1"/>
  <c r="V283" i="18" s="1"/>
  <c r="U279" i="18"/>
  <c r="T279" i="18" s="1"/>
  <c r="U275" i="18"/>
  <c r="T275" i="18" s="1"/>
  <c r="U271" i="18"/>
  <c r="T271" i="18" s="1"/>
  <c r="S271" i="18" s="1"/>
  <c r="R271" i="18" s="1"/>
  <c r="P271" i="18" s="1"/>
  <c r="V271" i="18" s="1"/>
  <c r="U267" i="18"/>
  <c r="T267" i="18" s="1"/>
  <c r="U263" i="18"/>
  <c r="T263" i="18" s="1"/>
  <c r="U259" i="18"/>
  <c r="T259" i="18" s="1"/>
  <c r="S259" i="18" s="1"/>
  <c r="R259" i="18" s="1"/>
  <c r="P259" i="18" s="1"/>
  <c r="V259" i="18" s="1"/>
  <c r="U255" i="18"/>
  <c r="T255" i="18" s="1"/>
  <c r="S255" i="18" s="1"/>
  <c r="R255" i="18" s="1"/>
  <c r="P255" i="18" s="1"/>
  <c r="V255" i="18" s="1"/>
  <c r="U251" i="18"/>
  <c r="T251" i="18" s="1"/>
  <c r="S251" i="18" s="1"/>
  <c r="R251" i="18" s="1"/>
  <c r="P251" i="18" s="1"/>
  <c r="V251" i="18" s="1"/>
  <c r="D251" i="18" s="1"/>
  <c r="E251" i="18" s="1"/>
  <c r="F251" i="18" s="1"/>
  <c r="U247" i="18"/>
  <c r="T247" i="18" s="1"/>
  <c r="S247" i="18" s="1"/>
  <c r="R247" i="18" s="1"/>
  <c r="P247" i="18" s="1"/>
  <c r="V247" i="18" s="1"/>
  <c r="U243" i="18"/>
  <c r="T243" i="18" s="1"/>
  <c r="S243" i="18" s="1"/>
  <c r="R243" i="18" s="1"/>
  <c r="P243" i="18" s="1"/>
  <c r="V243" i="18" s="1"/>
  <c r="W243" i="18" s="1"/>
  <c r="U239" i="18"/>
  <c r="T239" i="18" s="1"/>
  <c r="S239" i="18" s="1"/>
  <c r="R239" i="18" s="1"/>
  <c r="P239" i="18" s="1"/>
  <c r="V239" i="18" s="1"/>
  <c r="U235" i="18"/>
  <c r="T235" i="18" s="1"/>
  <c r="S235" i="18" s="1"/>
  <c r="R235" i="18" s="1"/>
  <c r="P235" i="18" s="1"/>
  <c r="V235" i="18" s="1"/>
  <c r="U231" i="18"/>
  <c r="T231" i="18" s="1"/>
  <c r="S231" i="18" s="1"/>
  <c r="R231" i="18" s="1"/>
  <c r="P231" i="18" s="1"/>
  <c r="V231" i="18" s="1"/>
  <c r="U227" i="18"/>
  <c r="T227" i="18" s="1"/>
  <c r="U223" i="18"/>
  <c r="T223" i="18" s="1"/>
  <c r="S223" i="18" s="1"/>
  <c r="R223" i="18" s="1"/>
  <c r="P223" i="18" s="1"/>
  <c r="V223" i="18" s="1"/>
  <c r="U219" i="18"/>
  <c r="T219" i="18" s="1"/>
  <c r="S219" i="18" s="1"/>
  <c r="R219" i="18" s="1"/>
  <c r="P219" i="18" s="1"/>
  <c r="V219" i="18" s="1"/>
  <c r="W219" i="18" s="1"/>
  <c r="U215" i="18"/>
  <c r="T215" i="18" s="1"/>
  <c r="S215" i="18" s="1"/>
  <c r="R215" i="18" s="1"/>
  <c r="P215" i="18" s="1"/>
  <c r="V215" i="18" s="1"/>
  <c r="D215" i="18" s="1"/>
  <c r="E215" i="18" s="1"/>
  <c r="F215" i="18" s="1"/>
  <c r="U211" i="18"/>
  <c r="T211" i="18" s="1"/>
  <c r="S211" i="18" s="1"/>
  <c r="R211" i="18" s="1"/>
  <c r="P211" i="18" s="1"/>
  <c r="V211" i="18" s="1"/>
  <c r="U207" i="18"/>
  <c r="T207" i="18" s="1"/>
  <c r="S207" i="18" s="1"/>
  <c r="R207" i="18" s="1"/>
  <c r="P207" i="18" s="1"/>
  <c r="V207" i="18" s="1"/>
  <c r="D207" i="18" s="1"/>
  <c r="E207" i="18" s="1"/>
  <c r="F207" i="18" s="1"/>
  <c r="U203" i="18"/>
  <c r="T203" i="18" s="1"/>
  <c r="S203" i="18" s="1"/>
  <c r="R203" i="18" s="1"/>
  <c r="P203" i="18" s="1"/>
  <c r="V203" i="18" s="1"/>
  <c r="W203" i="18" s="1"/>
  <c r="U199" i="18"/>
  <c r="T199" i="18" s="1"/>
  <c r="S199" i="18" s="1"/>
  <c r="R199" i="18" s="1"/>
  <c r="P199" i="18" s="1"/>
  <c r="V199" i="18" s="1"/>
  <c r="U195" i="18"/>
  <c r="T195" i="18" s="1"/>
  <c r="U191" i="18"/>
  <c r="T191" i="18" s="1"/>
  <c r="S191" i="18" s="1"/>
  <c r="R191" i="18" s="1"/>
  <c r="P191" i="18" s="1"/>
  <c r="V191" i="18" s="1"/>
  <c r="U187" i="18"/>
  <c r="T187" i="18" s="1"/>
  <c r="S187" i="18" s="1"/>
  <c r="R187" i="18" s="1"/>
  <c r="P187" i="18" s="1"/>
  <c r="V187" i="18" s="1"/>
  <c r="U183" i="18"/>
  <c r="T183" i="18" s="1"/>
  <c r="S183" i="18" s="1"/>
  <c r="R183" i="18" s="1"/>
  <c r="P183" i="18" s="1"/>
  <c r="V183" i="18" s="1"/>
  <c r="U179" i="18"/>
  <c r="T179" i="18" s="1"/>
  <c r="U175" i="18"/>
  <c r="T175" i="18" s="1"/>
  <c r="S175" i="18" s="1"/>
  <c r="R175" i="18" s="1"/>
  <c r="P175" i="18" s="1"/>
  <c r="V175" i="18" s="1"/>
  <c r="U171" i="18"/>
  <c r="T171" i="18" s="1"/>
  <c r="U167" i="18"/>
  <c r="T167" i="18" s="1"/>
  <c r="S167" i="18" s="1"/>
  <c r="R167" i="18" s="1"/>
  <c r="P167" i="18" s="1"/>
  <c r="V167" i="18" s="1"/>
  <c r="U163" i="18"/>
  <c r="T163" i="18" s="1"/>
  <c r="U159" i="18"/>
  <c r="T159" i="18" s="1"/>
  <c r="S159" i="18" s="1"/>
  <c r="R159" i="18" s="1"/>
  <c r="P159" i="18" s="1"/>
  <c r="V159" i="18" s="1"/>
  <c r="D159" i="18" s="1"/>
  <c r="E159" i="18" s="1"/>
  <c r="F159" i="18" s="1"/>
  <c r="U155" i="18"/>
  <c r="T155" i="18" s="1"/>
  <c r="U151" i="18"/>
  <c r="T151" i="18" s="1"/>
  <c r="S151" i="18" s="1"/>
  <c r="R151" i="18" s="1"/>
  <c r="P151" i="18" s="1"/>
  <c r="V151" i="18" s="1"/>
  <c r="U147" i="18"/>
  <c r="T147" i="18" s="1"/>
  <c r="U143" i="18"/>
  <c r="T143" i="18" s="1"/>
  <c r="S143" i="18" s="1"/>
  <c r="R143" i="18" s="1"/>
  <c r="P143" i="18" s="1"/>
  <c r="V143" i="18" s="1"/>
  <c r="U139" i="18"/>
  <c r="T139" i="18" s="1"/>
  <c r="S139" i="18" s="1"/>
  <c r="R139" i="18" s="1"/>
  <c r="P139" i="18" s="1"/>
  <c r="V139" i="18" s="1"/>
  <c r="U135" i="18"/>
  <c r="T135" i="18" s="1"/>
  <c r="S135" i="18" s="1"/>
  <c r="R135" i="18" s="1"/>
  <c r="P135" i="18" s="1"/>
  <c r="V135" i="18" s="1"/>
  <c r="U131" i="18"/>
  <c r="T131" i="18" s="1"/>
  <c r="S131" i="18" s="1"/>
  <c r="R131" i="18" s="1"/>
  <c r="P131" i="18" s="1"/>
  <c r="V131" i="18" s="1"/>
  <c r="D131" i="18" s="1"/>
  <c r="E131" i="18" s="1"/>
  <c r="F131" i="18" s="1"/>
  <c r="U127" i="18"/>
  <c r="T127" i="18" s="1"/>
  <c r="S127" i="18" s="1"/>
  <c r="R127" i="18" s="1"/>
  <c r="P127" i="18" s="1"/>
  <c r="V127" i="18" s="1"/>
  <c r="D127" i="18" s="1"/>
  <c r="E127" i="18" s="1"/>
  <c r="F127" i="18" s="1"/>
  <c r="U123" i="18"/>
  <c r="T123" i="18" s="1"/>
  <c r="S123" i="18" s="1"/>
  <c r="R123" i="18" s="1"/>
  <c r="P123" i="18" s="1"/>
  <c r="V123" i="18" s="1"/>
  <c r="D123" i="18" s="1"/>
  <c r="E123" i="18" s="1"/>
  <c r="F123" i="18" s="1"/>
  <c r="U119" i="18"/>
  <c r="T119" i="18" s="1"/>
  <c r="S119" i="18" s="1"/>
  <c r="R119" i="18" s="1"/>
  <c r="P119" i="18" s="1"/>
  <c r="D71" i="7" s="1"/>
  <c r="U115" i="18"/>
  <c r="T115" i="18" s="1"/>
  <c r="S115" i="18" s="1"/>
  <c r="R115" i="18" s="1"/>
  <c r="P115" i="18" s="1"/>
  <c r="V115" i="18" s="1"/>
  <c r="U111" i="18"/>
  <c r="T111" i="18" s="1"/>
  <c r="S111" i="18" s="1"/>
  <c r="R111" i="18" s="1"/>
  <c r="P111" i="18" s="1"/>
  <c r="V111" i="18" s="1"/>
  <c r="W111" i="18" s="1"/>
  <c r="U107" i="18"/>
  <c r="T107" i="18" s="1"/>
  <c r="S107" i="18" s="1"/>
  <c r="R107" i="18" s="1"/>
  <c r="P107" i="18" s="1"/>
  <c r="V107" i="18" s="1"/>
  <c r="U103" i="18"/>
  <c r="T103" i="18" s="1"/>
  <c r="S103" i="18" s="1"/>
  <c r="R103" i="18" s="1"/>
  <c r="P103" i="18" s="1"/>
  <c r="V103" i="18" s="1"/>
  <c r="U99" i="18"/>
  <c r="T99" i="18" s="1"/>
  <c r="S99" i="18" s="1"/>
  <c r="R99" i="18" s="1"/>
  <c r="P99" i="18" s="1"/>
  <c r="V99" i="18" s="1"/>
  <c r="U95" i="18"/>
  <c r="T95" i="18" s="1"/>
  <c r="S95" i="18" s="1"/>
  <c r="R95" i="18" s="1"/>
  <c r="P95" i="18" s="1"/>
  <c r="V95" i="18" s="1"/>
  <c r="U91" i="18"/>
  <c r="T91" i="18" s="1"/>
  <c r="S91" i="18" s="1"/>
  <c r="R91" i="18" s="1"/>
  <c r="P91" i="18" s="1"/>
  <c r="V91" i="18" s="1"/>
  <c r="D91" i="18" s="1"/>
  <c r="E91" i="18" s="1"/>
  <c r="F91" i="18" s="1"/>
  <c r="U87" i="18"/>
  <c r="T87" i="18" s="1"/>
  <c r="S87" i="18" s="1"/>
  <c r="R87" i="18" s="1"/>
  <c r="P87" i="18" s="1"/>
  <c r="V87" i="18" s="1"/>
  <c r="U83" i="18"/>
  <c r="T83" i="18" s="1"/>
  <c r="S83" i="18" s="1"/>
  <c r="R83" i="18" s="1"/>
  <c r="P83" i="18" s="1"/>
  <c r="V83" i="18" s="1"/>
  <c r="U79" i="18"/>
  <c r="T79" i="18" s="1"/>
  <c r="U75" i="18"/>
  <c r="T75" i="18" s="1"/>
  <c r="S75" i="18" s="1"/>
  <c r="R75" i="18" s="1"/>
  <c r="P75" i="18" s="1"/>
  <c r="V75" i="18" s="1"/>
  <c r="U71" i="18"/>
  <c r="T71" i="18" s="1"/>
  <c r="S71" i="18" s="1"/>
  <c r="R71" i="18" s="1"/>
  <c r="P71" i="18" s="1"/>
  <c r="V71" i="18" s="1"/>
  <c r="U67" i="18"/>
  <c r="T67" i="18" s="1"/>
  <c r="S67" i="18" s="1"/>
  <c r="R67" i="18" s="1"/>
  <c r="P67" i="18" s="1"/>
  <c r="V67" i="18" s="1"/>
  <c r="U63" i="18"/>
  <c r="T63" i="18" s="1"/>
  <c r="S63" i="18" s="1"/>
  <c r="R63" i="18" s="1"/>
  <c r="P63" i="18" s="1"/>
  <c r="V63" i="18" s="1"/>
  <c r="U59" i="18"/>
  <c r="T59" i="18" s="1"/>
  <c r="S59" i="18" s="1"/>
  <c r="R59" i="18" s="1"/>
  <c r="P59" i="18" s="1"/>
  <c r="V59" i="18" s="1"/>
  <c r="D59" i="18" s="1"/>
  <c r="E59" i="18" s="1"/>
  <c r="F59" i="18" s="1"/>
  <c r="U55" i="18"/>
  <c r="T55" i="18" s="1"/>
  <c r="S55" i="18" s="1"/>
  <c r="R55" i="18" s="1"/>
  <c r="P55" i="18" s="1"/>
  <c r="V55" i="18" s="1"/>
  <c r="U51" i="18"/>
  <c r="T51" i="18" s="1"/>
  <c r="U47" i="18"/>
  <c r="T47" i="18" s="1"/>
  <c r="S47" i="18" s="1"/>
  <c r="R47" i="18" s="1"/>
  <c r="P47" i="18" s="1"/>
  <c r="V47" i="18" s="1"/>
  <c r="U43" i="18"/>
  <c r="T43" i="18" s="1"/>
  <c r="S43" i="18" s="1"/>
  <c r="R43" i="18" s="1"/>
  <c r="P43" i="18" s="1"/>
  <c r="V43" i="18" s="1"/>
  <c r="W43" i="18" s="1"/>
  <c r="U39" i="18"/>
  <c r="T39" i="18" s="1"/>
  <c r="U35" i="18"/>
  <c r="T35" i="18" s="1"/>
  <c r="S35" i="18" s="1"/>
  <c r="R35" i="18" s="1"/>
  <c r="P35" i="18" s="1"/>
  <c r="V35" i="18" s="1"/>
  <c r="U31" i="18"/>
  <c r="T31" i="18" s="1"/>
  <c r="S31" i="18" s="1"/>
  <c r="R31" i="18" s="1"/>
  <c r="P31" i="18" s="1"/>
  <c r="V31" i="18" s="1"/>
  <c r="D31" i="18" s="1"/>
  <c r="E31" i="18" s="1"/>
  <c r="F31" i="18" s="1"/>
  <c r="U27" i="18"/>
  <c r="T27" i="18" s="1"/>
  <c r="S27" i="18" s="1"/>
  <c r="R27" i="18" s="1"/>
  <c r="P27" i="18" s="1"/>
  <c r="V27" i="18" s="1"/>
  <c r="W27" i="18" s="1"/>
  <c r="U23" i="18"/>
  <c r="T23" i="18" s="1"/>
  <c r="S23" i="18" s="1"/>
  <c r="R23" i="18" s="1"/>
  <c r="P23" i="18" s="1"/>
  <c r="V23" i="18" s="1"/>
  <c r="U19" i="18"/>
  <c r="T19" i="18" s="1"/>
  <c r="S19" i="18" s="1"/>
  <c r="R19" i="18" s="1"/>
  <c r="P19" i="18" s="1"/>
  <c r="V19" i="18" s="1"/>
  <c r="W19" i="18" s="1"/>
  <c r="W343" i="18"/>
  <c r="W283" i="18"/>
  <c r="W141" i="18"/>
  <c r="D117" i="18"/>
  <c r="E117" i="18" s="1"/>
  <c r="D85" i="18"/>
  <c r="E85" i="18" s="1"/>
  <c r="W61" i="18"/>
  <c r="W73" i="18"/>
  <c r="W69" i="18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G186" i="18" s="1"/>
  <c r="AF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G198" i="18" s="1"/>
  <c r="AF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G234" i="18" s="1"/>
  <c r="AF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0" i="18"/>
  <c r="AH260" i="18" s="1"/>
  <c r="AG260" i="18" s="1"/>
  <c r="AF260" i="18" s="1"/>
  <c r="AI262" i="18"/>
  <c r="AH262" i="18" s="1"/>
  <c r="AG262" i="18" s="1"/>
  <c r="AF262" i="18" s="1"/>
  <c r="AI264" i="18"/>
  <c r="AH264" i="18" s="1"/>
  <c r="AG264" i="18" s="1"/>
  <c r="AF264" i="18" s="1"/>
  <c r="AI266" i="18"/>
  <c r="AH266" i="18" s="1"/>
  <c r="AG266" i="18" s="1"/>
  <c r="AF266" i="18" s="1"/>
  <c r="AI268" i="18"/>
  <c r="AH268" i="18" s="1"/>
  <c r="AG268" i="18" s="1"/>
  <c r="AF268" i="18" s="1"/>
  <c r="AI270" i="18"/>
  <c r="AH270" i="18" s="1"/>
  <c r="AG270" i="18" s="1"/>
  <c r="AF270" i="18" s="1"/>
  <c r="AI272" i="18"/>
  <c r="AH272" i="18" s="1"/>
  <c r="AG272" i="18" s="1"/>
  <c r="AF272" i="18" s="1"/>
  <c r="AI274" i="18"/>
  <c r="AH274" i="18" s="1"/>
  <c r="AG274" i="18" s="1"/>
  <c r="AF274" i="18" s="1"/>
  <c r="AI276" i="18"/>
  <c r="AH276" i="18" s="1"/>
  <c r="AG276" i="18" s="1"/>
  <c r="AF276" i="18" s="1"/>
  <c r="AI278" i="18"/>
  <c r="AH278" i="18" s="1"/>
  <c r="AG278" i="18" s="1"/>
  <c r="AF278" i="18" s="1"/>
  <c r="AI280" i="18"/>
  <c r="AH280" i="18" s="1"/>
  <c r="AG280" i="18" s="1"/>
  <c r="AF280" i="18" s="1"/>
  <c r="AI282" i="18"/>
  <c r="AH282" i="18" s="1"/>
  <c r="AG282" i="18" s="1"/>
  <c r="AF282" i="18" s="1"/>
  <c r="AI284" i="18"/>
  <c r="AH284" i="18" s="1"/>
  <c r="AG284" i="18" s="1"/>
  <c r="AF284" i="18" s="1"/>
  <c r="AI286" i="18"/>
  <c r="AH286" i="18" s="1"/>
  <c r="AG286" i="18" s="1"/>
  <c r="AF286" i="18" s="1"/>
  <c r="AI288" i="18"/>
  <c r="AH288" i="18" s="1"/>
  <c r="AG288" i="18" s="1"/>
  <c r="AF288" i="18" s="1"/>
  <c r="AI290" i="18"/>
  <c r="AH290" i="18" s="1"/>
  <c r="AG290" i="18" s="1"/>
  <c r="AF290" i="18" s="1"/>
  <c r="AI292" i="18"/>
  <c r="AH292" i="18" s="1"/>
  <c r="AG292" i="18" s="1"/>
  <c r="AF292" i="18" s="1"/>
  <c r="AI294" i="18"/>
  <c r="AH294" i="18" s="1"/>
  <c r="AG294" i="18" s="1"/>
  <c r="AF294" i="18" s="1"/>
  <c r="AI296" i="18"/>
  <c r="AH296" i="18" s="1"/>
  <c r="AG296" i="18" s="1"/>
  <c r="AF296" i="18" s="1"/>
  <c r="AI17" i="18"/>
  <c r="AH17" i="18" s="1"/>
  <c r="AG17" i="18" s="1"/>
  <c r="AF17" i="18" s="1"/>
  <c r="AI15" i="18"/>
  <c r="AI23" i="18"/>
  <c r="AH23" i="18" s="1"/>
  <c r="AG23" i="18" s="1"/>
  <c r="AF23" i="18" s="1"/>
  <c r="AD23" i="18" s="1"/>
  <c r="AI27" i="18"/>
  <c r="AH27" i="18" s="1"/>
  <c r="AG27" i="18" s="1"/>
  <c r="AF27" i="18" s="1"/>
  <c r="AD27" i="18" s="1"/>
  <c r="AI31" i="18"/>
  <c r="AH31" i="18" s="1"/>
  <c r="AI35" i="18"/>
  <c r="AH35" i="18" s="1"/>
  <c r="AI39" i="18"/>
  <c r="AH39" i="18" s="1"/>
  <c r="AG39" i="18" s="1"/>
  <c r="AF39" i="18" s="1"/>
  <c r="AD39" i="18" s="1"/>
  <c r="AI43" i="18"/>
  <c r="AH43" i="18" s="1"/>
  <c r="AI47" i="18"/>
  <c r="AH47" i="18" s="1"/>
  <c r="AI51" i="18"/>
  <c r="AH51" i="18" s="1"/>
  <c r="AG51" i="18" s="1"/>
  <c r="AF51" i="18" s="1"/>
  <c r="AD51" i="18" s="1"/>
  <c r="AI55" i="18"/>
  <c r="AH55" i="18" s="1"/>
  <c r="AI59" i="18"/>
  <c r="AH59" i="18" s="1"/>
  <c r="AI63" i="18"/>
  <c r="AH63" i="18" s="1"/>
  <c r="AG63" i="18" s="1"/>
  <c r="AF63" i="18" s="1"/>
  <c r="AD63" i="18" s="1"/>
  <c r="AI67" i="18"/>
  <c r="AH67" i="18" s="1"/>
  <c r="AG67" i="18" s="1"/>
  <c r="AF67" i="18" s="1"/>
  <c r="AD67" i="18" s="1"/>
  <c r="AI71" i="18"/>
  <c r="AH71" i="18" s="1"/>
  <c r="AG71" i="18" s="1"/>
  <c r="AF71" i="18" s="1"/>
  <c r="AD71" i="18" s="1"/>
  <c r="AI75" i="18"/>
  <c r="AH75" i="18" s="1"/>
  <c r="AI79" i="18"/>
  <c r="AH79" i="18" s="1"/>
  <c r="AG79" i="18" s="1"/>
  <c r="AF79" i="18" s="1"/>
  <c r="AD79" i="18" s="1"/>
  <c r="AI83" i="18"/>
  <c r="AH83" i="18" s="1"/>
  <c r="AG83" i="18" s="1"/>
  <c r="AF83" i="18" s="1"/>
  <c r="AD83" i="18" s="1"/>
  <c r="AI87" i="18"/>
  <c r="AH87" i="18" s="1"/>
  <c r="AI91" i="18"/>
  <c r="AH91" i="18" s="1"/>
  <c r="AG91" i="18" s="1"/>
  <c r="AF91" i="18" s="1"/>
  <c r="AD91" i="18" s="1"/>
  <c r="AI95" i="18"/>
  <c r="AH95" i="18" s="1"/>
  <c r="AI99" i="18"/>
  <c r="AH99" i="18" s="1"/>
  <c r="AI103" i="18"/>
  <c r="AH103" i="18" s="1"/>
  <c r="AG103" i="18" s="1"/>
  <c r="AF103" i="18" s="1"/>
  <c r="AD103" i="18" s="1"/>
  <c r="AI107" i="18"/>
  <c r="AH107" i="18" s="1"/>
  <c r="AG107" i="18" s="1"/>
  <c r="AF107" i="18" s="1"/>
  <c r="AD107" i="18" s="1"/>
  <c r="AI111" i="18"/>
  <c r="AH111" i="18" s="1"/>
  <c r="AG111" i="18" s="1"/>
  <c r="AF111" i="18" s="1"/>
  <c r="AD111" i="18" s="1"/>
  <c r="AI115" i="18"/>
  <c r="AH115" i="18" s="1"/>
  <c r="AG115" i="18" s="1"/>
  <c r="AF115" i="18" s="1"/>
  <c r="AD115" i="18" s="1"/>
  <c r="AI119" i="18"/>
  <c r="AH119" i="18" s="1"/>
  <c r="AG119" i="18" s="1"/>
  <c r="AF119" i="18" s="1"/>
  <c r="AD119" i="18" s="1"/>
  <c r="AI123" i="18"/>
  <c r="AH123" i="18" s="1"/>
  <c r="AI127" i="18"/>
  <c r="AH127" i="18" s="1"/>
  <c r="AG127" i="18" s="1"/>
  <c r="AF127" i="18" s="1"/>
  <c r="AD127" i="18" s="1"/>
  <c r="AI131" i="18"/>
  <c r="AH131" i="18" s="1"/>
  <c r="AI135" i="18"/>
  <c r="AH135" i="18" s="1"/>
  <c r="AG135" i="18" s="1"/>
  <c r="AF135" i="18" s="1"/>
  <c r="AD135" i="18" s="1"/>
  <c r="AI139" i="18"/>
  <c r="AH139" i="18" s="1"/>
  <c r="AI143" i="18"/>
  <c r="AH143" i="18" s="1"/>
  <c r="AI147" i="18"/>
  <c r="AH147" i="18" s="1"/>
  <c r="AI151" i="18"/>
  <c r="AH151" i="18" s="1"/>
  <c r="AG151" i="18" s="1"/>
  <c r="AF151" i="18" s="1"/>
  <c r="AD151" i="18" s="1"/>
  <c r="AI155" i="18"/>
  <c r="AH155" i="18" s="1"/>
  <c r="AI159" i="18"/>
  <c r="AH159" i="18" s="1"/>
  <c r="AG159" i="18" s="1"/>
  <c r="AF159" i="18" s="1"/>
  <c r="AD159" i="18" s="1"/>
  <c r="AI163" i="18"/>
  <c r="AH163" i="18" s="1"/>
  <c r="AI167" i="18"/>
  <c r="AH167" i="18" s="1"/>
  <c r="AI171" i="18"/>
  <c r="AH171" i="18" s="1"/>
  <c r="AI175" i="18"/>
  <c r="AH175" i="18" s="1"/>
  <c r="AI179" i="18"/>
  <c r="AH179" i="18" s="1"/>
  <c r="AG179" i="18" s="1"/>
  <c r="AF179" i="18" s="1"/>
  <c r="AD179" i="18" s="1"/>
  <c r="AI183" i="18"/>
  <c r="AH183" i="18" s="1"/>
  <c r="AG183" i="18" s="1"/>
  <c r="AF183" i="18" s="1"/>
  <c r="AD183" i="18" s="1"/>
  <c r="AI187" i="18"/>
  <c r="AH187" i="18" s="1"/>
  <c r="AI191" i="18"/>
  <c r="AH191" i="18" s="1"/>
  <c r="AG191" i="18" s="1"/>
  <c r="AF191" i="18" s="1"/>
  <c r="AD191" i="18" s="1"/>
  <c r="AI195" i="18"/>
  <c r="AH195" i="18" s="1"/>
  <c r="AI199" i="18"/>
  <c r="AH199" i="18" s="1"/>
  <c r="AI203" i="18"/>
  <c r="AH203" i="18" s="1"/>
  <c r="AI207" i="18"/>
  <c r="AH207" i="18" s="1"/>
  <c r="AG207" i="18" s="1"/>
  <c r="AF207" i="18" s="1"/>
  <c r="AD207" i="18" s="1"/>
  <c r="AI211" i="18"/>
  <c r="AH211" i="18" s="1"/>
  <c r="AI215" i="18"/>
  <c r="AH215" i="18" s="1"/>
  <c r="AI219" i="18"/>
  <c r="AH219" i="18" s="1"/>
  <c r="AI223" i="18"/>
  <c r="AH223" i="18" s="1"/>
  <c r="AI227" i="18"/>
  <c r="AH227" i="18" s="1"/>
  <c r="AI231" i="18"/>
  <c r="AH231" i="18" s="1"/>
  <c r="AG231" i="18" s="1"/>
  <c r="AF231" i="18" s="1"/>
  <c r="AD231" i="18" s="1"/>
  <c r="AI235" i="18"/>
  <c r="AH235" i="18" s="1"/>
  <c r="AG235" i="18" s="1"/>
  <c r="AF235" i="18" s="1"/>
  <c r="AD235" i="18" s="1"/>
  <c r="AI239" i="18"/>
  <c r="AH239" i="18" s="1"/>
  <c r="AG239" i="18" s="1"/>
  <c r="AF239" i="18" s="1"/>
  <c r="AD239" i="18" s="1"/>
  <c r="AI243" i="18"/>
  <c r="AH243" i="18" s="1"/>
  <c r="AI247" i="18"/>
  <c r="AH247" i="18" s="1"/>
  <c r="AI251" i="18"/>
  <c r="AH251" i="18" s="1"/>
  <c r="AI255" i="18"/>
  <c r="AH255" i="18" s="1"/>
  <c r="AI259" i="18"/>
  <c r="AH259" i="18" s="1"/>
  <c r="AI263" i="18"/>
  <c r="AH263" i="18" s="1"/>
  <c r="AG263" i="18" s="1"/>
  <c r="AF263" i="18" s="1"/>
  <c r="AD263" i="18" s="1"/>
  <c r="AI267" i="18"/>
  <c r="AH267" i="18" s="1"/>
  <c r="AG267" i="18" s="1"/>
  <c r="AF267" i="18" s="1"/>
  <c r="AI271" i="18"/>
  <c r="AH271" i="18" s="1"/>
  <c r="AI275" i="18"/>
  <c r="AH275" i="18" s="1"/>
  <c r="AG275" i="18" s="1"/>
  <c r="AF275" i="18" s="1"/>
  <c r="AD275" i="18" s="1"/>
  <c r="AI279" i="18"/>
  <c r="AH279" i="18" s="1"/>
  <c r="AI283" i="18"/>
  <c r="AH283" i="18" s="1"/>
  <c r="AI287" i="18"/>
  <c r="AH287" i="18" s="1"/>
  <c r="AG287" i="18" s="1"/>
  <c r="AF287" i="18" s="1"/>
  <c r="AD287" i="18" s="1"/>
  <c r="AI291" i="18"/>
  <c r="AH291" i="18" s="1"/>
  <c r="AG291" i="18" s="1"/>
  <c r="AF291" i="18" s="1"/>
  <c r="AD291" i="18" s="1"/>
  <c r="AI295" i="18"/>
  <c r="AH295" i="18" s="1"/>
  <c r="AG295" i="18" s="1"/>
  <c r="AF295" i="18" s="1"/>
  <c r="AI298" i="18"/>
  <c r="AH298" i="18" s="1"/>
  <c r="AG298" i="18" s="1"/>
  <c r="AF298" i="18" s="1"/>
  <c r="AI300" i="18"/>
  <c r="AH300" i="18" s="1"/>
  <c r="AG300" i="18" s="1"/>
  <c r="AF300" i="18" s="1"/>
  <c r="AI302" i="18"/>
  <c r="AH302" i="18" s="1"/>
  <c r="AG302" i="18" s="1"/>
  <c r="AF302" i="18" s="1"/>
  <c r="AI304" i="18"/>
  <c r="AH304" i="18" s="1"/>
  <c r="AG304" i="18" s="1"/>
  <c r="AF304" i="18" s="1"/>
  <c r="AI306" i="18"/>
  <c r="AH306" i="18" s="1"/>
  <c r="AG306" i="18" s="1"/>
  <c r="AF306" i="18" s="1"/>
  <c r="AI308" i="18"/>
  <c r="AH308" i="18" s="1"/>
  <c r="AG308" i="18" s="1"/>
  <c r="AF308" i="18" s="1"/>
  <c r="AI310" i="18"/>
  <c r="AH310" i="18" s="1"/>
  <c r="AG310" i="18" s="1"/>
  <c r="AF310" i="18" s="1"/>
  <c r="AI312" i="18"/>
  <c r="AH312" i="18" s="1"/>
  <c r="AG312" i="18" s="1"/>
  <c r="AF312" i="18" s="1"/>
  <c r="AI314" i="18"/>
  <c r="AH314" i="18" s="1"/>
  <c r="AG314" i="18" s="1"/>
  <c r="AF314" i="18" s="1"/>
  <c r="AI316" i="18"/>
  <c r="AH316" i="18" s="1"/>
  <c r="AG316" i="18" s="1"/>
  <c r="AF316" i="18" s="1"/>
  <c r="AI318" i="18"/>
  <c r="AH318" i="18" s="1"/>
  <c r="AG318" i="18" s="1"/>
  <c r="AF318" i="18" s="1"/>
  <c r="AI320" i="18"/>
  <c r="AH320" i="18" s="1"/>
  <c r="AG320" i="18" s="1"/>
  <c r="AF320" i="18" s="1"/>
  <c r="AI322" i="18"/>
  <c r="AH322" i="18" s="1"/>
  <c r="AG322" i="18" s="1"/>
  <c r="AF322" i="18" s="1"/>
  <c r="AI324" i="18"/>
  <c r="AH324" i="18" s="1"/>
  <c r="AG324" i="18" s="1"/>
  <c r="AF324" i="18" s="1"/>
  <c r="AI326" i="18"/>
  <c r="AH326" i="18" s="1"/>
  <c r="AG326" i="18" s="1"/>
  <c r="AF326" i="18" s="1"/>
  <c r="AI328" i="18"/>
  <c r="AH328" i="18" s="1"/>
  <c r="AG328" i="18" s="1"/>
  <c r="AF328" i="18" s="1"/>
  <c r="AI330" i="18"/>
  <c r="AH330" i="18" s="1"/>
  <c r="AG330" i="18" s="1"/>
  <c r="AF330" i="18" s="1"/>
  <c r="AI332" i="18"/>
  <c r="AH332" i="18" s="1"/>
  <c r="AG332" i="18" s="1"/>
  <c r="AF332" i="18" s="1"/>
  <c r="AI334" i="18"/>
  <c r="AH334" i="18" s="1"/>
  <c r="AG334" i="18" s="1"/>
  <c r="AF334" i="18" s="1"/>
  <c r="AI336" i="18"/>
  <c r="AH336" i="18" s="1"/>
  <c r="AG336" i="18" s="1"/>
  <c r="AF336" i="18" s="1"/>
  <c r="AI338" i="18"/>
  <c r="AH338" i="18" s="1"/>
  <c r="AG338" i="18" s="1"/>
  <c r="AF338" i="18" s="1"/>
  <c r="AI340" i="18"/>
  <c r="AH340" i="18" s="1"/>
  <c r="AG340" i="18" s="1"/>
  <c r="AF340" i="18" s="1"/>
  <c r="AI342" i="18"/>
  <c r="AH342" i="18" s="1"/>
  <c r="AG342" i="18" s="1"/>
  <c r="AF342" i="18" s="1"/>
  <c r="AI344" i="18"/>
  <c r="AH344" i="18" s="1"/>
  <c r="AG344" i="18" s="1"/>
  <c r="AF344" i="18" s="1"/>
  <c r="AI346" i="18"/>
  <c r="AH346" i="18" s="1"/>
  <c r="AG346" i="18" s="1"/>
  <c r="AF346" i="18" s="1"/>
  <c r="AI348" i="18"/>
  <c r="AH348" i="18" s="1"/>
  <c r="AG348" i="18" s="1"/>
  <c r="AF348" i="18" s="1"/>
  <c r="AI350" i="18"/>
  <c r="AH350" i="18" s="1"/>
  <c r="AG350" i="18" s="1"/>
  <c r="AF350" i="18" s="1"/>
  <c r="AI352" i="18"/>
  <c r="AH352" i="18" s="1"/>
  <c r="AG352" i="18" s="1"/>
  <c r="AF352" i="18" s="1"/>
  <c r="AI354" i="18"/>
  <c r="AH354" i="18" s="1"/>
  <c r="AG354" i="18" s="1"/>
  <c r="AF354" i="18" s="1"/>
  <c r="AI356" i="18"/>
  <c r="AH356" i="18" s="1"/>
  <c r="AG356" i="18" s="1"/>
  <c r="AF356" i="18" s="1"/>
  <c r="AI358" i="18"/>
  <c r="AH358" i="18" s="1"/>
  <c r="AG358" i="18" s="1"/>
  <c r="AF358" i="18" s="1"/>
  <c r="AI360" i="18"/>
  <c r="AH360" i="18" s="1"/>
  <c r="AG360" i="18" s="1"/>
  <c r="AF360" i="18" s="1"/>
  <c r="AI362" i="18"/>
  <c r="AH362" i="18" s="1"/>
  <c r="AG362" i="18" s="1"/>
  <c r="AF362" i="18" s="1"/>
  <c r="AI364" i="18"/>
  <c r="AH364" i="18" s="1"/>
  <c r="AG364" i="18" s="1"/>
  <c r="AF364" i="18" s="1"/>
  <c r="AI366" i="18"/>
  <c r="AH366" i="18" s="1"/>
  <c r="AG366" i="18" s="1"/>
  <c r="AF366" i="18" s="1"/>
  <c r="AI368" i="18"/>
  <c r="AH368" i="18" s="1"/>
  <c r="AG368" i="18" s="1"/>
  <c r="AF368" i="18" s="1"/>
  <c r="AI370" i="18"/>
  <c r="AH370" i="18" s="1"/>
  <c r="AG370" i="18" s="1"/>
  <c r="AF370" i="18" s="1"/>
  <c r="AI372" i="18"/>
  <c r="AH372" i="18" s="1"/>
  <c r="AG372" i="18" s="1"/>
  <c r="AF372" i="18" s="1"/>
  <c r="AI374" i="18"/>
  <c r="AH374" i="18" s="1"/>
  <c r="AG374" i="18" s="1"/>
  <c r="AF374" i="18" s="1"/>
  <c r="AI376" i="18"/>
  <c r="AH376" i="18" s="1"/>
  <c r="AG376" i="18" s="1"/>
  <c r="AF376" i="18" s="1"/>
  <c r="AI378" i="18"/>
  <c r="AH378" i="18" s="1"/>
  <c r="AG378" i="18" s="1"/>
  <c r="AF378" i="18" s="1"/>
  <c r="AI16" i="18"/>
  <c r="AH16" i="18" s="1"/>
  <c r="AG16" i="18" s="1"/>
  <c r="AF16" i="18" s="1"/>
  <c r="AI21" i="18"/>
  <c r="AH21" i="18" s="1"/>
  <c r="AG21" i="18" s="1"/>
  <c r="AF21" i="18" s="1"/>
  <c r="AI25" i="18"/>
  <c r="AH25" i="18" s="1"/>
  <c r="AG25" i="18" s="1"/>
  <c r="AF25" i="18" s="1"/>
  <c r="AI29" i="18"/>
  <c r="AH29" i="18" s="1"/>
  <c r="AG29" i="18" s="1"/>
  <c r="AF29" i="18" s="1"/>
  <c r="AI33" i="18"/>
  <c r="AH33" i="18" s="1"/>
  <c r="AG33" i="18" s="1"/>
  <c r="AF33" i="18" s="1"/>
  <c r="AI37" i="18"/>
  <c r="AH37" i="18" s="1"/>
  <c r="AG37" i="18" s="1"/>
  <c r="AF37" i="18" s="1"/>
  <c r="AI41" i="18"/>
  <c r="AH41" i="18" s="1"/>
  <c r="AG41" i="18" s="1"/>
  <c r="AF41" i="18" s="1"/>
  <c r="AI45" i="18"/>
  <c r="AH45" i="18" s="1"/>
  <c r="AI49" i="18"/>
  <c r="AH49" i="18" s="1"/>
  <c r="AI53" i="18"/>
  <c r="AH53" i="18" s="1"/>
  <c r="AG53" i="18" s="1"/>
  <c r="AF53" i="18" s="1"/>
  <c r="AI57" i="18"/>
  <c r="AH57" i="18" s="1"/>
  <c r="AG57" i="18" s="1"/>
  <c r="AF57" i="18" s="1"/>
  <c r="AI61" i="18"/>
  <c r="AH61" i="18" s="1"/>
  <c r="AG61" i="18" s="1"/>
  <c r="AF61" i="18" s="1"/>
  <c r="AI65" i="18"/>
  <c r="AH65" i="18" s="1"/>
  <c r="AG65" i="18" s="1"/>
  <c r="AF65" i="18" s="1"/>
  <c r="AI69" i="18"/>
  <c r="AH69" i="18" s="1"/>
  <c r="AG69" i="18" s="1"/>
  <c r="AF69" i="18" s="1"/>
  <c r="AI73" i="18"/>
  <c r="AH73" i="18" s="1"/>
  <c r="AG73" i="18" s="1"/>
  <c r="AF73" i="18" s="1"/>
  <c r="AD73" i="18" s="1"/>
  <c r="AI77" i="18"/>
  <c r="AH77" i="18" s="1"/>
  <c r="AG77" i="18" s="1"/>
  <c r="AF77" i="18" s="1"/>
  <c r="AI81" i="18"/>
  <c r="AH81" i="18" s="1"/>
  <c r="AG81" i="18" s="1"/>
  <c r="AF81" i="18" s="1"/>
  <c r="AI85" i="18"/>
  <c r="AH85" i="18" s="1"/>
  <c r="AG85" i="18" s="1"/>
  <c r="AF85" i="18" s="1"/>
  <c r="AD85" i="18" s="1"/>
  <c r="AI89" i="18"/>
  <c r="AH89" i="18" s="1"/>
  <c r="AI93" i="18"/>
  <c r="AH93" i="18" s="1"/>
  <c r="AI97" i="18"/>
  <c r="AH97" i="18" s="1"/>
  <c r="AI101" i="18"/>
  <c r="AH101" i="18" s="1"/>
  <c r="AG101" i="18" s="1"/>
  <c r="AF101" i="18" s="1"/>
  <c r="AD101" i="18" s="1"/>
  <c r="AI105" i="18"/>
  <c r="AH105" i="18" s="1"/>
  <c r="AI109" i="18"/>
  <c r="AH109" i="18" s="1"/>
  <c r="AI113" i="18"/>
  <c r="AH113" i="18" s="1"/>
  <c r="AI117" i="18"/>
  <c r="AH117" i="18" s="1"/>
  <c r="AG117" i="18" s="1"/>
  <c r="AF117" i="18" s="1"/>
  <c r="AD117" i="18" s="1"/>
  <c r="AI121" i="18"/>
  <c r="AH121" i="18" s="1"/>
  <c r="AG121" i="18" s="1"/>
  <c r="AF121" i="18" s="1"/>
  <c r="AI125" i="18"/>
  <c r="AH125" i="18" s="1"/>
  <c r="AG125" i="18" s="1"/>
  <c r="AF125" i="18" s="1"/>
  <c r="AD125" i="18" s="1"/>
  <c r="AI129" i="18"/>
  <c r="AH129" i="18" s="1"/>
  <c r="AI133" i="18"/>
  <c r="AH133" i="18" s="1"/>
  <c r="AI137" i="18"/>
  <c r="AH137" i="18" s="1"/>
  <c r="AI141" i="18"/>
  <c r="AH141" i="18" s="1"/>
  <c r="AG141" i="18" s="1"/>
  <c r="AF141" i="18" s="1"/>
  <c r="AD141" i="18" s="1"/>
  <c r="AI145" i="18"/>
  <c r="AH145" i="18" s="1"/>
  <c r="AI149" i="18"/>
  <c r="AH149" i="18" s="1"/>
  <c r="AG149" i="18" s="1"/>
  <c r="AF149" i="18" s="1"/>
  <c r="AD149" i="18" s="1"/>
  <c r="AI153" i="18"/>
  <c r="AH153" i="18" s="1"/>
  <c r="AI157" i="18"/>
  <c r="AH157" i="18" s="1"/>
  <c r="AI161" i="18"/>
  <c r="AH161" i="18" s="1"/>
  <c r="AG161" i="18" s="1"/>
  <c r="AF161" i="18" s="1"/>
  <c r="AD161" i="18" s="1"/>
  <c r="AI165" i="18"/>
  <c r="AH165" i="18" s="1"/>
  <c r="AG165" i="18" s="1"/>
  <c r="AF165" i="18" s="1"/>
  <c r="AI169" i="18"/>
  <c r="AH169" i="18" s="1"/>
  <c r="AG169" i="18" s="1"/>
  <c r="AF169" i="18" s="1"/>
  <c r="AI173" i="18"/>
  <c r="AH173" i="18" s="1"/>
  <c r="AG173" i="18" s="1"/>
  <c r="AF173" i="18" s="1"/>
  <c r="AI177" i="18"/>
  <c r="AH177" i="18" s="1"/>
  <c r="AG177" i="18" s="1"/>
  <c r="AF177" i="18" s="1"/>
  <c r="AI181" i="18"/>
  <c r="AH181" i="18" s="1"/>
  <c r="AG181" i="18" s="1"/>
  <c r="AF181" i="18" s="1"/>
  <c r="AI185" i="18"/>
  <c r="AH185" i="18" s="1"/>
  <c r="AG185" i="18" s="1"/>
  <c r="AF185" i="18" s="1"/>
  <c r="AD185" i="18" s="1"/>
  <c r="AI189" i="18"/>
  <c r="AH189" i="18" s="1"/>
  <c r="AG189" i="18" s="1"/>
  <c r="AF189" i="18" s="1"/>
  <c r="AD189" i="18" s="1"/>
  <c r="AI193" i="18"/>
  <c r="AH193" i="18" s="1"/>
  <c r="AI197" i="18"/>
  <c r="AH197" i="18" s="1"/>
  <c r="AI201" i="18"/>
  <c r="AH201" i="18" s="1"/>
  <c r="AG201" i="18" s="1"/>
  <c r="AF201" i="18" s="1"/>
  <c r="AD201" i="18" s="1"/>
  <c r="AI205" i="18"/>
  <c r="AH205" i="18" s="1"/>
  <c r="AI209" i="18"/>
  <c r="AH209" i="18" s="1"/>
  <c r="AI213" i="18"/>
  <c r="AH213" i="18" s="1"/>
  <c r="AI217" i="18"/>
  <c r="AH217" i="18" s="1"/>
  <c r="AI221" i="18"/>
  <c r="AH221" i="18" s="1"/>
  <c r="AI225" i="18"/>
  <c r="AH225" i="18" s="1"/>
  <c r="AI229" i="18"/>
  <c r="AH229" i="18" s="1"/>
  <c r="AG229" i="18" s="1"/>
  <c r="AF229" i="18" s="1"/>
  <c r="AI233" i="18"/>
  <c r="AH233" i="18" s="1"/>
  <c r="AI237" i="18"/>
  <c r="AH237" i="18" s="1"/>
  <c r="AI241" i="18"/>
  <c r="AH241" i="18" s="1"/>
  <c r="AG241" i="18" s="1"/>
  <c r="AF241" i="18" s="1"/>
  <c r="AD241" i="18" s="1"/>
  <c r="AI245" i="18"/>
  <c r="AH245" i="18" s="1"/>
  <c r="AG245" i="18" s="1"/>
  <c r="AF245" i="18" s="1"/>
  <c r="AD245" i="18" s="1"/>
  <c r="AI249" i="18"/>
  <c r="AH249" i="18" s="1"/>
  <c r="AI253" i="18"/>
  <c r="AH253" i="18" s="1"/>
  <c r="AI257" i="18"/>
  <c r="AH257" i="18" s="1"/>
  <c r="AI261" i="18"/>
  <c r="AH261" i="18" s="1"/>
  <c r="AG261" i="18" s="1"/>
  <c r="AF261" i="18" s="1"/>
  <c r="AI265" i="18"/>
  <c r="AH265" i="18" s="1"/>
  <c r="AG265" i="18" s="1"/>
  <c r="AF265" i="18" s="1"/>
  <c r="AI269" i="18"/>
  <c r="AH269" i="18" s="1"/>
  <c r="AG269" i="18" s="1"/>
  <c r="AF269" i="18" s="1"/>
  <c r="AD269" i="18" s="1"/>
  <c r="AI273" i="18"/>
  <c r="AH273" i="18" s="1"/>
  <c r="AG273" i="18" s="1"/>
  <c r="AF273" i="18" s="1"/>
  <c r="AI277" i="18"/>
  <c r="AH277" i="18" s="1"/>
  <c r="AG277" i="18" s="1"/>
  <c r="AF277" i="18" s="1"/>
  <c r="AI281" i="18"/>
  <c r="AH281" i="18" s="1"/>
  <c r="AG281" i="18" s="1"/>
  <c r="AF281" i="18" s="1"/>
  <c r="AI285" i="18"/>
  <c r="AH285" i="18" s="1"/>
  <c r="AG285" i="18" s="1"/>
  <c r="AF285" i="18" s="1"/>
  <c r="AI289" i="18"/>
  <c r="AH289" i="18" s="1"/>
  <c r="AG289" i="18" s="1"/>
  <c r="AF289" i="18" s="1"/>
  <c r="AI293" i="18"/>
  <c r="AH293" i="18" s="1"/>
  <c r="AG293" i="18" s="1"/>
  <c r="AF293" i="18" s="1"/>
  <c r="AI297" i="18"/>
  <c r="AH297" i="18" s="1"/>
  <c r="AG297" i="18" s="1"/>
  <c r="AF297" i="18" s="1"/>
  <c r="AI299" i="18"/>
  <c r="AH299" i="18" s="1"/>
  <c r="AG299" i="18" s="1"/>
  <c r="AF299" i="18" s="1"/>
  <c r="AD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D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D315" i="18" s="1"/>
  <c r="AI317" i="18"/>
  <c r="AH317" i="18" s="1"/>
  <c r="AG317" i="18" s="1"/>
  <c r="AF317" i="18" s="1"/>
  <c r="AD317" i="18" s="1"/>
  <c r="AI319" i="18"/>
  <c r="AH319" i="18" s="1"/>
  <c r="AG319" i="18" s="1"/>
  <c r="AF319" i="18" s="1"/>
  <c r="AD319" i="18" s="1"/>
  <c r="AI321" i="18"/>
  <c r="AH321" i="18" s="1"/>
  <c r="AG321" i="18" s="1"/>
  <c r="AF321" i="18" s="1"/>
  <c r="AI323" i="18"/>
  <c r="AH323" i="18" s="1"/>
  <c r="AG323" i="18" s="1"/>
  <c r="AF323" i="18" s="1"/>
  <c r="AD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D331" i="18" s="1"/>
  <c r="AI333" i="18"/>
  <c r="AH333" i="18" s="1"/>
  <c r="AG333" i="18" s="1"/>
  <c r="AF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G345" i="18" s="1"/>
  <c r="AF345" i="18" s="1"/>
  <c r="AI347" i="18"/>
  <c r="AH347" i="18" s="1"/>
  <c r="AG347" i="18" s="1"/>
  <c r="AF347" i="18" s="1"/>
  <c r="AI349" i="18"/>
  <c r="AH349" i="18" s="1"/>
  <c r="AG349" i="18" s="1"/>
  <c r="AF349" i="18" s="1"/>
  <c r="AD349" i="18" s="1"/>
  <c r="AI351" i="18"/>
  <c r="AH351" i="18" s="1"/>
  <c r="AG351" i="18" s="1"/>
  <c r="AF351" i="18" s="1"/>
  <c r="AI353" i="18"/>
  <c r="AH353" i="18" s="1"/>
  <c r="AG353" i="18" s="1"/>
  <c r="AF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G369" i="18" s="1"/>
  <c r="AF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U15" i="18"/>
  <c r="T15" i="18" s="1"/>
  <c r="U16" i="18"/>
  <c r="T16" i="18" s="1"/>
  <c r="S16" i="18" s="1"/>
  <c r="R16" i="18" s="1"/>
  <c r="P16" i="18" s="1"/>
  <c r="V16" i="18" s="1"/>
  <c r="U17" i="18"/>
  <c r="T17" i="18" s="1"/>
  <c r="S17" i="18" s="1"/>
  <c r="R17" i="18" s="1"/>
  <c r="P17" i="18" s="1"/>
  <c r="V17" i="18" s="1"/>
  <c r="U20" i="18"/>
  <c r="T20" i="18" s="1"/>
  <c r="U22" i="18"/>
  <c r="T22" i="18" s="1"/>
  <c r="S22" i="18" s="1"/>
  <c r="R22" i="18" s="1"/>
  <c r="P22" i="18" s="1"/>
  <c r="V22" i="18" s="1"/>
  <c r="U24" i="18"/>
  <c r="T24" i="18" s="1"/>
  <c r="S24" i="18" s="1"/>
  <c r="R24" i="18" s="1"/>
  <c r="P24" i="18" s="1"/>
  <c r="V24" i="18" s="1"/>
  <c r="U26" i="18"/>
  <c r="T26" i="18" s="1"/>
  <c r="S26" i="18" s="1"/>
  <c r="R26" i="18" s="1"/>
  <c r="P26" i="18" s="1"/>
  <c r="V26" i="18" s="1"/>
  <c r="U28" i="18"/>
  <c r="T28" i="18" s="1"/>
  <c r="S28" i="18" s="1"/>
  <c r="R28" i="18" s="1"/>
  <c r="P28" i="18" s="1"/>
  <c r="V28" i="18" s="1"/>
  <c r="W28" i="18" s="1"/>
  <c r="U30" i="18"/>
  <c r="T30" i="18" s="1"/>
  <c r="S30" i="18" s="1"/>
  <c r="R30" i="18" s="1"/>
  <c r="P30" i="18" s="1"/>
  <c r="V30" i="18" s="1"/>
  <c r="U32" i="18"/>
  <c r="T32" i="18" s="1"/>
  <c r="S32" i="18" s="1"/>
  <c r="R32" i="18" s="1"/>
  <c r="P32" i="18" s="1"/>
  <c r="V32" i="18" s="1"/>
  <c r="U34" i="18"/>
  <c r="T34" i="18" s="1"/>
  <c r="S34" i="18" s="1"/>
  <c r="R34" i="18" s="1"/>
  <c r="P34" i="18" s="1"/>
  <c r="V34" i="18" s="1"/>
  <c r="U36" i="18"/>
  <c r="T36" i="18" s="1"/>
  <c r="S36" i="18" s="1"/>
  <c r="R36" i="18" s="1"/>
  <c r="P36" i="18" s="1"/>
  <c r="V36" i="18" s="1"/>
  <c r="W36" i="18" s="1"/>
  <c r="U38" i="18"/>
  <c r="T38" i="18" s="1"/>
  <c r="S38" i="18" s="1"/>
  <c r="R38" i="18" s="1"/>
  <c r="P38" i="18" s="1"/>
  <c r="V38" i="18" s="1"/>
  <c r="U40" i="18"/>
  <c r="T40" i="18" s="1"/>
  <c r="S40" i="18" s="1"/>
  <c r="R40" i="18" s="1"/>
  <c r="P40" i="18" s="1"/>
  <c r="V40" i="18" s="1"/>
  <c r="U42" i="18"/>
  <c r="T42" i="18" s="1"/>
  <c r="S42" i="18" s="1"/>
  <c r="R42" i="18" s="1"/>
  <c r="P42" i="18" s="1"/>
  <c r="V42" i="18" s="1"/>
  <c r="W42" i="18" s="1"/>
  <c r="U44" i="18"/>
  <c r="T44" i="18" s="1"/>
  <c r="S44" i="18" s="1"/>
  <c r="R44" i="18" s="1"/>
  <c r="P44" i="18" s="1"/>
  <c r="V44" i="18" s="1"/>
  <c r="U46" i="18"/>
  <c r="T46" i="18" s="1"/>
  <c r="U48" i="18"/>
  <c r="T48" i="18" s="1"/>
  <c r="S48" i="18" s="1"/>
  <c r="R48" i="18" s="1"/>
  <c r="P48" i="18" s="1"/>
  <c r="V48" i="18" s="1"/>
  <c r="U50" i="18"/>
  <c r="T50" i="18" s="1"/>
  <c r="S50" i="18" s="1"/>
  <c r="R50" i="18" s="1"/>
  <c r="P50" i="18" s="1"/>
  <c r="V50" i="18" s="1"/>
  <c r="U52" i="18"/>
  <c r="T52" i="18" s="1"/>
  <c r="S52" i="18" s="1"/>
  <c r="R52" i="18" s="1"/>
  <c r="P52" i="18" s="1"/>
  <c r="V52" i="18" s="1"/>
  <c r="U54" i="18"/>
  <c r="T54" i="18" s="1"/>
  <c r="S54" i="18" s="1"/>
  <c r="R54" i="18" s="1"/>
  <c r="P54" i="18" s="1"/>
  <c r="V54" i="18" s="1"/>
  <c r="U56" i="18"/>
  <c r="T56" i="18" s="1"/>
  <c r="S56" i="18" s="1"/>
  <c r="R56" i="18" s="1"/>
  <c r="P56" i="18" s="1"/>
  <c r="V56" i="18" s="1"/>
  <c r="U58" i="18"/>
  <c r="T58" i="18" s="1"/>
  <c r="S58" i="18" s="1"/>
  <c r="R58" i="18" s="1"/>
  <c r="P58" i="18" s="1"/>
  <c r="V58" i="18" s="1"/>
  <c r="U60" i="18"/>
  <c r="T60" i="18" s="1"/>
  <c r="S60" i="18" s="1"/>
  <c r="R60" i="18" s="1"/>
  <c r="P60" i="18" s="1"/>
  <c r="U62" i="18"/>
  <c r="T62" i="18" s="1"/>
  <c r="U64" i="18"/>
  <c r="T64" i="18" s="1"/>
  <c r="S64" i="18" s="1"/>
  <c r="R64" i="18" s="1"/>
  <c r="P64" i="18" s="1"/>
  <c r="V64" i="18" s="1"/>
  <c r="U66" i="18"/>
  <c r="T66" i="18" s="1"/>
  <c r="S66" i="18" s="1"/>
  <c r="R66" i="18" s="1"/>
  <c r="P66" i="18" s="1"/>
  <c r="V66" i="18" s="1"/>
  <c r="U68" i="18"/>
  <c r="T68" i="18" s="1"/>
  <c r="S68" i="18" s="1"/>
  <c r="R68" i="18" s="1"/>
  <c r="P68" i="18" s="1"/>
  <c r="V68" i="18" s="1"/>
  <c r="U70" i="18"/>
  <c r="T70" i="18" s="1"/>
  <c r="S70" i="18" s="1"/>
  <c r="R70" i="18" s="1"/>
  <c r="P70" i="18" s="1"/>
  <c r="V70" i="18" s="1"/>
  <c r="U72" i="18"/>
  <c r="T72" i="18" s="1"/>
  <c r="S72" i="18" s="1"/>
  <c r="R72" i="18" s="1"/>
  <c r="P72" i="18" s="1"/>
  <c r="V72" i="18" s="1"/>
  <c r="U74" i="18"/>
  <c r="T74" i="18" s="1"/>
  <c r="S74" i="18" s="1"/>
  <c r="R74" i="18" s="1"/>
  <c r="P74" i="18" s="1"/>
  <c r="V74" i="18" s="1"/>
  <c r="U76" i="18"/>
  <c r="T76" i="18" s="1"/>
  <c r="S76" i="18" s="1"/>
  <c r="R76" i="18" s="1"/>
  <c r="P76" i="18" s="1"/>
  <c r="V76" i="18" s="1"/>
  <c r="D76" i="18" s="1"/>
  <c r="E76" i="18" s="1"/>
  <c r="F76" i="18" s="1"/>
  <c r="U78" i="18"/>
  <c r="T78" i="18" s="1"/>
  <c r="S78" i="18" s="1"/>
  <c r="R78" i="18" s="1"/>
  <c r="P78" i="18" s="1"/>
  <c r="V78" i="18" s="1"/>
  <c r="U80" i="18"/>
  <c r="T80" i="18" s="1"/>
  <c r="U82" i="18"/>
  <c r="T82" i="18" s="1"/>
  <c r="S82" i="18" s="1"/>
  <c r="R82" i="18" s="1"/>
  <c r="P82" i="18" s="1"/>
  <c r="V82" i="18" s="1"/>
  <c r="U84" i="18"/>
  <c r="T84" i="18" s="1"/>
  <c r="S84" i="18" s="1"/>
  <c r="R84" i="18" s="1"/>
  <c r="P84" i="18" s="1"/>
  <c r="V84" i="18" s="1"/>
  <c r="U86" i="18"/>
  <c r="T86" i="18" s="1"/>
  <c r="S86" i="18" s="1"/>
  <c r="R86" i="18" s="1"/>
  <c r="P86" i="18" s="1"/>
  <c r="V86" i="18" s="1"/>
  <c r="U88" i="18"/>
  <c r="T88" i="18" s="1"/>
  <c r="S88" i="18" s="1"/>
  <c r="R88" i="18" s="1"/>
  <c r="P88" i="18" s="1"/>
  <c r="V88" i="18" s="1"/>
  <c r="U90" i="18"/>
  <c r="T90" i="18" s="1"/>
  <c r="S90" i="18" s="1"/>
  <c r="R90" i="18" s="1"/>
  <c r="P90" i="18" s="1"/>
  <c r="V90" i="18" s="1"/>
  <c r="U92" i="18"/>
  <c r="T92" i="18" s="1"/>
  <c r="S92" i="18" s="1"/>
  <c r="R92" i="18" s="1"/>
  <c r="P92" i="18" s="1"/>
  <c r="V92" i="18" s="1"/>
  <c r="W92" i="18" s="1"/>
  <c r="U94" i="18"/>
  <c r="T94" i="18" s="1"/>
  <c r="S94" i="18" s="1"/>
  <c r="R94" i="18" s="1"/>
  <c r="P94" i="18" s="1"/>
  <c r="V94" i="18" s="1"/>
  <c r="D94" i="18" s="1"/>
  <c r="E94" i="18" s="1"/>
  <c r="F94" i="18" s="1"/>
  <c r="U96" i="18"/>
  <c r="T96" i="18" s="1"/>
  <c r="S96" i="18" s="1"/>
  <c r="R96" i="18" s="1"/>
  <c r="P96" i="18" s="1"/>
  <c r="V96" i="18" s="1"/>
  <c r="U98" i="18"/>
  <c r="T98" i="18" s="1"/>
  <c r="S98" i="18" s="1"/>
  <c r="R98" i="18" s="1"/>
  <c r="P98" i="18" s="1"/>
  <c r="V98" i="18" s="1"/>
  <c r="U100" i="18"/>
  <c r="T100" i="18" s="1"/>
  <c r="S100" i="18" s="1"/>
  <c r="R100" i="18" s="1"/>
  <c r="P100" i="18" s="1"/>
  <c r="V100" i="18" s="1"/>
  <c r="U102" i="18"/>
  <c r="T102" i="18" s="1"/>
  <c r="S102" i="18" s="1"/>
  <c r="R102" i="18" s="1"/>
  <c r="P102" i="18" s="1"/>
  <c r="V102" i="18" s="1"/>
  <c r="U104" i="18"/>
  <c r="T104" i="18" s="1"/>
  <c r="S104" i="18" s="1"/>
  <c r="R104" i="18" s="1"/>
  <c r="P104" i="18" s="1"/>
  <c r="V104" i="18" s="1"/>
  <c r="U106" i="18"/>
  <c r="T106" i="18" s="1"/>
  <c r="S106" i="18" s="1"/>
  <c r="R106" i="18" s="1"/>
  <c r="P106" i="18" s="1"/>
  <c r="V106" i="18" s="1"/>
  <c r="U108" i="18"/>
  <c r="T108" i="18" s="1"/>
  <c r="S108" i="18" s="1"/>
  <c r="R108" i="18" s="1"/>
  <c r="P108" i="18" s="1"/>
  <c r="V108" i="18" s="1"/>
  <c r="W108" i="18" s="1"/>
  <c r="U110" i="18"/>
  <c r="T110" i="18" s="1"/>
  <c r="S110" i="18" s="1"/>
  <c r="R110" i="18" s="1"/>
  <c r="P110" i="18" s="1"/>
  <c r="V110" i="18" s="1"/>
  <c r="U112" i="18"/>
  <c r="T112" i="18" s="1"/>
  <c r="S112" i="18" s="1"/>
  <c r="R112" i="18" s="1"/>
  <c r="P112" i="18" s="1"/>
  <c r="V112" i="18" s="1"/>
  <c r="U114" i="18"/>
  <c r="T114" i="18" s="1"/>
  <c r="S114" i="18" s="1"/>
  <c r="R114" i="18" s="1"/>
  <c r="P114" i="18" s="1"/>
  <c r="V114" i="18" s="1"/>
  <c r="W114" i="18" s="1"/>
  <c r="U116" i="18"/>
  <c r="T116" i="18" s="1"/>
  <c r="S116" i="18" s="1"/>
  <c r="R116" i="18" s="1"/>
  <c r="P116" i="18" s="1"/>
  <c r="V116" i="18" s="1"/>
  <c r="U118" i="18"/>
  <c r="T118" i="18" s="1"/>
  <c r="S118" i="18" s="1"/>
  <c r="R118" i="18" s="1"/>
  <c r="P118" i="18" s="1"/>
  <c r="V118" i="18" s="1"/>
  <c r="U120" i="18"/>
  <c r="T120" i="18" s="1"/>
  <c r="S120" i="18" s="1"/>
  <c r="R120" i="18" s="1"/>
  <c r="P120" i="18" s="1"/>
  <c r="V120" i="18" s="1"/>
  <c r="U122" i="18"/>
  <c r="T122" i="18" s="1"/>
  <c r="S122" i="18" s="1"/>
  <c r="R122" i="18" s="1"/>
  <c r="P122" i="18" s="1"/>
  <c r="V122" i="18" s="1"/>
  <c r="U124" i="18"/>
  <c r="T124" i="18" s="1"/>
  <c r="U126" i="18"/>
  <c r="T126" i="18" s="1"/>
  <c r="S126" i="18" s="1"/>
  <c r="R126" i="18" s="1"/>
  <c r="P126" i="18" s="1"/>
  <c r="V126" i="18" s="1"/>
  <c r="U128" i="18"/>
  <c r="T128" i="18" s="1"/>
  <c r="S128" i="18" s="1"/>
  <c r="R128" i="18" s="1"/>
  <c r="P128" i="18" s="1"/>
  <c r="V128" i="18" s="1"/>
  <c r="D128" i="18" s="1"/>
  <c r="E128" i="18" s="1"/>
  <c r="F128" i="18" s="1"/>
  <c r="U130" i="18"/>
  <c r="T130" i="18" s="1"/>
  <c r="S130" i="18" s="1"/>
  <c r="R130" i="18" s="1"/>
  <c r="P130" i="18" s="1"/>
  <c r="V130" i="18" s="1"/>
  <c r="U132" i="18"/>
  <c r="T132" i="18" s="1"/>
  <c r="S132" i="18" s="1"/>
  <c r="R132" i="18" s="1"/>
  <c r="P132" i="18" s="1"/>
  <c r="V132" i="18" s="1"/>
  <c r="U134" i="18"/>
  <c r="T134" i="18" s="1"/>
  <c r="S134" i="18" s="1"/>
  <c r="R134" i="18" s="1"/>
  <c r="P134" i="18" s="1"/>
  <c r="V134" i="18" s="1"/>
  <c r="U136" i="18"/>
  <c r="T136" i="18" s="1"/>
  <c r="S136" i="18" s="1"/>
  <c r="R136" i="18" s="1"/>
  <c r="P136" i="18" s="1"/>
  <c r="V136" i="18" s="1"/>
  <c r="U138" i="18"/>
  <c r="T138" i="18" s="1"/>
  <c r="S138" i="18" s="1"/>
  <c r="R138" i="18" s="1"/>
  <c r="P138" i="18" s="1"/>
  <c r="V138" i="18" s="1"/>
  <c r="U140" i="18"/>
  <c r="T140" i="18" s="1"/>
  <c r="S140" i="18" s="1"/>
  <c r="R140" i="18" s="1"/>
  <c r="P140" i="18" s="1"/>
  <c r="V140" i="18" s="1"/>
  <c r="D140" i="18" s="1"/>
  <c r="E140" i="18" s="1"/>
  <c r="F140" i="18" s="1"/>
  <c r="U142" i="18"/>
  <c r="T142" i="18" s="1"/>
  <c r="S142" i="18" s="1"/>
  <c r="R142" i="18" s="1"/>
  <c r="P142" i="18" s="1"/>
  <c r="V142" i="18" s="1"/>
  <c r="U144" i="18"/>
  <c r="T144" i="18" s="1"/>
  <c r="S144" i="18" s="1"/>
  <c r="R144" i="18" s="1"/>
  <c r="P144" i="18" s="1"/>
  <c r="V144" i="18" s="1"/>
  <c r="U146" i="18"/>
  <c r="T146" i="18" s="1"/>
  <c r="U148" i="18"/>
  <c r="T148" i="18" s="1"/>
  <c r="S148" i="18" s="1"/>
  <c r="R148" i="18" s="1"/>
  <c r="P148" i="18" s="1"/>
  <c r="V148" i="18" s="1"/>
  <c r="U150" i="18"/>
  <c r="T150" i="18" s="1"/>
  <c r="S150" i="18" s="1"/>
  <c r="R150" i="18" s="1"/>
  <c r="P150" i="18" s="1"/>
  <c r="V150" i="18" s="1"/>
  <c r="W150" i="18" s="1"/>
  <c r="U152" i="18"/>
  <c r="T152" i="18" s="1"/>
  <c r="S152" i="18" s="1"/>
  <c r="R152" i="18" s="1"/>
  <c r="P152" i="18" s="1"/>
  <c r="V152" i="18" s="1"/>
  <c r="U154" i="18"/>
  <c r="T154" i="18" s="1"/>
  <c r="S154" i="18" s="1"/>
  <c r="R154" i="18" s="1"/>
  <c r="P154" i="18" s="1"/>
  <c r="V154" i="18" s="1"/>
  <c r="D154" i="18" s="1"/>
  <c r="E154" i="18" s="1"/>
  <c r="F154" i="18" s="1"/>
  <c r="U156" i="18"/>
  <c r="T156" i="18" s="1"/>
  <c r="S156" i="18" s="1"/>
  <c r="R156" i="18" s="1"/>
  <c r="P156" i="18" s="1"/>
  <c r="V156" i="18" s="1"/>
  <c r="U158" i="18"/>
  <c r="T158" i="18" s="1"/>
  <c r="S158" i="18" s="1"/>
  <c r="R158" i="18" s="1"/>
  <c r="P158" i="18" s="1"/>
  <c r="V158" i="18" s="1"/>
  <c r="D158" i="18" s="1"/>
  <c r="E158" i="18" s="1"/>
  <c r="F158" i="18" s="1"/>
  <c r="U160" i="18"/>
  <c r="T160" i="18" s="1"/>
  <c r="S160" i="18" s="1"/>
  <c r="R160" i="18" s="1"/>
  <c r="P160" i="18" s="1"/>
  <c r="V160" i="18" s="1"/>
  <c r="U162" i="18"/>
  <c r="T162" i="18" s="1"/>
  <c r="S162" i="18" s="1"/>
  <c r="R162" i="18" s="1"/>
  <c r="P162" i="18" s="1"/>
  <c r="V162" i="18" s="1"/>
  <c r="U164" i="18"/>
  <c r="T164" i="18" s="1"/>
  <c r="S164" i="18" s="1"/>
  <c r="R164" i="18" s="1"/>
  <c r="P164" i="18" s="1"/>
  <c r="V164" i="18" s="1"/>
  <c r="W164" i="18" s="1"/>
  <c r="U166" i="18"/>
  <c r="T166" i="18" s="1"/>
  <c r="S166" i="18" s="1"/>
  <c r="R166" i="18" s="1"/>
  <c r="P166" i="18" s="1"/>
  <c r="V166" i="18" s="1"/>
  <c r="U168" i="18"/>
  <c r="T168" i="18" s="1"/>
  <c r="S168" i="18" s="1"/>
  <c r="R168" i="18" s="1"/>
  <c r="P168" i="18" s="1"/>
  <c r="V168" i="18" s="1"/>
  <c r="U170" i="18"/>
  <c r="T170" i="18" s="1"/>
  <c r="S170" i="18" s="1"/>
  <c r="R170" i="18" s="1"/>
  <c r="P170" i="18" s="1"/>
  <c r="V170" i="18" s="1"/>
  <c r="D170" i="18" s="1"/>
  <c r="E170" i="18" s="1"/>
  <c r="F170" i="18" s="1"/>
  <c r="U172" i="18"/>
  <c r="T172" i="18" s="1"/>
  <c r="S172" i="18" s="1"/>
  <c r="R172" i="18" s="1"/>
  <c r="P172" i="18" s="1"/>
  <c r="V172" i="18" s="1"/>
  <c r="U174" i="18"/>
  <c r="T174" i="18" s="1"/>
  <c r="U176" i="18"/>
  <c r="T176" i="18" s="1"/>
  <c r="S176" i="18" s="1"/>
  <c r="R176" i="18" s="1"/>
  <c r="P176" i="18" s="1"/>
  <c r="V176" i="18" s="1"/>
  <c r="U178" i="18"/>
  <c r="T178" i="18" s="1"/>
  <c r="S178" i="18" s="1"/>
  <c r="R178" i="18" s="1"/>
  <c r="P178" i="18" s="1"/>
  <c r="V178" i="18" s="1"/>
  <c r="D178" i="18" s="1"/>
  <c r="E178" i="18" s="1"/>
  <c r="F178" i="18" s="1"/>
  <c r="U180" i="18"/>
  <c r="T180" i="18" s="1"/>
  <c r="S180" i="18" s="1"/>
  <c r="R180" i="18" s="1"/>
  <c r="P180" i="18" s="1"/>
  <c r="U182" i="18"/>
  <c r="T182" i="18" s="1"/>
  <c r="S182" i="18" s="1"/>
  <c r="R182" i="18" s="1"/>
  <c r="P182" i="18" s="1"/>
  <c r="V182" i="18" s="1"/>
  <c r="U184" i="18"/>
  <c r="T184" i="18" s="1"/>
  <c r="S184" i="18" s="1"/>
  <c r="R184" i="18" s="1"/>
  <c r="P184" i="18" s="1"/>
  <c r="V184" i="18" s="1"/>
  <c r="U186" i="18"/>
  <c r="T186" i="18" s="1"/>
  <c r="S186" i="18" s="1"/>
  <c r="R186" i="18" s="1"/>
  <c r="P186" i="18" s="1"/>
  <c r="V186" i="18" s="1"/>
  <c r="W186" i="18" s="1"/>
  <c r="U188" i="18"/>
  <c r="T188" i="18" s="1"/>
  <c r="S188" i="18" s="1"/>
  <c r="R188" i="18" s="1"/>
  <c r="P188" i="18" s="1"/>
  <c r="V188" i="18" s="1"/>
  <c r="U190" i="18"/>
  <c r="T190" i="18" s="1"/>
  <c r="U192" i="18"/>
  <c r="T192" i="18" s="1"/>
  <c r="S192" i="18" s="1"/>
  <c r="R192" i="18" s="1"/>
  <c r="P192" i="18" s="1"/>
  <c r="V192" i="18" s="1"/>
  <c r="U194" i="18"/>
  <c r="T194" i="18" s="1"/>
  <c r="S194" i="18" s="1"/>
  <c r="R194" i="18" s="1"/>
  <c r="P194" i="18" s="1"/>
  <c r="V194" i="18" s="1"/>
  <c r="U196" i="18"/>
  <c r="T196" i="18" s="1"/>
  <c r="S196" i="18" s="1"/>
  <c r="R196" i="18" s="1"/>
  <c r="P196" i="18" s="1"/>
  <c r="V196" i="18" s="1"/>
  <c r="U198" i="18"/>
  <c r="T198" i="18" s="1"/>
  <c r="S198" i="18" s="1"/>
  <c r="R198" i="18" s="1"/>
  <c r="P198" i="18" s="1"/>
  <c r="V198" i="18" s="1"/>
  <c r="W198" i="18" s="1"/>
  <c r="U200" i="18"/>
  <c r="T200" i="18" s="1"/>
  <c r="S200" i="18" s="1"/>
  <c r="R200" i="18" s="1"/>
  <c r="P200" i="18" s="1"/>
  <c r="V200" i="18" s="1"/>
  <c r="U202" i="18"/>
  <c r="T202" i="18" s="1"/>
  <c r="U204" i="18"/>
  <c r="T204" i="18" s="1"/>
  <c r="S204" i="18" s="1"/>
  <c r="R204" i="18" s="1"/>
  <c r="P204" i="18" s="1"/>
  <c r="V204" i="18" s="1"/>
  <c r="D204" i="18" s="1"/>
  <c r="E204" i="18" s="1"/>
  <c r="F204" i="18" s="1"/>
  <c r="U206" i="18"/>
  <c r="T206" i="18" s="1"/>
  <c r="S206" i="18" s="1"/>
  <c r="R206" i="18" s="1"/>
  <c r="P206" i="18" s="1"/>
  <c r="V206" i="18" s="1"/>
  <c r="W206" i="18" s="1"/>
  <c r="U208" i="18"/>
  <c r="T208" i="18" s="1"/>
  <c r="S208" i="18" s="1"/>
  <c r="R208" i="18" s="1"/>
  <c r="P208" i="18" s="1"/>
  <c r="V208" i="18" s="1"/>
  <c r="U210" i="18"/>
  <c r="T210" i="18" s="1"/>
  <c r="S210" i="18" s="1"/>
  <c r="R210" i="18" s="1"/>
  <c r="P210" i="18" s="1"/>
  <c r="D74" i="7" s="1"/>
  <c r="U212" i="18"/>
  <c r="T212" i="18" s="1"/>
  <c r="S212" i="18" s="1"/>
  <c r="R212" i="18" s="1"/>
  <c r="P212" i="18" s="1"/>
  <c r="V212" i="18" s="1"/>
  <c r="U214" i="18"/>
  <c r="T214" i="18" s="1"/>
  <c r="S214" i="18" s="1"/>
  <c r="R214" i="18" s="1"/>
  <c r="P214" i="18" s="1"/>
  <c r="V214" i="18" s="1"/>
  <c r="W214" i="18" s="1"/>
  <c r="U216" i="18"/>
  <c r="T216" i="18" s="1"/>
  <c r="S216" i="18" s="1"/>
  <c r="R216" i="18" s="1"/>
  <c r="P216" i="18" s="1"/>
  <c r="V216" i="18" s="1"/>
  <c r="U218" i="18"/>
  <c r="T218" i="18" s="1"/>
  <c r="S218" i="18" s="1"/>
  <c r="R218" i="18" s="1"/>
  <c r="P218" i="18" s="1"/>
  <c r="V218" i="18" s="1"/>
  <c r="U220" i="18"/>
  <c r="T220" i="18" s="1"/>
  <c r="S220" i="18" s="1"/>
  <c r="R220" i="18" s="1"/>
  <c r="P220" i="18" s="1"/>
  <c r="V220" i="18" s="1"/>
  <c r="W220" i="18" s="1"/>
  <c r="U222" i="18"/>
  <c r="T222" i="18" s="1"/>
  <c r="S222" i="18" s="1"/>
  <c r="R222" i="18" s="1"/>
  <c r="P222" i="18" s="1"/>
  <c r="V222" i="18" s="1"/>
  <c r="U224" i="18"/>
  <c r="T224" i="18" s="1"/>
  <c r="S224" i="18" s="1"/>
  <c r="R224" i="18" s="1"/>
  <c r="P224" i="18" s="1"/>
  <c r="V224" i="18" s="1"/>
  <c r="U226" i="18"/>
  <c r="T226" i="18" s="1"/>
  <c r="S226" i="18" s="1"/>
  <c r="R226" i="18" s="1"/>
  <c r="P226" i="18" s="1"/>
  <c r="V226" i="18" s="1"/>
  <c r="U228" i="18"/>
  <c r="T228" i="18" s="1"/>
  <c r="S228" i="18" s="1"/>
  <c r="R228" i="18" s="1"/>
  <c r="P228" i="18" s="1"/>
  <c r="V228" i="18" s="1"/>
  <c r="U230" i="18"/>
  <c r="T230" i="18" s="1"/>
  <c r="S230" i="18" s="1"/>
  <c r="R230" i="18" s="1"/>
  <c r="P230" i="18" s="1"/>
  <c r="V230" i="18" s="1"/>
  <c r="U232" i="18"/>
  <c r="T232" i="18" s="1"/>
  <c r="S232" i="18" s="1"/>
  <c r="R232" i="18" s="1"/>
  <c r="P232" i="18" s="1"/>
  <c r="V232" i="18" s="1"/>
  <c r="W232" i="18" s="1"/>
  <c r="U234" i="18"/>
  <c r="T234" i="18" s="1"/>
  <c r="U236" i="18"/>
  <c r="T236" i="18" s="1"/>
  <c r="S236" i="18" s="1"/>
  <c r="R236" i="18" s="1"/>
  <c r="P236" i="18" s="1"/>
  <c r="V236" i="18" s="1"/>
  <c r="U238" i="18"/>
  <c r="T238" i="18" s="1"/>
  <c r="S238" i="18" s="1"/>
  <c r="R238" i="18" s="1"/>
  <c r="P238" i="18" s="1"/>
  <c r="V238" i="18" s="1"/>
  <c r="U240" i="18"/>
  <c r="T240" i="18" s="1"/>
  <c r="S240" i="18" s="1"/>
  <c r="R240" i="18" s="1"/>
  <c r="P240" i="18" s="1"/>
  <c r="V240" i="18" s="1"/>
  <c r="W240" i="18" s="1"/>
  <c r="U242" i="18"/>
  <c r="T242" i="18" s="1"/>
  <c r="S242" i="18" s="1"/>
  <c r="R242" i="18" s="1"/>
  <c r="P242" i="18" s="1"/>
  <c r="V242" i="18" s="1"/>
  <c r="U244" i="18"/>
  <c r="T244" i="18" s="1"/>
  <c r="S244" i="18" s="1"/>
  <c r="R244" i="18" s="1"/>
  <c r="P244" i="18" s="1"/>
  <c r="V244" i="18" s="1"/>
  <c r="U246" i="18"/>
  <c r="T246" i="18" s="1"/>
  <c r="S246" i="18" s="1"/>
  <c r="R246" i="18" s="1"/>
  <c r="P246" i="18" s="1"/>
  <c r="V246" i="18" s="1"/>
  <c r="W246" i="18" s="1"/>
  <c r="U248" i="18"/>
  <c r="T248" i="18" s="1"/>
  <c r="S248" i="18" s="1"/>
  <c r="R248" i="18" s="1"/>
  <c r="P248" i="18" s="1"/>
  <c r="V248" i="18" s="1"/>
  <c r="D248" i="18" s="1"/>
  <c r="E248" i="18" s="1"/>
  <c r="F248" i="18" s="1"/>
  <c r="U250" i="18"/>
  <c r="T250" i="18" s="1"/>
  <c r="S250" i="18" s="1"/>
  <c r="R250" i="18" s="1"/>
  <c r="P250" i="18" s="1"/>
  <c r="V250" i="18" s="1"/>
  <c r="U252" i="18"/>
  <c r="T252" i="18" s="1"/>
  <c r="S252" i="18" s="1"/>
  <c r="R252" i="18" s="1"/>
  <c r="P252" i="18" s="1"/>
  <c r="V252" i="18" s="1"/>
  <c r="U254" i="18"/>
  <c r="T254" i="18" s="1"/>
  <c r="S254" i="18" s="1"/>
  <c r="R254" i="18" s="1"/>
  <c r="P254" i="18" s="1"/>
  <c r="V254" i="18" s="1"/>
  <c r="U256" i="18"/>
  <c r="T256" i="18" s="1"/>
  <c r="S256" i="18" s="1"/>
  <c r="R256" i="18" s="1"/>
  <c r="P256" i="18" s="1"/>
  <c r="V256" i="18" s="1"/>
  <c r="W256" i="18" s="1"/>
  <c r="U258" i="18"/>
  <c r="T258" i="18" s="1"/>
  <c r="S258" i="18" s="1"/>
  <c r="R258" i="18" s="1"/>
  <c r="P258" i="18" s="1"/>
  <c r="V258" i="18" s="1"/>
  <c r="U260" i="18"/>
  <c r="T260" i="18" s="1"/>
  <c r="S260" i="18" s="1"/>
  <c r="R260" i="18" s="1"/>
  <c r="P260" i="18" s="1"/>
  <c r="V260" i="18" s="1"/>
  <c r="U262" i="18"/>
  <c r="T262" i="18" s="1"/>
  <c r="S262" i="18" s="1"/>
  <c r="R262" i="18" s="1"/>
  <c r="P262" i="18" s="1"/>
  <c r="V262" i="18" s="1"/>
  <c r="U264" i="18"/>
  <c r="T264" i="18" s="1"/>
  <c r="S264" i="18" s="1"/>
  <c r="R264" i="18" s="1"/>
  <c r="P264" i="18" s="1"/>
  <c r="V264" i="18" s="1"/>
  <c r="U266" i="18"/>
  <c r="T266" i="18" s="1"/>
  <c r="S266" i="18" s="1"/>
  <c r="R266" i="18" s="1"/>
  <c r="P266" i="18" s="1"/>
  <c r="V266" i="18" s="1"/>
  <c r="U268" i="18"/>
  <c r="T268" i="18" s="1"/>
  <c r="S268" i="18" s="1"/>
  <c r="R268" i="18" s="1"/>
  <c r="P268" i="18" s="1"/>
  <c r="V268" i="18" s="1"/>
  <c r="W268" i="18" s="1"/>
  <c r="U270" i="18"/>
  <c r="T270" i="18" s="1"/>
  <c r="S270" i="18" s="1"/>
  <c r="R270" i="18" s="1"/>
  <c r="P270" i="18" s="1"/>
  <c r="V270" i="18" s="1"/>
  <c r="U272" i="18"/>
  <c r="T272" i="18" s="1"/>
  <c r="S272" i="18" s="1"/>
  <c r="R272" i="18" s="1"/>
  <c r="P272" i="18" s="1"/>
  <c r="U274" i="18"/>
  <c r="T274" i="18" s="1"/>
  <c r="S274" i="18" s="1"/>
  <c r="R274" i="18" s="1"/>
  <c r="P274" i="18" s="1"/>
  <c r="V274" i="18" s="1"/>
  <c r="U276" i="18"/>
  <c r="T276" i="18" s="1"/>
  <c r="S276" i="18" s="1"/>
  <c r="R276" i="18" s="1"/>
  <c r="P276" i="18" s="1"/>
  <c r="V276" i="18" s="1"/>
  <c r="U278" i="18"/>
  <c r="T278" i="18" s="1"/>
  <c r="S278" i="18" s="1"/>
  <c r="R278" i="18" s="1"/>
  <c r="P278" i="18" s="1"/>
  <c r="V278" i="18" s="1"/>
  <c r="U280" i="18"/>
  <c r="T280" i="18" s="1"/>
  <c r="U282" i="18"/>
  <c r="T282" i="18" s="1"/>
  <c r="S282" i="18" s="1"/>
  <c r="R282" i="18" s="1"/>
  <c r="P282" i="18" s="1"/>
  <c r="V282" i="18" s="1"/>
  <c r="W282" i="18" s="1"/>
  <c r="U284" i="18"/>
  <c r="T284" i="18" s="1"/>
  <c r="S284" i="18" s="1"/>
  <c r="R284" i="18" s="1"/>
  <c r="P284" i="18" s="1"/>
  <c r="V284" i="18" s="1"/>
  <c r="D284" i="18" s="1"/>
  <c r="E284" i="18" s="1"/>
  <c r="F284" i="18" s="1"/>
  <c r="U286" i="18"/>
  <c r="T286" i="18" s="1"/>
  <c r="S286" i="18" s="1"/>
  <c r="R286" i="18" s="1"/>
  <c r="P286" i="18" s="1"/>
  <c r="V286" i="18" s="1"/>
  <c r="U288" i="18"/>
  <c r="T288" i="18" s="1"/>
  <c r="S288" i="18" s="1"/>
  <c r="R288" i="18" s="1"/>
  <c r="P288" i="18" s="1"/>
  <c r="V288" i="18" s="1"/>
  <c r="U290" i="18"/>
  <c r="T290" i="18" s="1"/>
  <c r="S290" i="18" s="1"/>
  <c r="R290" i="18" s="1"/>
  <c r="P290" i="18" s="1"/>
  <c r="V290" i="18" s="1"/>
  <c r="U292" i="18"/>
  <c r="T292" i="18" s="1"/>
  <c r="S292" i="18" s="1"/>
  <c r="R292" i="18" s="1"/>
  <c r="P292" i="18" s="1"/>
  <c r="V292" i="18" s="1"/>
  <c r="U294" i="18"/>
  <c r="T294" i="18" s="1"/>
  <c r="S294" i="18" s="1"/>
  <c r="R294" i="18" s="1"/>
  <c r="P294" i="18" s="1"/>
  <c r="V294" i="18" s="1"/>
  <c r="U296" i="18"/>
  <c r="T296" i="18" s="1"/>
  <c r="S296" i="18" s="1"/>
  <c r="R296" i="18" s="1"/>
  <c r="P296" i="18" s="1"/>
  <c r="V296" i="18" s="1"/>
  <c r="U298" i="18"/>
  <c r="T298" i="18" s="1"/>
  <c r="S298" i="18" s="1"/>
  <c r="R298" i="18" s="1"/>
  <c r="P298" i="18" s="1"/>
  <c r="V298" i="18" s="1"/>
  <c r="U300" i="18"/>
  <c r="T300" i="18" s="1"/>
  <c r="S300" i="18" s="1"/>
  <c r="R300" i="18" s="1"/>
  <c r="P300" i="18" s="1"/>
  <c r="V300" i="18" s="1"/>
  <c r="D300" i="18" s="1"/>
  <c r="E300" i="18" s="1"/>
  <c r="F300" i="18" s="1"/>
  <c r="U302" i="18"/>
  <c r="T302" i="18" s="1"/>
  <c r="S302" i="18" s="1"/>
  <c r="R302" i="18" s="1"/>
  <c r="P302" i="18" s="1"/>
  <c r="D77" i="7" s="1"/>
  <c r="U304" i="18"/>
  <c r="T304" i="18" s="1"/>
  <c r="S304" i="18" s="1"/>
  <c r="R304" i="18" s="1"/>
  <c r="P304" i="18" s="1"/>
  <c r="V304" i="18" s="1"/>
  <c r="U306" i="18"/>
  <c r="T306" i="18" s="1"/>
  <c r="S306" i="18" s="1"/>
  <c r="R306" i="18" s="1"/>
  <c r="P306" i="18" s="1"/>
  <c r="V306" i="18" s="1"/>
  <c r="D306" i="18" s="1"/>
  <c r="E306" i="18" s="1"/>
  <c r="F306" i="18" s="1"/>
  <c r="U308" i="18"/>
  <c r="T308" i="18" s="1"/>
  <c r="S308" i="18" s="1"/>
  <c r="R308" i="18" s="1"/>
  <c r="P308" i="18" s="1"/>
  <c r="V308" i="18" s="1"/>
  <c r="U310" i="18"/>
  <c r="T310" i="18" s="1"/>
  <c r="S310" i="18" s="1"/>
  <c r="R310" i="18" s="1"/>
  <c r="P310" i="18" s="1"/>
  <c r="V310" i="18" s="1"/>
  <c r="U312" i="18"/>
  <c r="T312" i="18" s="1"/>
  <c r="S312" i="18" s="1"/>
  <c r="R312" i="18" s="1"/>
  <c r="P312" i="18" s="1"/>
  <c r="V312" i="18" s="1"/>
  <c r="U314" i="18"/>
  <c r="T314" i="18" s="1"/>
  <c r="S314" i="18" s="1"/>
  <c r="R314" i="18" s="1"/>
  <c r="P314" i="18" s="1"/>
  <c r="V314" i="18" s="1"/>
  <c r="U316" i="18"/>
  <c r="T316" i="18" s="1"/>
  <c r="S316" i="18" s="1"/>
  <c r="R316" i="18" s="1"/>
  <c r="P316" i="18" s="1"/>
  <c r="V316" i="18" s="1"/>
  <c r="D316" i="18" s="1"/>
  <c r="E316" i="18" s="1"/>
  <c r="F316" i="18" s="1"/>
  <c r="U318" i="18"/>
  <c r="T318" i="18" s="1"/>
  <c r="S318" i="18" s="1"/>
  <c r="R318" i="18" s="1"/>
  <c r="P318" i="18" s="1"/>
  <c r="V318" i="18" s="1"/>
  <c r="W318" i="18" s="1"/>
  <c r="U320" i="18"/>
  <c r="T320" i="18" s="1"/>
  <c r="S320" i="18" s="1"/>
  <c r="R320" i="18" s="1"/>
  <c r="P320" i="18" s="1"/>
  <c r="V320" i="18" s="1"/>
  <c r="W320" i="18" s="1"/>
  <c r="U322" i="18"/>
  <c r="T322" i="18" s="1"/>
  <c r="S322" i="18" s="1"/>
  <c r="R322" i="18" s="1"/>
  <c r="P322" i="18" s="1"/>
  <c r="V322" i="18" s="1"/>
  <c r="U324" i="18"/>
  <c r="T324" i="18" s="1"/>
  <c r="S324" i="18" s="1"/>
  <c r="R324" i="18" s="1"/>
  <c r="P324" i="18" s="1"/>
  <c r="V324" i="18" s="1"/>
  <c r="U326" i="18"/>
  <c r="T326" i="18" s="1"/>
  <c r="S326" i="18" s="1"/>
  <c r="R326" i="18" s="1"/>
  <c r="P326" i="18" s="1"/>
  <c r="V326" i="18" s="1"/>
  <c r="U328" i="18"/>
  <c r="T328" i="18" s="1"/>
  <c r="S328" i="18" s="1"/>
  <c r="R328" i="18" s="1"/>
  <c r="P328" i="18" s="1"/>
  <c r="V328" i="18" s="1"/>
  <c r="D328" i="18" s="1"/>
  <c r="E328" i="18" s="1"/>
  <c r="F328" i="18" s="1"/>
  <c r="U330" i="18"/>
  <c r="T330" i="18" s="1"/>
  <c r="S330" i="18" s="1"/>
  <c r="R330" i="18" s="1"/>
  <c r="P330" i="18" s="1"/>
  <c r="V330" i="18" s="1"/>
  <c r="W330" i="18" s="1"/>
  <c r="U332" i="18"/>
  <c r="T332" i="18" s="1"/>
  <c r="S332" i="18" s="1"/>
  <c r="R332" i="18" s="1"/>
  <c r="P332" i="18" s="1"/>
  <c r="V332" i="18" s="1"/>
  <c r="U334" i="18"/>
  <c r="T334" i="18" s="1"/>
  <c r="S334" i="18" s="1"/>
  <c r="R334" i="18" s="1"/>
  <c r="P334" i="18" s="1"/>
  <c r="V334" i="18" s="1"/>
  <c r="U336" i="18"/>
  <c r="T336" i="18" s="1"/>
  <c r="S336" i="18" s="1"/>
  <c r="R336" i="18" s="1"/>
  <c r="P336" i="18" s="1"/>
  <c r="V336" i="18" s="1"/>
  <c r="U338" i="18"/>
  <c r="T338" i="18" s="1"/>
  <c r="S338" i="18" s="1"/>
  <c r="R338" i="18" s="1"/>
  <c r="P338" i="18" s="1"/>
  <c r="V338" i="18" s="1"/>
  <c r="U340" i="18"/>
  <c r="T340" i="18" s="1"/>
  <c r="S340" i="18" s="1"/>
  <c r="R340" i="18" s="1"/>
  <c r="P340" i="18" s="1"/>
  <c r="V340" i="18" s="1"/>
  <c r="U342" i="18"/>
  <c r="T342" i="18" s="1"/>
  <c r="S342" i="18" s="1"/>
  <c r="R342" i="18" s="1"/>
  <c r="P342" i="18" s="1"/>
  <c r="V342" i="18" s="1"/>
  <c r="U344" i="18"/>
  <c r="T344" i="18" s="1"/>
  <c r="S344" i="18" s="1"/>
  <c r="R344" i="18" s="1"/>
  <c r="P344" i="18" s="1"/>
  <c r="V344" i="18" s="1"/>
  <c r="D344" i="18" s="1"/>
  <c r="E344" i="18" s="1"/>
  <c r="F344" i="18" s="1"/>
  <c r="U346" i="18"/>
  <c r="T346" i="18" s="1"/>
  <c r="S346" i="18" s="1"/>
  <c r="R346" i="18" s="1"/>
  <c r="P346" i="18" s="1"/>
  <c r="V346" i="18" s="1"/>
  <c r="U348" i="18"/>
  <c r="T348" i="18" s="1"/>
  <c r="S348" i="18" s="1"/>
  <c r="R348" i="18" s="1"/>
  <c r="P348" i="18" s="1"/>
  <c r="V348" i="18" s="1"/>
  <c r="U350" i="18"/>
  <c r="T350" i="18" s="1"/>
  <c r="S350" i="18" s="1"/>
  <c r="R350" i="18" s="1"/>
  <c r="P350" i="18" s="1"/>
  <c r="V350" i="18" s="1"/>
  <c r="U352" i="18"/>
  <c r="T352" i="18" s="1"/>
  <c r="S352" i="18" s="1"/>
  <c r="R352" i="18" s="1"/>
  <c r="P352" i="18" s="1"/>
  <c r="V352" i="18" s="1"/>
  <c r="U354" i="18"/>
  <c r="T354" i="18" s="1"/>
  <c r="S354" i="18" s="1"/>
  <c r="R354" i="18" s="1"/>
  <c r="P354" i="18" s="1"/>
  <c r="V354" i="18" s="1"/>
  <c r="U356" i="18"/>
  <c r="T356" i="18" s="1"/>
  <c r="S356" i="18" s="1"/>
  <c r="R356" i="18" s="1"/>
  <c r="P356" i="18" s="1"/>
  <c r="V356" i="18" s="1"/>
  <c r="W356" i="18" s="1"/>
  <c r="U358" i="18"/>
  <c r="T358" i="18" s="1"/>
  <c r="S358" i="18" s="1"/>
  <c r="R358" i="18" s="1"/>
  <c r="P358" i="18" s="1"/>
  <c r="V358" i="18" s="1"/>
  <c r="U360" i="18"/>
  <c r="T360" i="18" s="1"/>
  <c r="S360" i="18" s="1"/>
  <c r="R360" i="18" s="1"/>
  <c r="P360" i="18" s="1"/>
  <c r="V360" i="18" s="1"/>
  <c r="U362" i="18"/>
  <c r="T362" i="18" s="1"/>
  <c r="S362" i="18" s="1"/>
  <c r="R362" i="18" s="1"/>
  <c r="P362" i="18" s="1"/>
  <c r="V362" i="18" s="1"/>
  <c r="W362" i="18" s="1"/>
  <c r="U364" i="18"/>
  <c r="T364" i="18" s="1"/>
  <c r="S364" i="18" s="1"/>
  <c r="R364" i="18" s="1"/>
  <c r="P364" i="18" s="1"/>
  <c r="V364" i="18" s="1"/>
  <c r="U366" i="18"/>
  <c r="T366" i="18" s="1"/>
  <c r="S366" i="18" s="1"/>
  <c r="R366" i="18" s="1"/>
  <c r="P366" i="18" s="1"/>
  <c r="V366" i="18" s="1"/>
  <c r="U368" i="18"/>
  <c r="T368" i="18" s="1"/>
  <c r="S368" i="18" s="1"/>
  <c r="R368" i="18" s="1"/>
  <c r="P368" i="18" s="1"/>
  <c r="V368" i="18" s="1"/>
  <c r="D368" i="18" s="1"/>
  <c r="E368" i="18" s="1"/>
  <c r="F368" i="18" s="1"/>
  <c r="U370" i="18"/>
  <c r="T370" i="18" s="1"/>
  <c r="S370" i="18" s="1"/>
  <c r="R370" i="18" s="1"/>
  <c r="P370" i="18" s="1"/>
  <c r="V370" i="18" s="1"/>
  <c r="U372" i="18"/>
  <c r="T372" i="18" s="1"/>
  <c r="S372" i="18" s="1"/>
  <c r="R372" i="18" s="1"/>
  <c r="P372" i="18" s="1"/>
  <c r="V372" i="18" s="1"/>
  <c r="U374" i="18"/>
  <c r="T374" i="18" s="1"/>
  <c r="S374" i="18" s="1"/>
  <c r="R374" i="18" s="1"/>
  <c r="P374" i="18" s="1"/>
  <c r="V374" i="18" s="1"/>
  <c r="U376" i="18"/>
  <c r="T376" i="18" s="1"/>
  <c r="S376" i="18" s="1"/>
  <c r="R376" i="18" s="1"/>
  <c r="P376" i="18" s="1"/>
  <c r="V376" i="18" s="1"/>
  <c r="D376" i="18" s="1"/>
  <c r="E376" i="18" s="1"/>
  <c r="F376" i="18" s="1"/>
  <c r="U378" i="18"/>
  <c r="T378" i="18" s="1"/>
  <c r="AD332" i="18"/>
  <c r="AD376" i="18"/>
  <c r="AD267" i="18"/>
  <c r="AD295" i="18"/>
  <c r="AD311" i="18"/>
  <c r="AD33" i="18"/>
  <c r="D113" i="18"/>
  <c r="E113" i="18" s="1"/>
  <c r="D65" i="18"/>
  <c r="E65" i="18" s="1"/>
  <c r="F139" i="17"/>
  <c r="G139" i="17" s="1"/>
  <c r="BZ139" i="6" s="1"/>
  <c r="F47" i="17"/>
  <c r="AA47" i="17" s="1"/>
  <c r="Z47" i="17" s="1"/>
  <c r="Y47" i="17" s="1"/>
  <c r="AD86" i="18"/>
  <c r="AD122" i="18"/>
  <c r="AD234" i="18"/>
  <c r="I379" i="16"/>
  <c r="J379" i="16"/>
  <c r="AD76" i="18"/>
  <c r="AD140" i="18"/>
  <c r="AD228" i="18"/>
  <c r="AD296" i="18"/>
  <c r="F11" i="19"/>
  <c r="Y382" i="1"/>
  <c r="AM6" i="1"/>
  <c r="AM12" i="1" s="1"/>
  <c r="Y381" i="1"/>
  <c r="X9" i="1"/>
  <c r="Y383" i="1"/>
  <c r="AL6" i="1"/>
  <c r="AL12" i="1" s="1"/>
  <c r="J184" i="17"/>
  <c r="I184" i="17"/>
  <c r="G192" i="17"/>
  <c r="BZ192" i="6" s="1"/>
  <c r="AA192" i="17"/>
  <c r="Z192" i="17" s="1"/>
  <c r="Y192" i="17" s="1"/>
  <c r="H192" i="17"/>
  <c r="G264" i="17"/>
  <c r="BZ264" i="6" s="1"/>
  <c r="AA264" i="17"/>
  <c r="Z264" i="17" s="1"/>
  <c r="Y264" i="17" s="1"/>
  <c r="H264" i="17"/>
  <c r="G187" i="17"/>
  <c r="BZ187" i="6" s="1"/>
  <c r="AA187" i="17"/>
  <c r="Z187" i="17" s="1"/>
  <c r="Y187" i="17" s="1"/>
  <c r="H187" i="17"/>
  <c r="G199" i="17"/>
  <c r="BZ199" i="6" s="1"/>
  <c r="H199" i="17"/>
  <c r="G90" i="17"/>
  <c r="BZ90" i="6" s="1"/>
  <c r="H90" i="17"/>
  <c r="G106" i="17"/>
  <c r="BZ106" i="6" s="1"/>
  <c r="H106" i="17"/>
  <c r="AA222" i="17"/>
  <c r="Z222" i="17" s="1"/>
  <c r="Y222" i="17" s="1"/>
  <c r="H222" i="17"/>
  <c r="G222" i="17"/>
  <c r="BZ222" i="6" s="1"/>
  <c r="G230" i="17"/>
  <c r="BZ230" i="6" s="1"/>
  <c r="H230" i="17"/>
  <c r="AA230" i="17"/>
  <c r="Z230" i="17" s="1"/>
  <c r="Y230" i="17" s="1"/>
  <c r="H270" i="17"/>
  <c r="G270" i="17"/>
  <c r="BZ270" i="6" s="1"/>
  <c r="AA270" i="17"/>
  <c r="Z270" i="17" s="1"/>
  <c r="Y270" i="17" s="1"/>
  <c r="AA278" i="17"/>
  <c r="Z278" i="17" s="1"/>
  <c r="Y278" i="17" s="1"/>
  <c r="H278" i="17"/>
  <c r="G278" i="17"/>
  <c r="BZ278" i="6" s="1"/>
  <c r="H290" i="17"/>
  <c r="AA290" i="17"/>
  <c r="Z290" i="17" s="1"/>
  <c r="Y290" i="17" s="1"/>
  <c r="G290" i="17"/>
  <c r="BZ290" i="6" s="1"/>
  <c r="G298" i="17"/>
  <c r="BZ298" i="6" s="1"/>
  <c r="H298" i="17"/>
  <c r="G21" i="17"/>
  <c r="BZ21" i="6" s="1"/>
  <c r="AA21" i="17"/>
  <c r="Z21" i="17" s="1"/>
  <c r="Y21" i="17" s="1"/>
  <c r="H21" i="17"/>
  <c r="AA161" i="17"/>
  <c r="Z161" i="17" s="1"/>
  <c r="Y161" i="17" s="1"/>
  <c r="G161" i="17"/>
  <c r="BZ161" i="6" s="1"/>
  <c r="H161" i="17"/>
  <c r="AA241" i="17"/>
  <c r="Z241" i="17" s="1"/>
  <c r="Y241" i="17" s="1"/>
  <c r="G241" i="17"/>
  <c r="BZ241" i="6" s="1"/>
  <c r="H241" i="17"/>
  <c r="G293" i="17"/>
  <c r="BZ293" i="6" s="1"/>
  <c r="AA293" i="17"/>
  <c r="Z293" i="17" s="1"/>
  <c r="Y293" i="17" s="1"/>
  <c r="H293" i="17"/>
  <c r="AA341" i="17"/>
  <c r="Z341" i="17" s="1"/>
  <c r="Y341" i="17" s="1"/>
  <c r="H341" i="17"/>
  <c r="G341" i="17"/>
  <c r="BZ341" i="6" s="1"/>
  <c r="G84" i="17"/>
  <c r="BZ84" i="6" s="1"/>
  <c r="H84" i="17"/>
  <c r="G283" i="17"/>
  <c r="BZ283" i="6" s="1"/>
  <c r="AA283" i="17"/>
  <c r="Z283" i="17" s="1"/>
  <c r="Y283" i="17" s="1"/>
  <c r="H283" i="17"/>
  <c r="G327" i="17"/>
  <c r="BZ327" i="6" s="1"/>
  <c r="AA327" i="17"/>
  <c r="Z327" i="17" s="1"/>
  <c r="Y327" i="17" s="1"/>
  <c r="H327" i="17"/>
  <c r="H49" i="17"/>
  <c r="G49" i="17"/>
  <c r="BZ49" i="6" s="1"/>
  <c r="AA49" i="17"/>
  <c r="Z49" i="17" s="1"/>
  <c r="Y49" i="17" s="1"/>
  <c r="AA73" i="17"/>
  <c r="Z73" i="17" s="1"/>
  <c r="Y73" i="17" s="1"/>
  <c r="G73" i="17"/>
  <c r="BZ73" i="6" s="1"/>
  <c r="H73" i="17"/>
  <c r="AA105" i="17"/>
  <c r="Z105" i="17" s="1"/>
  <c r="Y105" i="17" s="1"/>
  <c r="G105" i="17"/>
  <c r="BZ105" i="6" s="1"/>
  <c r="H105" i="17"/>
  <c r="AA120" i="17"/>
  <c r="Z120" i="17" s="1"/>
  <c r="Y120" i="17" s="1"/>
  <c r="G120" i="17"/>
  <c r="BZ120" i="6" s="1"/>
  <c r="H120" i="17"/>
  <c r="G132" i="17"/>
  <c r="BZ132" i="6" s="1"/>
  <c r="H132" i="17"/>
  <c r="G160" i="17"/>
  <c r="BZ160" i="6" s="1"/>
  <c r="AA160" i="17"/>
  <c r="Z160" i="17" s="1"/>
  <c r="Y160" i="17" s="1"/>
  <c r="H160" i="17"/>
  <c r="H188" i="17"/>
  <c r="G188" i="17"/>
  <c r="BZ188" i="6" s="1"/>
  <c r="H175" i="17"/>
  <c r="G175" i="17"/>
  <c r="BZ175" i="6" s="1"/>
  <c r="V379" i="17"/>
  <c r="F379" i="17" s="1"/>
  <c r="G17" i="17"/>
  <c r="BZ17" i="6" s="1"/>
  <c r="H17" i="17"/>
  <c r="G50" i="17"/>
  <c r="BZ50" i="6" s="1"/>
  <c r="AA50" i="17"/>
  <c r="Z50" i="17" s="1"/>
  <c r="Y50" i="17" s="1"/>
  <c r="H50" i="17"/>
  <c r="AA86" i="17"/>
  <c r="Z86" i="17" s="1"/>
  <c r="Y86" i="17" s="1"/>
  <c r="H86" i="17"/>
  <c r="G86" i="17"/>
  <c r="BZ86" i="6" s="1"/>
  <c r="G98" i="17"/>
  <c r="BZ98" i="6" s="1"/>
  <c r="H98" i="17"/>
  <c r="G226" i="17"/>
  <c r="BZ226" i="6" s="1"/>
  <c r="H226" i="17"/>
  <c r="G274" i="17"/>
  <c r="BZ274" i="6" s="1"/>
  <c r="AA274" i="17"/>
  <c r="Z274" i="17" s="1"/>
  <c r="Y274" i="17" s="1"/>
  <c r="H274" i="17"/>
  <c r="G302" i="17"/>
  <c r="BZ302" i="6" s="1"/>
  <c r="H302" i="17"/>
  <c r="AA358" i="17"/>
  <c r="Z358" i="17" s="1"/>
  <c r="Y358" i="17" s="1"/>
  <c r="G358" i="17"/>
  <c r="BZ358" i="6" s="1"/>
  <c r="H358" i="17"/>
  <c r="AA25" i="17"/>
  <c r="Z25" i="17" s="1"/>
  <c r="Y25" i="17" s="1"/>
  <c r="G25" i="17"/>
  <c r="BZ25" i="6" s="1"/>
  <c r="H25" i="17"/>
  <c r="AA249" i="17"/>
  <c r="Z249" i="17" s="1"/>
  <c r="Y249" i="17" s="1"/>
  <c r="H249" i="17"/>
  <c r="G249" i="17"/>
  <c r="BZ249" i="6" s="1"/>
  <c r="G76" i="17"/>
  <c r="BZ76" i="6" s="1"/>
  <c r="H76" i="17"/>
  <c r="G348" i="17"/>
  <c r="BZ348" i="6" s="1"/>
  <c r="AA348" i="17"/>
  <c r="Z348" i="17" s="1"/>
  <c r="Y348" i="17" s="1"/>
  <c r="H348" i="17"/>
  <c r="G19" i="17"/>
  <c r="BZ19" i="6" s="1"/>
  <c r="AA19" i="17"/>
  <c r="Z19" i="17" s="1"/>
  <c r="Y19" i="17" s="1"/>
  <c r="H19" i="17"/>
  <c r="G259" i="17"/>
  <c r="BZ259" i="6" s="1"/>
  <c r="H259" i="17"/>
  <c r="AA315" i="17"/>
  <c r="Z315" i="17" s="1"/>
  <c r="Y315" i="17" s="1"/>
  <c r="G315" i="17"/>
  <c r="BZ315" i="6" s="1"/>
  <c r="H315" i="17"/>
  <c r="AA33" i="17"/>
  <c r="Z33" i="17" s="1"/>
  <c r="Y33" i="17" s="1"/>
  <c r="G33" i="17"/>
  <c r="BZ33" i="6" s="1"/>
  <c r="H33" i="17"/>
  <c r="AA65" i="17"/>
  <c r="Z65" i="17" s="1"/>
  <c r="Y65" i="17" s="1"/>
  <c r="G65" i="17"/>
  <c r="BZ65" i="6" s="1"/>
  <c r="H65" i="17"/>
  <c r="AA89" i="17"/>
  <c r="Z89" i="17" s="1"/>
  <c r="Y89" i="17" s="1"/>
  <c r="H89" i="17"/>
  <c r="G89" i="17"/>
  <c r="BZ89" i="6" s="1"/>
  <c r="AA113" i="17"/>
  <c r="Z113" i="17" s="1"/>
  <c r="Y113" i="17" s="1"/>
  <c r="G113" i="17"/>
  <c r="BZ113" i="6" s="1"/>
  <c r="H113" i="17"/>
  <c r="I140" i="17"/>
  <c r="J140" i="17"/>
  <c r="J164" i="17"/>
  <c r="I164" i="17"/>
  <c r="I232" i="17"/>
  <c r="J232" i="17"/>
  <c r="I240" i="17"/>
  <c r="J240" i="17"/>
  <c r="G244" i="17"/>
  <c r="BZ244" i="6" s="1"/>
  <c r="H244" i="17"/>
  <c r="J332" i="17"/>
  <c r="I332" i="17"/>
  <c r="AA167" i="17"/>
  <c r="Z167" i="17" s="1"/>
  <c r="Y167" i="17" s="1"/>
  <c r="G167" i="17"/>
  <c r="BZ167" i="6" s="1"/>
  <c r="H167" i="17"/>
  <c r="I203" i="17"/>
  <c r="J203" i="17"/>
  <c r="I295" i="17"/>
  <c r="J295" i="17"/>
  <c r="J285" i="17"/>
  <c r="I285" i="17"/>
  <c r="I378" i="17"/>
  <c r="J378" i="17"/>
  <c r="AA134" i="17"/>
  <c r="Z134" i="17" s="1"/>
  <c r="Y134" i="17" s="1"/>
  <c r="G134" i="17"/>
  <c r="BZ134" i="6" s="1"/>
  <c r="H134" i="17"/>
  <c r="G378" i="17"/>
  <c r="BZ378" i="6" s="1"/>
  <c r="Z382" i="15"/>
  <c r="Y15" i="15"/>
  <c r="Z381" i="15"/>
  <c r="Z9" i="15"/>
  <c r="AL8" i="15"/>
  <c r="Z383" i="15"/>
  <c r="I381" i="15"/>
  <c r="I382" i="15"/>
  <c r="I383" i="15"/>
  <c r="AG15" i="7"/>
  <c r="Q10" i="20"/>
  <c r="AE42" i="20" s="1"/>
  <c r="AA181" i="17"/>
  <c r="Z181" i="17" s="1"/>
  <c r="Y181" i="17" s="1"/>
  <c r="G181" i="17"/>
  <c r="BZ181" i="6" s="1"/>
  <c r="H181" i="17"/>
  <c r="AA225" i="17"/>
  <c r="Z225" i="17" s="1"/>
  <c r="Y225" i="17" s="1"/>
  <c r="G225" i="17"/>
  <c r="BZ225" i="6" s="1"/>
  <c r="H225" i="17"/>
  <c r="J301" i="17"/>
  <c r="I301" i="17"/>
  <c r="G309" i="17"/>
  <c r="BZ309" i="6" s="1"/>
  <c r="AA309" i="17"/>
  <c r="Z309" i="17" s="1"/>
  <c r="Y309" i="17" s="1"/>
  <c r="H309" i="17"/>
  <c r="D349" i="18"/>
  <c r="E349" i="18" s="1"/>
  <c r="W349" i="18"/>
  <c r="G369" i="17"/>
  <c r="BZ369" i="6" s="1"/>
  <c r="H369" i="17"/>
  <c r="AE382" i="18"/>
  <c r="AE383" i="18"/>
  <c r="AE381" i="18"/>
  <c r="S378" i="18"/>
  <c r="R378" i="18" s="1"/>
  <c r="P378" i="18" s="1"/>
  <c r="V378" i="18" s="1"/>
  <c r="S280" i="18"/>
  <c r="R280" i="18" s="1"/>
  <c r="P280" i="18" s="1"/>
  <c r="V280" i="18" s="1"/>
  <c r="S234" i="18"/>
  <c r="R234" i="18" s="1"/>
  <c r="P234" i="18" s="1"/>
  <c r="V234" i="18" s="1"/>
  <c r="S202" i="18"/>
  <c r="R202" i="18" s="1"/>
  <c r="P202" i="18" s="1"/>
  <c r="V202" i="18" s="1"/>
  <c r="S190" i="18"/>
  <c r="R190" i="18" s="1"/>
  <c r="P190" i="18" s="1"/>
  <c r="V190" i="18" s="1"/>
  <c r="S174" i="18"/>
  <c r="R174" i="18" s="1"/>
  <c r="P174" i="18" s="1"/>
  <c r="V174" i="18" s="1"/>
  <c r="S146" i="18"/>
  <c r="R146" i="18" s="1"/>
  <c r="P146" i="18" s="1"/>
  <c r="V146" i="18" s="1"/>
  <c r="S124" i="18"/>
  <c r="R124" i="18" s="1"/>
  <c r="P124" i="18" s="1"/>
  <c r="V124" i="18" s="1"/>
  <c r="S80" i="18"/>
  <c r="R80" i="18" s="1"/>
  <c r="P80" i="18" s="1"/>
  <c r="V80" i="18" s="1"/>
  <c r="S62" i="18"/>
  <c r="R62" i="18" s="1"/>
  <c r="P62" i="18" s="1"/>
  <c r="V62" i="18" s="1"/>
  <c r="S46" i="18"/>
  <c r="R46" i="18" s="1"/>
  <c r="P46" i="18" s="1"/>
  <c r="V46" i="18" s="1"/>
  <c r="S20" i="18"/>
  <c r="R20" i="18" s="1"/>
  <c r="P20" i="18" s="1"/>
  <c r="V20" i="18" s="1"/>
  <c r="I299" i="17"/>
  <c r="J299" i="17"/>
  <c r="I52" i="17"/>
  <c r="J52" i="17"/>
  <c r="I93" i="17"/>
  <c r="J93" i="17"/>
  <c r="K7" i="7"/>
  <c r="B7" i="6"/>
  <c r="Q381" i="18"/>
  <c r="Q382" i="18"/>
  <c r="Q383" i="18"/>
  <c r="I28" i="17"/>
  <c r="J28" i="17"/>
  <c r="G18" i="17"/>
  <c r="BZ18" i="6" s="1"/>
  <c r="H18" i="17"/>
  <c r="G24" i="17"/>
  <c r="BZ24" i="6" s="1"/>
  <c r="H24" i="17"/>
  <c r="G52" i="17"/>
  <c r="BZ52" i="6" s="1"/>
  <c r="AA52" i="17"/>
  <c r="Z52" i="17" s="1"/>
  <c r="Y52" i="17" s="1"/>
  <c r="AA60" i="17"/>
  <c r="Z60" i="17" s="1"/>
  <c r="Y60" i="17" s="1"/>
  <c r="G60" i="17"/>
  <c r="BZ60" i="6" s="1"/>
  <c r="H288" i="17"/>
  <c r="G288" i="17"/>
  <c r="BZ288" i="6" s="1"/>
  <c r="AA288" i="17"/>
  <c r="Z288" i="17" s="1"/>
  <c r="Y288" i="17" s="1"/>
  <c r="H304" i="17"/>
  <c r="G304" i="17"/>
  <c r="BZ304" i="6" s="1"/>
  <c r="AA324" i="17"/>
  <c r="Z324" i="17" s="1"/>
  <c r="Y324" i="17" s="1"/>
  <c r="G324" i="17"/>
  <c r="BZ324" i="6" s="1"/>
  <c r="H324" i="17"/>
  <c r="J344" i="17"/>
  <c r="I344" i="17"/>
  <c r="AA123" i="17"/>
  <c r="Z123" i="17" s="1"/>
  <c r="Y123" i="17" s="1"/>
  <c r="G123" i="17"/>
  <c r="BZ123" i="6" s="1"/>
  <c r="H123" i="17"/>
  <c r="G271" i="17"/>
  <c r="BZ271" i="6" s="1"/>
  <c r="H271" i="17"/>
  <c r="AA287" i="17"/>
  <c r="Z287" i="17" s="1"/>
  <c r="Y287" i="17" s="1"/>
  <c r="G287" i="17"/>
  <c r="BZ287" i="6" s="1"/>
  <c r="H287" i="17"/>
  <c r="G299" i="17"/>
  <c r="BZ299" i="6" s="1"/>
  <c r="AA299" i="17"/>
  <c r="Z299" i="17" s="1"/>
  <c r="Y299" i="17" s="1"/>
  <c r="AA319" i="17"/>
  <c r="Z319" i="17" s="1"/>
  <c r="Y319" i="17" s="1"/>
  <c r="G319" i="17"/>
  <c r="BZ319" i="6" s="1"/>
  <c r="H319" i="17"/>
  <c r="AA331" i="17"/>
  <c r="Z331" i="17" s="1"/>
  <c r="Y331" i="17" s="1"/>
  <c r="H331" i="17"/>
  <c r="G331" i="17"/>
  <c r="BZ331" i="6" s="1"/>
  <c r="G339" i="17"/>
  <c r="BZ339" i="6" s="1"/>
  <c r="H339" i="17"/>
  <c r="AA339" i="17"/>
  <c r="Z339" i="17" s="1"/>
  <c r="Y339" i="17" s="1"/>
  <c r="G355" i="17"/>
  <c r="BZ355" i="6" s="1"/>
  <c r="AA355" i="17"/>
  <c r="Z355" i="17" s="1"/>
  <c r="Y355" i="17" s="1"/>
  <c r="H355" i="17"/>
  <c r="AA45" i="17"/>
  <c r="Z45" i="17" s="1"/>
  <c r="Y45" i="17" s="1"/>
  <c r="G45" i="17"/>
  <c r="BZ45" i="6" s="1"/>
  <c r="H45" i="17"/>
  <c r="AA61" i="17"/>
  <c r="Z61" i="17" s="1"/>
  <c r="Y61" i="17" s="1"/>
  <c r="G61" i="17"/>
  <c r="BZ61" i="6" s="1"/>
  <c r="H61" i="17"/>
  <c r="AA69" i="17"/>
  <c r="Z69" i="17" s="1"/>
  <c r="Y69" i="17" s="1"/>
  <c r="G69" i="17"/>
  <c r="BZ69" i="6" s="1"/>
  <c r="H69" i="17"/>
  <c r="AA85" i="17"/>
  <c r="Z85" i="17" s="1"/>
  <c r="Y85" i="17" s="1"/>
  <c r="G85" i="17"/>
  <c r="BZ85" i="6" s="1"/>
  <c r="H85" i="17"/>
  <c r="AA93" i="17"/>
  <c r="Z93" i="17" s="1"/>
  <c r="Y93" i="17" s="1"/>
  <c r="G93" i="17"/>
  <c r="BZ93" i="6" s="1"/>
  <c r="G117" i="17"/>
  <c r="BZ117" i="6" s="1"/>
  <c r="AA117" i="17"/>
  <c r="Z117" i="17" s="1"/>
  <c r="Y117" i="17" s="1"/>
  <c r="H117" i="17"/>
  <c r="G129" i="17"/>
  <c r="BZ129" i="6" s="1"/>
  <c r="AA129" i="17"/>
  <c r="Z129" i="17" s="1"/>
  <c r="Y129" i="17" s="1"/>
  <c r="H129" i="17"/>
  <c r="G141" i="17"/>
  <c r="BZ141" i="6" s="1"/>
  <c r="H141" i="17"/>
  <c r="AA141" i="17"/>
  <c r="Z141" i="17" s="1"/>
  <c r="Y141" i="17" s="1"/>
  <c r="AA20" i="17"/>
  <c r="Z20" i="17" s="1"/>
  <c r="Y20" i="17" s="1"/>
  <c r="G20" i="17"/>
  <c r="BZ20" i="6" s="1"/>
  <c r="H20" i="17"/>
  <c r="G28" i="17"/>
  <c r="BZ28" i="6" s="1"/>
  <c r="AA28" i="17"/>
  <c r="Z28" i="17" s="1"/>
  <c r="Y28" i="17" s="1"/>
  <c r="G40" i="17"/>
  <c r="BZ40" i="6" s="1"/>
  <c r="H40" i="17"/>
  <c r="AA80" i="17"/>
  <c r="Z80" i="17" s="1"/>
  <c r="Y80" i="17" s="1"/>
  <c r="G80" i="17"/>
  <c r="BZ80" i="6" s="1"/>
  <c r="H80" i="17"/>
  <c r="I204" i="17"/>
  <c r="J204" i="17"/>
  <c r="J320" i="17"/>
  <c r="I320" i="17"/>
  <c r="I368" i="17"/>
  <c r="J368" i="17"/>
  <c r="I75" i="17"/>
  <c r="J75" i="17"/>
  <c r="H127" i="17"/>
  <c r="G127" i="17"/>
  <c r="BZ127" i="6" s="1"/>
  <c r="AA343" i="17"/>
  <c r="Z343" i="17" s="1"/>
  <c r="Y343" i="17" s="1"/>
  <c r="H343" i="17"/>
  <c r="G343" i="17"/>
  <c r="BZ343" i="6" s="1"/>
  <c r="G359" i="17"/>
  <c r="BZ359" i="6" s="1"/>
  <c r="AA359" i="17"/>
  <c r="Z359" i="17" s="1"/>
  <c r="Y359" i="17" s="1"/>
  <c r="H359" i="17"/>
  <c r="G96" i="17"/>
  <c r="BZ96" i="6" s="1"/>
  <c r="H96" i="17"/>
  <c r="AA96" i="17"/>
  <c r="Z96" i="17" s="1"/>
  <c r="Y96" i="17" s="1"/>
  <c r="G100" i="17"/>
  <c r="BZ100" i="6" s="1"/>
  <c r="H100" i="17"/>
  <c r="AA104" i="17"/>
  <c r="Z104" i="17" s="1"/>
  <c r="Y104" i="17" s="1"/>
  <c r="G104" i="17"/>
  <c r="BZ104" i="6" s="1"/>
  <c r="H104" i="17"/>
  <c r="AA112" i="17"/>
  <c r="Z112" i="17" s="1"/>
  <c r="Y112" i="17" s="1"/>
  <c r="G112" i="17"/>
  <c r="BZ112" i="6" s="1"/>
  <c r="H112" i="17"/>
  <c r="G124" i="17"/>
  <c r="BZ124" i="6" s="1"/>
  <c r="H124" i="17"/>
  <c r="AA144" i="17"/>
  <c r="Z144" i="17" s="1"/>
  <c r="Y144" i="17" s="1"/>
  <c r="H144" i="17"/>
  <c r="G144" i="17"/>
  <c r="BZ144" i="6" s="1"/>
  <c r="G148" i="17"/>
  <c r="BZ148" i="6" s="1"/>
  <c r="H148" i="17"/>
  <c r="G168" i="17"/>
  <c r="BZ168" i="6" s="1"/>
  <c r="H168" i="17"/>
  <c r="AA168" i="17"/>
  <c r="Z168" i="17" s="1"/>
  <c r="Y168" i="17" s="1"/>
  <c r="G172" i="17"/>
  <c r="BZ172" i="6" s="1"/>
  <c r="G180" i="17"/>
  <c r="BZ180" i="6" s="1"/>
  <c r="AA184" i="17"/>
  <c r="Z184" i="17" s="1"/>
  <c r="Y184" i="17" s="1"/>
  <c r="G184" i="17"/>
  <c r="BZ184" i="6" s="1"/>
  <c r="G212" i="17"/>
  <c r="BZ212" i="6" s="1"/>
  <c r="H212" i="17"/>
  <c r="H252" i="17"/>
  <c r="G252" i="17"/>
  <c r="BZ252" i="6" s="1"/>
  <c r="J209" i="17"/>
  <c r="I209" i="17"/>
  <c r="G23" i="17"/>
  <c r="BZ23" i="6" s="1"/>
  <c r="H23" i="17"/>
  <c r="G35" i="17"/>
  <c r="BZ35" i="6" s="1"/>
  <c r="H35" i="17"/>
  <c r="AA39" i="17"/>
  <c r="Z39" i="17" s="1"/>
  <c r="Y39" i="17" s="1"/>
  <c r="G39" i="17"/>
  <c r="BZ39" i="6" s="1"/>
  <c r="H39" i="17"/>
  <c r="G63" i="17"/>
  <c r="BZ63" i="6" s="1"/>
  <c r="AA63" i="17"/>
  <c r="Z63" i="17" s="1"/>
  <c r="Y63" i="17" s="1"/>
  <c r="H63" i="17"/>
  <c r="G67" i="17"/>
  <c r="BZ67" i="6" s="1"/>
  <c r="H67" i="17"/>
  <c r="AA83" i="17"/>
  <c r="Z83" i="17" s="1"/>
  <c r="Y83" i="17" s="1"/>
  <c r="G83" i="17"/>
  <c r="BZ83" i="6" s="1"/>
  <c r="H83" i="17"/>
  <c r="G99" i="17"/>
  <c r="BZ99" i="6" s="1"/>
  <c r="H99" i="17"/>
  <c r="G103" i="17"/>
  <c r="BZ103" i="6" s="1"/>
  <c r="AA103" i="17"/>
  <c r="Z103" i="17" s="1"/>
  <c r="Y103" i="17" s="1"/>
  <c r="G107" i="17"/>
  <c r="BZ107" i="6" s="1"/>
  <c r="H107" i="17"/>
  <c r="H151" i="17"/>
  <c r="G151" i="17"/>
  <c r="BZ151" i="6" s="1"/>
  <c r="G195" i="17"/>
  <c r="BZ195" i="6" s="1"/>
  <c r="H195" i="17"/>
  <c r="AA211" i="17"/>
  <c r="Z211" i="17" s="1"/>
  <c r="Y211" i="17" s="1"/>
  <c r="H211" i="17"/>
  <c r="G211" i="17"/>
  <c r="BZ211" i="6" s="1"/>
  <c r="I215" i="17"/>
  <c r="J215" i="17"/>
  <c r="J239" i="17"/>
  <c r="I239" i="17"/>
  <c r="J323" i="17"/>
  <c r="I323" i="17"/>
  <c r="G371" i="17"/>
  <c r="BZ371" i="6" s="1"/>
  <c r="H371" i="17"/>
  <c r="G375" i="17"/>
  <c r="BZ375" i="6" s="1"/>
  <c r="AA375" i="17"/>
  <c r="Z375" i="17" s="1"/>
  <c r="Y375" i="17" s="1"/>
  <c r="H375" i="17"/>
  <c r="J217" i="17"/>
  <c r="I217" i="17"/>
  <c r="J60" i="17"/>
  <c r="I60" i="17"/>
  <c r="AA34" i="17"/>
  <c r="Z34" i="17" s="1"/>
  <c r="Y34" i="17" s="1"/>
  <c r="G34" i="17"/>
  <c r="BZ34" i="6" s="1"/>
  <c r="H34" i="17"/>
  <c r="G58" i="17"/>
  <c r="BZ58" i="6" s="1"/>
  <c r="H58" i="17"/>
  <c r="G62" i="17"/>
  <c r="BZ62" i="6" s="1"/>
  <c r="AA62" i="17"/>
  <c r="Z62" i="17" s="1"/>
  <c r="Y62" i="17" s="1"/>
  <c r="H62" i="17"/>
  <c r="G66" i="17"/>
  <c r="BZ66" i="6" s="1"/>
  <c r="H66" i="17"/>
  <c r="AA70" i="17"/>
  <c r="Z70" i="17" s="1"/>
  <c r="Y70" i="17" s="1"/>
  <c r="G70" i="17"/>
  <c r="BZ70" i="6" s="1"/>
  <c r="H70" i="17"/>
  <c r="H74" i="17"/>
  <c r="G74" i="17"/>
  <c r="BZ74" i="6" s="1"/>
  <c r="AA78" i="17"/>
  <c r="Z78" i="17" s="1"/>
  <c r="Y78" i="17" s="1"/>
  <c r="H78" i="17"/>
  <c r="G78" i="17"/>
  <c r="BZ78" i="6" s="1"/>
  <c r="G122" i="17"/>
  <c r="BZ122" i="6" s="1"/>
  <c r="H122" i="17"/>
  <c r="G142" i="17"/>
  <c r="BZ142" i="6" s="1"/>
  <c r="AA142" i="17"/>
  <c r="Z142" i="17" s="1"/>
  <c r="Y142" i="17" s="1"/>
  <c r="H142" i="17"/>
  <c r="J150" i="17"/>
  <c r="I150" i="17"/>
  <c r="G162" i="17"/>
  <c r="BZ162" i="6" s="1"/>
  <c r="H162" i="17"/>
  <c r="J214" i="17"/>
  <c r="I214" i="17"/>
  <c r="AA238" i="17"/>
  <c r="Z238" i="17" s="1"/>
  <c r="Y238" i="17" s="1"/>
  <c r="G238" i="17"/>
  <c r="BZ238" i="6" s="1"/>
  <c r="H238" i="17"/>
  <c r="G242" i="17"/>
  <c r="BZ242" i="6" s="1"/>
  <c r="H242" i="17"/>
  <c r="G250" i="17"/>
  <c r="BZ250" i="6" s="1"/>
  <c r="H250" i="17"/>
  <c r="G254" i="17"/>
  <c r="BZ254" i="6" s="1"/>
  <c r="H254" i="17"/>
  <c r="AA254" i="17"/>
  <c r="Z254" i="17" s="1"/>
  <c r="Y254" i="17" s="1"/>
  <c r="G258" i="17"/>
  <c r="BZ258" i="6" s="1"/>
  <c r="H258" i="17"/>
  <c r="G286" i="17"/>
  <c r="BZ286" i="6" s="1"/>
  <c r="H286" i="17"/>
  <c r="AA294" i="17"/>
  <c r="Z294" i="17" s="1"/>
  <c r="Y294" i="17" s="1"/>
  <c r="G294" i="17"/>
  <c r="BZ294" i="6" s="1"/>
  <c r="H294" i="17"/>
  <c r="G310" i="17"/>
  <c r="BZ310" i="6" s="1"/>
  <c r="H310" i="17"/>
  <c r="AA310" i="17"/>
  <c r="Z310" i="17" s="1"/>
  <c r="Y310" i="17" s="1"/>
  <c r="G314" i="17"/>
  <c r="BZ314" i="6" s="1"/>
  <c r="H314" i="17"/>
  <c r="G338" i="17"/>
  <c r="BZ338" i="6" s="1"/>
  <c r="AA338" i="17"/>
  <c r="Z338" i="17" s="1"/>
  <c r="Y338" i="17" s="1"/>
  <c r="H338" i="17"/>
  <c r="G342" i="17"/>
  <c r="BZ342" i="6" s="1"/>
  <c r="H342" i="17"/>
  <c r="AA342" i="17"/>
  <c r="Z342" i="17" s="1"/>
  <c r="Y342" i="17" s="1"/>
  <c r="G370" i="17"/>
  <c r="BZ370" i="6" s="1"/>
  <c r="H370" i="17"/>
  <c r="AA370" i="17"/>
  <c r="Z370" i="17" s="1"/>
  <c r="Y370" i="17" s="1"/>
  <c r="AA374" i="17"/>
  <c r="Z374" i="17" s="1"/>
  <c r="Y374" i="17" s="1"/>
  <c r="H374" i="17"/>
  <c r="G374" i="17"/>
  <c r="BZ374" i="6" s="1"/>
  <c r="J381" i="15"/>
  <c r="J382" i="15"/>
  <c r="J383" i="15"/>
  <c r="J157" i="17"/>
  <c r="I157" i="17"/>
  <c r="G193" i="17"/>
  <c r="BZ193" i="6" s="1"/>
  <c r="H193" i="17"/>
  <c r="AA193" i="17"/>
  <c r="Z193" i="17" s="1"/>
  <c r="Y193" i="17" s="1"/>
  <c r="G229" i="17"/>
  <c r="BZ229" i="6" s="1"/>
  <c r="AA229" i="17"/>
  <c r="Z229" i="17" s="1"/>
  <c r="Y229" i="17" s="1"/>
  <c r="H229" i="17"/>
  <c r="G237" i="17"/>
  <c r="BZ237" i="6" s="1"/>
  <c r="AA237" i="17"/>
  <c r="Z237" i="17" s="1"/>
  <c r="Y237" i="17" s="1"/>
  <c r="H237" i="17"/>
  <c r="G253" i="17"/>
  <c r="BZ253" i="6" s="1"/>
  <c r="AA253" i="17"/>
  <c r="Z253" i="17" s="1"/>
  <c r="Y253" i="17" s="1"/>
  <c r="H253" i="17"/>
  <c r="G281" i="17"/>
  <c r="BZ281" i="6" s="1"/>
  <c r="H281" i="17"/>
  <c r="G313" i="17"/>
  <c r="BZ313" i="6" s="1"/>
  <c r="H313" i="17"/>
  <c r="G317" i="17"/>
  <c r="BZ317" i="6" s="1"/>
  <c r="H317" i="17"/>
  <c r="AA317" i="17"/>
  <c r="Z317" i="17" s="1"/>
  <c r="Y317" i="17" s="1"/>
  <c r="G325" i="17"/>
  <c r="BZ325" i="6" s="1"/>
  <c r="H325" i="17"/>
  <c r="AA325" i="17"/>
  <c r="Z325" i="17" s="1"/>
  <c r="Y325" i="17" s="1"/>
  <c r="I329" i="17"/>
  <c r="J329" i="17"/>
  <c r="G353" i="17"/>
  <c r="BZ353" i="6" s="1"/>
  <c r="H353" i="17"/>
  <c r="I361" i="17"/>
  <c r="J361" i="17"/>
  <c r="J373" i="17"/>
  <c r="I373" i="17"/>
  <c r="G377" i="17"/>
  <c r="BZ377" i="6" s="1"/>
  <c r="H377" i="17"/>
  <c r="U12" i="20"/>
  <c r="T379" i="18"/>
  <c r="S379" i="18" s="1"/>
  <c r="R379" i="18" s="1"/>
  <c r="P379" i="18" s="1"/>
  <c r="D373" i="18"/>
  <c r="E373" i="18" s="1"/>
  <c r="W373" i="18"/>
  <c r="S369" i="18"/>
  <c r="R369" i="18" s="1"/>
  <c r="P369" i="18" s="1"/>
  <c r="V369" i="18" s="1"/>
  <c r="S363" i="18"/>
  <c r="R363" i="18" s="1"/>
  <c r="P363" i="18" s="1"/>
  <c r="S357" i="18"/>
  <c r="R357" i="18" s="1"/>
  <c r="P357" i="18" s="1"/>
  <c r="V357" i="18" s="1"/>
  <c r="S353" i="18"/>
  <c r="R353" i="18" s="1"/>
  <c r="P353" i="18" s="1"/>
  <c r="V353" i="18" s="1"/>
  <c r="S345" i="18"/>
  <c r="R345" i="18" s="1"/>
  <c r="P345" i="18" s="1"/>
  <c r="V345" i="18" s="1"/>
  <c r="S323" i="18"/>
  <c r="R323" i="18" s="1"/>
  <c r="P323" i="18" s="1"/>
  <c r="V323" i="18" s="1"/>
  <c r="S315" i="18"/>
  <c r="R315" i="18" s="1"/>
  <c r="P315" i="18" s="1"/>
  <c r="V315" i="18" s="1"/>
  <c r="S311" i="18"/>
  <c r="R311" i="18" s="1"/>
  <c r="P311" i="18" s="1"/>
  <c r="V311" i="18" s="1"/>
  <c r="S303" i="18"/>
  <c r="R303" i="18" s="1"/>
  <c r="P303" i="18" s="1"/>
  <c r="V303" i="18" s="1"/>
  <c r="W301" i="18"/>
  <c r="D301" i="18"/>
  <c r="E301" i="18" s="1"/>
  <c r="S293" i="18"/>
  <c r="R293" i="18" s="1"/>
  <c r="P293" i="18" s="1"/>
  <c r="V293" i="18" s="1"/>
  <c r="S289" i="18"/>
  <c r="R289" i="18" s="1"/>
  <c r="P289" i="18" s="1"/>
  <c r="V289" i="18" s="1"/>
  <c r="D285" i="18"/>
  <c r="E285" i="18" s="1"/>
  <c r="W285" i="18"/>
  <c r="S279" i="18"/>
  <c r="R279" i="18" s="1"/>
  <c r="P279" i="18" s="1"/>
  <c r="V279" i="18" s="1"/>
  <c r="S275" i="18"/>
  <c r="R275" i="18" s="1"/>
  <c r="P275" i="18" s="1"/>
  <c r="V275" i="18" s="1"/>
  <c r="S267" i="18"/>
  <c r="R267" i="18" s="1"/>
  <c r="P267" i="18" s="1"/>
  <c r="V267" i="18" s="1"/>
  <c r="S263" i="18"/>
  <c r="R263" i="18" s="1"/>
  <c r="P263" i="18" s="1"/>
  <c r="V263" i="18" s="1"/>
  <c r="S261" i="18"/>
  <c r="R261" i="18" s="1"/>
  <c r="P261" i="18" s="1"/>
  <c r="V261" i="18" s="1"/>
  <c r="S257" i="18"/>
  <c r="R257" i="18" s="1"/>
  <c r="P257" i="18" s="1"/>
  <c r="V257" i="18" s="1"/>
  <c r="S245" i="18"/>
  <c r="R245" i="18" s="1"/>
  <c r="P245" i="18" s="1"/>
  <c r="V245" i="18" s="1"/>
  <c r="S233" i="18"/>
  <c r="R233" i="18" s="1"/>
  <c r="P233" i="18" s="1"/>
  <c r="V233" i="18" s="1"/>
  <c r="S227" i="18"/>
  <c r="R227" i="18" s="1"/>
  <c r="P227" i="18" s="1"/>
  <c r="V227" i="18" s="1"/>
  <c r="W217" i="18"/>
  <c r="D217" i="18"/>
  <c r="E217" i="18" s="1"/>
  <c r="D213" i="18"/>
  <c r="E213" i="18" s="1"/>
  <c r="W213" i="18"/>
  <c r="W209" i="18"/>
  <c r="D209" i="18"/>
  <c r="E209" i="18" s="1"/>
  <c r="D201" i="18"/>
  <c r="E201" i="18" s="1"/>
  <c r="W201" i="18"/>
  <c r="D197" i="18"/>
  <c r="E197" i="18" s="1"/>
  <c r="W197" i="18"/>
  <c r="S195" i="18"/>
  <c r="R195" i="18" s="1"/>
  <c r="P195" i="18" s="1"/>
  <c r="V195" i="18" s="1"/>
  <c r="W189" i="18"/>
  <c r="D189" i="18"/>
  <c r="E189" i="18" s="1"/>
  <c r="S181" i="18"/>
  <c r="R181" i="18" s="1"/>
  <c r="P181" i="18" s="1"/>
  <c r="V181" i="18" s="1"/>
  <c r="S179" i="18"/>
  <c r="R179" i="18" s="1"/>
  <c r="P179" i="18" s="1"/>
  <c r="V179" i="18" s="1"/>
  <c r="D177" i="18"/>
  <c r="E177" i="18" s="1"/>
  <c r="W177" i="18"/>
  <c r="S171" i="18"/>
  <c r="R171" i="18" s="1"/>
  <c r="P171" i="18" s="1"/>
  <c r="V171" i="18" s="1"/>
  <c r="D169" i="18"/>
  <c r="E169" i="18" s="1"/>
  <c r="W169" i="18"/>
  <c r="S163" i="18"/>
  <c r="R163" i="18" s="1"/>
  <c r="P163" i="18" s="1"/>
  <c r="V163" i="18" s="1"/>
  <c r="S155" i="18"/>
  <c r="R155" i="18" s="1"/>
  <c r="P155" i="18" s="1"/>
  <c r="V155" i="18" s="1"/>
  <c r="S147" i="18"/>
  <c r="R147" i="18" s="1"/>
  <c r="P147" i="18" s="1"/>
  <c r="V147" i="18" s="1"/>
  <c r="D145" i="18"/>
  <c r="E145" i="18" s="1"/>
  <c r="W145" i="18"/>
  <c r="S133" i="18"/>
  <c r="R133" i="18" s="1"/>
  <c r="P133" i="18" s="1"/>
  <c r="V133" i="18" s="1"/>
  <c r="D125" i="18"/>
  <c r="E125" i="18" s="1"/>
  <c r="W125" i="18"/>
  <c r="W101" i="18"/>
  <c r="D101" i="18"/>
  <c r="E101" i="18" s="1"/>
  <c r="S97" i="18"/>
  <c r="R97" i="18" s="1"/>
  <c r="P97" i="18" s="1"/>
  <c r="V97" i="18" s="1"/>
  <c r="W91" i="18"/>
  <c r="D81" i="18"/>
  <c r="E81" i="18" s="1"/>
  <c r="W81" i="18"/>
  <c r="S79" i="18"/>
  <c r="R79" i="18" s="1"/>
  <c r="P79" i="18" s="1"/>
  <c r="V79" i="18" s="1"/>
  <c r="W77" i="18"/>
  <c r="D77" i="18"/>
  <c r="E77" i="18" s="1"/>
  <c r="S57" i="18"/>
  <c r="R57" i="18" s="1"/>
  <c r="P57" i="18" s="1"/>
  <c r="V57" i="18" s="1"/>
  <c r="S51" i="18"/>
  <c r="R51" i="18" s="1"/>
  <c r="P51" i="18" s="1"/>
  <c r="V51" i="18" s="1"/>
  <c r="S39" i="18"/>
  <c r="R39" i="18" s="1"/>
  <c r="P39" i="18" s="1"/>
  <c r="V39" i="18" s="1"/>
  <c r="S37" i="18"/>
  <c r="R37" i="18" s="1"/>
  <c r="P37" i="18" s="1"/>
  <c r="V37" i="18" s="1"/>
  <c r="H172" i="17"/>
  <c r="H103" i="17"/>
  <c r="F352" i="17"/>
  <c r="G255" i="17"/>
  <c r="BZ255" i="6" s="1"/>
  <c r="H255" i="17"/>
  <c r="G263" i="17"/>
  <c r="BZ263" i="6" s="1"/>
  <c r="H263" i="17"/>
  <c r="G279" i="17"/>
  <c r="BZ279" i="6" s="1"/>
  <c r="AA279" i="17"/>
  <c r="Z279" i="17" s="1"/>
  <c r="Y279" i="17" s="1"/>
  <c r="H279" i="17"/>
  <c r="AA311" i="17"/>
  <c r="Z311" i="17" s="1"/>
  <c r="Y311" i="17" s="1"/>
  <c r="G311" i="17"/>
  <c r="BZ311" i="6" s="1"/>
  <c r="H311" i="17"/>
  <c r="F194" i="17"/>
  <c r="J236" i="17"/>
  <c r="I236" i="17"/>
  <c r="I328" i="17"/>
  <c r="J328" i="17"/>
  <c r="G340" i="17"/>
  <c r="BZ340" i="6" s="1"/>
  <c r="H340" i="17"/>
  <c r="I159" i="17"/>
  <c r="J159" i="17"/>
  <c r="F247" i="17"/>
  <c r="I335" i="17"/>
  <c r="J335" i="17"/>
  <c r="G170" i="17"/>
  <c r="BZ170" i="6" s="1"/>
  <c r="H170" i="17"/>
  <c r="H186" i="17"/>
  <c r="G186" i="17"/>
  <c r="BZ186" i="6" s="1"/>
  <c r="I268" i="17" l="1"/>
  <c r="J268" i="17"/>
  <c r="J356" i="17"/>
  <c r="P85" i="18"/>
  <c r="V85" i="18" s="1"/>
  <c r="I218" i="17"/>
  <c r="J218" i="17"/>
  <c r="J360" i="17"/>
  <c r="I360" i="17"/>
  <c r="P149" i="18"/>
  <c r="D72" i="7" s="1"/>
  <c r="AA345" i="17"/>
  <c r="Z345" i="17" s="1"/>
  <c r="Y345" i="17" s="1"/>
  <c r="H345" i="17"/>
  <c r="G345" i="17"/>
  <c r="BZ345" i="6" s="1"/>
  <c r="AA305" i="17"/>
  <c r="Z305" i="17" s="1"/>
  <c r="Y305" i="17" s="1"/>
  <c r="H305" i="17"/>
  <c r="G305" i="17"/>
  <c r="BZ305" i="6" s="1"/>
  <c r="AA273" i="17"/>
  <c r="Z273" i="17" s="1"/>
  <c r="Y273" i="17" s="1"/>
  <c r="H273" i="17"/>
  <c r="G273" i="17"/>
  <c r="BZ273" i="6" s="1"/>
  <c r="H257" i="17"/>
  <c r="G257" i="17"/>
  <c r="BZ257" i="6" s="1"/>
  <c r="AA257" i="17"/>
  <c r="Z257" i="17" s="1"/>
  <c r="Y257" i="17" s="1"/>
  <c r="H201" i="17"/>
  <c r="G201" i="17"/>
  <c r="BZ201" i="6" s="1"/>
  <c r="AA201" i="17"/>
  <c r="Z201" i="17" s="1"/>
  <c r="Y201" i="17" s="1"/>
  <c r="G177" i="17"/>
  <c r="BZ177" i="6" s="1"/>
  <c r="AA177" i="17"/>
  <c r="Z177" i="17" s="1"/>
  <c r="Y177" i="17" s="1"/>
  <c r="H177" i="17"/>
  <c r="H153" i="17"/>
  <c r="AA153" i="17"/>
  <c r="Z153" i="17" s="1"/>
  <c r="Y153" i="17" s="1"/>
  <c r="G153" i="17"/>
  <c r="BZ153" i="6" s="1"/>
  <c r="AA137" i="17"/>
  <c r="Z137" i="17" s="1"/>
  <c r="Y137" i="17" s="1"/>
  <c r="G137" i="17"/>
  <c r="BZ137" i="6" s="1"/>
  <c r="H137" i="17"/>
  <c r="AA97" i="17"/>
  <c r="Z97" i="17" s="1"/>
  <c r="Y97" i="17" s="1"/>
  <c r="H97" i="17"/>
  <c r="G97" i="17"/>
  <c r="BZ97" i="6" s="1"/>
  <c r="G57" i="17"/>
  <c r="BZ57" i="6" s="1"/>
  <c r="H57" i="17"/>
  <c r="AA57" i="17"/>
  <c r="Z57" i="17" s="1"/>
  <c r="Y57" i="17" s="1"/>
  <c r="V16" i="17"/>
  <c r="F16" i="17" s="1"/>
  <c r="G350" i="17"/>
  <c r="BZ350" i="6" s="1"/>
  <c r="AA350" i="17"/>
  <c r="Z350" i="17" s="1"/>
  <c r="Y350" i="17" s="1"/>
  <c r="H326" i="17"/>
  <c r="G326" i="17"/>
  <c r="BZ326" i="6" s="1"/>
  <c r="AA326" i="17"/>
  <c r="Z326" i="17" s="1"/>
  <c r="Y326" i="17" s="1"/>
  <c r="AA262" i="17"/>
  <c r="Z262" i="17" s="1"/>
  <c r="Y262" i="17" s="1"/>
  <c r="G262" i="17"/>
  <c r="BZ262" i="6" s="1"/>
  <c r="H262" i="17"/>
  <c r="H351" i="17"/>
  <c r="G351" i="17"/>
  <c r="BZ351" i="6" s="1"/>
  <c r="AA351" i="17"/>
  <c r="Z351" i="17" s="1"/>
  <c r="Y351" i="17" s="1"/>
  <c r="AA295" i="17"/>
  <c r="Z295" i="17" s="1"/>
  <c r="Y295" i="17" s="1"/>
  <c r="G295" i="17"/>
  <c r="BZ295" i="6" s="1"/>
  <c r="G231" i="17"/>
  <c r="BZ231" i="6" s="1"/>
  <c r="AA231" i="17"/>
  <c r="Z231" i="17" s="1"/>
  <c r="Y231" i="17" s="1"/>
  <c r="H231" i="17"/>
  <c r="AA207" i="17"/>
  <c r="Z207" i="17" s="1"/>
  <c r="Y207" i="17" s="1"/>
  <c r="G207" i="17"/>
  <c r="BZ207" i="6" s="1"/>
  <c r="H207" i="17"/>
  <c r="H143" i="17"/>
  <c r="G143" i="17"/>
  <c r="BZ143" i="6" s="1"/>
  <c r="AA143" i="17"/>
  <c r="Z143" i="17" s="1"/>
  <c r="Y143" i="17" s="1"/>
  <c r="V119" i="17"/>
  <c r="D59" i="7"/>
  <c r="AA95" i="17"/>
  <c r="Z95" i="17" s="1"/>
  <c r="Y95" i="17" s="1"/>
  <c r="G95" i="17"/>
  <c r="BZ95" i="6" s="1"/>
  <c r="H95" i="17"/>
  <c r="H79" i="17"/>
  <c r="AA79" i="17"/>
  <c r="Z79" i="17" s="1"/>
  <c r="Y79" i="17" s="1"/>
  <c r="G79" i="17"/>
  <c r="BZ79" i="6" s="1"/>
  <c r="AA55" i="17"/>
  <c r="Z55" i="17" s="1"/>
  <c r="Y55" i="17" s="1"/>
  <c r="G55" i="17"/>
  <c r="BZ55" i="6" s="1"/>
  <c r="H55" i="17"/>
  <c r="H372" i="17"/>
  <c r="AA372" i="17"/>
  <c r="Z372" i="17" s="1"/>
  <c r="Y372" i="17" s="1"/>
  <c r="G372" i="17"/>
  <c r="BZ372" i="6" s="1"/>
  <c r="H316" i="17"/>
  <c r="G316" i="17"/>
  <c r="BZ316" i="6" s="1"/>
  <c r="AA292" i="17"/>
  <c r="Z292" i="17" s="1"/>
  <c r="Y292" i="17" s="1"/>
  <c r="H292" i="17"/>
  <c r="G292" i="17"/>
  <c r="BZ292" i="6" s="1"/>
  <c r="G276" i="17"/>
  <c r="BZ276" i="6" s="1"/>
  <c r="AA276" i="17"/>
  <c r="Z276" i="17" s="1"/>
  <c r="Y276" i="17" s="1"/>
  <c r="H206" i="17"/>
  <c r="G206" i="17"/>
  <c r="BZ206" i="6" s="1"/>
  <c r="AA206" i="17"/>
  <c r="Z206" i="17" s="1"/>
  <c r="Y206" i="17" s="1"/>
  <c r="AA190" i="17"/>
  <c r="Z190" i="17" s="1"/>
  <c r="Y190" i="17" s="1"/>
  <c r="G190" i="17"/>
  <c r="BZ190" i="6" s="1"/>
  <c r="H190" i="17"/>
  <c r="V174" i="17"/>
  <c r="F174" i="17"/>
  <c r="H158" i="17"/>
  <c r="AA158" i="17"/>
  <c r="Z158" i="17" s="1"/>
  <c r="Y158" i="17" s="1"/>
  <c r="G158" i="17"/>
  <c r="BZ158" i="6" s="1"/>
  <c r="H118" i="17"/>
  <c r="G118" i="17"/>
  <c r="BZ118" i="6" s="1"/>
  <c r="AA118" i="17"/>
  <c r="Z118" i="17" s="1"/>
  <c r="Y118" i="17" s="1"/>
  <c r="G102" i="17"/>
  <c r="BZ102" i="6" s="1"/>
  <c r="H102" i="17"/>
  <c r="AA102" i="17"/>
  <c r="Z102" i="17" s="1"/>
  <c r="Y102" i="17" s="1"/>
  <c r="G54" i="17"/>
  <c r="BZ54" i="6" s="1"/>
  <c r="AA54" i="17"/>
  <c r="Z54" i="17" s="1"/>
  <c r="Y54" i="17" s="1"/>
  <c r="H54" i="17"/>
  <c r="AA38" i="17"/>
  <c r="Z38" i="17" s="1"/>
  <c r="Y38" i="17" s="1"/>
  <c r="H38" i="17"/>
  <c r="G38" i="17"/>
  <c r="BZ38" i="6" s="1"/>
  <c r="V22" i="17"/>
  <c r="F22" i="17" s="1"/>
  <c r="G220" i="17"/>
  <c r="BZ220" i="6" s="1"/>
  <c r="AA220" i="17"/>
  <c r="Z220" i="17" s="1"/>
  <c r="Y220" i="17" s="1"/>
  <c r="H220" i="17"/>
  <c r="AA156" i="17"/>
  <c r="Z156" i="17" s="1"/>
  <c r="Y156" i="17" s="1"/>
  <c r="G156" i="17"/>
  <c r="BZ156" i="6" s="1"/>
  <c r="H156" i="17"/>
  <c r="AA108" i="17"/>
  <c r="Z108" i="17" s="1"/>
  <c r="Y108" i="17" s="1"/>
  <c r="H108" i="17"/>
  <c r="G108" i="17"/>
  <c r="BZ108" i="6" s="1"/>
  <c r="H68" i="17"/>
  <c r="G68" i="17"/>
  <c r="BZ68" i="6" s="1"/>
  <c r="AA68" i="17"/>
  <c r="Z68" i="17" s="1"/>
  <c r="Y68" i="17" s="1"/>
  <c r="G36" i="17"/>
  <c r="BZ36" i="6" s="1"/>
  <c r="H36" i="17"/>
  <c r="AA36" i="17"/>
  <c r="Z36" i="17" s="1"/>
  <c r="Y36" i="17" s="1"/>
  <c r="H276" i="17"/>
  <c r="AA316" i="17"/>
  <c r="Z316" i="17" s="1"/>
  <c r="Y316" i="17" s="1"/>
  <c r="G357" i="17"/>
  <c r="BZ357" i="6" s="1"/>
  <c r="AA357" i="17"/>
  <c r="Z357" i="17" s="1"/>
  <c r="Y357" i="17" s="1"/>
  <c r="H357" i="17"/>
  <c r="D66" i="7"/>
  <c r="V333" i="17"/>
  <c r="AA269" i="17"/>
  <c r="Z269" i="17" s="1"/>
  <c r="Y269" i="17" s="1"/>
  <c r="G269" i="17"/>
  <c r="BZ269" i="6" s="1"/>
  <c r="H269" i="17"/>
  <c r="V245" i="17"/>
  <c r="F245" i="17" s="1"/>
  <c r="G213" i="17"/>
  <c r="BZ213" i="6" s="1"/>
  <c r="AA213" i="17"/>
  <c r="Z213" i="17" s="1"/>
  <c r="Y213" i="17" s="1"/>
  <c r="H213" i="17"/>
  <c r="G197" i="17"/>
  <c r="BZ197" i="6" s="1"/>
  <c r="H197" i="17"/>
  <c r="AA197" i="17"/>
  <c r="Z197" i="17" s="1"/>
  <c r="Y197" i="17" s="1"/>
  <c r="H173" i="17"/>
  <c r="AA173" i="17"/>
  <c r="Z173" i="17" s="1"/>
  <c r="Y173" i="17" s="1"/>
  <c r="G173" i="17"/>
  <c r="BZ173" i="6" s="1"/>
  <c r="D60" i="7"/>
  <c r="V149" i="17"/>
  <c r="G125" i="17"/>
  <c r="BZ125" i="6" s="1"/>
  <c r="H125" i="17"/>
  <c r="AA125" i="17"/>
  <c r="Z125" i="17" s="1"/>
  <c r="Y125" i="17" s="1"/>
  <c r="H101" i="17"/>
  <c r="G101" i="17"/>
  <c r="BZ101" i="6" s="1"/>
  <c r="AA101" i="17"/>
  <c r="Z101" i="17" s="1"/>
  <c r="Y101" i="17" s="1"/>
  <c r="AA53" i="17"/>
  <c r="Z53" i="17" s="1"/>
  <c r="Y53" i="17" s="1"/>
  <c r="H53" i="17"/>
  <c r="G53" i="17"/>
  <c r="BZ53" i="6" s="1"/>
  <c r="V29" i="17"/>
  <c r="F29" i="17" s="1"/>
  <c r="D56" i="7"/>
  <c r="AA346" i="17"/>
  <c r="Z346" i="17" s="1"/>
  <c r="Y346" i="17" s="1"/>
  <c r="G346" i="17"/>
  <c r="BZ346" i="6" s="1"/>
  <c r="H346" i="17"/>
  <c r="H322" i="17"/>
  <c r="AA322" i="17"/>
  <c r="Z322" i="17" s="1"/>
  <c r="Y322" i="17" s="1"/>
  <c r="G322" i="17"/>
  <c r="BZ322" i="6" s="1"/>
  <c r="G266" i="17"/>
  <c r="BZ266" i="6" s="1"/>
  <c r="H266" i="17"/>
  <c r="AA266" i="17"/>
  <c r="Z266" i="17" s="1"/>
  <c r="Y266" i="17" s="1"/>
  <c r="AG379" i="17"/>
  <c r="AF379" i="17" s="1"/>
  <c r="AD379" i="17" s="1"/>
  <c r="AA379" i="17" s="1"/>
  <c r="Z379" i="17" s="1"/>
  <c r="Y379" i="17" s="1"/>
  <c r="G321" i="17"/>
  <c r="BZ321" i="6" s="1"/>
  <c r="H321" i="17"/>
  <c r="AA321" i="17"/>
  <c r="Z321" i="17" s="1"/>
  <c r="Y321" i="17" s="1"/>
  <c r="AA289" i="17"/>
  <c r="Z289" i="17" s="1"/>
  <c r="Y289" i="17" s="1"/>
  <c r="G289" i="17"/>
  <c r="BZ289" i="6" s="1"/>
  <c r="H289" i="17"/>
  <c r="AA265" i="17"/>
  <c r="Z265" i="17" s="1"/>
  <c r="Y265" i="17" s="1"/>
  <c r="H265" i="17"/>
  <c r="G265" i="17"/>
  <c r="BZ265" i="6" s="1"/>
  <c r="G233" i="17"/>
  <c r="BZ233" i="6" s="1"/>
  <c r="AA233" i="17"/>
  <c r="Z233" i="17" s="1"/>
  <c r="Y233" i="17" s="1"/>
  <c r="H233" i="17"/>
  <c r="H185" i="17"/>
  <c r="AA185" i="17"/>
  <c r="Z185" i="17" s="1"/>
  <c r="Y185" i="17" s="1"/>
  <c r="G185" i="17"/>
  <c r="BZ185" i="6" s="1"/>
  <c r="AA169" i="17"/>
  <c r="Z169" i="17" s="1"/>
  <c r="Y169" i="17" s="1"/>
  <c r="H169" i="17"/>
  <c r="G169" i="17"/>
  <c r="BZ169" i="6" s="1"/>
  <c r="H145" i="17"/>
  <c r="G145" i="17"/>
  <c r="BZ145" i="6" s="1"/>
  <c r="AA145" i="17"/>
  <c r="Z145" i="17" s="1"/>
  <c r="Y145" i="17" s="1"/>
  <c r="G121" i="17"/>
  <c r="BZ121" i="6" s="1"/>
  <c r="H121" i="17"/>
  <c r="AA121" i="17"/>
  <c r="Z121" i="17" s="1"/>
  <c r="Y121" i="17" s="1"/>
  <c r="G81" i="17"/>
  <c r="BZ81" i="6" s="1"/>
  <c r="AA81" i="17"/>
  <c r="Z81" i="17" s="1"/>
  <c r="Y81" i="17" s="1"/>
  <c r="H81" i="17"/>
  <c r="AA41" i="17"/>
  <c r="Z41" i="17" s="1"/>
  <c r="Y41" i="17" s="1"/>
  <c r="H41" i="17"/>
  <c r="G41" i="17"/>
  <c r="BZ41" i="6" s="1"/>
  <c r="H366" i="17"/>
  <c r="AA366" i="17"/>
  <c r="Z366" i="17" s="1"/>
  <c r="Y366" i="17" s="1"/>
  <c r="G366" i="17"/>
  <c r="BZ366" i="6" s="1"/>
  <c r="V334" i="17"/>
  <c r="F334" i="17" s="1"/>
  <c r="G318" i="17"/>
  <c r="BZ318" i="6" s="1"/>
  <c r="H318" i="17"/>
  <c r="AA318" i="17"/>
  <c r="Z318" i="17" s="1"/>
  <c r="Y318" i="17" s="1"/>
  <c r="H246" i="17"/>
  <c r="G246" i="17"/>
  <c r="BZ246" i="6" s="1"/>
  <c r="AA246" i="17"/>
  <c r="Z246" i="17" s="1"/>
  <c r="Y246" i="17" s="1"/>
  <c r="G367" i="17"/>
  <c r="BZ367" i="6" s="1"/>
  <c r="AA367" i="17"/>
  <c r="Z367" i="17" s="1"/>
  <c r="Y367" i="17" s="1"/>
  <c r="H367" i="17"/>
  <c r="AA303" i="17"/>
  <c r="Z303" i="17" s="1"/>
  <c r="Y303" i="17" s="1"/>
  <c r="H303" i="17"/>
  <c r="G303" i="17"/>
  <c r="BZ303" i="6" s="1"/>
  <c r="AA239" i="17"/>
  <c r="Z239" i="17" s="1"/>
  <c r="Y239" i="17" s="1"/>
  <c r="G239" i="17"/>
  <c r="BZ239" i="6" s="1"/>
  <c r="AA223" i="17"/>
  <c r="Z223" i="17" s="1"/>
  <c r="Y223" i="17" s="1"/>
  <c r="G223" i="17"/>
  <c r="BZ223" i="6" s="1"/>
  <c r="H223" i="17"/>
  <c r="V183" i="17"/>
  <c r="F183" i="17" s="1"/>
  <c r="H135" i="17"/>
  <c r="AA135" i="17"/>
  <c r="Z135" i="17" s="1"/>
  <c r="Y135" i="17" s="1"/>
  <c r="G135" i="17"/>
  <c r="BZ135" i="6" s="1"/>
  <c r="H111" i="17"/>
  <c r="AA111" i="17"/>
  <c r="Z111" i="17" s="1"/>
  <c r="Y111" i="17" s="1"/>
  <c r="G111" i="17"/>
  <c r="BZ111" i="6" s="1"/>
  <c r="G87" i="17"/>
  <c r="BZ87" i="6" s="1"/>
  <c r="H87" i="17"/>
  <c r="AA87" i="17"/>
  <c r="Z87" i="17" s="1"/>
  <c r="Y87" i="17" s="1"/>
  <c r="H71" i="17"/>
  <c r="AA71" i="17"/>
  <c r="Z71" i="17" s="1"/>
  <c r="Y71" i="17" s="1"/>
  <c r="G71" i="17"/>
  <c r="BZ71" i="6" s="1"/>
  <c r="G31" i="17"/>
  <c r="BZ31" i="6" s="1"/>
  <c r="AA31" i="17"/>
  <c r="Z31" i="17" s="1"/>
  <c r="Y31" i="17" s="1"/>
  <c r="H31" i="17"/>
  <c r="H364" i="17"/>
  <c r="AA364" i="17"/>
  <c r="Z364" i="17" s="1"/>
  <c r="Y364" i="17" s="1"/>
  <c r="G364" i="17"/>
  <c r="BZ364" i="6" s="1"/>
  <c r="H308" i="17"/>
  <c r="G308" i="17"/>
  <c r="BZ308" i="6" s="1"/>
  <c r="AA308" i="17"/>
  <c r="Z308" i="17" s="1"/>
  <c r="Y308" i="17" s="1"/>
  <c r="AA284" i="17"/>
  <c r="Z284" i="17" s="1"/>
  <c r="Y284" i="17" s="1"/>
  <c r="H284" i="17"/>
  <c r="G284" i="17"/>
  <c r="BZ284" i="6" s="1"/>
  <c r="G260" i="17"/>
  <c r="BZ260" i="6" s="1"/>
  <c r="AA260" i="17"/>
  <c r="Z260" i="17" s="1"/>
  <c r="Y260" i="17" s="1"/>
  <c r="H260" i="17"/>
  <c r="G198" i="17"/>
  <c r="BZ198" i="6" s="1"/>
  <c r="AA198" i="17"/>
  <c r="Z198" i="17" s="1"/>
  <c r="Y198" i="17" s="1"/>
  <c r="H198" i="17"/>
  <c r="H182" i="17"/>
  <c r="G182" i="17"/>
  <c r="BZ182" i="6" s="1"/>
  <c r="AA182" i="17"/>
  <c r="Z182" i="17" s="1"/>
  <c r="Y182" i="17" s="1"/>
  <c r="G166" i="17"/>
  <c r="BZ166" i="6" s="1"/>
  <c r="AA166" i="17"/>
  <c r="Z166" i="17" s="1"/>
  <c r="Y166" i="17" s="1"/>
  <c r="H166" i="17"/>
  <c r="V126" i="17"/>
  <c r="F126" i="17" s="1"/>
  <c r="G110" i="17"/>
  <c r="BZ110" i="6" s="1"/>
  <c r="H110" i="17"/>
  <c r="AA110" i="17"/>
  <c r="Z110" i="17" s="1"/>
  <c r="Y110" i="17" s="1"/>
  <c r="AA94" i="17"/>
  <c r="Z94" i="17" s="1"/>
  <c r="Y94" i="17" s="1"/>
  <c r="G94" i="17"/>
  <c r="BZ94" i="6" s="1"/>
  <c r="H94" i="17"/>
  <c r="AA46" i="17"/>
  <c r="Z46" i="17" s="1"/>
  <c r="Y46" i="17" s="1"/>
  <c r="G46" i="17"/>
  <c r="BZ46" i="6" s="1"/>
  <c r="H46" i="17"/>
  <c r="AA30" i="17"/>
  <c r="Z30" i="17" s="1"/>
  <c r="Y30" i="17" s="1"/>
  <c r="H30" i="17"/>
  <c r="G30" i="17"/>
  <c r="BZ30" i="6" s="1"/>
  <c r="AA228" i="17"/>
  <c r="Z228" i="17" s="1"/>
  <c r="Y228" i="17" s="1"/>
  <c r="G228" i="17"/>
  <c r="BZ228" i="6" s="1"/>
  <c r="H228" i="17"/>
  <c r="G196" i="17"/>
  <c r="BZ196" i="6" s="1"/>
  <c r="AA196" i="17"/>
  <c r="Z196" i="17" s="1"/>
  <c r="Y196" i="17" s="1"/>
  <c r="H196" i="17"/>
  <c r="AA116" i="17"/>
  <c r="Z116" i="17" s="1"/>
  <c r="Y116" i="17" s="1"/>
  <c r="G116" i="17"/>
  <c r="BZ116" i="6" s="1"/>
  <c r="H116" i="17"/>
  <c r="G92" i="17"/>
  <c r="BZ92" i="6" s="1"/>
  <c r="AA92" i="17"/>
  <c r="Z92" i="17" s="1"/>
  <c r="Y92" i="17" s="1"/>
  <c r="H92" i="17"/>
  <c r="AA44" i="17"/>
  <c r="Z44" i="17" s="1"/>
  <c r="Y44" i="17" s="1"/>
  <c r="G44" i="17"/>
  <c r="BZ44" i="6" s="1"/>
  <c r="H44" i="17"/>
  <c r="AH383" i="17"/>
  <c r="AG15" i="17"/>
  <c r="AH382" i="17"/>
  <c r="AH381" i="17"/>
  <c r="V365" i="17"/>
  <c r="F365" i="17" s="1"/>
  <c r="G349" i="17"/>
  <c r="BZ349" i="6" s="1"/>
  <c r="AA349" i="17"/>
  <c r="Z349" i="17" s="1"/>
  <c r="Y349" i="17" s="1"/>
  <c r="H349" i="17"/>
  <c r="G277" i="17"/>
  <c r="BZ277" i="6" s="1"/>
  <c r="H277" i="17"/>
  <c r="AA277" i="17"/>
  <c r="Z277" i="17" s="1"/>
  <c r="Y277" i="17" s="1"/>
  <c r="V261" i="17"/>
  <c r="F261" i="17" s="1"/>
  <c r="AA221" i="17"/>
  <c r="Z221" i="17" s="1"/>
  <c r="Y221" i="17" s="1"/>
  <c r="H221" i="17"/>
  <c r="G221" i="17"/>
  <c r="BZ221" i="6" s="1"/>
  <c r="V205" i="17"/>
  <c r="G189" i="17"/>
  <c r="BZ189" i="6" s="1"/>
  <c r="H189" i="17"/>
  <c r="AA189" i="17"/>
  <c r="Z189" i="17" s="1"/>
  <c r="Y189" i="17" s="1"/>
  <c r="G165" i="17"/>
  <c r="BZ165" i="6" s="1"/>
  <c r="AA165" i="17"/>
  <c r="Z165" i="17" s="1"/>
  <c r="Y165" i="17" s="1"/>
  <c r="H165" i="17"/>
  <c r="G133" i="17"/>
  <c r="BZ133" i="6" s="1"/>
  <c r="AA133" i="17"/>
  <c r="Z133" i="17" s="1"/>
  <c r="Y133" i="17" s="1"/>
  <c r="H133" i="17"/>
  <c r="AA109" i="17"/>
  <c r="Z109" i="17" s="1"/>
  <c r="Y109" i="17" s="1"/>
  <c r="G109" i="17"/>
  <c r="BZ109" i="6" s="1"/>
  <c r="H109" i="17"/>
  <c r="G77" i="17"/>
  <c r="BZ77" i="6" s="1"/>
  <c r="AA77" i="17"/>
  <c r="Z77" i="17" s="1"/>
  <c r="Y77" i="17" s="1"/>
  <c r="H77" i="17"/>
  <c r="G37" i="17"/>
  <c r="BZ37" i="6" s="1"/>
  <c r="AA37" i="17"/>
  <c r="Z37" i="17" s="1"/>
  <c r="Y37" i="17" s="1"/>
  <c r="H37" i="17"/>
  <c r="AA354" i="17"/>
  <c r="Z354" i="17" s="1"/>
  <c r="Y354" i="17" s="1"/>
  <c r="G354" i="17"/>
  <c r="BZ354" i="6" s="1"/>
  <c r="H354" i="17"/>
  <c r="G330" i="17"/>
  <c r="BZ330" i="6" s="1"/>
  <c r="AA330" i="17"/>
  <c r="Z330" i="17" s="1"/>
  <c r="Y330" i="17" s="1"/>
  <c r="H330" i="17"/>
  <c r="G282" i="17"/>
  <c r="BZ282" i="6" s="1"/>
  <c r="AA282" i="17"/>
  <c r="Z282" i="17" s="1"/>
  <c r="Y282" i="17" s="1"/>
  <c r="H282" i="17"/>
  <c r="V363" i="17"/>
  <c r="F363" i="17" s="1"/>
  <c r="D67" i="7"/>
  <c r="H347" i="17"/>
  <c r="G347" i="17"/>
  <c r="BZ347" i="6" s="1"/>
  <c r="AA347" i="17"/>
  <c r="Z347" i="17" s="1"/>
  <c r="Y347" i="17" s="1"/>
  <c r="AA323" i="17"/>
  <c r="Z323" i="17" s="1"/>
  <c r="Y323" i="17" s="1"/>
  <c r="G323" i="17"/>
  <c r="BZ323" i="6" s="1"/>
  <c r="H307" i="17"/>
  <c r="G307" i="17"/>
  <c r="BZ307" i="6" s="1"/>
  <c r="AA307" i="17"/>
  <c r="Z307" i="17" s="1"/>
  <c r="Y307" i="17" s="1"/>
  <c r="V291" i="17"/>
  <c r="K64" i="19" s="1"/>
  <c r="F291" i="17"/>
  <c r="G275" i="17"/>
  <c r="BZ275" i="6" s="1"/>
  <c r="H275" i="17"/>
  <c r="AA275" i="17"/>
  <c r="Z275" i="17" s="1"/>
  <c r="Y275" i="17" s="1"/>
  <c r="V267" i="17"/>
  <c r="F267" i="17" s="1"/>
  <c r="AA251" i="17"/>
  <c r="Z251" i="17" s="1"/>
  <c r="Y251" i="17" s="1"/>
  <c r="H251" i="17"/>
  <c r="G251" i="17"/>
  <c r="BZ251" i="6" s="1"/>
  <c r="H243" i="17"/>
  <c r="G243" i="17"/>
  <c r="BZ243" i="6" s="1"/>
  <c r="AA243" i="17"/>
  <c r="Z243" i="17" s="1"/>
  <c r="Y243" i="17" s="1"/>
  <c r="H235" i="17"/>
  <c r="G235" i="17"/>
  <c r="BZ235" i="6" s="1"/>
  <c r="AA235" i="17"/>
  <c r="Z235" i="17" s="1"/>
  <c r="Y235" i="17" s="1"/>
  <c r="V227" i="17"/>
  <c r="I64" i="19" s="1"/>
  <c r="AA179" i="17"/>
  <c r="Z179" i="17" s="1"/>
  <c r="Y179" i="17" s="1"/>
  <c r="H179" i="17"/>
  <c r="G179" i="17"/>
  <c r="BZ179" i="6" s="1"/>
  <c r="G171" i="17"/>
  <c r="BZ171" i="6" s="1"/>
  <c r="H171" i="17"/>
  <c r="AA171" i="17"/>
  <c r="Z171" i="17" s="1"/>
  <c r="Y171" i="17" s="1"/>
  <c r="AA163" i="17"/>
  <c r="Z163" i="17" s="1"/>
  <c r="Y163" i="17" s="1"/>
  <c r="G163" i="17"/>
  <c r="BZ163" i="6" s="1"/>
  <c r="H163" i="17"/>
  <c r="V155" i="17"/>
  <c r="F155" i="17" s="1"/>
  <c r="AA147" i="17"/>
  <c r="Z147" i="17" s="1"/>
  <c r="Y147" i="17" s="1"/>
  <c r="G147" i="17"/>
  <c r="BZ147" i="6" s="1"/>
  <c r="H147" i="17"/>
  <c r="H131" i="17"/>
  <c r="AA131" i="17"/>
  <c r="Z131" i="17" s="1"/>
  <c r="Y131" i="17" s="1"/>
  <c r="G131" i="17"/>
  <c r="BZ131" i="6" s="1"/>
  <c r="G115" i="17"/>
  <c r="BZ115" i="6" s="1"/>
  <c r="AA115" i="17"/>
  <c r="Z115" i="17" s="1"/>
  <c r="Y115" i="17" s="1"/>
  <c r="H115" i="17"/>
  <c r="H91" i="17"/>
  <c r="G91" i="17"/>
  <c r="BZ91" i="6" s="1"/>
  <c r="AA91" i="17"/>
  <c r="Z91" i="17" s="1"/>
  <c r="Y91" i="17" s="1"/>
  <c r="AA75" i="17"/>
  <c r="Z75" i="17" s="1"/>
  <c r="Y75" i="17" s="1"/>
  <c r="G75" i="17"/>
  <c r="BZ75" i="6" s="1"/>
  <c r="H59" i="17"/>
  <c r="AA59" i="17"/>
  <c r="Z59" i="17" s="1"/>
  <c r="Y59" i="17" s="1"/>
  <c r="G59" i="17"/>
  <c r="BZ59" i="6" s="1"/>
  <c r="H51" i="17"/>
  <c r="AA51" i="17"/>
  <c r="Z51" i="17" s="1"/>
  <c r="Y51" i="17" s="1"/>
  <c r="G51" i="17"/>
  <c r="BZ51" i="6" s="1"/>
  <c r="H43" i="17"/>
  <c r="G43" i="17"/>
  <c r="BZ43" i="6" s="1"/>
  <c r="AA43" i="17"/>
  <c r="Z43" i="17" s="1"/>
  <c r="Y43" i="17" s="1"/>
  <c r="G27" i="17"/>
  <c r="BZ27" i="6" s="1"/>
  <c r="AA27" i="17"/>
  <c r="Z27" i="17" s="1"/>
  <c r="Y27" i="17" s="1"/>
  <c r="H27" i="17"/>
  <c r="G376" i="17"/>
  <c r="BZ376" i="6" s="1"/>
  <c r="H376" i="17"/>
  <c r="AA376" i="17"/>
  <c r="Z376" i="17" s="1"/>
  <c r="Y376" i="17" s="1"/>
  <c r="G360" i="17"/>
  <c r="BZ360" i="6" s="1"/>
  <c r="AA360" i="17"/>
  <c r="Z360" i="17" s="1"/>
  <c r="Y360" i="17" s="1"/>
  <c r="AA336" i="17"/>
  <c r="Z336" i="17" s="1"/>
  <c r="Y336" i="17" s="1"/>
  <c r="H336" i="17"/>
  <c r="G336" i="17"/>
  <c r="BZ336" i="6" s="1"/>
  <c r="G312" i="17"/>
  <c r="BZ312" i="6" s="1"/>
  <c r="AA312" i="17"/>
  <c r="Z312" i="17" s="1"/>
  <c r="Y312" i="17" s="1"/>
  <c r="H312" i="17"/>
  <c r="G296" i="17"/>
  <c r="BZ296" i="6" s="1"/>
  <c r="H296" i="17"/>
  <c r="AA296" i="17"/>
  <c r="Z296" i="17" s="1"/>
  <c r="Y296" i="17" s="1"/>
  <c r="AA280" i="17"/>
  <c r="Z280" i="17" s="1"/>
  <c r="Y280" i="17" s="1"/>
  <c r="G280" i="17"/>
  <c r="BZ280" i="6" s="1"/>
  <c r="D64" i="7"/>
  <c r="V272" i="17"/>
  <c r="F272" i="17" s="1"/>
  <c r="AA256" i="17"/>
  <c r="Z256" i="17" s="1"/>
  <c r="Y256" i="17" s="1"/>
  <c r="G256" i="17"/>
  <c r="BZ256" i="6" s="1"/>
  <c r="H256" i="17"/>
  <c r="H248" i="17"/>
  <c r="AA248" i="17"/>
  <c r="Z248" i="17" s="1"/>
  <c r="Y248" i="17" s="1"/>
  <c r="G248" i="17"/>
  <c r="BZ248" i="6" s="1"/>
  <c r="G234" i="17"/>
  <c r="BZ234" i="6" s="1"/>
  <c r="H234" i="17"/>
  <c r="AA234" i="17"/>
  <c r="Z234" i="17" s="1"/>
  <c r="Y234" i="17" s="1"/>
  <c r="AA218" i="17"/>
  <c r="Z218" i="17" s="1"/>
  <c r="Y218" i="17" s="1"/>
  <c r="G218" i="17"/>
  <c r="BZ218" i="6" s="1"/>
  <c r="D62" i="7"/>
  <c r="V210" i="17"/>
  <c r="F210" i="17" s="1"/>
  <c r="G202" i="17"/>
  <c r="BZ202" i="6" s="1"/>
  <c r="H202" i="17"/>
  <c r="AA202" i="17"/>
  <c r="Z202" i="17" s="1"/>
  <c r="Y202" i="17" s="1"/>
  <c r="G178" i="17"/>
  <c r="BZ178" i="6" s="1"/>
  <c r="H178" i="17"/>
  <c r="AA178" i="17"/>
  <c r="Z178" i="17" s="1"/>
  <c r="Y178" i="17" s="1"/>
  <c r="G146" i="17"/>
  <c r="BZ146" i="6" s="1"/>
  <c r="H146" i="17"/>
  <c r="AA146" i="17"/>
  <c r="Z146" i="17" s="1"/>
  <c r="Y146" i="17" s="1"/>
  <c r="G138" i="17"/>
  <c r="BZ138" i="6" s="1"/>
  <c r="AA138" i="17"/>
  <c r="Z138" i="17" s="1"/>
  <c r="Y138" i="17" s="1"/>
  <c r="H138" i="17"/>
  <c r="H130" i="17"/>
  <c r="G130" i="17"/>
  <c r="BZ130" i="6" s="1"/>
  <c r="AA130" i="17"/>
  <c r="Z130" i="17" s="1"/>
  <c r="Y130" i="17" s="1"/>
  <c r="G114" i="17"/>
  <c r="BZ114" i="6" s="1"/>
  <c r="AA114" i="17"/>
  <c r="Z114" i="17" s="1"/>
  <c r="Y114" i="17" s="1"/>
  <c r="H114" i="17"/>
  <c r="AA82" i="17"/>
  <c r="Z82" i="17" s="1"/>
  <c r="Y82" i="17" s="1"/>
  <c r="G82" i="17"/>
  <c r="BZ82" i="6" s="1"/>
  <c r="H82" i="17"/>
  <c r="G42" i="17"/>
  <c r="BZ42" i="6" s="1"/>
  <c r="H42" i="17"/>
  <c r="AA42" i="17"/>
  <c r="Z42" i="17" s="1"/>
  <c r="Y42" i="17" s="1"/>
  <c r="H26" i="17"/>
  <c r="AA26" i="17"/>
  <c r="Z26" i="17" s="1"/>
  <c r="Y26" i="17" s="1"/>
  <c r="G26" i="17"/>
  <c r="BZ26" i="6" s="1"/>
  <c r="AA216" i="17"/>
  <c r="Z216" i="17" s="1"/>
  <c r="Y216" i="17" s="1"/>
  <c r="H216" i="17"/>
  <c r="G216" i="17"/>
  <c r="BZ216" i="6" s="1"/>
  <c r="H208" i="17"/>
  <c r="AA208" i="17"/>
  <c r="Z208" i="17" s="1"/>
  <c r="Y208" i="17" s="1"/>
  <c r="G208" i="17"/>
  <c r="BZ208" i="6" s="1"/>
  <c r="G200" i="17"/>
  <c r="BZ200" i="6" s="1"/>
  <c r="AA200" i="17"/>
  <c r="Z200" i="17" s="1"/>
  <c r="Y200" i="17" s="1"/>
  <c r="H200" i="17"/>
  <c r="V176" i="17"/>
  <c r="F176" i="17" s="1"/>
  <c r="V152" i="17"/>
  <c r="F152" i="17" s="1"/>
  <c r="G136" i="17"/>
  <c r="BZ136" i="6" s="1"/>
  <c r="AA136" i="17"/>
  <c r="Z136" i="17" s="1"/>
  <c r="Y136" i="17" s="1"/>
  <c r="G128" i="17"/>
  <c r="BZ128" i="6" s="1"/>
  <c r="AA128" i="17"/>
  <c r="Z128" i="17" s="1"/>
  <c r="Y128" i="17" s="1"/>
  <c r="H128" i="17"/>
  <c r="D58" i="7"/>
  <c r="V88" i="17"/>
  <c r="G72" i="17"/>
  <c r="BZ72" i="6" s="1"/>
  <c r="AA72" i="17"/>
  <c r="Z72" i="17" s="1"/>
  <c r="Y72" i="17" s="1"/>
  <c r="H72" i="17"/>
  <c r="H64" i="17"/>
  <c r="AA64" i="17"/>
  <c r="Z64" i="17" s="1"/>
  <c r="Y64" i="17" s="1"/>
  <c r="G64" i="17"/>
  <c r="BZ64" i="6" s="1"/>
  <c r="V56" i="17"/>
  <c r="C64" i="19" s="1"/>
  <c r="G48" i="17"/>
  <c r="BZ48" i="6" s="1"/>
  <c r="AA48" i="17"/>
  <c r="Z48" i="17" s="1"/>
  <c r="Y48" i="17" s="1"/>
  <c r="H48" i="17"/>
  <c r="H32" i="17"/>
  <c r="AA32" i="17"/>
  <c r="Z32" i="17" s="1"/>
  <c r="Y32" i="17" s="1"/>
  <c r="G32" i="17"/>
  <c r="BZ32" i="6" s="1"/>
  <c r="H280" i="17"/>
  <c r="J300" i="17"/>
  <c r="I300" i="17"/>
  <c r="J136" i="16"/>
  <c r="I136" i="16"/>
  <c r="H136" i="17" s="1"/>
  <c r="U29" i="18"/>
  <c r="T29" i="18" s="1"/>
  <c r="S29" i="18" s="1"/>
  <c r="R29" i="18" s="1"/>
  <c r="P29" i="18" s="1"/>
  <c r="U61" i="18"/>
  <c r="T61" i="18" s="1"/>
  <c r="U93" i="18"/>
  <c r="T93" i="18" s="1"/>
  <c r="S93" i="18" s="1"/>
  <c r="R93" i="18" s="1"/>
  <c r="P93" i="18" s="1"/>
  <c r="V93" i="18" s="1"/>
  <c r="U125" i="18"/>
  <c r="T125" i="18" s="1"/>
  <c r="U157" i="18"/>
  <c r="T157" i="18" s="1"/>
  <c r="S157" i="18" s="1"/>
  <c r="R157" i="18" s="1"/>
  <c r="P157" i="18" s="1"/>
  <c r="V157" i="18" s="1"/>
  <c r="U189" i="18"/>
  <c r="T189" i="18" s="1"/>
  <c r="U221" i="18"/>
  <c r="T221" i="18" s="1"/>
  <c r="S221" i="18" s="1"/>
  <c r="R221" i="18" s="1"/>
  <c r="P221" i="18" s="1"/>
  <c r="V221" i="18" s="1"/>
  <c r="U253" i="18"/>
  <c r="T253" i="18" s="1"/>
  <c r="S253" i="18" s="1"/>
  <c r="R253" i="18" s="1"/>
  <c r="P253" i="18" s="1"/>
  <c r="V253" i="18" s="1"/>
  <c r="U285" i="18"/>
  <c r="T285" i="18" s="1"/>
  <c r="S285" i="18" s="1"/>
  <c r="R285" i="18" s="1"/>
  <c r="P285" i="18" s="1"/>
  <c r="V285" i="18" s="1"/>
  <c r="U317" i="18"/>
  <c r="T317" i="18" s="1"/>
  <c r="S317" i="18" s="1"/>
  <c r="R317" i="18" s="1"/>
  <c r="P317" i="18" s="1"/>
  <c r="V317" i="18" s="1"/>
  <c r="U349" i="18"/>
  <c r="T349" i="18" s="1"/>
  <c r="S349" i="18" s="1"/>
  <c r="R349" i="18" s="1"/>
  <c r="P349" i="18" s="1"/>
  <c r="V349" i="18" s="1"/>
  <c r="AA16" i="7"/>
  <c r="U45" i="18"/>
  <c r="T45" i="18" s="1"/>
  <c r="S45" i="18" s="1"/>
  <c r="R45" i="18" s="1"/>
  <c r="P45" i="18" s="1"/>
  <c r="V45" i="18" s="1"/>
  <c r="U77" i="18"/>
  <c r="T77" i="18" s="1"/>
  <c r="S77" i="18" s="1"/>
  <c r="R77" i="18" s="1"/>
  <c r="P77" i="18" s="1"/>
  <c r="V77" i="18" s="1"/>
  <c r="U109" i="18"/>
  <c r="T109" i="18" s="1"/>
  <c r="S109" i="18" s="1"/>
  <c r="R109" i="18" s="1"/>
  <c r="P109" i="18" s="1"/>
  <c r="V109" i="18" s="1"/>
  <c r="U141" i="18"/>
  <c r="T141" i="18" s="1"/>
  <c r="S141" i="18" s="1"/>
  <c r="R141" i="18" s="1"/>
  <c r="P141" i="18" s="1"/>
  <c r="V141" i="18" s="1"/>
  <c r="U173" i="18"/>
  <c r="T173" i="18" s="1"/>
  <c r="S173" i="18" s="1"/>
  <c r="R173" i="18" s="1"/>
  <c r="P173" i="18" s="1"/>
  <c r="V173" i="18" s="1"/>
  <c r="U205" i="18"/>
  <c r="T205" i="18" s="1"/>
  <c r="S205" i="18" s="1"/>
  <c r="R205" i="18" s="1"/>
  <c r="P205" i="18" s="1"/>
  <c r="V205" i="18" s="1"/>
  <c r="U237" i="18"/>
  <c r="T237" i="18" s="1"/>
  <c r="S237" i="18" s="1"/>
  <c r="R237" i="18" s="1"/>
  <c r="P237" i="18" s="1"/>
  <c r="V237" i="18" s="1"/>
  <c r="U269" i="18"/>
  <c r="T269" i="18" s="1"/>
  <c r="S269" i="18" s="1"/>
  <c r="R269" i="18" s="1"/>
  <c r="P269" i="18" s="1"/>
  <c r="V269" i="18" s="1"/>
  <c r="U301" i="18"/>
  <c r="T301" i="18" s="1"/>
  <c r="S301" i="18" s="1"/>
  <c r="R301" i="18" s="1"/>
  <c r="P301" i="18" s="1"/>
  <c r="V301" i="18" s="1"/>
  <c r="U333" i="18"/>
  <c r="T333" i="18" s="1"/>
  <c r="S333" i="18" s="1"/>
  <c r="R333" i="18" s="1"/>
  <c r="P333" i="18" s="1"/>
  <c r="U365" i="18"/>
  <c r="T365" i="18" s="1"/>
  <c r="S365" i="18" s="1"/>
  <c r="R365" i="18" s="1"/>
  <c r="P365" i="18" s="1"/>
  <c r="V365" i="18" s="1"/>
  <c r="T382" i="17"/>
  <c r="S15" i="17"/>
  <c r="T381" i="17"/>
  <c r="T383" i="17"/>
  <c r="I180" i="16"/>
  <c r="H180" i="17" s="1"/>
  <c r="J180" i="16"/>
  <c r="J350" i="16"/>
  <c r="I350" i="16"/>
  <c r="H350" i="17" s="1"/>
  <c r="AD274" i="18"/>
  <c r="AD202" i="18"/>
  <c r="AD102" i="18"/>
  <c r="AD282" i="18"/>
  <c r="AD186" i="18"/>
  <c r="AD106" i="18"/>
  <c r="AD265" i="18"/>
  <c r="AD356" i="18"/>
  <c r="AD312" i="18"/>
  <c r="AD383" i="16"/>
  <c r="AD381" i="16"/>
  <c r="AD382" i="16"/>
  <c r="V15" i="16"/>
  <c r="P382" i="16"/>
  <c r="F15" i="16"/>
  <c r="P381" i="16"/>
  <c r="P383" i="16"/>
  <c r="I380" i="17"/>
  <c r="H380" i="18" s="1"/>
  <c r="J380" i="17"/>
  <c r="I272" i="16"/>
  <c r="J272" i="16"/>
  <c r="AD374" i="18"/>
  <c r="P21" i="18"/>
  <c r="V21" i="18" s="1"/>
  <c r="P117" i="18"/>
  <c r="V117" i="18" s="1"/>
  <c r="AD338" i="18"/>
  <c r="AD120" i="18"/>
  <c r="AD88" i="18"/>
  <c r="AD32" i="18"/>
  <c r="AD346" i="18"/>
  <c r="AD244" i="18"/>
  <c r="AD64" i="18"/>
  <c r="AH11" i="7"/>
  <c r="U11" i="20" s="1"/>
  <c r="F373" i="18"/>
  <c r="U381" i="18"/>
  <c r="AD352" i="18"/>
  <c r="AD190" i="18"/>
  <c r="AD54" i="18"/>
  <c r="AD281" i="18"/>
  <c r="AD364" i="18"/>
  <c r="AD336" i="18"/>
  <c r="AD278" i="18"/>
  <c r="AD238" i="18"/>
  <c r="AD198" i="18"/>
  <c r="AD178" i="18"/>
  <c r="AD118" i="18"/>
  <c r="AD90" i="18"/>
  <c r="AD82" i="18"/>
  <c r="AD357" i="18"/>
  <c r="F113" i="18"/>
  <c r="G113" i="18" s="1"/>
  <c r="CA113" i="6" s="1"/>
  <c r="AD333" i="18"/>
  <c r="AD368" i="18"/>
  <c r="AA368" i="18" s="1"/>
  <c r="Z368" i="18" s="1"/>
  <c r="Y368" i="18" s="1"/>
  <c r="AD344" i="18"/>
  <c r="AD324" i="18"/>
  <c r="AD304" i="18"/>
  <c r="AD367" i="18"/>
  <c r="F213" i="18"/>
  <c r="F197" i="18"/>
  <c r="F85" i="18"/>
  <c r="AA85" i="18" s="1"/>
  <c r="Z85" i="18" s="1"/>
  <c r="Y85" i="18" s="1"/>
  <c r="P69" i="18"/>
  <c r="V69" i="18" s="1"/>
  <c r="P101" i="18"/>
  <c r="V101" i="18" s="1"/>
  <c r="D65" i="19" s="1"/>
  <c r="AE90" i="20"/>
  <c r="AD347" i="18"/>
  <c r="AE58" i="20"/>
  <c r="E12" i="19"/>
  <c r="AE74" i="20"/>
  <c r="AD316" i="18"/>
  <c r="AA316" i="18" s="1"/>
  <c r="Z316" i="18" s="1"/>
  <c r="Y316" i="18" s="1"/>
  <c r="AD365" i="18"/>
  <c r="AD345" i="18"/>
  <c r="AD41" i="18"/>
  <c r="AD169" i="18"/>
  <c r="AD372" i="18"/>
  <c r="AD360" i="18"/>
  <c r="AD348" i="18"/>
  <c r="AD340" i="18"/>
  <c r="AD328" i="18"/>
  <c r="AA328" i="18" s="1"/>
  <c r="Z328" i="18" s="1"/>
  <c r="Y328" i="18" s="1"/>
  <c r="AD320" i="18"/>
  <c r="AD308" i="18"/>
  <c r="AD300" i="18"/>
  <c r="AA300" i="18" s="1"/>
  <c r="Z300" i="18" s="1"/>
  <c r="Y300" i="18" s="1"/>
  <c r="V149" i="18"/>
  <c r="Q176" i="20"/>
  <c r="AE11" i="20"/>
  <c r="AE26" i="20"/>
  <c r="AE379" i="20"/>
  <c r="AE12" i="22" s="1"/>
  <c r="AE347" i="20"/>
  <c r="AE339" i="20"/>
  <c r="AE331" i="20"/>
  <c r="AE322" i="20"/>
  <c r="AE306" i="20"/>
  <c r="AE290" i="20"/>
  <c r="AE274" i="20"/>
  <c r="AE258" i="20"/>
  <c r="AE242" i="20"/>
  <c r="AE210" i="20"/>
  <c r="AE178" i="20"/>
  <c r="AE146" i="20"/>
  <c r="AE114" i="20"/>
  <c r="AE98" i="20"/>
  <c r="AE82" i="20"/>
  <c r="AE66" i="20"/>
  <c r="AE50" i="20"/>
  <c r="AE34" i="20"/>
  <c r="AE16" i="20"/>
  <c r="V379" i="18"/>
  <c r="W379" i="18" s="1"/>
  <c r="D39" i="19"/>
  <c r="AD261" i="18"/>
  <c r="AD229" i="18"/>
  <c r="AD53" i="18"/>
  <c r="AD375" i="18"/>
  <c r="AD355" i="18"/>
  <c r="AD339" i="18"/>
  <c r="AA339" i="18" s="1"/>
  <c r="Z339" i="18" s="1"/>
  <c r="Y339" i="18" s="1"/>
  <c r="W305" i="18"/>
  <c r="F201" i="18"/>
  <c r="AA201" i="18" s="1"/>
  <c r="Z201" i="18" s="1"/>
  <c r="Y201" i="18" s="1"/>
  <c r="F217" i="18"/>
  <c r="G217" i="18" s="1"/>
  <c r="CA217" i="6" s="1"/>
  <c r="F145" i="18"/>
  <c r="F177" i="18"/>
  <c r="W321" i="18"/>
  <c r="W297" i="18"/>
  <c r="W329" i="18"/>
  <c r="W361" i="18"/>
  <c r="F81" i="18"/>
  <c r="G81" i="18" s="1"/>
  <c r="CA81" i="6" s="1"/>
  <c r="F209" i="18"/>
  <c r="G209" i="18" s="1"/>
  <c r="CA209" i="6" s="1"/>
  <c r="F65" i="18"/>
  <c r="G65" i="18" s="1"/>
  <c r="CA65" i="6" s="1"/>
  <c r="V119" i="18"/>
  <c r="F169" i="18"/>
  <c r="AD322" i="18"/>
  <c r="AD284" i="18"/>
  <c r="AA284" i="18" s="1"/>
  <c r="Z284" i="18" s="1"/>
  <c r="Y284" i="18" s="1"/>
  <c r="AD248" i="18"/>
  <c r="AA248" i="18" s="1"/>
  <c r="Z248" i="18" s="1"/>
  <c r="Y248" i="18" s="1"/>
  <c r="AD160" i="18"/>
  <c r="AD124" i="18"/>
  <c r="AD84" i="18"/>
  <c r="AD264" i="18"/>
  <c r="AD212" i="18"/>
  <c r="AD192" i="18"/>
  <c r="AD44" i="18"/>
  <c r="AD69" i="18"/>
  <c r="AD21" i="18"/>
  <c r="AD371" i="18"/>
  <c r="AD363" i="18"/>
  <c r="AD351" i="18"/>
  <c r="AA351" i="18" s="1"/>
  <c r="Z351" i="18" s="1"/>
  <c r="Y351" i="18" s="1"/>
  <c r="AD343" i="18"/>
  <c r="AD335" i="18"/>
  <c r="Q311" i="20"/>
  <c r="Q364" i="20"/>
  <c r="Q247" i="20"/>
  <c r="W159" i="18"/>
  <c r="W215" i="18"/>
  <c r="W295" i="18"/>
  <c r="W367" i="18"/>
  <c r="AE376" i="20"/>
  <c r="AE372" i="20"/>
  <c r="AE368" i="20"/>
  <c r="AE364" i="20"/>
  <c r="AE360" i="20"/>
  <c r="AE356" i="20"/>
  <c r="AE352" i="20"/>
  <c r="AE348" i="20"/>
  <c r="AE344" i="20"/>
  <c r="AE340" i="20"/>
  <c r="AE336" i="20"/>
  <c r="AE332" i="20"/>
  <c r="AE328" i="20"/>
  <c r="AE324" i="20"/>
  <c r="AE316" i="20"/>
  <c r="AE308" i="20"/>
  <c r="AE300" i="20"/>
  <c r="AE292" i="20"/>
  <c r="AE284" i="20"/>
  <c r="AE276" i="20"/>
  <c r="AE268" i="20"/>
  <c r="AE260" i="20"/>
  <c r="AE252" i="20"/>
  <c r="AE244" i="20"/>
  <c r="AE230" i="20"/>
  <c r="AE214" i="20"/>
  <c r="AE198" i="20"/>
  <c r="AE182" i="20"/>
  <c r="AE166" i="20"/>
  <c r="AE150" i="20"/>
  <c r="AE134" i="20"/>
  <c r="AE118" i="20"/>
  <c r="AE102" i="20"/>
  <c r="AE94" i="20"/>
  <c r="AE86" i="20"/>
  <c r="AE78" i="20"/>
  <c r="AE70" i="20"/>
  <c r="AE62" i="20"/>
  <c r="AE54" i="20"/>
  <c r="AE46" i="20"/>
  <c r="AE38" i="20"/>
  <c r="AE30" i="20"/>
  <c r="AE22" i="20"/>
  <c r="Q343" i="20"/>
  <c r="Q279" i="20"/>
  <c r="Q215" i="20"/>
  <c r="D43" i="18"/>
  <c r="E43" i="18" s="1"/>
  <c r="F43" i="18" s="1"/>
  <c r="W59" i="18"/>
  <c r="W131" i="18"/>
  <c r="W31" i="18"/>
  <c r="D111" i="18"/>
  <c r="E111" i="18" s="1"/>
  <c r="F111" i="18" s="1"/>
  <c r="W207" i="18"/>
  <c r="D335" i="18"/>
  <c r="E335" i="18" s="1"/>
  <c r="F335" i="18" s="1"/>
  <c r="H335" i="18" s="1"/>
  <c r="W351" i="18"/>
  <c r="D27" i="18"/>
  <c r="E27" i="18" s="1"/>
  <c r="F27" i="18" s="1"/>
  <c r="AA27" i="18" s="1"/>
  <c r="Z27" i="18" s="1"/>
  <c r="Y27" i="18" s="1"/>
  <c r="D203" i="18"/>
  <c r="E203" i="18" s="1"/>
  <c r="F203" i="18" s="1"/>
  <c r="G203" i="18" s="1"/>
  <c r="CA203" i="6" s="1"/>
  <c r="D219" i="18"/>
  <c r="E219" i="18" s="1"/>
  <c r="F219" i="18" s="1"/>
  <c r="H219" i="18" s="1"/>
  <c r="D243" i="18"/>
  <c r="E243" i="18" s="1"/>
  <c r="F243" i="18" s="1"/>
  <c r="G243" i="18" s="1"/>
  <c r="CA243" i="6" s="1"/>
  <c r="W251" i="18"/>
  <c r="W307" i="18"/>
  <c r="W347" i="18"/>
  <c r="D343" i="18"/>
  <c r="E343" i="18" s="1"/>
  <c r="F343" i="18" s="1"/>
  <c r="G343" i="18" s="1"/>
  <c r="CA343" i="6" s="1"/>
  <c r="W316" i="18"/>
  <c r="Q372" i="20"/>
  <c r="Q356" i="20"/>
  <c r="Q327" i="20"/>
  <c r="Q295" i="20"/>
  <c r="Q263" i="20"/>
  <c r="Q231" i="20"/>
  <c r="Q199" i="20"/>
  <c r="Q376" i="20"/>
  <c r="Q368" i="20"/>
  <c r="Q360" i="20"/>
  <c r="Q351" i="20"/>
  <c r="Q335" i="20"/>
  <c r="Q319" i="20"/>
  <c r="Q303" i="20"/>
  <c r="Q287" i="20"/>
  <c r="Q271" i="20"/>
  <c r="Q255" i="20"/>
  <c r="Q239" i="20"/>
  <c r="Q223" i="20"/>
  <c r="Q207" i="20"/>
  <c r="Q17" i="20"/>
  <c r="Q116" i="20"/>
  <c r="Q142" i="20"/>
  <c r="Q158" i="20"/>
  <c r="Q172" i="20"/>
  <c r="Q180" i="20"/>
  <c r="Q188" i="20"/>
  <c r="Q193" i="20"/>
  <c r="Q197" i="20"/>
  <c r="Q200" i="20"/>
  <c r="Q202" i="20"/>
  <c r="Q204" i="20"/>
  <c r="Q206" i="20"/>
  <c r="Q208" i="20"/>
  <c r="Q210" i="20"/>
  <c r="Q212" i="20"/>
  <c r="Q214" i="20"/>
  <c r="Q216" i="20"/>
  <c r="Q218" i="20"/>
  <c r="Q220" i="20"/>
  <c r="Q222" i="20"/>
  <c r="Q224" i="20"/>
  <c r="Q226" i="20"/>
  <c r="Q228" i="20"/>
  <c r="Q230" i="20"/>
  <c r="Q232" i="20"/>
  <c r="Q234" i="20"/>
  <c r="Q236" i="20"/>
  <c r="Q238" i="20"/>
  <c r="Q240" i="20"/>
  <c r="Q242" i="20"/>
  <c r="Q244" i="20"/>
  <c r="Q246" i="20"/>
  <c r="Q248" i="20"/>
  <c r="Q250" i="20"/>
  <c r="Q252" i="20"/>
  <c r="Q254" i="20"/>
  <c r="Q256" i="20"/>
  <c r="Q258" i="20"/>
  <c r="Q260" i="20"/>
  <c r="Q262" i="20"/>
  <c r="Q264" i="20"/>
  <c r="Q266" i="20"/>
  <c r="Q268" i="20"/>
  <c r="Q270" i="20"/>
  <c r="Q272" i="20"/>
  <c r="Q274" i="20"/>
  <c r="Q276" i="20"/>
  <c r="Q278" i="20"/>
  <c r="Q280" i="20"/>
  <c r="Q282" i="20"/>
  <c r="Q284" i="20"/>
  <c r="Q286" i="20"/>
  <c r="Q288" i="20"/>
  <c r="Q290" i="20"/>
  <c r="Q292" i="20"/>
  <c r="Q294" i="20"/>
  <c r="Q296" i="20"/>
  <c r="Q298" i="20"/>
  <c r="Q300" i="20"/>
  <c r="Q302" i="20"/>
  <c r="Q304" i="20"/>
  <c r="Q306" i="20"/>
  <c r="Q308" i="20"/>
  <c r="Q310" i="20"/>
  <c r="Q312" i="20"/>
  <c r="Q314" i="20"/>
  <c r="Q316" i="20"/>
  <c r="Q318" i="20"/>
  <c r="Q320" i="20"/>
  <c r="Q322" i="20"/>
  <c r="Q324" i="20"/>
  <c r="Q326" i="20"/>
  <c r="Q328" i="20"/>
  <c r="Q330" i="20"/>
  <c r="Q332" i="20"/>
  <c r="Q334" i="20"/>
  <c r="Q336" i="20"/>
  <c r="Q338" i="20"/>
  <c r="Q340" i="20"/>
  <c r="Q342" i="20"/>
  <c r="Q344" i="20"/>
  <c r="Q346" i="20"/>
  <c r="Q348" i="20"/>
  <c r="Q350" i="20"/>
  <c r="Q352" i="20"/>
  <c r="Q134" i="20"/>
  <c r="Q166" i="20"/>
  <c r="Q184" i="20"/>
  <c r="Q195" i="20"/>
  <c r="Q201" i="20"/>
  <c r="Q205" i="20"/>
  <c r="Q209" i="20"/>
  <c r="Q213" i="20"/>
  <c r="Q217" i="20"/>
  <c r="Q221" i="20"/>
  <c r="Q225" i="20"/>
  <c r="Q229" i="20"/>
  <c r="Q233" i="20"/>
  <c r="Q237" i="20"/>
  <c r="Q241" i="20"/>
  <c r="Q245" i="20"/>
  <c r="Q249" i="20"/>
  <c r="Q253" i="20"/>
  <c r="Q257" i="20"/>
  <c r="Q261" i="20"/>
  <c r="Q265" i="20"/>
  <c r="Q269" i="20"/>
  <c r="Q273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355" i="20"/>
  <c r="Q357" i="20"/>
  <c r="Q359" i="20"/>
  <c r="Q361" i="20"/>
  <c r="Q363" i="20"/>
  <c r="Q365" i="20"/>
  <c r="Q367" i="20"/>
  <c r="Q369" i="20"/>
  <c r="Q371" i="20"/>
  <c r="Q373" i="20"/>
  <c r="Q375" i="20"/>
  <c r="Q377" i="20"/>
  <c r="Q379" i="20"/>
  <c r="AE15" i="20"/>
  <c r="AE17" i="20"/>
  <c r="AE18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7" i="20"/>
  <c r="AE111" i="20"/>
  <c r="AE115" i="20"/>
  <c r="AE119" i="20"/>
  <c r="AE123" i="20"/>
  <c r="AE127" i="20"/>
  <c r="AE131" i="20"/>
  <c r="AE135" i="20"/>
  <c r="AE139" i="20"/>
  <c r="AE143" i="20"/>
  <c r="AE147" i="20"/>
  <c r="AE151" i="20"/>
  <c r="AE155" i="20"/>
  <c r="AE159" i="20"/>
  <c r="AE163" i="20"/>
  <c r="AE167" i="20"/>
  <c r="AE171" i="20"/>
  <c r="AE175" i="20"/>
  <c r="AE179" i="20"/>
  <c r="AE183" i="20"/>
  <c r="AE187" i="20"/>
  <c r="AE191" i="20"/>
  <c r="AE195" i="20"/>
  <c r="AE199" i="20"/>
  <c r="AE203" i="20"/>
  <c r="AE207" i="20"/>
  <c r="AE211" i="20"/>
  <c r="AE215" i="20"/>
  <c r="AE219" i="20"/>
  <c r="AE223" i="20"/>
  <c r="AE227" i="20"/>
  <c r="AE231" i="20"/>
  <c r="AE235" i="20"/>
  <c r="AE239" i="20"/>
  <c r="U10" i="20"/>
  <c r="AE321" i="20"/>
  <c r="AE317" i="20"/>
  <c r="AE313" i="20"/>
  <c r="AE309" i="20"/>
  <c r="AE305" i="20"/>
  <c r="AE301" i="20"/>
  <c r="AE297" i="20"/>
  <c r="AE293" i="20"/>
  <c r="AE289" i="20"/>
  <c r="AE285" i="20"/>
  <c r="AE281" i="20"/>
  <c r="AE277" i="20"/>
  <c r="AE273" i="20"/>
  <c r="AE269" i="20"/>
  <c r="AE265" i="20"/>
  <c r="AE261" i="20"/>
  <c r="AE257" i="20"/>
  <c r="AE253" i="20"/>
  <c r="AE249" i="20"/>
  <c r="AE245" i="20"/>
  <c r="AE240" i="20"/>
  <c r="AE232" i="20"/>
  <c r="AE224" i="20"/>
  <c r="AE216" i="20"/>
  <c r="AE208" i="20"/>
  <c r="AE200" i="20"/>
  <c r="AE192" i="20"/>
  <c r="AE184" i="20"/>
  <c r="AE176" i="20"/>
  <c r="AE168" i="20"/>
  <c r="AE160" i="20"/>
  <c r="AE152" i="20"/>
  <c r="AE144" i="20"/>
  <c r="AE136" i="20"/>
  <c r="AE128" i="20"/>
  <c r="AE120" i="20"/>
  <c r="AE112" i="20"/>
  <c r="AE104" i="20"/>
  <c r="AE100" i="20"/>
  <c r="AE96" i="20"/>
  <c r="AE92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Q378" i="20"/>
  <c r="Q374" i="20"/>
  <c r="Q370" i="20"/>
  <c r="Q366" i="20"/>
  <c r="Q362" i="20"/>
  <c r="Q358" i="20"/>
  <c r="Q354" i="20"/>
  <c r="Q347" i="20"/>
  <c r="Q339" i="20"/>
  <c r="Q331" i="20"/>
  <c r="Q323" i="20"/>
  <c r="Q315" i="20"/>
  <c r="Q307" i="20"/>
  <c r="Q299" i="20"/>
  <c r="Q291" i="20"/>
  <c r="Q283" i="20"/>
  <c r="Q275" i="20"/>
  <c r="Q267" i="20"/>
  <c r="Q259" i="20"/>
  <c r="Q251" i="20"/>
  <c r="Q243" i="20"/>
  <c r="Q235" i="20"/>
  <c r="Q227" i="20"/>
  <c r="Q219" i="20"/>
  <c r="Q211" i="20"/>
  <c r="Q203" i="20"/>
  <c r="Q191" i="20"/>
  <c r="Q150" i="20"/>
  <c r="D283" i="18"/>
  <c r="E283" i="18" s="1"/>
  <c r="F283" i="18" s="1"/>
  <c r="G283" i="18" s="1"/>
  <c r="CA283" i="6" s="1"/>
  <c r="W368" i="18"/>
  <c r="W376" i="18"/>
  <c r="D19" i="18"/>
  <c r="E19" i="18" s="1"/>
  <c r="F19" i="18" s="1"/>
  <c r="G19" i="18" s="1"/>
  <c r="CA19" i="6" s="1"/>
  <c r="D362" i="18"/>
  <c r="E362" i="18" s="1"/>
  <c r="F362" i="18" s="1"/>
  <c r="G362" i="18" s="1"/>
  <c r="CA362" i="6" s="1"/>
  <c r="Q198" i="20"/>
  <c r="Q196" i="20"/>
  <c r="Q194" i="20"/>
  <c r="Q192" i="20"/>
  <c r="Q190" i="20"/>
  <c r="Q186" i="20"/>
  <c r="Q182" i="20"/>
  <c r="Q178" i="20"/>
  <c r="Q174" i="20"/>
  <c r="Q170" i="20"/>
  <c r="Q162" i="20"/>
  <c r="Q154" i="20"/>
  <c r="Q146" i="20"/>
  <c r="Q138" i="20"/>
  <c r="Q128" i="20"/>
  <c r="Q78" i="20"/>
  <c r="Q168" i="20"/>
  <c r="Q164" i="20"/>
  <c r="Q160" i="20"/>
  <c r="Q156" i="20"/>
  <c r="Q152" i="20"/>
  <c r="Q148" i="20"/>
  <c r="Q144" i="20"/>
  <c r="Q140" i="20"/>
  <c r="Q136" i="20"/>
  <c r="Q132" i="20"/>
  <c r="Q124" i="20"/>
  <c r="Q102" i="20"/>
  <c r="Q46" i="20"/>
  <c r="W85" i="18"/>
  <c r="W327" i="18"/>
  <c r="D69" i="18"/>
  <c r="E69" i="18" s="1"/>
  <c r="W127" i="18"/>
  <c r="D141" i="18"/>
  <c r="E141" i="18" s="1"/>
  <c r="D42" i="18"/>
  <c r="E42" i="18" s="1"/>
  <c r="F42" i="18" s="1"/>
  <c r="H139" i="17"/>
  <c r="I139" i="17" s="1"/>
  <c r="W170" i="18"/>
  <c r="W178" i="18"/>
  <c r="D186" i="18"/>
  <c r="E186" i="18" s="1"/>
  <c r="F186" i="18" s="1"/>
  <c r="AA186" i="18" s="1"/>
  <c r="Z186" i="18" s="1"/>
  <c r="Y186" i="18" s="1"/>
  <c r="D214" i="18"/>
  <c r="E214" i="18" s="1"/>
  <c r="F214" i="18" s="1"/>
  <c r="G214" i="18" s="1"/>
  <c r="CA214" i="6" s="1"/>
  <c r="W299" i="18"/>
  <c r="W94" i="18"/>
  <c r="D114" i="18"/>
  <c r="E114" i="18" s="1"/>
  <c r="F114" i="18" s="1"/>
  <c r="D246" i="18"/>
  <c r="E246" i="18" s="1"/>
  <c r="F246" i="18" s="1"/>
  <c r="G246" i="18" s="1"/>
  <c r="CA246" i="6" s="1"/>
  <c r="D61" i="18"/>
  <c r="E61" i="18" s="1"/>
  <c r="W117" i="18"/>
  <c r="D73" i="18"/>
  <c r="E73" i="18" s="1"/>
  <c r="F73" i="18" s="1"/>
  <c r="AA73" i="18" s="1"/>
  <c r="Z73" i="18" s="1"/>
  <c r="Y73" i="18" s="1"/>
  <c r="W123" i="18"/>
  <c r="W339" i="18"/>
  <c r="H47" i="17"/>
  <c r="I47" i="17" s="1"/>
  <c r="D108" i="18"/>
  <c r="E108" i="18" s="1"/>
  <c r="F108" i="18" s="1"/>
  <c r="D220" i="18"/>
  <c r="E220" i="18" s="1"/>
  <c r="F220" i="18" s="1"/>
  <c r="W248" i="18"/>
  <c r="W284" i="18"/>
  <c r="W113" i="18"/>
  <c r="G47" i="17"/>
  <c r="BZ47" i="6" s="1"/>
  <c r="D28" i="18"/>
  <c r="E28" i="18" s="1"/>
  <c r="F28" i="18" s="1"/>
  <c r="G28" i="18" s="1"/>
  <c r="CA28" i="6" s="1"/>
  <c r="D36" i="18"/>
  <c r="E36" i="18" s="1"/>
  <c r="F36" i="18" s="1"/>
  <c r="G36" i="18" s="1"/>
  <c r="CA36" i="6" s="1"/>
  <c r="W76" i="18"/>
  <c r="D70" i="7"/>
  <c r="D92" i="18"/>
  <c r="E92" i="18" s="1"/>
  <c r="F92" i="18" s="1"/>
  <c r="W128" i="18"/>
  <c r="W140" i="18"/>
  <c r="D164" i="18"/>
  <c r="E164" i="18" s="1"/>
  <c r="F164" i="18" s="1"/>
  <c r="G164" i="18" s="1"/>
  <c r="CA164" i="6" s="1"/>
  <c r="W204" i="18"/>
  <c r="D232" i="18"/>
  <c r="E232" i="18" s="1"/>
  <c r="F232" i="18" s="1"/>
  <c r="G232" i="18" s="1"/>
  <c r="CA232" i="6" s="1"/>
  <c r="D240" i="18"/>
  <c r="E240" i="18" s="1"/>
  <c r="F240" i="18" s="1"/>
  <c r="H240" i="18" s="1"/>
  <c r="D256" i="18"/>
  <c r="E256" i="18" s="1"/>
  <c r="F256" i="18" s="1"/>
  <c r="G256" i="18" s="1"/>
  <c r="CA256" i="6" s="1"/>
  <c r="D268" i="18"/>
  <c r="E268" i="18" s="1"/>
  <c r="F268" i="18" s="1"/>
  <c r="H268" i="18" s="1"/>
  <c r="W300" i="18"/>
  <c r="D320" i="18"/>
  <c r="E320" i="18" s="1"/>
  <c r="F320" i="18" s="1"/>
  <c r="W328" i="18"/>
  <c r="W344" i="18"/>
  <c r="D356" i="18"/>
  <c r="E356" i="18" s="1"/>
  <c r="F356" i="18" s="1"/>
  <c r="AA356" i="18" s="1"/>
  <c r="Z356" i="18" s="1"/>
  <c r="Y356" i="18" s="1"/>
  <c r="W65" i="18"/>
  <c r="AA139" i="17"/>
  <c r="Z139" i="17" s="1"/>
  <c r="Y139" i="17" s="1"/>
  <c r="D150" i="18"/>
  <c r="E150" i="18" s="1"/>
  <c r="F150" i="18" s="1"/>
  <c r="H150" i="18" s="1"/>
  <c r="W154" i="18"/>
  <c r="W158" i="18"/>
  <c r="D198" i="18"/>
  <c r="E198" i="18" s="1"/>
  <c r="F198" i="18" s="1"/>
  <c r="G198" i="18" s="1"/>
  <c r="CA198" i="6" s="1"/>
  <c r="D206" i="18"/>
  <c r="E206" i="18" s="1"/>
  <c r="F206" i="18" s="1"/>
  <c r="V210" i="18"/>
  <c r="D210" i="18" s="1"/>
  <c r="E210" i="18" s="1"/>
  <c r="F210" i="18" s="1"/>
  <c r="D282" i="18"/>
  <c r="E282" i="18" s="1"/>
  <c r="F282" i="18" s="1"/>
  <c r="G282" i="18" s="1"/>
  <c r="CA282" i="6" s="1"/>
  <c r="V302" i="18"/>
  <c r="W302" i="18" s="1"/>
  <c r="W306" i="18"/>
  <c r="D318" i="18"/>
  <c r="E318" i="18" s="1"/>
  <c r="F318" i="18" s="1"/>
  <c r="G318" i="18" s="1"/>
  <c r="CA318" i="6" s="1"/>
  <c r="D330" i="18"/>
  <c r="E330" i="18" s="1"/>
  <c r="F330" i="18" s="1"/>
  <c r="Q189" i="20"/>
  <c r="Q187" i="20"/>
  <c r="Q185" i="20"/>
  <c r="Q183" i="20"/>
  <c r="Q181" i="20"/>
  <c r="Q179" i="20"/>
  <c r="Q177" i="20"/>
  <c r="Q175" i="20"/>
  <c r="Q173" i="20"/>
  <c r="Q171" i="20"/>
  <c r="Q169" i="20"/>
  <c r="Q167" i="20"/>
  <c r="Q165" i="20"/>
  <c r="Q163" i="20"/>
  <c r="Q161" i="20"/>
  <c r="Q159" i="20"/>
  <c r="Q157" i="20"/>
  <c r="Q155" i="20"/>
  <c r="Q153" i="20"/>
  <c r="Q151" i="20"/>
  <c r="Q149" i="20"/>
  <c r="Q147" i="20"/>
  <c r="Q145" i="20"/>
  <c r="Q143" i="20"/>
  <c r="Q141" i="20"/>
  <c r="Q139" i="20"/>
  <c r="Q137" i="20"/>
  <c r="Q135" i="20"/>
  <c r="Q133" i="20"/>
  <c r="Q130" i="20"/>
  <c r="Q126" i="20"/>
  <c r="Q120" i="20"/>
  <c r="Q110" i="20"/>
  <c r="Q94" i="20"/>
  <c r="Q62" i="20"/>
  <c r="Q30" i="20"/>
  <c r="Q131" i="20"/>
  <c r="Q129" i="20"/>
  <c r="Q127" i="20"/>
  <c r="Q125" i="20"/>
  <c r="Q122" i="20"/>
  <c r="Q118" i="20"/>
  <c r="Q114" i="20"/>
  <c r="Q106" i="20"/>
  <c r="Q98" i="20"/>
  <c r="Q86" i="20"/>
  <c r="Q70" i="20"/>
  <c r="Q54" i="20"/>
  <c r="Q38" i="20"/>
  <c r="Q22" i="20"/>
  <c r="AH379" i="18"/>
  <c r="AI12" i="20"/>
  <c r="AI101" i="20" s="1"/>
  <c r="AH101" i="20" s="1"/>
  <c r="AG101" i="20" s="1"/>
  <c r="AF101" i="20" s="1"/>
  <c r="AD101" i="20" s="1"/>
  <c r="AG359" i="18"/>
  <c r="AF359" i="18" s="1"/>
  <c r="AD359" i="18" s="1"/>
  <c r="AG327" i="18"/>
  <c r="AF327" i="18" s="1"/>
  <c r="AD327" i="18" s="1"/>
  <c r="AA327" i="18" s="1"/>
  <c r="Z327" i="18" s="1"/>
  <c r="Y327" i="18" s="1"/>
  <c r="AG303" i="18"/>
  <c r="AF303" i="18" s="1"/>
  <c r="AD303" i="18" s="1"/>
  <c r="AG253" i="18"/>
  <c r="AF253" i="18" s="1"/>
  <c r="AD253" i="18" s="1"/>
  <c r="AG237" i="18"/>
  <c r="AF237" i="18" s="1"/>
  <c r="AD237" i="18" s="1"/>
  <c r="AG221" i="18"/>
  <c r="AF221" i="18" s="1"/>
  <c r="AD221" i="18" s="1"/>
  <c r="AG213" i="18"/>
  <c r="AF213" i="18" s="1"/>
  <c r="AD213" i="18" s="1"/>
  <c r="AG205" i="18"/>
  <c r="AF205" i="18" s="1"/>
  <c r="AD205" i="18" s="1"/>
  <c r="AG197" i="18"/>
  <c r="AF197" i="18" s="1"/>
  <c r="AD197" i="18" s="1"/>
  <c r="AG157" i="18"/>
  <c r="AF157" i="18" s="1"/>
  <c r="AD157" i="18" s="1"/>
  <c r="AG133" i="18"/>
  <c r="AF133" i="18" s="1"/>
  <c r="AD133" i="18" s="1"/>
  <c r="AG109" i="18"/>
  <c r="AF109" i="18" s="1"/>
  <c r="AD109" i="18" s="1"/>
  <c r="AG93" i="18"/>
  <c r="AF93" i="18" s="1"/>
  <c r="AD93" i="18" s="1"/>
  <c r="AG45" i="18"/>
  <c r="AF45" i="18" s="1"/>
  <c r="AD45" i="18" s="1"/>
  <c r="AG283" i="18"/>
  <c r="AF283" i="18" s="1"/>
  <c r="AD283" i="18" s="1"/>
  <c r="AG259" i="18"/>
  <c r="AF259" i="18" s="1"/>
  <c r="AD259" i="18" s="1"/>
  <c r="AG251" i="18"/>
  <c r="AF251" i="18" s="1"/>
  <c r="AD251" i="18" s="1"/>
  <c r="AA251" i="18" s="1"/>
  <c r="Z251" i="18" s="1"/>
  <c r="Y251" i="18" s="1"/>
  <c r="AG243" i="18"/>
  <c r="AF243" i="18" s="1"/>
  <c r="AD243" i="18" s="1"/>
  <c r="AG227" i="18"/>
  <c r="AF227" i="18" s="1"/>
  <c r="AD227" i="18" s="1"/>
  <c r="AG219" i="18"/>
  <c r="AF219" i="18" s="1"/>
  <c r="AD219" i="18" s="1"/>
  <c r="AG211" i="18"/>
  <c r="AF211" i="18" s="1"/>
  <c r="AD211" i="18" s="1"/>
  <c r="AG203" i="18"/>
  <c r="AF203" i="18" s="1"/>
  <c r="AD203" i="18" s="1"/>
  <c r="AG195" i="18"/>
  <c r="AF195" i="18" s="1"/>
  <c r="AD195" i="18" s="1"/>
  <c r="AG187" i="18"/>
  <c r="AF187" i="18" s="1"/>
  <c r="AD187" i="18" s="1"/>
  <c r="AG171" i="18"/>
  <c r="AF171" i="18" s="1"/>
  <c r="AD171" i="18" s="1"/>
  <c r="AG163" i="18"/>
  <c r="AF163" i="18" s="1"/>
  <c r="AD163" i="18" s="1"/>
  <c r="AG155" i="18"/>
  <c r="AF155" i="18" s="1"/>
  <c r="AD155" i="18" s="1"/>
  <c r="AG147" i="18"/>
  <c r="AF147" i="18" s="1"/>
  <c r="AD147" i="18" s="1"/>
  <c r="AG139" i="18"/>
  <c r="AF139" i="18" s="1"/>
  <c r="AD139" i="18" s="1"/>
  <c r="AG131" i="18"/>
  <c r="AF131" i="18" s="1"/>
  <c r="AD131" i="18" s="1"/>
  <c r="AA131" i="18" s="1"/>
  <c r="Z131" i="18" s="1"/>
  <c r="Y131" i="18" s="1"/>
  <c r="AG123" i="18"/>
  <c r="AF123" i="18" s="1"/>
  <c r="AD123" i="18" s="1"/>
  <c r="AA123" i="18" s="1"/>
  <c r="Z123" i="18" s="1"/>
  <c r="Y123" i="18" s="1"/>
  <c r="AG99" i="18"/>
  <c r="AF99" i="18" s="1"/>
  <c r="AD99" i="18" s="1"/>
  <c r="AG75" i="18"/>
  <c r="AF75" i="18" s="1"/>
  <c r="AD75" i="18" s="1"/>
  <c r="AG59" i="18"/>
  <c r="AF59" i="18" s="1"/>
  <c r="AD59" i="18" s="1"/>
  <c r="AA59" i="18" s="1"/>
  <c r="Z59" i="18" s="1"/>
  <c r="Y59" i="18" s="1"/>
  <c r="AG43" i="18"/>
  <c r="AF43" i="18" s="1"/>
  <c r="AD43" i="18" s="1"/>
  <c r="AG35" i="18"/>
  <c r="AF35" i="18" s="1"/>
  <c r="AD35" i="18" s="1"/>
  <c r="AI383" i="18"/>
  <c r="AH15" i="18"/>
  <c r="AI382" i="18"/>
  <c r="AI381" i="18"/>
  <c r="AD377" i="18"/>
  <c r="AD369" i="18"/>
  <c r="AD353" i="18"/>
  <c r="AD329" i="18"/>
  <c r="AA329" i="18" s="1"/>
  <c r="Z329" i="18" s="1"/>
  <c r="Y329" i="18" s="1"/>
  <c r="AD321" i="18"/>
  <c r="AA321" i="18" s="1"/>
  <c r="Z321" i="18" s="1"/>
  <c r="Y321" i="18" s="1"/>
  <c r="AD305" i="18"/>
  <c r="AA305" i="18" s="1"/>
  <c r="Z305" i="18" s="1"/>
  <c r="Y305" i="18" s="1"/>
  <c r="AD297" i="18"/>
  <c r="AA297" i="18" s="1"/>
  <c r="Z297" i="18" s="1"/>
  <c r="Y297" i="18" s="1"/>
  <c r="AD289" i="18"/>
  <c r="AD277" i="18"/>
  <c r="AD181" i="18"/>
  <c r="AD173" i="18"/>
  <c r="AD121" i="18"/>
  <c r="AD77" i="18"/>
  <c r="AD61" i="18"/>
  <c r="AD37" i="18"/>
  <c r="AD25" i="18"/>
  <c r="AD378" i="18"/>
  <c r="AD358" i="18"/>
  <c r="AD334" i="18"/>
  <c r="AD314" i="18"/>
  <c r="AD294" i="18"/>
  <c r="AD266" i="18"/>
  <c r="AD254" i="18"/>
  <c r="AD226" i="18"/>
  <c r="AD210" i="18"/>
  <c r="AD174" i="18"/>
  <c r="AD158" i="18"/>
  <c r="AA158" i="18" s="1"/>
  <c r="Z158" i="18" s="1"/>
  <c r="Y158" i="18" s="1"/>
  <c r="AD142" i="18"/>
  <c r="AD126" i="18"/>
  <c r="AD94" i="18"/>
  <c r="AA94" i="18" s="1"/>
  <c r="Z94" i="18" s="1"/>
  <c r="Y94" i="18" s="1"/>
  <c r="AD70" i="18"/>
  <c r="AD50" i="18"/>
  <c r="AD34" i="18"/>
  <c r="AD19" i="18"/>
  <c r="AD288" i="18"/>
  <c r="AD276" i="18"/>
  <c r="AD268" i="18"/>
  <c r="AD256" i="18"/>
  <c r="AD240" i="18"/>
  <c r="AD232" i="18"/>
  <c r="AD220" i="18"/>
  <c r="AD208" i="18"/>
  <c r="AD200" i="18"/>
  <c r="AD188" i="18"/>
  <c r="AD180" i="18"/>
  <c r="AD172" i="18"/>
  <c r="AD164" i="18"/>
  <c r="AD152" i="18"/>
  <c r="AD144" i="18"/>
  <c r="AD132" i="18"/>
  <c r="AD116" i="18"/>
  <c r="AD108" i="18"/>
  <c r="AD100" i="18"/>
  <c r="AD92" i="18"/>
  <c r="AD72" i="18"/>
  <c r="AD60" i="18"/>
  <c r="AD52" i="18"/>
  <c r="AD40" i="18"/>
  <c r="AD28" i="18"/>
  <c r="AD20" i="18"/>
  <c r="AD370" i="18"/>
  <c r="AD354" i="18"/>
  <c r="AD330" i="18"/>
  <c r="AD310" i="18"/>
  <c r="AD298" i="18"/>
  <c r="AD270" i="18"/>
  <c r="AD250" i="18"/>
  <c r="AD230" i="18"/>
  <c r="AD214" i="18"/>
  <c r="AD182" i="18"/>
  <c r="AD162" i="18"/>
  <c r="AD146" i="18"/>
  <c r="AD130" i="18"/>
  <c r="AD98" i="18"/>
  <c r="AD66" i="18"/>
  <c r="AD46" i="18"/>
  <c r="AD30" i="18"/>
  <c r="AG341" i="18"/>
  <c r="AF341" i="18" s="1"/>
  <c r="AD341" i="18" s="1"/>
  <c r="AG309" i="18"/>
  <c r="AF309" i="18" s="1"/>
  <c r="AD309" i="18" s="1"/>
  <c r="AG257" i="18"/>
  <c r="AF257" i="18" s="1"/>
  <c r="AD257" i="18" s="1"/>
  <c r="AG249" i="18"/>
  <c r="AF249" i="18" s="1"/>
  <c r="AD249" i="18" s="1"/>
  <c r="AG233" i="18"/>
  <c r="AF233" i="18" s="1"/>
  <c r="AD233" i="18" s="1"/>
  <c r="AG225" i="18"/>
  <c r="AF225" i="18" s="1"/>
  <c r="AD225" i="18" s="1"/>
  <c r="AG217" i="18"/>
  <c r="AF217" i="18" s="1"/>
  <c r="AD217" i="18" s="1"/>
  <c r="AG209" i="18"/>
  <c r="AF209" i="18" s="1"/>
  <c r="AD209" i="18" s="1"/>
  <c r="AG193" i="18"/>
  <c r="AF193" i="18" s="1"/>
  <c r="AD193" i="18" s="1"/>
  <c r="AG153" i="18"/>
  <c r="AF153" i="18" s="1"/>
  <c r="AD153" i="18" s="1"/>
  <c r="AG145" i="18"/>
  <c r="AF145" i="18" s="1"/>
  <c r="AD145" i="18" s="1"/>
  <c r="AG137" i="18"/>
  <c r="AF137" i="18" s="1"/>
  <c r="AD137" i="18" s="1"/>
  <c r="AG129" i="18"/>
  <c r="AF129" i="18" s="1"/>
  <c r="AD129" i="18" s="1"/>
  <c r="AG113" i="18"/>
  <c r="AF113" i="18" s="1"/>
  <c r="AD113" i="18" s="1"/>
  <c r="AA113" i="18" s="1"/>
  <c r="Z113" i="18" s="1"/>
  <c r="Y113" i="18" s="1"/>
  <c r="AG105" i="18"/>
  <c r="AF105" i="18" s="1"/>
  <c r="AD105" i="18" s="1"/>
  <c r="AG97" i="18"/>
  <c r="AF97" i="18" s="1"/>
  <c r="AD97" i="18" s="1"/>
  <c r="AG89" i="18"/>
  <c r="AF89" i="18" s="1"/>
  <c r="AD89" i="18" s="1"/>
  <c r="AG49" i="18"/>
  <c r="AF49" i="18" s="1"/>
  <c r="AD49" i="18" s="1"/>
  <c r="AG279" i="18"/>
  <c r="AF279" i="18" s="1"/>
  <c r="AD279" i="18" s="1"/>
  <c r="AG271" i="18"/>
  <c r="AF271" i="18" s="1"/>
  <c r="AD271" i="18" s="1"/>
  <c r="AG255" i="18"/>
  <c r="AF255" i="18" s="1"/>
  <c r="AD255" i="18" s="1"/>
  <c r="AG247" i="18"/>
  <c r="AF247" i="18" s="1"/>
  <c r="AD247" i="18" s="1"/>
  <c r="AG223" i="18"/>
  <c r="AF223" i="18" s="1"/>
  <c r="AD223" i="18" s="1"/>
  <c r="AG215" i="18"/>
  <c r="AF215" i="18" s="1"/>
  <c r="AD215" i="18" s="1"/>
  <c r="AA215" i="18" s="1"/>
  <c r="Z215" i="18" s="1"/>
  <c r="Y215" i="18" s="1"/>
  <c r="AG199" i="18"/>
  <c r="AF199" i="18" s="1"/>
  <c r="AD199" i="18" s="1"/>
  <c r="AG175" i="18"/>
  <c r="AF175" i="18" s="1"/>
  <c r="AD175" i="18" s="1"/>
  <c r="AG167" i="18"/>
  <c r="AF167" i="18" s="1"/>
  <c r="AD167" i="18" s="1"/>
  <c r="AG143" i="18"/>
  <c r="AF143" i="18" s="1"/>
  <c r="AD143" i="18" s="1"/>
  <c r="AG95" i="18"/>
  <c r="AF95" i="18" s="1"/>
  <c r="AD95" i="18" s="1"/>
  <c r="AG87" i="18"/>
  <c r="AF87" i="18" s="1"/>
  <c r="AD87" i="18" s="1"/>
  <c r="AG55" i="18"/>
  <c r="AF55" i="18" s="1"/>
  <c r="AD55" i="18" s="1"/>
  <c r="AG47" i="18"/>
  <c r="AF47" i="18" s="1"/>
  <c r="AD47" i="18" s="1"/>
  <c r="AG31" i="18"/>
  <c r="AF31" i="18" s="1"/>
  <c r="AD31" i="18" s="1"/>
  <c r="AA31" i="18" s="1"/>
  <c r="Z31" i="18" s="1"/>
  <c r="Y31" i="18" s="1"/>
  <c r="AG18" i="18"/>
  <c r="AF18" i="18" s="1"/>
  <c r="AD18" i="18" s="1"/>
  <c r="AD373" i="18"/>
  <c r="AA373" i="18" s="1"/>
  <c r="Z373" i="18" s="1"/>
  <c r="Y373" i="18" s="1"/>
  <c r="AD361" i="18"/>
  <c r="AA361" i="18" s="1"/>
  <c r="Z361" i="18" s="1"/>
  <c r="Y361" i="18" s="1"/>
  <c r="AD337" i="18"/>
  <c r="AD325" i="18"/>
  <c r="AD313" i="18"/>
  <c r="AD301" i="18"/>
  <c r="AD293" i="18"/>
  <c r="AD285" i="18"/>
  <c r="AD273" i="18"/>
  <c r="AD177" i="18"/>
  <c r="AD165" i="18"/>
  <c r="AD81" i="18"/>
  <c r="AD65" i="18"/>
  <c r="AD57" i="18"/>
  <c r="AD29" i="18"/>
  <c r="AD16" i="18"/>
  <c r="AD366" i="18"/>
  <c r="AD350" i="18"/>
  <c r="AD326" i="18"/>
  <c r="AD306" i="18"/>
  <c r="AA306" i="18" s="1"/>
  <c r="Z306" i="18" s="1"/>
  <c r="Y306" i="18" s="1"/>
  <c r="AD290" i="18"/>
  <c r="AD258" i="18"/>
  <c r="AD246" i="18"/>
  <c r="AD218" i="18"/>
  <c r="AD194" i="18"/>
  <c r="AD166" i="18"/>
  <c r="AD150" i="18"/>
  <c r="AD134" i="18"/>
  <c r="AD110" i="18"/>
  <c r="AD78" i="18"/>
  <c r="AD62" i="18"/>
  <c r="AD42" i="18"/>
  <c r="AD26" i="18"/>
  <c r="AD292" i="18"/>
  <c r="AD280" i="18"/>
  <c r="AD272" i="18"/>
  <c r="AD260" i="18"/>
  <c r="AD252" i="18"/>
  <c r="AD236" i="18"/>
  <c r="AD224" i="18"/>
  <c r="AD216" i="18"/>
  <c r="AD204" i="18"/>
  <c r="AA204" i="18" s="1"/>
  <c r="Z204" i="18" s="1"/>
  <c r="Y204" i="18" s="1"/>
  <c r="AD196" i="18"/>
  <c r="AD184" i="18"/>
  <c r="AD176" i="18"/>
  <c r="AD168" i="18"/>
  <c r="AD156" i="18"/>
  <c r="AD148" i="18"/>
  <c r="AD136" i="18"/>
  <c r="AD128" i="18"/>
  <c r="AA128" i="18" s="1"/>
  <c r="Z128" i="18" s="1"/>
  <c r="Y128" i="18" s="1"/>
  <c r="AD112" i="18"/>
  <c r="AD104" i="18"/>
  <c r="AD96" i="18"/>
  <c r="AD80" i="18"/>
  <c r="AD68" i="18"/>
  <c r="AD56" i="18"/>
  <c r="AD48" i="18"/>
  <c r="AD36" i="18"/>
  <c r="AD24" i="18"/>
  <c r="AD17" i="18"/>
  <c r="AD362" i="18"/>
  <c r="AD342" i="18"/>
  <c r="AD318" i="18"/>
  <c r="AD302" i="18"/>
  <c r="AD286" i="18"/>
  <c r="AD262" i="18"/>
  <c r="AD242" i="18"/>
  <c r="AD222" i="18"/>
  <c r="AD206" i="18"/>
  <c r="AD170" i="18"/>
  <c r="AA170" i="18" s="1"/>
  <c r="Z170" i="18" s="1"/>
  <c r="Y170" i="18" s="1"/>
  <c r="AD154" i="18"/>
  <c r="AA154" i="18" s="1"/>
  <c r="Z154" i="18" s="1"/>
  <c r="Y154" i="18" s="1"/>
  <c r="AD138" i="18"/>
  <c r="AD114" i="18"/>
  <c r="AD74" i="18"/>
  <c r="AD58" i="18"/>
  <c r="AD38" i="18"/>
  <c r="AD22" i="18"/>
  <c r="Q123" i="20"/>
  <c r="Q121" i="20"/>
  <c r="Q119" i="20"/>
  <c r="Q117" i="20"/>
  <c r="Q115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M64" i="19"/>
  <c r="Z124" i="17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W37" i="18"/>
  <c r="D37" i="18"/>
  <c r="E37" i="18" s="1"/>
  <c r="F37" i="18" s="1"/>
  <c r="W79" i="18"/>
  <c r="D79" i="18"/>
  <c r="E79" i="18" s="1"/>
  <c r="F79" i="18" s="1"/>
  <c r="D97" i="18"/>
  <c r="E97" i="18" s="1"/>
  <c r="F97" i="18" s="1"/>
  <c r="W97" i="18"/>
  <c r="W121" i="18"/>
  <c r="D121" i="18"/>
  <c r="E121" i="18" s="1"/>
  <c r="F121" i="18" s="1"/>
  <c r="W151" i="18"/>
  <c r="D151" i="18"/>
  <c r="E151" i="18" s="1"/>
  <c r="F151" i="18" s="1"/>
  <c r="D181" i="18"/>
  <c r="E181" i="18" s="1"/>
  <c r="F181" i="18" s="1"/>
  <c r="W181" i="18"/>
  <c r="D195" i="18"/>
  <c r="E195" i="18" s="1"/>
  <c r="F195" i="18" s="1"/>
  <c r="W195" i="18"/>
  <c r="W221" i="18"/>
  <c r="D221" i="18"/>
  <c r="E221" i="18" s="1"/>
  <c r="F221" i="18" s="1"/>
  <c r="D237" i="18"/>
  <c r="E237" i="18" s="1"/>
  <c r="F237" i="18" s="1"/>
  <c r="W237" i="18"/>
  <c r="D247" i="18"/>
  <c r="E247" i="18" s="1"/>
  <c r="F247" i="18" s="1"/>
  <c r="W247" i="18"/>
  <c r="W265" i="18"/>
  <c r="D265" i="18"/>
  <c r="E265" i="18" s="1"/>
  <c r="F265" i="18" s="1"/>
  <c r="W275" i="18"/>
  <c r="D275" i="18"/>
  <c r="E275" i="18" s="1"/>
  <c r="F275" i="18" s="1"/>
  <c r="D293" i="18"/>
  <c r="E293" i="18" s="1"/>
  <c r="F293" i="18" s="1"/>
  <c r="W293" i="18"/>
  <c r="D315" i="18"/>
  <c r="E315" i="18" s="1"/>
  <c r="F315" i="18" s="1"/>
  <c r="W315" i="18"/>
  <c r="W353" i="18"/>
  <c r="D353" i="18"/>
  <c r="E353" i="18" s="1"/>
  <c r="F353" i="18" s="1"/>
  <c r="W365" i="18"/>
  <c r="D365" i="18"/>
  <c r="E365" i="18" s="1"/>
  <c r="F365" i="18" s="1"/>
  <c r="W44" i="18"/>
  <c r="D44" i="18"/>
  <c r="E44" i="18" s="1"/>
  <c r="F44" i="18" s="1"/>
  <c r="W56" i="18"/>
  <c r="D56" i="18"/>
  <c r="E56" i="18" s="1"/>
  <c r="F56" i="18" s="1"/>
  <c r="W64" i="18"/>
  <c r="D64" i="18"/>
  <c r="E64" i="18" s="1"/>
  <c r="F64" i="18" s="1"/>
  <c r="D96" i="18"/>
  <c r="E96" i="18" s="1"/>
  <c r="F96" i="18" s="1"/>
  <c r="W96" i="18"/>
  <c r="W124" i="18"/>
  <c r="D124" i="18"/>
  <c r="E124" i="18" s="1"/>
  <c r="F124" i="18" s="1"/>
  <c r="D142" i="18"/>
  <c r="E142" i="18" s="1"/>
  <c r="F142" i="18" s="1"/>
  <c r="W142" i="18"/>
  <c r="D168" i="18"/>
  <c r="E168" i="18" s="1"/>
  <c r="F168" i="18" s="1"/>
  <c r="W168" i="18"/>
  <c r="D174" i="18"/>
  <c r="E174" i="18" s="1"/>
  <c r="F174" i="18" s="1"/>
  <c r="W174" i="18"/>
  <c r="D73" i="7"/>
  <c r="V180" i="18"/>
  <c r="W222" i="18"/>
  <c r="D222" i="18"/>
  <c r="E222" i="18" s="1"/>
  <c r="F222" i="18" s="1"/>
  <c r="W234" i="18"/>
  <c r="D234" i="18"/>
  <c r="E234" i="18" s="1"/>
  <c r="F234" i="18" s="1"/>
  <c r="W238" i="18"/>
  <c r="D238" i="18"/>
  <c r="E238" i="18" s="1"/>
  <c r="F238" i="18" s="1"/>
  <c r="D244" i="18"/>
  <c r="E244" i="18" s="1"/>
  <c r="F244" i="18" s="1"/>
  <c r="W244" i="18"/>
  <c r="D260" i="18"/>
  <c r="E260" i="18" s="1"/>
  <c r="F260" i="18" s="1"/>
  <c r="W260" i="18"/>
  <c r="D266" i="18"/>
  <c r="E266" i="18" s="1"/>
  <c r="F266" i="18" s="1"/>
  <c r="W266" i="18"/>
  <c r="D274" i="18"/>
  <c r="E274" i="18" s="1"/>
  <c r="F274" i="18" s="1"/>
  <c r="W274" i="18"/>
  <c r="W39" i="18"/>
  <c r="D39" i="18"/>
  <c r="E39" i="18" s="1"/>
  <c r="F39" i="18" s="1"/>
  <c r="W47" i="18"/>
  <c r="D47" i="18"/>
  <c r="E47" i="18" s="1"/>
  <c r="F47" i="18" s="1"/>
  <c r="D75" i="18"/>
  <c r="E75" i="18" s="1"/>
  <c r="F75" i="18" s="1"/>
  <c r="W75" i="18"/>
  <c r="W93" i="18"/>
  <c r="D93" i="18"/>
  <c r="E93" i="18" s="1"/>
  <c r="F93" i="18" s="1"/>
  <c r="D115" i="18"/>
  <c r="E115" i="18" s="1"/>
  <c r="F115" i="18" s="1"/>
  <c r="W115" i="18"/>
  <c r="D133" i="18"/>
  <c r="E133" i="18" s="1"/>
  <c r="F133" i="18" s="1"/>
  <c r="W133" i="18"/>
  <c r="W137" i="18"/>
  <c r="D137" i="18"/>
  <c r="E137" i="18" s="1"/>
  <c r="F137" i="18" s="1"/>
  <c r="D143" i="18"/>
  <c r="E143" i="18" s="1"/>
  <c r="F143" i="18" s="1"/>
  <c r="W143" i="18"/>
  <c r="W155" i="18"/>
  <c r="D155" i="18"/>
  <c r="E155" i="18" s="1"/>
  <c r="F155" i="18" s="1"/>
  <c r="D167" i="18"/>
  <c r="E167" i="18" s="1"/>
  <c r="F167" i="18" s="1"/>
  <c r="W167" i="18"/>
  <c r="D187" i="18"/>
  <c r="E187" i="18" s="1"/>
  <c r="F187" i="18" s="1"/>
  <c r="W187" i="18"/>
  <c r="W223" i="18"/>
  <c r="D223" i="18"/>
  <c r="E223" i="18" s="1"/>
  <c r="F223" i="18" s="1"/>
  <c r="D233" i="18"/>
  <c r="E233" i="18" s="1"/>
  <c r="F233" i="18" s="1"/>
  <c r="W233" i="18"/>
  <c r="W263" i="18"/>
  <c r="D263" i="18"/>
  <c r="E263" i="18" s="1"/>
  <c r="F263" i="18" s="1"/>
  <c r="W267" i="18"/>
  <c r="D267" i="18"/>
  <c r="E267" i="18" s="1"/>
  <c r="F267" i="18" s="1"/>
  <c r="D273" i="18"/>
  <c r="E273" i="18" s="1"/>
  <c r="F273" i="18" s="1"/>
  <c r="W273" i="18"/>
  <c r="W281" i="18"/>
  <c r="D281" i="18"/>
  <c r="E281" i="18" s="1"/>
  <c r="F281" i="18" s="1"/>
  <c r="W291" i="18"/>
  <c r="D291" i="18"/>
  <c r="E291" i="18" s="1"/>
  <c r="F291" i="18" s="1"/>
  <c r="W303" i="18"/>
  <c r="D303" i="18"/>
  <c r="E303" i="18" s="1"/>
  <c r="F303" i="18" s="1"/>
  <c r="D317" i="18"/>
  <c r="E317" i="18" s="1"/>
  <c r="F317" i="18" s="1"/>
  <c r="W317" i="18"/>
  <c r="D78" i="7"/>
  <c r="V333" i="18"/>
  <c r="D341" i="18"/>
  <c r="E341" i="18" s="1"/>
  <c r="F341" i="18" s="1"/>
  <c r="W341" i="18"/>
  <c r="D355" i="18"/>
  <c r="E355" i="18" s="1"/>
  <c r="F355" i="18" s="1"/>
  <c r="W355" i="18"/>
  <c r="D79" i="7"/>
  <c r="V363" i="18"/>
  <c r="W375" i="18"/>
  <c r="D375" i="18"/>
  <c r="E375" i="18" s="1"/>
  <c r="F375" i="18" s="1"/>
  <c r="D30" i="18"/>
  <c r="E30" i="18" s="1"/>
  <c r="F30" i="18" s="1"/>
  <c r="W30" i="18"/>
  <c r="W38" i="18"/>
  <c r="D38" i="18"/>
  <c r="E38" i="18" s="1"/>
  <c r="F38" i="18" s="1"/>
  <c r="W52" i="18"/>
  <c r="D52" i="18"/>
  <c r="E52" i="18" s="1"/>
  <c r="F52" i="18" s="1"/>
  <c r="D68" i="18"/>
  <c r="E68" i="18" s="1"/>
  <c r="F68" i="18" s="1"/>
  <c r="W68" i="18"/>
  <c r="D72" i="18"/>
  <c r="E72" i="18" s="1"/>
  <c r="F72" i="18" s="1"/>
  <c r="W72" i="18"/>
  <c r="D84" i="18"/>
  <c r="E84" i="18" s="1"/>
  <c r="F84" i="18" s="1"/>
  <c r="W84" i="18"/>
  <c r="D102" i="18"/>
  <c r="E102" i="18" s="1"/>
  <c r="F102" i="18" s="1"/>
  <c r="W102" i="18"/>
  <c r="W116" i="18"/>
  <c r="D116" i="18"/>
  <c r="E116" i="18" s="1"/>
  <c r="F116" i="18" s="1"/>
  <c r="D134" i="18"/>
  <c r="E134" i="18" s="1"/>
  <c r="F134" i="18" s="1"/>
  <c r="W134" i="18"/>
  <c r="D152" i="18"/>
  <c r="E152" i="18" s="1"/>
  <c r="F152" i="18" s="1"/>
  <c r="W152" i="18"/>
  <c r="D162" i="18"/>
  <c r="E162" i="18" s="1"/>
  <c r="F162" i="18" s="1"/>
  <c r="W162" i="18"/>
  <c r="W172" i="18"/>
  <c r="D172" i="18"/>
  <c r="E172" i="18" s="1"/>
  <c r="F172" i="18" s="1"/>
  <c r="D176" i="18"/>
  <c r="E176" i="18" s="1"/>
  <c r="F176" i="18" s="1"/>
  <c r="W176" i="18"/>
  <c r="W182" i="18"/>
  <c r="D182" i="18"/>
  <c r="E182" i="18" s="1"/>
  <c r="F182" i="18" s="1"/>
  <c r="D216" i="18"/>
  <c r="E216" i="18" s="1"/>
  <c r="F216" i="18" s="1"/>
  <c r="W216" i="18"/>
  <c r="D224" i="18"/>
  <c r="E224" i="18" s="1"/>
  <c r="F224" i="18" s="1"/>
  <c r="W224" i="18"/>
  <c r="W228" i="18"/>
  <c r="D228" i="18"/>
  <c r="E228" i="18" s="1"/>
  <c r="F228" i="18" s="1"/>
  <c r="W236" i="18"/>
  <c r="D236" i="18"/>
  <c r="E236" i="18" s="1"/>
  <c r="F236" i="18" s="1"/>
  <c r="D254" i="18"/>
  <c r="E254" i="18" s="1"/>
  <c r="F254" i="18" s="1"/>
  <c r="W254" i="18"/>
  <c r="D262" i="18"/>
  <c r="E262" i="18" s="1"/>
  <c r="F262" i="18" s="1"/>
  <c r="W262" i="18"/>
  <c r="D276" i="18"/>
  <c r="E276" i="18" s="1"/>
  <c r="F276" i="18" s="1"/>
  <c r="W276" i="18"/>
  <c r="D308" i="18"/>
  <c r="E308" i="18" s="1"/>
  <c r="F308" i="18" s="1"/>
  <c r="W308" i="18"/>
  <c r="D322" i="18"/>
  <c r="E322" i="18" s="1"/>
  <c r="F322" i="18" s="1"/>
  <c r="W322" i="18"/>
  <c r="W336" i="18"/>
  <c r="D336" i="18"/>
  <c r="E336" i="18" s="1"/>
  <c r="F336" i="18" s="1"/>
  <c r="W340" i="18"/>
  <c r="D340" i="18"/>
  <c r="E340" i="18" s="1"/>
  <c r="F340" i="18" s="1"/>
  <c r="W346" i="18"/>
  <c r="D346" i="18"/>
  <c r="E346" i="18" s="1"/>
  <c r="F346" i="18" s="1"/>
  <c r="W350" i="18"/>
  <c r="D350" i="18"/>
  <c r="E350" i="18" s="1"/>
  <c r="F350" i="18" s="1"/>
  <c r="W358" i="18"/>
  <c r="D358" i="18"/>
  <c r="E358" i="18" s="1"/>
  <c r="F358" i="18" s="1"/>
  <c r="D366" i="18"/>
  <c r="E366" i="18" s="1"/>
  <c r="F366" i="18" s="1"/>
  <c r="W366" i="18"/>
  <c r="D41" i="18"/>
  <c r="E41" i="18" s="1"/>
  <c r="F41" i="18" s="1"/>
  <c r="W41" i="18"/>
  <c r="W87" i="18"/>
  <c r="D87" i="18"/>
  <c r="E87" i="18" s="1"/>
  <c r="F87" i="18" s="1"/>
  <c r="W103" i="18"/>
  <c r="D103" i="18"/>
  <c r="E103" i="18" s="1"/>
  <c r="F103" i="18" s="1"/>
  <c r="W173" i="18"/>
  <c r="D173" i="18"/>
  <c r="E173" i="18" s="1"/>
  <c r="F173" i="18" s="1"/>
  <c r="W191" i="18"/>
  <c r="D191" i="18"/>
  <c r="E191" i="18" s="1"/>
  <c r="F191" i="18" s="1"/>
  <c r="D205" i="18"/>
  <c r="E205" i="18" s="1"/>
  <c r="F205" i="18" s="1"/>
  <c r="W205" i="18"/>
  <c r="D225" i="18"/>
  <c r="E225" i="18" s="1"/>
  <c r="F225" i="18" s="1"/>
  <c r="W225" i="18"/>
  <c r="W229" i="18"/>
  <c r="D229" i="18"/>
  <c r="E229" i="18" s="1"/>
  <c r="F229" i="18" s="1"/>
  <c r="W255" i="18"/>
  <c r="D255" i="18"/>
  <c r="E255" i="18" s="1"/>
  <c r="F255" i="18" s="1"/>
  <c r="D269" i="18"/>
  <c r="E269" i="18" s="1"/>
  <c r="F269" i="18" s="1"/>
  <c r="W269" i="18"/>
  <c r="W287" i="18"/>
  <c r="D287" i="18"/>
  <c r="E287" i="18" s="1"/>
  <c r="F287" i="18" s="1"/>
  <c r="W309" i="18"/>
  <c r="D309" i="18"/>
  <c r="E309" i="18" s="1"/>
  <c r="F309" i="18" s="1"/>
  <c r="W337" i="18"/>
  <c r="D337" i="18"/>
  <c r="E337" i="18" s="1"/>
  <c r="F337" i="18" s="1"/>
  <c r="D357" i="18"/>
  <c r="E357" i="18" s="1"/>
  <c r="F357" i="18" s="1"/>
  <c r="W357" i="18"/>
  <c r="W377" i="18"/>
  <c r="D377" i="18"/>
  <c r="E377" i="18" s="1"/>
  <c r="F377" i="18" s="1"/>
  <c r="W22" i="18"/>
  <c r="D22" i="18"/>
  <c r="E22" i="18" s="1"/>
  <c r="F22" i="18" s="1"/>
  <c r="D294" i="18"/>
  <c r="E294" i="18" s="1"/>
  <c r="F294" i="18" s="1"/>
  <c r="W294" i="18"/>
  <c r="W314" i="18"/>
  <c r="D314" i="18"/>
  <c r="E314" i="18" s="1"/>
  <c r="F314" i="18" s="1"/>
  <c r="D324" i="18"/>
  <c r="E324" i="18" s="1"/>
  <c r="F324" i="18" s="1"/>
  <c r="W324" i="18"/>
  <c r="D342" i="18"/>
  <c r="E342" i="18" s="1"/>
  <c r="F342" i="18" s="1"/>
  <c r="W342" i="18"/>
  <c r="D348" i="18"/>
  <c r="E348" i="18" s="1"/>
  <c r="F348" i="18" s="1"/>
  <c r="W348" i="18"/>
  <c r="W352" i="18"/>
  <c r="D352" i="18"/>
  <c r="E352" i="18" s="1"/>
  <c r="F352" i="18" s="1"/>
  <c r="D364" i="18"/>
  <c r="E364" i="18" s="1"/>
  <c r="F364" i="18" s="1"/>
  <c r="W364" i="18"/>
  <c r="D378" i="18"/>
  <c r="E378" i="18" s="1"/>
  <c r="F378" i="18" s="1"/>
  <c r="W378" i="18"/>
  <c r="G379" i="17"/>
  <c r="BZ379" i="6" s="1"/>
  <c r="H379" i="17"/>
  <c r="J279" i="17"/>
  <c r="I279" i="17"/>
  <c r="I255" i="17"/>
  <c r="J255" i="17"/>
  <c r="D18" i="18"/>
  <c r="E18" i="18" s="1"/>
  <c r="F18" i="18" s="1"/>
  <c r="W18" i="18"/>
  <c r="W21" i="18"/>
  <c r="D21" i="18"/>
  <c r="E21" i="18" s="1"/>
  <c r="D68" i="7"/>
  <c r="V29" i="18"/>
  <c r="D45" i="18"/>
  <c r="E45" i="18" s="1"/>
  <c r="F45" i="18" s="1"/>
  <c r="W45" i="18"/>
  <c r="W51" i="18"/>
  <c r="D51" i="18"/>
  <c r="E51" i="18" s="1"/>
  <c r="F51" i="18" s="1"/>
  <c r="W55" i="18"/>
  <c r="D55" i="18"/>
  <c r="E55" i="18" s="1"/>
  <c r="F55" i="18" s="1"/>
  <c r="D63" i="18"/>
  <c r="E63" i="18" s="1"/>
  <c r="F63" i="18" s="1"/>
  <c r="W63" i="18"/>
  <c r="D71" i="18"/>
  <c r="E71" i="18" s="1"/>
  <c r="F71" i="18" s="1"/>
  <c r="W71" i="18"/>
  <c r="W89" i="18"/>
  <c r="D89" i="18"/>
  <c r="E89" i="18" s="1"/>
  <c r="F89" i="18" s="1"/>
  <c r="G91" i="18"/>
  <c r="CA91" i="6" s="1"/>
  <c r="AA91" i="18"/>
  <c r="Z91" i="18" s="1"/>
  <c r="Y91" i="18" s="1"/>
  <c r="D109" i="18"/>
  <c r="E109" i="18" s="1"/>
  <c r="F109" i="18" s="1"/>
  <c r="W109" i="18"/>
  <c r="D119" i="18"/>
  <c r="E119" i="18" s="1"/>
  <c r="W119" i="18"/>
  <c r="D129" i="18"/>
  <c r="E129" i="18" s="1"/>
  <c r="F129" i="18" s="1"/>
  <c r="W129" i="18"/>
  <c r="D147" i="18"/>
  <c r="E147" i="18" s="1"/>
  <c r="F147" i="18" s="1"/>
  <c r="W147" i="18"/>
  <c r="D157" i="18"/>
  <c r="E157" i="18" s="1"/>
  <c r="F157" i="18" s="1"/>
  <c r="W157" i="18"/>
  <c r="W163" i="18"/>
  <c r="D163" i="18"/>
  <c r="E163" i="18" s="1"/>
  <c r="F163" i="18" s="1"/>
  <c r="D171" i="18"/>
  <c r="E171" i="18" s="1"/>
  <c r="F171" i="18" s="1"/>
  <c r="W171" i="18"/>
  <c r="W185" i="18"/>
  <c r="D185" i="18"/>
  <c r="E185" i="18" s="1"/>
  <c r="F185" i="18" s="1"/>
  <c r="G197" i="18"/>
  <c r="CA197" i="6" s="1"/>
  <c r="W231" i="18"/>
  <c r="D231" i="18"/>
  <c r="E231" i="18" s="1"/>
  <c r="F231" i="18" s="1"/>
  <c r="D239" i="18"/>
  <c r="E239" i="18" s="1"/>
  <c r="F239" i="18" s="1"/>
  <c r="W239" i="18"/>
  <c r="W245" i="18"/>
  <c r="D245" i="18"/>
  <c r="E245" i="18" s="1"/>
  <c r="F245" i="18" s="1"/>
  <c r="G251" i="18"/>
  <c r="CA251" i="6" s="1"/>
  <c r="W257" i="18"/>
  <c r="D257" i="18"/>
  <c r="E257" i="18" s="1"/>
  <c r="F257" i="18" s="1"/>
  <c r="W261" i="18"/>
  <c r="D261" i="18"/>
  <c r="E261" i="18" s="1"/>
  <c r="F261" i="18" s="1"/>
  <c r="W271" i="18"/>
  <c r="D271" i="18"/>
  <c r="E271" i="18" s="1"/>
  <c r="F271" i="18" s="1"/>
  <c r="D279" i="18"/>
  <c r="E279" i="18" s="1"/>
  <c r="F279" i="18" s="1"/>
  <c r="W279" i="18"/>
  <c r="W289" i="18"/>
  <c r="D289" i="18"/>
  <c r="E289" i="18" s="1"/>
  <c r="F289" i="18" s="1"/>
  <c r="H295" i="18"/>
  <c r="G295" i="18"/>
  <c r="CA295" i="6" s="1"/>
  <c r="AA295" i="18"/>
  <c r="Z295" i="18" s="1"/>
  <c r="Y295" i="18" s="1"/>
  <c r="G299" i="18"/>
  <c r="CA299" i="6" s="1"/>
  <c r="AA299" i="18"/>
  <c r="Z299" i="18" s="1"/>
  <c r="Y299" i="18" s="1"/>
  <c r="H299" i="18"/>
  <c r="W311" i="18"/>
  <c r="D311" i="18"/>
  <c r="E311" i="18" s="1"/>
  <c r="F311" i="18" s="1"/>
  <c r="W313" i="18"/>
  <c r="D313" i="18"/>
  <c r="E313" i="18" s="1"/>
  <c r="F313" i="18" s="1"/>
  <c r="G321" i="18"/>
  <c r="CA321" i="6" s="1"/>
  <c r="D323" i="18"/>
  <c r="E323" i="18" s="1"/>
  <c r="F323" i="18" s="1"/>
  <c r="W323" i="18"/>
  <c r="W331" i="18"/>
  <c r="D331" i="18"/>
  <c r="E331" i="18" s="1"/>
  <c r="F331" i="18" s="1"/>
  <c r="W345" i="18"/>
  <c r="D345" i="18"/>
  <c r="E345" i="18" s="1"/>
  <c r="F345" i="18" s="1"/>
  <c r="AA347" i="18"/>
  <c r="Z347" i="18" s="1"/>
  <c r="Y347" i="18" s="1"/>
  <c r="G347" i="18"/>
  <c r="CA347" i="6" s="1"/>
  <c r="G351" i="18"/>
  <c r="CA351" i="6" s="1"/>
  <c r="W359" i="18"/>
  <c r="D359" i="18"/>
  <c r="E359" i="18" s="1"/>
  <c r="F359" i="18" s="1"/>
  <c r="G361" i="18"/>
  <c r="CA361" i="6" s="1"/>
  <c r="H361" i="18"/>
  <c r="AA367" i="18"/>
  <c r="Z367" i="18" s="1"/>
  <c r="Y367" i="18" s="1"/>
  <c r="G367" i="18"/>
  <c r="CA367" i="6" s="1"/>
  <c r="D369" i="18"/>
  <c r="E369" i="18" s="1"/>
  <c r="F369" i="18" s="1"/>
  <c r="W369" i="18"/>
  <c r="D371" i="18"/>
  <c r="E371" i="18" s="1"/>
  <c r="F371" i="18" s="1"/>
  <c r="W371" i="18"/>
  <c r="G373" i="18"/>
  <c r="CA373" i="6" s="1"/>
  <c r="H373" i="18"/>
  <c r="I353" i="17"/>
  <c r="J353" i="17"/>
  <c r="I317" i="17"/>
  <c r="J317" i="17"/>
  <c r="I313" i="17"/>
  <c r="J313" i="17"/>
  <c r="I281" i="17"/>
  <c r="J281" i="17"/>
  <c r="I237" i="17"/>
  <c r="J237" i="17"/>
  <c r="I370" i="17"/>
  <c r="J370" i="17"/>
  <c r="J342" i="17"/>
  <c r="I342" i="17"/>
  <c r="I338" i="17"/>
  <c r="J338" i="17"/>
  <c r="J286" i="17"/>
  <c r="I286" i="17"/>
  <c r="J258" i="17"/>
  <c r="I258" i="17"/>
  <c r="J254" i="17"/>
  <c r="I254" i="17"/>
  <c r="J250" i="17"/>
  <c r="I250" i="17"/>
  <c r="I238" i="17"/>
  <c r="J238" i="17"/>
  <c r="I162" i="17"/>
  <c r="J162" i="17"/>
  <c r="I122" i="17"/>
  <c r="J122" i="17"/>
  <c r="I78" i="17"/>
  <c r="J78" i="17"/>
  <c r="I58" i="17"/>
  <c r="J58" i="17"/>
  <c r="J375" i="17"/>
  <c r="I375" i="17"/>
  <c r="J151" i="17"/>
  <c r="I151" i="17"/>
  <c r="I99" i="17"/>
  <c r="J99" i="17"/>
  <c r="J67" i="17"/>
  <c r="I67" i="17"/>
  <c r="I35" i="17"/>
  <c r="J35" i="17"/>
  <c r="I23" i="17"/>
  <c r="J23" i="17"/>
  <c r="AL10" i="16"/>
  <c r="I212" i="17"/>
  <c r="J212" i="17"/>
  <c r="D192" i="18"/>
  <c r="E192" i="18" s="1"/>
  <c r="F192" i="18" s="1"/>
  <c r="W192" i="18"/>
  <c r="J112" i="17"/>
  <c r="I112" i="17"/>
  <c r="I100" i="17"/>
  <c r="J100" i="17"/>
  <c r="I96" i="17"/>
  <c r="J96" i="17"/>
  <c r="I359" i="17"/>
  <c r="J359" i="17"/>
  <c r="J343" i="17"/>
  <c r="I343" i="17"/>
  <c r="J127" i="17"/>
  <c r="I127" i="17"/>
  <c r="H127" i="18" s="1"/>
  <c r="J80" i="17"/>
  <c r="I80" i="17"/>
  <c r="I20" i="17"/>
  <c r="J20" i="17"/>
  <c r="J141" i="17"/>
  <c r="I141" i="17"/>
  <c r="I129" i="17"/>
  <c r="J129" i="17"/>
  <c r="J85" i="17"/>
  <c r="I85" i="17"/>
  <c r="J61" i="17"/>
  <c r="I61" i="17"/>
  <c r="W194" i="18"/>
  <c r="D194" i="18"/>
  <c r="E194" i="18" s="1"/>
  <c r="F194" i="18" s="1"/>
  <c r="I331" i="17"/>
  <c r="J331" i="17"/>
  <c r="I319" i="17"/>
  <c r="J319" i="17"/>
  <c r="J271" i="17"/>
  <c r="I271" i="17"/>
  <c r="I24" i="17"/>
  <c r="J24" i="17"/>
  <c r="D16" i="18"/>
  <c r="E16" i="18" s="1"/>
  <c r="F16" i="18" s="1"/>
  <c r="W16" i="18"/>
  <c r="W17" i="18"/>
  <c r="D17" i="18"/>
  <c r="E17" i="18" s="1"/>
  <c r="F17" i="18" s="1"/>
  <c r="W20" i="18"/>
  <c r="D20" i="18"/>
  <c r="E20" i="18" s="1"/>
  <c r="F20" i="18" s="1"/>
  <c r="W24" i="18"/>
  <c r="D24" i="18"/>
  <c r="E24" i="18" s="1"/>
  <c r="F24" i="18" s="1"/>
  <c r="W26" i="18"/>
  <c r="D26" i="18"/>
  <c r="E26" i="18" s="1"/>
  <c r="F26" i="18" s="1"/>
  <c r="D32" i="18"/>
  <c r="E32" i="18" s="1"/>
  <c r="F32" i="18" s="1"/>
  <c r="W32" i="18"/>
  <c r="W40" i="18"/>
  <c r="D40" i="18"/>
  <c r="E40" i="18" s="1"/>
  <c r="F40" i="18" s="1"/>
  <c r="D48" i="18"/>
  <c r="E48" i="18" s="1"/>
  <c r="F48" i="18" s="1"/>
  <c r="W48" i="18"/>
  <c r="W50" i="18"/>
  <c r="D50" i="18"/>
  <c r="E50" i="18" s="1"/>
  <c r="F50" i="18" s="1"/>
  <c r="W54" i="18"/>
  <c r="D54" i="18"/>
  <c r="E54" i="18" s="1"/>
  <c r="F54" i="18" s="1"/>
  <c r="D69" i="7"/>
  <c r="V60" i="18"/>
  <c r="D62" i="18"/>
  <c r="E62" i="18" s="1"/>
  <c r="F62" i="18" s="1"/>
  <c r="W62" i="18"/>
  <c r="W66" i="18"/>
  <c r="D66" i="18"/>
  <c r="E66" i="18" s="1"/>
  <c r="F66" i="18" s="1"/>
  <c r="D70" i="18"/>
  <c r="E70" i="18" s="1"/>
  <c r="F70" i="18" s="1"/>
  <c r="W70" i="18"/>
  <c r="G76" i="18"/>
  <c r="CA76" i="6" s="1"/>
  <c r="AA76" i="18"/>
  <c r="Z76" i="18" s="1"/>
  <c r="Y76" i="18" s="1"/>
  <c r="W80" i="18"/>
  <c r="D80" i="18"/>
  <c r="E80" i="18" s="1"/>
  <c r="F80" i="18" s="1"/>
  <c r="D82" i="18"/>
  <c r="E82" i="18" s="1"/>
  <c r="F82" i="18" s="1"/>
  <c r="W82" i="18"/>
  <c r="W86" i="18"/>
  <c r="D86" i="18"/>
  <c r="E86" i="18" s="1"/>
  <c r="F86" i="18" s="1"/>
  <c r="D88" i="18"/>
  <c r="E88" i="18" s="1"/>
  <c r="F88" i="18" s="1"/>
  <c r="W88" i="18"/>
  <c r="D90" i="18"/>
  <c r="E90" i="18" s="1"/>
  <c r="F90" i="18" s="1"/>
  <c r="W90" i="18"/>
  <c r="W98" i="18"/>
  <c r="D98" i="18"/>
  <c r="E98" i="18" s="1"/>
  <c r="F98" i="18" s="1"/>
  <c r="W104" i="18"/>
  <c r="D104" i="18"/>
  <c r="E104" i="18" s="1"/>
  <c r="F104" i="18" s="1"/>
  <c r="W106" i="18"/>
  <c r="D106" i="18"/>
  <c r="E106" i="18" s="1"/>
  <c r="F106" i="18" s="1"/>
  <c r="D110" i="18"/>
  <c r="E110" i="18" s="1"/>
  <c r="F110" i="18" s="1"/>
  <c r="W110" i="18"/>
  <c r="D112" i="18"/>
  <c r="E112" i="18" s="1"/>
  <c r="F112" i="18" s="1"/>
  <c r="W112" i="18"/>
  <c r="D118" i="18"/>
  <c r="E118" i="18" s="1"/>
  <c r="F118" i="18" s="1"/>
  <c r="W118" i="18"/>
  <c r="W122" i="18"/>
  <c r="D122" i="18"/>
  <c r="E122" i="18" s="1"/>
  <c r="F122" i="18" s="1"/>
  <c r="D126" i="18"/>
  <c r="E126" i="18" s="1"/>
  <c r="F126" i="18" s="1"/>
  <c r="W126" i="18"/>
  <c r="D130" i="18"/>
  <c r="E130" i="18" s="1"/>
  <c r="F130" i="18" s="1"/>
  <c r="W130" i="18"/>
  <c r="D132" i="18"/>
  <c r="E132" i="18" s="1"/>
  <c r="F132" i="18" s="1"/>
  <c r="W132" i="18"/>
  <c r="D136" i="18"/>
  <c r="E136" i="18" s="1"/>
  <c r="F136" i="18" s="1"/>
  <c r="W136" i="18"/>
  <c r="D138" i="18"/>
  <c r="E138" i="18" s="1"/>
  <c r="F138" i="18" s="1"/>
  <c r="W138" i="18"/>
  <c r="H140" i="18"/>
  <c r="G140" i="18"/>
  <c r="CA140" i="6" s="1"/>
  <c r="AA140" i="18"/>
  <c r="Z140" i="18" s="1"/>
  <c r="Y140" i="18" s="1"/>
  <c r="D146" i="18"/>
  <c r="E146" i="18" s="1"/>
  <c r="F146" i="18" s="1"/>
  <c r="W146" i="18"/>
  <c r="W148" i="18"/>
  <c r="D148" i="18"/>
  <c r="E148" i="18" s="1"/>
  <c r="F148" i="18" s="1"/>
  <c r="W156" i="18"/>
  <c r="D156" i="18"/>
  <c r="E156" i="18" s="1"/>
  <c r="F156" i="18" s="1"/>
  <c r="G158" i="18"/>
  <c r="CA158" i="6" s="1"/>
  <c r="W166" i="18"/>
  <c r="D166" i="18"/>
  <c r="E166" i="18" s="1"/>
  <c r="F166" i="18" s="1"/>
  <c r="G178" i="18"/>
  <c r="CA178" i="6" s="1"/>
  <c r="AA178" i="18"/>
  <c r="Z178" i="18" s="1"/>
  <c r="Y178" i="18" s="1"/>
  <c r="D184" i="18"/>
  <c r="E184" i="18" s="1"/>
  <c r="F184" i="18" s="1"/>
  <c r="W184" i="18"/>
  <c r="D188" i="18"/>
  <c r="E188" i="18" s="1"/>
  <c r="F188" i="18" s="1"/>
  <c r="W188" i="18"/>
  <c r="W190" i="18"/>
  <c r="D190" i="18"/>
  <c r="E190" i="18" s="1"/>
  <c r="F190" i="18" s="1"/>
  <c r="D200" i="18"/>
  <c r="E200" i="18" s="1"/>
  <c r="F200" i="18" s="1"/>
  <c r="W200" i="18"/>
  <c r="D202" i="18"/>
  <c r="E202" i="18" s="1"/>
  <c r="F202" i="18" s="1"/>
  <c r="W202" i="18"/>
  <c r="G204" i="18"/>
  <c r="CA204" i="6" s="1"/>
  <c r="H204" i="18"/>
  <c r="W208" i="18"/>
  <c r="D208" i="18"/>
  <c r="E208" i="18" s="1"/>
  <c r="F208" i="18" s="1"/>
  <c r="W218" i="18"/>
  <c r="D218" i="18"/>
  <c r="E218" i="18" s="1"/>
  <c r="F218" i="18" s="1"/>
  <c r="D226" i="18"/>
  <c r="E226" i="18" s="1"/>
  <c r="F226" i="18" s="1"/>
  <c r="W226" i="18"/>
  <c r="D230" i="18"/>
  <c r="E230" i="18" s="1"/>
  <c r="F230" i="18" s="1"/>
  <c r="W230" i="18"/>
  <c r="W250" i="18"/>
  <c r="D250" i="18"/>
  <c r="E250" i="18" s="1"/>
  <c r="F250" i="18" s="1"/>
  <c r="W252" i="18"/>
  <c r="D252" i="18"/>
  <c r="E252" i="18" s="1"/>
  <c r="F252" i="18" s="1"/>
  <c r="D76" i="7"/>
  <c r="V272" i="18"/>
  <c r="D278" i="18"/>
  <c r="E278" i="18" s="1"/>
  <c r="F278" i="18" s="1"/>
  <c r="W278" i="18"/>
  <c r="D280" i="18"/>
  <c r="E280" i="18" s="1"/>
  <c r="F280" i="18" s="1"/>
  <c r="W280" i="18"/>
  <c r="G284" i="18"/>
  <c r="CA284" i="6" s="1"/>
  <c r="W286" i="18"/>
  <c r="D286" i="18"/>
  <c r="E286" i="18" s="1"/>
  <c r="F286" i="18" s="1"/>
  <c r="W292" i="18"/>
  <c r="D292" i="18"/>
  <c r="E292" i="18" s="1"/>
  <c r="F292" i="18" s="1"/>
  <c r="W296" i="18"/>
  <c r="D296" i="18"/>
  <c r="E296" i="18" s="1"/>
  <c r="F296" i="18" s="1"/>
  <c r="D298" i="18"/>
  <c r="E298" i="18" s="1"/>
  <c r="F298" i="18" s="1"/>
  <c r="W298" i="18"/>
  <c r="H300" i="18"/>
  <c r="G300" i="18"/>
  <c r="CA300" i="6" s="1"/>
  <c r="D304" i="18"/>
  <c r="E304" i="18" s="1"/>
  <c r="F304" i="18" s="1"/>
  <c r="W304" i="18"/>
  <c r="G306" i="18"/>
  <c r="CA306" i="6" s="1"/>
  <c r="H306" i="18"/>
  <c r="D310" i="18"/>
  <c r="E310" i="18" s="1"/>
  <c r="F310" i="18" s="1"/>
  <c r="W310" i="18"/>
  <c r="D312" i="18"/>
  <c r="E312" i="18" s="1"/>
  <c r="F312" i="18" s="1"/>
  <c r="W312" i="18"/>
  <c r="G316" i="18"/>
  <c r="CA316" i="6" s="1"/>
  <c r="D326" i="18"/>
  <c r="E326" i="18" s="1"/>
  <c r="F326" i="18" s="1"/>
  <c r="W326" i="18"/>
  <c r="D332" i="18"/>
  <c r="E332" i="18" s="1"/>
  <c r="F332" i="18" s="1"/>
  <c r="W332" i="18"/>
  <c r="W334" i="18"/>
  <c r="D334" i="18"/>
  <c r="E334" i="18" s="1"/>
  <c r="F334" i="18" s="1"/>
  <c r="H344" i="18"/>
  <c r="G344" i="18"/>
  <c r="CA344" i="6" s="1"/>
  <c r="AA344" i="18"/>
  <c r="Z344" i="18" s="1"/>
  <c r="Y344" i="18" s="1"/>
  <c r="W354" i="18"/>
  <c r="D354" i="18"/>
  <c r="E354" i="18" s="1"/>
  <c r="F354" i="18" s="1"/>
  <c r="W360" i="18"/>
  <c r="D360" i="18"/>
  <c r="E360" i="18" s="1"/>
  <c r="F360" i="18" s="1"/>
  <c r="H368" i="18"/>
  <c r="G368" i="18"/>
  <c r="CA368" i="6" s="1"/>
  <c r="W370" i="18"/>
  <c r="D370" i="18"/>
  <c r="E370" i="18" s="1"/>
  <c r="F370" i="18" s="1"/>
  <c r="D372" i="18"/>
  <c r="E372" i="18" s="1"/>
  <c r="F372" i="18" s="1"/>
  <c r="W372" i="18"/>
  <c r="AA376" i="18"/>
  <c r="Z376" i="18" s="1"/>
  <c r="Y376" i="18" s="1"/>
  <c r="G376" i="18"/>
  <c r="CA376" i="6" s="1"/>
  <c r="I181" i="17"/>
  <c r="J181" i="17"/>
  <c r="J134" i="17"/>
  <c r="I134" i="17"/>
  <c r="I167" i="17"/>
  <c r="J167" i="17"/>
  <c r="I33" i="17"/>
  <c r="J33" i="17"/>
  <c r="I259" i="17"/>
  <c r="J259" i="17"/>
  <c r="I348" i="17"/>
  <c r="J348" i="17"/>
  <c r="J358" i="17"/>
  <c r="I358" i="17"/>
  <c r="J274" i="17"/>
  <c r="I274" i="17"/>
  <c r="I98" i="17"/>
  <c r="J98" i="17"/>
  <c r="J86" i="17"/>
  <c r="I86" i="17"/>
  <c r="J50" i="17"/>
  <c r="I50" i="17"/>
  <c r="I175" i="17"/>
  <c r="J175" i="17"/>
  <c r="J188" i="17"/>
  <c r="I188" i="17"/>
  <c r="J160" i="17"/>
  <c r="I160" i="17"/>
  <c r="I120" i="17"/>
  <c r="J120" i="17"/>
  <c r="J73" i="17"/>
  <c r="I73" i="17"/>
  <c r="I327" i="17"/>
  <c r="H327" i="18" s="1"/>
  <c r="J327" i="17"/>
  <c r="I84" i="17"/>
  <c r="J84" i="17"/>
  <c r="J341" i="17"/>
  <c r="I341" i="17"/>
  <c r="I293" i="17"/>
  <c r="J293" i="17"/>
  <c r="I161" i="17"/>
  <c r="J161" i="17"/>
  <c r="I298" i="17"/>
  <c r="J298" i="17"/>
  <c r="I222" i="17"/>
  <c r="J222" i="17"/>
  <c r="I106" i="17"/>
  <c r="J106" i="17"/>
  <c r="J264" i="17"/>
  <c r="I264" i="17"/>
  <c r="J170" i="17"/>
  <c r="I170" i="17"/>
  <c r="H170" i="18" s="1"/>
  <c r="AA247" i="17"/>
  <c r="Z247" i="17" s="1"/>
  <c r="Y247" i="17" s="1"/>
  <c r="G247" i="17"/>
  <c r="BZ247" i="6" s="1"/>
  <c r="H247" i="17"/>
  <c r="I340" i="17"/>
  <c r="J340" i="17"/>
  <c r="W288" i="18"/>
  <c r="D288" i="18"/>
  <c r="E288" i="18" s="1"/>
  <c r="F288" i="18" s="1"/>
  <c r="D25" i="18"/>
  <c r="E25" i="18" s="1"/>
  <c r="F25" i="18" s="1"/>
  <c r="W25" i="18"/>
  <c r="W33" i="18"/>
  <c r="D33" i="18"/>
  <c r="E33" i="18" s="1"/>
  <c r="F33" i="18" s="1"/>
  <c r="D49" i="18"/>
  <c r="E49" i="18" s="1"/>
  <c r="F49" i="18" s="1"/>
  <c r="W49" i="18"/>
  <c r="D53" i="18"/>
  <c r="E53" i="18" s="1"/>
  <c r="F53" i="18" s="1"/>
  <c r="W53" i="18"/>
  <c r="W57" i="18"/>
  <c r="D57" i="18"/>
  <c r="E57" i="18" s="1"/>
  <c r="F57" i="18" s="1"/>
  <c r="D67" i="18"/>
  <c r="E67" i="18" s="1"/>
  <c r="F67" i="18" s="1"/>
  <c r="W67" i="18"/>
  <c r="D95" i="18"/>
  <c r="E95" i="18" s="1"/>
  <c r="F95" i="18" s="1"/>
  <c r="W95" i="18"/>
  <c r="W99" i="18"/>
  <c r="D99" i="18"/>
  <c r="E99" i="18" s="1"/>
  <c r="F99" i="18" s="1"/>
  <c r="G123" i="18"/>
  <c r="CA123" i="6" s="1"/>
  <c r="G127" i="18"/>
  <c r="CA127" i="6" s="1"/>
  <c r="AA127" i="18"/>
  <c r="Z127" i="18" s="1"/>
  <c r="Y127" i="18" s="1"/>
  <c r="G131" i="18"/>
  <c r="CA131" i="6" s="1"/>
  <c r="D139" i="18"/>
  <c r="E139" i="18" s="1"/>
  <c r="F139" i="18" s="1"/>
  <c r="W139" i="18"/>
  <c r="W153" i="18"/>
  <c r="D153" i="18"/>
  <c r="E153" i="18" s="1"/>
  <c r="F153" i="18" s="1"/>
  <c r="AA159" i="18"/>
  <c r="Z159" i="18" s="1"/>
  <c r="Y159" i="18" s="1"/>
  <c r="H159" i="18"/>
  <c r="G159" i="18"/>
  <c r="CA159" i="6" s="1"/>
  <c r="D165" i="18"/>
  <c r="E165" i="18" s="1"/>
  <c r="F165" i="18" s="1"/>
  <c r="W165" i="18"/>
  <c r="D179" i="18"/>
  <c r="E179" i="18" s="1"/>
  <c r="F179" i="18" s="1"/>
  <c r="W179" i="18"/>
  <c r="W183" i="18"/>
  <c r="D183" i="18"/>
  <c r="E183" i="18" s="1"/>
  <c r="F183" i="18" s="1"/>
  <c r="W193" i="18"/>
  <c r="D193" i="18"/>
  <c r="E193" i="18" s="1"/>
  <c r="F193" i="18" s="1"/>
  <c r="G207" i="18"/>
  <c r="CA207" i="6" s="1"/>
  <c r="AA207" i="18"/>
  <c r="Z207" i="18" s="1"/>
  <c r="Y207" i="18" s="1"/>
  <c r="W211" i="18"/>
  <c r="D211" i="18"/>
  <c r="E211" i="18" s="1"/>
  <c r="F211" i="18" s="1"/>
  <c r="G215" i="18"/>
  <c r="CA215" i="6" s="1"/>
  <c r="H215" i="18"/>
  <c r="D235" i="18"/>
  <c r="E235" i="18" s="1"/>
  <c r="F235" i="18" s="1"/>
  <c r="W235" i="18"/>
  <c r="D75" i="7"/>
  <c r="V241" i="18"/>
  <c r="D253" i="18"/>
  <c r="E253" i="18" s="1"/>
  <c r="F253" i="18" s="1"/>
  <c r="W253" i="18"/>
  <c r="W259" i="18"/>
  <c r="D259" i="18"/>
  <c r="E259" i="18" s="1"/>
  <c r="F259" i="18" s="1"/>
  <c r="W277" i="18"/>
  <c r="D277" i="18"/>
  <c r="E277" i="18" s="1"/>
  <c r="F277" i="18" s="1"/>
  <c r="J186" i="17"/>
  <c r="I186" i="17"/>
  <c r="G194" i="17"/>
  <c r="BZ194" i="6" s="1"/>
  <c r="H194" i="17"/>
  <c r="AA194" i="17"/>
  <c r="Z194" i="17" s="1"/>
  <c r="Y194" i="17" s="1"/>
  <c r="D319" i="18"/>
  <c r="E319" i="18" s="1"/>
  <c r="F319" i="18" s="1"/>
  <c r="W319" i="18"/>
  <c r="I311" i="17"/>
  <c r="J311" i="17"/>
  <c r="J263" i="17"/>
  <c r="I263" i="17"/>
  <c r="G352" i="17"/>
  <c r="BZ352" i="6" s="1"/>
  <c r="H352" i="17"/>
  <c r="AA352" i="17"/>
  <c r="Z352" i="17" s="1"/>
  <c r="Y352" i="17" s="1"/>
  <c r="J103" i="17"/>
  <c r="I103" i="17"/>
  <c r="J172" i="17"/>
  <c r="I172" i="17"/>
  <c r="D23" i="18"/>
  <c r="E23" i="18" s="1"/>
  <c r="F23" i="18" s="1"/>
  <c r="W23" i="18"/>
  <c r="G31" i="18"/>
  <c r="CA31" i="6" s="1"/>
  <c r="D35" i="18"/>
  <c r="E35" i="18" s="1"/>
  <c r="F35" i="18" s="1"/>
  <c r="W35" i="18"/>
  <c r="G59" i="18"/>
  <c r="CA59" i="6" s="1"/>
  <c r="D83" i="18"/>
  <c r="E83" i="18" s="1"/>
  <c r="F83" i="18" s="1"/>
  <c r="W83" i="18"/>
  <c r="W107" i="18"/>
  <c r="D107" i="18"/>
  <c r="E107" i="18" s="1"/>
  <c r="F107" i="18" s="1"/>
  <c r="D149" i="18"/>
  <c r="E149" i="18" s="1"/>
  <c r="W149" i="18"/>
  <c r="D161" i="18"/>
  <c r="E161" i="18" s="1"/>
  <c r="F161" i="18" s="1"/>
  <c r="W161" i="18"/>
  <c r="W175" i="18"/>
  <c r="D175" i="18"/>
  <c r="E175" i="18" s="1"/>
  <c r="F175" i="18" s="1"/>
  <c r="W199" i="18"/>
  <c r="D199" i="18"/>
  <c r="E199" i="18" s="1"/>
  <c r="F199" i="18" s="1"/>
  <c r="W249" i="18"/>
  <c r="D249" i="18"/>
  <c r="E249" i="18" s="1"/>
  <c r="F249" i="18" s="1"/>
  <c r="G297" i="18"/>
  <c r="CA297" i="6" s="1"/>
  <c r="H297" i="18"/>
  <c r="G305" i="18"/>
  <c r="CA305" i="6" s="1"/>
  <c r="AA307" i="18"/>
  <c r="Z307" i="18" s="1"/>
  <c r="Y307" i="18" s="1"/>
  <c r="G307" i="18"/>
  <c r="CA307" i="6" s="1"/>
  <c r="D325" i="18"/>
  <c r="E325" i="18" s="1"/>
  <c r="F325" i="18" s="1"/>
  <c r="W325" i="18"/>
  <c r="G327" i="18"/>
  <c r="CA327" i="6" s="1"/>
  <c r="H329" i="18"/>
  <c r="G329" i="18"/>
  <c r="CA329" i="6" s="1"/>
  <c r="G339" i="18"/>
  <c r="CA339" i="6" s="1"/>
  <c r="AG16" i="7"/>
  <c r="U19" i="20"/>
  <c r="T19" i="20" s="1"/>
  <c r="S19" i="20" s="1"/>
  <c r="R19" i="20" s="1"/>
  <c r="U32" i="20"/>
  <c r="T32" i="20" s="1"/>
  <c r="U48" i="20"/>
  <c r="T48" i="20" s="1"/>
  <c r="U64" i="20"/>
  <c r="T64" i="20" s="1"/>
  <c r="U80" i="20"/>
  <c r="T80" i="20" s="1"/>
  <c r="U96" i="20"/>
  <c r="T96" i="20" s="1"/>
  <c r="U107" i="20"/>
  <c r="T107" i="20" s="1"/>
  <c r="U115" i="20"/>
  <c r="T115" i="20" s="1"/>
  <c r="U123" i="20"/>
  <c r="T123" i="20" s="1"/>
  <c r="S123" i="20" s="1"/>
  <c r="R123" i="20" s="1"/>
  <c r="U131" i="20"/>
  <c r="T131" i="20" s="1"/>
  <c r="U139" i="20"/>
  <c r="T139" i="20" s="1"/>
  <c r="U147" i="20"/>
  <c r="T147" i="20" s="1"/>
  <c r="U155" i="20"/>
  <c r="T155" i="20" s="1"/>
  <c r="U163" i="20"/>
  <c r="T163" i="20" s="1"/>
  <c r="S163" i="20" s="1"/>
  <c r="R163" i="20" s="1"/>
  <c r="P163" i="20" s="1"/>
  <c r="V163" i="20" s="1"/>
  <c r="B163" i="20" s="1"/>
  <c r="U171" i="20"/>
  <c r="T171" i="20" s="1"/>
  <c r="S171" i="20" s="1"/>
  <c r="R171" i="20" s="1"/>
  <c r="P171" i="20" s="1"/>
  <c r="V171" i="20" s="1"/>
  <c r="B171" i="20" s="1"/>
  <c r="U179" i="20"/>
  <c r="T179" i="20" s="1"/>
  <c r="S179" i="20" s="1"/>
  <c r="R179" i="20" s="1"/>
  <c r="P179" i="20" s="1"/>
  <c r="V179" i="20" s="1"/>
  <c r="B179" i="20" s="1"/>
  <c r="U187" i="20"/>
  <c r="T187" i="20" s="1"/>
  <c r="S187" i="20" s="1"/>
  <c r="R187" i="20" s="1"/>
  <c r="P187" i="20" s="1"/>
  <c r="V187" i="20" s="1"/>
  <c r="B187" i="20" s="1"/>
  <c r="U195" i="20"/>
  <c r="T195" i="20" s="1"/>
  <c r="U203" i="20"/>
  <c r="T203" i="20" s="1"/>
  <c r="U211" i="20"/>
  <c r="T211" i="20" s="1"/>
  <c r="U219" i="20"/>
  <c r="T219" i="20" s="1"/>
  <c r="U224" i="20"/>
  <c r="T224" i="20" s="1"/>
  <c r="U228" i="20"/>
  <c r="T228" i="20" s="1"/>
  <c r="S228" i="20" s="1"/>
  <c r="R228" i="20" s="1"/>
  <c r="P228" i="20" s="1"/>
  <c r="V228" i="20" s="1"/>
  <c r="B228" i="20" s="1"/>
  <c r="U232" i="20"/>
  <c r="T232" i="20" s="1"/>
  <c r="U236" i="20"/>
  <c r="T236" i="20" s="1"/>
  <c r="U240" i="20"/>
  <c r="T240" i="20" s="1"/>
  <c r="S240" i="20" s="1"/>
  <c r="R240" i="20" s="1"/>
  <c r="P240" i="20" s="1"/>
  <c r="V240" i="20" s="1"/>
  <c r="B240" i="20" s="1"/>
  <c r="U244" i="20"/>
  <c r="T244" i="20" s="1"/>
  <c r="U248" i="20"/>
  <c r="T248" i="20" s="1"/>
  <c r="U252" i="20"/>
  <c r="T252" i="20" s="1"/>
  <c r="U256" i="20"/>
  <c r="T256" i="20" s="1"/>
  <c r="U260" i="20"/>
  <c r="T260" i="20" s="1"/>
  <c r="U264" i="20"/>
  <c r="T264" i="20" s="1"/>
  <c r="U268" i="20"/>
  <c r="T268" i="20" s="1"/>
  <c r="U272" i="20"/>
  <c r="T272" i="20" s="1"/>
  <c r="U276" i="20"/>
  <c r="T276" i="20" s="1"/>
  <c r="U280" i="20"/>
  <c r="T280" i="20" s="1"/>
  <c r="U284" i="20"/>
  <c r="T284" i="20" s="1"/>
  <c r="S284" i="20" s="1"/>
  <c r="R284" i="20" s="1"/>
  <c r="P284" i="20" s="1"/>
  <c r="V284" i="20" s="1"/>
  <c r="B284" i="20" s="1"/>
  <c r="U288" i="20"/>
  <c r="T288" i="20" s="1"/>
  <c r="U292" i="20"/>
  <c r="T292" i="20" s="1"/>
  <c r="U296" i="20"/>
  <c r="T296" i="20" s="1"/>
  <c r="U300" i="20"/>
  <c r="T300" i="20" s="1"/>
  <c r="S300" i="20" s="1"/>
  <c r="R300" i="20" s="1"/>
  <c r="P300" i="20" s="1"/>
  <c r="V300" i="20" s="1"/>
  <c r="B300" i="20" s="1"/>
  <c r="U304" i="20"/>
  <c r="T304" i="20" s="1"/>
  <c r="S304" i="20" s="1"/>
  <c r="R304" i="20" s="1"/>
  <c r="P304" i="20" s="1"/>
  <c r="V304" i="20" s="1"/>
  <c r="B304" i="20" s="1"/>
  <c r="U307" i="20"/>
  <c r="T307" i="20" s="1"/>
  <c r="U309" i="20"/>
  <c r="T309" i="20" s="1"/>
  <c r="U311" i="20"/>
  <c r="T311" i="20" s="1"/>
  <c r="U313" i="20"/>
  <c r="T313" i="20" s="1"/>
  <c r="U315" i="20"/>
  <c r="T315" i="20" s="1"/>
  <c r="S315" i="20" s="1"/>
  <c r="R315" i="20" s="1"/>
  <c r="P315" i="20" s="1"/>
  <c r="V315" i="20" s="1"/>
  <c r="B315" i="20" s="1"/>
  <c r="U317" i="20"/>
  <c r="T317" i="20" s="1"/>
  <c r="U319" i="20"/>
  <c r="T319" i="20" s="1"/>
  <c r="U321" i="20"/>
  <c r="T321" i="20" s="1"/>
  <c r="S321" i="20" s="1"/>
  <c r="R321" i="20" s="1"/>
  <c r="U323" i="20"/>
  <c r="T323" i="20" s="1"/>
  <c r="S323" i="20" s="1"/>
  <c r="R323" i="20" s="1"/>
  <c r="P323" i="20" s="1"/>
  <c r="V323" i="20" s="1"/>
  <c r="B323" i="20" s="1"/>
  <c r="U325" i="20"/>
  <c r="T325" i="20" s="1"/>
  <c r="S325" i="20" s="1"/>
  <c r="R325" i="20" s="1"/>
  <c r="P325" i="20" s="1"/>
  <c r="V325" i="20" s="1"/>
  <c r="B325" i="20" s="1"/>
  <c r="U327" i="20"/>
  <c r="T327" i="20" s="1"/>
  <c r="S327" i="20" s="1"/>
  <c r="R327" i="20" s="1"/>
  <c r="P327" i="20" s="1"/>
  <c r="V327" i="20" s="1"/>
  <c r="B327" i="20" s="1"/>
  <c r="U329" i="20"/>
  <c r="T329" i="20" s="1"/>
  <c r="U331" i="20"/>
  <c r="T331" i="20" s="1"/>
  <c r="U333" i="20"/>
  <c r="T333" i="20" s="1"/>
  <c r="U335" i="20"/>
  <c r="T335" i="20" s="1"/>
  <c r="S335" i="20" s="1"/>
  <c r="R335" i="20" s="1"/>
  <c r="P335" i="20" s="1"/>
  <c r="V335" i="20" s="1"/>
  <c r="B335" i="20" s="1"/>
  <c r="U337" i="20"/>
  <c r="T337" i="20" s="1"/>
  <c r="U339" i="20"/>
  <c r="T339" i="20" s="1"/>
  <c r="S339" i="20" s="1"/>
  <c r="R339" i="20" s="1"/>
  <c r="P339" i="20" s="1"/>
  <c r="V339" i="20" s="1"/>
  <c r="B339" i="20" s="1"/>
  <c r="U341" i="20"/>
  <c r="T341" i="20" s="1"/>
  <c r="U343" i="20"/>
  <c r="T343" i="20" s="1"/>
  <c r="U345" i="20"/>
  <c r="T345" i="20" s="1"/>
  <c r="S345" i="20" s="1"/>
  <c r="R345" i="20" s="1"/>
  <c r="U347" i="20"/>
  <c r="T347" i="20" s="1"/>
  <c r="U349" i="20"/>
  <c r="T349" i="20" s="1"/>
  <c r="S349" i="20" s="1"/>
  <c r="R349" i="20" s="1"/>
  <c r="P349" i="20" s="1"/>
  <c r="V349" i="20" s="1"/>
  <c r="U351" i="20"/>
  <c r="T351" i="20" s="1"/>
  <c r="U353" i="20"/>
  <c r="T353" i="20" s="1"/>
  <c r="U355" i="20"/>
  <c r="T355" i="20" s="1"/>
  <c r="U357" i="20"/>
  <c r="T357" i="20" s="1"/>
  <c r="S357" i="20" s="1"/>
  <c r="R357" i="20" s="1"/>
  <c r="U359" i="20"/>
  <c r="T359" i="20" s="1"/>
  <c r="U361" i="20"/>
  <c r="T361" i="20" s="1"/>
  <c r="U363" i="20"/>
  <c r="T363" i="20" s="1"/>
  <c r="U365" i="20"/>
  <c r="T365" i="20" s="1"/>
  <c r="S365" i="20" s="1"/>
  <c r="R365" i="20" s="1"/>
  <c r="U367" i="20"/>
  <c r="T367" i="20" s="1"/>
  <c r="S367" i="20" s="1"/>
  <c r="R367" i="20" s="1"/>
  <c r="P367" i="20" s="1"/>
  <c r="V367" i="20" s="1"/>
  <c r="B367" i="20" s="1"/>
  <c r="U369" i="20"/>
  <c r="T369" i="20" s="1"/>
  <c r="S369" i="20" s="1"/>
  <c r="R369" i="20" s="1"/>
  <c r="U371" i="20"/>
  <c r="T371" i="20" s="1"/>
  <c r="U373" i="20"/>
  <c r="T373" i="20" s="1"/>
  <c r="S373" i="20" s="1"/>
  <c r="R373" i="20" s="1"/>
  <c r="U375" i="20"/>
  <c r="T375" i="20" s="1"/>
  <c r="U377" i="20"/>
  <c r="T377" i="20" s="1"/>
  <c r="U379" i="20"/>
  <c r="I377" i="17"/>
  <c r="J377" i="17"/>
  <c r="I325" i="17"/>
  <c r="J325" i="17"/>
  <c r="J253" i="17"/>
  <c r="I253" i="17"/>
  <c r="I229" i="17"/>
  <c r="J229" i="17"/>
  <c r="J193" i="17"/>
  <c r="I193" i="17"/>
  <c r="I374" i="17"/>
  <c r="J374" i="17"/>
  <c r="I314" i="17"/>
  <c r="J314" i="17"/>
  <c r="I310" i="17"/>
  <c r="J310" i="17"/>
  <c r="J294" i="17"/>
  <c r="I294" i="17"/>
  <c r="I242" i="17"/>
  <c r="J242" i="17"/>
  <c r="I142" i="17"/>
  <c r="J142" i="17"/>
  <c r="J74" i="17"/>
  <c r="I74" i="17"/>
  <c r="J70" i="17"/>
  <c r="I70" i="17"/>
  <c r="I66" i="17"/>
  <c r="J66" i="17"/>
  <c r="I62" i="17"/>
  <c r="J62" i="17"/>
  <c r="I34" i="17"/>
  <c r="J34" i="17"/>
  <c r="I371" i="17"/>
  <c r="J371" i="17"/>
  <c r="J211" i="17"/>
  <c r="I211" i="17"/>
  <c r="I195" i="17"/>
  <c r="J195" i="17"/>
  <c r="I107" i="17"/>
  <c r="J107" i="17"/>
  <c r="I83" i="17"/>
  <c r="J83" i="17"/>
  <c r="J63" i="17"/>
  <c r="I63" i="17"/>
  <c r="I39" i="17"/>
  <c r="J39" i="17"/>
  <c r="W264" i="18"/>
  <c r="D264" i="18"/>
  <c r="E264" i="18" s="1"/>
  <c r="F264" i="18" s="1"/>
  <c r="I252" i="17"/>
  <c r="J252" i="17"/>
  <c r="J180" i="17"/>
  <c r="I180" i="17"/>
  <c r="J168" i="17"/>
  <c r="I168" i="17"/>
  <c r="J148" i="17"/>
  <c r="I148" i="17"/>
  <c r="J144" i="17"/>
  <c r="I144" i="17"/>
  <c r="I124" i="17"/>
  <c r="J124" i="17"/>
  <c r="I104" i="17"/>
  <c r="J104" i="17"/>
  <c r="J40" i="17"/>
  <c r="I40" i="17"/>
  <c r="J117" i="17"/>
  <c r="I117" i="17"/>
  <c r="I69" i="17"/>
  <c r="J69" i="17"/>
  <c r="J45" i="17"/>
  <c r="I45" i="17"/>
  <c r="I355" i="17"/>
  <c r="J355" i="17"/>
  <c r="I339" i="17"/>
  <c r="H339" i="18" s="1"/>
  <c r="J339" i="17"/>
  <c r="I287" i="17"/>
  <c r="J287" i="17"/>
  <c r="I123" i="17"/>
  <c r="H123" i="18" s="1"/>
  <c r="J123" i="17"/>
  <c r="J324" i="17"/>
  <c r="I324" i="17"/>
  <c r="J304" i="17"/>
  <c r="I304" i="17"/>
  <c r="I288" i="17"/>
  <c r="J288" i="17"/>
  <c r="J18" i="17"/>
  <c r="I18" i="17"/>
  <c r="S15" i="18"/>
  <c r="T382" i="18"/>
  <c r="T383" i="18"/>
  <c r="T381" i="18"/>
  <c r="D34" i="18"/>
  <c r="E34" i="18" s="1"/>
  <c r="F34" i="18" s="1"/>
  <c r="W34" i="18"/>
  <c r="D58" i="18"/>
  <c r="E58" i="18" s="1"/>
  <c r="F58" i="18" s="1"/>
  <c r="W58" i="18"/>
  <c r="W78" i="18"/>
  <c r="D78" i="18"/>
  <c r="E78" i="18" s="1"/>
  <c r="F78" i="18" s="1"/>
  <c r="G94" i="18"/>
  <c r="CA94" i="6" s="1"/>
  <c r="D100" i="18"/>
  <c r="E100" i="18" s="1"/>
  <c r="F100" i="18" s="1"/>
  <c r="W100" i="18"/>
  <c r="D120" i="18"/>
  <c r="E120" i="18" s="1"/>
  <c r="F120" i="18" s="1"/>
  <c r="W120" i="18"/>
  <c r="G128" i="18"/>
  <c r="CA128" i="6" s="1"/>
  <c r="D144" i="18"/>
  <c r="E144" i="18" s="1"/>
  <c r="F144" i="18" s="1"/>
  <c r="W144" i="18"/>
  <c r="G154" i="18"/>
  <c r="CA154" i="6" s="1"/>
  <c r="H154" i="18"/>
  <c r="W160" i="18"/>
  <c r="D160" i="18"/>
  <c r="E160" i="18" s="1"/>
  <c r="F160" i="18" s="1"/>
  <c r="G170" i="18"/>
  <c r="CA170" i="6" s="1"/>
  <c r="W212" i="18"/>
  <c r="D212" i="18"/>
  <c r="E212" i="18" s="1"/>
  <c r="F212" i="18" s="1"/>
  <c r="D242" i="18"/>
  <c r="E242" i="18" s="1"/>
  <c r="F242" i="18" s="1"/>
  <c r="W242" i="18"/>
  <c r="G248" i="18"/>
  <c r="CA248" i="6" s="1"/>
  <c r="W270" i="18"/>
  <c r="D270" i="18"/>
  <c r="E270" i="18" s="1"/>
  <c r="F270" i="18" s="1"/>
  <c r="W290" i="18"/>
  <c r="D290" i="18"/>
  <c r="E290" i="18" s="1"/>
  <c r="F290" i="18" s="1"/>
  <c r="G328" i="18"/>
  <c r="CA328" i="6" s="1"/>
  <c r="H328" i="18"/>
  <c r="D338" i="18"/>
  <c r="E338" i="18" s="1"/>
  <c r="F338" i="18" s="1"/>
  <c r="W338" i="18"/>
  <c r="W374" i="18"/>
  <c r="D374" i="18"/>
  <c r="E374" i="18" s="1"/>
  <c r="F374" i="18" s="1"/>
  <c r="AI102" i="20"/>
  <c r="AH102" i="20" s="1"/>
  <c r="AI98" i="20"/>
  <c r="AH98" i="20" s="1"/>
  <c r="AG98" i="20" s="1"/>
  <c r="AF98" i="20" s="1"/>
  <c r="AD98" i="20" s="1"/>
  <c r="AI94" i="20"/>
  <c r="AH94" i="20" s="1"/>
  <c r="AI90" i="20"/>
  <c r="AH90" i="20" s="1"/>
  <c r="AG90" i="20" s="1"/>
  <c r="AF90" i="20" s="1"/>
  <c r="AD90" i="20" s="1"/>
  <c r="AI86" i="20"/>
  <c r="AH86" i="20" s="1"/>
  <c r="AG86" i="20" s="1"/>
  <c r="AF86" i="20" s="1"/>
  <c r="AI82" i="20"/>
  <c r="AH82" i="20" s="1"/>
  <c r="AG82" i="20" s="1"/>
  <c r="AF82" i="20" s="1"/>
  <c r="AD82" i="20" s="1"/>
  <c r="AI78" i="20"/>
  <c r="AH78" i="20" s="1"/>
  <c r="AG78" i="20" s="1"/>
  <c r="AF78" i="20" s="1"/>
  <c r="AD78" i="20" s="1"/>
  <c r="AI74" i="20"/>
  <c r="AH74" i="20" s="1"/>
  <c r="AG74" i="20" s="1"/>
  <c r="AF74" i="20" s="1"/>
  <c r="AD74" i="20" s="1"/>
  <c r="AI70" i="20"/>
  <c r="AH70" i="20" s="1"/>
  <c r="AI66" i="20"/>
  <c r="AH66" i="20" s="1"/>
  <c r="AI62" i="20"/>
  <c r="AH62" i="20" s="1"/>
  <c r="AG62" i="20" s="1"/>
  <c r="AF62" i="20" s="1"/>
  <c r="AD62" i="20" s="1"/>
  <c r="AI58" i="20"/>
  <c r="AH58" i="20" s="1"/>
  <c r="AI54" i="20"/>
  <c r="AH54" i="20" s="1"/>
  <c r="AG54" i="20" s="1"/>
  <c r="AF54" i="20" s="1"/>
  <c r="AI50" i="20"/>
  <c r="AH50" i="20" s="1"/>
  <c r="AG50" i="20" s="1"/>
  <c r="AF50" i="20" s="1"/>
  <c r="AD50" i="20" s="1"/>
  <c r="AI46" i="20"/>
  <c r="AH46" i="20" s="1"/>
  <c r="AG46" i="20" s="1"/>
  <c r="AF46" i="20" s="1"/>
  <c r="AD46" i="20" s="1"/>
  <c r="AI42" i="20"/>
  <c r="AH42" i="20" s="1"/>
  <c r="AG42" i="20" s="1"/>
  <c r="AF42" i="20" s="1"/>
  <c r="AD42" i="20" s="1"/>
  <c r="AI38" i="20"/>
  <c r="AH38" i="20" s="1"/>
  <c r="AI34" i="20"/>
  <c r="AH34" i="20" s="1"/>
  <c r="AG34" i="20" s="1"/>
  <c r="AF34" i="20" s="1"/>
  <c r="AD34" i="20" s="1"/>
  <c r="AI30" i="20"/>
  <c r="AH30" i="20" s="1"/>
  <c r="AG30" i="20" s="1"/>
  <c r="AF30" i="20" s="1"/>
  <c r="AD30" i="20" s="1"/>
  <c r="AI26" i="20"/>
  <c r="AH26" i="20" s="1"/>
  <c r="AI22" i="20"/>
  <c r="AH22" i="20" s="1"/>
  <c r="AI15" i="20"/>
  <c r="J369" i="17"/>
  <c r="I369" i="17"/>
  <c r="J309" i="17"/>
  <c r="I309" i="17"/>
  <c r="I225" i="17"/>
  <c r="J225" i="17"/>
  <c r="AH15" i="7"/>
  <c r="Q90" i="20"/>
  <c r="Q382" i="20" s="1"/>
  <c r="AI15" i="7"/>
  <c r="X9" i="15"/>
  <c r="Y11" i="15" s="1"/>
  <c r="Y382" i="15"/>
  <c r="Y381" i="15"/>
  <c r="AL6" i="15"/>
  <c r="AL12" i="15" s="1"/>
  <c r="Y383" i="15"/>
  <c r="AM6" i="15"/>
  <c r="AM12" i="15" s="1"/>
  <c r="W74" i="18"/>
  <c r="D74" i="18"/>
  <c r="E74" i="18" s="1"/>
  <c r="F74" i="18" s="1"/>
  <c r="I244" i="17"/>
  <c r="J244" i="17"/>
  <c r="I113" i="17"/>
  <c r="J113" i="17"/>
  <c r="I89" i="17"/>
  <c r="J89" i="17"/>
  <c r="J65" i="17"/>
  <c r="I65" i="17"/>
  <c r="I315" i="17"/>
  <c r="J315" i="17"/>
  <c r="I19" i="17"/>
  <c r="J19" i="17"/>
  <c r="I76" i="17"/>
  <c r="H76" i="18" s="1"/>
  <c r="J76" i="17"/>
  <c r="I249" i="17"/>
  <c r="J249" i="17"/>
  <c r="I25" i="17"/>
  <c r="J25" i="17"/>
  <c r="J302" i="17"/>
  <c r="I302" i="17"/>
  <c r="J226" i="17"/>
  <c r="I226" i="17"/>
  <c r="I17" i="17"/>
  <c r="J17" i="17"/>
  <c r="I132" i="17"/>
  <c r="J132" i="17"/>
  <c r="I105" i="17"/>
  <c r="J105" i="17"/>
  <c r="J49" i="17"/>
  <c r="I49" i="17"/>
  <c r="I283" i="17"/>
  <c r="J283" i="17"/>
  <c r="I241" i="17"/>
  <c r="J241" i="17"/>
  <c r="I21" i="17"/>
  <c r="J21" i="17"/>
  <c r="J290" i="17"/>
  <c r="I290" i="17"/>
  <c r="J278" i="17"/>
  <c r="I278" i="17"/>
  <c r="I270" i="17"/>
  <c r="J270" i="17"/>
  <c r="I230" i="17"/>
  <c r="J230" i="17"/>
  <c r="I90" i="17"/>
  <c r="J90" i="17"/>
  <c r="J199" i="17"/>
  <c r="I199" i="17"/>
  <c r="J187" i="17"/>
  <c r="I187" i="17"/>
  <c r="J192" i="17"/>
  <c r="I192" i="17"/>
  <c r="F141" i="18" l="1"/>
  <c r="AA141" i="18" s="1"/>
  <c r="Z141" i="18" s="1"/>
  <c r="Y141" i="18" s="1"/>
  <c r="U383" i="18"/>
  <c r="F117" i="18"/>
  <c r="G117" i="18" s="1"/>
  <c r="CA117" i="6" s="1"/>
  <c r="F65" i="19"/>
  <c r="U382" i="18"/>
  <c r="H272" i="17"/>
  <c r="F56" i="17"/>
  <c r="F227" i="17"/>
  <c r="AA155" i="17"/>
  <c r="Z155" i="17" s="1"/>
  <c r="Y155" i="17" s="1"/>
  <c r="G155" i="17"/>
  <c r="BZ155" i="6" s="1"/>
  <c r="H155" i="17"/>
  <c r="G183" i="17"/>
  <c r="BZ183" i="6" s="1"/>
  <c r="H183" i="17"/>
  <c r="AA183" i="17"/>
  <c r="Z183" i="17" s="1"/>
  <c r="Y183" i="17" s="1"/>
  <c r="AA22" i="17"/>
  <c r="Z22" i="17" s="1"/>
  <c r="Y22" i="17" s="1"/>
  <c r="H22" i="17"/>
  <c r="G22" i="17"/>
  <c r="BZ22" i="6" s="1"/>
  <c r="J136" i="17"/>
  <c r="I136" i="17"/>
  <c r="AA267" i="17"/>
  <c r="Z267" i="17" s="1"/>
  <c r="Y267" i="17" s="1"/>
  <c r="H267" i="17"/>
  <c r="G267" i="17"/>
  <c r="BZ267" i="6" s="1"/>
  <c r="G126" i="17"/>
  <c r="BZ126" i="6" s="1"/>
  <c r="H126" i="17"/>
  <c r="AA126" i="17"/>
  <c r="Z126" i="17" s="1"/>
  <c r="Y126" i="17" s="1"/>
  <c r="H16" i="17"/>
  <c r="AA16" i="17"/>
  <c r="Z16" i="17" s="1"/>
  <c r="Y16" i="17" s="1"/>
  <c r="G16" i="17"/>
  <c r="BZ16" i="6" s="1"/>
  <c r="H136" i="18"/>
  <c r="S381" i="17"/>
  <c r="S383" i="17"/>
  <c r="S382" i="17"/>
  <c r="R15" i="17"/>
  <c r="J32" i="17"/>
  <c r="I32" i="17"/>
  <c r="H56" i="17"/>
  <c r="AA56" i="17"/>
  <c r="Z56" i="17" s="1"/>
  <c r="Y56" i="17" s="1"/>
  <c r="G56" i="17"/>
  <c r="BZ56" i="6" s="1"/>
  <c r="I64" i="17"/>
  <c r="J64" i="17"/>
  <c r="F88" i="17"/>
  <c r="D64" i="19"/>
  <c r="J128" i="17"/>
  <c r="I128" i="17"/>
  <c r="H128" i="18" s="1"/>
  <c r="H152" i="17"/>
  <c r="G152" i="17"/>
  <c r="BZ152" i="6" s="1"/>
  <c r="AA152" i="17"/>
  <c r="Z152" i="17" s="1"/>
  <c r="Y152" i="17" s="1"/>
  <c r="H176" i="17"/>
  <c r="AA176" i="17"/>
  <c r="Z176" i="17" s="1"/>
  <c r="Y176" i="17" s="1"/>
  <c r="G176" i="17"/>
  <c r="BZ176" i="6" s="1"/>
  <c r="J200" i="17"/>
  <c r="I200" i="17"/>
  <c r="I114" i="17"/>
  <c r="J114" i="17"/>
  <c r="J138" i="17"/>
  <c r="I138" i="17"/>
  <c r="I146" i="17"/>
  <c r="J146" i="17"/>
  <c r="J202" i="17"/>
  <c r="I202" i="17"/>
  <c r="G210" i="17"/>
  <c r="BZ210" i="6" s="1"/>
  <c r="AA210" i="17"/>
  <c r="Z210" i="17" s="1"/>
  <c r="Y210" i="17" s="1"/>
  <c r="H210" i="17"/>
  <c r="J256" i="17"/>
  <c r="I256" i="17"/>
  <c r="I296" i="17"/>
  <c r="J296" i="17"/>
  <c r="J312" i="17"/>
  <c r="I312" i="17"/>
  <c r="I336" i="17"/>
  <c r="J336" i="17"/>
  <c r="J43" i="17"/>
  <c r="I43" i="17"/>
  <c r="H43" i="18" s="1"/>
  <c r="J59" i="17"/>
  <c r="I59" i="17"/>
  <c r="H59" i="18" s="1"/>
  <c r="I115" i="17"/>
  <c r="J115" i="17"/>
  <c r="I147" i="17"/>
  <c r="J147" i="17"/>
  <c r="J179" i="17"/>
  <c r="I179" i="17"/>
  <c r="H227" i="17"/>
  <c r="AA227" i="17"/>
  <c r="Z227" i="17" s="1"/>
  <c r="Y227" i="17" s="1"/>
  <c r="G227" i="17"/>
  <c r="BZ227" i="6" s="1"/>
  <c r="I235" i="17"/>
  <c r="J235" i="17"/>
  <c r="I275" i="17"/>
  <c r="J275" i="17"/>
  <c r="AA291" i="17"/>
  <c r="Z291" i="17" s="1"/>
  <c r="Y291" i="17" s="1"/>
  <c r="H291" i="17"/>
  <c r="G291" i="17"/>
  <c r="BZ291" i="6" s="1"/>
  <c r="J307" i="17"/>
  <c r="I307" i="17"/>
  <c r="H307" i="18" s="1"/>
  <c r="J282" i="17"/>
  <c r="I282" i="17"/>
  <c r="J354" i="17"/>
  <c r="I354" i="17"/>
  <c r="I77" i="17"/>
  <c r="J77" i="17"/>
  <c r="I133" i="17"/>
  <c r="J133" i="17"/>
  <c r="H64" i="19"/>
  <c r="J221" i="17"/>
  <c r="I221" i="17"/>
  <c r="G261" i="17"/>
  <c r="BZ261" i="6" s="1"/>
  <c r="AA261" i="17"/>
  <c r="Z261" i="17" s="1"/>
  <c r="Y261" i="17" s="1"/>
  <c r="H261" i="17"/>
  <c r="AA365" i="17"/>
  <c r="Z365" i="17" s="1"/>
  <c r="Y365" i="17" s="1"/>
  <c r="H365" i="17"/>
  <c r="G365" i="17"/>
  <c r="BZ365" i="6" s="1"/>
  <c r="AG381" i="17"/>
  <c r="AF15" i="17"/>
  <c r="AG382" i="17"/>
  <c r="AG383" i="17"/>
  <c r="J44" i="17"/>
  <c r="I44" i="17"/>
  <c r="J116" i="17"/>
  <c r="I116" i="17"/>
  <c r="I228" i="17"/>
  <c r="J228" i="17"/>
  <c r="J30" i="17"/>
  <c r="I30" i="17"/>
  <c r="J46" i="17"/>
  <c r="I46" i="17"/>
  <c r="J182" i="17"/>
  <c r="I182" i="17"/>
  <c r="J260" i="17"/>
  <c r="I260" i="17"/>
  <c r="I284" i="17"/>
  <c r="H284" i="18" s="1"/>
  <c r="J284" i="17"/>
  <c r="J308" i="17"/>
  <c r="I308" i="17"/>
  <c r="J31" i="17"/>
  <c r="I31" i="17"/>
  <c r="H31" i="18" s="1"/>
  <c r="J135" i="17"/>
  <c r="I135" i="17"/>
  <c r="I246" i="17"/>
  <c r="J246" i="17"/>
  <c r="J318" i="17"/>
  <c r="I318" i="17"/>
  <c r="G334" i="17"/>
  <c r="BZ334" i="6" s="1"/>
  <c r="AA334" i="17"/>
  <c r="Z334" i="17" s="1"/>
  <c r="Y334" i="17" s="1"/>
  <c r="H334" i="17"/>
  <c r="I366" i="17"/>
  <c r="J366" i="17"/>
  <c r="I41" i="17"/>
  <c r="J41" i="17"/>
  <c r="I81" i="17"/>
  <c r="J81" i="17"/>
  <c r="J121" i="17"/>
  <c r="I121" i="17"/>
  <c r="J145" i="17"/>
  <c r="I145" i="17"/>
  <c r="I169" i="17"/>
  <c r="J169" i="17"/>
  <c r="J185" i="17"/>
  <c r="I185" i="17"/>
  <c r="F285" i="18"/>
  <c r="AA285" i="18" s="1"/>
  <c r="Z285" i="18" s="1"/>
  <c r="Y285" i="18" s="1"/>
  <c r="F77" i="18"/>
  <c r="J266" i="17"/>
  <c r="I266" i="17"/>
  <c r="J322" i="17"/>
  <c r="I322" i="17"/>
  <c r="AA245" i="17"/>
  <c r="Z245" i="17" s="1"/>
  <c r="Y245" i="17" s="1"/>
  <c r="G245" i="17"/>
  <c r="BZ245" i="6" s="1"/>
  <c r="H245" i="17"/>
  <c r="J269" i="17"/>
  <c r="I269" i="17"/>
  <c r="J220" i="17"/>
  <c r="I220" i="17"/>
  <c r="H220" i="18" s="1"/>
  <c r="I38" i="17"/>
  <c r="J38" i="17"/>
  <c r="I54" i="17"/>
  <c r="J54" i="17"/>
  <c r="J102" i="17"/>
  <c r="I102" i="17"/>
  <c r="J118" i="17"/>
  <c r="I118" i="17"/>
  <c r="AA174" i="17"/>
  <c r="Z174" i="17" s="1"/>
  <c r="Y174" i="17" s="1"/>
  <c r="H174" i="17"/>
  <c r="G174" i="17"/>
  <c r="BZ174" i="6" s="1"/>
  <c r="I190" i="17"/>
  <c r="J190" i="17"/>
  <c r="I316" i="17"/>
  <c r="H316" i="18" s="1"/>
  <c r="J316" i="17"/>
  <c r="I55" i="17"/>
  <c r="J55" i="17"/>
  <c r="J95" i="17"/>
  <c r="I95" i="17"/>
  <c r="F119" i="17"/>
  <c r="E64" i="19"/>
  <c r="J207" i="17"/>
  <c r="I207" i="17"/>
  <c r="H207" i="18" s="1"/>
  <c r="J351" i="17"/>
  <c r="I351" i="17"/>
  <c r="H351" i="18" s="1"/>
  <c r="J326" i="17"/>
  <c r="I326" i="17"/>
  <c r="I57" i="17"/>
  <c r="J57" i="17"/>
  <c r="I153" i="17"/>
  <c r="J153" i="17"/>
  <c r="I201" i="17"/>
  <c r="J201" i="17"/>
  <c r="J305" i="17"/>
  <c r="I305" i="17"/>
  <c r="H305" i="18" s="1"/>
  <c r="H114" i="18"/>
  <c r="H145" i="18"/>
  <c r="S189" i="18"/>
  <c r="R189" i="18" s="1"/>
  <c r="P189" i="18" s="1"/>
  <c r="S125" i="18"/>
  <c r="R125" i="18" s="1"/>
  <c r="P125" i="18" s="1"/>
  <c r="S61" i="18"/>
  <c r="R61" i="18" s="1"/>
  <c r="P61" i="18" s="1"/>
  <c r="J280" i="17"/>
  <c r="I280" i="17"/>
  <c r="I48" i="17"/>
  <c r="J48" i="17"/>
  <c r="I72" i="17"/>
  <c r="J72" i="17"/>
  <c r="J208" i="17"/>
  <c r="I208" i="17"/>
  <c r="I216" i="17"/>
  <c r="J216" i="17"/>
  <c r="I26" i="17"/>
  <c r="J26" i="17"/>
  <c r="I42" i="17"/>
  <c r="H42" i="18" s="1"/>
  <c r="J42" i="17"/>
  <c r="J82" i="17"/>
  <c r="I82" i="17"/>
  <c r="J130" i="17"/>
  <c r="I130" i="17"/>
  <c r="I178" i="17"/>
  <c r="H178" i="18" s="1"/>
  <c r="J178" i="17"/>
  <c r="J234" i="17"/>
  <c r="I234" i="17"/>
  <c r="J248" i="17"/>
  <c r="I248" i="17"/>
  <c r="H248" i="18" s="1"/>
  <c r="AA272" i="17"/>
  <c r="Z272" i="17" s="1"/>
  <c r="Y272" i="17" s="1"/>
  <c r="G272" i="17"/>
  <c r="BZ272" i="6" s="1"/>
  <c r="J376" i="17"/>
  <c r="I376" i="17"/>
  <c r="H376" i="18" s="1"/>
  <c r="I27" i="17"/>
  <c r="J27" i="17"/>
  <c r="I51" i="17"/>
  <c r="J51" i="17"/>
  <c r="I91" i="17"/>
  <c r="H91" i="18" s="1"/>
  <c r="J91" i="17"/>
  <c r="I131" i="17"/>
  <c r="H131" i="18" s="1"/>
  <c r="J131" i="17"/>
  <c r="J163" i="17"/>
  <c r="I163" i="17"/>
  <c r="J171" i="17"/>
  <c r="I171" i="17"/>
  <c r="J243" i="17"/>
  <c r="I243" i="17"/>
  <c r="J251" i="17"/>
  <c r="I251" i="17"/>
  <c r="H251" i="18" s="1"/>
  <c r="J347" i="17"/>
  <c r="I347" i="17"/>
  <c r="H347" i="18" s="1"/>
  <c r="AA363" i="17"/>
  <c r="Z363" i="17" s="1"/>
  <c r="Y363" i="17" s="1"/>
  <c r="G363" i="17"/>
  <c r="BZ363" i="6" s="1"/>
  <c r="H363" i="17"/>
  <c r="J330" i="17"/>
  <c r="I330" i="17"/>
  <c r="H330" i="18" s="1"/>
  <c r="J37" i="17"/>
  <c r="I37" i="17"/>
  <c r="J109" i="17"/>
  <c r="I109" i="17"/>
  <c r="I165" i="17"/>
  <c r="J165" i="17"/>
  <c r="I189" i="17"/>
  <c r="J189" i="17"/>
  <c r="F205" i="17"/>
  <c r="J64" i="19"/>
  <c r="J277" i="17"/>
  <c r="I277" i="17"/>
  <c r="I349" i="17"/>
  <c r="J349" i="17"/>
  <c r="J92" i="17"/>
  <c r="I92" i="17"/>
  <c r="H92" i="18" s="1"/>
  <c r="I196" i="17"/>
  <c r="J196" i="17"/>
  <c r="J94" i="17"/>
  <c r="I94" i="17"/>
  <c r="H94" i="18" s="1"/>
  <c r="I110" i="17"/>
  <c r="J110" i="17"/>
  <c r="I166" i="17"/>
  <c r="J166" i="17"/>
  <c r="I198" i="17"/>
  <c r="J198" i="17"/>
  <c r="J364" i="17"/>
  <c r="I364" i="17"/>
  <c r="I71" i="17"/>
  <c r="J71" i="17"/>
  <c r="I87" i="17"/>
  <c r="J87" i="17"/>
  <c r="I111" i="17"/>
  <c r="H111" i="18" s="1"/>
  <c r="J111" i="17"/>
  <c r="J223" i="17"/>
  <c r="I223" i="17"/>
  <c r="I303" i="17"/>
  <c r="J303" i="17"/>
  <c r="I367" i="17"/>
  <c r="H367" i="18" s="1"/>
  <c r="J367" i="17"/>
  <c r="I233" i="17"/>
  <c r="J233" i="17"/>
  <c r="I265" i="17"/>
  <c r="J265" i="17"/>
  <c r="J289" i="17"/>
  <c r="I289" i="17"/>
  <c r="J321" i="17"/>
  <c r="I321" i="17"/>
  <c r="H321" i="18" s="1"/>
  <c r="F349" i="18"/>
  <c r="J346" i="17"/>
  <c r="I346" i="17"/>
  <c r="G29" i="17"/>
  <c r="BZ29" i="6" s="1"/>
  <c r="H29" i="17"/>
  <c r="AA29" i="17"/>
  <c r="Z29" i="17" s="1"/>
  <c r="Y29" i="17" s="1"/>
  <c r="J53" i="17"/>
  <c r="I53" i="17"/>
  <c r="I101" i="17"/>
  <c r="J101" i="17"/>
  <c r="J125" i="17"/>
  <c r="I125" i="17"/>
  <c r="F149" i="17"/>
  <c r="F64" i="19"/>
  <c r="J173" i="17"/>
  <c r="I173" i="17"/>
  <c r="I197" i="17"/>
  <c r="H197" i="18" s="1"/>
  <c r="J197" i="17"/>
  <c r="I213" i="17"/>
  <c r="H213" i="18" s="1"/>
  <c r="J213" i="17"/>
  <c r="F333" i="17"/>
  <c r="L64" i="19"/>
  <c r="I357" i="17"/>
  <c r="J357" i="17"/>
  <c r="I276" i="17"/>
  <c r="J276" i="17"/>
  <c r="J36" i="17"/>
  <c r="I36" i="17"/>
  <c r="J68" i="17"/>
  <c r="I68" i="17"/>
  <c r="I108" i="17"/>
  <c r="H108" i="18" s="1"/>
  <c r="J108" i="17"/>
  <c r="I156" i="17"/>
  <c r="J156" i="17"/>
  <c r="I158" i="17"/>
  <c r="H158" i="18" s="1"/>
  <c r="J158" i="17"/>
  <c r="G64" i="19"/>
  <c r="I206" i="17"/>
  <c r="H206" i="18" s="1"/>
  <c r="J206" i="17"/>
  <c r="I292" i="17"/>
  <c r="J292" i="17"/>
  <c r="I372" i="17"/>
  <c r="J372" i="17"/>
  <c r="I79" i="17"/>
  <c r="J79" i="17"/>
  <c r="J143" i="17"/>
  <c r="I143" i="17"/>
  <c r="I231" i="17"/>
  <c r="J231" i="17"/>
  <c r="I262" i="17"/>
  <c r="J262" i="17"/>
  <c r="I97" i="17"/>
  <c r="J97" i="17"/>
  <c r="I137" i="17"/>
  <c r="J137" i="17"/>
  <c r="I177" i="17"/>
  <c r="H177" i="18" s="1"/>
  <c r="J177" i="17"/>
  <c r="I257" i="17"/>
  <c r="J257" i="17"/>
  <c r="I273" i="17"/>
  <c r="J273" i="17"/>
  <c r="J345" i="17"/>
  <c r="I345" i="17"/>
  <c r="F301" i="18"/>
  <c r="J380" i="18"/>
  <c r="C380" i="6" s="1"/>
  <c r="I380" i="18"/>
  <c r="J350" i="17"/>
  <c r="I350" i="17"/>
  <c r="F381" i="16"/>
  <c r="F383" i="16"/>
  <c r="AM10" i="16"/>
  <c r="F9" i="16"/>
  <c r="AA15" i="16"/>
  <c r="AK10" i="16"/>
  <c r="AK12" i="16" s="1"/>
  <c r="AK13" i="16" s="1"/>
  <c r="G15" i="16"/>
  <c r="F382" i="16"/>
  <c r="H15" i="16"/>
  <c r="B63" i="19"/>
  <c r="N63" i="19" s="1"/>
  <c r="V383" i="16"/>
  <c r="V382" i="16"/>
  <c r="V381" i="16"/>
  <c r="G85" i="18"/>
  <c r="CA85" i="6" s="1"/>
  <c r="AD54" i="20"/>
  <c r="AD86" i="20"/>
  <c r="P373" i="20"/>
  <c r="V373" i="20" s="1"/>
  <c r="B373" i="20" s="1"/>
  <c r="P369" i="20"/>
  <c r="V369" i="20" s="1"/>
  <c r="B369" i="20" s="1"/>
  <c r="D369" i="20" s="1"/>
  <c r="E369" i="20" s="1"/>
  <c r="F369" i="20" s="1"/>
  <c r="P365" i="20"/>
  <c r="V365" i="20" s="1"/>
  <c r="B365" i="20" s="1"/>
  <c r="P357" i="20"/>
  <c r="V357" i="20" s="1"/>
  <c r="B357" i="20" s="1"/>
  <c r="D357" i="20" s="1"/>
  <c r="E357" i="20" s="1"/>
  <c r="F357" i="20" s="1"/>
  <c r="P345" i="20"/>
  <c r="V345" i="20" s="1"/>
  <c r="B345" i="20" s="1"/>
  <c r="P321" i="20"/>
  <c r="V321" i="20" s="1"/>
  <c r="B321" i="20" s="1"/>
  <c r="D321" i="20" s="1"/>
  <c r="E321" i="20" s="1"/>
  <c r="F321" i="20" s="1"/>
  <c r="F21" i="18"/>
  <c r="G21" i="18" s="1"/>
  <c r="CA21" i="6" s="1"/>
  <c r="H113" i="18"/>
  <c r="I113" i="18" s="1"/>
  <c r="B113" i="6" s="1"/>
  <c r="BA113" i="6" s="1"/>
  <c r="P123" i="20"/>
  <c r="V123" i="20" s="1"/>
  <c r="B123" i="20" s="1"/>
  <c r="D123" i="20" s="1"/>
  <c r="E123" i="20" s="1"/>
  <c r="F123" i="20" s="1"/>
  <c r="P19" i="20"/>
  <c r="V19" i="20" s="1"/>
  <c r="B19" i="20" s="1"/>
  <c r="W19" i="20" s="1"/>
  <c r="AA197" i="18"/>
  <c r="Z197" i="18" s="1"/>
  <c r="Y197" i="18" s="1"/>
  <c r="F69" i="18"/>
  <c r="AA69" i="18" s="1"/>
  <c r="Z69" i="18" s="1"/>
  <c r="Y69" i="18" s="1"/>
  <c r="G213" i="18"/>
  <c r="CA213" i="6" s="1"/>
  <c r="AA320" i="18"/>
  <c r="Z320" i="18" s="1"/>
  <c r="Y320" i="18" s="1"/>
  <c r="AA169" i="18"/>
  <c r="Z169" i="18" s="1"/>
  <c r="Y169" i="18" s="1"/>
  <c r="H85" i="18"/>
  <c r="J85" i="18" s="1"/>
  <c r="C85" i="6" s="1"/>
  <c r="AA213" i="18"/>
  <c r="Z213" i="18" s="1"/>
  <c r="Y213" i="18" s="1"/>
  <c r="F101" i="18"/>
  <c r="AA101" i="18" s="1"/>
  <c r="Z101" i="18" s="1"/>
  <c r="Y101" i="18" s="1"/>
  <c r="Q12" i="22"/>
  <c r="Q10" i="22" s="1"/>
  <c r="Q16" i="22" s="1"/>
  <c r="F12" i="19"/>
  <c r="AI69" i="20"/>
  <c r="AH69" i="20" s="1"/>
  <c r="AG69" i="20" s="1"/>
  <c r="AF69" i="20" s="1"/>
  <c r="AD69" i="20" s="1"/>
  <c r="AI25" i="20"/>
  <c r="AH25" i="20" s="1"/>
  <c r="AG25" i="20" s="1"/>
  <c r="AF25" i="20" s="1"/>
  <c r="AD25" i="20" s="1"/>
  <c r="U17" i="20"/>
  <c r="T17" i="20" s="1"/>
  <c r="S17" i="20" s="1"/>
  <c r="R17" i="20" s="1"/>
  <c r="P17" i="20" s="1"/>
  <c r="V17" i="20" s="1"/>
  <c r="B17" i="20" s="1"/>
  <c r="U28" i="20"/>
  <c r="T28" i="20" s="1"/>
  <c r="U36" i="20"/>
  <c r="T36" i="20" s="1"/>
  <c r="S36" i="20" s="1"/>
  <c r="R36" i="20" s="1"/>
  <c r="P36" i="20" s="1"/>
  <c r="V36" i="20" s="1"/>
  <c r="B36" i="20" s="1"/>
  <c r="W36" i="20" s="1"/>
  <c r="U44" i="20"/>
  <c r="T44" i="20" s="1"/>
  <c r="S44" i="20" s="1"/>
  <c r="R44" i="20" s="1"/>
  <c r="P44" i="20" s="1"/>
  <c r="V44" i="20" s="1"/>
  <c r="B44" i="20" s="1"/>
  <c r="U52" i="20"/>
  <c r="T52" i="20" s="1"/>
  <c r="S52" i="20" s="1"/>
  <c r="R52" i="20" s="1"/>
  <c r="P52" i="20" s="1"/>
  <c r="V52" i="20" s="1"/>
  <c r="B52" i="20" s="1"/>
  <c r="U60" i="20"/>
  <c r="T60" i="20" s="1"/>
  <c r="S60" i="20" s="1"/>
  <c r="R60" i="20" s="1"/>
  <c r="P60" i="20" s="1"/>
  <c r="AH21" i="7" s="1"/>
  <c r="U68" i="20"/>
  <c r="T68" i="20" s="1"/>
  <c r="S68" i="20" s="1"/>
  <c r="R68" i="20" s="1"/>
  <c r="P68" i="20" s="1"/>
  <c r="V68" i="20" s="1"/>
  <c r="B68" i="20" s="1"/>
  <c r="W68" i="20" s="1"/>
  <c r="U76" i="20"/>
  <c r="T76" i="20" s="1"/>
  <c r="U84" i="20"/>
  <c r="T84" i="20" s="1"/>
  <c r="S84" i="20" s="1"/>
  <c r="R84" i="20" s="1"/>
  <c r="P84" i="20" s="1"/>
  <c r="V84" i="20" s="1"/>
  <c r="B84" i="20" s="1"/>
  <c r="U92" i="20"/>
  <c r="T92" i="20" s="1"/>
  <c r="U100" i="20"/>
  <c r="T100" i="20" s="1"/>
  <c r="S100" i="20" s="1"/>
  <c r="R100" i="20" s="1"/>
  <c r="P100" i="20" s="1"/>
  <c r="V100" i="20" s="1"/>
  <c r="B100" i="20" s="1"/>
  <c r="W100" i="20" s="1"/>
  <c r="U105" i="20"/>
  <c r="T105" i="20" s="1"/>
  <c r="S105" i="20" s="1"/>
  <c r="R105" i="20" s="1"/>
  <c r="P105" i="20" s="1"/>
  <c r="V105" i="20" s="1"/>
  <c r="U109" i="20"/>
  <c r="T109" i="20" s="1"/>
  <c r="S109" i="20" s="1"/>
  <c r="R109" i="20" s="1"/>
  <c r="P109" i="20" s="1"/>
  <c r="V109" i="20" s="1"/>
  <c r="B109" i="20" s="1"/>
  <c r="U113" i="20"/>
  <c r="T113" i="20" s="1"/>
  <c r="S113" i="20" s="1"/>
  <c r="R113" i="20" s="1"/>
  <c r="P113" i="20" s="1"/>
  <c r="V113" i="20" s="1"/>
  <c r="B113" i="20" s="1"/>
  <c r="U117" i="20"/>
  <c r="T117" i="20" s="1"/>
  <c r="S117" i="20" s="1"/>
  <c r="R117" i="20" s="1"/>
  <c r="P117" i="20" s="1"/>
  <c r="V117" i="20" s="1"/>
  <c r="B117" i="20" s="1"/>
  <c r="W117" i="20" s="1"/>
  <c r="U121" i="20"/>
  <c r="T121" i="20" s="1"/>
  <c r="U125" i="20"/>
  <c r="T125" i="20" s="1"/>
  <c r="U129" i="20"/>
  <c r="T129" i="20" s="1"/>
  <c r="U133" i="20"/>
  <c r="T133" i="20" s="1"/>
  <c r="S133" i="20" s="1"/>
  <c r="R133" i="20" s="1"/>
  <c r="P133" i="20" s="1"/>
  <c r="V133" i="20" s="1"/>
  <c r="B133" i="20" s="1"/>
  <c r="U137" i="20"/>
  <c r="T137" i="20" s="1"/>
  <c r="S137" i="20" s="1"/>
  <c r="R137" i="20" s="1"/>
  <c r="P137" i="20" s="1"/>
  <c r="V137" i="20" s="1"/>
  <c r="B137" i="20" s="1"/>
  <c r="W137" i="20" s="1"/>
  <c r="U141" i="20"/>
  <c r="T141" i="20" s="1"/>
  <c r="S141" i="20" s="1"/>
  <c r="R141" i="20" s="1"/>
  <c r="P141" i="20" s="1"/>
  <c r="V141" i="20" s="1"/>
  <c r="B141" i="20" s="1"/>
  <c r="U145" i="20"/>
  <c r="T145" i="20" s="1"/>
  <c r="S145" i="20" s="1"/>
  <c r="R145" i="20" s="1"/>
  <c r="P145" i="20" s="1"/>
  <c r="V145" i="20" s="1"/>
  <c r="B145" i="20" s="1"/>
  <c r="W145" i="20" s="1"/>
  <c r="U149" i="20"/>
  <c r="T149" i="20" s="1"/>
  <c r="S149" i="20" s="1"/>
  <c r="R149" i="20" s="1"/>
  <c r="P149" i="20" s="1"/>
  <c r="U153" i="20"/>
  <c r="T153" i="20" s="1"/>
  <c r="S153" i="20" s="1"/>
  <c r="R153" i="20" s="1"/>
  <c r="P153" i="20" s="1"/>
  <c r="V153" i="20" s="1"/>
  <c r="B153" i="20" s="1"/>
  <c r="U157" i="20"/>
  <c r="T157" i="20" s="1"/>
  <c r="S157" i="20" s="1"/>
  <c r="R157" i="20" s="1"/>
  <c r="P157" i="20" s="1"/>
  <c r="V157" i="20" s="1"/>
  <c r="B157" i="20" s="1"/>
  <c r="D157" i="20" s="1"/>
  <c r="E157" i="20" s="1"/>
  <c r="F157" i="20" s="1"/>
  <c r="U161" i="20"/>
  <c r="T161" i="20" s="1"/>
  <c r="S161" i="20" s="1"/>
  <c r="R161" i="20" s="1"/>
  <c r="P161" i="20" s="1"/>
  <c r="V161" i="20" s="1"/>
  <c r="B161" i="20" s="1"/>
  <c r="W161" i="20" s="1"/>
  <c r="U165" i="20"/>
  <c r="T165" i="20" s="1"/>
  <c r="S165" i="20" s="1"/>
  <c r="R165" i="20" s="1"/>
  <c r="P165" i="20" s="1"/>
  <c r="V165" i="20" s="1"/>
  <c r="B165" i="20" s="1"/>
  <c r="D165" i="20" s="1"/>
  <c r="E165" i="20" s="1"/>
  <c r="F165" i="20" s="1"/>
  <c r="U169" i="20"/>
  <c r="T169" i="20" s="1"/>
  <c r="S169" i="20" s="1"/>
  <c r="R169" i="20" s="1"/>
  <c r="P169" i="20" s="1"/>
  <c r="V169" i="20" s="1"/>
  <c r="B169" i="20" s="1"/>
  <c r="D169" i="20" s="1"/>
  <c r="E169" i="20" s="1"/>
  <c r="F169" i="20" s="1"/>
  <c r="U173" i="20"/>
  <c r="T173" i="20" s="1"/>
  <c r="U177" i="20"/>
  <c r="T177" i="20" s="1"/>
  <c r="S177" i="20" s="1"/>
  <c r="R177" i="20" s="1"/>
  <c r="P177" i="20" s="1"/>
  <c r="V177" i="20" s="1"/>
  <c r="B177" i="20" s="1"/>
  <c r="D177" i="20" s="1"/>
  <c r="E177" i="20" s="1"/>
  <c r="F177" i="20" s="1"/>
  <c r="U181" i="20"/>
  <c r="T181" i="20" s="1"/>
  <c r="S181" i="20" s="1"/>
  <c r="R181" i="20" s="1"/>
  <c r="P181" i="20" s="1"/>
  <c r="V181" i="20" s="1"/>
  <c r="B181" i="20" s="1"/>
  <c r="D181" i="20" s="1"/>
  <c r="E181" i="20" s="1"/>
  <c r="F181" i="20" s="1"/>
  <c r="U185" i="20"/>
  <c r="T185" i="20" s="1"/>
  <c r="S185" i="20" s="1"/>
  <c r="R185" i="20" s="1"/>
  <c r="P185" i="20" s="1"/>
  <c r="V185" i="20" s="1"/>
  <c r="B185" i="20" s="1"/>
  <c r="U189" i="20"/>
  <c r="T189" i="20" s="1"/>
  <c r="S189" i="20" s="1"/>
  <c r="R189" i="20" s="1"/>
  <c r="P189" i="20" s="1"/>
  <c r="V189" i="20" s="1"/>
  <c r="U193" i="20"/>
  <c r="T193" i="20" s="1"/>
  <c r="U197" i="20"/>
  <c r="T197" i="20" s="1"/>
  <c r="S197" i="20" s="1"/>
  <c r="R197" i="20" s="1"/>
  <c r="P197" i="20" s="1"/>
  <c r="V197" i="20" s="1"/>
  <c r="B197" i="20" s="1"/>
  <c r="U201" i="20"/>
  <c r="T201" i="20" s="1"/>
  <c r="S201" i="20" s="1"/>
  <c r="R201" i="20" s="1"/>
  <c r="P201" i="20" s="1"/>
  <c r="V201" i="20" s="1"/>
  <c r="B201" i="20" s="1"/>
  <c r="U205" i="20"/>
  <c r="T205" i="20" s="1"/>
  <c r="S205" i="20" s="1"/>
  <c r="R205" i="20" s="1"/>
  <c r="P205" i="20" s="1"/>
  <c r="V205" i="20" s="1"/>
  <c r="B205" i="20" s="1"/>
  <c r="U209" i="20"/>
  <c r="T209" i="20" s="1"/>
  <c r="S209" i="20" s="1"/>
  <c r="R209" i="20" s="1"/>
  <c r="P209" i="20" s="1"/>
  <c r="V209" i="20" s="1"/>
  <c r="B209" i="20" s="1"/>
  <c r="U213" i="20"/>
  <c r="T213" i="20" s="1"/>
  <c r="S213" i="20" s="1"/>
  <c r="R213" i="20" s="1"/>
  <c r="P213" i="20" s="1"/>
  <c r="V213" i="20" s="1"/>
  <c r="B213" i="20" s="1"/>
  <c r="D213" i="20" s="1"/>
  <c r="E213" i="20" s="1"/>
  <c r="F213" i="20" s="1"/>
  <c r="U217" i="20"/>
  <c r="T217" i="20" s="1"/>
  <c r="S217" i="20" s="1"/>
  <c r="R217" i="20" s="1"/>
  <c r="P217" i="20" s="1"/>
  <c r="V217" i="20" s="1"/>
  <c r="B217" i="20" s="1"/>
  <c r="U221" i="20"/>
  <c r="T221" i="20" s="1"/>
  <c r="S221" i="20" s="1"/>
  <c r="R221" i="20" s="1"/>
  <c r="P221" i="20" s="1"/>
  <c r="V221" i="20" s="1"/>
  <c r="B221" i="20" s="1"/>
  <c r="D221" i="20" s="1"/>
  <c r="E221" i="20" s="1"/>
  <c r="F221" i="20" s="1"/>
  <c r="U223" i="20"/>
  <c r="T223" i="20" s="1"/>
  <c r="S223" i="20" s="1"/>
  <c r="R223" i="20" s="1"/>
  <c r="P223" i="20" s="1"/>
  <c r="V223" i="20" s="1"/>
  <c r="B223" i="20" s="1"/>
  <c r="W223" i="20" s="1"/>
  <c r="U225" i="20"/>
  <c r="T225" i="20" s="1"/>
  <c r="S225" i="20" s="1"/>
  <c r="R225" i="20" s="1"/>
  <c r="P225" i="20" s="1"/>
  <c r="V225" i="20" s="1"/>
  <c r="B225" i="20" s="1"/>
  <c r="W225" i="20" s="1"/>
  <c r="U227" i="20"/>
  <c r="T227" i="20" s="1"/>
  <c r="S227" i="20" s="1"/>
  <c r="R227" i="20" s="1"/>
  <c r="P227" i="20" s="1"/>
  <c r="V227" i="20" s="1"/>
  <c r="B227" i="20" s="1"/>
  <c r="U229" i="20"/>
  <c r="T229" i="20" s="1"/>
  <c r="S229" i="20" s="1"/>
  <c r="R229" i="20" s="1"/>
  <c r="P229" i="20" s="1"/>
  <c r="V229" i="20" s="1"/>
  <c r="B229" i="20" s="1"/>
  <c r="U231" i="20"/>
  <c r="T231" i="20" s="1"/>
  <c r="S231" i="20" s="1"/>
  <c r="R231" i="20" s="1"/>
  <c r="P231" i="20" s="1"/>
  <c r="V231" i="20" s="1"/>
  <c r="B231" i="20" s="1"/>
  <c r="W231" i="20" s="1"/>
  <c r="U233" i="20"/>
  <c r="T233" i="20" s="1"/>
  <c r="U235" i="20"/>
  <c r="T235" i="20" s="1"/>
  <c r="S235" i="20" s="1"/>
  <c r="R235" i="20" s="1"/>
  <c r="P235" i="20" s="1"/>
  <c r="V235" i="20" s="1"/>
  <c r="B235" i="20" s="1"/>
  <c r="U237" i="20"/>
  <c r="T237" i="20" s="1"/>
  <c r="S237" i="20" s="1"/>
  <c r="R237" i="20" s="1"/>
  <c r="P237" i="20" s="1"/>
  <c r="V237" i="20" s="1"/>
  <c r="B237" i="20" s="1"/>
  <c r="U239" i="20"/>
  <c r="T239" i="20" s="1"/>
  <c r="S239" i="20" s="1"/>
  <c r="R239" i="20" s="1"/>
  <c r="P239" i="20" s="1"/>
  <c r="V239" i="20" s="1"/>
  <c r="B239" i="20" s="1"/>
  <c r="D239" i="20" s="1"/>
  <c r="E239" i="20" s="1"/>
  <c r="F239" i="20" s="1"/>
  <c r="U241" i="20"/>
  <c r="T241" i="20" s="1"/>
  <c r="U243" i="20"/>
  <c r="T243" i="20" s="1"/>
  <c r="S243" i="20" s="1"/>
  <c r="R243" i="20" s="1"/>
  <c r="P243" i="20" s="1"/>
  <c r="V243" i="20" s="1"/>
  <c r="B243" i="20" s="1"/>
  <c r="U245" i="20"/>
  <c r="T245" i="20" s="1"/>
  <c r="S245" i="20" s="1"/>
  <c r="R245" i="20" s="1"/>
  <c r="P245" i="20" s="1"/>
  <c r="V245" i="20" s="1"/>
  <c r="B245" i="20" s="1"/>
  <c r="U247" i="20"/>
  <c r="T247" i="20" s="1"/>
  <c r="S247" i="20" s="1"/>
  <c r="R247" i="20" s="1"/>
  <c r="P247" i="20" s="1"/>
  <c r="V247" i="20" s="1"/>
  <c r="B247" i="20" s="1"/>
  <c r="W247" i="20" s="1"/>
  <c r="U249" i="20"/>
  <c r="T249" i="20" s="1"/>
  <c r="S249" i="20" s="1"/>
  <c r="R249" i="20" s="1"/>
  <c r="P249" i="20" s="1"/>
  <c r="V249" i="20" s="1"/>
  <c r="B249" i="20" s="1"/>
  <c r="W249" i="20" s="1"/>
  <c r="U251" i="20"/>
  <c r="T251" i="20" s="1"/>
  <c r="S251" i="20" s="1"/>
  <c r="R251" i="20" s="1"/>
  <c r="P251" i="20" s="1"/>
  <c r="V251" i="20" s="1"/>
  <c r="B251" i="20" s="1"/>
  <c r="U253" i="20"/>
  <c r="T253" i="20" s="1"/>
  <c r="U255" i="20"/>
  <c r="T255" i="20" s="1"/>
  <c r="S255" i="20" s="1"/>
  <c r="R255" i="20" s="1"/>
  <c r="P255" i="20" s="1"/>
  <c r="V255" i="20" s="1"/>
  <c r="B255" i="20" s="1"/>
  <c r="D255" i="20" s="1"/>
  <c r="E255" i="20" s="1"/>
  <c r="F255" i="20" s="1"/>
  <c r="U257" i="20"/>
  <c r="T257" i="20" s="1"/>
  <c r="S257" i="20" s="1"/>
  <c r="R257" i="20" s="1"/>
  <c r="P257" i="20" s="1"/>
  <c r="V257" i="20" s="1"/>
  <c r="B257" i="20" s="1"/>
  <c r="U259" i="20"/>
  <c r="T259" i="20" s="1"/>
  <c r="S259" i="20" s="1"/>
  <c r="R259" i="20" s="1"/>
  <c r="P259" i="20" s="1"/>
  <c r="V259" i="20" s="1"/>
  <c r="B259" i="20" s="1"/>
  <c r="U261" i="20"/>
  <c r="T261" i="20" s="1"/>
  <c r="U263" i="20"/>
  <c r="T263" i="20" s="1"/>
  <c r="S263" i="20" s="1"/>
  <c r="R263" i="20" s="1"/>
  <c r="P263" i="20" s="1"/>
  <c r="V263" i="20" s="1"/>
  <c r="B263" i="20" s="1"/>
  <c r="U265" i="20"/>
  <c r="T265" i="20" s="1"/>
  <c r="S265" i="20" s="1"/>
  <c r="R265" i="20" s="1"/>
  <c r="P265" i="20" s="1"/>
  <c r="V265" i="20" s="1"/>
  <c r="B265" i="20" s="1"/>
  <c r="U267" i="20"/>
  <c r="T267" i="20" s="1"/>
  <c r="S267" i="20" s="1"/>
  <c r="R267" i="20" s="1"/>
  <c r="P267" i="20" s="1"/>
  <c r="V267" i="20" s="1"/>
  <c r="B267" i="20" s="1"/>
  <c r="D267" i="20" s="1"/>
  <c r="E267" i="20" s="1"/>
  <c r="F267" i="20" s="1"/>
  <c r="U269" i="20"/>
  <c r="T269" i="20" s="1"/>
  <c r="S269" i="20" s="1"/>
  <c r="R269" i="20" s="1"/>
  <c r="P269" i="20" s="1"/>
  <c r="V269" i="20" s="1"/>
  <c r="B269" i="20" s="1"/>
  <c r="D269" i="20" s="1"/>
  <c r="E269" i="20" s="1"/>
  <c r="F269" i="20" s="1"/>
  <c r="U271" i="20"/>
  <c r="T271" i="20" s="1"/>
  <c r="S271" i="20" s="1"/>
  <c r="R271" i="20" s="1"/>
  <c r="P271" i="20" s="1"/>
  <c r="V271" i="20" s="1"/>
  <c r="B271" i="20" s="1"/>
  <c r="W271" i="20" s="1"/>
  <c r="U273" i="20"/>
  <c r="T273" i="20" s="1"/>
  <c r="S273" i="20" s="1"/>
  <c r="R273" i="20" s="1"/>
  <c r="P273" i="20" s="1"/>
  <c r="V273" i="20" s="1"/>
  <c r="B273" i="20" s="1"/>
  <c r="D273" i="20" s="1"/>
  <c r="E273" i="20" s="1"/>
  <c r="F273" i="20" s="1"/>
  <c r="U275" i="20"/>
  <c r="T275" i="20" s="1"/>
  <c r="S275" i="20" s="1"/>
  <c r="R275" i="20" s="1"/>
  <c r="P275" i="20" s="1"/>
  <c r="V275" i="20" s="1"/>
  <c r="B275" i="20" s="1"/>
  <c r="U277" i="20"/>
  <c r="T277" i="20" s="1"/>
  <c r="U279" i="20"/>
  <c r="T279" i="20" s="1"/>
  <c r="S279" i="20" s="1"/>
  <c r="R279" i="20" s="1"/>
  <c r="P279" i="20" s="1"/>
  <c r="V279" i="20" s="1"/>
  <c r="B279" i="20" s="1"/>
  <c r="U281" i="20"/>
  <c r="T281" i="20" s="1"/>
  <c r="S281" i="20" s="1"/>
  <c r="R281" i="20" s="1"/>
  <c r="P281" i="20" s="1"/>
  <c r="V281" i="20" s="1"/>
  <c r="B281" i="20" s="1"/>
  <c r="U283" i="20"/>
  <c r="T283" i="20" s="1"/>
  <c r="S283" i="20" s="1"/>
  <c r="R283" i="20" s="1"/>
  <c r="P283" i="20" s="1"/>
  <c r="V283" i="20" s="1"/>
  <c r="B283" i="20" s="1"/>
  <c r="U285" i="20"/>
  <c r="T285" i="20" s="1"/>
  <c r="U287" i="20"/>
  <c r="T287" i="20" s="1"/>
  <c r="S287" i="20" s="1"/>
  <c r="R287" i="20" s="1"/>
  <c r="P287" i="20" s="1"/>
  <c r="V287" i="20" s="1"/>
  <c r="B287" i="20" s="1"/>
  <c r="U289" i="20"/>
  <c r="T289" i="20" s="1"/>
  <c r="S289" i="20" s="1"/>
  <c r="R289" i="20" s="1"/>
  <c r="P289" i="20" s="1"/>
  <c r="V289" i="20" s="1"/>
  <c r="B289" i="20" s="1"/>
  <c r="W289" i="20" s="1"/>
  <c r="U291" i="20"/>
  <c r="T291" i="20" s="1"/>
  <c r="S291" i="20" s="1"/>
  <c r="R291" i="20" s="1"/>
  <c r="P291" i="20" s="1"/>
  <c r="V291" i="20" s="1"/>
  <c r="B291" i="20" s="1"/>
  <c r="W291" i="20" s="1"/>
  <c r="U293" i="20"/>
  <c r="T293" i="20" s="1"/>
  <c r="S293" i="20" s="1"/>
  <c r="R293" i="20" s="1"/>
  <c r="P293" i="20" s="1"/>
  <c r="V293" i="20" s="1"/>
  <c r="B293" i="20" s="1"/>
  <c r="U295" i="20"/>
  <c r="T295" i="20" s="1"/>
  <c r="S295" i="20" s="1"/>
  <c r="R295" i="20" s="1"/>
  <c r="P295" i="20" s="1"/>
  <c r="V295" i="20" s="1"/>
  <c r="B295" i="20" s="1"/>
  <c r="W295" i="20" s="1"/>
  <c r="U297" i="20"/>
  <c r="T297" i="20" s="1"/>
  <c r="U299" i="20"/>
  <c r="T299" i="20" s="1"/>
  <c r="S299" i="20" s="1"/>
  <c r="R299" i="20" s="1"/>
  <c r="P299" i="20" s="1"/>
  <c r="V299" i="20" s="1"/>
  <c r="B299" i="20" s="1"/>
  <c r="U301" i="20"/>
  <c r="T301" i="20" s="1"/>
  <c r="S301" i="20" s="1"/>
  <c r="R301" i="20" s="1"/>
  <c r="P301" i="20" s="1"/>
  <c r="V301" i="20" s="1"/>
  <c r="B301" i="20" s="1"/>
  <c r="U303" i="20"/>
  <c r="T303" i="20" s="1"/>
  <c r="S303" i="20" s="1"/>
  <c r="R303" i="20" s="1"/>
  <c r="P303" i="20" s="1"/>
  <c r="V303" i="20" s="1"/>
  <c r="B303" i="20" s="1"/>
  <c r="U305" i="20"/>
  <c r="T305" i="20" s="1"/>
  <c r="AI18" i="20"/>
  <c r="AH18" i="20" s="1"/>
  <c r="AG18" i="20" s="1"/>
  <c r="AF18" i="20" s="1"/>
  <c r="AD18" i="20" s="1"/>
  <c r="AI17" i="20"/>
  <c r="AH17" i="20" s="1"/>
  <c r="AG17" i="20" s="1"/>
  <c r="AF17" i="20" s="1"/>
  <c r="AD17" i="20" s="1"/>
  <c r="AI24" i="20"/>
  <c r="AH24" i="20" s="1"/>
  <c r="AG24" i="20" s="1"/>
  <c r="AF24" i="20" s="1"/>
  <c r="AD24" i="20" s="1"/>
  <c r="AI28" i="20"/>
  <c r="AH28" i="20" s="1"/>
  <c r="AI32" i="20"/>
  <c r="AH32" i="20" s="1"/>
  <c r="AG32" i="20" s="1"/>
  <c r="AF32" i="20" s="1"/>
  <c r="AD32" i="20" s="1"/>
  <c r="AI36" i="20"/>
  <c r="AH36" i="20" s="1"/>
  <c r="AG36" i="20" s="1"/>
  <c r="AF36" i="20" s="1"/>
  <c r="AD36" i="20" s="1"/>
  <c r="AI40" i="20"/>
  <c r="AH40" i="20" s="1"/>
  <c r="AG40" i="20" s="1"/>
  <c r="AF40" i="20" s="1"/>
  <c r="AD40" i="20" s="1"/>
  <c r="AI44" i="20"/>
  <c r="AH44" i="20" s="1"/>
  <c r="AG44" i="20" s="1"/>
  <c r="AF44" i="20" s="1"/>
  <c r="AD44" i="20" s="1"/>
  <c r="AI48" i="20"/>
  <c r="AH48" i="20" s="1"/>
  <c r="AG48" i="20" s="1"/>
  <c r="AF48" i="20" s="1"/>
  <c r="AD48" i="20" s="1"/>
  <c r="AI52" i="20"/>
  <c r="AH52" i="20" s="1"/>
  <c r="AG52" i="20" s="1"/>
  <c r="AF52" i="20" s="1"/>
  <c r="AD52" i="20" s="1"/>
  <c r="AI56" i="20"/>
  <c r="AH56" i="20" s="1"/>
  <c r="AG56" i="20" s="1"/>
  <c r="AF56" i="20" s="1"/>
  <c r="AD56" i="20" s="1"/>
  <c r="AI60" i="20"/>
  <c r="AH60" i="20" s="1"/>
  <c r="AG60" i="20" s="1"/>
  <c r="AF60" i="20" s="1"/>
  <c r="AD60" i="20" s="1"/>
  <c r="AI64" i="20"/>
  <c r="AH64" i="20" s="1"/>
  <c r="AG64" i="20" s="1"/>
  <c r="AF64" i="20" s="1"/>
  <c r="AD64" i="20" s="1"/>
  <c r="AI68" i="20"/>
  <c r="AH68" i="20" s="1"/>
  <c r="AG68" i="20" s="1"/>
  <c r="AF68" i="20" s="1"/>
  <c r="AD68" i="20" s="1"/>
  <c r="AI72" i="20"/>
  <c r="AH72" i="20" s="1"/>
  <c r="AG72" i="20" s="1"/>
  <c r="AF72" i="20" s="1"/>
  <c r="AD72" i="20" s="1"/>
  <c r="AI76" i="20"/>
  <c r="AH76" i="20" s="1"/>
  <c r="AG76" i="20" s="1"/>
  <c r="AF76" i="20" s="1"/>
  <c r="AD76" i="20" s="1"/>
  <c r="AI80" i="20"/>
  <c r="AH80" i="20" s="1"/>
  <c r="AG80" i="20" s="1"/>
  <c r="AF80" i="20" s="1"/>
  <c r="AD80" i="20" s="1"/>
  <c r="AI84" i="20"/>
  <c r="AH84" i="20" s="1"/>
  <c r="AI88" i="20"/>
  <c r="AH88" i="20" s="1"/>
  <c r="AG88" i="20" s="1"/>
  <c r="AF88" i="20" s="1"/>
  <c r="AD88" i="20" s="1"/>
  <c r="AI92" i="20"/>
  <c r="AH92" i="20" s="1"/>
  <c r="AG92" i="20" s="1"/>
  <c r="AF92" i="20" s="1"/>
  <c r="AD92" i="20" s="1"/>
  <c r="AI96" i="20"/>
  <c r="AH96" i="20" s="1"/>
  <c r="AG96" i="20" s="1"/>
  <c r="AF96" i="20" s="1"/>
  <c r="AD96" i="20" s="1"/>
  <c r="AI100" i="20"/>
  <c r="AH100" i="20" s="1"/>
  <c r="AG100" i="20" s="1"/>
  <c r="AF100" i="20" s="1"/>
  <c r="AD100" i="20" s="1"/>
  <c r="U378" i="20"/>
  <c r="T378" i="20" s="1"/>
  <c r="S378" i="20" s="1"/>
  <c r="R378" i="20" s="1"/>
  <c r="P378" i="20" s="1"/>
  <c r="V378" i="20" s="1"/>
  <c r="B378" i="20" s="1"/>
  <c r="U376" i="20"/>
  <c r="T376" i="20" s="1"/>
  <c r="S376" i="20" s="1"/>
  <c r="R376" i="20" s="1"/>
  <c r="P376" i="20" s="1"/>
  <c r="V376" i="20" s="1"/>
  <c r="B376" i="20" s="1"/>
  <c r="W376" i="20" s="1"/>
  <c r="U374" i="20"/>
  <c r="T374" i="20" s="1"/>
  <c r="S374" i="20" s="1"/>
  <c r="R374" i="20" s="1"/>
  <c r="P374" i="20" s="1"/>
  <c r="V374" i="20" s="1"/>
  <c r="B374" i="20" s="1"/>
  <c r="W374" i="20" s="1"/>
  <c r="U372" i="20"/>
  <c r="T372" i="20" s="1"/>
  <c r="U370" i="20"/>
  <c r="T370" i="20" s="1"/>
  <c r="S370" i="20" s="1"/>
  <c r="R370" i="20" s="1"/>
  <c r="P370" i="20" s="1"/>
  <c r="V370" i="20" s="1"/>
  <c r="B370" i="20" s="1"/>
  <c r="D370" i="20" s="1"/>
  <c r="E370" i="20" s="1"/>
  <c r="F370" i="20" s="1"/>
  <c r="U368" i="20"/>
  <c r="T368" i="20" s="1"/>
  <c r="S368" i="20" s="1"/>
  <c r="R368" i="20" s="1"/>
  <c r="P368" i="20" s="1"/>
  <c r="V368" i="20" s="1"/>
  <c r="B368" i="20" s="1"/>
  <c r="U366" i="20"/>
  <c r="T366" i="20" s="1"/>
  <c r="S366" i="20" s="1"/>
  <c r="R366" i="20" s="1"/>
  <c r="P366" i="20" s="1"/>
  <c r="V366" i="20" s="1"/>
  <c r="B366" i="20" s="1"/>
  <c r="U364" i="20"/>
  <c r="T364" i="20" s="1"/>
  <c r="S364" i="20" s="1"/>
  <c r="R364" i="20" s="1"/>
  <c r="P364" i="20" s="1"/>
  <c r="V364" i="20" s="1"/>
  <c r="B364" i="20" s="1"/>
  <c r="U362" i="20"/>
  <c r="T362" i="20" s="1"/>
  <c r="U360" i="20"/>
  <c r="T360" i="20" s="1"/>
  <c r="S360" i="20" s="1"/>
  <c r="R360" i="20" s="1"/>
  <c r="P360" i="20" s="1"/>
  <c r="V360" i="20" s="1"/>
  <c r="B360" i="20" s="1"/>
  <c r="W360" i="20" s="1"/>
  <c r="U358" i="20"/>
  <c r="T358" i="20" s="1"/>
  <c r="S358" i="20" s="1"/>
  <c r="R358" i="20" s="1"/>
  <c r="P358" i="20" s="1"/>
  <c r="V358" i="20" s="1"/>
  <c r="B358" i="20" s="1"/>
  <c r="U356" i="20"/>
  <c r="T356" i="20" s="1"/>
  <c r="U354" i="20"/>
  <c r="T354" i="20" s="1"/>
  <c r="S354" i="20" s="1"/>
  <c r="R354" i="20" s="1"/>
  <c r="P354" i="20" s="1"/>
  <c r="V354" i="20" s="1"/>
  <c r="B354" i="20" s="1"/>
  <c r="U352" i="20"/>
  <c r="T352" i="20" s="1"/>
  <c r="S352" i="20" s="1"/>
  <c r="R352" i="20" s="1"/>
  <c r="P352" i="20" s="1"/>
  <c r="V352" i="20" s="1"/>
  <c r="B352" i="20" s="1"/>
  <c r="W352" i="20" s="1"/>
  <c r="U350" i="20"/>
  <c r="T350" i="20" s="1"/>
  <c r="S350" i="20" s="1"/>
  <c r="R350" i="20" s="1"/>
  <c r="P350" i="20" s="1"/>
  <c r="V350" i="20" s="1"/>
  <c r="B350" i="20" s="1"/>
  <c r="W350" i="20" s="1"/>
  <c r="U348" i="20"/>
  <c r="T348" i="20" s="1"/>
  <c r="S348" i="20" s="1"/>
  <c r="R348" i="20" s="1"/>
  <c r="P348" i="20" s="1"/>
  <c r="V348" i="20" s="1"/>
  <c r="B348" i="20" s="1"/>
  <c r="D348" i="20" s="1"/>
  <c r="E348" i="20" s="1"/>
  <c r="F348" i="20" s="1"/>
  <c r="U346" i="20"/>
  <c r="T346" i="20" s="1"/>
  <c r="U344" i="20"/>
  <c r="T344" i="20" s="1"/>
  <c r="S344" i="20" s="1"/>
  <c r="R344" i="20" s="1"/>
  <c r="P344" i="20" s="1"/>
  <c r="V344" i="20" s="1"/>
  <c r="B344" i="20" s="1"/>
  <c r="D344" i="20" s="1"/>
  <c r="E344" i="20" s="1"/>
  <c r="F344" i="20" s="1"/>
  <c r="U342" i="20"/>
  <c r="T342" i="20" s="1"/>
  <c r="S342" i="20" s="1"/>
  <c r="R342" i="20" s="1"/>
  <c r="P342" i="20" s="1"/>
  <c r="V342" i="20" s="1"/>
  <c r="B342" i="20" s="1"/>
  <c r="U340" i="20"/>
  <c r="T340" i="20" s="1"/>
  <c r="S340" i="20" s="1"/>
  <c r="R340" i="20" s="1"/>
  <c r="P340" i="20" s="1"/>
  <c r="V340" i="20" s="1"/>
  <c r="B340" i="20" s="1"/>
  <c r="U338" i="20"/>
  <c r="T338" i="20" s="1"/>
  <c r="S338" i="20" s="1"/>
  <c r="R338" i="20" s="1"/>
  <c r="P338" i="20" s="1"/>
  <c r="V338" i="20" s="1"/>
  <c r="B338" i="20" s="1"/>
  <c r="U336" i="20"/>
  <c r="T336" i="20" s="1"/>
  <c r="U334" i="20"/>
  <c r="T334" i="20" s="1"/>
  <c r="S334" i="20" s="1"/>
  <c r="R334" i="20" s="1"/>
  <c r="P334" i="20" s="1"/>
  <c r="V334" i="20" s="1"/>
  <c r="B334" i="20" s="1"/>
  <c r="D334" i="20" s="1"/>
  <c r="E334" i="20" s="1"/>
  <c r="F334" i="20" s="1"/>
  <c r="U332" i="20"/>
  <c r="T332" i="20" s="1"/>
  <c r="S332" i="20" s="1"/>
  <c r="R332" i="20" s="1"/>
  <c r="P332" i="20" s="1"/>
  <c r="V332" i="20" s="1"/>
  <c r="B332" i="20" s="1"/>
  <c r="U330" i="20"/>
  <c r="T330" i="20" s="1"/>
  <c r="U328" i="20"/>
  <c r="T328" i="20" s="1"/>
  <c r="S328" i="20" s="1"/>
  <c r="R328" i="20" s="1"/>
  <c r="P328" i="20" s="1"/>
  <c r="V328" i="20" s="1"/>
  <c r="B328" i="20" s="1"/>
  <c r="U326" i="20"/>
  <c r="T326" i="20" s="1"/>
  <c r="S326" i="20" s="1"/>
  <c r="R326" i="20" s="1"/>
  <c r="P326" i="20" s="1"/>
  <c r="V326" i="20" s="1"/>
  <c r="B326" i="20" s="1"/>
  <c r="U324" i="20"/>
  <c r="T324" i="20" s="1"/>
  <c r="S324" i="20" s="1"/>
  <c r="R324" i="20" s="1"/>
  <c r="P324" i="20" s="1"/>
  <c r="V324" i="20" s="1"/>
  <c r="B324" i="20" s="1"/>
  <c r="U322" i="20"/>
  <c r="T322" i="20" s="1"/>
  <c r="S322" i="20" s="1"/>
  <c r="R322" i="20" s="1"/>
  <c r="P322" i="20" s="1"/>
  <c r="V322" i="20" s="1"/>
  <c r="B322" i="20" s="1"/>
  <c r="W322" i="20" s="1"/>
  <c r="U320" i="20"/>
  <c r="T320" i="20" s="1"/>
  <c r="U318" i="20"/>
  <c r="T318" i="20" s="1"/>
  <c r="S318" i="20" s="1"/>
  <c r="R318" i="20" s="1"/>
  <c r="P318" i="20" s="1"/>
  <c r="V318" i="20" s="1"/>
  <c r="B318" i="20" s="1"/>
  <c r="U316" i="20"/>
  <c r="T316" i="20" s="1"/>
  <c r="S316" i="20" s="1"/>
  <c r="R316" i="20" s="1"/>
  <c r="P316" i="20" s="1"/>
  <c r="V316" i="20" s="1"/>
  <c r="B316" i="20" s="1"/>
  <c r="D316" i="20" s="1"/>
  <c r="E316" i="20" s="1"/>
  <c r="F316" i="20" s="1"/>
  <c r="U314" i="20"/>
  <c r="T314" i="20" s="1"/>
  <c r="S314" i="20" s="1"/>
  <c r="R314" i="20" s="1"/>
  <c r="P314" i="20" s="1"/>
  <c r="V314" i="20" s="1"/>
  <c r="B314" i="20" s="1"/>
  <c r="U312" i="20"/>
  <c r="T312" i="20" s="1"/>
  <c r="S312" i="20" s="1"/>
  <c r="R312" i="20" s="1"/>
  <c r="P312" i="20" s="1"/>
  <c r="V312" i="20" s="1"/>
  <c r="B312" i="20" s="1"/>
  <c r="U310" i="20"/>
  <c r="T310" i="20" s="1"/>
  <c r="U308" i="20"/>
  <c r="T308" i="20" s="1"/>
  <c r="S308" i="20" s="1"/>
  <c r="R308" i="20" s="1"/>
  <c r="P308" i="20" s="1"/>
  <c r="V308" i="20" s="1"/>
  <c r="B308" i="20" s="1"/>
  <c r="W308" i="20" s="1"/>
  <c r="U306" i="20"/>
  <c r="T306" i="20" s="1"/>
  <c r="S306" i="20" s="1"/>
  <c r="R306" i="20" s="1"/>
  <c r="P306" i="20" s="1"/>
  <c r="V306" i="20" s="1"/>
  <c r="B306" i="20" s="1"/>
  <c r="U302" i="20"/>
  <c r="T302" i="20" s="1"/>
  <c r="U298" i="20"/>
  <c r="T298" i="20" s="1"/>
  <c r="S298" i="20" s="1"/>
  <c r="R298" i="20" s="1"/>
  <c r="P298" i="20" s="1"/>
  <c r="V298" i="20" s="1"/>
  <c r="B298" i="20" s="1"/>
  <c r="U294" i="20"/>
  <c r="T294" i="20" s="1"/>
  <c r="U290" i="20"/>
  <c r="T290" i="20" s="1"/>
  <c r="S290" i="20" s="1"/>
  <c r="R290" i="20" s="1"/>
  <c r="P290" i="20" s="1"/>
  <c r="V290" i="20" s="1"/>
  <c r="B290" i="20" s="1"/>
  <c r="U286" i="20"/>
  <c r="T286" i="20" s="1"/>
  <c r="S286" i="20" s="1"/>
  <c r="R286" i="20" s="1"/>
  <c r="P286" i="20" s="1"/>
  <c r="V286" i="20" s="1"/>
  <c r="B286" i="20" s="1"/>
  <c r="U282" i="20"/>
  <c r="T282" i="20" s="1"/>
  <c r="U278" i="20"/>
  <c r="T278" i="20" s="1"/>
  <c r="U274" i="20"/>
  <c r="T274" i="20" s="1"/>
  <c r="U270" i="20"/>
  <c r="T270" i="20" s="1"/>
  <c r="S270" i="20" s="1"/>
  <c r="R270" i="20" s="1"/>
  <c r="P270" i="20" s="1"/>
  <c r="V270" i="20" s="1"/>
  <c r="B270" i="20" s="1"/>
  <c r="W270" i="20" s="1"/>
  <c r="U266" i="20"/>
  <c r="T266" i="20" s="1"/>
  <c r="S266" i="20" s="1"/>
  <c r="R266" i="20" s="1"/>
  <c r="P266" i="20" s="1"/>
  <c r="V266" i="20" s="1"/>
  <c r="B266" i="20" s="1"/>
  <c r="U262" i="20"/>
  <c r="T262" i="20" s="1"/>
  <c r="S262" i="20" s="1"/>
  <c r="R262" i="20" s="1"/>
  <c r="P262" i="20" s="1"/>
  <c r="V262" i="20" s="1"/>
  <c r="B262" i="20" s="1"/>
  <c r="D262" i="20" s="1"/>
  <c r="E262" i="20" s="1"/>
  <c r="F262" i="20" s="1"/>
  <c r="U258" i="20"/>
  <c r="T258" i="20" s="1"/>
  <c r="S258" i="20" s="1"/>
  <c r="R258" i="20" s="1"/>
  <c r="P258" i="20" s="1"/>
  <c r="V258" i="20" s="1"/>
  <c r="U254" i="20"/>
  <c r="T254" i="20" s="1"/>
  <c r="S254" i="20" s="1"/>
  <c r="R254" i="20" s="1"/>
  <c r="P254" i="20" s="1"/>
  <c r="V254" i="20" s="1"/>
  <c r="B254" i="20" s="1"/>
  <c r="W254" i="20" s="1"/>
  <c r="U250" i="20"/>
  <c r="T250" i="20" s="1"/>
  <c r="S250" i="20" s="1"/>
  <c r="R250" i="20" s="1"/>
  <c r="P250" i="20" s="1"/>
  <c r="V250" i="20" s="1"/>
  <c r="B250" i="20" s="1"/>
  <c r="U246" i="20"/>
  <c r="T246" i="20" s="1"/>
  <c r="U242" i="20"/>
  <c r="T242" i="20" s="1"/>
  <c r="S242" i="20" s="1"/>
  <c r="R242" i="20" s="1"/>
  <c r="P242" i="20" s="1"/>
  <c r="V242" i="20" s="1"/>
  <c r="B242" i="20" s="1"/>
  <c r="U238" i="20"/>
  <c r="T238" i="20" s="1"/>
  <c r="U234" i="20"/>
  <c r="T234" i="20" s="1"/>
  <c r="S234" i="20" s="1"/>
  <c r="R234" i="20" s="1"/>
  <c r="P234" i="20" s="1"/>
  <c r="V234" i="20" s="1"/>
  <c r="B234" i="20" s="1"/>
  <c r="D234" i="20" s="1"/>
  <c r="E234" i="20" s="1"/>
  <c r="F234" i="20" s="1"/>
  <c r="U230" i="20"/>
  <c r="T230" i="20" s="1"/>
  <c r="S230" i="20" s="1"/>
  <c r="R230" i="20" s="1"/>
  <c r="P230" i="20" s="1"/>
  <c r="V230" i="20" s="1"/>
  <c r="B230" i="20" s="1"/>
  <c r="U226" i="20"/>
  <c r="T226" i="20" s="1"/>
  <c r="S226" i="20" s="1"/>
  <c r="R226" i="20" s="1"/>
  <c r="P226" i="20" s="1"/>
  <c r="V226" i="20" s="1"/>
  <c r="B226" i="20" s="1"/>
  <c r="W226" i="20" s="1"/>
  <c r="U222" i="20"/>
  <c r="T222" i="20" s="1"/>
  <c r="S222" i="20" s="1"/>
  <c r="R222" i="20" s="1"/>
  <c r="P222" i="20" s="1"/>
  <c r="V222" i="20" s="1"/>
  <c r="B222" i="20" s="1"/>
  <c r="U215" i="20"/>
  <c r="T215" i="20" s="1"/>
  <c r="S215" i="20" s="1"/>
  <c r="R215" i="20" s="1"/>
  <c r="P215" i="20" s="1"/>
  <c r="V215" i="20" s="1"/>
  <c r="B215" i="20" s="1"/>
  <c r="U207" i="20"/>
  <c r="T207" i="20" s="1"/>
  <c r="U199" i="20"/>
  <c r="T199" i="20" s="1"/>
  <c r="S199" i="20" s="1"/>
  <c r="R199" i="20" s="1"/>
  <c r="P199" i="20" s="1"/>
  <c r="V199" i="20" s="1"/>
  <c r="B199" i="20" s="1"/>
  <c r="U191" i="20"/>
  <c r="T191" i="20" s="1"/>
  <c r="S191" i="20" s="1"/>
  <c r="R191" i="20" s="1"/>
  <c r="P191" i="20" s="1"/>
  <c r="V191" i="20" s="1"/>
  <c r="B191" i="20" s="1"/>
  <c r="W191" i="20" s="1"/>
  <c r="U183" i="20"/>
  <c r="T183" i="20" s="1"/>
  <c r="S183" i="20" s="1"/>
  <c r="R183" i="20" s="1"/>
  <c r="P183" i="20" s="1"/>
  <c r="V183" i="20" s="1"/>
  <c r="B183" i="20" s="1"/>
  <c r="U175" i="20"/>
  <c r="T175" i="20" s="1"/>
  <c r="S175" i="20" s="1"/>
  <c r="R175" i="20" s="1"/>
  <c r="P175" i="20" s="1"/>
  <c r="V175" i="20" s="1"/>
  <c r="B175" i="20" s="1"/>
  <c r="D175" i="20" s="1"/>
  <c r="E175" i="20" s="1"/>
  <c r="F175" i="20" s="1"/>
  <c r="U167" i="20"/>
  <c r="T167" i="20" s="1"/>
  <c r="S167" i="20" s="1"/>
  <c r="R167" i="20" s="1"/>
  <c r="P167" i="20" s="1"/>
  <c r="V167" i="20" s="1"/>
  <c r="B167" i="20" s="1"/>
  <c r="U159" i="20"/>
  <c r="T159" i="20" s="1"/>
  <c r="S159" i="20" s="1"/>
  <c r="R159" i="20" s="1"/>
  <c r="P159" i="20" s="1"/>
  <c r="V159" i="20" s="1"/>
  <c r="B159" i="20" s="1"/>
  <c r="U151" i="20"/>
  <c r="T151" i="20" s="1"/>
  <c r="S151" i="20" s="1"/>
  <c r="R151" i="20" s="1"/>
  <c r="P151" i="20" s="1"/>
  <c r="V151" i="20" s="1"/>
  <c r="B151" i="20" s="1"/>
  <c r="D151" i="20" s="1"/>
  <c r="E151" i="20" s="1"/>
  <c r="F151" i="20" s="1"/>
  <c r="U143" i="20"/>
  <c r="T143" i="20" s="1"/>
  <c r="S143" i="20" s="1"/>
  <c r="R143" i="20" s="1"/>
  <c r="P143" i="20" s="1"/>
  <c r="V143" i="20" s="1"/>
  <c r="B143" i="20" s="1"/>
  <c r="D143" i="20" s="1"/>
  <c r="E143" i="20" s="1"/>
  <c r="F143" i="20" s="1"/>
  <c r="U135" i="20"/>
  <c r="T135" i="20" s="1"/>
  <c r="S135" i="20" s="1"/>
  <c r="R135" i="20" s="1"/>
  <c r="P135" i="20" s="1"/>
  <c r="V135" i="20" s="1"/>
  <c r="B135" i="20" s="1"/>
  <c r="U127" i="20"/>
  <c r="T127" i="20" s="1"/>
  <c r="S127" i="20" s="1"/>
  <c r="R127" i="20" s="1"/>
  <c r="P127" i="20" s="1"/>
  <c r="V127" i="20" s="1"/>
  <c r="B127" i="20" s="1"/>
  <c r="D127" i="20" s="1"/>
  <c r="E127" i="20" s="1"/>
  <c r="F127" i="20" s="1"/>
  <c r="U119" i="20"/>
  <c r="T119" i="20" s="1"/>
  <c r="S119" i="20" s="1"/>
  <c r="R119" i="20" s="1"/>
  <c r="P119" i="20" s="1"/>
  <c r="U111" i="20"/>
  <c r="T111" i="20" s="1"/>
  <c r="U103" i="20"/>
  <c r="T103" i="20" s="1"/>
  <c r="S103" i="20" s="1"/>
  <c r="R103" i="20" s="1"/>
  <c r="P103" i="20" s="1"/>
  <c r="V103" i="20" s="1"/>
  <c r="B103" i="20" s="1"/>
  <c r="U88" i="20"/>
  <c r="T88" i="20" s="1"/>
  <c r="S88" i="20" s="1"/>
  <c r="R88" i="20" s="1"/>
  <c r="P88" i="20" s="1"/>
  <c r="V88" i="20" s="1"/>
  <c r="B88" i="20" s="1"/>
  <c r="U72" i="20"/>
  <c r="T72" i="20" s="1"/>
  <c r="S72" i="20" s="1"/>
  <c r="R72" i="20" s="1"/>
  <c r="P72" i="20" s="1"/>
  <c r="V72" i="20" s="1"/>
  <c r="B72" i="20" s="1"/>
  <c r="W72" i="20" s="1"/>
  <c r="U56" i="20"/>
  <c r="T56" i="20" s="1"/>
  <c r="S56" i="20" s="1"/>
  <c r="R56" i="20" s="1"/>
  <c r="P56" i="20" s="1"/>
  <c r="V56" i="20" s="1"/>
  <c r="B56" i="20" s="1"/>
  <c r="U40" i="20"/>
  <c r="T40" i="20" s="1"/>
  <c r="S40" i="20" s="1"/>
  <c r="R40" i="20" s="1"/>
  <c r="P40" i="20" s="1"/>
  <c r="V40" i="20" s="1"/>
  <c r="B40" i="20" s="1"/>
  <c r="U24" i="20"/>
  <c r="T24" i="20" s="1"/>
  <c r="S24" i="20" s="1"/>
  <c r="R24" i="20" s="1"/>
  <c r="P24" i="20" s="1"/>
  <c r="V24" i="20" s="1"/>
  <c r="B24" i="20" s="1"/>
  <c r="W24" i="20" s="1"/>
  <c r="AI41" i="20"/>
  <c r="AH41" i="20" s="1"/>
  <c r="AG41" i="20" s="1"/>
  <c r="AF41" i="20" s="1"/>
  <c r="AD41" i="20" s="1"/>
  <c r="AI93" i="20"/>
  <c r="AH93" i="20" s="1"/>
  <c r="AG93" i="20" s="1"/>
  <c r="AF93" i="20" s="1"/>
  <c r="AD93" i="20" s="1"/>
  <c r="AI77" i="20"/>
  <c r="AH77" i="20" s="1"/>
  <c r="AG77" i="20" s="1"/>
  <c r="AF77" i="20" s="1"/>
  <c r="AD77" i="20" s="1"/>
  <c r="AI61" i="20"/>
  <c r="AH61" i="20" s="1"/>
  <c r="AG61" i="20" s="1"/>
  <c r="AF61" i="20" s="1"/>
  <c r="AD61" i="20" s="1"/>
  <c r="AI45" i="20"/>
  <c r="AH45" i="20" s="1"/>
  <c r="AG45" i="20" s="1"/>
  <c r="AF45" i="20" s="1"/>
  <c r="AD45" i="20" s="1"/>
  <c r="AI37" i="20"/>
  <c r="AH37" i="20" s="1"/>
  <c r="AG37" i="20" s="1"/>
  <c r="AF37" i="20" s="1"/>
  <c r="AD37" i="20" s="1"/>
  <c r="AI29" i="20"/>
  <c r="AH29" i="20" s="1"/>
  <c r="AG29" i="20" s="1"/>
  <c r="AF29" i="20" s="1"/>
  <c r="AD29" i="20" s="1"/>
  <c r="AI19" i="20"/>
  <c r="AH19" i="20" s="1"/>
  <c r="AG19" i="20" s="1"/>
  <c r="AF19" i="20" s="1"/>
  <c r="AD19" i="20" s="1"/>
  <c r="AI85" i="20"/>
  <c r="AH85" i="20" s="1"/>
  <c r="AG85" i="20" s="1"/>
  <c r="AF85" i="20" s="1"/>
  <c r="AD85" i="20" s="1"/>
  <c r="AI53" i="20"/>
  <c r="AH53" i="20" s="1"/>
  <c r="AG53" i="20" s="1"/>
  <c r="AF53" i="20" s="1"/>
  <c r="AD53" i="20" s="1"/>
  <c r="AI33" i="20"/>
  <c r="AH33" i="20" s="1"/>
  <c r="AG33" i="20" s="1"/>
  <c r="AF33" i="20" s="1"/>
  <c r="AD33" i="20" s="1"/>
  <c r="AI20" i="20"/>
  <c r="AH20" i="20" s="1"/>
  <c r="AG20" i="20" s="1"/>
  <c r="AF20" i="20" s="1"/>
  <c r="AD20" i="20" s="1"/>
  <c r="U18" i="20"/>
  <c r="T18" i="20" s="1"/>
  <c r="S18" i="20" s="1"/>
  <c r="R18" i="20" s="1"/>
  <c r="P18" i="20" s="1"/>
  <c r="V18" i="20" s="1"/>
  <c r="B18" i="20" s="1"/>
  <c r="D18" i="20" s="1"/>
  <c r="E18" i="20" s="1"/>
  <c r="F18" i="20" s="1"/>
  <c r="U15" i="20"/>
  <c r="T15" i="20" s="1"/>
  <c r="U16" i="20"/>
  <c r="T16" i="20" s="1"/>
  <c r="S16" i="20" s="1"/>
  <c r="R16" i="20" s="1"/>
  <c r="P16" i="20" s="1"/>
  <c r="V16" i="20" s="1"/>
  <c r="B16" i="20" s="1"/>
  <c r="U21" i="20"/>
  <c r="T21" i="20" s="1"/>
  <c r="S21" i="20" s="1"/>
  <c r="R21" i="20" s="1"/>
  <c r="P21" i="20" s="1"/>
  <c r="V21" i="20" s="1"/>
  <c r="B21" i="20" s="1"/>
  <c r="W21" i="20" s="1"/>
  <c r="U23" i="20"/>
  <c r="T23" i="20" s="1"/>
  <c r="S23" i="20" s="1"/>
  <c r="R23" i="20" s="1"/>
  <c r="P23" i="20" s="1"/>
  <c r="V23" i="20" s="1"/>
  <c r="B23" i="20" s="1"/>
  <c r="U25" i="20"/>
  <c r="T25" i="20" s="1"/>
  <c r="S25" i="20" s="1"/>
  <c r="R25" i="20" s="1"/>
  <c r="P25" i="20" s="1"/>
  <c r="V25" i="20" s="1"/>
  <c r="B25" i="20" s="1"/>
  <c r="U27" i="20"/>
  <c r="T27" i="20" s="1"/>
  <c r="S27" i="20" s="1"/>
  <c r="R27" i="20" s="1"/>
  <c r="P27" i="20" s="1"/>
  <c r="V27" i="20" s="1"/>
  <c r="B27" i="20" s="1"/>
  <c r="D27" i="20" s="1"/>
  <c r="E27" i="20" s="1"/>
  <c r="F27" i="20" s="1"/>
  <c r="U29" i="20"/>
  <c r="T29" i="20" s="1"/>
  <c r="U31" i="20"/>
  <c r="T31" i="20" s="1"/>
  <c r="S31" i="20" s="1"/>
  <c r="R31" i="20" s="1"/>
  <c r="P31" i="20" s="1"/>
  <c r="V31" i="20" s="1"/>
  <c r="B31" i="20" s="1"/>
  <c r="D31" i="20" s="1"/>
  <c r="E31" i="20" s="1"/>
  <c r="F31" i="20" s="1"/>
  <c r="U33" i="20"/>
  <c r="T33" i="20" s="1"/>
  <c r="S33" i="20" s="1"/>
  <c r="R33" i="20" s="1"/>
  <c r="P33" i="20" s="1"/>
  <c r="V33" i="20" s="1"/>
  <c r="B33" i="20" s="1"/>
  <c r="U35" i="20"/>
  <c r="T35" i="20" s="1"/>
  <c r="S35" i="20" s="1"/>
  <c r="R35" i="20" s="1"/>
  <c r="P35" i="20" s="1"/>
  <c r="V35" i="20" s="1"/>
  <c r="B35" i="20" s="1"/>
  <c r="U37" i="20"/>
  <c r="T37" i="20" s="1"/>
  <c r="U39" i="20"/>
  <c r="T39" i="20" s="1"/>
  <c r="S39" i="20" s="1"/>
  <c r="R39" i="20" s="1"/>
  <c r="P39" i="20" s="1"/>
  <c r="V39" i="20" s="1"/>
  <c r="B39" i="20" s="1"/>
  <c r="U41" i="20"/>
  <c r="T41" i="20" s="1"/>
  <c r="S41" i="20" s="1"/>
  <c r="R41" i="20" s="1"/>
  <c r="P41" i="20" s="1"/>
  <c r="V41" i="20" s="1"/>
  <c r="B41" i="20" s="1"/>
  <c r="W41" i="20" s="1"/>
  <c r="U43" i="20"/>
  <c r="T43" i="20" s="1"/>
  <c r="S43" i="20" s="1"/>
  <c r="R43" i="20" s="1"/>
  <c r="P43" i="20" s="1"/>
  <c r="V43" i="20" s="1"/>
  <c r="B43" i="20" s="1"/>
  <c r="U45" i="20"/>
  <c r="T45" i="20" s="1"/>
  <c r="S45" i="20" s="1"/>
  <c r="R45" i="20" s="1"/>
  <c r="P45" i="20" s="1"/>
  <c r="V45" i="20" s="1"/>
  <c r="B45" i="20" s="1"/>
  <c r="W45" i="20" s="1"/>
  <c r="U47" i="20"/>
  <c r="T47" i="20" s="1"/>
  <c r="S47" i="20" s="1"/>
  <c r="R47" i="20" s="1"/>
  <c r="P47" i="20" s="1"/>
  <c r="V47" i="20" s="1"/>
  <c r="B47" i="20" s="1"/>
  <c r="D47" i="20" s="1"/>
  <c r="E47" i="20" s="1"/>
  <c r="F47" i="20" s="1"/>
  <c r="U49" i="20"/>
  <c r="T49" i="20" s="1"/>
  <c r="S49" i="20" s="1"/>
  <c r="R49" i="20" s="1"/>
  <c r="P49" i="20" s="1"/>
  <c r="V49" i="20" s="1"/>
  <c r="B49" i="20" s="1"/>
  <c r="D49" i="20" s="1"/>
  <c r="E49" i="20" s="1"/>
  <c r="F49" i="20" s="1"/>
  <c r="U51" i="20"/>
  <c r="T51" i="20" s="1"/>
  <c r="S51" i="20" s="1"/>
  <c r="R51" i="20" s="1"/>
  <c r="P51" i="20" s="1"/>
  <c r="V51" i="20" s="1"/>
  <c r="B51" i="20" s="1"/>
  <c r="U53" i="20"/>
  <c r="T53" i="20" s="1"/>
  <c r="S53" i="20" s="1"/>
  <c r="R53" i="20" s="1"/>
  <c r="P53" i="20" s="1"/>
  <c r="V53" i="20" s="1"/>
  <c r="B53" i="20" s="1"/>
  <c r="U55" i="20"/>
  <c r="T55" i="20" s="1"/>
  <c r="S55" i="20" s="1"/>
  <c r="R55" i="20" s="1"/>
  <c r="P55" i="20" s="1"/>
  <c r="V55" i="20" s="1"/>
  <c r="B55" i="20" s="1"/>
  <c r="U57" i="20"/>
  <c r="T57" i="20" s="1"/>
  <c r="S57" i="20" s="1"/>
  <c r="R57" i="20" s="1"/>
  <c r="P57" i="20" s="1"/>
  <c r="V57" i="20" s="1"/>
  <c r="B57" i="20" s="1"/>
  <c r="D57" i="20" s="1"/>
  <c r="E57" i="20" s="1"/>
  <c r="F57" i="20" s="1"/>
  <c r="U59" i="20"/>
  <c r="T59" i="20" s="1"/>
  <c r="S59" i="20" s="1"/>
  <c r="R59" i="20" s="1"/>
  <c r="P59" i="20" s="1"/>
  <c r="V59" i="20" s="1"/>
  <c r="B59" i="20" s="1"/>
  <c r="D59" i="20" s="1"/>
  <c r="E59" i="20" s="1"/>
  <c r="F59" i="20" s="1"/>
  <c r="U61" i="20"/>
  <c r="T61" i="20" s="1"/>
  <c r="U63" i="20"/>
  <c r="T63" i="20" s="1"/>
  <c r="U65" i="20"/>
  <c r="T65" i="20" s="1"/>
  <c r="U67" i="20"/>
  <c r="T67" i="20" s="1"/>
  <c r="U69" i="20"/>
  <c r="T69" i="20" s="1"/>
  <c r="U71" i="20"/>
  <c r="T71" i="20" s="1"/>
  <c r="S71" i="20" s="1"/>
  <c r="R71" i="20" s="1"/>
  <c r="P71" i="20" s="1"/>
  <c r="V71" i="20" s="1"/>
  <c r="B71" i="20" s="1"/>
  <c r="D71" i="20" s="1"/>
  <c r="E71" i="20" s="1"/>
  <c r="F71" i="20" s="1"/>
  <c r="U73" i="20"/>
  <c r="T73" i="20" s="1"/>
  <c r="S73" i="20" s="1"/>
  <c r="R73" i="20" s="1"/>
  <c r="P73" i="20" s="1"/>
  <c r="V73" i="20" s="1"/>
  <c r="B73" i="20" s="1"/>
  <c r="U75" i="20"/>
  <c r="T75" i="20" s="1"/>
  <c r="S75" i="20" s="1"/>
  <c r="R75" i="20" s="1"/>
  <c r="P75" i="20" s="1"/>
  <c r="V75" i="20" s="1"/>
  <c r="B75" i="20" s="1"/>
  <c r="W75" i="20" s="1"/>
  <c r="U77" i="20"/>
  <c r="T77" i="20" s="1"/>
  <c r="S77" i="20" s="1"/>
  <c r="R77" i="20" s="1"/>
  <c r="P77" i="20" s="1"/>
  <c r="V77" i="20" s="1"/>
  <c r="B77" i="20" s="1"/>
  <c r="W77" i="20" s="1"/>
  <c r="U79" i="20"/>
  <c r="T79" i="20" s="1"/>
  <c r="S79" i="20" s="1"/>
  <c r="R79" i="20" s="1"/>
  <c r="P79" i="20" s="1"/>
  <c r="V79" i="20" s="1"/>
  <c r="B79" i="20" s="1"/>
  <c r="U81" i="20"/>
  <c r="T81" i="20" s="1"/>
  <c r="S81" i="20" s="1"/>
  <c r="R81" i="20" s="1"/>
  <c r="P81" i="20" s="1"/>
  <c r="V81" i="20" s="1"/>
  <c r="B81" i="20" s="1"/>
  <c r="W81" i="20" s="1"/>
  <c r="U83" i="20"/>
  <c r="T83" i="20" s="1"/>
  <c r="S83" i="20" s="1"/>
  <c r="R83" i="20" s="1"/>
  <c r="P83" i="20" s="1"/>
  <c r="V83" i="20" s="1"/>
  <c r="B83" i="20" s="1"/>
  <c r="U85" i="20"/>
  <c r="T85" i="20" s="1"/>
  <c r="S85" i="20" s="1"/>
  <c r="R85" i="20" s="1"/>
  <c r="P85" i="20" s="1"/>
  <c r="V85" i="20" s="1"/>
  <c r="B85" i="20" s="1"/>
  <c r="D85" i="20" s="1"/>
  <c r="E85" i="20" s="1"/>
  <c r="F85" i="20" s="1"/>
  <c r="U87" i="20"/>
  <c r="T87" i="20" s="1"/>
  <c r="S87" i="20" s="1"/>
  <c r="R87" i="20" s="1"/>
  <c r="P87" i="20" s="1"/>
  <c r="V87" i="20" s="1"/>
  <c r="B87" i="20" s="1"/>
  <c r="W87" i="20" s="1"/>
  <c r="U89" i="20"/>
  <c r="T89" i="20" s="1"/>
  <c r="S89" i="20" s="1"/>
  <c r="R89" i="20" s="1"/>
  <c r="P89" i="20" s="1"/>
  <c r="V89" i="20" s="1"/>
  <c r="B89" i="20" s="1"/>
  <c r="W89" i="20" s="1"/>
  <c r="U91" i="20"/>
  <c r="T91" i="20" s="1"/>
  <c r="S91" i="20" s="1"/>
  <c r="R91" i="20" s="1"/>
  <c r="P91" i="20" s="1"/>
  <c r="V91" i="20" s="1"/>
  <c r="B91" i="20" s="1"/>
  <c r="D91" i="20" s="1"/>
  <c r="E91" i="20" s="1"/>
  <c r="F91" i="20" s="1"/>
  <c r="U93" i="20"/>
  <c r="T93" i="20" s="1"/>
  <c r="S93" i="20" s="1"/>
  <c r="R93" i="20" s="1"/>
  <c r="P93" i="20" s="1"/>
  <c r="V93" i="20" s="1"/>
  <c r="B93" i="20" s="1"/>
  <c r="D93" i="20" s="1"/>
  <c r="E93" i="20" s="1"/>
  <c r="F93" i="20" s="1"/>
  <c r="U95" i="20"/>
  <c r="T95" i="20" s="1"/>
  <c r="S95" i="20" s="1"/>
  <c r="R95" i="20" s="1"/>
  <c r="P95" i="20" s="1"/>
  <c r="V95" i="20" s="1"/>
  <c r="B95" i="20" s="1"/>
  <c r="D95" i="20" s="1"/>
  <c r="E95" i="20" s="1"/>
  <c r="F95" i="20" s="1"/>
  <c r="U97" i="20"/>
  <c r="T97" i="20" s="1"/>
  <c r="U99" i="20"/>
  <c r="T99" i="20" s="1"/>
  <c r="S99" i="20" s="1"/>
  <c r="R99" i="20" s="1"/>
  <c r="P99" i="20" s="1"/>
  <c r="V99" i="20" s="1"/>
  <c r="B99" i="20" s="1"/>
  <c r="U101" i="20"/>
  <c r="T101" i="20" s="1"/>
  <c r="S101" i="20" s="1"/>
  <c r="R101" i="20" s="1"/>
  <c r="P101" i="20" s="1"/>
  <c r="V101" i="20" s="1"/>
  <c r="B101" i="20" s="1"/>
  <c r="U20" i="20"/>
  <c r="T20" i="20" s="1"/>
  <c r="S20" i="20" s="1"/>
  <c r="R20" i="20" s="1"/>
  <c r="P20" i="20" s="1"/>
  <c r="V20" i="20" s="1"/>
  <c r="B20" i="20" s="1"/>
  <c r="D20" i="20" s="1"/>
  <c r="E20" i="20" s="1"/>
  <c r="F20" i="20" s="1"/>
  <c r="U22" i="20"/>
  <c r="T22" i="20" s="1"/>
  <c r="U26" i="20"/>
  <c r="T26" i="20" s="1"/>
  <c r="S26" i="20" s="1"/>
  <c r="R26" i="20" s="1"/>
  <c r="P26" i="20" s="1"/>
  <c r="V26" i="20" s="1"/>
  <c r="B26" i="20" s="1"/>
  <c r="U30" i="20"/>
  <c r="T30" i="20" s="1"/>
  <c r="S30" i="20" s="1"/>
  <c r="R30" i="20" s="1"/>
  <c r="P30" i="20" s="1"/>
  <c r="V30" i="20" s="1"/>
  <c r="B30" i="20" s="1"/>
  <c r="D30" i="20" s="1"/>
  <c r="E30" i="20" s="1"/>
  <c r="F30" i="20" s="1"/>
  <c r="U34" i="20"/>
  <c r="T34" i="20" s="1"/>
  <c r="S34" i="20" s="1"/>
  <c r="R34" i="20" s="1"/>
  <c r="P34" i="20" s="1"/>
  <c r="V34" i="20" s="1"/>
  <c r="B34" i="20" s="1"/>
  <c r="U38" i="20"/>
  <c r="T38" i="20" s="1"/>
  <c r="S38" i="20" s="1"/>
  <c r="R38" i="20" s="1"/>
  <c r="P38" i="20" s="1"/>
  <c r="V38" i="20" s="1"/>
  <c r="B38" i="20" s="1"/>
  <c r="D38" i="20" s="1"/>
  <c r="E38" i="20" s="1"/>
  <c r="F38" i="20" s="1"/>
  <c r="U42" i="20"/>
  <c r="T42" i="20" s="1"/>
  <c r="S42" i="20" s="1"/>
  <c r="R42" i="20" s="1"/>
  <c r="P42" i="20" s="1"/>
  <c r="V42" i="20" s="1"/>
  <c r="B42" i="20" s="1"/>
  <c r="U46" i="20"/>
  <c r="T46" i="20" s="1"/>
  <c r="S46" i="20" s="1"/>
  <c r="R46" i="20" s="1"/>
  <c r="P46" i="20" s="1"/>
  <c r="V46" i="20" s="1"/>
  <c r="B46" i="20" s="1"/>
  <c r="U50" i="20"/>
  <c r="T50" i="20" s="1"/>
  <c r="S50" i="20" s="1"/>
  <c r="R50" i="20" s="1"/>
  <c r="P50" i="20" s="1"/>
  <c r="V50" i="20" s="1"/>
  <c r="B50" i="20" s="1"/>
  <c r="U54" i="20"/>
  <c r="T54" i="20" s="1"/>
  <c r="U58" i="20"/>
  <c r="T58" i="20" s="1"/>
  <c r="S58" i="20" s="1"/>
  <c r="R58" i="20" s="1"/>
  <c r="P58" i="20" s="1"/>
  <c r="V58" i="20" s="1"/>
  <c r="B58" i="20" s="1"/>
  <c r="U62" i="20"/>
  <c r="T62" i="20" s="1"/>
  <c r="S62" i="20" s="1"/>
  <c r="R62" i="20" s="1"/>
  <c r="P62" i="20" s="1"/>
  <c r="V62" i="20" s="1"/>
  <c r="B62" i="20" s="1"/>
  <c r="D62" i="20" s="1"/>
  <c r="E62" i="20" s="1"/>
  <c r="F62" i="20" s="1"/>
  <c r="U66" i="20"/>
  <c r="T66" i="20" s="1"/>
  <c r="S66" i="20" s="1"/>
  <c r="R66" i="20" s="1"/>
  <c r="P66" i="20" s="1"/>
  <c r="V66" i="20" s="1"/>
  <c r="B66" i="20" s="1"/>
  <c r="U70" i="20"/>
  <c r="T70" i="20" s="1"/>
  <c r="S70" i="20" s="1"/>
  <c r="R70" i="20" s="1"/>
  <c r="P70" i="20" s="1"/>
  <c r="V70" i="20" s="1"/>
  <c r="B70" i="20" s="1"/>
  <c r="U74" i="20"/>
  <c r="T74" i="20" s="1"/>
  <c r="S74" i="20" s="1"/>
  <c r="R74" i="20" s="1"/>
  <c r="P74" i="20" s="1"/>
  <c r="V74" i="20" s="1"/>
  <c r="U78" i="20"/>
  <c r="T78" i="20" s="1"/>
  <c r="S78" i="20" s="1"/>
  <c r="R78" i="20" s="1"/>
  <c r="P78" i="20" s="1"/>
  <c r="V78" i="20" s="1"/>
  <c r="B78" i="20" s="1"/>
  <c r="U82" i="20"/>
  <c r="T82" i="20" s="1"/>
  <c r="S82" i="20" s="1"/>
  <c r="R82" i="20" s="1"/>
  <c r="P82" i="20" s="1"/>
  <c r="V82" i="20" s="1"/>
  <c r="B82" i="20" s="1"/>
  <c r="U86" i="20"/>
  <c r="T86" i="20" s="1"/>
  <c r="S86" i="20" s="1"/>
  <c r="R86" i="20" s="1"/>
  <c r="P86" i="20" s="1"/>
  <c r="V86" i="20" s="1"/>
  <c r="B86" i="20" s="1"/>
  <c r="W86" i="20" s="1"/>
  <c r="U90" i="20"/>
  <c r="T90" i="20" s="1"/>
  <c r="S90" i="20" s="1"/>
  <c r="R90" i="20" s="1"/>
  <c r="U94" i="20"/>
  <c r="T94" i="20" s="1"/>
  <c r="S94" i="20" s="1"/>
  <c r="R94" i="20" s="1"/>
  <c r="P94" i="20" s="1"/>
  <c r="V94" i="20" s="1"/>
  <c r="B94" i="20" s="1"/>
  <c r="W94" i="20" s="1"/>
  <c r="U98" i="20"/>
  <c r="T98" i="20" s="1"/>
  <c r="S98" i="20" s="1"/>
  <c r="R98" i="20" s="1"/>
  <c r="P98" i="20" s="1"/>
  <c r="V98" i="20" s="1"/>
  <c r="B98" i="20" s="1"/>
  <c r="U102" i="20"/>
  <c r="T102" i="20" s="1"/>
  <c r="U104" i="20"/>
  <c r="T104" i="20" s="1"/>
  <c r="S104" i="20" s="1"/>
  <c r="R104" i="20" s="1"/>
  <c r="P104" i="20" s="1"/>
  <c r="V104" i="20" s="1"/>
  <c r="B104" i="20" s="1"/>
  <c r="U106" i="20"/>
  <c r="T106" i="20" s="1"/>
  <c r="S106" i="20" s="1"/>
  <c r="R106" i="20" s="1"/>
  <c r="P106" i="20" s="1"/>
  <c r="V106" i="20" s="1"/>
  <c r="B106" i="20" s="1"/>
  <c r="D106" i="20" s="1"/>
  <c r="E106" i="20" s="1"/>
  <c r="F106" i="20" s="1"/>
  <c r="U108" i="20"/>
  <c r="T108" i="20" s="1"/>
  <c r="S108" i="20" s="1"/>
  <c r="R108" i="20" s="1"/>
  <c r="P108" i="20" s="1"/>
  <c r="V108" i="20" s="1"/>
  <c r="B108" i="20" s="1"/>
  <c r="U110" i="20"/>
  <c r="T110" i="20" s="1"/>
  <c r="S110" i="20" s="1"/>
  <c r="R110" i="20" s="1"/>
  <c r="P110" i="20" s="1"/>
  <c r="V110" i="20" s="1"/>
  <c r="B110" i="20" s="1"/>
  <c r="W110" i="20" s="1"/>
  <c r="U112" i="20"/>
  <c r="T112" i="20" s="1"/>
  <c r="S112" i="20" s="1"/>
  <c r="R112" i="20" s="1"/>
  <c r="P112" i="20" s="1"/>
  <c r="V112" i="20" s="1"/>
  <c r="B112" i="20" s="1"/>
  <c r="W112" i="20" s="1"/>
  <c r="U114" i="20"/>
  <c r="T114" i="20" s="1"/>
  <c r="S114" i="20" s="1"/>
  <c r="R114" i="20" s="1"/>
  <c r="P114" i="20" s="1"/>
  <c r="V114" i="20" s="1"/>
  <c r="B114" i="20" s="1"/>
  <c r="W114" i="20" s="1"/>
  <c r="U116" i="20"/>
  <c r="T116" i="20" s="1"/>
  <c r="S116" i="20" s="1"/>
  <c r="R116" i="20" s="1"/>
  <c r="P116" i="20" s="1"/>
  <c r="V116" i="20" s="1"/>
  <c r="B116" i="20" s="1"/>
  <c r="U118" i="20"/>
  <c r="T118" i="20" s="1"/>
  <c r="S118" i="20" s="1"/>
  <c r="R118" i="20" s="1"/>
  <c r="P118" i="20" s="1"/>
  <c r="V118" i="20" s="1"/>
  <c r="B118" i="20" s="1"/>
  <c r="U120" i="20"/>
  <c r="T120" i="20" s="1"/>
  <c r="S120" i="20" s="1"/>
  <c r="R120" i="20" s="1"/>
  <c r="P120" i="20" s="1"/>
  <c r="V120" i="20" s="1"/>
  <c r="B120" i="20" s="1"/>
  <c r="W120" i="20" s="1"/>
  <c r="U122" i="20"/>
  <c r="T122" i="20" s="1"/>
  <c r="U124" i="20"/>
  <c r="T124" i="20" s="1"/>
  <c r="S124" i="20" s="1"/>
  <c r="R124" i="20" s="1"/>
  <c r="P124" i="20" s="1"/>
  <c r="V124" i="20" s="1"/>
  <c r="B124" i="20" s="1"/>
  <c r="D124" i="20" s="1"/>
  <c r="E124" i="20" s="1"/>
  <c r="F124" i="20" s="1"/>
  <c r="U126" i="20"/>
  <c r="T126" i="20" s="1"/>
  <c r="S126" i="20" s="1"/>
  <c r="R126" i="20" s="1"/>
  <c r="P126" i="20" s="1"/>
  <c r="V126" i="20" s="1"/>
  <c r="B126" i="20" s="1"/>
  <c r="U128" i="20"/>
  <c r="T128" i="20" s="1"/>
  <c r="S128" i="20" s="1"/>
  <c r="R128" i="20" s="1"/>
  <c r="P128" i="20" s="1"/>
  <c r="V128" i="20" s="1"/>
  <c r="B128" i="20" s="1"/>
  <c r="W128" i="20" s="1"/>
  <c r="U130" i="20"/>
  <c r="T130" i="20" s="1"/>
  <c r="U132" i="20"/>
  <c r="T132" i="20" s="1"/>
  <c r="S132" i="20" s="1"/>
  <c r="R132" i="20" s="1"/>
  <c r="P132" i="20" s="1"/>
  <c r="V132" i="20" s="1"/>
  <c r="B132" i="20" s="1"/>
  <c r="U134" i="20"/>
  <c r="T134" i="20" s="1"/>
  <c r="S134" i="20" s="1"/>
  <c r="R134" i="20" s="1"/>
  <c r="P134" i="20" s="1"/>
  <c r="V134" i="20" s="1"/>
  <c r="B134" i="20" s="1"/>
  <c r="U136" i="20"/>
  <c r="T136" i="20" s="1"/>
  <c r="S136" i="20" s="1"/>
  <c r="R136" i="20" s="1"/>
  <c r="P136" i="20" s="1"/>
  <c r="V136" i="20" s="1"/>
  <c r="B136" i="20" s="1"/>
  <c r="U138" i="20"/>
  <c r="T138" i="20" s="1"/>
  <c r="S138" i="20" s="1"/>
  <c r="R138" i="20" s="1"/>
  <c r="P138" i="20" s="1"/>
  <c r="V138" i="20" s="1"/>
  <c r="B138" i="20" s="1"/>
  <c r="D138" i="20" s="1"/>
  <c r="E138" i="20" s="1"/>
  <c r="F138" i="20" s="1"/>
  <c r="U140" i="20"/>
  <c r="T140" i="20" s="1"/>
  <c r="S140" i="20" s="1"/>
  <c r="R140" i="20" s="1"/>
  <c r="P140" i="20" s="1"/>
  <c r="V140" i="20" s="1"/>
  <c r="B140" i="20" s="1"/>
  <c r="W140" i="20" s="1"/>
  <c r="U142" i="20"/>
  <c r="T142" i="20" s="1"/>
  <c r="U144" i="20"/>
  <c r="T144" i="20" s="1"/>
  <c r="S144" i="20" s="1"/>
  <c r="R144" i="20" s="1"/>
  <c r="P144" i="20" s="1"/>
  <c r="V144" i="20" s="1"/>
  <c r="B144" i="20" s="1"/>
  <c r="U146" i="20"/>
  <c r="T146" i="20" s="1"/>
  <c r="S146" i="20" s="1"/>
  <c r="R146" i="20" s="1"/>
  <c r="P146" i="20" s="1"/>
  <c r="V146" i="20" s="1"/>
  <c r="B146" i="20" s="1"/>
  <c r="U148" i="20"/>
  <c r="T148" i="20" s="1"/>
  <c r="S148" i="20" s="1"/>
  <c r="R148" i="20" s="1"/>
  <c r="P148" i="20" s="1"/>
  <c r="V148" i="20" s="1"/>
  <c r="B148" i="20" s="1"/>
  <c r="U150" i="20"/>
  <c r="T150" i="20" s="1"/>
  <c r="U152" i="20"/>
  <c r="T152" i="20" s="1"/>
  <c r="S152" i="20" s="1"/>
  <c r="R152" i="20" s="1"/>
  <c r="P152" i="20" s="1"/>
  <c r="V152" i="20" s="1"/>
  <c r="B152" i="20" s="1"/>
  <c r="U154" i="20"/>
  <c r="T154" i="20" s="1"/>
  <c r="S154" i="20" s="1"/>
  <c r="R154" i="20" s="1"/>
  <c r="P154" i="20" s="1"/>
  <c r="V154" i="20" s="1"/>
  <c r="B154" i="20" s="1"/>
  <c r="U156" i="20"/>
  <c r="T156" i="20" s="1"/>
  <c r="S156" i="20" s="1"/>
  <c r="R156" i="20" s="1"/>
  <c r="P156" i="20" s="1"/>
  <c r="V156" i="20" s="1"/>
  <c r="B156" i="20" s="1"/>
  <c r="W156" i="20" s="1"/>
  <c r="U158" i="20"/>
  <c r="T158" i="20" s="1"/>
  <c r="U160" i="20"/>
  <c r="T160" i="20" s="1"/>
  <c r="S160" i="20" s="1"/>
  <c r="R160" i="20" s="1"/>
  <c r="P160" i="20" s="1"/>
  <c r="V160" i="20" s="1"/>
  <c r="B160" i="20" s="1"/>
  <c r="D160" i="20" s="1"/>
  <c r="E160" i="20" s="1"/>
  <c r="F160" i="20" s="1"/>
  <c r="U162" i="20"/>
  <c r="T162" i="20" s="1"/>
  <c r="S162" i="20" s="1"/>
  <c r="R162" i="20" s="1"/>
  <c r="P162" i="20" s="1"/>
  <c r="V162" i="20" s="1"/>
  <c r="B162" i="20" s="1"/>
  <c r="U164" i="20"/>
  <c r="T164" i="20" s="1"/>
  <c r="S164" i="20" s="1"/>
  <c r="R164" i="20" s="1"/>
  <c r="P164" i="20" s="1"/>
  <c r="V164" i="20" s="1"/>
  <c r="B164" i="20" s="1"/>
  <c r="U166" i="20"/>
  <c r="T166" i="20" s="1"/>
  <c r="U168" i="20"/>
  <c r="T168" i="20" s="1"/>
  <c r="S168" i="20" s="1"/>
  <c r="R168" i="20" s="1"/>
  <c r="P168" i="20" s="1"/>
  <c r="V168" i="20" s="1"/>
  <c r="B168" i="20" s="1"/>
  <c r="U170" i="20"/>
  <c r="T170" i="20" s="1"/>
  <c r="S170" i="20" s="1"/>
  <c r="R170" i="20" s="1"/>
  <c r="P170" i="20" s="1"/>
  <c r="V170" i="20" s="1"/>
  <c r="B170" i="20" s="1"/>
  <c r="U172" i="20"/>
  <c r="T172" i="20" s="1"/>
  <c r="S172" i="20" s="1"/>
  <c r="R172" i="20" s="1"/>
  <c r="P172" i="20" s="1"/>
  <c r="V172" i="20" s="1"/>
  <c r="B172" i="20" s="1"/>
  <c r="W172" i="20" s="1"/>
  <c r="U174" i="20"/>
  <c r="T174" i="20" s="1"/>
  <c r="U176" i="20"/>
  <c r="T176" i="20" s="1"/>
  <c r="S176" i="20" s="1"/>
  <c r="R176" i="20" s="1"/>
  <c r="P176" i="20" s="1"/>
  <c r="V176" i="20" s="1"/>
  <c r="B176" i="20" s="1"/>
  <c r="U178" i="20"/>
  <c r="T178" i="20" s="1"/>
  <c r="S178" i="20" s="1"/>
  <c r="R178" i="20" s="1"/>
  <c r="P178" i="20" s="1"/>
  <c r="V178" i="20" s="1"/>
  <c r="B178" i="20" s="1"/>
  <c r="U180" i="20"/>
  <c r="T180" i="20" s="1"/>
  <c r="S180" i="20" s="1"/>
  <c r="R180" i="20" s="1"/>
  <c r="P180" i="20" s="1"/>
  <c r="AH25" i="7" s="1"/>
  <c r="U182" i="20"/>
  <c r="T182" i="20" s="1"/>
  <c r="S182" i="20" s="1"/>
  <c r="R182" i="20" s="1"/>
  <c r="P182" i="20" s="1"/>
  <c r="V182" i="20" s="1"/>
  <c r="B182" i="20" s="1"/>
  <c r="D182" i="20" s="1"/>
  <c r="E182" i="20" s="1"/>
  <c r="F182" i="20" s="1"/>
  <c r="U184" i="20"/>
  <c r="T184" i="20" s="1"/>
  <c r="S184" i="20" s="1"/>
  <c r="R184" i="20" s="1"/>
  <c r="P184" i="20" s="1"/>
  <c r="V184" i="20" s="1"/>
  <c r="B184" i="20" s="1"/>
  <c r="U186" i="20"/>
  <c r="T186" i="20" s="1"/>
  <c r="U188" i="20"/>
  <c r="T188" i="20" s="1"/>
  <c r="S188" i="20" s="1"/>
  <c r="R188" i="20" s="1"/>
  <c r="P188" i="20" s="1"/>
  <c r="V188" i="20" s="1"/>
  <c r="B188" i="20" s="1"/>
  <c r="U190" i="20"/>
  <c r="T190" i="20" s="1"/>
  <c r="S190" i="20" s="1"/>
  <c r="R190" i="20" s="1"/>
  <c r="P190" i="20" s="1"/>
  <c r="V190" i="20" s="1"/>
  <c r="B190" i="20" s="1"/>
  <c r="U192" i="20"/>
  <c r="T192" i="20" s="1"/>
  <c r="S192" i="20" s="1"/>
  <c r="R192" i="20" s="1"/>
  <c r="P192" i="20" s="1"/>
  <c r="V192" i="20" s="1"/>
  <c r="B192" i="20" s="1"/>
  <c r="U194" i="20"/>
  <c r="T194" i="20" s="1"/>
  <c r="U196" i="20"/>
  <c r="T196" i="20" s="1"/>
  <c r="S196" i="20" s="1"/>
  <c r="R196" i="20" s="1"/>
  <c r="P196" i="20" s="1"/>
  <c r="V196" i="20" s="1"/>
  <c r="U198" i="20"/>
  <c r="T198" i="20" s="1"/>
  <c r="S198" i="20" s="1"/>
  <c r="R198" i="20" s="1"/>
  <c r="P198" i="20" s="1"/>
  <c r="V198" i="20" s="1"/>
  <c r="B198" i="20" s="1"/>
  <c r="U200" i="20"/>
  <c r="T200" i="20" s="1"/>
  <c r="S200" i="20" s="1"/>
  <c r="R200" i="20" s="1"/>
  <c r="P200" i="20" s="1"/>
  <c r="V200" i="20" s="1"/>
  <c r="B200" i="20" s="1"/>
  <c r="U202" i="20"/>
  <c r="T202" i="20" s="1"/>
  <c r="U204" i="20"/>
  <c r="T204" i="20" s="1"/>
  <c r="S204" i="20" s="1"/>
  <c r="R204" i="20" s="1"/>
  <c r="P204" i="20" s="1"/>
  <c r="V204" i="20" s="1"/>
  <c r="B204" i="20" s="1"/>
  <c r="U206" i="20"/>
  <c r="T206" i="20" s="1"/>
  <c r="S206" i="20" s="1"/>
  <c r="R206" i="20" s="1"/>
  <c r="P206" i="20" s="1"/>
  <c r="V206" i="20" s="1"/>
  <c r="B206" i="20" s="1"/>
  <c r="U208" i="20"/>
  <c r="T208" i="20" s="1"/>
  <c r="S208" i="20" s="1"/>
  <c r="R208" i="20" s="1"/>
  <c r="P208" i="20" s="1"/>
  <c r="V208" i="20" s="1"/>
  <c r="B208" i="20" s="1"/>
  <c r="W208" i="20" s="1"/>
  <c r="U210" i="20"/>
  <c r="T210" i="20" s="1"/>
  <c r="U212" i="20"/>
  <c r="T212" i="20" s="1"/>
  <c r="S212" i="20" s="1"/>
  <c r="R212" i="20" s="1"/>
  <c r="P212" i="20" s="1"/>
  <c r="V212" i="20" s="1"/>
  <c r="B212" i="20" s="1"/>
  <c r="U214" i="20"/>
  <c r="T214" i="20" s="1"/>
  <c r="S214" i="20" s="1"/>
  <c r="R214" i="20" s="1"/>
  <c r="P214" i="20" s="1"/>
  <c r="V214" i="20" s="1"/>
  <c r="B214" i="20" s="1"/>
  <c r="W214" i="20" s="1"/>
  <c r="U216" i="20"/>
  <c r="T216" i="20" s="1"/>
  <c r="S216" i="20" s="1"/>
  <c r="R216" i="20" s="1"/>
  <c r="P216" i="20" s="1"/>
  <c r="V216" i="20" s="1"/>
  <c r="B216" i="20" s="1"/>
  <c r="U218" i="20"/>
  <c r="T218" i="20" s="1"/>
  <c r="U220" i="20"/>
  <c r="T220" i="20" s="1"/>
  <c r="S220" i="20" s="1"/>
  <c r="R220" i="20" s="1"/>
  <c r="P220" i="20" s="1"/>
  <c r="V220" i="20" s="1"/>
  <c r="B220" i="20" s="1"/>
  <c r="W220" i="20" s="1"/>
  <c r="AE371" i="20"/>
  <c r="AE355" i="20"/>
  <c r="AE343" i="20"/>
  <c r="AE335" i="20"/>
  <c r="AE327" i="20"/>
  <c r="AE314" i="20"/>
  <c r="AE298" i="20"/>
  <c r="AE282" i="20"/>
  <c r="AE266" i="20"/>
  <c r="AE250" i="20"/>
  <c r="AE226" i="20"/>
  <c r="AE194" i="20"/>
  <c r="AE162" i="20"/>
  <c r="AE130" i="20"/>
  <c r="AE378" i="20"/>
  <c r="AE374" i="20"/>
  <c r="AE370" i="20"/>
  <c r="AE366" i="20"/>
  <c r="AE362" i="20"/>
  <c r="AE358" i="20"/>
  <c r="AE354" i="20"/>
  <c r="AE350" i="20"/>
  <c r="AE346" i="20"/>
  <c r="AE342" i="20"/>
  <c r="AE338" i="20"/>
  <c r="AE334" i="20"/>
  <c r="AE330" i="20"/>
  <c r="AE326" i="20"/>
  <c r="AE320" i="20"/>
  <c r="AE312" i="20"/>
  <c r="AE304" i="20"/>
  <c r="AE296" i="20"/>
  <c r="AE288" i="20"/>
  <c r="AE280" i="20"/>
  <c r="AE272" i="20"/>
  <c r="AE264" i="20"/>
  <c r="AE256" i="20"/>
  <c r="AE248" i="20"/>
  <c r="AE238" i="20"/>
  <c r="AE222" i="20"/>
  <c r="AE206" i="20"/>
  <c r="AE190" i="20"/>
  <c r="AE174" i="20"/>
  <c r="AE158" i="20"/>
  <c r="AE142" i="20"/>
  <c r="AE126" i="20"/>
  <c r="AE110" i="20"/>
  <c r="AE105" i="20"/>
  <c r="AE109" i="20"/>
  <c r="AE113" i="20"/>
  <c r="AE117" i="20"/>
  <c r="AE121" i="20"/>
  <c r="AE125" i="20"/>
  <c r="AE129" i="20"/>
  <c r="AE133" i="20"/>
  <c r="AE137" i="20"/>
  <c r="AE141" i="20"/>
  <c r="AE145" i="20"/>
  <c r="AE149" i="20"/>
  <c r="AE153" i="20"/>
  <c r="AE157" i="20"/>
  <c r="AE161" i="20"/>
  <c r="AE165" i="20"/>
  <c r="AE169" i="20"/>
  <c r="AE173" i="20"/>
  <c r="AE177" i="20"/>
  <c r="AE181" i="20"/>
  <c r="AE185" i="20"/>
  <c r="AE189" i="20"/>
  <c r="AE193" i="20"/>
  <c r="AE197" i="20"/>
  <c r="AE201" i="20"/>
  <c r="AE205" i="20"/>
  <c r="AE209" i="20"/>
  <c r="AE213" i="20"/>
  <c r="AE217" i="20"/>
  <c r="AE221" i="20"/>
  <c r="AE225" i="20"/>
  <c r="AE229" i="20"/>
  <c r="AE233" i="20"/>
  <c r="AE237" i="20"/>
  <c r="AE241" i="20"/>
  <c r="AE323" i="20"/>
  <c r="AE319" i="20"/>
  <c r="AE315" i="20"/>
  <c r="AE311" i="20"/>
  <c r="AE307" i="20"/>
  <c r="AE303" i="20"/>
  <c r="AE299" i="20"/>
  <c r="AE295" i="20"/>
  <c r="AE291" i="20"/>
  <c r="AE287" i="20"/>
  <c r="AE283" i="20"/>
  <c r="AE279" i="20"/>
  <c r="AE275" i="20"/>
  <c r="AE271" i="20"/>
  <c r="AE267" i="20"/>
  <c r="AE263" i="20"/>
  <c r="AE259" i="20"/>
  <c r="AE255" i="20"/>
  <c r="AE251" i="20"/>
  <c r="AE247" i="20"/>
  <c r="AE243" i="20"/>
  <c r="AE236" i="20"/>
  <c r="AE228" i="20"/>
  <c r="AE220" i="20"/>
  <c r="AE212" i="20"/>
  <c r="AE204" i="20"/>
  <c r="AE196" i="20"/>
  <c r="AE188" i="20"/>
  <c r="AE180" i="20"/>
  <c r="AE172" i="20"/>
  <c r="AE164" i="20"/>
  <c r="AE156" i="20"/>
  <c r="AE148" i="20"/>
  <c r="AE140" i="20"/>
  <c r="AE132" i="20"/>
  <c r="AE124" i="20"/>
  <c r="AE116" i="20"/>
  <c r="AE108" i="20"/>
  <c r="AE351" i="20"/>
  <c r="AE363" i="20"/>
  <c r="AE359" i="20"/>
  <c r="AE367" i="20"/>
  <c r="F149" i="18"/>
  <c r="G201" i="18"/>
  <c r="CA201" i="6" s="1"/>
  <c r="AA81" i="18"/>
  <c r="Z81" i="18" s="1"/>
  <c r="Y81" i="18" s="1"/>
  <c r="AA43" i="18"/>
  <c r="Z43" i="18" s="1"/>
  <c r="Y43" i="18" s="1"/>
  <c r="H209" i="18"/>
  <c r="J209" i="18" s="1"/>
  <c r="C209" i="6" s="1"/>
  <c r="AA217" i="18"/>
  <c r="Z217" i="18" s="1"/>
  <c r="Y217" i="18" s="1"/>
  <c r="AA330" i="18"/>
  <c r="Z330" i="18" s="1"/>
  <c r="Y330" i="18" s="1"/>
  <c r="AA240" i="18"/>
  <c r="Z240" i="18" s="1"/>
  <c r="Y240" i="18" s="1"/>
  <c r="AA362" i="18"/>
  <c r="Z362" i="18" s="1"/>
  <c r="Y362" i="18" s="1"/>
  <c r="AA256" i="18"/>
  <c r="Z256" i="18" s="1"/>
  <c r="Y256" i="18" s="1"/>
  <c r="AA219" i="18"/>
  <c r="Z219" i="18" s="1"/>
  <c r="Y219" i="18" s="1"/>
  <c r="H117" i="18"/>
  <c r="J117" i="18" s="1"/>
  <c r="C117" i="6" s="1"/>
  <c r="AA117" i="18"/>
  <c r="Z117" i="18" s="1"/>
  <c r="Y117" i="18" s="1"/>
  <c r="H217" i="18"/>
  <c r="I217" i="18" s="1"/>
  <c r="B217" i="6" s="1"/>
  <c r="BA217" i="6" s="1"/>
  <c r="D217" i="6" s="1"/>
  <c r="AI16" i="7"/>
  <c r="AI11" i="20"/>
  <c r="AI113" i="20" s="1"/>
  <c r="AH113" i="20" s="1"/>
  <c r="AG113" i="20" s="1"/>
  <c r="AF113" i="20" s="1"/>
  <c r="AD113" i="20" s="1"/>
  <c r="AE122" i="20"/>
  <c r="AE154" i="20"/>
  <c r="AE186" i="20"/>
  <c r="AE218" i="20"/>
  <c r="AE246" i="20"/>
  <c r="AE262" i="20"/>
  <c r="AE278" i="20"/>
  <c r="AE294" i="20"/>
  <c r="AE310" i="20"/>
  <c r="AE325" i="20"/>
  <c r="AE333" i="20"/>
  <c r="AE341" i="20"/>
  <c r="AE349" i="20"/>
  <c r="AE357" i="20"/>
  <c r="AE365" i="20"/>
  <c r="AE373" i="20"/>
  <c r="AE106" i="20"/>
  <c r="AE138" i="20"/>
  <c r="AE170" i="20"/>
  <c r="AE202" i="20"/>
  <c r="AE234" i="20"/>
  <c r="AE254" i="20"/>
  <c r="AE270" i="20"/>
  <c r="AE286" i="20"/>
  <c r="AE302" i="20"/>
  <c r="AE318" i="20"/>
  <c r="AE329" i="20"/>
  <c r="AE337" i="20"/>
  <c r="AE345" i="20"/>
  <c r="AE353" i="20"/>
  <c r="AE361" i="20"/>
  <c r="AE369" i="20"/>
  <c r="AE377" i="20"/>
  <c r="AI377" i="20"/>
  <c r="AH377" i="20" s="1"/>
  <c r="AE375" i="20"/>
  <c r="H201" i="18"/>
  <c r="I201" i="18" s="1"/>
  <c r="B201" i="6" s="1"/>
  <c r="BA201" i="6" s="1"/>
  <c r="D201" i="6" s="1"/>
  <c r="H169" i="18"/>
  <c r="I169" i="18" s="1"/>
  <c r="B169" i="6" s="1"/>
  <c r="BA169" i="6" s="1"/>
  <c r="G145" i="18"/>
  <c r="CA145" i="6" s="1"/>
  <c r="G177" i="18"/>
  <c r="CA177" i="6" s="1"/>
  <c r="G169" i="18"/>
  <c r="CA169" i="6" s="1"/>
  <c r="H81" i="18"/>
  <c r="J81" i="18" s="1"/>
  <c r="C81" i="6" s="1"/>
  <c r="AA145" i="18"/>
  <c r="Z145" i="18" s="1"/>
  <c r="Y145" i="18" s="1"/>
  <c r="AA177" i="18"/>
  <c r="Z177" i="18" s="1"/>
  <c r="Y177" i="18" s="1"/>
  <c r="AA209" i="18"/>
  <c r="Z209" i="18" s="1"/>
  <c r="Y209" i="18" s="1"/>
  <c r="H65" i="18"/>
  <c r="I65" i="18" s="1"/>
  <c r="B65" i="6" s="1"/>
  <c r="BA65" i="6" s="1"/>
  <c r="D65" i="6" s="1"/>
  <c r="AA65" i="18"/>
  <c r="Z65" i="18" s="1"/>
  <c r="Y65" i="18" s="1"/>
  <c r="AI21" i="20"/>
  <c r="AH21" i="20" s="1"/>
  <c r="AG21" i="20" s="1"/>
  <c r="AF21" i="20" s="1"/>
  <c r="AD21" i="20" s="1"/>
  <c r="AI16" i="20"/>
  <c r="AH16" i="20" s="1"/>
  <c r="AG16" i="20" s="1"/>
  <c r="AF16" i="20" s="1"/>
  <c r="AD16" i="20" s="1"/>
  <c r="AI23" i="20"/>
  <c r="AH23" i="20" s="1"/>
  <c r="AG23" i="20" s="1"/>
  <c r="AF23" i="20" s="1"/>
  <c r="AD23" i="20" s="1"/>
  <c r="AI27" i="20"/>
  <c r="AH27" i="20" s="1"/>
  <c r="AG27" i="20" s="1"/>
  <c r="AF27" i="20" s="1"/>
  <c r="AD27" i="20" s="1"/>
  <c r="AI31" i="20"/>
  <c r="AH31" i="20" s="1"/>
  <c r="AG31" i="20" s="1"/>
  <c r="AF31" i="20" s="1"/>
  <c r="AD31" i="20" s="1"/>
  <c r="AI35" i="20"/>
  <c r="AH35" i="20" s="1"/>
  <c r="AG35" i="20" s="1"/>
  <c r="AF35" i="20" s="1"/>
  <c r="AD35" i="20" s="1"/>
  <c r="AI39" i="20"/>
  <c r="AH39" i="20" s="1"/>
  <c r="AG39" i="20" s="1"/>
  <c r="AF39" i="20" s="1"/>
  <c r="AD39" i="20" s="1"/>
  <c r="AI43" i="20"/>
  <c r="AH43" i="20" s="1"/>
  <c r="AG43" i="20" s="1"/>
  <c r="AF43" i="20" s="1"/>
  <c r="AD43" i="20" s="1"/>
  <c r="AI49" i="20"/>
  <c r="AH49" i="20" s="1"/>
  <c r="AG49" i="20" s="1"/>
  <c r="AF49" i="20" s="1"/>
  <c r="AD49" i="20" s="1"/>
  <c r="AI57" i="20"/>
  <c r="AH57" i="20" s="1"/>
  <c r="AG57" i="20" s="1"/>
  <c r="AF57" i="20" s="1"/>
  <c r="AD57" i="20" s="1"/>
  <c r="AI65" i="20"/>
  <c r="AH65" i="20" s="1"/>
  <c r="AG65" i="20" s="1"/>
  <c r="AF65" i="20" s="1"/>
  <c r="AD65" i="20" s="1"/>
  <c r="AI73" i="20"/>
  <c r="AH73" i="20" s="1"/>
  <c r="AG73" i="20" s="1"/>
  <c r="AF73" i="20" s="1"/>
  <c r="AD73" i="20" s="1"/>
  <c r="AI81" i="20"/>
  <c r="AH81" i="20" s="1"/>
  <c r="AG81" i="20" s="1"/>
  <c r="AF81" i="20" s="1"/>
  <c r="AD81" i="20" s="1"/>
  <c r="AI89" i="20"/>
  <c r="AH89" i="20" s="1"/>
  <c r="AG89" i="20" s="1"/>
  <c r="AF89" i="20" s="1"/>
  <c r="AD89" i="20" s="1"/>
  <c r="AI97" i="20"/>
  <c r="AH97" i="20" s="1"/>
  <c r="AG97" i="20" s="1"/>
  <c r="AF97" i="20" s="1"/>
  <c r="AD97" i="20" s="1"/>
  <c r="AI105" i="20"/>
  <c r="AH105" i="20" s="1"/>
  <c r="AG105" i="20" s="1"/>
  <c r="AF105" i="20" s="1"/>
  <c r="AD105" i="20" s="1"/>
  <c r="AI121" i="20"/>
  <c r="AH121" i="20" s="1"/>
  <c r="AG121" i="20" s="1"/>
  <c r="AF121" i="20" s="1"/>
  <c r="AI137" i="20"/>
  <c r="AH137" i="20" s="1"/>
  <c r="AG137" i="20" s="1"/>
  <c r="AF137" i="20" s="1"/>
  <c r="AD137" i="20" s="1"/>
  <c r="AI153" i="20"/>
  <c r="AH153" i="20" s="1"/>
  <c r="AI169" i="20"/>
  <c r="AH169" i="20" s="1"/>
  <c r="AG169" i="20" s="1"/>
  <c r="AF169" i="20" s="1"/>
  <c r="AD169" i="20" s="1"/>
  <c r="AI185" i="20"/>
  <c r="AH185" i="20" s="1"/>
  <c r="AG185" i="20" s="1"/>
  <c r="AF185" i="20" s="1"/>
  <c r="AI201" i="20"/>
  <c r="AH201" i="20" s="1"/>
  <c r="AG201" i="20" s="1"/>
  <c r="AF201" i="20" s="1"/>
  <c r="AD201" i="20" s="1"/>
  <c r="AI217" i="20"/>
  <c r="AH217" i="20" s="1"/>
  <c r="AG217" i="20" s="1"/>
  <c r="AF217" i="20" s="1"/>
  <c r="AI233" i="20"/>
  <c r="AH233" i="20" s="1"/>
  <c r="AG233" i="20" s="1"/>
  <c r="AF233" i="20" s="1"/>
  <c r="AD233" i="20" s="1"/>
  <c r="AI249" i="20"/>
  <c r="AH249" i="20" s="1"/>
  <c r="AG249" i="20" s="1"/>
  <c r="AF249" i="20" s="1"/>
  <c r="AD249" i="20" s="1"/>
  <c r="AI265" i="20"/>
  <c r="AH265" i="20" s="1"/>
  <c r="AG265" i="20" s="1"/>
  <c r="AF265" i="20" s="1"/>
  <c r="AD265" i="20" s="1"/>
  <c r="AI281" i="20"/>
  <c r="AH281" i="20" s="1"/>
  <c r="AG281" i="20" s="1"/>
  <c r="AF281" i="20" s="1"/>
  <c r="AD281" i="20" s="1"/>
  <c r="AI297" i="20"/>
  <c r="AH297" i="20" s="1"/>
  <c r="AG297" i="20" s="1"/>
  <c r="AF297" i="20" s="1"/>
  <c r="AD297" i="20" s="1"/>
  <c r="AI313" i="20"/>
  <c r="AH313" i="20" s="1"/>
  <c r="AG313" i="20" s="1"/>
  <c r="AF313" i="20" s="1"/>
  <c r="AD313" i="20" s="1"/>
  <c r="AI329" i="20"/>
  <c r="AH329" i="20" s="1"/>
  <c r="AG329" i="20" s="1"/>
  <c r="AF329" i="20" s="1"/>
  <c r="AI345" i="20"/>
  <c r="AH345" i="20" s="1"/>
  <c r="AG345" i="20" s="1"/>
  <c r="AF345" i="20" s="1"/>
  <c r="AD345" i="20" s="1"/>
  <c r="AI361" i="20"/>
  <c r="AH361" i="20" s="1"/>
  <c r="AG361" i="20" s="1"/>
  <c r="AF361" i="20" s="1"/>
  <c r="AI379" i="20"/>
  <c r="AH379" i="20" s="1"/>
  <c r="AI371" i="20"/>
  <c r="AH371" i="20" s="1"/>
  <c r="AG371" i="20" s="1"/>
  <c r="AF371" i="20" s="1"/>
  <c r="AI363" i="20"/>
  <c r="AH363" i="20" s="1"/>
  <c r="AG363" i="20" s="1"/>
  <c r="AF363" i="20" s="1"/>
  <c r="AI355" i="20"/>
  <c r="AH355" i="20" s="1"/>
  <c r="AG355" i="20" s="1"/>
  <c r="AF355" i="20" s="1"/>
  <c r="AD355" i="20" s="1"/>
  <c r="AI347" i="20"/>
  <c r="AH347" i="20" s="1"/>
  <c r="AG347" i="20" s="1"/>
  <c r="AF347" i="20" s="1"/>
  <c r="AD347" i="20" s="1"/>
  <c r="AI339" i="20"/>
  <c r="AH339" i="20" s="1"/>
  <c r="AG339" i="20" s="1"/>
  <c r="AF339" i="20" s="1"/>
  <c r="AD339" i="20" s="1"/>
  <c r="AI331" i="20"/>
  <c r="AH331" i="20" s="1"/>
  <c r="AG331" i="20" s="1"/>
  <c r="AF331" i="20" s="1"/>
  <c r="AD331" i="20" s="1"/>
  <c r="AI323" i="20"/>
  <c r="AH323" i="20" s="1"/>
  <c r="AG323" i="20" s="1"/>
  <c r="AF323" i="20" s="1"/>
  <c r="AI315" i="20"/>
  <c r="AH315" i="20" s="1"/>
  <c r="AG315" i="20" s="1"/>
  <c r="AF315" i="20" s="1"/>
  <c r="AD315" i="20" s="1"/>
  <c r="AI307" i="20"/>
  <c r="AH307" i="20" s="1"/>
  <c r="AG307" i="20" s="1"/>
  <c r="AF307" i="20" s="1"/>
  <c r="AI299" i="20"/>
  <c r="AH299" i="20" s="1"/>
  <c r="AG299" i="20" s="1"/>
  <c r="AF299" i="20" s="1"/>
  <c r="AD299" i="20" s="1"/>
  <c r="AI291" i="20"/>
  <c r="AH291" i="20" s="1"/>
  <c r="AG291" i="20" s="1"/>
  <c r="AF291" i="20" s="1"/>
  <c r="AI283" i="20"/>
  <c r="AH283" i="20" s="1"/>
  <c r="AG283" i="20" s="1"/>
  <c r="AF283" i="20" s="1"/>
  <c r="AD283" i="20" s="1"/>
  <c r="AI275" i="20"/>
  <c r="AH275" i="20" s="1"/>
  <c r="AG275" i="20" s="1"/>
  <c r="AF275" i="20" s="1"/>
  <c r="AI267" i="20"/>
  <c r="AH267" i="20" s="1"/>
  <c r="AG267" i="20" s="1"/>
  <c r="AF267" i="20" s="1"/>
  <c r="AD267" i="20" s="1"/>
  <c r="AI259" i="20"/>
  <c r="AH259" i="20" s="1"/>
  <c r="AG259" i="20" s="1"/>
  <c r="AF259" i="20" s="1"/>
  <c r="AI251" i="20"/>
  <c r="AH251" i="20" s="1"/>
  <c r="AG251" i="20" s="1"/>
  <c r="AF251" i="20" s="1"/>
  <c r="AD251" i="20" s="1"/>
  <c r="AI243" i="20"/>
  <c r="AH243" i="20" s="1"/>
  <c r="AG243" i="20" s="1"/>
  <c r="AF243" i="20" s="1"/>
  <c r="AI235" i="20"/>
  <c r="AH235" i="20" s="1"/>
  <c r="AG235" i="20" s="1"/>
  <c r="AF235" i="20" s="1"/>
  <c r="AD235" i="20" s="1"/>
  <c r="AI227" i="20"/>
  <c r="AH227" i="20" s="1"/>
  <c r="AG227" i="20" s="1"/>
  <c r="AF227" i="20" s="1"/>
  <c r="AD227" i="20" s="1"/>
  <c r="AI219" i="20"/>
  <c r="AH219" i="20" s="1"/>
  <c r="AG219" i="20" s="1"/>
  <c r="AF219" i="20" s="1"/>
  <c r="AD219" i="20" s="1"/>
  <c r="AI211" i="20"/>
  <c r="AH211" i="20" s="1"/>
  <c r="AG211" i="20" s="1"/>
  <c r="AF211" i="20" s="1"/>
  <c r="AD211" i="20" s="1"/>
  <c r="AI203" i="20"/>
  <c r="AH203" i="20" s="1"/>
  <c r="AG203" i="20" s="1"/>
  <c r="AF203" i="20" s="1"/>
  <c r="AD203" i="20" s="1"/>
  <c r="AI195" i="20"/>
  <c r="AH195" i="20" s="1"/>
  <c r="AG195" i="20" s="1"/>
  <c r="AF195" i="20" s="1"/>
  <c r="AD195" i="20" s="1"/>
  <c r="AI187" i="20"/>
  <c r="AH187" i="20" s="1"/>
  <c r="AG187" i="20" s="1"/>
  <c r="AF187" i="20" s="1"/>
  <c r="AD187" i="20" s="1"/>
  <c r="AI179" i="20"/>
  <c r="AH179" i="20" s="1"/>
  <c r="AG179" i="20" s="1"/>
  <c r="AF179" i="20" s="1"/>
  <c r="AD179" i="20" s="1"/>
  <c r="AI171" i="20"/>
  <c r="AH171" i="20" s="1"/>
  <c r="AG171" i="20" s="1"/>
  <c r="AF171" i="20" s="1"/>
  <c r="AD171" i="20" s="1"/>
  <c r="AI163" i="20"/>
  <c r="AH163" i="20" s="1"/>
  <c r="AG163" i="20" s="1"/>
  <c r="AF163" i="20" s="1"/>
  <c r="AD163" i="20" s="1"/>
  <c r="AI155" i="20"/>
  <c r="AH155" i="20" s="1"/>
  <c r="AG155" i="20" s="1"/>
  <c r="AF155" i="20" s="1"/>
  <c r="AD155" i="20" s="1"/>
  <c r="AI147" i="20"/>
  <c r="AH147" i="20" s="1"/>
  <c r="AG147" i="20" s="1"/>
  <c r="AF147" i="20" s="1"/>
  <c r="AD147" i="20" s="1"/>
  <c r="AI139" i="20"/>
  <c r="AH139" i="20" s="1"/>
  <c r="AI131" i="20"/>
  <c r="AH131" i="20" s="1"/>
  <c r="AG131" i="20" s="1"/>
  <c r="AF131" i="20" s="1"/>
  <c r="AD131" i="20" s="1"/>
  <c r="AI123" i="20"/>
  <c r="AH123" i="20" s="1"/>
  <c r="AG123" i="20" s="1"/>
  <c r="AF123" i="20" s="1"/>
  <c r="AD123" i="20" s="1"/>
  <c r="AI115" i="20"/>
  <c r="AH115" i="20" s="1"/>
  <c r="AG115" i="20" s="1"/>
  <c r="AF115" i="20" s="1"/>
  <c r="AD115" i="20" s="1"/>
  <c r="AI107" i="20"/>
  <c r="AH107" i="20" s="1"/>
  <c r="AG107" i="20" s="1"/>
  <c r="AF107" i="20" s="1"/>
  <c r="AD107" i="20" s="1"/>
  <c r="AI103" i="20"/>
  <c r="AH103" i="20" s="1"/>
  <c r="AG103" i="20" s="1"/>
  <c r="AF103" i="20" s="1"/>
  <c r="AD103" i="20" s="1"/>
  <c r="AI99" i="20"/>
  <c r="AH99" i="20" s="1"/>
  <c r="AG99" i="20" s="1"/>
  <c r="AF99" i="20" s="1"/>
  <c r="AD99" i="20" s="1"/>
  <c r="AI95" i="20"/>
  <c r="AH95" i="20" s="1"/>
  <c r="AG95" i="20" s="1"/>
  <c r="AF95" i="20" s="1"/>
  <c r="AD95" i="20" s="1"/>
  <c r="AI91" i="20"/>
  <c r="AH91" i="20" s="1"/>
  <c r="AG91" i="20" s="1"/>
  <c r="AF91" i="20" s="1"/>
  <c r="AD91" i="20" s="1"/>
  <c r="AI87" i="20"/>
  <c r="AH87" i="20" s="1"/>
  <c r="AG87" i="20" s="1"/>
  <c r="AF87" i="20" s="1"/>
  <c r="AD87" i="20" s="1"/>
  <c r="AI83" i="20"/>
  <c r="AH83" i="20" s="1"/>
  <c r="AG83" i="20" s="1"/>
  <c r="AF83" i="20" s="1"/>
  <c r="AD83" i="20" s="1"/>
  <c r="AI79" i="20"/>
  <c r="AH79" i="20" s="1"/>
  <c r="AG79" i="20" s="1"/>
  <c r="AF79" i="20" s="1"/>
  <c r="AD79" i="20" s="1"/>
  <c r="AI75" i="20"/>
  <c r="AH75" i="20" s="1"/>
  <c r="AI71" i="20"/>
  <c r="AH71" i="20" s="1"/>
  <c r="AG71" i="20" s="1"/>
  <c r="AF71" i="20" s="1"/>
  <c r="AD71" i="20" s="1"/>
  <c r="AI67" i="20"/>
  <c r="AH67" i="20" s="1"/>
  <c r="AG67" i="20" s="1"/>
  <c r="AF67" i="20" s="1"/>
  <c r="AD67" i="20" s="1"/>
  <c r="AI63" i="20"/>
  <c r="AH63" i="20" s="1"/>
  <c r="AG63" i="20" s="1"/>
  <c r="AF63" i="20" s="1"/>
  <c r="AD63" i="20" s="1"/>
  <c r="AI59" i="20"/>
  <c r="AH59" i="20" s="1"/>
  <c r="AG59" i="20" s="1"/>
  <c r="AF59" i="20" s="1"/>
  <c r="AD59" i="20" s="1"/>
  <c r="AI55" i="20"/>
  <c r="AH55" i="20" s="1"/>
  <c r="AG55" i="20" s="1"/>
  <c r="AF55" i="20" s="1"/>
  <c r="AD55" i="20" s="1"/>
  <c r="AI51" i="20"/>
  <c r="AH51" i="20" s="1"/>
  <c r="AG51" i="20" s="1"/>
  <c r="AF51" i="20" s="1"/>
  <c r="AD51" i="20" s="1"/>
  <c r="AI47" i="20"/>
  <c r="AH47" i="20" s="1"/>
  <c r="AG47" i="20" s="1"/>
  <c r="AF47" i="20" s="1"/>
  <c r="AD47" i="20" s="1"/>
  <c r="F119" i="18"/>
  <c r="G119" i="18" s="1"/>
  <c r="CA119" i="6" s="1"/>
  <c r="H203" i="18"/>
  <c r="I203" i="18" s="1"/>
  <c r="B203" i="6" s="1"/>
  <c r="BA203" i="6" s="1"/>
  <c r="D203" i="6" s="1"/>
  <c r="G150" i="18"/>
  <c r="CA150" i="6" s="1"/>
  <c r="AA343" i="18"/>
  <c r="Z343" i="18" s="1"/>
  <c r="Y343" i="18" s="1"/>
  <c r="AA111" i="18"/>
  <c r="Z111" i="18" s="1"/>
  <c r="Y111" i="18" s="1"/>
  <c r="G320" i="18"/>
  <c r="CA320" i="6" s="1"/>
  <c r="G335" i="18"/>
  <c r="CA335" i="6" s="1"/>
  <c r="G111" i="18"/>
  <c r="CA111" i="6" s="1"/>
  <c r="G43" i="18"/>
  <c r="CA43" i="6" s="1"/>
  <c r="G240" i="18"/>
  <c r="CA240" i="6" s="1"/>
  <c r="H243" i="18"/>
  <c r="I243" i="18" s="1"/>
  <c r="B243" i="6" s="1"/>
  <c r="BA243" i="6" s="1"/>
  <c r="D243" i="6" s="1"/>
  <c r="AA335" i="18"/>
  <c r="Z335" i="18" s="1"/>
  <c r="Y335" i="18" s="1"/>
  <c r="G42" i="18"/>
  <c r="CA42" i="6" s="1"/>
  <c r="AA203" i="18"/>
  <c r="Z203" i="18" s="1"/>
  <c r="Y203" i="18" s="1"/>
  <c r="AA243" i="18"/>
  <c r="Z243" i="18" s="1"/>
  <c r="Y243" i="18" s="1"/>
  <c r="G27" i="18"/>
  <c r="CA27" i="6" s="1"/>
  <c r="J139" i="17"/>
  <c r="G219" i="18"/>
  <c r="CA219" i="6" s="1"/>
  <c r="H27" i="18"/>
  <c r="I27" i="18" s="1"/>
  <c r="B27" i="6" s="1"/>
  <c r="BA27" i="6" s="1"/>
  <c r="D27" i="6" s="1"/>
  <c r="H343" i="18"/>
  <c r="I343" i="18" s="1"/>
  <c r="B343" i="6" s="1"/>
  <c r="BA343" i="6" s="1"/>
  <c r="D343" i="6" s="1"/>
  <c r="H283" i="18"/>
  <c r="J283" i="18" s="1"/>
  <c r="C283" i="6" s="1"/>
  <c r="AA283" i="18"/>
  <c r="Z283" i="18" s="1"/>
  <c r="Y283" i="18" s="1"/>
  <c r="H19" i="18"/>
  <c r="I19" i="18" s="1"/>
  <c r="B19" i="6" s="1"/>
  <c r="BA19" i="6" s="1"/>
  <c r="D19" i="6" s="1"/>
  <c r="G114" i="18"/>
  <c r="CA114" i="6" s="1"/>
  <c r="H362" i="18"/>
  <c r="I362" i="18" s="1"/>
  <c r="B362" i="6" s="1"/>
  <c r="BA362" i="6" s="1"/>
  <c r="D362" i="6" s="1"/>
  <c r="AA28" i="18"/>
  <c r="Z28" i="18" s="1"/>
  <c r="Y28" i="18" s="1"/>
  <c r="G73" i="18"/>
  <c r="CA73" i="6" s="1"/>
  <c r="G108" i="18"/>
  <c r="CA108" i="6" s="1"/>
  <c r="AA19" i="18"/>
  <c r="Z19" i="18" s="1"/>
  <c r="Y19" i="18" s="1"/>
  <c r="H246" i="18"/>
  <c r="I246" i="18" s="1"/>
  <c r="B246" i="6" s="1"/>
  <c r="BA246" i="6" s="1"/>
  <c r="D246" i="6" s="1"/>
  <c r="W210" i="18"/>
  <c r="G141" i="18"/>
  <c r="CA141" i="6" s="1"/>
  <c r="G69" i="18"/>
  <c r="CA69" i="6" s="1"/>
  <c r="H356" i="18"/>
  <c r="I356" i="18" s="1"/>
  <c r="B356" i="6" s="1"/>
  <c r="BA356" i="6" s="1"/>
  <c r="D356" i="6" s="1"/>
  <c r="G220" i="18"/>
  <c r="CA220" i="6" s="1"/>
  <c r="H141" i="18"/>
  <c r="J141" i="18" s="1"/>
  <c r="C141" i="6" s="1"/>
  <c r="J47" i="17"/>
  <c r="H65" i="19"/>
  <c r="K65" i="19"/>
  <c r="AA114" i="18"/>
  <c r="Z114" i="18" s="1"/>
  <c r="Y114" i="18" s="1"/>
  <c r="AA150" i="18"/>
  <c r="Z150" i="18" s="1"/>
  <c r="Y150" i="18" s="1"/>
  <c r="H186" i="18"/>
  <c r="I186" i="18" s="1"/>
  <c r="B186" i="6" s="1"/>
  <c r="BA186" i="6" s="1"/>
  <c r="D186" i="6" s="1"/>
  <c r="H73" i="18"/>
  <c r="J73" i="18" s="1"/>
  <c r="C73" i="6" s="1"/>
  <c r="AA282" i="18"/>
  <c r="Z282" i="18" s="1"/>
  <c r="Y282" i="18" s="1"/>
  <c r="G186" i="18"/>
  <c r="CA186" i="6" s="1"/>
  <c r="AA206" i="18"/>
  <c r="Z206" i="18" s="1"/>
  <c r="Y206" i="18" s="1"/>
  <c r="AA42" i="18"/>
  <c r="Z42" i="18" s="1"/>
  <c r="Y42" i="18" s="1"/>
  <c r="AA214" i="18"/>
  <c r="Z214" i="18" s="1"/>
  <c r="Y214" i="18" s="1"/>
  <c r="AA318" i="18"/>
  <c r="Z318" i="18" s="1"/>
  <c r="Y318" i="18" s="1"/>
  <c r="H69" i="18"/>
  <c r="J69" i="18" s="1"/>
  <c r="C69" i="6" s="1"/>
  <c r="H232" i="18"/>
  <c r="J232" i="18" s="1"/>
  <c r="C232" i="6" s="1"/>
  <c r="H214" i="18"/>
  <c r="J214" i="18" s="1"/>
  <c r="C214" i="6" s="1"/>
  <c r="G330" i="18"/>
  <c r="CA330" i="6" s="1"/>
  <c r="H282" i="18"/>
  <c r="J282" i="18" s="1"/>
  <c r="C282" i="6" s="1"/>
  <c r="G206" i="18"/>
  <c r="CA206" i="6" s="1"/>
  <c r="G92" i="18"/>
  <c r="CA92" i="6" s="1"/>
  <c r="D379" i="18"/>
  <c r="E379" i="18" s="1"/>
  <c r="F379" i="18" s="1"/>
  <c r="G379" i="18" s="1"/>
  <c r="CA379" i="6" s="1"/>
  <c r="G356" i="18"/>
  <c r="CA356" i="6" s="1"/>
  <c r="D302" i="18"/>
  <c r="E302" i="18" s="1"/>
  <c r="F302" i="18" s="1"/>
  <c r="AA302" i="18" s="1"/>
  <c r="Z302" i="18" s="1"/>
  <c r="Y302" i="18" s="1"/>
  <c r="H256" i="18"/>
  <c r="I256" i="18" s="1"/>
  <c r="B256" i="6" s="1"/>
  <c r="BA256" i="6" s="1"/>
  <c r="D256" i="6" s="1"/>
  <c r="AA246" i="18"/>
  <c r="Z246" i="18" s="1"/>
  <c r="Y246" i="18" s="1"/>
  <c r="AA220" i="18"/>
  <c r="Z220" i="18" s="1"/>
  <c r="Y220" i="18" s="1"/>
  <c r="AA268" i="18"/>
  <c r="Z268" i="18" s="1"/>
  <c r="Y268" i="18" s="1"/>
  <c r="H320" i="18"/>
  <c r="J320" i="18" s="1"/>
  <c r="C320" i="6" s="1"/>
  <c r="G268" i="18"/>
  <c r="CA268" i="6" s="1"/>
  <c r="H28" i="18"/>
  <c r="I28" i="18" s="1"/>
  <c r="B28" i="6" s="1"/>
  <c r="BA28" i="6" s="1"/>
  <c r="D28" i="6" s="1"/>
  <c r="AA92" i="18"/>
  <c r="Z92" i="18" s="1"/>
  <c r="Y92" i="18" s="1"/>
  <c r="AA108" i="18"/>
  <c r="Z108" i="18" s="1"/>
  <c r="Y108" i="18" s="1"/>
  <c r="AA164" i="18"/>
  <c r="Z164" i="18" s="1"/>
  <c r="Y164" i="18" s="1"/>
  <c r="AA36" i="18"/>
  <c r="Z36" i="18" s="1"/>
  <c r="Y36" i="18" s="1"/>
  <c r="H198" i="18"/>
  <c r="J198" i="18" s="1"/>
  <c r="C198" i="6" s="1"/>
  <c r="H164" i="18"/>
  <c r="J164" i="18" s="1"/>
  <c r="C164" i="6" s="1"/>
  <c r="H36" i="18"/>
  <c r="I36" i="18" s="1"/>
  <c r="B36" i="6" s="1"/>
  <c r="BA36" i="6" s="1"/>
  <c r="D36" i="6" s="1"/>
  <c r="AA232" i="18"/>
  <c r="Z232" i="18" s="1"/>
  <c r="Y232" i="18" s="1"/>
  <c r="H318" i="18"/>
  <c r="I318" i="18" s="1"/>
  <c r="B318" i="6" s="1"/>
  <c r="BA318" i="6" s="1"/>
  <c r="D318" i="6" s="1"/>
  <c r="AA198" i="18"/>
  <c r="Z198" i="18" s="1"/>
  <c r="Y198" i="18" s="1"/>
  <c r="I65" i="19"/>
  <c r="AG15" i="18"/>
  <c r="AH382" i="18"/>
  <c r="AH381" i="18"/>
  <c r="AH383" i="18"/>
  <c r="AG379" i="18"/>
  <c r="AF379" i="18" s="1"/>
  <c r="AD379" i="18" s="1"/>
  <c r="AJ4" i="15"/>
  <c r="P12" i="19" s="1"/>
  <c r="AL13" i="15"/>
  <c r="J65" i="19"/>
  <c r="L65" i="19"/>
  <c r="Y124" i="17"/>
  <c r="Q381" i="20"/>
  <c r="M65" i="19"/>
  <c r="I76" i="18"/>
  <c r="B76" i="6" s="1"/>
  <c r="BA76" i="6" s="1"/>
  <c r="D76" i="6" s="1"/>
  <c r="J76" i="18"/>
  <c r="C76" i="6" s="1"/>
  <c r="J113" i="18"/>
  <c r="C113" i="6" s="1"/>
  <c r="J123" i="18"/>
  <c r="C123" i="6" s="1"/>
  <c r="I123" i="18"/>
  <c r="B123" i="6" s="1"/>
  <c r="BA123" i="6" s="1"/>
  <c r="D123" i="6" s="1"/>
  <c r="I339" i="18"/>
  <c r="B339" i="6" s="1"/>
  <c r="BA339" i="6" s="1"/>
  <c r="D339" i="6" s="1"/>
  <c r="J339" i="18"/>
  <c r="C339" i="6" s="1"/>
  <c r="D228" i="20"/>
  <c r="E228" i="20" s="1"/>
  <c r="F228" i="20" s="1"/>
  <c r="W228" i="20"/>
  <c r="AM15" i="7"/>
  <c r="Z11" i="15"/>
  <c r="Z5" i="15" s="1"/>
  <c r="H12" i="19" s="1"/>
  <c r="J12" i="19"/>
  <c r="AA11" i="15"/>
  <c r="AA5" i="15" s="1"/>
  <c r="I12" i="19" s="1"/>
  <c r="Q383" i="20"/>
  <c r="AH15" i="20"/>
  <c r="AG22" i="20"/>
  <c r="AF22" i="20" s="1"/>
  <c r="AD22" i="20" s="1"/>
  <c r="AG26" i="20"/>
  <c r="AF26" i="20" s="1"/>
  <c r="AD26" i="20" s="1"/>
  <c r="AG38" i="20"/>
  <c r="AF38" i="20" s="1"/>
  <c r="AD38" i="20" s="1"/>
  <c r="AG58" i="20"/>
  <c r="AF58" i="20" s="1"/>
  <c r="AD58" i="20" s="1"/>
  <c r="AG66" i="20"/>
  <c r="AF66" i="20" s="1"/>
  <c r="AD66" i="20" s="1"/>
  <c r="AG70" i="20"/>
  <c r="AF70" i="20" s="1"/>
  <c r="AD70" i="20" s="1"/>
  <c r="AG94" i="20"/>
  <c r="AF94" i="20" s="1"/>
  <c r="AD94" i="20" s="1"/>
  <c r="AG102" i="20"/>
  <c r="AF102" i="20" s="1"/>
  <c r="AD102" i="20" s="1"/>
  <c r="I328" i="18"/>
  <c r="B328" i="6" s="1"/>
  <c r="BA328" i="6" s="1"/>
  <c r="D328" i="6" s="1"/>
  <c r="J328" i="18"/>
  <c r="C328" i="6" s="1"/>
  <c r="I268" i="18"/>
  <c r="B268" i="6" s="1"/>
  <c r="BA268" i="6" s="1"/>
  <c r="D268" i="6" s="1"/>
  <c r="J268" i="18"/>
  <c r="C268" i="6" s="1"/>
  <c r="J248" i="18"/>
  <c r="C248" i="6" s="1"/>
  <c r="I248" i="18"/>
  <c r="B248" i="6" s="1"/>
  <c r="BA248" i="6" s="1"/>
  <c r="D248" i="6" s="1"/>
  <c r="H160" i="18"/>
  <c r="G160" i="18"/>
  <c r="CA160" i="6" s="1"/>
  <c r="AA160" i="18"/>
  <c r="Z160" i="18" s="1"/>
  <c r="Y160" i="18" s="1"/>
  <c r="J150" i="18"/>
  <c r="C150" i="6" s="1"/>
  <c r="I150" i="18"/>
  <c r="B150" i="6" s="1"/>
  <c r="BA150" i="6" s="1"/>
  <c r="D150" i="6" s="1"/>
  <c r="J128" i="18"/>
  <c r="C128" i="6" s="1"/>
  <c r="I128" i="18"/>
  <c r="B128" i="6" s="1"/>
  <c r="BA128" i="6" s="1"/>
  <c r="D128" i="6" s="1"/>
  <c r="AA120" i="18"/>
  <c r="Z120" i="18" s="1"/>
  <c r="Y120" i="18" s="1"/>
  <c r="H120" i="18"/>
  <c r="G120" i="18"/>
  <c r="CA120" i="6" s="1"/>
  <c r="I94" i="18"/>
  <c r="B94" i="6" s="1"/>
  <c r="BA94" i="6" s="1"/>
  <c r="D94" i="6" s="1"/>
  <c r="J94" i="18"/>
  <c r="C94" i="6" s="1"/>
  <c r="G58" i="18"/>
  <c r="CA58" i="6" s="1"/>
  <c r="H58" i="18"/>
  <c r="AA58" i="18"/>
  <c r="Z58" i="18" s="1"/>
  <c r="Y58" i="18" s="1"/>
  <c r="G264" i="18"/>
  <c r="CA264" i="6" s="1"/>
  <c r="H264" i="18"/>
  <c r="AA264" i="18"/>
  <c r="Z264" i="18" s="1"/>
  <c r="Y264" i="18" s="1"/>
  <c r="S372" i="20"/>
  <c r="R372" i="20" s="1"/>
  <c r="P372" i="20" s="1"/>
  <c r="V372" i="20" s="1"/>
  <c r="B372" i="20" s="1"/>
  <c r="S362" i="20"/>
  <c r="R362" i="20" s="1"/>
  <c r="P362" i="20" s="1"/>
  <c r="V362" i="20" s="1"/>
  <c r="B362" i="20" s="1"/>
  <c r="S356" i="20"/>
  <c r="R356" i="20" s="1"/>
  <c r="P356" i="20" s="1"/>
  <c r="V356" i="20" s="1"/>
  <c r="B356" i="20" s="1"/>
  <c r="S346" i="20"/>
  <c r="R346" i="20" s="1"/>
  <c r="P346" i="20" s="1"/>
  <c r="V346" i="20" s="1"/>
  <c r="B346" i="20" s="1"/>
  <c r="S336" i="20"/>
  <c r="R336" i="20" s="1"/>
  <c r="P336" i="20" s="1"/>
  <c r="V336" i="20" s="1"/>
  <c r="B336" i="20" s="1"/>
  <c r="S330" i="20"/>
  <c r="R330" i="20" s="1"/>
  <c r="P330" i="20" s="1"/>
  <c r="V330" i="20" s="1"/>
  <c r="B330" i="20" s="1"/>
  <c r="S320" i="20"/>
  <c r="R320" i="20" s="1"/>
  <c r="P320" i="20" s="1"/>
  <c r="V320" i="20" s="1"/>
  <c r="B320" i="20" s="1"/>
  <c r="S310" i="20"/>
  <c r="R310" i="20" s="1"/>
  <c r="P310" i="20" s="1"/>
  <c r="V310" i="20" s="1"/>
  <c r="B310" i="20" s="1"/>
  <c r="D304" i="20"/>
  <c r="E304" i="20" s="1"/>
  <c r="F304" i="20" s="1"/>
  <c r="W304" i="20"/>
  <c r="S302" i="20"/>
  <c r="R302" i="20" s="1"/>
  <c r="P302" i="20" s="1"/>
  <c r="W300" i="20"/>
  <c r="D300" i="20"/>
  <c r="E300" i="20" s="1"/>
  <c r="F300" i="20" s="1"/>
  <c r="S296" i="20"/>
  <c r="R296" i="20" s="1"/>
  <c r="P296" i="20" s="1"/>
  <c r="V296" i="20" s="1"/>
  <c r="B296" i="20" s="1"/>
  <c r="S294" i="20"/>
  <c r="R294" i="20" s="1"/>
  <c r="P294" i="20" s="1"/>
  <c r="V294" i="20" s="1"/>
  <c r="B294" i="20" s="1"/>
  <c r="S292" i="20"/>
  <c r="R292" i="20" s="1"/>
  <c r="P292" i="20" s="1"/>
  <c r="V292" i="20" s="1"/>
  <c r="B292" i="20" s="1"/>
  <c r="S288" i="20"/>
  <c r="R288" i="20" s="1"/>
  <c r="P288" i="20" s="1"/>
  <c r="V288" i="20" s="1"/>
  <c r="W284" i="20"/>
  <c r="D284" i="20"/>
  <c r="E284" i="20" s="1"/>
  <c r="F284" i="20" s="1"/>
  <c r="S282" i="20"/>
  <c r="R282" i="20" s="1"/>
  <c r="P282" i="20" s="1"/>
  <c r="V282" i="20" s="1"/>
  <c r="B282" i="20" s="1"/>
  <c r="S280" i="20"/>
  <c r="R280" i="20" s="1"/>
  <c r="P280" i="20" s="1"/>
  <c r="V280" i="20" s="1"/>
  <c r="B280" i="20" s="1"/>
  <c r="S278" i="20"/>
  <c r="R278" i="20" s="1"/>
  <c r="P278" i="20" s="1"/>
  <c r="V278" i="20" s="1"/>
  <c r="B278" i="20" s="1"/>
  <c r="S276" i="20"/>
  <c r="R276" i="20" s="1"/>
  <c r="P276" i="20" s="1"/>
  <c r="V276" i="20" s="1"/>
  <c r="B276" i="20" s="1"/>
  <c r="S274" i="20"/>
  <c r="R274" i="20" s="1"/>
  <c r="P274" i="20" s="1"/>
  <c r="V274" i="20" s="1"/>
  <c r="B274" i="20" s="1"/>
  <c r="S272" i="20"/>
  <c r="R272" i="20" s="1"/>
  <c r="P272" i="20" s="1"/>
  <c r="S268" i="20"/>
  <c r="R268" i="20" s="1"/>
  <c r="P268" i="20" s="1"/>
  <c r="V268" i="20" s="1"/>
  <c r="B268" i="20" s="1"/>
  <c r="S264" i="20"/>
  <c r="R264" i="20" s="1"/>
  <c r="P264" i="20" s="1"/>
  <c r="V264" i="20" s="1"/>
  <c r="B264" i="20" s="1"/>
  <c r="S260" i="20"/>
  <c r="R260" i="20" s="1"/>
  <c r="P260" i="20" s="1"/>
  <c r="V260" i="20" s="1"/>
  <c r="B260" i="20" s="1"/>
  <c r="S256" i="20"/>
  <c r="R256" i="20" s="1"/>
  <c r="P256" i="20" s="1"/>
  <c r="V256" i="20" s="1"/>
  <c r="B256" i="20" s="1"/>
  <c r="S252" i="20"/>
  <c r="R252" i="20" s="1"/>
  <c r="P252" i="20" s="1"/>
  <c r="V252" i="20" s="1"/>
  <c r="B252" i="20" s="1"/>
  <c r="S248" i="20"/>
  <c r="R248" i="20" s="1"/>
  <c r="P248" i="20" s="1"/>
  <c r="V248" i="20" s="1"/>
  <c r="B248" i="20" s="1"/>
  <c r="S246" i="20"/>
  <c r="R246" i="20" s="1"/>
  <c r="P246" i="20" s="1"/>
  <c r="V246" i="20" s="1"/>
  <c r="B246" i="20" s="1"/>
  <c r="S244" i="20"/>
  <c r="R244" i="20" s="1"/>
  <c r="P244" i="20" s="1"/>
  <c r="V244" i="20" s="1"/>
  <c r="B244" i="20" s="1"/>
  <c r="D240" i="20"/>
  <c r="E240" i="20" s="1"/>
  <c r="F240" i="20" s="1"/>
  <c r="W240" i="20"/>
  <c r="S238" i="20"/>
  <c r="R238" i="20" s="1"/>
  <c r="P238" i="20" s="1"/>
  <c r="V238" i="20" s="1"/>
  <c r="B238" i="20" s="1"/>
  <c r="S236" i="20"/>
  <c r="R236" i="20" s="1"/>
  <c r="P236" i="20" s="1"/>
  <c r="V236" i="20" s="1"/>
  <c r="B236" i="20" s="1"/>
  <c r="S232" i="20"/>
  <c r="R232" i="20" s="1"/>
  <c r="P232" i="20" s="1"/>
  <c r="V232" i="20" s="1"/>
  <c r="B232" i="20" s="1"/>
  <c r="S224" i="20"/>
  <c r="R224" i="20" s="1"/>
  <c r="P224" i="20" s="1"/>
  <c r="V224" i="20" s="1"/>
  <c r="B224" i="20" s="1"/>
  <c r="S218" i="20"/>
  <c r="R218" i="20" s="1"/>
  <c r="P218" i="20" s="1"/>
  <c r="V218" i="20" s="1"/>
  <c r="B218" i="20" s="1"/>
  <c r="S210" i="20"/>
  <c r="R210" i="20" s="1"/>
  <c r="P210" i="20" s="1"/>
  <c r="S202" i="20"/>
  <c r="R202" i="20" s="1"/>
  <c r="P202" i="20" s="1"/>
  <c r="V202" i="20" s="1"/>
  <c r="B202" i="20" s="1"/>
  <c r="S194" i="20"/>
  <c r="R194" i="20" s="1"/>
  <c r="P194" i="20" s="1"/>
  <c r="V194" i="20" s="1"/>
  <c r="B194" i="20" s="1"/>
  <c r="S186" i="20"/>
  <c r="R186" i="20" s="1"/>
  <c r="P186" i="20" s="1"/>
  <c r="V186" i="20" s="1"/>
  <c r="B186" i="20" s="1"/>
  <c r="S174" i="20"/>
  <c r="R174" i="20" s="1"/>
  <c r="P174" i="20" s="1"/>
  <c r="V174" i="20" s="1"/>
  <c r="B174" i="20" s="1"/>
  <c r="S166" i="20"/>
  <c r="R166" i="20" s="1"/>
  <c r="P166" i="20" s="1"/>
  <c r="V166" i="20" s="1"/>
  <c r="S158" i="20"/>
  <c r="R158" i="20" s="1"/>
  <c r="P158" i="20" s="1"/>
  <c r="V158" i="20" s="1"/>
  <c r="B158" i="20" s="1"/>
  <c r="S150" i="20"/>
  <c r="R150" i="20" s="1"/>
  <c r="P150" i="20" s="1"/>
  <c r="V150" i="20" s="1"/>
  <c r="B150" i="20" s="1"/>
  <c r="S142" i="20"/>
  <c r="R142" i="20" s="1"/>
  <c r="P142" i="20" s="1"/>
  <c r="V142" i="20" s="1"/>
  <c r="B142" i="20" s="1"/>
  <c r="S130" i="20"/>
  <c r="R130" i="20" s="1"/>
  <c r="P130" i="20" s="1"/>
  <c r="V130" i="20" s="1"/>
  <c r="B130" i="20" s="1"/>
  <c r="S122" i="20"/>
  <c r="R122" i="20" s="1"/>
  <c r="P122" i="20" s="1"/>
  <c r="V122" i="20" s="1"/>
  <c r="B122" i="20" s="1"/>
  <c r="S102" i="20"/>
  <c r="R102" i="20" s="1"/>
  <c r="P102" i="20" s="1"/>
  <c r="V102" i="20" s="1"/>
  <c r="B102" i="20" s="1"/>
  <c r="S96" i="20"/>
  <c r="R96" i="20" s="1"/>
  <c r="P96" i="20" s="1"/>
  <c r="V96" i="20" s="1"/>
  <c r="B96" i="20" s="1"/>
  <c r="S92" i="20"/>
  <c r="R92" i="20" s="1"/>
  <c r="P92" i="20" s="1"/>
  <c r="V92" i="20" s="1"/>
  <c r="B92" i="20" s="1"/>
  <c r="S80" i="20"/>
  <c r="R80" i="20" s="1"/>
  <c r="P80" i="20" s="1"/>
  <c r="V80" i="20" s="1"/>
  <c r="B80" i="20" s="1"/>
  <c r="S76" i="20"/>
  <c r="R76" i="20" s="1"/>
  <c r="P76" i="20" s="1"/>
  <c r="V76" i="20" s="1"/>
  <c r="B76" i="20" s="1"/>
  <c r="S64" i="20"/>
  <c r="R64" i="20" s="1"/>
  <c r="P64" i="20" s="1"/>
  <c r="V64" i="20" s="1"/>
  <c r="B64" i="20" s="1"/>
  <c r="S54" i="20"/>
  <c r="R54" i="20" s="1"/>
  <c r="P54" i="20" s="1"/>
  <c r="V54" i="20" s="1"/>
  <c r="B54" i="20" s="1"/>
  <c r="S48" i="20"/>
  <c r="R48" i="20" s="1"/>
  <c r="P48" i="20" s="1"/>
  <c r="V48" i="20" s="1"/>
  <c r="S32" i="20"/>
  <c r="R32" i="20" s="1"/>
  <c r="P32" i="20" s="1"/>
  <c r="V32" i="20" s="1"/>
  <c r="B32" i="20" s="1"/>
  <c r="S28" i="20"/>
  <c r="R28" i="20" s="1"/>
  <c r="P28" i="20" s="1"/>
  <c r="V28" i="20" s="1"/>
  <c r="B28" i="20" s="1"/>
  <c r="S22" i="20"/>
  <c r="R22" i="20" s="1"/>
  <c r="P22" i="20" s="1"/>
  <c r="V22" i="20" s="1"/>
  <c r="B22" i="20" s="1"/>
  <c r="I335" i="18"/>
  <c r="B335" i="6" s="1"/>
  <c r="BA335" i="6" s="1"/>
  <c r="D335" i="6" s="1"/>
  <c r="J335" i="18"/>
  <c r="C335" i="6" s="1"/>
  <c r="G325" i="18"/>
  <c r="CA325" i="6" s="1"/>
  <c r="H325" i="18"/>
  <c r="AA325" i="18"/>
  <c r="Z325" i="18" s="1"/>
  <c r="Y325" i="18" s="1"/>
  <c r="J307" i="18"/>
  <c r="C307" i="6" s="1"/>
  <c r="I307" i="18"/>
  <c r="B307" i="6" s="1"/>
  <c r="BA307" i="6" s="1"/>
  <c r="D307" i="6" s="1"/>
  <c r="J305" i="18"/>
  <c r="C305" i="6" s="1"/>
  <c r="I305" i="18"/>
  <c r="B305" i="6" s="1"/>
  <c r="BA305" i="6" s="1"/>
  <c r="D305" i="6" s="1"/>
  <c r="H249" i="18"/>
  <c r="AA249" i="18"/>
  <c r="Z249" i="18" s="1"/>
  <c r="Y249" i="18" s="1"/>
  <c r="G249" i="18"/>
  <c r="CA249" i="6" s="1"/>
  <c r="G199" i="18"/>
  <c r="CA199" i="6" s="1"/>
  <c r="AA199" i="18"/>
  <c r="Z199" i="18" s="1"/>
  <c r="Y199" i="18" s="1"/>
  <c r="H199" i="18"/>
  <c r="AA161" i="18"/>
  <c r="Z161" i="18" s="1"/>
  <c r="Y161" i="18" s="1"/>
  <c r="G161" i="18"/>
  <c r="CA161" i="6" s="1"/>
  <c r="H161" i="18"/>
  <c r="AA35" i="18"/>
  <c r="Z35" i="18" s="1"/>
  <c r="Y35" i="18" s="1"/>
  <c r="H35" i="18"/>
  <c r="G35" i="18"/>
  <c r="CA35" i="6" s="1"/>
  <c r="J31" i="18"/>
  <c r="C31" i="6" s="1"/>
  <c r="I31" i="18"/>
  <c r="B31" i="6" s="1"/>
  <c r="BA31" i="6" s="1"/>
  <c r="D31" i="6" s="1"/>
  <c r="AA23" i="18"/>
  <c r="Z23" i="18" s="1"/>
  <c r="Y23" i="18" s="1"/>
  <c r="G23" i="18"/>
  <c r="CA23" i="6" s="1"/>
  <c r="H23" i="18"/>
  <c r="I352" i="17"/>
  <c r="H352" i="18" s="1"/>
  <c r="J352" i="17"/>
  <c r="AA319" i="18"/>
  <c r="Z319" i="18" s="1"/>
  <c r="Y319" i="18" s="1"/>
  <c r="G319" i="18"/>
  <c r="CA319" i="6" s="1"/>
  <c r="H319" i="18"/>
  <c r="I194" i="17"/>
  <c r="H194" i="18" s="1"/>
  <c r="J194" i="17"/>
  <c r="J136" i="18"/>
  <c r="C136" i="6" s="1"/>
  <c r="I136" i="18"/>
  <c r="B136" i="6" s="1"/>
  <c r="BA136" i="6" s="1"/>
  <c r="D136" i="6" s="1"/>
  <c r="G253" i="18"/>
  <c r="CA253" i="6" s="1"/>
  <c r="H253" i="18"/>
  <c r="AA253" i="18"/>
  <c r="Z253" i="18" s="1"/>
  <c r="Y253" i="18" s="1"/>
  <c r="AA235" i="18"/>
  <c r="Z235" i="18" s="1"/>
  <c r="Y235" i="18" s="1"/>
  <c r="H235" i="18"/>
  <c r="G235" i="18"/>
  <c r="CA235" i="6" s="1"/>
  <c r="AA211" i="18"/>
  <c r="Z211" i="18" s="1"/>
  <c r="Y211" i="18" s="1"/>
  <c r="H211" i="18"/>
  <c r="G211" i="18"/>
  <c r="CA211" i="6" s="1"/>
  <c r="I207" i="18"/>
  <c r="B207" i="6" s="1"/>
  <c r="BA207" i="6" s="1"/>
  <c r="D207" i="6" s="1"/>
  <c r="J207" i="18"/>
  <c r="C207" i="6" s="1"/>
  <c r="G183" i="18"/>
  <c r="CA183" i="6" s="1"/>
  <c r="AA183" i="18"/>
  <c r="Z183" i="18" s="1"/>
  <c r="Y183" i="18" s="1"/>
  <c r="AA165" i="18"/>
  <c r="Z165" i="18" s="1"/>
  <c r="Y165" i="18" s="1"/>
  <c r="G165" i="18"/>
  <c r="CA165" i="6" s="1"/>
  <c r="H165" i="18"/>
  <c r="J159" i="18"/>
  <c r="C159" i="6" s="1"/>
  <c r="I159" i="18"/>
  <c r="B159" i="6" s="1"/>
  <c r="BA159" i="6" s="1"/>
  <c r="D159" i="6" s="1"/>
  <c r="AA153" i="18"/>
  <c r="Z153" i="18" s="1"/>
  <c r="Y153" i="18" s="1"/>
  <c r="G153" i="18"/>
  <c r="CA153" i="6" s="1"/>
  <c r="H153" i="18"/>
  <c r="J145" i="18"/>
  <c r="C145" i="6" s="1"/>
  <c r="I145" i="18"/>
  <c r="B145" i="6" s="1"/>
  <c r="BA145" i="6" s="1"/>
  <c r="D145" i="6" s="1"/>
  <c r="AA139" i="18"/>
  <c r="Z139" i="18" s="1"/>
  <c r="Y139" i="18" s="1"/>
  <c r="G139" i="18"/>
  <c r="CA139" i="6" s="1"/>
  <c r="H139" i="18"/>
  <c r="G95" i="18"/>
  <c r="CA95" i="6" s="1"/>
  <c r="AA95" i="18"/>
  <c r="Z95" i="18" s="1"/>
  <c r="Y95" i="18" s="1"/>
  <c r="H95" i="18"/>
  <c r="G57" i="18"/>
  <c r="CA57" i="6" s="1"/>
  <c r="AA57" i="18"/>
  <c r="Z57" i="18" s="1"/>
  <c r="Y57" i="18" s="1"/>
  <c r="H57" i="18"/>
  <c r="AA33" i="18"/>
  <c r="Z33" i="18" s="1"/>
  <c r="Y33" i="18" s="1"/>
  <c r="H33" i="18"/>
  <c r="G33" i="18"/>
  <c r="CA33" i="6" s="1"/>
  <c r="H288" i="18"/>
  <c r="G288" i="18"/>
  <c r="CA288" i="6" s="1"/>
  <c r="AA288" i="18"/>
  <c r="Z288" i="18" s="1"/>
  <c r="Y288" i="18" s="1"/>
  <c r="I247" i="17"/>
  <c r="H247" i="18" s="1"/>
  <c r="J247" i="17"/>
  <c r="AG75" i="20"/>
  <c r="AF75" i="20" s="1"/>
  <c r="AD75" i="20" s="1"/>
  <c r="AG139" i="20"/>
  <c r="AF139" i="20" s="1"/>
  <c r="AD139" i="20" s="1"/>
  <c r="G372" i="18"/>
  <c r="CA372" i="6" s="1"/>
  <c r="AA372" i="18"/>
  <c r="Z372" i="18" s="1"/>
  <c r="Y372" i="18" s="1"/>
  <c r="H372" i="18"/>
  <c r="AA360" i="18"/>
  <c r="Z360" i="18" s="1"/>
  <c r="Y360" i="18" s="1"/>
  <c r="G360" i="18"/>
  <c r="CA360" i="6" s="1"/>
  <c r="H360" i="18"/>
  <c r="G334" i="18"/>
  <c r="CA334" i="6" s="1"/>
  <c r="AA334" i="18"/>
  <c r="Z334" i="18" s="1"/>
  <c r="Y334" i="18" s="1"/>
  <c r="G326" i="18"/>
  <c r="CA326" i="6" s="1"/>
  <c r="AA326" i="18"/>
  <c r="Z326" i="18" s="1"/>
  <c r="Y326" i="18" s="1"/>
  <c r="H326" i="18"/>
  <c r="I316" i="18"/>
  <c r="B316" i="6" s="1"/>
  <c r="BA316" i="6" s="1"/>
  <c r="D316" i="6" s="1"/>
  <c r="J316" i="18"/>
  <c r="C316" i="6" s="1"/>
  <c r="J306" i="18"/>
  <c r="C306" i="6" s="1"/>
  <c r="I306" i="18"/>
  <c r="B306" i="6" s="1"/>
  <c r="BA306" i="6" s="1"/>
  <c r="D306" i="6" s="1"/>
  <c r="G304" i="18"/>
  <c r="CA304" i="6" s="1"/>
  <c r="H304" i="18"/>
  <c r="AA304" i="18"/>
  <c r="Z304" i="18" s="1"/>
  <c r="Y304" i="18" s="1"/>
  <c r="G296" i="18"/>
  <c r="CA296" i="6" s="1"/>
  <c r="AA296" i="18"/>
  <c r="Z296" i="18" s="1"/>
  <c r="Y296" i="18" s="1"/>
  <c r="H296" i="18"/>
  <c r="H292" i="18"/>
  <c r="G292" i="18"/>
  <c r="CA292" i="6" s="1"/>
  <c r="AA292" i="18"/>
  <c r="Z292" i="18" s="1"/>
  <c r="Y292" i="18" s="1"/>
  <c r="H286" i="18"/>
  <c r="G286" i="18"/>
  <c r="CA286" i="6" s="1"/>
  <c r="AA286" i="18"/>
  <c r="Z286" i="18" s="1"/>
  <c r="Y286" i="18" s="1"/>
  <c r="I284" i="18"/>
  <c r="B284" i="6" s="1"/>
  <c r="BA284" i="6" s="1"/>
  <c r="D284" i="6" s="1"/>
  <c r="J284" i="18"/>
  <c r="C284" i="6" s="1"/>
  <c r="D272" i="18"/>
  <c r="E272" i="18" s="1"/>
  <c r="F272" i="18" s="1"/>
  <c r="W272" i="18"/>
  <c r="W258" i="18"/>
  <c r="D258" i="18"/>
  <c r="E258" i="18" s="1"/>
  <c r="F258" i="18" s="1"/>
  <c r="G208" i="18"/>
  <c r="CA208" i="6" s="1"/>
  <c r="H208" i="18"/>
  <c r="AA208" i="18"/>
  <c r="Z208" i="18" s="1"/>
  <c r="Y208" i="18" s="1"/>
  <c r="AA190" i="18"/>
  <c r="Z190" i="18" s="1"/>
  <c r="Y190" i="18" s="1"/>
  <c r="G190" i="18"/>
  <c r="CA190" i="6" s="1"/>
  <c r="H190" i="18"/>
  <c r="AA184" i="18"/>
  <c r="Z184" i="18" s="1"/>
  <c r="Y184" i="18" s="1"/>
  <c r="G184" i="18"/>
  <c r="CA184" i="6" s="1"/>
  <c r="H184" i="18"/>
  <c r="I178" i="18"/>
  <c r="B178" i="6" s="1"/>
  <c r="BA178" i="6" s="1"/>
  <c r="D178" i="6" s="1"/>
  <c r="J178" i="18"/>
  <c r="C178" i="6" s="1"/>
  <c r="AA156" i="18"/>
  <c r="Z156" i="18" s="1"/>
  <c r="Y156" i="18" s="1"/>
  <c r="G156" i="18"/>
  <c r="CA156" i="6" s="1"/>
  <c r="H156" i="18"/>
  <c r="H148" i="18"/>
  <c r="AA148" i="18"/>
  <c r="Z148" i="18" s="1"/>
  <c r="Y148" i="18" s="1"/>
  <c r="G148" i="18"/>
  <c r="CA148" i="6" s="1"/>
  <c r="J140" i="18"/>
  <c r="C140" i="6" s="1"/>
  <c r="I140" i="18"/>
  <c r="B140" i="6" s="1"/>
  <c r="BA140" i="6" s="1"/>
  <c r="D140" i="6" s="1"/>
  <c r="AA138" i="18"/>
  <c r="Z138" i="18" s="1"/>
  <c r="Y138" i="18" s="1"/>
  <c r="H138" i="18"/>
  <c r="G138" i="18"/>
  <c r="CA138" i="6" s="1"/>
  <c r="AA136" i="18"/>
  <c r="Z136" i="18" s="1"/>
  <c r="Y136" i="18" s="1"/>
  <c r="G136" i="18"/>
  <c r="CA136" i="6" s="1"/>
  <c r="G132" i="18"/>
  <c r="CA132" i="6" s="1"/>
  <c r="H132" i="18"/>
  <c r="AA132" i="18"/>
  <c r="Z132" i="18" s="1"/>
  <c r="Y132" i="18" s="1"/>
  <c r="G130" i="18"/>
  <c r="CA130" i="6" s="1"/>
  <c r="AA130" i="18"/>
  <c r="Z130" i="18" s="1"/>
  <c r="Y130" i="18" s="1"/>
  <c r="H130" i="18"/>
  <c r="G126" i="18"/>
  <c r="CA126" i="6" s="1"/>
  <c r="AA126" i="18"/>
  <c r="Z126" i="18" s="1"/>
  <c r="Y126" i="18" s="1"/>
  <c r="AA118" i="18"/>
  <c r="Z118" i="18" s="1"/>
  <c r="Y118" i="18" s="1"/>
  <c r="H118" i="18"/>
  <c r="G118" i="18"/>
  <c r="CA118" i="6" s="1"/>
  <c r="G112" i="18"/>
  <c r="CA112" i="6" s="1"/>
  <c r="H112" i="18"/>
  <c r="AA112" i="18"/>
  <c r="Z112" i="18" s="1"/>
  <c r="Y112" i="18" s="1"/>
  <c r="AA110" i="18"/>
  <c r="Z110" i="18" s="1"/>
  <c r="Y110" i="18" s="1"/>
  <c r="H110" i="18"/>
  <c r="G110" i="18"/>
  <c r="CA110" i="6" s="1"/>
  <c r="G86" i="18"/>
  <c r="CA86" i="6" s="1"/>
  <c r="H86" i="18"/>
  <c r="AA86" i="18"/>
  <c r="Z86" i="18" s="1"/>
  <c r="Y86" i="18" s="1"/>
  <c r="AA80" i="18"/>
  <c r="Z80" i="18" s="1"/>
  <c r="Y80" i="18" s="1"/>
  <c r="G80" i="18"/>
  <c r="CA80" i="6" s="1"/>
  <c r="H80" i="18"/>
  <c r="H70" i="18"/>
  <c r="G70" i="18"/>
  <c r="CA70" i="6" s="1"/>
  <c r="AA70" i="18"/>
  <c r="Z70" i="18" s="1"/>
  <c r="Y70" i="18" s="1"/>
  <c r="G62" i="18"/>
  <c r="CA62" i="6" s="1"/>
  <c r="AA62" i="18"/>
  <c r="Z62" i="18" s="1"/>
  <c r="Y62" i="18" s="1"/>
  <c r="H62" i="18"/>
  <c r="H48" i="18"/>
  <c r="G48" i="18"/>
  <c r="CA48" i="6" s="1"/>
  <c r="AA48" i="18"/>
  <c r="Z48" i="18" s="1"/>
  <c r="Y48" i="18" s="1"/>
  <c r="G40" i="18"/>
  <c r="CA40" i="6" s="1"/>
  <c r="H40" i="18"/>
  <c r="AA40" i="18"/>
  <c r="Z40" i="18" s="1"/>
  <c r="Y40" i="18" s="1"/>
  <c r="AA26" i="18"/>
  <c r="Z26" i="18" s="1"/>
  <c r="Y26" i="18" s="1"/>
  <c r="H26" i="18"/>
  <c r="G26" i="18"/>
  <c r="CA26" i="6" s="1"/>
  <c r="G24" i="18"/>
  <c r="CA24" i="6" s="1"/>
  <c r="H24" i="18"/>
  <c r="AA24" i="18"/>
  <c r="Z24" i="18" s="1"/>
  <c r="Y24" i="18" s="1"/>
  <c r="G20" i="18"/>
  <c r="CA20" i="6" s="1"/>
  <c r="AA20" i="18"/>
  <c r="Z20" i="18" s="1"/>
  <c r="Y20" i="18" s="1"/>
  <c r="H20" i="18"/>
  <c r="AA17" i="18"/>
  <c r="Z17" i="18" s="1"/>
  <c r="Y17" i="18" s="1"/>
  <c r="H17" i="18"/>
  <c r="G17" i="18"/>
  <c r="CA17" i="6" s="1"/>
  <c r="AA194" i="18"/>
  <c r="Z194" i="18" s="1"/>
  <c r="Y194" i="18" s="1"/>
  <c r="G194" i="18"/>
  <c r="CA194" i="6" s="1"/>
  <c r="J373" i="18"/>
  <c r="C373" i="6" s="1"/>
  <c r="I373" i="18"/>
  <c r="B373" i="6" s="1"/>
  <c r="BA373" i="6" s="1"/>
  <c r="D373" i="6" s="1"/>
  <c r="AA371" i="18"/>
  <c r="Z371" i="18" s="1"/>
  <c r="Y371" i="18" s="1"/>
  <c r="H371" i="18"/>
  <c r="G371" i="18"/>
  <c r="CA371" i="6" s="1"/>
  <c r="AA369" i="18"/>
  <c r="Z369" i="18" s="1"/>
  <c r="Y369" i="18" s="1"/>
  <c r="H369" i="18"/>
  <c r="G369" i="18"/>
  <c r="CA369" i="6" s="1"/>
  <c r="I367" i="18"/>
  <c r="B367" i="6" s="1"/>
  <c r="BA367" i="6" s="1"/>
  <c r="D367" i="6" s="1"/>
  <c r="J367" i="18"/>
  <c r="C367" i="6" s="1"/>
  <c r="J361" i="18"/>
  <c r="C361" i="6" s="1"/>
  <c r="I361" i="18"/>
  <c r="B361" i="6" s="1"/>
  <c r="BA361" i="6" s="1"/>
  <c r="D361" i="6" s="1"/>
  <c r="J351" i="18"/>
  <c r="C351" i="6" s="1"/>
  <c r="I351" i="18"/>
  <c r="B351" i="6" s="1"/>
  <c r="BA351" i="6" s="1"/>
  <c r="J347" i="18"/>
  <c r="C347" i="6" s="1"/>
  <c r="I347" i="18"/>
  <c r="B347" i="6" s="1"/>
  <c r="BA347" i="6" s="1"/>
  <c r="D347" i="6" s="1"/>
  <c r="G323" i="18"/>
  <c r="CA323" i="6" s="1"/>
  <c r="AA323" i="18"/>
  <c r="Z323" i="18" s="1"/>
  <c r="Y323" i="18" s="1"/>
  <c r="H323" i="18"/>
  <c r="I321" i="18"/>
  <c r="B321" i="6" s="1"/>
  <c r="BA321" i="6" s="1"/>
  <c r="D321" i="6" s="1"/>
  <c r="J321" i="18"/>
  <c r="C321" i="6" s="1"/>
  <c r="G313" i="18"/>
  <c r="CA313" i="6" s="1"/>
  <c r="H313" i="18"/>
  <c r="AA313" i="18"/>
  <c r="Z313" i="18" s="1"/>
  <c r="Y313" i="18" s="1"/>
  <c r="AA311" i="18"/>
  <c r="Z311" i="18" s="1"/>
  <c r="Y311" i="18" s="1"/>
  <c r="G311" i="18"/>
  <c r="CA311" i="6" s="1"/>
  <c r="H311" i="18"/>
  <c r="I295" i="18"/>
  <c r="B295" i="6" s="1"/>
  <c r="BA295" i="6" s="1"/>
  <c r="J295" i="18"/>
  <c r="C295" i="6" s="1"/>
  <c r="G279" i="18"/>
  <c r="CA279" i="6" s="1"/>
  <c r="AA279" i="18"/>
  <c r="Z279" i="18" s="1"/>
  <c r="Y279" i="18" s="1"/>
  <c r="H279" i="18"/>
  <c r="G245" i="18"/>
  <c r="CA245" i="6" s="1"/>
  <c r="AA245" i="18"/>
  <c r="Z245" i="18" s="1"/>
  <c r="Y245" i="18" s="1"/>
  <c r="AA231" i="18"/>
  <c r="Z231" i="18" s="1"/>
  <c r="Y231" i="18" s="1"/>
  <c r="H231" i="18"/>
  <c r="G231" i="18"/>
  <c r="CA231" i="6" s="1"/>
  <c r="H185" i="18"/>
  <c r="G185" i="18"/>
  <c r="CA185" i="6" s="1"/>
  <c r="AA185" i="18"/>
  <c r="Z185" i="18" s="1"/>
  <c r="Y185" i="18" s="1"/>
  <c r="G163" i="18"/>
  <c r="CA163" i="6" s="1"/>
  <c r="AA163" i="18"/>
  <c r="Z163" i="18" s="1"/>
  <c r="Y163" i="18" s="1"/>
  <c r="H163" i="18"/>
  <c r="J91" i="18"/>
  <c r="C91" i="6" s="1"/>
  <c r="I91" i="18"/>
  <c r="B91" i="6" s="1"/>
  <c r="BA91" i="6" s="1"/>
  <c r="D91" i="6" s="1"/>
  <c r="AA71" i="18"/>
  <c r="Z71" i="18" s="1"/>
  <c r="Y71" i="18" s="1"/>
  <c r="G71" i="18"/>
  <c r="CA71" i="6" s="1"/>
  <c r="H71" i="18"/>
  <c r="G63" i="18"/>
  <c r="CA63" i="6" s="1"/>
  <c r="AA63" i="18"/>
  <c r="Z63" i="18" s="1"/>
  <c r="Y63" i="18" s="1"/>
  <c r="H63" i="18"/>
  <c r="AA55" i="18"/>
  <c r="Z55" i="18" s="1"/>
  <c r="Y55" i="18" s="1"/>
  <c r="G55" i="18"/>
  <c r="CA55" i="6" s="1"/>
  <c r="H55" i="18"/>
  <c r="H51" i="18"/>
  <c r="G51" i="18"/>
  <c r="CA51" i="6" s="1"/>
  <c r="AA51" i="18"/>
  <c r="Z51" i="18" s="1"/>
  <c r="Y51" i="18" s="1"/>
  <c r="D29" i="18"/>
  <c r="E29" i="18" s="1"/>
  <c r="F29" i="18" s="1"/>
  <c r="W29" i="18"/>
  <c r="AA21" i="18"/>
  <c r="Z21" i="18" s="1"/>
  <c r="Y21" i="18" s="1"/>
  <c r="H21" i="18"/>
  <c r="I379" i="17"/>
  <c r="J379" i="17"/>
  <c r="AA378" i="18"/>
  <c r="Z378" i="18" s="1"/>
  <c r="Y378" i="18" s="1"/>
  <c r="G378" i="18"/>
  <c r="CA378" i="6" s="1"/>
  <c r="H378" i="18"/>
  <c r="AA364" i="18"/>
  <c r="Z364" i="18" s="1"/>
  <c r="Y364" i="18" s="1"/>
  <c r="H364" i="18"/>
  <c r="G364" i="18"/>
  <c r="CA364" i="6" s="1"/>
  <c r="H348" i="18"/>
  <c r="G348" i="18"/>
  <c r="CA348" i="6" s="1"/>
  <c r="AA348" i="18"/>
  <c r="Z348" i="18" s="1"/>
  <c r="Y348" i="18" s="1"/>
  <c r="G342" i="18"/>
  <c r="CA342" i="6" s="1"/>
  <c r="H342" i="18"/>
  <c r="AA342" i="18"/>
  <c r="Z342" i="18" s="1"/>
  <c r="Y342" i="18" s="1"/>
  <c r="AA324" i="18"/>
  <c r="Z324" i="18" s="1"/>
  <c r="Y324" i="18" s="1"/>
  <c r="G324" i="18"/>
  <c r="CA324" i="6" s="1"/>
  <c r="H324" i="18"/>
  <c r="G294" i="18"/>
  <c r="CA294" i="6" s="1"/>
  <c r="AA294" i="18"/>
  <c r="Z294" i="18" s="1"/>
  <c r="Y294" i="18" s="1"/>
  <c r="H294" i="18"/>
  <c r="AA357" i="18"/>
  <c r="Z357" i="18" s="1"/>
  <c r="Y357" i="18" s="1"/>
  <c r="H357" i="18"/>
  <c r="G357" i="18"/>
  <c r="CA357" i="6" s="1"/>
  <c r="AA269" i="18"/>
  <c r="Z269" i="18" s="1"/>
  <c r="Y269" i="18" s="1"/>
  <c r="G269" i="18"/>
  <c r="CA269" i="6" s="1"/>
  <c r="H269" i="18"/>
  <c r="AA225" i="18"/>
  <c r="Z225" i="18" s="1"/>
  <c r="Y225" i="18" s="1"/>
  <c r="H225" i="18"/>
  <c r="G225" i="18"/>
  <c r="CA225" i="6" s="1"/>
  <c r="G205" i="18"/>
  <c r="CA205" i="6" s="1"/>
  <c r="AA205" i="18"/>
  <c r="Z205" i="18" s="1"/>
  <c r="Y205" i="18" s="1"/>
  <c r="H41" i="18"/>
  <c r="AA41" i="18"/>
  <c r="Z41" i="18" s="1"/>
  <c r="Y41" i="18" s="1"/>
  <c r="G41" i="18"/>
  <c r="CA41" i="6" s="1"/>
  <c r="AA366" i="18"/>
  <c r="Z366" i="18" s="1"/>
  <c r="Y366" i="18" s="1"/>
  <c r="G366" i="18"/>
  <c r="CA366" i="6" s="1"/>
  <c r="H366" i="18"/>
  <c r="G236" i="18"/>
  <c r="CA236" i="6" s="1"/>
  <c r="H236" i="18"/>
  <c r="AA236" i="18"/>
  <c r="Z236" i="18" s="1"/>
  <c r="Y236" i="18" s="1"/>
  <c r="G224" i="18"/>
  <c r="CA224" i="6" s="1"/>
  <c r="AA224" i="18"/>
  <c r="Z224" i="18" s="1"/>
  <c r="Y224" i="18" s="1"/>
  <c r="H224" i="18"/>
  <c r="G216" i="18"/>
  <c r="CA216" i="6" s="1"/>
  <c r="AA216" i="18"/>
  <c r="Z216" i="18" s="1"/>
  <c r="Y216" i="18" s="1"/>
  <c r="H216" i="18"/>
  <c r="AA176" i="18"/>
  <c r="Z176" i="18" s="1"/>
  <c r="Y176" i="18" s="1"/>
  <c r="G176" i="18"/>
  <c r="CA176" i="6" s="1"/>
  <c r="G162" i="18"/>
  <c r="CA162" i="6" s="1"/>
  <c r="H162" i="18"/>
  <c r="AA162" i="18"/>
  <c r="Z162" i="18" s="1"/>
  <c r="Y162" i="18" s="1"/>
  <c r="AA152" i="18"/>
  <c r="Z152" i="18" s="1"/>
  <c r="Y152" i="18" s="1"/>
  <c r="G152" i="18"/>
  <c r="CA152" i="6" s="1"/>
  <c r="G134" i="18"/>
  <c r="CA134" i="6" s="1"/>
  <c r="AA134" i="18"/>
  <c r="Z134" i="18" s="1"/>
  <c r="Y134" i="18" s="1"/>
  <c r="H134" i="18"/>
  <c r="AA102" i="18"/>
  <c r="Z102" i="18" s="1"/>
  <c r="Y102" i="18" s="1"/>
  <c r="H102" i="18"/>
  <c r="G102" i="18"/>
  <c r="CA102" i="6" s="1"/>
  <c r="AA84" i="18"/>
  <c r="Z84" i="18" s="1"/>
  <c r="Y84" i="18" s="1"/>
  <c r="H84" i="18"/>
  <c r="G84" i="18"/>
  <c r="CA84" i="6" s="1"/>
  <c r="G72" i="18"/>
  <c r="CA72" i="6" s="1"/>
  <c r="AA72" i="18"/>
  <c r="Z72" i="18" s="1"/>
  <c r="Y72" i="18" s="1"/>
  <c r="H72" i="18"/>
  <c r="H68" i="18"/>
  <c r="AA68" i="18"/>
  <c r="Z68" i="18" s="1"/>
  <c r="Y68" i="18" s="1"/>
  <c r="G68" i="18"/>
  <c r="CA68" i="6" s="1"/>
  <c r="G30" i="18"/>
  <c r="CA30" i="6" s="1"/>
  <c r="AA30" i="18"/>
  <c r="Z30" i="18" s="1"/>
  <c r="Y30" i="18" s="1"/>
  <c r="H30" i="18"/>
  <c r="G355" i="18"/>
  <c r="CA355" i="6" s="1"/>
  <c r="H355" i="18"/>
  <c r="AA355" i="18"/>
  <c r="Z355" i="18" s="1"/>
  <c r="Y355" i="18" s="1"/>
  <c r="G341" i="18"/>
  <c r="CA341" i="6" s="1"/>
  <c r="H341" i="18"/>
  <c r="AA341" i="18"/>
  <c r="Z341" i="18" s="1"/>
  <c r="Y341" i="18" s="1"/>
  <c r="AA317" i="18"/>
  <c r="Z317" i="18" s="1"/>
  <c r="Y317" i="18" s="1"/>
  <c r="H317" i="18"/>
  <c r="G317" i="18"/>
  <c r="CA317" i="6" s="1"/>
  <c r="AA291" i="18"/>
  <c r="Z291" i="18" s="1"/>
  <c r="Y291" i="18" s="1"/>
  <c r="G291" i="18"/>
  <c r="CA291" i="6" s="1"/>
  <c r="H281" i="18"/>
  <c r="AA281" i="18"/>
  <c r="Z281" i="18" s="1"/>
  <c r="Y281" i="18" s="1"/>
  <c r="G281" i="18"/>
  <c r="CA281" i="6" s="1"/>
  <c r="AA267" i="18"/>
  <c r="Z267" i="18" s="1"/>
  <c r="Y267" i="18" s="1"/>
  <c r="G267" i="18"/>
  <c r="CA267" i="6" s="1"/>
  <c r="G263" i="18"/>
  <c r="CA263" i="6" s="1"/>
  <c r="H263" i="18"/>
  <c r="AA263" i="18"/>
  <c r="Z263" i="18" s="1"/>
  <c r="Y263" i="18" s="1"/>
  <c r="G223" i="18"/>
  <c r="CA223" i="6" s="1"/>
  <c r="AA223" i="18"/>
  <c r="Z223" i="18" s="1"/>
  <c r="Y223" i="18" s="1"/>
  <c r="H223" i="18"/>
  <c r="AA155" i="18"/>
  <c r="Z155" i="18" s="1"/>
  <c r="Y155" i="18" s="1"/>
  <c r="G155" i="18"/>
  <c r="CA155" i="6" s="1"/>
  <c r="G137" i="18"/>
  <c r="CA137" i="6" s="1"/>
  <c r="AA137" i="18"/>
  <c r="Z137" i="18" s="1"/>
  <c r="Y137" i="18" s="1"/>
  <c r="H137" i="18"/>
  <c r="D105" i="18"/>
  <c r="E105" i="18" s="1"/>
  <c r="F105" i="18" s="1"/>
  <c r="W105" i="18"/>
  <c r="AA93" i="18"/>
  <c r="Z93" i="18" s="1"/>
  <c r="Y93" i="18" s="1"/>
  <c r="H93" i="18"/>
  <c r="G93" i="18"/>
  <c r="CA93" i="6" s="1"/>
  <c r="H47" i="18"/>
  <c r="AA47" i="18"/>
  <c r="Z47" i="18" s="1"/>
  <c r="Y47" i="18" s="1"/>
  <c r="G47" i="18"/>
  <c r="CA47" i="6" s="1"/>
  <c r="H39" i="18"/>
  <c r="G39" i="18"/>
  <c r="CA39" i="6" s="1"/>
  <c r="AA39" i="18"/>
  <c r="Z39" i="18" s="1"/>
  <c r="Y39" i="18" s="1"/>
  <c r="AA238" i="18"/>
  <c r="Z238" i="18" s="1"/>
  <c r="Y238" i="18" s="1"/>
  <c r="G238" i="18"/>
  <c r="CA238" i="6" s="1"/>
  <c r="H238" i="18"/>
  <c r="AA234" i="18"/>
  <c r="Z234" i="18" s="1"/>
  <c r="Y234" i="18" s="1"/>
  <c r="G234" i="18"/>
  <c r="CA234" i="6" s="1"/>
  <c r="H234" i="18"/>
  <c r="G222" i="18"/>
  <c r="CA222" i="6" s="1"/>
  <c r="AA222" i="18"/>
  <c r="Z222" i="18" s="1"/>
  <c r="Y222" i="18" s="1"/>
  <c r="H222" i="18"/>
  <c r="D180" i="18"/>
  <c r="E180" i="18" s="1"/>
  <c r="F180" i="18" s="1"/>
  <c r="W180" i="18"/>
  <c r="AA124" i="18"/>
  <c r="Z124" i="18" s="1"/>
  <c r="Y124" i="18" s="1"/>
  <c r="G124" i="18"/>
  <c r="CA124" i="6" s="1"/>
  <c r="H124" i="18"/>
  <c r="G64" i="18"/>
  <c r="CA64" i="6" s="1"/>
  <c r="AA64" i="18"/>
  <c r="Z64" i="18" s="1"/>
  <c r="Y64" i="18" s="1"/>
  <c r="H64" i="18"/>
  <c r="G56" i="18"/>
  <c r="CA56" i="6" s="1"/>
  <c r="AA56" i="18"/>
  <c r="Z56" i="18" s="1"/>
  <c r="Y56" i="18" s="1"/>
  <c r="G44" i="18"/>
  <c r="CA44" i="6" s="1"/>
  <c r="AA44" i="18"/>
  <c r="Z44" i="18" s="1"/>
  <c r="Y44" i="18" s="1"/>
  <c r="H44" i="18"/>
  <c r="AA365" i="18"/>
  <c r="Z365" i="18" s="1"/>
  <c r="Y365" i="18" s="1"/>
  <c r="G365" i="18"/>
  <c r="CA365" i="6" s="1"/>
  <c r="G353" i="18"/>
  <c r="CA353" i="6" s="1"/>
  <c r="H353" i="18"/>
  <c r="AA353" i="18"/>
  <c r="Z353" i="18" s="1"/>
  <c r="Y353" i="18" s="1"/>
  <c r="AA275" i="18"/>
  <c r="Z275" i="18" s="1"/>
  <c r="Y275" i="18" s="1"/>
  <c r="G275" i="18"/>
  <c r="CA275" i="6" s="1"/>
  <c r="H275" i="18"/>
  <c r="G265" i="18"/>
  <c r="CA265" i="6" s="1"/>
  <c r="AA265" i="18"/>
  <c r="Z265" i="18" s="1"/>
  <c r="Y265" i="18" s="1"/>
  <c r="H265" i="18"/>
  <c r="G221" i="18"/>
  <c r="CA221" i="6" s="1"/>
  <c r="H221" i="18"/>
  <c r="AA221" i="18"/>
  <c r="Z221" i="18" s="1"/>
  <c r="Y221" i="18" s="1"/>
  <c r="AA151" i="18"/>
  <c r="Z151" i="18" s="1"/>
  <c r="Y151" i="18" s="1"/>
  <c r="G151" i="18"/>
  <c r="CA151" i="6" s="1"/>
  <c r="H151" i="18"/>
  <c r="G121" i="18"/>
  <c r="CA121" i="6" s="1"/>
  <c r="AA121" i="18"/>
  <c r="Z121" i="18" s="1"/>
  <c r="Y121" i="18" s="1"/>
  <c r="H121" i="18"/>
  <c r="AA79" i="18"/>
  <c r="Z79" i="18" s="1"/>
  <c r="Y79" i="18" s="1"/>
  <c r="G79" i="18"/>
  <c r="CA79" i="6" s="1"/>
  <c r="H79" i="18"/>
  <c r="G37" i="18"/>
  <c r="CA37" i="6" s="1"/>
  <c r="H37" i="18"/>
  <c r="AA37" i="18"/>
  <c r="Z37" i="18" s="1"/>
  <c r="Y37" i="18" s="1"/>
  <c r="AA74" i="18"/>
  <c r="Z74" i="18" s="1"/>
  <c r="Y74" i="18" s="1"/>
  <c r="H74" i="18"/>
  <c r="G74" i="18"/>
  <c r="CA74" i="6" s="1"/>
  <c r="AK4" i="15"/>
  <c r="R12" i="19" s="1"/>
  <c r="N13" i="19" s="1"/>
  <c r="AM13" i="15"/>
  <c r="AG28" i="20"/>
  <c r="AF28" i="20" s="1"/>
  <c r="AD28" i="20" s="1"/>
  <c r="AG84" i="20"/>
  <c r="AF84" i="20" s="1"/>
  <c r="AD84" i="20" s="1"/>
  <c r="AA374" i="18"/>
  <c r="Z374" i="18" s="1"/>
  <c r="Y374" i="18" s="1"/>
  <c r="G374" i="18"/>
  <c r="CA374" i="6" s="1"/>
  <c r="H374" i="18"/>
  <c r="H338" i="18"/>
  <c r="AA338" i="18"/>
  <c r="Z338" i="18" s="1"/>
  <c r="Y338" i="18" s="1"/>
  <c r="G338" i="18"/>
  <c r="CA338" i="6" s="1"/>
  <c r="G290" i="18"/>
  <c r="CA290" i="6" s="1"/>
  <c r="H290" i="18"/>
  <c r="AA290" i="18"/>
  <c r="Z290" i="18" s="1"/>
  <c r="Y290" i="18" s="1"/>
  <c r="G270" i="18"/>
  <c r="CA270" i="6" s="1"/>
  <c r="AA270" i="18"/>
  <c r="Z270" i="18" s="1"/>
  <c r="Y270" i="18" s="1"/>
  <c r="H270" i="18"/>
  <c r="G242" i="18"/>
  <c r="CA242" i="6" s="1"/>
  <c r="AA242" i="18"/>
  <c r="Z242" i="18" s="1"/>
  <c r="Y242" i="18" s="1"/>
  <c r="H242" i="18"/>
  <c r="I240" i="18"/>
  <c r="B240" i="6" s="1"/>
  <c r="BA240" i="6" s="1"/>
  <c r="D240" i="6" s="1"/>
  <c r="J240" i="18"/>
  <c r="C240" i="6" s="1"/>
  <c r="G212" i="18"/>
  <c r="CA212" i="6" s="1"/>
  <c r="AA212" i="18"/>
  <c r="Z212" i="18" s="1"/>
  <c r="Y212" i="18" s="1"/>
  <c r="H212" i="18"/>
  <c r="AA210" i="18"/>
  <c r="Z210" i="18" s="1"/>
  <c r="Y210" i="18" s="1"/>
  <c r="G210" i="18"/>
  <c r="CA210" i="6" s="1"/>
  <c r="I170" i="18"/>
  <c r="B170" i="6" s="1"/>
  <c r="BA170" i="6" s="1"/>
  <c r="D170" i="6" s="1"/>
  <c r="J170" i="18"/>
  <c r="C170" i="6" s="1"/>
  <c r="J154" i="18"/>
  <c r="C154" i="6" s="1"/>
  <c r="I154" i="18"/>
  <c r="B154" i="6" s="1"/>
  <c r="BA154" i="6" s="1"/>
  <c r="D154" i="6" s="1"/>
  <c r="AA144" i="18"/>
  <c r="Z144" i="18" s="1"/>
  <c r="Y144" i="18" s="1"/>
  <c r="G144" i="18"/>
  <c r="CA144" i="6" s="1"/>
  <c r="H144" i="18"/>
  <c r="J114" i="18"/>
  <c r="C114" i="6" s="1"/>
  <c r="I114" i="18"/>
  <c r="B114" i="6" s="1"/>
  <c r="BA114" i="6" s="1"/>
  <c r="D114" i="6" s="1"/>
  <c r="G100" i="18"/>
  <c r="CA100" i="6" s="1"/>
  <c r="H100" i="18"/>
  <c r="AA100" i="18"/>
  <c r="Z100" i="18" s="1"/>
  <c r="Y100" i="18" s="1"/>
  <c r="AA78" i="18"/>
  <c r="Z78" i="18" s="1"/>
  <c r="Y78" i="18" s="1"/>
  <c r="H78" i="18"/>
  <c r="G78" i="18"/>
  <c r="CA78" i="6" s="1"/>
  <c r="AA34" i="18"/>
  <c r="Z34" i="18" s="1"/>
  <c r="Y34" i="18" s="1"/>
  <c r="G34" i="18"/>
  <c r="CA34" i="6" s="1"/>
  <c r="H34" i="18"/>
  <c r="S381" i="18"/>
  <c r="S382" i="18"/>
  <c r="S383" i="18"/>
  <c r="R15" i="18"/>
  <c r="T379" i="20"/>
  <c r="S379" i="20" s="1"/>
  <c r="R379" i="20" s="1"/>
  <c r="P379" i="20" s="1"/>
  <c r="AH16" i="7"/>
  <c r="AN11" i="7" s="1"/>
  <c r="U11" i="22" s="1"/>
  <c r="U12" i="22"/>
  <c r="S377" i="20"/>
  <c r="R377" i="20" s="1"/>
  <c r="P377" i="20" s="1"/>
  <c r="V377" i="20" s="1"/>
  <c r="B377" i="20" s="1"/>
  <c r="S375" i="20"/>
  <c r="R375" i="20" s="1"/>
  <c r="P375" i="20" s="1"/>
  <c r="V375" i="20" s="1"/>
  <c r="B375" i="20" s="1"/>
  <c r="W373" i="20"/>
  <c r="D373" i="20"/>
  <c r="E373" i="20" s="1"/>
  <c r="F373" i="20" s="1"/>
  <c r="S371" i="20"/>
  <c r="R371" i="20" s="1"/>
  <c r="P371" i="20" s="1"/>
  <c r="V371" i="20" s="1"/>
  <c r="B371" i="20" s="1"/>
  <c r="W369" i="20"/>
  <c r="W367" i="20"/>
  <c r="D367" i="20"/>
  <c r="E367" i="20" s="1"/>
  <c r="F367" i="20" s="1"/>
  <c r="D365" i="20"/>
  <c r="E365" i="20" s="1"/>
  <c r="F365" i="20" s="1"/>
  <c r="W365" i="20"/>
  <c r="S363" i="20"/>
  <c r="R363" i="20" s="1"/>
  <c r="P363" i="20" s="1"/>
  <c r="S361" i="20"/>
  <c r="R361" i="20" s="1"/>
  <c r="P361" i="20" s="1"/>
  <c r="V361" i="20" s="1"/>
  <c r="B361" i="20" s="1"/>
  <c r="S359" i="20"/>
  <c r="R359" i="20" s="1"/>
  <c r="P359" i="20" s="1"/>
  <c r="V359" i="20" s="1"/>
  <c r="B359" i="20" s="1"/>
  <c r="W357" i="20"/>
  <c r="S355" i="20"/>
  <c r="R355" i="20" s="1"/>
  <c r="P355" i="20" s="1"/>
  <c r="V355" i="20" s="1"/>
  <c r="B355" i="20" s="1"/>
  <c r="S353" i="20"/>
  <c r="R353" i="20" s="1"/>
  <c r="P353" i="20" s="1"/>
  <c r="V353" i="20" s="1"/>
  <c r="B353" i="20" s="1"/>
  <c r="S351" i="20"/>
  <c r="R351" i="20" s="1"/>
  <c r="P351" i="20" s="1"/>
  <c r="V351" i="20" s="1"/>
  <c r="B351" i="20" s="1"/>
  <c r="B349" i="20"/>
  <c r="S347" i="20"/>
  <c r="R347" i="20" s="1"/>
  <c r="P347" i="20" s="1"/>
  <c r="V347" i="20" s="1"/>
  <c r="B347" i="20" s="1"/>
  <c r="W345" i="20"/>
  <c r="D345" i="20"/>
  <c r="E345" i="20" s="1"/>
  <c r="F345" i="20" s="1"/>
  <c r="S343" i="20"/>
  <c r="R343" i="20" s="1"/>
  <c r="P343" i="20" s="1"/>
  <c r="V343" i="20" s="1"/>
  <c r="B343" i="20" s="1"/>
  <c r="S341" i="20"/>
  <c r="R341" i="20" s="1"/>
  <c r="P341" i="20" s="1"/>
  <c r="V341" i="20" s="1"/>
  <c r="B341" i="20" s="1"/>
  <c r="D339" i="20"/>
  <c r="E339" i="20" s="1"/>
  <c r="F339" i="20" s="1"/>
  <c r="W339" i="20"/>
  <c r="S337" i="20"/>
  <c r="R337" i="20" s="1"/>
  <c r="P337" i="20" s="1"/>
  <c r="V337" i="20" s="1"/>
  <c r="B337" i="20" s="1"/>
  <c r="W335" i="20"/>
  <c r="D335" i="20"/>
  <c r="E335" i="20" s="1"/>
  <c r="F335" i="20" s="1"/>
  <c r="S333" i="20"/>
  <c r="R333" i="20" s="1"/>
  <c r="P333" i="20" s="1"/>
  <c r="S331" i="20"/>
  <c r="R331" i="20" s="1"/>
  <c r="P331" i="20" s="1"/>
  <c r="V331" i="20" s="1"/>
  <c r="B331" i="20" s="1"/>
  <c r="S329" i="20"/>
  <c r="R329" i="20" s="1"/>
  <c r="P329" i="20" s="1"/>
  <c r="V329" i="20" s="1"/>
  <c r="B329" i="20" s="1"/>
  <c r="D327" i="20"/>
  <c r="E327" i="20" s="1"/>
  <c r="F327" i="20" s="1"/>
  <c r="W327" i="20"/>
  <c r="D325" i="20"/>
  <c r="E325" i="20" s="1"/>
  <c r="F325" i="20" s="1"/>
  <c r="W325" i="20"/>
  <c r="D323" i="20"/>
  <c r="E323" i="20" s="1"/>
  <c r="F323" i="20" s="1"/>
  <c r="W323" i="20"/>
  <c r="W321" i="20"/>
  <c r="S319" i="20"/>
  <c r="R319" i="20" s="1"/>
  <c r="P319" i="20" s="1"/>
  <c r="V319" i="20" s="1"/>
  <c r="S317" i="20"/>
  <c r="R317" i="20" s="1"/>
  <c r="P317" i="20" s="1"/>
  <c r="V317" i="20" s="1"/>
  <c r="B317" i="20" s="1"/>
  <c r="D315" i="20"/>
  <c r="E315" i="20" s="1"/>
  <c r="F315" i="20" s="1"/>
  <c r="W315" i="20"/>
  <c r="S313" i="20"/>
  <c r="R313" i="20" s="1"/>
  <c r="P313" i="20" s="1"/>
  <c r="V313" i="20" s="1"/>
  <c r="B313" i="20" s="1"/>
  <c r="S311" i="20"/>
  <c r="R311" i="20" s="1"/>
  <c r="P311" i="20" s="1"/>
  <c r="V311" i="20" s="1"/>
  <c r="B311" i="20" s="1"/>
  <c r="S309" i="20"/>
  <c r="R309" i="20" s="1"/>
  <c r="P309" i="20" s="1"/>
  <c r="V309" i="20" s="1"/>
  <c r="B309" i="20" s="1"/>
  <c r="S307" i="20"/>
  <c r="R307" i="20" s="1"/>
  <c r="P307" i="20" s="1"/>
  <c r="V307" i="20" s="1"/>
  <c r="B307" i="20" s="1"/>
  <c r="S305" i="20"/>
  <c r="R305" i="20" s="1"/>
  <c r="P305" i="20" s="1"/>
  <c r="V305" i="20" s="1"/>
  <c r="B305" i="20" s="1"/>
  <c r="S297" i="20"/>
  <c r="R297" i="20" s="1"/>
  <c r="P297" i="20" s="1"/>
  <c r="V297" i="20" s="1"/>
  <c r="B297" i="20" s="1"/>
  <c r="S285" i="20"/>
  <c r="R285" i="20" s="1"/>
  <c r="P285" i="20" s="1"/>
  <c r="V285" i="20" s="1"/>
  <c r="B285" i="20" s="1"/>
  <c r="S277" i="20"/>
  <c r="R277" i="20" s="1"/>
  <c r="P277" i="20" s="1"/>
  <c r="V277" i="20" s="1"/>
  <c r="B277" i="20" s="1"/>
  <c r="S261" i="20"/>
  <c r="R261" i="20" s="1"/>
  <c r="P261" i="20" s="1"/>
  <c r="V261" i="20" s="1"/>
  <c r="B261" i="20" s="1"/>
  <c r="S253" i="20"/>
  <c r="R253" i="20" s="1"/>
  <c r="P253" i="20" s="1"/>
  <c r="V253" i="20" s="1"/>
  <c r="B253" i="20" s="1"/>
  <c r="S241" i="20"/>
  <c r="R241" i="20" s="1"/>
  <c r="P241" i="20" s="1"/>
  <c r="S233" i="20"/>
  <c r="R233" i="20" s="1"/>
  <c r="P233" i="20" s="1"/>
  <c r="V233" i="20" s="1"/>
  <c r="B233" i="20" s="1"/>
  <c r="S219" i="20"/>
  <c r="R219" i="20" s="1"/>
  <c r="P219" i="20" s="1"/>
  <c r="V219" i="20" s="1"/>
  <c r="B219" i="20" s="1"/>
  <c r="S211" i="20"/>
  <c r="R211" i="20" s="1"/>
  <c r="P211" i="20" s="1"/>
  <c r="V211" i="20" s="1"/>
  <c r="B211" i="20" s="1"/>
  <c r="S207" i="20"/>
  <c r="R207" i="20" s="1"/>
  <c r="P207" i="20" s="1"/>
  <c r="V207" i="20" s="1"/>
  <c r="B207" i="20" s="1"/>
  <c r="S203" i="20"/>
  <c r="R203" i="20" s="1"/>
  <c r="P203" i="20" s="1"/>
  <c r="V203" i="20" s="1"/>
  <c r="B203" i="20" s="1"/>
  <c r="S195" i="20"/>
  <c r="R195" i="20" s="1"/>
  <c r="P195" i="20" s="1"/>
  <c r="V195" i="20" s="1"/>
  <c r="B195" i="20" s="1"/>
  <c r="S193" i="20"/>
  <c r="R193" i="20" s="1"/>
  <c r="P193" i="20" s="1"/>
  <c r="V193" i="20" s="1"/>
  <c r="B193" i="20" s="1"/>
  <c r="D187" i="20"/>
  <c r="E187" i="20" s="1"/>
  <c r="F187" i="20" s="1"/>
  <c r="W187" i="20"/>
  <c r="D179" i="20"/>
  <c r="E179" i="20" s="1"/>
  <c r="F179" i="20" s="1"/>
  <c r="W179" i="20"/>
  <c r="S173" i="20"/>
  <c r="R173" i="20" s="1"/>
  <c r="P173" i="20" s="1"/>
  <c r="V173" i="20" s="1"/>
  <c r="B173" i="20" s="1"/>
  <c r="D171" i="20"/>
  <c r="E171" i="20" s="1"/>
  <c r="F171" i="20" s="1"/>
  <c r="W171" i="20"/>
  <c r="D163" i="20"/>
  <c r="E163" i="20" s="1"/>
  <c r="F163" i="20" s="1"/>
  <c r="W163" i="20"/>
  <c r="S155" i="20"/>
  <c r="R155" i="20" s="1"/>
  <c r="P155" i="20" s="1"/>
  <c r="V155" i="20" s="1"/>
  <c r="B155" i="20" s="1"/>
  <c r="S147" i="20"/>
  <c r="R147" i="20" s="1"/>
  <c r="P147" i="20" s="1"/>
  <c r="V147" i="20" s="1"/>
  <c r="B147" i="20" s="1"/>
  <c r="S139" i="20"/>
  <c r="R139" i="20" s="1"/>
  <c r="P139" i="20" s="1"/>
  <c r="V139" i="20" s="1"/>
  <c r="B139" i="20" s="1"/>
  <c r="S131" i="20"/>
  <c r="R131" i="20" s="1"/>
  <c r="P131" i="20" s="1"/>
  <c r="V131" i="20" s="1"/>
  <c r="B131" i="20" s="1"/>
  <c r="S129" i="20"/>
  <c r="R129" i="20" s="1"/>
  <c r="P129" i="20" s="1"/>
  <c r="V129" i="20" s="1"/>
  <c r="B129" i="20" s="1"/>
  <c r="S125" i="20"/>
  <c r="R125" i="20" s="1"/>
  <c r="P125" i="20" s="1"/>
  <c r="V125" i="20" s="1"/>
  <c r="W123" i="20"/>
  <c r="S121" i="20"/>
  <c r="R121" i="20" s="1"/>
  <c r="P121" i="20" s="1"/>
  <c r="V121" i="20" s="1"/>
  <c r="B121" i="20" s="1"/>
  <c r="S115" i="20"/>
  <c r="R115" i="20" s="1"/>
  <c r="P115" i="20" s="1"/>
  <c r="V115" i="20" s="1"/>
  <c r="B115" i="20" s="1"/>
  <c r="S111" i="20"/>
  <c r="R111" i="20" s="1"/>
  <c r="P111" i="20" s="1"/>
  <c r="V111" i="20" s="1"/>
  <c r="B111" i="20" s="1"/>
  <c r="S107" i="20"/>
  <c r="R107" i="20" s="1"/>
  <c r="P107" i="20" s="1"/>
  <c r="V107" i="20" s="1"/>
  <c r="B107" i="20" s="1"/>
  <c r="S97" i="20"/>
  <c r="R97" i="20" s="1"/>
  <c r="P97" i="20" s="1"/>
  <c r="V97" i="20" s="1"/>
  <c r="B97" i="20" s="1"/>
  <c r="S69" i="20"/>
  <c r="R69" i="20" s="1"/>
  <c r="P69" i="20" s="1"/>
  <c r="V69" i="20" s="1"/>
  <c r="B69" i="20" s="1"/>
  <c r="S67" i="20"/>
  <c r="R67" i="20" s="1"/>
  <c r="P67" i="20" s="1"/>
  <c r="V67" i="20" s="1"/>
  <c r="B67" i="20" s="1"/>
  <c r="S65" i="20"/>
  <c r="R65" i="20" s="1"/>
  <c r="P65" i="20" s="1"/>
  <c r="V65" i="20" s="1"/>
  <c r="B65" i="20" s="1"/>
  <c r="S63" i="20"/>
  <c r="R63" i="20" s="1"/>
  <c r="P63" i="20" s="1"/>
  <c r="V63" i="20" s="1"/>
  <c r="B63" i="20" s="1"/>
  <c r="S61" i="20"/>
  <c r="R61" i="20" s="1"/>
  <c r="P61" i="20" s="1"/>
  <c r="V61" i="20" s="1"/>
  <c r="S37" i="20"/>
  <c r="R37" i="20" s="1"/>
  <c r="P37" i="20" s="1"/>
  <c r="V37" i="20" s="1"/>
  <c r="B37" i="20" s="1"/>
  <c r="S29" i="20"/>
  <c r="R29" i="20" s="1"/>
  <c r="P29" i="20" s="1"/>
  <c r="U382" i="20"/>
  <c r="I329" i="18"/>
  <c r="B329" i="6" s="1"/>
  <c r="BA329" i="6" s="1"/>
  <c r="D329" i="6" s="1"/>
  <c r="J329" i="18"/>
  <c r="C329" i="6" s="1"/>
  <c r="J327" i="18"/>
  <c r="C327" i="6" s="1"/>
  <c r="I327" i="18"/>
  <c r="B327" i="6" s="1"/>
  <c r="BA327" i="6" s="1"/>
  <c r="D327" i="6" s="1"/>
  <c r="J297" i="18"/>
  <c r="C297" i="6" s="1"/>
  <c r="I297" i="18"/>
  <c r="B297" i="6" s="1"/>
  <c r="BA297" i="6" s="1"/>
  <c r="D297" i="6" s="1"/>
  <c r="H175" i="18"/>
  <c r="G175" i="18"/>
  <c r="CA175" i="6" s="1"/>
  <c r="AA175" i="18"/>
  <c r="Z175" i="18" s="1"/>
  <c r="Y175" i="18" s="1"/>
  <c r="AA107" i="18"/>
  <c r="Z107" i="18" s="1"/>
  <c r="Y107" i="18" s="1"/>
  <c r="G107" i="18"/>
  <c r="CA107" i="6" s="1"/>
  <c r="H107" i="18"/>
  <c r="G83" i="18"/>
  <c r="CA83" i="6" s="1"/>
  <c r="H83" i="18"/>
  <c r="AA83" i="18"/>
  <c r="Z83" i="18" s="1"/>
  <c r="Y83" i="18" s="1"/>
  <c r="I59" i="18"/>
  <c r="B59" i="6" s="1"/>
  <c r="BA59" i="6" s="1"/>
  <c r="D59" i="6" s="1"/>
  <c r="J59" i="18"/>
  <c r="C59" i="6" s="1"/>
  <c r="G277" i="18"/>
  <c r="CA277" i="6" s="1"/>
  <c r="H277" i="18"/>
  <c r="AA277" i="18"/>
  <c r="Z277" i="18" s="1"/>
  <c r="Y277" i="18" s="1"/>
  <c r="G259" i="18"/>
  <c r="CA259" i="6" s="1"/>
  <c r="AA259" i="18"/>
  <c r="Z259" i="18" s="1"/>
  <c r="Y259" i="18" s="1"/>
  <c r="H259" i="18"/>
  <c r="D241" i="18"/>
  <c r="E241" i="18" s="1"/>
  <c r="F241" i="18" s="1"/>
  <c r="W241" i="18"/>
  <c r="W227" i="18"/>
  <c r="D227" i="18"/>
  <c r="E227" i="18" s="1"/>
  <c r="F227" i="18" s="1"/>
  <c r="I215" i="18"/>
  <c r="B215" i="6" s="1"/>
  <c r="BA215" i="6" s="1"/>
  <c r="D215" i="6" s="1"/>
  <c r="J215" i="18"/>
  <c r="C215" i="6" s="1"/>
  <c r="AA193" i="18"/>
  <c r="Z193" i="18" s="1"/>
  <c r="Y193" i="18" s="1"/>
  <c r="G193" i="18"/>
  <c r="CA193" i="6" s="1"/>
  <c r="H193" i="18"/>
  <c r="AA179" i="18"/>
  <c r="Z179" i="18" s="1"/>
  <c r="Y179" i="18" s="1"/>
  <c r="G179" i="18"/>
  <c r="CA179" i="6" s="1"/>
  <c r="H179" i="18"/>
  <c r="I131" i="18"/>
  <c r="B131" i="6" s="1"/>
  <c r="BA131" i="6" s="1"/>
  <c r="D131" i="6" s="1"/>
  <c r="J131" i="18"/>
  <c r="C131" i="6" s="1"/>
  <c r="J127" i="18"/>
  <c r="C127" i="6" s="1"/>
  <c r="I127" i="18"/>
  <c r="B127" i="6" s="1"/>
  <c r="BA127" i="6" s="1"/>
  <c r="AA99" i="18"/>
  <c r="Z99" i="18" s="1"/>
  <c r="Y99" i="18" s="1"/>
  <c r="H99" i="18"/>
  <c r="G99" i="18"/>
  <c r="CA99" i="6" s="1"/>
  <c r="G67" i="18"/>
  <c r="CA67" i="6" s="1"/>
  <c r="AA67" i="18"/>
  <c r="Z67" i="18" s="1"/>
  <c r="Y67" i="18" s="1"/>
  <c r="H67" i="18"/>
  <c r="AA53" i="18"/>
  <c r="Z53" i="18" s="1"/>
  <c r="Y53" i="18" s="1"/>
  <c r="H53" i="18"/>
  <c r="G53" i="18"/>
  <c r="CA53" i="6" s="1"/>
  <c r="G49" i="18"/>
  <c r="CA49" i="6" s="1"/>
  <c r="AA49" i="18"/>
  <c r="Z49" i="18" s="1"/>
  <c r="Y49" i="18" s="1"/>
  <c r="H49" i="18"/>
  <c r="AA25" i="18"/>
  <c r="Z25" i="18" s="1"/>
  <c r="Y25" i="18" s="1"/>
  <c r="G25" i="18"/>
  <c r="CA25" i="6" s="1"/>
  <c r="H25" i="18"/>
  <c r="AG153" i="20"/>
  <c r="AF153" i="20" s="1"/>
  <c r="AG377" i="20"/>
  <c r="AF377" i="20" s="1"/>
  <c r="AD377" i="20" s="1"/>
  <c r="J376" i="18"/>
  <c r="C376" i="6" s="1"/>
  <c r="I376" i="18"/>
  <c r="B376" i="6" s="1"/>
  <c r="BA376" i="6" s="1"/>
  <c r="D376" i="6" s="1"/>
  <c r="G370" i="18"/>
  <c r="CA370" i="6" s="1"/>
  <c r="H370" i="18"/>
  <c r="AA370" i="18"/>
  <c r="Z370" i="18" s="1"/>
  <c r="Y370" i="18" s="1"/>
  <c r="I368" i="18"/>
  <c r="B368" i="6" s="1"/>
  <c r="BA368" i="6" s="1"/>
  <c r="D368" i="6" s="1"/>
  <c r="J368" i="18"/>
  <c r="C368" i="6" s="1"/>
  <c r="AA354" i="18"/>
  <c r="Z354" i="18" s="1"/>
  <c r="Y354" i="18" s="1"/>
  <c r="G354" i="18"/>
  <c r="CA354" i="6" s="1"/>
  <c r="H354" i="18"/>
  <c r="I344" i="18"/>
  <c r="B344" i="6" s="1"/>
  <c r="BA344" i="6" s="1"/>
  <c r="D344" i="6" s="1"/>
  <c r="J344" i="18"/>
  <c r="C344" i="6" s="1"/>
  <c r="G332" i="18"/>
  <c r="CA332" i="6" s="1"/>
  <c r="AA332" i="18"/>
  <c r="Z332" i="18" s="1"/>
  <c r="Y332" i="18" s="1"/>
  <c r="H332" i="18"/>
  <c r="AA312" i="18"/>
  <c r="Z312" i="18" s="1"/>
  <c r="Y312" i="18" s="1"/>
  <c r="H312" i="18"/>
  <c r="G312" i="18"/>
  <c r="CA312" i="6" s="1"/>
  <c r="AA310" i="18"/>
  <c r="Z310" i="18" s="1"/>
  <c r="Y310" i="18" s="1"/>
  <c r="H310" i="18"/>
  <c r="G310" i="18"/>
  <c r="CA310" i="6" s="1"/>
  <c r="I300" i="18"/>
  <c r="B300" i="6" s="1"/>
  <c r="BA300" i="6" s="1"/>
  <c r="D300" i="6" s="1"/>
  <c r="J300" i="18"/>
  <c r="C300" i="6" s="1"/>
  <c r="G298" i="18"/>
  <c r="CA298" i="6" s="1"/>
  <c r="H298" i="18"/>
  <c r="AA298" i="18"/>
  <c r="Z298" i="18" s="1"/>
  <c r="Y298" i="18" s="1"/>
  <c r="G280" i="18"/>
  <c r="CA280" i="6" s="1"/>
  <c r="H280" i="18"/>
  <c r="AA280" i="18"/>
  <c r="Z280" i="18" s="1"/>
  <c r="Y280" i="18" s="1"/>
  <c r="AA278" i="18"/>
  <c r="Z278" i="18" s="1"/>
  <c r="Y278" i="18" s="1"/>
  <c r="H278" i="18"/>
  <c r="G278" i="18"/>
  <c r="CA278" i="6" s="1"/>
  <c r="AA252" i="18"/>
  <c r="Z252" i="18" s="1"/>
  <c r="Y252" i="18" s="1"/>
  <c r="G252" i="18"/>
  <c r="CA252" i="6" s="1"/>
  <c r="H252" i="18"/>
  <c r="AA250" i="18"/>
  <c r="Z250" i="18" s="1"/>
  <c r="Y250" i="18" s="1"/>
  <c r="G250" i="18"/>
  <c r="CA250" i="6" s="1"/>
  <c r="H250" i="18"/>
  <c r="AA230" i="18"/>
  <c r="Z230" i="18" s="1"/>
  <c r="Y230" i="18" s="1"/>
  <c r="G230" i="18"/>
  <c r="CA230" i="6" s="1"/>
  <c r="H230" i="18"/>
  <c r="AA226" i="18"/>
  <c r="Z226" i="18" s="1"/>
  <c r="Y226" i="18" s="1"/>
  <c r="H226" i="18"/>
  <c r="G226" i="18"/>
  <c r="CA226" i="6" s="1"/>
  <c r="G218" i="18"/>
  <c r="CA218" i="6" s="1"/>
  <c r="AA218" i="18"/>
  <c r="Z218" i="18" s="1"/>
  <c r="Y218" i="18" s="1"/>
  <c r="H218" i="18"/>
  <c r="I204" i="18"/>
  <c r="B204" i="6" s="1"/>
  <c r="BA204" i="6" s="1"/>
  <c r="D204" i="6" s="1"/>
  <c r="J204" i="18"/>
  <c r="C204" i="6" s="1"/>
  <c r="AA202" i="18"/>
  <c r="Z202" i="18" s="1"/>
  <c r="Y202" i="18" s="1"/>
  <c r="H202" i="18"/>
  <c r="G202" i="18"/>
  <c r="CA202" i="6" s="1"/>
  <c r="G200" i="18"/>
  <c r="CA200" i="6" s="1"/>
  <c r="AA200" i="18"/>
  <c r="Z200" i="18" s="1"/>
  <c r="Y200" i="18" s="1"/>
  <c r="H200" i="18"/>
  <c r="G188" i="18"/>
  <c r="CA188" i="6" s="1"/>
  <c r="H188" i="18"/>
  <c r="AA188" i="18"/>
  <c r="Z188" i="18" s="1"/>
  <c r="Y188" i="18" s="1"/>
  <c r="AA166" i="18"/>
  <c r="Z166" i="18" s="1"/>
  <c r="Y166" i="18" s="1"/>
  <c r="G166" i="18"/>
  <c r="CA166" i="6" s="1"/>
  <c r="H166" i="18"/>
  <c r="J158" i="18"/>
  <c r="C158" i="6" s="1"/>
  <c r="I158" i="18"/>
  <c r="B158" i="6" s="1"/>
  <c r="BA158" i="6" s="1"/>
  <c r="D158" i="6" s="1"/>
  <c r="AA146" i="18"/>
  <c r="Z146" i="18" s="1"/>
  <c r="Y146" i="18" s="1"/>
  <c r="H146" i="18"/>
  <c r="G146" i="18"/>
  <c r="CA146" i="6" s="1"/>
  <c r="AA122" i="18"/>
  <c r="Z122" i="18" s="1"/>
  <c r="Y122" i="18" s="1"/>
  <c r="G122" i="18"/>
  <c r="CA122" i="6" s="1"/>
  <c r="H122" i="18"/>
  <c r="G106" i="18"/>
  <c r="CA106" i="6" s="1"/>
  <c r="AA106" i="18"/>
  <c r="Z106" i="18" s="1"/>
  <c r="Y106" i="18" s="1"/>
  <c r="H106" i="18"/>
  <c r="G104" i="18"/>
  <c r="CA104" i="6" s="1"/>
  <c r="H104" i="18"/>
  <c r="AA104" i="18"/>
  <c r="Z104" i="18" s="1"/>
  <c r="Y104" i="18" s="1"/>
  <c r="G98" i="18"/>
  <c r="CA98" i="6" s="1"/>
  <c r="H98" i="18"/>
  <c r="AA98" i="18"/>
  <c r="Z98" i="18" s="1"/>
  <c r="Y98" i="18" s="1"/>
  <c r="AA90" i="18"/>
  <c r="Z90" i="18" s="1"/>
  <c r="Y90" i="18" s="1"/>
  <c r="G90" i="18"/>
  <c r="CA90" i="6" s="1"/>
  <c r="H90" i="18"/>
  <c r="AA88" i="18"/>
  <c r="Z88" i="18" s="1"/>
  <c r="Y88" i="18" s="1"/>
  <c r="G88" i="18"/>
  <c r="CA88" i="6" s="1"/>
  <c r="H82" i="18"/>
  <c r="G82" i="18"/>
  <c r="CA82" i="6" s="1"/>
  <c r="AA82" i="18"/>
  <c r="Z82" i="18" s="1"/>
  <c r="Y82" i="18" s="1"/>
  <c r="H66" i="18"/>
  <c r="AA66" i="18"/>
  <c r="Z66" i="18" s="1"/>
  <c r="Y66" i="18" s="1"/>
  <c r="G66" i="18"/>
  <c r="CA66" i="6" s="1"/>
  <c r="D60" i="18"/>
  <c r="E60" i="18" s="1"/>
  <c r="F60" i="18" s="1"/>
  <c r="W60" i="18"/>
  <c r="AA54" i="18"/>
  <c r="Z54" i="18" s="1"/>
  <c r="Y54" i="18" s="1"/>
  <c r="H54" i="18"/>
  <c r="G54" i="18"/>
  <c r="CA54" i="6" s="1"/>
  <c r="AA50" i="18"/>
  <c r="Z50" i="18" s="1"/>
  <c r="Y50" i="18" s="1"/>
  <c r="G50" i="18"/>
  <c r="CA50" i="6" s="1"/>
  <c r="H50" i="18"/>
  <c r="AA32" i="18"/>
  <c r="Z32" i="18" s="1"/>
  <c r="Y32" i="18" s="1"/>
  <c r="H32" i="18"/>
  <c r="G32" i="18"/>
  <c r="CA32" i="6" s="1"/>
  <c r="G16" i="18"/>
  <c r="CA16" i="6" s="1"/>
  <c r="AA16" i="18"/>
  <c r="Z16" i="18" s="1"/>
  <c r="Y16" i="18" s="1"/>
  <c r="H192" i="18"/>
  <c r="AA192" i="18"/>
  <c r="Z192" i="18" s="1"/>
  <c r="Y192" i="18" s="1"/>
  <c r="G192" i="18"/>
  <c r="CA192" i="6" s="1"/>
  <c r="AL8" i="16"/>
  <c r="G359" i="18"/>
  <c r="CA359" i="6" s="1"/>
  <c r="AA359" i="18"/>
  <c r="Z359" i="18" s="1"/>
  <c r="Y359" i="18" s="1"/>
  <c r="H359" i="18"/>
  <c r="AA345" i="18"/>
  <c r="Z345" i="18" s="1"/>
  <c r="Y345" i="18" s="1"/>
  <c r="G345" i="18"/>
  <c r="CA345" i="6" s="1"/>
  <c r="H345" i="18"/>
  <c r="AA331" i="18"/>
  <c r="Z331" i="18" s="1"/>
  <c r="Y331" i="18" s="1"/>
  <c r="G331" i="18"/>
  <c r="CA331" i="6" s="1"/>
  <c r="H331" i="18"/>
  <c r="J299" i="18"/>
  <c r="C299" i="6" s="1"/>
  <c r="I299" i="18"/>
  <c r="B299" i="6" s="1"/>
  <c r="BA299" i="6" s="1"/>
  <c r="D299" i="6" s="1"/>
  <c r="AA289" i="18"/>
  <c r="Z289" i="18" s="1"/>
  <c r="Y289" i="18" s="1"/>
  <c r="H289" i="18"/>
  <c r="G289" i="18"/>
  <c r="CA289" i="6" s="1"/>
  <c r="AA271" i="18"/>
  <c r="Z271" i="18" s="1"/>
  <c r="Y271" i="18" s="1"/>
  <c r="H271" i="18"/>
  <c r="G271" i="18"/>
  <c r="CA271" i="6" s="1"/>
  <c r="AA261" i="18"/>
  <c r="Z261" i="18" s="1"/>
  <c r="Y261" i="18" s="1"/>
  <c r="G261" i="18"/>
  <c r="CA261" i="6" s="1"/>
  <c r="AA257" i="18"/>
  <c r="Z257" i="18" s="1"/>
  <c r="Y257" i="18" s="1"/>
  <c r="H257" i="18"/>
  <c r="G257" i="18"/>
  <c r="CA257" i="6" s="1"/>
  <c r="J251" i="18"/>
  <c r="C251" i="6" s="1"/>
  <c r="I251" i="18"/>
  <c r="B251" i="6" s="1"/>
  <c r="BA251" i="6" s="1"/>
  <c r="D251" i="6" s="1"/>
  <c r="H239" i="18"/>
  <c r="G239" i="18"/>
  <c r="CA239" i="6" s="1"/>
  <c r="AA239" i="18"/>
  <c r="Z239" i="18" s="1"/>
  <c r="Y239" i="18" s="1"/>
  <c r="J219" i="18"/>
  <c r="C219" i="6" s="1"/>
  <c r="I219" i="18"/>
  <c r="B219" i="6" s="1"/>
  <c r="BA219" i="6" s="1"/>
  <c r="D219" i="6" s="1"/>
  <c r="G171" i="18"/>
  <c r="CA171" i="6" s="1"/>
  <c r="AA171" i="18"/>
  <c r="Z171" i="18" s="1"/>
  <c r="Y171" i="18" s="1"/>
  <c r="H171" i="18"/>
  <c r="G157" i="18"/>
  <c r="CA157" i="6" s="1"/>
  <c r="H157" i="18"/>
  <c r="AA157" i="18"/>
  <c r="Z157" i="18" s="1"/>
  <c r="Y157" i="18" s="1"/>
  <c r="AA147" i="18"/>
  <c r="Z147" i="18" s="1"/>
  <c r="Y147" i="18" s="1"/>
  <c r="H147" i="18"/>
  <c r="G147" i="18"/>
  <c r="CA147" i="6" s="1"/>
  <c r="AA129" i="18"/>
  <c r="Z129" i="18" s="1"/>
  <c r="Y129" i="18" s="1"/>
  <c r="H129" i="18"/>
  <c r="G129" i="18"/>
  <c r="CA129" i="6" s="1"/>
  <c r="G109" i="18"/>
  <c r="CA109" i="6" s="1"/>
  <c r="H109" i="18"/>
  <c r="AA109" i="18"/>
  <c r="Z109" i="18" s="1"/>
  <c r="Y109" i="18" s="1"/>
  <c r="H89" i="18"/>
  <c r="G89" i="18"/>
  <c r="CA89" i="6" s="1"/>
  <c r="AA89" i="18"/>
  <c r="Z89" i="18" s="1"/>
  <c r="Y89" i="18" s="1"/>
  <c r="AA45" i="18"/>
  <c r="Z45" i="18" s="1"/>
  <c r="Y45" i="18" s="1"/>
  <c r="H45" i="18"/>
  <c r="G45" i="18"/>
  <c r="CA45" i="6" s="1"/>
  <c r="G18" i="18"/>
  <c r="CA18" i="6" s="1"/>
  <c r="AA18" i="18"/>
  <c r="Z18" i="18" s="1"/>
  <c r="Y18" i="18" s="1"/>
  <c r="H18" i="18"/>
  <c r="G352" i="18"/>
  <c r="CA352" i="6" s="1"/>
  <c r="AA352" i="18"/>
  <c r="Z352" i="18" s="1"/>
  <c r="Y352" i="18" s="1"/>
  <c r="G314" i="18"/>
  <c r="CA314" i="6" s="1"/>
  <c r="AA314" i="18"/>
  <c r="Z314" i="18" s="1"/>
  <c r="Y314" i="18" s="1"/>
  <c r="H314" i="18"/>
  <c r="G22" i="18"/>
  <c r="CA22" i="6" s="1"/>
  <c r="AA22" i="18"/>
  <c r="Z22" i="18" s="1"/>
  <c r="Y22" i="18" s="1"/>
  <c r="G377" i="18"/>
  <c r="CA377" i="6" s="1"/>
  <c r="AA377" i="18"/>
  <c r="Z377" i="18" s="1"/>
  <c r="Y377" i="18" s="1"/>
  <c r="H377" i="18"/>
  <c r="AA337" i="18"/>
  <c r="Z337" i="18" s="1"/>
  <c r="Y337" i="18" s="1"/>
  <c r="G337" i="18"/>
  <c r="CA337" i="6" s="1"/>
  <c r="H337" i="18"/>
  <c r="AA309" i="18"/>
  <c r="Z309" i="18" s="1"/>
  <c r="Y309" i="18" s="1"/>
  <c r="G309" i="18"/>
  <c r="CA309" i="6" s="1"/>
  <c r="H309" i="18"/>
  <c r="G287" i="18"/>
  <c r="CA287" i="6" s="1"/>
  <c r="H287" i="18"/>
  <c r="AA287" i="18"/>
  <c r="Z287" i="18" s="1"/>
  <c r="Y287" i="18" s="1"/>
  <c r="H255" i="18"/>
  <c r="AA255" i="18"/>
  <c r="Z255" i="18" s="1"/>
  <c r="Y255" i="18" s="1"/>
  <c r="G255" i="18"/>
  <c r="CA255" i="6" s="1"/>
  <c r="G229" i="18"/>
  <c r="CA229" i="6" s="1"/>
  <c r="AA229" i="18"/>
  <c r="Z229" i="18" s="1"/>
  <c r="Y229" i="18" s="1"/>
  <c r="H229" i="18"/>
  <c r="H191" i="18"/>
  <c r="AA191" i="18"/>
  <c r="Z191" i="18" s="1"/>
  <c r="Y191" i="18" s="1"/>
  <c r="G191" i="18"/>
  <c r="CA191" i="6" s="1"/>
  <c r="AA173" i="18"/>
  <c r="Z173" i="18" s="1"/>
  <c r="Y173" i="18" s="1"/>
  <c r="H173" i="18"/>
  <c r="G173" i="18"/>
  <c r="CA173" i="6" s="1"/>
  <c r="W135" i="18"/>
  <c r="D135" i="18"/>
  <c r="E135" i="18" s="1"/>
  <c r="F135" i="18" s="1"/>
  <c r="G103" i="18"/>
  <c r="CA103" i="6" s="1"/>
  <c r="AA103" i="18"/>
  <c r="Z103" i="18" s="1"/>
  <c r="Y103" i="18" s="1"/>
  <c r="H103" i="18"/>
  <c r="G87" i="18"/>
  <c r="CA87" i="6" s="1"/>
  <c r="AA87" i="18"/>
  <c r="Z87" i="18" s="1"/>
  <c r="Y87" i="18" s="1"/>
  <c r="H87" i="18"/>
  <c r="G358" i="18"/>
  <c r="CA358" i="6" s="1"/>
  <c r="H358" i="18"/>
  <c r="AA358" i="18"/>
  <c r="Z358" i="18" s="1"/>
  <c r="Y358" i="18" s="1"/>
  <c r="G350" i="18"/>
  <c r="CA350" i="6" s="1"/>
  <c r="AA350" i="18"/>
  <c r="Z350" i="18" s="1"/>
  <c r="Y350" i="18" s="1"/>
  <c r="H350" i="18"/>
  <c r="G346" i="18"/>
  <c r="CA346" i="6" s="1"/>
  <c r="AA346" i="18"/>
  <c r="Z346" i="18" s="1"/>
  <c r="Y346" i="18" s="1"/>
  <c r="H346" i="18"/>
  <c r="G340" i="18"/>
  <c r="CA340" i="6" s="1"/>
  <c r="AA340" i="18"/>
  <c r="Z340" i="18" s="1"/>
  <c r="Y340" i="18" s="1"/>
  <c r="H340" i="18"/>
  <c r="G336" i="18"/>
  <c r="CA336" i="6" s="1"/>
  <c r="AA336" i="18"/>
  <c r="Z336" i="18" s="1"/>
  <c r="Y336" i="18" s="1"/>
  <c r="H336" i="18"/>
  <c r="G322" i="18"/>
  <c r="CA322" i="6" s="1"/>
  <c r="H322" i="18"/>
  <c r="AA322" i="18"/>
  <c r="Z322" i="18" s="1"/>
  <c r="Y322" i="18" s="1"/>
  <c r="AA308" i="18"/>
  <c r="Z308" i="18" s="1"/>
  <c r="Y308" i="18" s="1"/>
  <c r="H308" i="18"/>
  <c r="G308" i="18"/>
  <c r="CA308" i="6" s="1"/>
  <c r="AA276" i="18"/>
  <c r="Z276" i="18" s="1"/>
  <c r="Y276" i="18" s="1"/>
  <c r="G276" i="18"/>
  <c r="CA276" i="6" s="1"/>
  <c r="H276" i="18"/>
  <c r="AA262" i="18"/>
  <c r="Z262" i="18" s="1"/>
  <c r="Y262" i="18" s="1"/>
  <c r="H262" i="18"/>
  <c r="G262" i="18"/>
  <c r="CA262" i="6" s="1"/>
  <c r="G254" i="18"/>
  <c r="CA254" i="6" s="1"/>
  <c r="AA254" i="18"/>
  <c r="Z254" i="18" s="1"/>
  <c r="Y254" i="18" s="1"/>
  <c r="H254" i="18"/>
  <c r="G228" i="18"/>
  <c r="CA228" i="6" s="1"/>
  <c r="H228" i="18"/>
  <c r="AA228" i="18"/>
  <c r="Z228" i="18" s="1"/>
  <c r="Y228" i="18" s="1"/>
  <c r="W196" i="18"/>
  <c r="D196" i="18"/>
  <c r="E196" i="18" s="1"/>
  <c r="F196" i="18" s="1"/>
  <c r="G182" i="18"/>
  <c r="CA182" i="6" s="1"/>
  <c r="H182" i="18"/>
  <c r="AA182" i="18"/>
  <c r="Z182" i="18" s="1"/>
  <c r="Y182" i="18" s="1"/>
  <c r="G172" i="18"/>
  <c r="CA172" i="6" s="1"/>
  <c r="AA172" i="18"/>
  <c r="Z172" i="18" s="1"/>
  <c r="Y172" i="18" s="1"/>
  <c r="H172" i="18"/>
  <c r="AA116" i="18"/>
  <c r="Z116" i="18" s="1"/>
  <c r="Y116" i="18" s="1"/>
  <c r="H116" i="18"/>
  <c r="G116" i="18"/>
  <c r="CA116" i="6" s="1"/>
  <c r="AA52" i="18"/>
  <c r="Z52" i="18" s="1"/>
  <c r="Y52" i="18" s="1"/>
  <c r="G52" i="18"/>
  <c r="CA52" i="6" s="1"/>
  <c r="H52" i="18"/>
  <c r="D46" i="18"/>
  <c r="E46" i="18" s="1"/>
  <c r="F46" i="18" s="1"/>
  <c r="W46" i="18"/>
  <c r="G38" i="18"/>
  <c r="CA38" i="6" s="1"/>
  <c r="AA38" i="18"/>
  <c r="Z38" i="18" s="1"/>
  <c r="Y38" i="18" s="1"/>
  <c r="H38" i="18"/>
  <c r="AA375" i="18"/>
  <c r="Z375" i="18" s="1"/>
  <c r="Y375" i="18" s="1"/>
  <c r="G375" i="18"/>
  <c r="CA375" i="6" s="1"/>
  <c r="H375" i="18"/>
  <c r="W363" i="18"/>
  <c r="D363" i="18"/>
  <c r="E363" i="18" s="1"/>
  <c r="F363" i="18" s="1"/>
  <c r="D333" i="18"/>
  <c r="E333" i="18" s="1"/>
  <c r="F333" i="18" s="1"/>
  <c r="W333" i="18"/>
  <c r="G303" i="18"/>
  <c r="CA303" i="6" s="1"/>
  <c r="AA303" i="18"/>
  <c r="Z303" i="18" s="1"/>
  <c r="Y303" i="18" s="1"/>
  <c r="H303" i="18"/>
  <c r="G273" i="18"/>
  <c r="CA273" i="6" s="1"/>
  <c r="AA273" i="18"/>
  <c r="Z273" i="18" s="1"/>
  <c r="Y273" i="18" s="1"/>
  <c r="H273" i="18"/>
  <c r="G233" i="18"/>
  <c r="CA233" i="6" s="1"/>
  <c r="AA233" i="18"/>
  <c r="Z233" i="18" s="1"/>
  <c r="Y233" i="18" s="1"/>
  <c r="H233" i="18"/>
  <c r="AA187" i="18"/>
  <c r="Z187" i="18" s="1"/>
  <c r="Y187" i="18" s="1"/>
  <c r="G187" i="18"/>
  <c r="CA187" i="6" s="1"/>
  <c r="H187" i="18"/>
  <c r="AA167" i="18"/>
  <c r="Z167" i="18" s="1"/>
  <c r="Y167" i="18" s="1"/>
  <c r="H167" i="18"/>
  <c r="G167" i="18"/>
  <c r="CA167" i="6" s="1"/>
  <c r="AA143" i="18"/>
  <c r="Z143" i="18" s="1"/>
  <c r="Y143" i="18" s="1"/>
  <c r="H143" i="18"/>
  <c r="G143" i="18"/>
  <c r="CA143" i="6" s="1"/>
  <c r="G133" i="18"/>
  <c r="CA133" i="6" s="1"/>
  <c r="H133" i="18"/>
  <c r="AA133" i="18"/>
  <c r="Z133" i="18" s="1"/>
  <c r="Y133" i="18" s="1"/>
  <c r="AA115" i="18"/>
  <c r="Z115" i="18" s="1"/>
  <c r="Y115" i="18" s="1"/>
  <c r="H115" i="18"/>
  <c r="G115" i="18"/>
  <c r="CA115" i="6" s="1"/>
  <c r="AA75" i="18"/>
  <c r="Z75" i="18" s="1"/>
  <c r="Y75" i="18" s="1"/>
  <c r="G75" i="18"/>
  <c r="CA75" i="6" s="1"/>
  <c r="H75" i="18"/>
  <c r="G274" i="18"/>
  <c r="CA274" i="6" s="1"/>
  <c r="AA274" i="18"/>
  <c r="Z274" i="18" s="1"/>
  <c r="Y274" i="18" s="1"/>
  <c r="H274" i="18"/>
  <c r="G266" i="18"/>
  <c r="CA266" i="6" s="1"/>
  <c r="H266" i="18"/>
  <c r="AA266" i="18"/>
  <c r="Z266" i="18" s="1"/>
  <c r="Y266" i="18" s="1"/>
  <c r="AA260" i="18"/>
  <c r="Z260" i="18" s="1"/>
  <c r="Y260" i="18" s="1"/>
  <c r="G260" i="18"/>
  <c r="CA260" i="6" s="1"/>
  <c r="H260" i="18"/>
  <c r="AA244" i="18"/>
  <c r="Z244" i="18" s="1"/>
  <c r="Y244" i="18" s="1"/>
  <c r="H244" i="18"/>
  <c r="G244" i="18"/>
  <c r="CA244" i="6" s="1"/>
  <c r="AA174" i="18"/>
  <c r="Z174" i="18" s="1"/>
  <c r="Y174" i="18" s="1"/>
  <c r="G174" i="18"/>
  <c r="CA174" i="6" s="1"/>
  <c r="G168" i="18"/>
  <c r="CA168" i="6" s="1"/>
  <c r="AA168" i="18"/>
  <c r="Z168" i="18" s="1"/>
  <c r="Y168" i="18" s="1"/>
  <c r="H168" i="18"/>
  <c r="AA142" i="18"/>
  <c r="Z142" i="18" s="1"/>
  <c r="Y142" i="18" s="1"/>
  <c r="H142" i="18"/>
  <c r="G142" i="18"/>
  <c r="CA142" i="6" s="1"/>
  <c r="G96" i="18"/>
  <c r="CA96" i="6" s="1"/>
  <c r="AA96" i="18"/>
  <c r="Z96" i="18" s="1"/>
  <c r="Y96" i="18" s="1"/>
  <c r="H96" i="18"/>
  <c r="AA315" i="18"/>
  <c r="Z315" i="18" s="1"/>
  <c r="Y315" i="18" s="1"/>
  <c r="G315" i="18"/>
  <c r="CA315" i="6" s="1"/>
  <c r="H315" i="18"/>
  <c r="G293" i="18"/>
  <c r="CA293" i="6" s="1"/>
  <c r="AA293" i="18"/>
  <c r="Z293" i="18" s="1"/>
  <c r="Y293" i="18" s="1"/>
  <c r="H293" i="18"/>
  <c r="AA247" i="18"/>
  <c r="Z247" i="18" s="1"/>
  <c r="Y247" i="18" s="1"/>
  <c r="G247" i="18"/>
  <c r="CA247" i="6" s="1"/>
  <c r="H237" i="18"/>
  <c r="G237" i="18"/>
  <c r="CA237" i="6" s="1"/>
  <c r="AA237" i="18"/>
  <c r="Z237" i="18" s="1"/>
  <c r="Y237" i="18" s="1"/>
  <c r="AA195" i="18"/>
  <c r="Z195" i="18" s="1"/>
  <c r="Y195" i="18" s="1"/>
  <c r="H195" i="18"/>
  <c r="G195" i="18"/>
  <c r="CA195" i="6" s="1"/>
  <c r="H181" i="18"/>
  <c r="AA181" i="18"/>
  <c r="Z181" i="18" s="1"/>
  <c r="Y181" i="18" s="1"/>
  <c r="G181" i="18"/>
  <c r="CA181" i="6" s="1"/>
  <c r="G97" i="18"/>
  <c r="CA97" i="6" s="1"/>
  <c r="AA97" i="18"/>
  <c r="Z97" i="18" s="1"/>
  <c r="Y97" i="18" s="1"/>
  <c r="H97" i="18"/>
  <c r="J272" i="17" l="1"/>
  <c r="I272" i="17"/>
  <c r="D291" i="20"/>
  <c r="E291" i="20" s="1"/>
  <c r="F291" i="20" s="1"/>
  <c r="J108" i="18"/>
  <c r="C108" i="6" s="1"/>
  <c r="I108" i="18"/>
  <c r="B108" i="6" s="1"/>
  <c r="BA108" i="6" s="1"/>
  <c r="D108" i="6" s="1"/>
  <c r="I213" i="18"/>
  <c r="B213" i="6" s="1"/>
  <c r="BA213" i="6" s="1"/>
  <c r="D213" i="6" s="1"/>
  <c r="J213" i="18"/>
  <c r="C213" i="6" s="1"/>
  <c r="I197" i="18"/>
  <c r="B197" i="6" s="1"/>
  <c r="BA197" i="6" s="1"/>
  <c r="D197" i="6" s="1"/>
  <c r="J197" i="18"/>
  <c r="C197" i="6" s="1"/>
  <c r="I111" i="18"/>
  <c r="B111" i="6" s="1"/>
  <c r="BA111" i="6" s="1"/>
  <c r="D111" i="6" s="1"/>
  <c r="J111" i="18"/>
  <c r="C111" i="6" s="1"/>
  <c r="V61" i="18"/>
  <c r="C65" i="19" s="1"/>
  <c r="V189" i="18"/>
  <c r="G65" i="19" s="1"/>
  <c r="I220" i="18"/>
  <c r="B220" i="6" s="1"/>
  <c r="BA220" i="6" s="1"/>
  <c r="D220" i="6" s="1"/>
  <c r="J220" i="18"/>
  <c r="C220" i="6" s="1"/>
  <c r="J177" i="18"/>
  <c r="C177" i="6" s="1"/>
  <c r="I177" i="18"/>
  <c r="B177" i="6" s="1"/>
  <c r="BA177" i="6" s="1"/>
  <c r="D177" i="6" s="1"/>
  <c r="I206" i="18"/>
  <c r="B206" i="6" s="1"/>
  <c r="BA206" i="6" s="1"/>
  <c r="D206" i="6" s="1"/>
  <c r="J206" i="18"/>
  <c r="C206" i="6" s="1"/>
  <c r="J92" i="18"/>
  <c r="C92" i="6" s="1"/>
  <c r="I92" i="18"/>
  <c r="B92" i="6" s="1"/>
  <c r="BA92" i="6" s="1"/>
  <c r="D92" i="6" s="1"/>
  <c r="J330" i="18"/>
  <c r="C330" i="6" s="1"/>
  <c r="I330" i="18"/>
  <c r="B330" i="6" s="1"/>
  <c r="BA330" i="6" s="1"/>
  <c r="D330" i="6" s="1"/>
  <c r="J42" i="18"/>
  <c r="C42" i="6" s="1"/>
  <c r="I42" i="18"/>
  <c r="B42" i="6" s="1"/>
  <c r="BA42" i="6" s="1"/>
  <c r="D42" i="6" s="1"/>
  <c r="V125" i="18"/>
  <c r="E65" i="19" s="1"/>
  <c r="J43" i="18"/>
  <c r="C43" i="6" s="1"/>
  <c r="I43" i="18"/>
  <c r="B43" i="6" s="1"/>
  <c r="BA43" i="6" s="1"/>
  <c r="D43" i="6" s="1"/>
  <c r="G301" i="18"/>
  <c r="CA301" i="6" s="1"/>
  <c r="H301" i="18"/>
  <c r="I363" i="17"/>
  <c r="J363" i="17"/>
  <c r="H77" i="18"/>
  <c r="G77" i="18"/>
  <c r="CA77" i="6" s="1"/>
  <c r="I334" i="17"/>
  <c r="H334" i="18" s="1"/>
  <c r="J334" i="17"/>
  <c r="J365" i="17"/>
  <c r="I365" i="17"/>
  <c r="H365" i="18" s="1"/>
  <c r="J365" i="18" s="1"/>
  <c r="C365" i="6" s="1"/>
  <c r="J261" i="17"/>
  <c r="I261" i="17"/>
  <c r="H261" i="18" s="1"/>
  <c r="I261" i="18" s="1"/>
  <c r="B261" i="6" s="1"/>
  <c r="BA261" i="6" s="1"/>
  <c r="D261" i="6" s="1"/>
  <c r="J210" i="17"/>
  <c r="I210" i="17"/>
  <c r="H210" i="18" s="1"/>
  <c r="J210" i="18" s="1"/>
  <c r="C210" i="6" s="1"/>
  <c r="I152" i="17"/>
  <c r="H152" i="18" s="1"/>
  <c r="J152" i="17"/>
  <c r="J152" i="18" s="1"/>
  <c r="C152" i="6" s="1"/>
  <c r="AA88" i="17"/>
  <c r="Z88" i="17" s="1"/>
  <c r="Y88" i="17" s="1"/>
  <c r="G88" i="17"/>
  <c r="BZ88" i="6" s="1"/>
  <c r="H88" i="17"/>
  <c r="R382" i="17"/>
  <c r="P15" i="17"/>
  <c r="R383" i="17"/>
  <c r="R381" i="17"/>
  <c r="AA77" i="18"/>
  <c r="Z77" i="18" s="1"/>
  <c r="Y77" i="18" s="1"/>
  <c r="J16" i="17"/>
  <c r="I16" i="17"/>
  <c r="H16" i="18" s="1"/>
  <c r="I16" i="18" s="1"/>
  <c r="B16" i="6" s="1"/>
  <c r="BA16" i="6" s="1"/>
  <c r="D16" i="6" s="1"/>
  <c r="J126" i="17"/>
  <c r="I126" i="17"/>
  <c r="H126" i="18" s="1"/>
  <c r="I126" i="18" s="1"/>
  <c r="B126" i="6" s="1"/>
  <c r="BA126" i="6" s="1"/>
  <c r="D126" i="6" s="1"/>
  <c r="J22" i="17"/>
  <c r="I22" i="17"/>
  <c r="H22" i="18" s="1"/>
  <c r="I22" i="18" s="1"/>
  <c r="B22" i="6" s="1"/>
  <c r="BA22" i="6" s="1"/>
  <c r="D22" i="6" s="1"/>
  <c r="B189" i="20"/>
  <c r="D189" i="20" s="1"/>
  <c r="E189" i="20" s="1"/>
  <c r="F189" i="20" s="1"/>
  <c r="G333" i="17"/>
  <c r="BZ333" i="6" s="1"/>
  <c r="H333" i="17"/>
  <c r="AA333" i="17"/>
  <c r="Z333" i="17" s="1"/>
  <c r="Y333" i="17" s="1"/>
  <c r="G149" i="17"/>
  <c r="BZ149" i="6" s="1"/>
  <c r="H149" i="17"/>
  <c r="AA149" i="17"/>
  <c r="I29" i="17"/>
  <c r="J29" i="17"/>
  <c r="G349" i="18"/>
  <c r="CA349" i="6" s="1"/>
  <c r="H349" i="18"/>
  <c r="AA349" i="18"/>
  <c r="Z349" i="18" s="1"/>
  <c r="Y349" i="18" s="1"/>
  <c r="H205" i="17"/>
  <c r="AA205" i="17"/>
  <c r="Z205" i="17" s="1"/>
  <c r="Y205" i="17" s="1"/>
  <c r="G205" i="17"/>
  <c r="BZ205" i="6" s="1"/>
  <c r="H119" i="17"/>
  <c r="AA119" i="17"/>
  <c r="Z119" i="17" s="1"/>
  <c r="Y119" i="17" s="1"/>
  <c r="G119" i="17"/>
  <c r="BZ119" i="6" s="1"/>
  <c r="I174" i="17"/>
  <c r="H174" i="18" s="1"/>
  <c r="I174" i="18" s="1"/>
  <c r="B174" i="6" s="1"/>
  <c r="BA174" i="6" s="1"/>
  <c r="D174" i="6" s="1"/>
  <c r="J174" i="17"/>
  <c r="I245" i="17"/>
  <c r="H245" i="18" s="1"/>
  <c r="J245" i="17"/>
  <c r="G285" i="18"/>
  <c r="CA285" i="6" s="1"/>
  <c r="H285" i="18"/>
  <c r="AF381" i="17"/>
  <c r="AD15" i="17"/>
  <c r="AF382" i="17"/>
  <c r="AF383" i="17"/>
  <c r="J291" i="17"/>
  <c r="I291" i="17"/>
  <c r="H291" i="18" s="1"/>
  <c r="J227" i="17"/>
  <c r="I227" i="17"/>
  <c r="I176" i="17"/>
  <c r="H176" i="18" s="1"/>
  <c r="I176" i="18" s="1"/>
  <c r="B176" i="6" s="1"/>
  <c r="BA176" i="6" s="1"/>
  <c r="D176" i="6" s="1"/>
  <c r="J176" i="17"/>
  <c r="J56" i="17"/>
  <c r="I56" i="17"/>
  <c r="H56" i="18" s="1"/>
  <c r="AA301" i="18"/>
  <c r="Z301" i="18" s="1"/>
  <c r="Y301" i="18" s="1"/>
  <c r="J267" i="17"/>
  <c r="I267" i="17"/>
  <c r="H267" i="18" s="1"/>
  <c r="J267" i="18" s="1"/>
  <c r="C267" i="6" s="1"/>
  <c r="I183" i="17"/>
  <c r="H183" i="18" s="1"/>
  <c r="J183" i="17"/>
  <c r="I155" i="17"/>
  <c r="H155" i="18" s="1"/>
  <c r="J155" i="17"/>
  <c r="F11" i="16"/>
  <c r="AB9" i="16"/>
  <c r="G13" i="19"/>
  <c r="J37" i="19" s="1"/>
  <c r="H380" i="20"/>
  <c r="B380" i="6"/>
  <c r="BA380" i="6" s="1"/>
  <c r="D380" i="6" s="1"/>
  <c r="I15" i="16"/>
  <c r="J15" i="16"/>
  <c r="BY15" i="6"/>
  <c r="G382" i="16"/>
  <c r="G383" i="16"/>
  <c r="G12" i="16" s="1"/>
  <c r="G381" i="16"/>
  <c r="AL9" i="16"/>
  <c r="AA382" i="16"/>
  <c r="AM8" i="16"/>
  <c r="AA9" i="16"/>
  <c r="AA381" i="16"/>
  <c r="Z15" i="16"/>
  <c r="AA383" i="16"/>
  <c r="W106" i="20"/>
  <c r="D19" i="20"/>
  <c r="E19" i="20" s="1"/>
  <c r="F19" i="20" s="1"/>
  <c r="G19" i="20" s="1"/>
  <c r="CB19" i="6" s="1"/>
  <c r="AI12" i="22"/>
  <c r="D100" i="20"/>
  <c r="E100" i="20" s="1"/>
  <c r="F100" i="20" s="1"/>
  <c r="G100" i="20" s="1"/>
  <c r="CB100" i="6" s="1"/>
  <c r="D308" i="20"/>
  <c r="E308" i="20" s="1"/>
  <c r="F308" i="20" s="1"/>
  <c r="G308" i="20" s="1"/>
  <c r="CB308" i="6" s="1"/>
  <c r="W316" i="20"/>
  <c r="D352" i="20"/>
  <c r="E352" i="20" s="1"/>
  <c r="F352" i="20" s="1"/>
  <c r="G352" i="20" s="1"/>
  <c r="CB352" i="6" s="1"/>
  <c r="D360" i="20"/>
  <c r="E360" i="20" s="1"/>
  <c r="F360" i="20" s="1"/>
  <c r="G360" i="20" s="1"/>
  <c r="CB360" i="6" s="1"/>
  <c r="D376" i="20"/>
  <c r="E376" i="20" s="1"/>
  <c r="F376" i="20" s="1"/>
  <c r="G376" i="20" s="1"/>
  <c r="CB376" i="6" s="1"/>
  <c r="AD243" i="20"/>
  <c r="AD259" i="20"/>
  <c r="AD275" i="20"/>
  <c r="AD291" i="20"/>
  <c r="AD307" i="20"/>
  <c r="AD323" i="20"/>
  <c r="AD371" i="20"/>
  <c r="AD361" i="20"/>
  <c r="AD329" i="20"/>
  <c r="AD153" i="20"/>
  <c r="U383" i="20"/>
  <c r="I85" i="18"/>
  <c r="B85" i="6" s="1"/>
  <c r="BA85" i="6" s="1"/>
  <c r="D85" i="6" s="1"/>
  <c r="D249" i="20"/>
  <c r="E249" i="20" s="1"/>
  <c r="F249" i="20" s="1"/>
  <c r="AA249" i="20" s="1"/>
  <c r="Z249" i="20" s="1"/>
  <c r="Y249" i="20" s="1"/>
  <c r="W49" i="20"/>
  <c r="W57" i="20"/>
  <c r="D117" i="20"/>
  <c r="E117" i="20" s="1"/>
  <c r="F117" i="20" s="1"/>
  <c r="G117" i="20" s="1"/>
  <c r="CB117" i="6" s="1"/>
  <c r="W181" i="20"/>
  <c r="W221" i="20"/>
  <c r="D36" i="20"/>
  <c r="E36" i="20" s="1"/>
  <c r="F36" i="20" s="1"/>
  <c r="G36" i="20" s="1"/>
  <c r="CB36" i="6" s="1"/>
  <c r="H101" i="18"/>
  <c r="I101" i="18" s="1"/>
  <c r="B101" i="6" s="1"/>
  <c r="BA101" i="6" s="1"/>
  <c r="D101" i="6" s="1"/>
  <c r="G101" i="18"/>
  <c r="CA101" i="6" s="1"/>
  <c r="W169" i="20"/>
  <c r="V60" i="20"/>
  <c r="B60" i="20" s="1"/>
  <c r="D60" i="20" s="1"/>
  <c r="E60" i="20" s="1"/>
  <c r="F60" i="20" s="1"/>
  <c r="D220" i="20"/>
  <c r="E220" i="20" s="1"/>
  <c r="F220" i="20" s="1"/>
  <c r="W269" i="20"/>
  <c r="AH22" i="7"/>
  <c r="W182" i="20"/>
  <c r="D214" i="20"/>
  <c r="E214" i="20" s="1"/>
  <c r="F214" i="20" s="1"/>
  <c r="G214" i="20" s="1"/>
  <c r="CB214" i="6" s="1"/>
  <c r="D254" i="20"/>
  <c r="E254" i="20" s="1"/>
  <c r="F254" i="20" s="1"/>
  <c r="G254" i="20" s="1"/>
  <c r="CB254" i="6" s="1"/>
  <c r="W262" i="20"/>
  <c r="W127" i="20"/>
  <c r="W143" i="20"/>
  <c r="W157" i="20"/>
  <c r="W165" i="20"/>
  <c r="W175" i="20"/>
  <c r="D191" i="20"/>
  <c r="E191" i="20" s="1"/>
  <c r="F191" i="20" s="1"/>
  <c r="G191" i="20" s="1"/>
  <c r="CB191" i="6" s="1"/>
  <c r="W213" i="20"/>
  <c r="D225" i="20"/>
  <c r="E225" i="20" s="1"/>
  <c r="F225" i="20" s="1"/>
  <c r="G225" i="20" s="1"/>
  <c r="CB225" i="6" s="1"/>
  <c r="W273" i="20"/>
  <c r="D289" i="20"/>
  <c r="E289" i="20" s="1"/>
  <c r="F289" i="20" s="1"/>
  <c r="G289" i="20" s="1"/>
  <c r="CB289" i="6" s="1"/>
  <c r="D24" i="20"/>
  <c r="E24" i="20" s="1"/>
  <c r="F24" i="20" s="1"/>
  <c r="G24" i="20" s="1"/>
  <c r="CB24" i="6" s="1"/>
  <c r="D68" i="20"/>
  <c r="E68" i="20" s="1"/>
  <c r="F68" i="20" s="1"/>
  <c r="AA68" i="20" s="1"/>
  <c r="Z68" i="20" s="1"/>
  <c r="Y68" i="20" s="1"/>
  <c r="D270" i="20"/>
  <c r="E270" i="20" s="1"/>
  <c r="F270" i="20" s="1"/>
  <c r="G270" i="20" s="1"/>
  <c r="CB270" i="6" s="1"/>
  <c r="W344" i="20"/>
  <c r="W348" i="20"/>
  <c r="D161" i="20"/>
  <c r="E161" i="20" s="1"/>
  <c r="F161" i="20" s="1"/>
  <c r="G161" i="20" s="1"/>
  <c r="CB161" i="6" s="1"/>
  <c r="W177" i="20"/>
  <c r="W239" i="20"/>
  <c r="D247" i="20"/>
  <c r="E247" i="20" s="1"/>
  <c r="F247" i="20" s="1"/>
  <c r="G247" i="20" s="1"/>
  <c r="CB247" i="6" s="1"/>
  <c r="D271" i="20"/>
  <c r="E271" i="20" s="1"/>
  <c r="F271" i="20" s="1"/>
  <c r="G271" i="20" s="1"/>
  <c r="CB271" i="6" s="1"/>
  <c r="W138" i="20"/>
  <c r="D145" i="20"/>
  <c r="E145" i="20" s="1"/>
  <c r="F145" i="20" s="1"/>
  <c r="G145" i="20" s="1"/>
  <c r="CB145" i="6" s="1"/>
  <c r="W234" i="20"/>
  <c r="D322" i="20"/>
  <c r="E322" i="20" s="1"/>
  <c r="F322" i="20" s="1"/>
  <c r="G322" i="20" s="1"/>
  <c r="CB322" i="6" s="1"/>
  <c r="D137" i="20"/>
  <c r="E137" i="20" s="1"/>
  <c r="F137" i="20" s="1"/>
  <c r="G137" i="20" s="1"/>
  <c r="CB137" i="6" s="1"/>
  <c r="W151" i="20"/>
  <c r="D223" i="20"/>
  <c r="E223" i="20" s="1"/>
  <c r="F223" i="20" s="1"/>
  <c r="G223" i="20" s="1"/>
  <c r="CB223" i="6" s="1"/>
  <c r="D231" i="20"/>
  <c r="E231" i="20" s="1"/>
  <c r="F231" i="20" s="1"/>
  <c r="G231" i="20" s="1"/>
  <c r="CB231" i="6" s="1"/>
  <c r="W255" i="20"/>
  <c r="W267" i="20"/>
  <c r="D295" i="20"/>
  <c r="E295" i="20" s="1"/>
  <c r="F295" i="20" s="1"/>
  <c r="G295" i="20" s="1"/>
  <c r="CB295" i="6" s="1"/>
  <c r="D72" i="20"/>
  <c r="E72" i="20" s="1"/>
  <c r="F72" i="20" s="1"/>
  <c r="AA72" i="20" s="1"/>
  <c r="Z72" i="20" s="1"/>
  <c r="Y72" i="20" s="1"/>
  <c r="D226" i="20"/>
  <c r="E226" i="20" s="1"/>
  <c r="F226" i="20" s="1"/>
  <c r="G226" i="20" s="1"/>
  <c r="CB226" i="6" s="1"/>
  <c r="W334" i="20"/>
  <c r="D350" i="20"/>
  <c r="E350" i="20" s="1"/>
  <c r="F350" i="20" s="1"/>
  <c r="G350" i="20" s="1"/>
  <c r="CB350" i="6" s="1"/>
  <c r="W370" i="20"/>
  <c r="D374" i="20"/>
  <c r="E374" i="20" s="1"/>
  <c r="F374" i="20" s="1"/>
  <c r="G374" i="20" s="1"/>
  <c r="CB374" i="6" s="1"/>
  <c r="I117" i="18"/>
  <c r="B117" i="6" s="1"/>
  <c r="BA117" i="6" s="1"/>
  <c r="D117" i="6" s="1"/>
  <c r="I36" i="19"/>
  <c r="H36" i="19"/>
  <c r="AD185" i="20"/>
  <c r="U381" i="20"/>
  <c r="AD363" i="20"/>
  <c r="AD217" i="20"/>
  <c r="AD121" i="20"/>
  <c r="D89" i="20"/>
  <c r="E89" i="20" s="1"/>
  <c r="F89" i="20" s="1"/>
  <c r="G89" i="20" s="1"/>
  <c r="CB89" i="6" s="1"/>
  <c r="D21" i="20"/>
  <c r="E21" i="20" s="1"/>
  <c r="F21" i="20" s="1"/>
  <c r="G21" i="20" s="1"/>
  <c r="CB21" i="6" s="1"/>
  <c r="D41" i="20"/>
  <c r="E41" i="20" s="1"/>
  <c r="F41" i="20" s="1"/>
  <c r="AA41" i="20" s="1"/>
  <c r="Z41" i="20" s="1"/>
  <c r="Y41" i="20" s="1"/>
  <c r="D45" i="20"/>
  <c r="E45" i="20" s="1"/>
  <c r="F45" i="20" s="1"/>
  <c r="G45" i="20" s="1"/>
  <c r="CB45" i="6" s="1"/>
  <c r="D77" i="20"/>
  <c r="E77" i="20" s="1"/>
  <c r="F77" i="20" s="1"/>
  <c r="AA77" i="20" s="1"/>
  <c r="Z77" i="20" s="1"/>
  <c r="Y77" i="20" s="1"/>
  <c r="D81" i="20"/>
  <c r="E81" i="20" s="1"/>
  <c r="F81" i="20" s="1"/>
  <c r="G81" i="20" s="1"/>
  <c r="CB81" i="6" s="1"/>
  <c r="W85" i="20"/>
  <c r="W93" i="20"/>
  <c r="G149" i="18"/>
  <c r="CA149" i="6" s="1"/>
  <c r="W38" i="20"/>
  <c r="W62" i="20"/>
  <c r="D110" i="20"/>
  <c r="E110" i="20" s="1"/>
  <c r="F110" i="20" s="1"/>
  <c r="G110" i="20" s="1"/>
  <c r="CB110" i="6" s="1"/>
  <c r="AA149" i="18"/>
  <c r="Z149" i="18" s="1"/>
  <c r="Y149" i="18" s="1"/>
  <c r="W30" i="20"/>
  <c r="D86" i="20"/>
  <c r="E86" i="20" s="1"/>
  <c r="F86" i="20" s="1"/>
  <c r="G86" i="20" s="1"/>
  <c r="CB86" i="6" s="1"/>
  <c r="D94" i="20"/>
  <c r="E94" i="20" s="1"/>
  <c r="F94" i="20" s="1"/>
  <c r="G94" i="20" s="1"/>
  <c r="CB94" i="6" s="1"/>
  <c r="D114" i="20"/>
  <c r="E114" i="20" s="1"/>
  <c r="F114" i="20" s="1"/>
  <c r="G114" i="20" s="1"/>
  <c r="CB114" i="6" s="1"/>
  <c r="W18" i="20"/>
  <c r="W27" i="20"/>
  <c r="W31" i="20"/>
  <c r="W47" i="20"/>
  <c r="W59" i="20"/>
  <c r="W71" i="20"/>
  <c r="D75" i="20"/>
  <c r="E75" i="20" s="1"/>
  <c r="F75" i="20" s="1"/>
  <c r="AA75" i="20" s="1"/>
  <c r="Z75" i="20" s="1"/>
  <c r="Y75" i="20" s="1"/>
  <c r="D87" i="20"/>
  <c r="E87" i="20" s="1"/>
  <c r="F87" i="20" s="1"/>
  <c r="G87" i="20" s="1"/>
  <c r="CB87" i="6" s="1"/>
  <c r="W91" i="20"/>
  <c r="W95" i="20"/>
  <c r="W20" i="20"/>
  <c r="D112" i="20"/>
  <c r="E112" i="20" s="1"/>
  <c r="F112" i="20" s="1"/>
  <c r="G112" i="20" s="1"/>
  <c r="CB112" i="6" s="1"/>
  <c r="D120" i="20"/>
  <c r="E120" i="20" s="1"/>
  <c r="F120" i="20" s="1"/>
  <c r="G120" i="20" s="1"/>
  <c r="CB120" i="6" s="1"/>
  <c r="W124" i="20"/>
  <c r="D128" i="20"/>
  <c r="E128" i="20" s="1"/>
  <c r="F128" i="20" s="1"/>
  <c r="G128" i="20" s="1"/>
  <c r="CB128" i="6" s="1"/>
  <c r="D140" i="20"/>
  <c r="E140" i="20" s="1"/>
  <c r="F140" i="20" s="1"/>
  <c r="H140" i="20" s="1"/>
  <c r="D156" i="20"/>
  <c r="E156" i="20" s="1"/>
  <c r="F156" i="20" s="1"/>
  <c r="G156" i="20" s="1"/>
  <c r="CB156" i="6" s="1"/>
  <c r="W160" i="20"/>
  <c r="D172" i="20"/>
  <c r="E172" i="20" s="1"/>
  <c r="F172" i="20" s="1"/>
  <c r="G172" i="20" s="1"/>
  <c r="CB172" i="6" s="1"/>
  <c r="V180" i="20"/>
  <c r="B180" i="20" s="1"/>
  <c r="W180" i="20" s="1"/>
  <c r="D208" i="20"/>
  <c r="E208" i="20" s="1"/>
  <c r="F208" i="20" s="1"/>
  <c r="G208" i="20" s="1"/>
  <c r="CB208" i="6" s="1"/>
  <c r="J65" i="18"/>
  <c r="C65" i="6" s="1"/>
  <c r="P90" i="20"/>
  <c r="V90" i="20" s="1"/>
  <c r="B90" i="20" s="1"/>
  <c r="D90" i="20" s="1"/>
  <c r="E90" i="20" s="1"/>
  <c r="F90" i="20" s="1"/>
  <c r="AI111" i="20"/>
  <c r="AH111" i="20" s="1"/>
  <c r="AG111" i="20" s="1"/>
  <c r="AF111" i="20" s="1"/>
  <c r="AD111" i="20" s="1"/>
  <c r="AI119" i="20"/>
  <c r="AH119" i="20" s="1"/>
  <c r="AG119" i="20" s="1"/>
  <c r="AF119" i="20" s="1"/>
  <c r="AD119" i="20" s="1"/>
  <c r="AI127" i="20"/>
  <c r="AH127" i="20" s="1"/>
  <c r="AG127" i="20" s="1"/>
  <c r="AF127" i="20" s="1"/>
  <c r="AD127" i="20" s="1"/>
  <c r="AA127" i="20" s="1"/>
  <c r="Z127" i="20" s="1"/>
  <c r="Y127" i="20" s="1"/>
  <c r="AI135" i="20"/>
  <c r="AH135" i="20" s="1"/>
  <c r="AG135" i="20" s="1"/>
  <c r="AF135" i="20" s="1"/>
  <c r="AD135" i="20" s="1"/>
  <c r="AI143" i="20"/>
  <c r="AH143" i="20" s="1"/>
  <c r="AG143" i="20" s="1"/>
  <c r="AF143" i="20" s="1"/>
  <c r="AD143" i="20" s="1"/>
  <c r="AA143" i="20" s="1"/>
  <c r="Z143" i="20" s="1"/>
  <c r="Y143" i="20" s="1"/>
  <c r="AI151" i="20"/>
  <c r="AH151" i="20" s="1"/>
  <c r="AG151" i="20" s="1"/>
  <c r="AF151" i="20" s="1"/>
  <c r="AD151" i="20" s="1"/>
  <c r="AA151" i="20" s="1"/>
  <c r="Z151" i="20" s="1"/>
  <c r="Y151" i="20" s="1"/>
  <c r="AI159" i="20"/>
  <c r="AH159" i="20" s="1"/>
  <c r="AG159" i="20" s="1"/>
  <c r="AF159" i="20" s="1"/>
  <c r="AD159" i="20" s="1"/>
  <c r="AI167" i="20"/>
  <c r="AH167" i="20" s="1"/>
  <c r="AG167" i="20" s="1"/>
  <c r="AF167" i="20" s="1"/>
  <c r="AD167" i="20" s="1"/>
  <c r="AI175" i="20"/>
  <c r="AH175" i="20" s="1"/>
  <c r="AG175" i="20" s="1"/>
  <c r="AF175" i="20" s="1"/>
  <c r="AD175" i="20" s="1"/>
  <c r="AA175" i="20" s="1"/>
  <c r="Z175" i="20" s="1"/>
  <c r="Y175" i="20" s="1"/>
  <c r="AI183" i="20"/>
  <c r="AH183" i="20" s="1"/>
  <c r="AG183" i="20" s="1"/>
  <c r="AF183" i="20" s="1"/>
  <c r="AD183" i="20" s="1"/>
  <c r="AI191" i="20"/>
  <c r="AH191" i="20" s="1"/>
  <c r="AG191" i="20" s="1"/>
  <c r="AF191" i="20" s="1"/>
  <c r="AD191" i="20" s="1"/>
  <c r="AI199" i="20"/>
  <c r="AH199" i="20" s="1"/>
  <c r="AG199" i="20" s="1"/>
  <c r="AF199" i="20" s="1"/>
  <c r="AD199" i="20" s="1"/>
  <c r="AI207" i="20"/>
  <c r="AH207" i="20" s="1"/>
  <c r="AG207" i="20" s="1"/>
  <c r="AF207" i="20" s="1"/>
  <c r="AD207" i="20" s="1"/>
  <c r="AI215" i="20"/>
  <c r="AH215" i="20" s="1"/>
  <c r="AG215" i="20" s="1"/>
  <c r="AF215" i="20" s="1"/>
  <c r="AD215" i="20" s="1"/>
  <c r="AI223" i="20"/>
  <c r="AH223" i="20" s="1"/>
  <c r="AG223" i="20" s="1"/>
  <c r="AF223" i="20" s="1"/>
  <c r="AD223" i="20" s="1"/>
  <c r="AI231" i="20"/>
  <c r="AH231" i="20" s="1"/>
  <c r="AG231" i="20" s="1"/>
  <c r="AF231" i="20" s="1"/>
  <c r="AD231" i="20" s="1"/>
  <c r="AI239" i="20"/>
  <c r="AH239" i="20" s="1"/>
  <c r="AG239" i="20" s="1"/>
  <c r="AF239" i="20" s="1"/>
  <c r="AD239" i="20" s="1"/>
  <c r="AA239" i="20" s="1"/>
  <c r="Z239" i="20" s="1"/>
  <c r="Y239" i="20" s="1"/>
  <c r="AI247" i="20"/>
  <c r="AH247" i="20" s="1"/>
  <c r="AG247" i="20" s="1"/>
  <c r="AF247" i="20" s="1"/>
  <c r="AD247" i="20" s="1"/>
  <c r="AI255" i="20"/>
  <c r="AH255" i="20" s="1"/>
  <c r="AG255" i="20" s="1"/>
  <c r="AF255" i="20" s="1"/>
  <c r="AD255" i="20" s="1"/>
  <c r="AA255" i="20" s="1"/>
  <c r="Z255" i="20" s="1"/>
  <c r="Y255" i="20" s="1"/>
  <c r="AI263" i="20"/>
  <c r="AH263" i="20" s="1"/>
  <c r="AG263" i="20" s="1"/>
  <c r="AF263" i="20" s="1"/>
  <c r="AD263" i="20" s="1"/>
  <c r="AI271" i="20"/>
  <c r="AH271" i="20" s="1"/>
  <c r="AG271" i="20" s="1"/>
  <c r="AF271" i="20" s="1"/>
  <c r="AD271" i="20" s="1"/>
  <c r="AI279" i="20"/>
  <c r="AH279" i="20" s="1"/>
  <c r="AG279" i="20" s="1"/>
  <c r="AF279" i="20" s="1"/>
  <c r="AD279" i="20" s="1"/>
  <c r="AI287" i="20"/>
  <c r="AH287" i="20" s="1"/>
  <c r="AG287" i="20" s="1"/>
  <c r="AF287" i="20" s="1"/>
  <c r="AD287" i="20" s="1"/>
  <c r="AI295" i="20"/>
  <c r="AH295" i="20" s="1"/>
  <c r="AG295" i="20" s="1"/>
  <c r="AF295" i="20" s="1"/>
  <c r="AD295" i="20" s="1"/>
  <c r="AI303" i="20"/>
  <c r="AH303" i="20" s="1"/>
  <c r="AG303" i="20" s="1"/>
  <c r="AF303" i="20" s="1"/>
  <c r="AD303" i="20" s="1"/>
  <c r="AI311" i="20"/>
  <c r="AH311" i="20" s="1"/>
  <c r="AG311" i="20" s="1"/>
  <c r="AF311" i="20" s="1"/>
  <c r="AD311" i="20" s="1"/>
  <c r="AI319" i="20"/>
  <c r="AH319" i="20" s="1"/>
  <c r="AG319" i="20" s="1"/>
  <c r="AF319" i="20" s="1"/>
  <c r="AD319" i="20" s="1"/>
  <c r="AI327" i="20"/>
  <c r="AH327" i="20" s="1"/>
  <c r="AG327" i="20" s="1"/>
  <c r="AF327" i="20" s="1"/>
  <c r="AD327" i="20" s="1"/>
  <c r="AA327" i="20" s="1"/>
  <c r="Z327" i="20" s="1"/>
  <c r="Y327" i="20" s="1"/>
  <c r="AI335" i="20"/>
  <c r="AH335" i="20" s="1"/>
  <c r="AG335" i="20" s="1"/>
  <c r="AF335" i="20" s="1"/>
  <c r="AD335" i="20" s="1"/>
  <c r="AA335" i="20" s="1"/>
  <c r="Z335" i="20" s="1"/>
  <c r="Y335" i="20" s="1"/>
  <c r="AI343" i="20"/>
  <c r="AH343" i="20" s="1"/>
  <c r="AG343" i="20" s="1"/>
  <c r="AF343" i="20" s="1"/>
  <c r="AD343" i="20" s="1"/>
  <c r="AI351" i="20"/>
  <c r="AH351" i="20" s="1"/>
  <c r="AG351" i="20" s="1"/>
  <c r="AF351" i="20" s="1"/>
  <c r="AD351" i="20" s="1"/>
  <c r="AI359" i="20"/>
  <c r="AH359" i="20" s="1"/>
  <c r="AG359" i="20" s="1"/>
  <c r="AF359" i="20" s="1"/>
  <c r="AD359" i="20" s="1"/>
  <c r="AI367" i="20"/>
  <c r="AH367" i="20" s="1"/>
  <c r="AG367" i="20" s="1"/>
  <c r="AF367" i="20" s="1"/>
  <c r="AD367" i="20" s="1"/>
  <c r="AA367" i="20" s="1"/>
  <c r="Z367" i="20" s="1"/>
  <c r="Y367" i="20" s="1"/>
  <c r="AI375" i="20"/>
  <c r="AH375" i="20" s="1"/>
  <c r="AG375" i="20" s="1"/>
  <c r="AF375" i="20" s="1"/>
  <c r="AD375" i="20" s="1"/>
  <c r="AI369" i="20"/>
  <c r="AH369" i="20" s="1"/>
  <c r="AG369" i="20" s="1"/>
  <c r="AF369" i="20" s="1"/>
  <c r="AD369" i="20" s="1"/>
  <c r="AA369" i="20" s="1"/>
  <c r="Z369" i="20" s="1"/>
  <c r="Y369" i="20" s="1"/>
  <c r="AI353" i="20"/>
  <c r="AH353" i="20" s="1"/>
  <c r="AG353" i="20" s="1"/>
  <c r="AF353" i="20" s="1"/>
  <c r="AD353" i="20" s="1"/>
  <c r="AI337" i="20"/>
  <c r="AH337" i="20" s="1"/>
  <c r="AG337" i="20" s="1"/>
  <c r="AF337" i="20" s="1"/>
  <c r="AD337" i="20" s="1"/>
  <c r="AI321" i="20"/>
  <c r="AH321" i="20" s="1"/>
  <c r="AG321" i="20" s="1"/>
  <c r="AF321" i="20" s="1"/>
  <c r="AD321" i="20" s="1"/>
  <c r="AA321" i="20" s="1"/>
  <c r="Z321" i="20" s="1"/>
  <c r="Y321" i="20" s="1"/>
  <c r="AI305" i="20"/>
  <c r="AH305" i="20" s="1"/>
  <c r="AG305" i="20" s="1"/>
  <c r="AF305" i="20" s="1"/>
  <c r="AD305" i="20" s="1"/>
  <c r="AI289" i="20"/>
  <c r="AH289" i="20" s="1"/>
  <c r="AG289" i="20" s="1"/>
  <c r="AF289" i="20" s="1"/>
  <c r="AD289" i="20" s="1"/>
  <c r="AI273" i="20"/>
  <c r="AH273" i="20" s="1"/>
  <c r="AG273" i="20" s="1"/>
  <c r="AF273" i="20" s="1"/>
  <c r="AD273" i="20" s="1"/>
  <c r="AA273" i="20" s="1"/>
  <c r="Z273" i="20" s="1"/>
  <c r="Y273" i="20" s="1"/>
  <c r="AI257" i="20"/>
  <c r="AH257" i="20" s="1"/>
  <c r="AG257" i="20" s="1"/>
  <c r="AF257" i="20" s="1"/>
  <c r="AD257" i="20" s="1"/>
  <c r="AI241" i="20"/>
  <c r="AH241" i="20" s="1"/>
  <c r="AG241" i="20" s="1"/>
  <c r="AF241" i="20" s="1"/>
  <c r="AD241" i="20" s="1"/>
  <c r="AI225" i="20"/>
  <c r="AH225" i="20" s="1"/>
  <c r="AG225" i="20" s="1"/>
  <c r="AF225" i="20" s="1"/>
  <c r="AD225" i="20" s="1"/>
  <c r="AI209" i="20"/>
  <c r="AH209" i="20" s="1"/>
  <c r="AG209" i="20" s="1"/>
  <c r="AF209" i="20" s="1"/>
  <c r="AD209" i="20" s="1"/>
  <c r="AI193" i="20"/>
  <c r="AH193" i="20" s="1"/>
  <c r="AG193" i="20" s="1"/>
  <c r="AF193" i="20" s="1"/>
  <c r="AD193" i="20" s="1"/>
  <c r="AI177" i="20"/>
  <c r="AH177" i="20" s="1"/>
  <c r="AG177" i="20" s="1"/>
  <c r="AF177" i="20" s="1"/>
  <c r="AD177" i="20" s="1"/>
  <c r="AA177" i="20" s="1"/>
  <c r="Z177" i="20" s="1"/>
  <c r="Y177" i="20" s="1"/>
  <c r="AI161" i="20"/>
  <c r="AH161" i="20" s="1"/>
  <c r="AG161" i="20" s="1"/>
  <c r="AF161" i="20" s="1"/>
  <c r="AD161" i="20" s="1"/>
  <c r="AI145" i="20"/>
  <c r="AH145" i="20" s="1"/>
  <c r="AG145" i="20" s="1"/>
  <c r="AF145" i="20" s="1"/>
  <c r="AD145" i="20" s="1"/>
  <c r="AI129" i="20"/>
  <c r="AH129" i="20" s="1"/>
  <c r="AG129" i="20" s="1"/>
  <c r="AF129" i="20" s="1"/>
  <c r="AD129" i="20" s="1"/>
  <c r="I209" i="18"/>
  <c r="B209" i="6" s="1"/>
  <c r="BA209" i="6" s="1"/>
  <c r="D209" i="6" s="1"/>
  <c r="J217" i="18"/>
  <c r="C217" i="6" s="1"/>
  <c r="J201" i="18"/>
  <c r="C201" i="6" s="1"/>
  <c r="I283" i="18"/>
  <c r="B283" i="6" s="1"/>
  <c r="BA283" i="6" s="1"/>
  <c r="D283" i="6" s="1"/>
  <c r="AI365" i="20"/>
  <c r="AH365" i="20" s="1"/>
  <c r="AG365" i="20" s="1"/>
  <c r="AF365" i="20" s="1"/>
  <c r="AD365" i="20" s="1"/>
  <c r="AA365" i="20" s="1"/>
  <c r="Z365" i="20" s="1"/>
  <c r="Y365" i="20" s="1"/>
  <c r="AI349" i="20"/>
  <c r="AH349" i="20" s="1"/>
  <c r="AG349" i="20" s="1"/>
  <c r="AF349" i="20" s="1"/>
  <c r="AD349" i="20" s="1"/>
  <c r="AI333" i="20"/>
  <c r="AH333" i="20" s="1"/>
  <c r="AG333" i="20" s="1"/>
  <c r="AF333" i="20" s="1"/>
  <c r="AD333" i="20" s="1"/>
  <c r="AI317" i="20"/>
  <c r="AH317" i="20" s="1"/>
  <c r="AG317" i="20" s="1"/>
  <c r="AF317" i="20" s="1"/>
  <c r="AD317" i="20" s="1"/>
  <c r="AI301" i="20"/>
  <c r="AH301" i="20" s="1"/>
  <c r="AG301" i="20" s="1"/>
  <c r="AF301" i="20" s="1"/>
  <c r="AD301" i="20" s="1"/>
  <c r="AI285" i="20"/>
  <c r="AH285" i="20" s="1"/>
  <c r="AG285" i="20" s="1"/>
  <c r="AF285" i="20" s="1"/>
  <c r="AD285" i="20" s="1"/>
  <c r="AI269" i="20"/>
  <c r="AH269" i="20" s="1"/>
  <c r="AG269" i="20" s="1"/>
  <c r="AF269" i="20" s="1"/>
  <c r="AD269" i="20" s="1"/>
  <c r="AA269" i="20" s="1"/>
  <c r="Z269" i="20" s="1"/>
  <c r="Y269" i="20" s="1"/>
  <c r="AI253" i="20"/>
  <c r="AH253" i="20" s="1"/>
  <c r="AG253" i="20" s="1"/>
  <c r="AF253" i="20" s="1"/>
  <c r="AD253" i="20" s="1"/>
  <c r="AI237" i="20"/>
  <c r="AH237" i="20" s="1"/>
  <c r="AG237" i="20" s="1"/>
  <c r="AF237" i="20" s="1"/>
  <c r="AD237" i="20" s="1"/>
  <c r="AI221" i="20"/>
  <c r="AH221" i="20" s="1"/>
  <c r="AG221" i="20" s="1"/>
  <c r="AF221" i="20" s="1"/>
  <c r="AD221" i="20" s="1"/>
  <c r="AA221" i="20" s="1"/>
  <c r="Z221" i="20" s="1"/>
  <c r="Y221" i="20" s="1"/>
  <c r="AI205" i="20"/>
  <c r="AH205" i="20" s="1"/>
  <c r="AG205" i="20" s="1"/>
  <c r="AF205" i="20" s="1"/>
  <c r="AD205" i="20" s="1"/>
  <c r="AI189" i="20"/>
  <c r="AH189" i="20" s="1"/>
  <c r="AG189" i="20" s="1"/>
  <c r="AF189" i="20" s="1"/>
  <c r="AD189" i="20" s="1"/>
  <c r="AI173" i="20"/>
  <c r="AH173" i="20" s="1"/>
  <c r="AG173" i="20" s="1"/>
  <c r="AF173" i="20" s="1"/>
  <c r="AD173" i="20" s="1"/>
  <c r="AI157" i="20"/>
  <c r="AH157" i="20" s="1"/>
  <c r="AG157" i="20" s="1"/>
  <c r="AF157" i="20" s="1"/>
  <c r="AD157" i="20" s="1"/>
  <c r="AA157" i="20" s="1"/>
  <c r="Z157" i="20" s="1"/>
  <c r="Y157" i="20" s="1"/>
  <c r="AI141" i="20"/>
  <c r="AH141" i="20" s="1"/>
  <c r="AG141" i="20" s="1"/>
  <c r="AF141" i="20" s="1"/>
  <c r="AD141" i="20" s="1"/>
  <c r="AI125" i="20"/>
  <c r="AH125" i="20" s="1"/>
  <c r="AG125" i="20" s="1"/>
  <c r="AF125" i="20" s="1"/>
  <c r="AD125" i="20" s="1"/>
  <c r="AI109" i="20"/>
  <c r="AH109" i="20" s="1"/>
  <c r="AG109" i="20" s="1"/>
  <c r="AF109" i="20" s="1"/>
  <c r="AD109" i="20" s="1"/>
  <c r="AI373" i="20"/>
  <c r="AH373" i="20" s="1"/>
  <c r="AG373" i="20" s="1"/>
  <c r="AF373" i="20" s="1"/>
  <c r="AD373" i="20" s="1"/>
  <c r="AA373" i="20" s="1"/>
  <c r="Z373" i="20" s="1"/>
  <c r="Y373" i="20" s="1"/>
  <c r="AI357" i="20"/>
  <c r="AH357" i="20" s="1"/>
  <c r="AG357" i="20" s="1"/>
  <c r="AF357" i="20" s="1"/>
  <c r="AD357" i="20" s="1"/>
  <c r="AA357" i="20" s="1"/>
  <c r="Z357" i="20" s="1"/>
  <c r="Y357" i="20" s="1"/>
  <c r="AI341" i="20"/>
  <c r="AH341" i="20" s="1"/>
  <c r="AG341" i="20" s="1"/>
  <c r="AF341" i="20" s="1"/>
  <c r="AD341" i="20" s="1"/>
  <c r="AI325" i="20"/>
  <c r="AH325" i="20" s="1"/>
  <c r="AG325" i="20" s="1"/>
  <c r="AF325" i="20" s="1"/>
  <c r="AD325" i="20" s="1"/>
  <c r="AA325" i="20" s="1"/>
  <c r="Z325" i="20" s="1"/>
  <c r="Y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I277" i="20"/>
  <c r="AH277" i="20" s="1"/>
  <c r="AG277" i="20" s="1"/>
  <c r="AF277" i="20" s="1"/>
  <c r="AD277" i="20" s="1"/>
  <c r="AI261" i="20"/>
  <c r="AH261" i="20" s="1"/>
  <c r="AG261" i="20" s="1"/>
  <c r="AF261" i="20" s="1"/>
  <c r="AD261" i="20" s="1"/>
  <c r="AI245" i="20"/>
  <c r="AH245" i="20" s="1"/>
  <c r="AG245" i="20" s="1"/>
  <c r="AF245" i="20" s="1"/>
  <c r="AD245" i="20" s="1"/>
  <c r="AI229" i="20"/>
  <c r="AH229" i="20" s="1"/>
  <c r="AG229" i="20" s="1"/>
  <c r="AF229" i="20" s="1"/>
  <c r="AD229" i="20" s="1"/>
  <c r="AI213" i="20"/>
  <c r="AH213" i="20" s="1"/>
  <c r="AG213" i="20" s="1"/>
  <c r="AF213" i="20" s="1"/>
  <c r="AD213" i="20" s="1"/>
  <c r="AA213" i="20" s="1"/>
  <c r="Z213" i="20" s="1"/>
  <c r="Y213" i="20" s="1"/>
  <c r="AI197" i="20"/>
  <c r="AH197" i="20" s="1"/>
  <c r="AG197" i="20" s="1"/>
  <c r="AF197" i="20" s="1"/>
  <c r="AD197" i="20" s="1"/>
  <c r="AI181" i="20"/>
  <c r="AH181" i="20" s="1"/>
  <c r="AG181" i="20" s="1"/>
  <c r="AF181" i="20" s="1"/>
  <c r="AD181" i="20" s="1"/>
  <c r="AA181" i="20" s="1"/>
  <c r="Z181" i="20" s="1"/>
  <c r="Y181" i="20" s="1"/>
  <c r="AI165" i="20"/>
  <c r="AH165" i="20" s="1"/>
  <c r="AG165" i="20" s="1"/>
  <c r="AF165" i="20" s="1"/>
  <c r="AD165" i="20" s="1"/>
  <c r="AA165" i="20" s="1"/>
  <c r="Z165" i="20" s="1"/>
  <c r="Y165" i="20" s="1"/>
  <c r="AI149" i="20"/>
  <c r="AH149" i="20" s="1"/>
  <c r="AG149" i="20" s="1"/>
  <c r="AF149" i="20" s="1"/>
  <c r="AD149" i="20" s="1"/>
  <c r="AI133" i="20"/>
  <c r="AH133" i="20" s="1"/>
  <c r="AG133" i="20" s="1"/>
  <c r="AF133" i="20" s="1"/>
  <c r="AD133" i="20" s="1"/>
  <c r="AI117" i="20"/>
  <c r="AH117" i="20" s="1"/>
  <c r="AG117" i="20" s="1"/>
  <c r="AF117" i="20" s="1"/>
  <c r="AD117" i="20" s="1"/>
  <c r="AA117" i="20" s="1"/>
  <c r="Z117" i="20" s="1"/>
  <c r="Y117" i="20" s="1"/>
  <c r="AI378" i="20"/>
  <c r="AH378" i="20" s="1"/>
  <c r="AG378" i="20" s="1"/>
  <c r="AF378" i="20" s="1"/>
  <c r="AD378" i="20" s="1"/>
  <c r="AI374" i="20"/>
  <c r="AH374" i="20" s="1"/>
  <c r="AG374" i="20" s="1"/>
  <c r="AF374" i="20" s="1"/>
  <c r="AD374" i="20" s="1"/>
  <c r="AI370" i="20"/>
  <c r="AH370" i="20" s="1"/>
  <c r="AG370" i="20" s="1"/>
  <c r="AF370" i="20" s="1"/>
  <c r="AD370" i="20" s="1"/>
  <c r="AA370" i="20" s="1"/>
  <c r="Z370" i="20" s="1"/>
  <c r="Y370" i="20" s="1"/>
  <c r="AI366" i="20"/>
  <c r="AH366" i="20" s="1"/>
  <c r="AG366" i="20" s="1"/>
  <c r="AF366" i="20" s="1"/>
  <c r="AD366" i="20" s="1"/>
  <c r="AI362" i="20"/>
  <c r="AH362" i="20" s="1"/>
  <c r="AG362" i="20" s="1"/>
  <c r="AF362" i="20" s="1"/>
  <c r="AD362" i="20" s="1"/>
  <c r="AI358" i="20"/>
  <c r="AH358" i="20" s="1"/>
  <c r="AG358" i="20" s="1"/>
  <c r="AF358" i="20" s="1"/>
  <c r="AD358" i="20" s="1"/>
  <c r="AI354" i="20"/>
  <c r="AH354" i="20" s="1"/>
  <c r="AG354" i="20" s="1"/>
  <c r="AF354" i="20" s="1"/>
  <c r="AD354" i="20" s="1"/>
  <c r="AI350" i="20"/>
  <c r="AH350" i="20" s="1"/>
  <c r="AG350" i="20" s="1"/>
  <c r="AF350" i="20" s="1"/>
  <c r="AD350" i="20" s="1"/>
  <c r="AI346" i="20"/>
  <c r="AH346" i="20" s="1"/>
  <c r="AG346" i="20" s="1"/>
  <c r="AF346" i="20" s="1"/>
  <c r="AD346" i="20" s="1"/>
  <c r="AI342" i="20"/>
  <c r="AH342" i="20" s="1"/>
  <c r="AG342" i="20" s="1"/>
  <c r="AF342" i="20" s="1"/>
  <c r="AD342" i="20" s="1"/>
  <c r="AI338" i="20"/>
  <c r="AH338" i="20" s="1"/>
  <c r="AG338" i="20" s="1"/>
  <c r="AF338" i="20" s="1"/>
  <c r="AD338" i="20" s="1"/>
  <c r="AI334" i="20"/>
  <c r="AH334" i="20" s="1"/>
  <c r="AG334" i="20" s="1"/>
  <c r="AF334" i="20" s="1"/>
  <c r="AD334" i="20" s="1"/>
  <c r="AA334" i="20" s="1"/>
  <c r="Z334" i="20" s="1"/>
  <c r="Y334" i="20" s="1"/>
  <c r="AI330" i="20"/>
  <c r="AH330" i="20" s="1"/>
  <c r="AG330" i="20" s="1"/>
  <c r="AF330" i="20" s="1"/>
  <c r="AD330" i="20" s="1"/>
  <c r="AI326" i="20"/>
  <c r="AH326" i="20" s="1"/>
  <c r="AG326" i="20" s="1"/>
  <c r="AF326" i="20" s="1"/>
  <c r="AD326" i="20" s="1"/>
  <c r="AI322" i="20"/>
  <c r="AH322" i="20" s="1"/>
  <c r="AG322" i="20" s="1"/>
  <c r="AF322" i="20" s="1"/>
  <c r="AD322" i="20" s="1"/>
  <c r="AI318" i="20"/>
  <c r="AH318" i="20" s="1"/>
  <c r="AG318" i="20" s="1"/>
  <c r="AF318" i="20" s="1"/>
  <c r="AD318" i="20" s="1"/>
  <c r="AI314" i="20"/>
  <c r="AH314" i="20" s="1"/>
  <c r="AG314" i="20" s="1"/>
  <c r="AF314" i="20" s="1"/>
  <c r="AD314" i="20" s="1"/>
  <c r="AI310" i="20"/>
  <c r="AH310" i="20" s="1"/>
  <c r="AG310" i="20" s="1"/>
  <c r="AF310" i="20" s="1"/>
  <c r="AD310" i="20" s="1"/>
  <c r="AI306" i="20"/>
  <c r="AH306" i="20" s="1"/>
  <c r="AG306" i="20" s="1"/>
  <c r="AF306" i="20" s="1"/>
  <c r="AD306" i="20" s="1"/>
  <c r="AI302" i="20"/>
  <c r="AH302" i="20" s="1"/>
  <c r="AG302" i="20" s="1"/>
  <c r="AF302" i="20" s="1"/>
  <c r="AD302" i="20" s="1"/>
  <c r="AI298" i="20"/>
  <c r="AH298" i="20" s="1"/>
  <c r="AG298" i="20" s="1"/>
  <c r="AF298" i="20" s="1"/>
  <c r="AD298" i="20" s="1"/>
  <c r="AI294" i="20"/>
  <c r="AH294" i="20" s="1"/>
  <c r="AG294" i="20" s="1"/>
  <c r="AF294" i="20" s="1"/>
  <c r="AD294" i="20" s="1"/>
  <c r="AI290" i="20"/>
  <c r="AH290" i="20" s="1"/>
  <c r="AG290" i="20" s="1"/>
  <c r="AF290" i="20" s="1"/>
  <c r="AD290" i="20" s="1"/>
  <c r="AI286" i="20"/>
  <c r="AH286" i="20" s="1"/>
  <c r="AG286" i="20" s="1"/>
  <c r="AF286" i="20" s="1"/>
  <c r="AD286" i="20" s="1"/>
  <c r="AI282" i="20"/>
  <c r="AH282" i="20" s="1"/>
  <c r="AG282" i="20" s="1"/>
  <c r="AF282" i="20" s="1"/>
  <c r="AD282" i="20" s="1"/>
  <c r="AI278" i="20"/>
  <c r="AH278" i="20" s="1"/>
  <c r="AG278" i="20" s="1"/>
  <c r="AF278" i="20" s="1"/>
  <c r="AD278" i="20" s="1"/>
  <c r="AI274" i="20"/>
  <c r="AH274" i="20" s="1"/>
  <c r="AG274" i="20" s="1"/>
  <c r="AF274" i="20" s="1"/>
  <c r="AD274" i="20" s="1"/>
  <c r="AI270" i="20"/>
  <c r="AH270" i="20" s="1"/>
  <c r="AG270" i="20" s="1"/>
  <c r="AF270" i="20" s="1"/>
  <c r="AD270" i="20" s="1"/>
  <c r="AI266" i="20"/>
  <c r="AH266" i="20" s="1"/>
  <c r="AG266" i="20" s="1"/>
  <c r="AF266" i="20" s="1"/>
  <c r="AD266" i="20" s="1"/>
  <c r="AI262" i="20"/>
  <c r="AH262" i="20" s="1"/>
  <c r="AG262" i="20" s="1"/>
  <c r="AF262" i="20" s="1"/>
  <c r="AD262" i="20" s="1"/>
  <c r="AA262" i="20" s="1"/>
  <c r="Z262" i="20" s="1"/>
  <c r="Y262" i="20" s="1"/>
  <c r="AI258" i="20"/>
  <c r="AH258" i="20" s="1"/>
  <c r="AG258" i="20" s="1"/>
  <c r="AF258" i="20" s="1"/>
  <c r="AD258" i="20" s="1"/>
  <c r="AI254" i="20"/>
  <c r="AH254" i="20" s="1"/>
  <c r="AG254" i="20" s="1"/>
  <c r="AF254" i="20" s="1"/>
  <c r="AD254" i="20" s="1"/>
  <c r="AI250" i="20"/>
  <c r="AH250" i="20" s="1"/>
  <c r="AG250" i="20" s="1"/>
  <c r="AF250" i="20" s="1"/>
  <c r="AD250" i="20" s="1"/>
  <c r="AI246" i="20"/>
  <c r="AH246" i="20" s="1"/>
  <c r="AG246" i="20" s="1"/>
  <c r="AF246" i="20" s="1"/>
  <c r="AD246" i="20" s="1"/>
  <c r="AI242" i="20"/>
  <c r="AH242" i="20" s="1"/>
  <c r="AG242" i="20" s="1"/>
  <c r="AF242" i="20" s="1"/>
  <c r="AD242" i="20" s="1"/>
  <c r="AI238" i="20"/>
  <c r="AH238" i="20" s="1"/>
  <c r="AG238" i="20" s="1"/>
  <c r="AF238" i="20" s="1"/>
  <c r="AD238" i="20" s="1"/>
  <c r="AI234" i="20"/>
  <c r="AH234" i="20" s="1"/>
  <c r="AG234" i="20" s="1"/>
  <c r="AF234" i="20" s="1"/>
  <c r="AD234" i="20" s="1"/>
  <c r="AA234" i="20" s="1"/>
  <c r="Z234" i="20" s="1"/>
  <c r="Y234" i="20" s="1"/>
  <c r="AI230" i="20"/>
  <c r="AH230" i="20" s="1"/>
  <c r="AG230" i="20" s="1"/>
  <c r="AF230" i="20" s="1"/>
  <c r="AD230" i="20" s="1"/>
  <c r="AI226" i="20"/>
  <c r="AH226" i="20" s="1"/>
  <c r="AG226" i="20" s="1"/>
  <c r="AF226" i="20" s="1"/>
  <c r="AD226" i="20" s="1"/>
  <c r="AI222" i="20"/>
  <c r="AH222" i="20" s="1"/>
  <c r="AG222" i="20" s="1"/>
  <c r="AF222" i="20" s="1"/>
  <c r="AD222" i="20" s="1"/>
  <c r="AI218" i="20"/>
  <c r="AH218" i="20" s="1"/>
  <c r="AG218" i="20" s="1"/>
  <c r="AF218" i="20" s="1"/>
  <c r="AD218" i="20" s="1"/>
  <c r="AI214" i="20"/>
  <c r="AH214" i="20" s="1"/>
  <c r="AG214" i="20" s="1"/>
  <c r="AF214" i="20" s="1"/>
  <c r="AD214" i="20" s="1"/>
  <c r="AI210" i="20"/>
  <c r="AH210" i="20" s="1"/>
  <c r="AG210" i="20" s="1"/>
  <c r="AF210" i="20" s="1"/>
  <c r="AD210" i="20" s="1"/>
  <c r="AI206" i="20"/>
  <c r="AH206" i="20" s="1"/>
  <c r="AG206" i="20" s="1"/>
  <c r="AF206" i="20" s="1"/>
  <c r="AD206" i="20" s="1"/>
  <c r="AI202" i="20"/>
  <c r="AH202" i="20" s="1"/>
  <c r="AG202" i="20" s="1"/>
  <c r="AF202" i="20" s="1"/>
  <c r="AD202" i="20" s="1"/>
  <c r="AI198" i="20"/>
  <c r="AH198" i="20" s="1"/>
  <c r="AG198" i="20" s="1"/>
  <c r="AF198" i="20" s="1"/>
  <c r="AD198" i="20" s="1"/>
  <c r="AI194" i="20"/>
  <c r="AH194" i="20" s="1"/>
  <c r="AG194" i="20" s="1"/>
  <c r="AF194" i="20" s="1"/>
  <c r="AD194" i="20" s="1"/>
  <c r="AI190" i="20"/>
  <c r="AH190" i="20" s="1"/>
  <c r="AG190" i="20" s="1"/>
  <c r="AF190" i="20" s="1"/>
  <c r="AD190" i="20" s="1"/>
  <c r="AI186" i="20"/>
  <c r="AH186" i="20" s="1"/>
  <c r="AG186" i="20" s="1"/>
  <c r="AF186" i="20" s="1"/>
  <c r="AD186" i="20" s="1"/>
  <c r="AI182" i="20"/>
  <c r="AH182" i="20" s="1"/>
  <c r="AG182" i="20" s="1"/>
  <c r="AF182" i="20" s="1"/>
  <c r="AD182" i="20" s="1"/>
  <c r="AA182" i="20" s="1"/>
  <c r="Z182" i="20" s="1"/>
  <c r="Y182" i="20" s="1"/>
  <c r="AI178" i="20"/>
  <c r="AH178" i="20" s="1"/>
  <c r="AG178" i="20" s="1"/>
  <c r="AF178" i="20" s="1"/>
  <c r="AD178" i="20" s="1"/>
  <c r="AI174" i="20"/>
  <c r="AH174" i="20" s="1"/>
  <c r="AG174" i="20" s="1"/>
  <c r="AF174" i="20" s="1"/>
  <c r="AD174" i="20" s="1"/>
  <c r="AI170" i="20"/>
  <c r="AH170" i="20" s="1"/>
  <c r="AG170" i="20" s="1"/>
  <c r="AF170" i="20" s="1"/>
  <c r="AD170" i="20" s="1"/>
  <c r="AI166" i="20"/>
  <c r="AH166" i="20" s="1"/>
  <c r="AG166" i="20" s="1"/>
  <c r="AF166" i="20" s="1"/>
  <c r="AD166" i="20" s="1"/>
  <c r="AI162" i="20"/>
  <c r="AH162" i="20" s="1"/>
  <c r="AG162" i="20" s="1"/>
  <c r="AF162" i="20" s="1"/>
  <c r="AD162" i="20" s="1"/>
  <c r="AI158" i="20"/>
  <c r="AH158" i="20" s="1"/>
  <c r="AG158" i="20" s="1"/>
  <c r="AF158" i="20" s="1"/>
  <c r="AD158" i="20" s="1"/>
  <c r="AI154" i="20"/>
  <c r="AH154" i="20" s="1"/>
  <c r="AG154" i="20" s="1"/>
  <c r="AF154" i="20" s="1"/>
  <c r="AD154" i="20" s="1"/>
  <c r="AI150" i="20"/>
  <c r="AH150" i="20" s="1"/>
  <c r="AG150" i="20" s="1"/>
  <c r="AF150" i="20" s="1"/>
  <c r="AD150" i="20" s="1"/>
  <c r="AI146" i="20"/>
  <c r="AH146" i="20" s="1"/>
  <c r="AG146" i="20" s="1"/>
  <c r="AF146" i="20" s="1"/>
  <c r="AD146" i="20" s="1"/>
  <c r="AI142" i="20"/>
  <c r="AH142" i="20" s="1"/>
  <c r="AG142" i="20" s="1"/>
  <c r="AF142" i="20" s="1"/>
  <c r="AD142" i="20" s="1"/>
  <c r="AI138" i="20"/>
  <c r="AH138" i="20" s="1"/>
  <c r="AG138" i="20" s="1"/>
  <c r="AF138" i="20" s="1"/>
  <c r="AD138" i="20" s="1"/>
  <c r="AA138" i="20" s="1"/>
  <c r="Z138" i="20" s="1"/>
  <c r="Y138" i="20" s="1"/>
  <c r="AI134" i="20"/>
  <c r="AH134" i="20" s="1"/>
  <c r="AG134" i="20" s="1"/>
  <c r="AF134" i="20" s="1"/>
  <c r="AD134" i="20" s="1"/>
  <c r="AI130" i="20"/>
  <c r="AH130" i="20" s="1"/>
  <c r="AG130" i="20" s="1"/>
  <c r="AF130" i="20" s="1"/>
  <c r="AD130" i="20" s="1"/>
  <c r="AI126" i="20"/>
  <c r="AH126" i="20" s="1"/>
  <c r="AG126" i="20" s="1"/>
  <c r="AF126" i="20" s="1"/>
  <c r="AD126" i="20" s="1"/>
  <c r="AI122" i="20"/>
  <c r="AH122" i="20" s="1"/>
  <c r="AG122" i="20" s="1"/>
  <c r="AF122" i="20" s="1"/>
  <c r="AD122" i="20" s="1"/>
  <c r="AI118" i="20"/>
  <c r="AH118" i="20" s="1"/>
  <c r="AG118" i="20" s="1"/>
  <c r="AF118" i="20" s="1"/>
  <c r="AD118" i="20" s="1"/>
  <c r="AI372" i="20"/>
  <c r="AH372" i="20" s="1"/>
  <c r="AG372" i="20" s="1"/>
  <c r="AF372" i="20" s="1"/>
  <c r="AD372" i="20" s="1"/>
  <c r="AI364" i="20"/>
  <c r="AH364" i="20" s="1"/>
  <c r="AG364" i="20" s="1"/>
  <c r="AF364" i="20" s="1"/>
  <c r="AD364" i="20" s="1"/>
  <c r="AI356" i="20"/>
  <c r="AH356" i="20" s="1"/>
  <c r="AG356" i="20" s="1"/>
  <c r="AF356" i="20" s="1"/>
  <c r="AD356" i="20" s="1"/>
  <c r="AI348" i="20"/>
  <c r="AH348" i="20" s="1"/>
  <c r="AG348" i="20" s="1"/>
  <c r="AF348" i="20" s="1"/>
  <c r="AD348" i="20" s="1"/>
  <c r="AA348" i="20" s="1"/>
  <c r="Z348" i="20" s="1"/>
  <c r="Y348" i="20" s="1"/>
  <c r="AI340" i="20"/>
  <c r="AH340" i="20" s="1"/>
  <c r="AG340" i="20" s="1"/>
  <c r="AF340" i="20" s="1"/>
  <c r="AD340" i="20" s="1"/>
  <c r="AI332" i="20"/>
  <c r="AH332" i="20" s="1"/>
  <c r="AG332" i="20" s="1"/>
  <c r="AF332" i="20" s="1"/>
  <c r="AD332" i="20" s="1"/>
  <c r="AI324" i="20"/>
  <c r="AH324" i="20" s="1"/>
  <c r="AG324" i="20" s="1"/>
  <c r="AF324" i="20" s="1"/>
  <c r="AD324" i="20" s="1"/>
  <c r="AI316" i="20"/>
  <c r="AH316" i="20" s="1"/>
  <c r="AG316" i="20" s="1"/>
  <c r="AF316" i="20" s="1"/>
  <c r="AD316" i="20" s="1"/>
  <c r="AA316" i="20" s="1"/>
  <c r="Z316" i="20" s="1"/>
  <c r="Y316" i="20" s="1"/>
  <c r="AI308" i="20"/>
  <c r="AH308" i="20" s="1"/>
  <c r="AG308" i="20" s="1"/>
  <c r="AF308" i="20" s="1"/>
  <c r="AD308" i="20" s="1"/>
  <c r="AI300" i="20"/>
  <c r="AH300" i="20" s="1"/>
  <c r="AG300" i="20" s="1"/>
  <c r="AF300" i="20" s="1"/>
  <c r="AD300" i="20" s="1"/>
  <c r="AA300" i="20" s="1"/>
  <c r="Z300" i="20" s="1"/>
  <c r="Y300" i="20" s="1"/>
  <c r="AI292" i="20"/>
  <c r="AH292" i="20" s="1"/>
  <c r="AG292" i="20" s="1"/>
  <c r="AF292" i="20" s="1"/>
  <c r="AD292" i="20" s="1"/>
  <c r="AI284" i="20"/>
  <c r="AH284" i="20" s="1"/>
  <c r="AG284" i="20" s="1"/>
  <c r="AF284" i="20" s="1"/>
  <c r="AD284" i="20" s="1"/>
  <c r="AA284" i="20" s="1"/>
  <c r="Z284" i="20" s="1"/>
  <c r="Y284" i="20" s="1"/>
  <c r="AI276" i="20"/>
  <c r="AH276" i="20" s="1"/>
  <c r="AG276" i="20" s="1"/>
  <c r="AF276" i="20" s="1"/>
  <c r="AD276" i="20" s="1"/>
  <c r="AI268" i="20"/>
  <c r="AH268" i="20" s="1"/>
  <c r="AG268" i="20" s="1"/>
  <c r="AF268" i="20" s="1"/>
  <c r="AD268" i="20" s="1"/>
  <c r="AI260" i="20"/>
  <c r="AH260" i="20" s="1"/>
  <c r="AG260" i="20" s="1"/>
  <c r="AF260" i="20" s="1"/>
  <c r="AD260" i="20" s="1"/>
  <c r="AI252" i="20"/>
  <c r="AH252" i="20" s="1"/>
  <c r="AG252" i="20" s="1"/>
  <c r="AF252" i="20" s="1"/>
  <c r="AD252" i="20" s="1"/>
  <c r="AI244" i="20"/>
  <c r="AH244" i="20" s="1"/>
  <c r="AG244" i="20" s="1"/>
  <c r="AF244" i="20" s="1"/>
  <c r="AD244" i="20" s="1"/>
  <c r="AI236" i="20"/>
  <c r="AH236" i="20" s="1"/>
  <c r="AG236" i="20" s="1"/>
  <c r="AF236" i="20" s="1"/>
  <c r="AD236" i="20" s="1"/>
  <c r="AI228" i="20"/>
  <c r="AH228" i="20" s="1"/>
  <c r="AG228" i="20" s="1"/>
  <c r="AF228" i="20" s="1"/>
  <c r="AD228" i="20" s="1"/>
  <c r="AA228" i="20" s="1"/>
  <c r="Z228" i="20" s="1"/>
  <c r="Y228" i="20" s="1"/>
  <c r="AI220" i="20"/>
  <c r="AH220" i="20" s="1"/>
  <c r="AG220" i="20" s="1"/>
  <c r="AF220" i="20" s="1"/>
  <c r="AD220" i="20" s="1"/>
  <c r="AI212" i="20"/>
  <c r="AH212" i="20" s="1"/>
  <c r="AG212" i="20" s="1"/>
  <c r="AF212" i="20" s="1"/>
  <c r="AD212" i="20" s="1"/>
  <c r="AI204" i="20"/>
  <c r="AH204" i="20" s="1"/>
  <c r="AG204" i="20" s="1"/>
  <c r="AF204" i="20" s="1"/>
  <c r="AD204" i="20" s="1"/>
  <c r="AI196" i="20"/>
  <c r="AH196" i="20" s="1"/>
  <c r="AG196" i="20" s="1"/>
  <c r="AF196" i="20" s="1"/>
  <c r="AD196" i="20" s="1"/>
  <c r="AI188" i="20"/>
  <c r="AH188" i="20" s="1"/>
  <c r="AG188" i="20" s="1"/>
  <c r="AF188" i="20" s="1"/>
  <c r="AD188" i="20" s="1"/>
  <c r="AI180" i="20"/>
  <c r="AH180" i="20" s="1"/>
  <c r="AG180" i="20" s="1"/>
  <c r="AF180" i="20" s="1"/>
  <c r="AD180" i="20" s="1"/>
  <c r="AI172" i="20"/>
  <c r="AH172" i="20" s="1"/>
  <c r="AG172" i="20" s="1"/>
  <c r="AF172" i="20" s="1"/>
  <c r="AD172" i="20" s="1"/>
  <c r="AI164" i="20"/>
  <c r="AH164" i="20" s="1"/>
  <c r="AG164" i="20" s="1"/>
  <c r="AF164" i="20" s="1"/>
  <c r="AD164" i="20" s="1"/>
  <c r="AI156" i="20"/>
  <c r="AH156" i="20" s="1"/>
  <c r="AG156" i="20" s="1"/>
  <c r="AF156" i="20" s="1"/>
  <c r="AD156" i="20" s="1"/>
  <c r="AI148" i="20"/>
  <c r="AH148" i="20" s="1"/>
  <c r="AG148" i="20" s="1"/>
  <c r="AF148" i="20" s="1"/>
  <c r="AD148" i="20" s="1"/>
  <c r="AI140" i="20"/>
  <c r="AH140" i="20" s="1"/>
  <c r="AG140" i="20" s="1"/>
  <c r="AF140" i="20" s="1"/>
  <c r="AD140" i="20" s="1"/>
  <c r="AI132" i="20"/>
  <c r="AH132" i="20" s="1"/>
  <c r="AG132" i="20" s="1"/>
  <c r="AF132" i="20" s="1"/>
  <c r="AD132" i="20" s="1"/>
  <c r="AI124" i="20"/>
  <c r="AH124" i="20" s="1"/>
  <c r="AG124" i="20" s="1"/>
  <c r="AF124" i="20" s="1"/>
  <c r="AD124" i="20" s="1"/>
  <c r="AA124" i="20" s="1"/>
  <c r="Z124" i="20" s="1"/>
  <c r="Y124" i="20" s="1"/>
  <c r="AI116" i="20"/>
  <c r="AH116" i="20" s="1"/>
  <c r="AG116" i="20" s="1"/>
  <c r="AF116" i="20" s="1"/>
  <c r="AD116" i="20" s="1"/>
  <c r="AI112" i="20"/>
  <c r="AH112" i="20" s="1"/>
  <c r="AG112" i="20" s="1"/>
  <c r="AF112" i="20" s="1"/>
  <c r="AD112" i="20" s="1"/>
  <c r="AI108" i="20"/>
  <c r="AH108" i="20" s="1"/>
  <c r="AG108" i="20" s="1"/>
  <c r="AF108" i="20" s="1"/>
  <c r="AD108" i="20" s="1"/>
  <c r="AI104" i="20"/>
  <c r="AI376" i="20"/>
  <c r="AH376" i="20" s="1"/>
  <c r="AG376" i="20" s="1"/>
  <c r="AF376" i="20" s="1"/>
  <c r="AD376" i="20" s="1"/>
  <c r="AI368" i="20"/>
  <c r="AH368" i="20" s="1"/>
  <c r="AG368" i="20" s="1"/>
  <c r="AF368" i="20" s="1"/>
  <c r="AD368" i="20" s="1"/>
  <c r="AI360" i="20"/>
  <c r="AH360" i="20" s="1"/>
  <c r="AG360" i="20" s="1"/>
  <c r="AF360" i="20" s="1"/>
  <c r="AD360" i="20" s="1"/>
  <c r="AA360" i="20" s="1"/>
  <c r="Z360" i="20" s="1"/>
  <c r="Y360" i="20" s="1"/>
  <c r="AI352" i="20"/>
  <c r="AH352" i="20" s="1"/>
  <c r="AG352" i="20" s="1"/>
  <c r="AF352" i="20" s="1"/>
  <c r="AD352" i="20" s="1"/>
  <c r="AA352" i="20" s="1"/>
  <c r="Z352" i="20" s="1"/>
  <c r="Y352" i="20" s="1"/>
  <c r="AI344" i="20"/>
  <c r="AH344" i="20" s="1"/>
  <c r="AG344" i="20" s="1"/>
  <c r="AF344" i="20" s="1"/>
  <c r="AD344" i="20" s="1"/>
  <c r="AA344" i="20" s="1"/>
  <c r="Z344" i="20" s="1"/>
  <c r="Y344" i="20" s="1"/>
  <c r="AI336" i="20"/>
  <c r="AH336" i="20" s="1"/>
  <c r="AG336" i="20" s="1"/>
  <c r="AF336" i="20" s="1"/>
  <c r="AD336" i="20" s="1"/>
  <c r="AI328" i="20"/>
  <c r="AH328" i="20" s="1"/>
  <c r="AG328" i="20" s="1"/>
  <c r="AF328" i="20" s="1"/>
  <c r="AD328" i="20" s="1"/>
  <c r="AI320" i="20"/>
  <c r="AH320" i="20" s="1"/>
  <c r="AG320" i="20" s="1"/>
  <c r="AF320" i="20" s="1"/>
  <c r="AD320" i="20" s="1"/>
  <c r="AI312" i="20"/>
  <c r="AH312" i="20" s="1"/>
  <c r="AG312" i="20" s="1"/>
  <c r="AF312" i="20" s="1"/>
  <c r="AD312" i="20" s="1"/>
  <c r="AI304" i="20"/>
  <c r="AH304" i="20" s="1"/>
  <c r="AG304" i="20" s="1"/>
  <c r="AF304" i="20" s="1"/>
  <c r="AD304" i="20" s="1"/>
  <c r="AA304" i="20" s="1"/>
  <c r="Z304" i="20" s="1"/>
  <c r="Y304" i="20" s="1"/>
  <c r="AI296" i="20"/>
  <c r="AH296" i="20" s="1"/>
  <c r="AG296" i="20" s="1"/>
  <c r="AF296" i="20" s="1"/>
  <c r="AD296" i="20" s="1"/>
  <c r="AI288" i="20"/>
  <c r="AH288" i="20" s="1"/>
  <c r="AG288" i="20" s="1"/>
  <c r="AF288" i="20" s="1"/>
  <c r="AD288" i="20" s="1"/>
  <c r="AI280" i="20"/>
  <c r="AH280" i="20" s="1"/>
  <c r="AG280" i="20" s="1"/>
  <c r="AF280" i="20" s="1"/>
  <c r="AD280" i="20" s="1"/>
  <c r="AI272" i="20"/>
  <c r="AH272" i="20" s="1"/>
  <c r="AG272" i="20" s="1"/>
  <c r="AF272" i="20" s="1"/>
  <c r="AD272" i="20" s="1"/>
  <c r="AI264" i="20"/>
  <c r="AH264" i="20" s="1"/>
  <c r="AG264" i="20" s="1"/>
  <c r="AF264" i="20" s="1"/>
  <c r="AD264" i="20" s="1"/>
  <c r="AI256" i="20"/>
  <c r="AH256" i="20" s="1"/>
  <c r="AG256" i="20" s="1"/>
  <c r="AF256" i="20" s="1"/>
  <c r="AD256" i="20" s="1"/>
  <c r="AI248" i="20"/>
  <c r="AH248" i="20" s="1"/>
  <c r="AG248" i="20" s="1"/>
  <c r="AF248" i="20" s="1"/>
  <c r="AD248" i="20" s="1"/>
  <c r="AI240" i="20"/>
  <c r="AH240" i="20" s="1"/>
  <c r="AG240" i="20" s="1"/>
  <c r="AF240" i="20" s="1"/>
  <c r="AD240" i="20" s="1"/>
  <c r="AA240" i="20" s="1"/>
  <c r="Z240" i="20" s="1"/>
  <c r="Y240" i="20" s="1"/>
  <c r="AI232" i="20"/>
  <c r="AH232" i="20" s="1"/>
  <c r="AG232" i="20" s="1"/>
  <c r="AF232" i="20" s="1"/>
  <c r="AD232" i="20" s="1"/>
  <c r="AI224" i="20"/>
  <c r="AH224" i="20" s="1"/>
  <c r="AG224" i="20" s="1"/>
  <c r="AF224" i="20" s="1"/>
  <c r="AD224" i="20" s="1"/>
  <c r="AI216" i="20"/>
  <c r="AH216" i="20" s="1"/>
  <c r="AG216" i="20" s="1"/>
  <c r="AF216" i="20" s="1"/>
  <c r="AD216" i="20" s="1"/>
  <c r="AI208" i="20"/>
  <c r="AH208" i="20" s="1"/>
  <c r="AG208" i="20" s="1"/>
  <c r="AF208" i="20" s="1"/>
  <c r="AD208" i="20" s="1"/>
  <c r="AI200" i="20"/>
  <c r="AH200" i="20" s="1"/>
  <c r="AG200" i="20" s="1"/>
  <c r="AF200" i="20" s="1"/>
  <c r="AD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I176" i="20"/>
  <c r="AH176" i="20" s="1"/>
  <c r="AG176" i="20" s="1"/>
  <c r="AF176" i="20" s="1"/>
  <c r="AD176" i="20" s="1"/>
  <c r="AI168" i="20"/>
  <c r="AH168" i="20" s="1"/>
  <c r="AG168" i="20" s="1"/>
  <c r="AF168" i="20" s="1"/>
  <c r="AD168" i="20" s="1"/>
  <c r="AI160" i="20"/>
  <c r="AH160" i="20" s="1"/>
  <c r="AG160" i="20" s="1"/>
  <c r="AF160" i="20" s="1"/>
  <c r="AD160" i="20" s="1"/>
  <c r="AA160" i="20" s="1"/>
  <c r="Z160" i="20" s="1"/>
  <c r="Y160" i="20" s="1"/>
  <c r="AI152" i="20"/>
  <c r="AH152" i="20" s="1"/>
  <c r="AG152" i="20" s="1"/>
  <c r="AF152" i="20" s="1"/>
  <c r="AD152" i="20" s="1"/>
  <c r="AI144" i="20"/>
  <c r="AH144" i="20" s="1"/>
  <c r="AG144" i="20" s="1"/>
  <c r="AF144" i="20" s="1"/>
  <c r="AD144" i="20" s="1"/>
  <c r="AI136" i="20"/>
  <c r="AH136" i="20" s="1"/>
  <c r="AG136" i="20" s="1"/>
  <c r="AF136" i="20" s="1"/>
  <c r="AD136" i="20" s="1"/>
  <c r="AI128" i="20"/>
  <c r="AH128" i="20" s="1"/>
  <c r="AG128" i="20" s="1"/>
  <c r="AF128" i="20" s="1"/>
  <c r="AD128" i="20" s="1"/>
  <c r="AI120" i="20"/>
  <c r="AH120" i="20" s="1"/>
  <c r="AG120" i="20" s="1"/>
  <c r="AF120" i="20" s="1"/>
  <c r="AD120" i="20" s="1"/>
  <c r="AI114" i="20"/>
  <c r="AH114" i="20" s="1"/>
  <c r="AG114" i="20" s="1"/>
  <c r="AF114" i="20" s="1"/>
  <c r="AD114" i="20" s="1"/>
  <c r="AI110" i="20"/>
  <c r="AH110" i="20" s="1"/>
  <c r="AG110" i="20" s="1"/>
  <c r="AF110" i="20" s="1"/>
  <c r="AD110" i="20" s="1"/>
  <c r="AI106" i="20"/>
  <c r="AH106" i="20" s="1"/>
  <c r="AG106" i="20" s="1"/>
  <c r="AF106" i="20" s="1"/>
  <c r="AD106" i="20" s="1"/>
  <c r="AA106" i="20" s="1"/>
  <c r="Z106" i="20" s="1"/>
  <c r="Y106" i="20" s="1"/>
  <c r="AE381" i="20"/>
  <c r="AE382" i="20"/>
  <c r="AE383" i="20"/>
  <c r="Q349" i="22"/>
  <c r="Q315" i="22"/>
  <c r="V379" i="20"/>
  <c r="B379" i="20" s="1"/>
  <c r="D40" i="19"/>
  <c r="Q365" i="22"/>
  <c r="Q333" i="22"/>
  <c r="Q281" i="22"/>
  <c r="Q373" i="22"/>
  <c r="Q357" i="22"/>
  <c r="Q341" i="22"/>
  <c r="Q325" i="22"/>
  <c r="Q299" i="22"/>
  <c r="Q247" i="22"/>
  <c r="Q377" i="22"/>
  <c r="Q369" i="22"/>
  <c r="Q361" i="22"/>
  <c r="Q353" i="22"/>
  <c r="Q345" i="22"/>
  <c r="Q337" i="22"/>
  <c r="Q329" i="22"/>
  <c r="Q321" i="22"/>
  <c r="Q307" i="22"/>
  <c r="Q291" i="22"/>
  <c r="Q265" i="22"/>
  <c r="Q215" i="22"/>
  <c r="J362" i="18"/>
  <c r="C362" i="6" s="1"/>
  <c r="I81" i="18"/>
  <c r="B81" i="6" s="1"/>
  <c r="BA81" i="6" s="1"/>
  <c r="D81" i="6" s="1"/>
  <c r="J169" i="18"/>
  <c r="C169" i="6" s="1"/>
  <c r="J203" i="18"/>
  <c r="C203" i="6" s="1"/>
  <c r="J28" i="18"/>
  <c r="C28" i="6" s="1"/>
  <c r="J246" i="18"/>
  <c r="C246" i="6" s="1"/>
  <c r="AA119" i="18"/>
  <c r="Z119" i="18" s="1"/>
  <c r="Y119" i="18" s="1"/>
  <c r="J27" i="18"/>
  <c r="C27" i="6" s="1"/>
  <c r="I73" i="18"/>
  <c r="B73" i="6" s="1"/>
  <c r="BA73" i="6" s="1"/>
  <c r="D73" i="6" s="1"/>
  <c r="J243" i="18"/>
  <c r="C243" i="6" s="1"/>
  <c r="J343" i="18"/>
  <c r="C343" i="6" s="1"/>
  <c r="J356" i="18"/>
  <c r="C356" i="6" s="1"/>
  <c r="Q379" i="22"/>
  <c r="AN15" i="7" s="1"/>
  <c r="Q375" i="22"/>
  <c r="Q371" i="22"/>
  <c r="Q367" i="22"/>
  <c r="Q363" i="22"/>
  <c r="Q359" i="22"/>
  <c r="Q355" i="22"/>
  <c r="Q351" i="22"/>
  <c r="Q347" i="22"/>
  <c r="Q343" i="22"/>
  <c r="Q339" i="22"/>
  <c r="Q335" i="22"/>
  <c r="Q331" i="22"/>
  <c r="Q327" i="22"/>
  <c r="Q323" i="22"/>
  <c r="Q319" i="22"/>
  <c r="Q311" i="22"/>
  <c r="Q303" i="22"/>
  <c r="Q295" i="22"/>
  <c r="Q287" i="22"/>
  <c r="Q273" i="22"/>
  <c r="Q257" i="22"/>
  <c r="Q231" i="22"/>
  <c r="Q197" i="22"/>
  <c r="J186" i="18"/>
  <c r="C186" i="6" s="1"/>
  <c r="Q317" i="22"/>
  <c r="Q313" i="22"/>
  <c r="Q309" i="22"/>
  <c r="Q305" i="22"/>
  <c r="Q301" i="22"/>
  <c r="Q297" i="22"/>
  <c r="Q293" i="22"/>
  <c r="Q289" i="22"/>
  <c r="Q285" i="22"/>
  <c r="Q277" i="22"/>
  <c r="Q269" i="22"/>
  <c r="Q261" i="22"/>
  <c r="Q253" i="22"/>
  <c r="Q239" i="22"/>
  <c r="Q223" i="22"/>
  <c r="Q207" i="22"/>
  <c r="Q136" i="22"/>
  <c r="I214" i="18"/>
  <c r="B214" i="6" s="1"/>
  <c r="BA214" i="6" s="1"/>
  <c r="D214" i="6" s="1"/>
  <c r="AA379" i="18"/>
  <c r="Z379" i="18" s="1"/>
  <c r="Y379" i="18" s="1"/>
  <c r="J19" i="18"/>
  <c r="C19" i="6" s="1"/>
  <c r="H379" i="18"/>
  <c r="J379" i="18" s="1"/>
  <c r="C379" i="6" s="1"/>
  <c r="G302" i="18"/>
  <c r="CA302" i="6" s="1"/>
  <c r="I282" i="18"/>
  <c r="B282" i="6" s="1"/>
  <c r="BA282" i="6" s="1"/>
  <c r="D282" i="6" s="1"/>
  <c r="I141" i="18"/>
  <c r="B141" i="6" s="1"/>
  <c r="BA141" i="6" s="1"/>
  <c r="D141" i="6" s="1"/>
  <c r="J256" i="18"/>
  <c r="C256" i="6" s="1"/>
  <c r="I164" i="18"/>
  <c r="B164" i="6" s="1"/>
  <c r="BA164" i="6" s="1"/>
  <c r="D164" i="6" s="1"/>
  <c r="I320" i="18"/>
  <c r="B320" i="6" s="1"/>
  <c r="BA320" i="6" s="1"/>
  <c r="D320" i="6" s="1"/>
  <c r="I232" i="18"/>
  <c r="B232" i="6" s="1"/>
  <c r="BA232" i="6" s="1"/>
  <c r="D232" i="6" s="1"/>
  <c r="J36" i="18"/>
  <c r="C36" i="6" s="1"/>
  <c r="H302" i="18"/>
  <c r="J302" i="18" s="1"/>
  <c r="C302" i="6" s="1"/>
  <c r="Q283" i="22"/>
  <c r="Q279" i="22"/>
  <c r="Q275" i="22"/>
  <c r="Q271" i="22"/>
  <c r="Q267" i="22"/>
  <c r="Q263" i="22"/>
  <c r="Q259" i="22"/>
  <c r="Q255" i="22"/>
  <c r="Q251" i="22"/>
  <c r="Q243" i="22"/>
  <c r="Q235" i="22"/>
  <c r="Q227" i="22"/>
  <c r="Q219" i="22"/>
  <c r="Q211" i="22"/>
  <c r="Q203" i="22"/>
  <c r="Q168" i="22"/>
  <c r="Q104" i="22"/>
  <c r="Q249" i="22"/>
  <c r="Q245" i="22"/>
  <c r="Q241" i="22"/>
  <c r="Q237" i="22"/>
  <c r="Q233" i="22"/>
  <c r="Q229" i="22"/>
  <c r="Q225" i="22"/>
  <c r="Q221" i="22"/>
  <c r="Q217" i="22"/>
  <c r="Q213" i="22"/>
  <c r="Q209" i="22"/>
  <c r="Q205" i="22"/>
  <c r="Q201" i="22"/>
  <c r="Q184" i="22"/>
  <c r="Q152" i="22"/>
  <c r="Q120" i="22"/>
  <c r="Q78" i="22"/>
  <c r="J318" i="18"/>
  <c r="C318" i="6" s="1"/>
  <c r="I69" i="18"/>
  <c r="B69" i="6" s="1"/>
  <c r="BA69" i="6" s="1"/>
  <c r="D69" i="6" s="1"/>
  <c r="I198" i="18"/>
  <c r="B198" i="6" s="1"/>
  <c r="BA198" i="6" s="1"/>
  <c r="D198" i="6" s="1"/>
  <c r="Q192" i="22"/>
  <c r="Q176" i="22"/>
  <c r="Q160" i="22"/>
  <c r="Q144" i="22"/>
  <c r="Q128" i="22"/>
  <c r="Q112" i="22"/>
  <c r="Q94" i="22"/>
  <c r="Q46" i="22"/>
  <c r="Q199" i="22"/>
  <c r="Q195" i="22"/>
  <c r="Q188" i="22"/>
  <c r="Q180" i="22"/>
  <c r="Q172" i="22"/>
  <c r="Q164" i="22"/>
  <c r="Q156" i="22"/>
  <c r="Q148" i="22"/>
  <c r="Q140" i="22"/>
  <c r="Q132" i="22"/>
  <c r="Q124" i="22"/>
  <c r="Q116" i="22"/>
  <c r="Q108" i="22"/>
  <c r="Q100" i="22"/>
  <c r="Q86" i="22"/>
  <c r="Q62" i="22"/>
  <c r="Q30" i="22"/>
  <c r="AG383" i="18"/>
  <c r="AG382" i="18"/>
  <c r="AG381" i="18"/>
  <c r="AF15" i="18"/>
  <c r="Q380" i="22"/>
  <c r="Q378" i="22"/>
  <c r="Q376" i="22"/>
  <c r="Q374" i="22"/>
  <c r="Q372" i="22"/>
  <c r="Q370" i="22"/>
  <c r="Q368" i="22"/>
  <c r="Q366" i="22"/>
  <c r="Q364" i="22"/>
  <c r="Q362" i="22"/>
  <c r="Q360" i="22"/>
  <c r="Q358" i="22"/>
  <c r="Q356" i="22"/>
  <c r="Q354" i="22"/>
  <c r="Q352" i="22"/>
  <c r="Q350" i="22"/>
  <c r="Q348" i="22"/>
  <c r="Q346" i="22"/>
  <c r="Q344" i="22"/>
  <c r="Q342" i="22"/>
  <c r="Q340" i="22"/>
  <c r="Q338" i="22"/>
  <c r="Q336" i="22"/>
  <c r="Q334" i="22"/>
  <c r="Q332" i="22"/>
  <c r="Q330" i="22"/>
  <c r="Q328" i="22"/>
  <c r="Q326" i="22"/>
  <c r="Q324" i="22"/>
  <c r="Q322" i="22"/>
  <c r="Q320" i="22"/>
  <c r="Q318" i="22"/>
  <c r="Q316" i="22"/>
  <c r="Q314" i="22"/>
  <c r="Q312" i="22"/>
  <c r="Q310" i="22"/>
  <c r="Q308" i="22"/>
  <c r="Q306" i="22"/>
  <c r="Q304" i="22"/>
  <c r="Q302" i="22"/>
  <c r="Q300" i="22"/>
  <c r="Q298" i="22"/>
  <c r="Q296" i="22"/>
  <c r="Q294" i="22"/>
  <c r="Q292" i="22"/>
  <c r="Q290" i="22"/>
  <c r="Q288" i="22"/>
  <c r="Q286" i="22"/>
  <c r="Q284" i="22"/>
  <c r="Q282" i="22"/>
  <c r="Q280" i="22"/>
  <c r="Q278" i="22"/>
  <c r="Q276" i="22"/>
  <c r="Q274" i="22"/>
  <c r="Q272" i="22"/>
  <c r="Q270" i="22"/>
  <c r="Q268" i="22"/>
  <c r="Q266" i="22"/>
  <c r="Q264" i="22"/>
  <c r="Q262" i="22"/>
  <c r="Q260" i="22"/>
  <c r="Q258" i="22"/>
  <c r="Q256" i="22"/>
  <c r="Q254" i="22"/>
  <c r="Q252" i="22"/>
  <c r="Q250" i="22"/>
  <c r="Q248" i="22"/>
  <c r="Q246" i="22"/>
  <c r="Q244" i="22"/>
  <c r="Q242" i="22"/>
  <c r="Q240" i="22"/>
  <c r="Q238" i="22"/>
  <c r="Q236" i="22"/>
  <c r="Q234" i="22"/>
  <c r="Q232" i="22"/>
  <c r="Q230" i="22"/>
  <c r="Q228" i="22"/>
  <c r="Q226" i="22"/>
  <c r="Q224" i="22"/>
  <c r="Q222" i="22"/>
  <c r="Q220" i="22"/>
  <c r="Q218" i="22"/>
  <c r="Q216" i="22"/>
  <c r="Q214" i="22"/>
  <c r="Q212" i="22"/>
  <c r="Q210" i="22"/>
  <c r="Q208" i="22"/>
  <c r="Q206" i="22"/>
  <c r="Q204" i="22"/>
  <c r="Q202" i="22"/>
  <c r="Q200" i="22"/>
  <c r="Q198" i="22"/>
  <c r="Q196" i="22"/>
  <c r="Q194" i="22"/>
  <c r="Q190" i="22"/>
  <c r="Q186" i="22"/>
  <c r="Q182" i="22"/>
  <c r="Q178" i="22"/>
  <c r="Q174" i="22"/>
  <c r="Q170" i="22"/>
  <c r="Q166" i="22"/>
  <c r="Q162" i="22"/>
  <c r="Q158" i="22"/>
  <c r="Q154" i="22"/>
  <c r="Q150" i="22"/>
  <c r="Q146" i="22"/>
  <c r="Q142" i="22"/>
  <c r="Q138" i="22"/>
  <c r="Q134" i="22"/>
  <c r="Q130" i="22"/>
  <c r="Q126" i="22"/>
  <c r="Q122" i="22"/>
  <c r="Q118" i="22"/>
  <c r="Q114" i="22"/>
  <c r="Q110" i="22"/>
  <c r="Q106" i="22"/>
  <c r="Q102" i="22"/>
  <c r="Q98" i="22"/>
  <c r="Q90" i="22"/>
  <c r="Q82" i="22"/>
  <c r="Q70" i="22"/>
  <c r="Q54" i="22"/>
  <c r="Q38" i="22"/>
  <c r="Q22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B48" i="20"/>
  <c r="W48" i="20" s="1"/>
  <c r="C66" i="19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D25" i="20"/>
  <c r="E25" i="20" s="1"/>
  <c r="F25" i="20" s="1"/>
  <c r="W25" i="20"/>
  <c r="W33" i="20"/>
  <c r="D33" i="20"/>
  <c r="E33" i="20" s="1"/>
  <c r="F33" i="20" s="1"/>
  <c r="W37" i="20"/>
  <c r="D37" i="20"/>
  <c r="E37" i="20" s="1"/>
  <c r="F37" i="20" s="1"/>
  <c r="D43" i="20"/>
  <c r="E43" i="20" s="1"/>
  <c r="F43" i="20" s="1"/>
  <c r="W43" i="20"/>
  <c r="W53" i="20"/>
  <c r="D53" i="20"/>
  <c r="E53" i="20" s="1"/>
  <c r="F53" i="20" s="1"/>
  <c r="W65" i="20"/>
  <c r="D65" i="20"/>
  <c r="E65" i="20" s="1"/>
  <c r="F65" i="20" s="1"/>
  <c r="D69" i="20"/>
  <c r="E69" i="20" s="1"/>
  <c r="F69" i="20" s="1"/>
  <c r="W69" i="20"/>
  <c r="D79" i="20"/>
  <c r="E79" i="20" s="1"/>
  <c r="F79" i="20" s="1"/>
  <c r="W79" i="20"/>
  <c r="W97" i="20"/>
  <c r="D97" i="20"/>
  <c r="E97" i="20" s="1"/>
  <c r="F97" i="20" s="1"/>
  <c r="D101" i="20"/>
  <c r="E101" i="20" s="1"/>
  <c r="F101" i="20" s="1"/>
  <c r="W101" i="20"/>
  <c r="B105" i="20"/>
  <c r="D109" i="20"/>
  <c r="E109" i="20" s="1"/>
  <c r="F109" i="20" s="1"/>
  <c r="W109" i="20"/>
  <c r="W113" i="20"/>
  <c r="D113" i="20"/>
  <c r="E113" i="20" s="1"/>
  <c r="F113" i="20" s="1"/>
  <c r="AH23" i="7"/>
  <c r="V119" i="20"/>
  <c r="B119" i="20" s="1"/>
  <c r="W131" i="20"/>
  <c r="D131" i="20"/>
  <c r="E131" i="20" s="1"/>
  <c r="F131" i="20" s="1"/>
  <c r="D139" i="20"/>
  <c r="E139" i="20" s="1"/>
  <c r="F139" i="20" s="1"/>
  <c r="W139" i="20"/>
  <c r="W147" i="20"/>
  <c r="D147" i="20"/>
  <c r="E147" i="20" s="1"/>
  <c r="F147" i="20" s="1"/>
  <c r="D155" i="20"/>
  <c r="E155" i="20" s="1"/>
  <c r="F155" i="20" s="1"/>
  <c r="W155" i="20"/>
  <c r="W167" i="20"/>
  <c r="D167" i="20"/>
  <c r="E167" i="20" s="1"/>
  <c r="F167" i="20" s="1"/>
  <c r="W183" i="20"/>
  <c r="D183" i="20"/>
  <c r="E183" i="20" s="1"/>
  <c r="F183" i="20" s="1"/>
  <c r="D193" i="20"/>
  <c r="E193" i="20" s="1"/>
  <c r="F193" i="20" s="1"/>
  <c r="W193" i="20"/>
  <c r="D197" i="20"/>
  <c r="E197" i="20" s="1"/>
  <c r="F197" i="20" s="1"/>
  <c r="W197" i="20"/>
  <c r="W201" i="20"/>
  <c r="D201" i="20"/>
  <c r="E201" i="20" s="1"/>
  <c r="F201" i="20" s="1"/>
  <c r="D205" i="20"/>
  <c r="E205" i="20" s="1"/>
  <c r="F205" i="20" s="1"/>
  <c r="W205" i="20"/>
  <c r="D209" i="20"/>
  <c r="E209" i="20" s="1"/>
  <c r="F209" i="20" s="1"/>
  <c r="W209" i="20"/>
  <c r="W215" i="20"/>
  <c r="D215" i="20"/>
  <c r="E215" i="20" s="1"/>
  <c r="F215" i="20" s="1"/>
  <c r="D219" i="20"/>
  <c r="E219" i="20" s="1"/>
  <c r="F219" i="20" s="1"/>
  <c r="W219" i="20"/>
  <c r="W233" i="20"/>
  <c r="D233" i="20"/>
  <c r="E233" i="20" s="1"/>
  <c r="F233" i="20" s="1"/>
  <c r="W237" i="20"/>
  <c r="D237" i="20"/>
  <c r="E237" i="20" s="1"/>
  <c r="F237" i="20" s="1"/>
  <c r="D243" i="20"/>
  <c r="E243" i="20" s="1"/>
  <c r="F243" i="20" s="1"/>
  <c r="W243" i="20"/>
  <c r="D251" i="20"/>
  <c r="E251" i="20" s="1"/>
  <c r="F251" i="20" s="1"/>
  <c r="W251" i="20"/>
  <c r="W257" i="20"/>
  <c r="D257" i="20"/>
  <c r="E257" i="20" s="1"/>
  <c r="F257" i="20" s="1"/>
  <c r="W261" i="20"/>
  <c r="D261" i="20"/>
  <c r="E261" i="20" s="1"/>
  <c r="F261" i="20" s="1"/>
  <c r="D265" i="20"/>
  <c r="E265" i="20" s="1"/>
  <c r="F265" i="20" s="1"/>
  <c r="W265" i="20"/>
  <c r="W277" i="20"/>
  <c r="D277" i="20"/>
  <c r="E277" i="20" s="1"/>
  <c r="F277" i="20" s="1"/>
  <c r="W281" i="20"/>
  <c r="D281" i="20"/>
  <c r="E281" i="20" s="1"/>
  <c r="F281" i="20" s="1"/>
  <c r="W285" i="20"/>
  <c r="D285" i="20"/>
  <c r="E285" i="20" s="1"/>
  <c r="F285" i="20" s="1"/>
  <c r="D293" i="20"/>
  <c r="E293" i="20" s="1"/>
  <c r="F293" i="20" s="1"/>
  <c r="W293" i="20"/>
  <c r="W299" i="20"/>
  <c r="D299" i="20"/>
  <c r="E299" i="20" s="1"/>
  <c r="F299" i="20" s="1"/>
  <c r="W303" i="20"/>
  <c r="D303" i="20"/>
  <c r="E303" i="20" s="1"/>
  <c r="F303" i="20" s="1"/>
  <c r="W307" i="20"/>
  <c r="D307" i="20"/>
  <c r="E307" i="20" s="1"/>
  <c r="F307" i="20" s="1"/>
  <c r="D311" i="20"/>
  <c r="E311" i="20" s="1"/>
  <c r="F311" i="20" s="1"/>
  <c r="W311" i="20"/>
  <c r="D317" i="20"/>
  <c r="E317" i="20" s="1"/>
  <c r="F317" i="20" s="1"/>
  <c r="W317" i="20"/>
  <c r="W329" i="20"/>
  <c r="D329" i="20"/>
  <c r="E329" i="20" s="1"/>
  <c r="F329" i="20" s="1"/>
  <c r="W337" i="20"/>
  <c r="D337" i="20"/>
  <c r="E337" i="20" s="1"/>
  <c r="F337" i="20" s="1"/>
  <c r="W343" i="20"/>
  <c r="D343" i="20"/>
  <c r="E343" i="20" s="1"/>
  <c r="F343" i="20" s="1"/>
  <c r="D351" i="20"/>
  <c r="E351" i="20" s="1"/>
  <c r="F351" i="20" s="1"/>
  <c r="W351" i="20"/>
  <c r="D355" i="20"/>
  <c r="E355" i="20" s="1"/>
  <c r="F355" i="20" s="1"/>
  <c r="W355" i="20"/>
  <c r="D361" i="20"/>
  <c r="E361" i="20" s="1"/>
  <c r="F361" i="20" s="1"/>
  <c r="W361" i="20"/>
  <c r="D371" i="20"/>
  <c r="E371" i="20" s="1"/>
  <c r="F371" i="20" s="1"/>
  <c r="W371" i="20"/>
  <c r="D377" i="20"/>
  <c r="E377" i="20" s="1"/>
  <c r="F377" i="20" s="1"/>
  <c r="W377" i="20"/>
  <c r="I194" i="18"/>
  <c r="B194" i="6" s="1"/>
  <c r="BA194" i="6" s="1"/>
  <c r="D194" i="6" s="1"/>
  <c r="J194" i="18"/>
  <c r="C194" i="6" s="1"/>
  <c r="W44" i="20"/>
  <c r="D44" i="20"/>
  <c r="E44" i="20" s="1"/>
  <c r="F44" i="20" s="1"/>
  <c r="W92" i="20"/>
  <c r="D92" i="20"/>
  <c r="E92" i="20" s="1"/>
  <c r="F92" i="20" s="1"/>
  <c r="W98" i="20"/>
  <c r="D98" i="20"/>
  <c r="E98" i="20" s="1"/>
  <c r="F98" i="20" s="1"/>
  <c r="D104" i="20"/>
  <c r="E104" i="20" s="1"/>
  <c r="F104" i="20" s="1"/>
  <c r="W104" i="20"/>
  <c r="D116" i="20"/>
  <c r="E116" i="20" s="1"/>
  <c r="F116" i="20" s="1"/>
  <c r="W116" i="20"/>
  <c r="W122" i="20"/>
  <c r="D122" i="20"/>
  <c r="E122" i="20" s="1"/>
  <c r="F122" i="20" s="1"/>
  <c r="W130" i="20"/>
  <c r="D130" i="20"/>
  <c r="E130" i="20" s="1"/>
  <c r="F130" i="20" s="1"/>
  <c r="W136" i="20"/>
  <c r="D136" i="20"/>
  <c r="E136" i="20" s="1"/>
  <c r="F136" i="20" s="1"/>
  <c r="D144" i="20"/>
  <c r="E144" i="20" s="1"/>
  <c r="F144" i="20" s="1"/>
  <c r="W144" i="20"/>
  <c r="W148" i="20"/>
  <c r="D148" i="20"/>
  <c r="E148" i="20" s="1"/>
  <c r="F148" i="20" s="1"/>
  <c r="W152" i="20"/>
  <c r="D152" i="20"/>
  <c r="E152" i="20" s="1"/>
  <c r="F152" i="20" s="1"/>
  <c r="W158" i="20"/>
  <c r="D158" i="20"/>
  <c r="E158" i="20" s="1"/>
  <c r="F158" i="20" s="1"/>
  <c r="D164" i="20"/>
  <c r="E164" i="20" s="1"/>
  <c r="F164" i="20" s="1"/>
  <c r="W164" i="20"/>
  <c r="W168" i="20"/>
  <c r="D168" i="20"/>
  <c r="E168" i="20" s="1"/>
  <c r="F168" i="20" s="1"/>
  <c r="W174" i="20"/>
  <c r="D174" i="20"/>
  <c r="E174" i="20" s="1"/>
  <c r="F174" i="20" s="1"/>
  <c r="D178" i="20"/>
  <c r="E178" i="20" s="1"/>
  <c r="F178" i="20" s="1"/>
  <c r="W178" i="20"/>
  <c r="D186" i="20"/>
  <c r="E186" i="20" s="1"/>
  <c r="F186" i="20" s="1"/>
  <c r="W186" i="20"/>
  <c r="D190" i="20"/>
  <c r="E190" i="20" s="1"/>
  <c r="F190" i="20" s="1"/>
  <c r="W190" i="20"/>
  <c r="W194" i="20"/>
  <c r="D194" i="20"/>
  <c r="E194" i="20" s="1"/>
  <c r="F194" i="20" s="1"/>
  <c r="W200" i="20"/>
  <c r="D200" i="20"/>
  <c r="E200" i="20" s="1"/>
  <c r="F200" i="20" s="1"/>
  <c r="W204" i="20"/>
  <c r="D204" i="20"/>
  <c r="E204" i="20" s="1"/>
  <c r="F204" i="20" s="1"/>
  <c r="AH26" i="7"/>
  <c r="V210" i="20"/>
  <c r="B210" i="20" s="1"/>
  <c r="D216" i="20"/>
  <c r="E216" i="20" s="1"/>
  <c r="F216" i="20" s="1"/>
  <c r="W216" i="20"/>
  <c r="D224" i="20"/>
  <c r="E224" i="20" s="1"/>
  <c r="F224" i="20" s="1"/>
  <c r="W224" i="20"/>
  <c r="D232" i="20"/>
  <c r="E232" i="20" s="1"/>
  <c r="F232" i="20" s="1"/>
  <c r="W232" i="20"/>
  <c r="W238" i="20"/>
  <c r="D238" i="20"/>
  <c r="E238" i="20" s="1"/>
  <c r="F238" i="20" s="1"/>
  <c r="D244" i="20"/>
  <c r="E244" i="20" s="1"/>
  <c r="F244" i="20" s="1"/>
  <c r="W244" i="20"/>
  <c r="D248" i="20"/>
  <c r="E248" i="20" s="1"/>
  <c r="F248" i="20" s="1"/>
  <c r="W248" i="20"/>
  <c r="W252" i="20"/>
  <c r="D252" i="20"/>
  <c r="E252" i="20" s="1"/>
  <c r="F252" i="20" s="1"/>
  <c r="B258" i="20"/>
  <c r="W264" i="20"/>
  <c r="D264" i="20"/>
  <c r="E264" i="20" s="1"/>
  <c r="F264" i="20" s="1"/>
  <c r="W268" i="20"/>
  <c r="D268" i="20"/>
  <c r="E268" i="20" s="1"/>
  <c r="F268" i="20" s="1"/>
  <c r="D274" i="20"/>
  <c r="E274" i="20" s="1"/>
  <c r="F274" i="20" s="1"/>
  <c r="W274" i="20"/>
  <c r="D278" i="20"/>
  <c r="E278" i="20" s="1"/>
  <c r="F278" i="20" s="1"/>
  <c r="W278" i="20"/>
  <c r="W282" i="20"/>
  <c r="D282" i="20"/>
  <c r="E282" i="20" s="1"/>
  <c r="F282" i="20" s="1"/>
  <c r="B288" i="20"/>
  <c r="D292" i="20"/>
  <c r="E292" i="20" s="1"/>
  <c r="F292" i="20" s="1"/>
  <c r="W292" i="20"/>
  <c r="W296" i="20"/>
  <c r="D296" i="20"/>
  <c r="E296" i="20" s="1"/>
  <c r="F296" i="20" s="1"/>
  <c r="AH29" i="7"/>
  <c r="V302" i="20"/>
  <c r="B302" i="20" s="1"/>
  <c r="W310" i="20"/>
  <c r="D310" i="20"/>
  <c r="E310" i="20" s="1"/>
  <c r="F310" i="20" s="1"/>
  <c r="D314" i="20"/>
  <c r="E314" i="20" s="1"/>
  <c r="F314" i="20" s="1"/>
  <c r="W314" i="20"/>
  <c r="D320" i="20"/>
  <c r="E320" i="20" s="1"/>
  <c r="F320" i="20" s="1"/>
  <c r="W320" i="20"/>
  <c r="W326" i="20"/>
  <c r="D326" i="20"/>
  <c r="E326" i="20" s="1"/>
  <c r="F326" i="20" s="1"/>
  <c r="W330" i="20"/>
  <c r="D330" i="20"/>
  <c r="E330" i="20" s="1"/>
  <c r="F330" i="20" s="1"/>
  <c r="D336" i="20"/>
  <c r="E336" i="20" s="1"/>
  <c r="F336" i="20" s="1"/>
  <c r="W336" i="20"/>
  <c r="W340" i="20"/>
  <c r="D340" i="20"/>
  <c r="E340" i="20" s="1"/>
  <c r="F340" i="20" s="1"/>
  <c r="W346" i="20"/>
  <c r="D346" i="20"/>
  <c r="E346" i="20" s="1"/>
  <c r="F346" i="20" s="1"/>
  <c r="D356" i="20"/>
  <c r="E356" i="20" s="1"/>
  <c r="F356" i="20" s="1"/>
  <c r="W356" i="20"/>
  <c r="D362" i="20"/>
  <c r="E362" i="20" s="1"/>
  <c r="F362" i="20" s="1"/>
  <c r="W362" i="20"/>
  <c r="W368" i="20"/>
  <c r="D368" i="20"/>
  <c r="E368" i="20" s="1"/>
  <c r="F368" i="20" s="1"/>
  <c r="W378" i="20"/>
  <c r="D378" i="20"/>
  <c r="E378" i="20" s="1"/>
  <c r="F378" i="20" s="1"/>
  <c r="W23" i="20"/>
  <c r="D23" i="20"/>
  <c r="E23" i="20" s="1"/>
  <c r="F23" i="20" s="1"/>
  <c r="AH20" i="7"/>
  <c r="V29" i="20"/>
  <c r="B29" i="20" s="1"/>
  <c r="D35" i="20"/>
  <c r="E35" i="20" s="1"/>
  <c r="F35" i="20" s="1"/>
  <c r="W35" i="20"/>
  <c r="W39" i="20"/>
  <c r="D39" i="20"/>
  <c r="E39" i="20" s="1"/>
  <c r="F39" i="20" s="1"/>
  <c r="W51" i="20"/>
  <c r="D51" i="20"/>
  <c r="E51" i="20" s="1"/>
  <c r="F51" i="20" s="1"/>
  <c r="D55" i="20"/>
  <c r="E55" i="20" s="1"/>
  <c r="F55" i="20" s="1"/>
  <c r="W55" i="20"/>
  <c r="D63" i="20"/>
  <c r="E63" i="20" s="1"/>
  <c r="F63" i="20" s="1"/>
  <c r="W63" i="20"/>
  <c r="D67" i="20"/>
  <c r="E67" i="20" s="1"/>
  <c r="F67" i="20" s="1"/>
  <c r="W67" i="20"/>
  <c r="W73" i="20"/>
  <c r="D73" i="20"/>
  <c r="E73" i="20" s="1"/>
  <c r="F73" i="20" s="1"/>
  <c r="D83" i="20"/>
  <c r="E83" i="20" s="1"/>
  <c r="F83" i="20" s="1"/>
  <c r="W83" i="20"/>
  <c r="W99" i="20"/>
  <c r="D99" i="20"/>
  <c r="E99" i="20" s="1"/>
  <c r="F99" i="20" s="1"/>
  <c r="W103" i="20"/>
  <c r="D103" i="20"/>
  <c r="E103" i="20" s="1"/>
  <c r="F103" i="20" s="1"/>
  <c r="D107" i="20"/>
  <c r="E107" i="20" s="1"/>
  <c r="F107" i="20" s="1"/>
  <c r="W107" i="20"/>
  <c r="W111" i="20"/>
  <c r="D111" i="20"/>
  <c r="E111" i="20" s="1"/>
  <c r="F111" i="20" s="1"/>
  <c r="D115" i="20"/>
  <c r="E115" i="20" s="1"/>
  <c r="F115" i="20" s="1"/>
  <c r="W115" i="20"/>
  <c r="W121" i="20"/>
  <c r="D121" i="20"/>
  <c r="E121" i="20" s="1"/>
  <c r="F121" i="20" s="1"/>
  <c r="D129" i="20"/>
  <c r="E129" i="20" s="1"/>
  <c r="F129" i="20" s="1"/>
  <c r="W129" i="20"/>
  <c r="W133" i="20"/>
  <c r="D133" i="20"/>
  <c r="E133" i="20" s="1"/>
  <c r="F133" i="20" s="1"/>
  <c r="W141" i="20"/>
  <c r="D141" i="20"/>
  <c r="E141" i="20" s="1"/>
  <c r="F141" i="20" s="1"/>
  <c r="D153" i="20"/>
  <c r="E153" i="20" s="1"/>
  <c r="F153" i="20" s="1"/>
  <c r="W153" i="20"/>
  <c r="W159" i="20"/>
  <c r="D159" i="20"/>
  <c r="E159" i="20" s="1"/>
  <c r="F159" i="20" s="1"/>
  <c r="W173" i="20"/>
  <c r="D173" i="20"/>
  <c r="E173" i="20" s="1"/>
  <c r="F173" i="20" s="1"/>
  <c r="W185" i="20"/>
  <c r="D185" i="20"/>
  <c r="E185" i="20" s="1"/>
  <c r="F185" i="20" s="1"/>
  <c r="D195" i="20"/>
  <c r="E195" i="20" s="1"/>
  <c r="F195" i="20" s="1"/>
  <c r="W195" i="20"/>
  <c r="W199" i="20"/>
  <c r="D199" i="20"/>
  <c r="E199" i="20" s="1"/>
  <c r="F199" i="20" s="1"/>
  <c r="D203" i="20"/>
  <c r="E203" i="20" s="1"/>
  <c r="F203" i="20" s="1"/>
  <c r="W203" i="20"/>
  <c r="D207" i="20"/>
  <c r="E207" i="20" s="1"/>
  <c r="F207" i="20" s="1"/>
  <c r="W207" i="20"/>
  <c r="D211" i="20"/>
  <c r="E211" i="20" s="1"/>
  <c r="F211" i="20" s="1"/>
  <c r="W211" i="20"/>
  <c r="D217" i="20"/>
  <c r="E217" i="20" s="1"/>
  <c r="F217" i="20" s="1"/>
  <c r="W217" i="20"/>
  <c r="D229" i="20"/>
  <c r="E229" i="20" s="1"/>
  <c r="F229" i="20" s="1"/>
  <c r="W229" i="20"/>
  <c r="W235" i="20"/>
  <c r="D235" i="20"/>
  <c r="E235" i="20" s="1"/>
  <c r="F235" i="20" s="1"/>
  <c r="AH27" i="7"/>
  <c r="V241" i="20"/>
  <c r="B241" i="20" s="1"/>
  <c r="D245" i="20"/>
  <c r="E245" i="20" s="1"/>
  <c r="F245" i="20" s="1"/>
  <c r="W245" i="20"/>
  <c r="W253" i="20"/>
  <c r="D253" i="20"/>
  <c r="E253" i="20" s="1"/>
  <c r="F253" i="20" s="1"/>
  <c r="D259" i="20"/>
  <c r="E259" i="20" s="1"/>
  <c r="F259" i="20" s="1"/>
  <c r="W259" i="20"/>
  <c r="W263" i="20"/>
  <c r="D263" i="20"/>
  <c r="E263" i="20" s="1"/>
  <c r="F263" i="20" s="1"/>
  <c r="D275" i="20"/>
  <c r="E275" i="20" s="1"/>
  <c r="F275" i="20" s="1"/>
  <c r="W275" i="20"/>
  <c r="W279" i="20"/>
  <c r="D279" i="20"/>
  <c r="E279" i="20" s="1"/>
  <c r="F279" i="20" s="1"/>
  <c r="W283" i="20"/>
  <c r="D283" i="20"/>
  <c r="E283" i="20" s="1"/>
  <c r="F283" i="20" s="1"/>
  <c r="D287" i="20"/>
  <c r="E287" i="20" s="1"/>
  <c r="F287" i="20" s="1"/>
  <c r="W287" i="20"/>
  <c r="W297" i="20"/>
  <c r="D297" i="20"/>
  <c r="E297" i="20" s="1"/>
  <c r="F297" i="20" s="1"/>
  <c r="D301" i="20"/>
  <c r="E301" i="20" s="1"/>
  <c r="F301" i="20" s="1"/>
  <c r="W301" i="20"/>
  <c r="W305" i="20"/>
  <c r="D305" i="20"/>
  <c r="E305" i="20" s="1"/>
  <c r="F305" i="20" s="1"/>
  <c r="D309" i="20"/>
  <c r="E309" i="20" s="1"/>
  <c r="F309" i="20" s="1"/>
  <c r="W309" i="20"/>
  <c r="W313" i="20"/>
  <c r="D313" i="20"/>
  <c r="E313" i="20" s="1"/>
  <c r="F313" i="20" s="1"/>
  <c r="B319" i="20"/>
  <c r="AH30" i="7"/>
  <c r="V333" i="20"/>
  <c r="B333" i="20" s="1"/>
  <c r="W341" i="20"/>
  <c r="D341" i="20"/>
  <c r="E341" i="20" s="1"/>
  <c r="F341" i="20" s="1"/>
  <c r="W347" i="20"/>
  <c r="D347" i="20"/>
  <c r="E347" i="20" s="1"/>
  <c r="F347" i="20" s="1"/>
  <c r="W353" i="20"/>
  <c r="D353" i="20"/>
  <c r="E353" i="20" s="1"/>
  <c r="F353" i="20" s="1"/>
  <c r="D359" i="20"/>
  <c r="E359" i="20" s="1"/>
  <c r="F359" i="20" s="1"/>
  <c r="W359" i="20"/>
  <c r="AH31" i="7"/>
  <c r="V363" i="20"/>
  <c r="B363" i="20" s="1"/>
  <c r="W375" i="20"/>
  <c r="D375" i="20"/>
  <c r="E375" i="20" s="1"/>
  <c r="F375" i="20" s="1"/>
  <c r="W40" i="20"/>
  <c r="D40" i="20"/>
  <c r="E40" i="20" s="1"/>
  <c r="F40" i="20" s="1"/>
  <c r="W96" i="20"/>
  <c r="D96" i="20"/>
  <c r="E96" i="20" s="1"/>
  <c r="F96" i="20" s="1"/>
  <c r="W102" i="20"/>
  <c r="D102" i="20"/>
  <c r="E102" i="20" s="1"/>
  <c r="F102" i="20" s="1"/>
  <c r="D108" i="20"/>
  <c r="E108" i="20" s="1"/>
  <c r="F108" i="20" s="1"/>
  <c r="W108" i="20"/>
  <c r="D118" i="20"/>
  <c r="E118" i="20" s="1"/>
  <c r="F118" i="20" s="1"/>
  <c r="W118" i="20"/>
  <c r="D126" i="20"/>
  <c r="E126" i="20" s="1"/>
  <c r="F126" i="20" s="1"/>
  <c r="W126" i="20"/>
  <c r="W132" i="20"/>
  <c r="D132" i="20"/>
  <c r="E132" i="20" s="1"/>
  <c r="F132" i="20" s="1"/>
  <c r="W142" i="20"/>
  <c r="D142" i="20"/>
  <c r="E142" i="20" s="1"/>
  <c r="F142" i="20" s="1"/>
  <c r="D146" i="20"/>
  <c r="E146" i="20" s="1"/>
  <c r="F146" i="20" s="1"/>
  <c r="W146" i="20"/>
  <c r="W150" i="20"/>
  <c r="D150" i="20"/>
  <c r="E150" i="20" s="1"/>
  <c r="F150" i="20" s="1"/>
  <c r="W154" i="20"/>
  <c r="D154" i="20"/>
  <c r="E154" i="20" s="1"/>
  <c r="F154" i="20" s="1"/>
  <c r="D162" i="20"/>
  <c r="E162" i="20" s="1"/>
  <c r="F162" i="20" s="1"/>
  <c r="W162" i="20"/>
  <c r="B166" i="20"/>
  <c r="W170" i="20"/>
  <c r="D170" i="20"/>
  <c r="E170" i="20" s="1"/>
  <c r="F170" i="20" s="1"/>
  <c r="D176" i="20"/>
  <c r="E176" i="20" s="1"/>
  <c r="F176" i="20" s="1"/>
  <c r="W176" i="20"/>
  <c r="D184" i="20"/>
  <c r="E184" i="20" s="1"/>
  <c r="F184" i="20" s="1"/>
  <c r="W184" i="20"/>
  <c r="D188" i="20"/>
  <c r="E188" i="20" s="1"/>
  <c r="F188" i="20" s="1"/>
  <c r="W188" i="20"/>
  <c r="W192" i="20"/>
  <c r="D192" i="20"/>
  <c r="E192" i="20" s="1"/>
  <c r="F192" i="20" s="1"/>
  <c r="B196" i="20"/>
  <c r="D202" i="20"/>
  <c r="E202" i="20" s="1"/>
  <c r="F202" i="20" s="1"/>
  <c r="W202" i="20"/>
  <c r="D206" i="20"/>
  <c r="E206" i="20" s="1"/>
  <c r="F206" i="20" s="1"/>
  <c r="W206" i="20"/>
  <c r="D212" i="20"/>
  <c r="E212" i="20" s="1"/>
  <c r="F212" i="20" s="1"/>
  <c r="W212" i="20"/>
  <c r="W222" i="20"/>
  <c r="D222" i="20"/>
  <c r="E222" i="20" s="1"/>
  <c r="F222" i="20" s="1"/>
  <c r="W230" i="20"/>
  <c r="D230" i="20"/>
  <c r="E230" i="20" s="1"/>
  <c r="F230" i="20" s="1"/>
  <c r="D236" i="20"/>
  <c r="E236" i="20" s="1"/>
  <c r="F236" i="20" s="1"/>
  <c r="W236" i="20"/>
  <c r="D242" i="20"/>
  <c r="E242" i="20" s="1"/>
  <c r="F242" i="20" s="1"/>
  <c r="W242" i="20"/>
  <c r="W246" i="20"/>
  <c r="D246" i="20"/>
  <c r="E246" i="20" s="1"/>
  <c r="F246" i="20" s="1"/>
  <c r="D250" i="20"/>
  <c r="E250" i="20" s="1"/>
  <c r="F250" i="20" s="1"/>
  <c r="W250" i="20"/>
  <c r="D256" i="20"/>
  <c r="E256" i="20" s="1"/>
  <c r="F256" i="20" s="1"/>
  <c r="W256" i="20"/>
  <c r="W260" i="20"/>
  <c r="D260" i="20"/>
  <c r="E260" i="20" s="1"/>
  <c r="F260" i="20" s="1"/>
  <c r="W266" i="20"/>
  <c r="D266" i="20"/>
  <c r="E266" i="20" s="1"/>
  <c r="F266" i="20" s="1"/>
  <c r="AH28" i="7"/>
  <c r="V272" i="20"/>
  <c r="B272" i="20" s="1"/>
  <c r="D276" i="20"/>
  <c r="E276" i="20" s="1"/>
  <c r="F276" i="20" s="1"/>
  <c r="W276" i="20"/>
  <c r="W280" i="20"/>
  <c r="D280" i="20"/>
  <c r="E280" i="20" s="1"/>
  <c r="F280" i="20" s="1"/>
  <c r="W286" i="20"/>
  <c r="D286" i="20"/>
  <c r="E286" i="20" s="1"/>
  <c r="F286" i="20" s="1"/>
  <c r="W290" i="20"/>
  <c r="D290" i="20"/>
  <c r="E290" i="20" s="1"/>
  <c r="F290" i="20" s="1"/>
  <c r="W294" i="20"/>
  <c r="D294" i="20"/>
  <c r="E294" i="20" s="1"/>
  <c r="F294" i="20" s="1"/>
  <c r="W298" i="20"/>
  <c r="D298" i="20"/>
  <c r="E298" i="20" s="1"/>
  <c r="F298" i="20" s="1"/>
  <c r="W306" i="20"/>
  <c r="D306" i="20"/>
  <c r="E306" i="20" s="1"/>
  <c r="F306" i="20" s="1"/>
  <c r="D312" i="20"/>
  <c r="E312" i="20" s="1"/>
  <c r="F312" i="20" s="1"/>
  <c r="W312" i="20"/>
  <c r="D318" i="20"/>
  <c r="E318" i="20" s="1"/>
  <c r="F318" i="20" s="1"/>
  <c r="W318" i="20"/>
  <c r="W324" i="20"/>
  <c r="D324" i="20"/>
  <c r="E324" i="20" s="1"/>
  <c r="F324" i="20" s="1"/>
  <c r="D328" i="20"/>
  <c r="E328" i="20" s="1"/>
  <c r="F328" i="20" s="1"/>
  <c r="W328" i="20"/>
  <c r="W332" i="20"/>
  <c r="D332" i="20"/>
  <c r="E332" i="20" s="1"/>
  <c r="F332" i="20" s="1"/>
  <c r="W338" i="20"/>
  <c r="D338" i="20"/>
  <c r="E338" i="20" s="1"/>
  <c r="F338" i="20" s="1"/>
  <c r="D342" i="20"/>
  <c r="E342" i="20" s="1"/>
  <c r="F342" i="20" s="1"/>
  <c r="W342" i="20"/>
  <c r="D354" i="20"/>
  <c r="E354" i="20" s="1"/>
  <c r="F354" i="20" s="1"/>
  <c r="W354" i="20"/>
  <c r="W358" i="20"/>
  <c r="D358" i="20"/>
  <c r="E358" i="20" s="1"/>
  <c r="F358" i="20" s="1"/>
  <c r="D364" i="20"/>
  <c r="E364" i="20" s="1"/>
  <c r="F364" i="20" s="1"/>
  <c r="W364" i="20"/>
  <c r="D372" i="20"/>
  <c r="E372" i="20" s="1"/>
  <c r="F372" i="20" s="1"/>
  <c r="W372" i="20"/>
  <c r="J247" i="18"/>
  <c r="C247" i="6" s="1"/>
  <c r="I247" i="18"/>
  <c r="B247" i="6" s="1"/>
  <c r="BA247" i="6" s="1"/>
  <c r="D247" i="6" s="1"/>
  <c r="J244" i="18"/>
  <c r="C244" i="6" s="1"/>
  <c r="I244" i="18"/>
  <c r="B244" i="6" s="1"/>
  <c r="BA244" i="6" s="1"/>
  <c r="D244" i="6" s="1"/>
  <c r="J260" i="18"/>
  <c r="C260" i="6" s="1"/>
  <c r="I260" i="18"/>
  <c r="B260" i="6" s="1"/>
  <c r="BA260" i="6" s="1"/>
  <c r="D260" i="6" s="1"/>
  <c r="J266" i="18"/>
  <c r="C266" i="6" s="1"/>
  <c r="I266" i="18"/>
  <c r="B266" i="6" s="1"/>
  <c r="BA266" i="6" s="1"/>
  <c r="D266" i="6" s="1"/>
  <c r="J187" i="18"/>
  <c r="C187" i="6" s="1"/>
  <c r="I187" i="18"/>
  <c r="B187" i="6" s="1"/>
  <c r="BA187" i="6" s="1"/>
  <c r="D187" i="6" s="1"/>
  <c r="I375" i="18"/>
  <c r="B375" i="6" s="1"/>
  <c r="BA375" i="6" s="1"/>
  <c r="D375" i="6" s="1"/>
  <c r="J375" i="18"/>
  <c r="C375" i="6" s="1"/>
  <c r="H46" i="18"/>
  <c r="G46" i="18"/>
  <c r="CA46" i="6" s="1"/>
  <c r="AA46" i="18"/>
  <c r="Z46" i="18" s="1"/>
  <c r="Y46" i="18" s="1"/>
  <c r="G196" i="18"/>
  <c r="CA196" i="6" s="1"/>
  <c r="AA196" i="18"/>
  <c r="Z196" i="18" s="1"/>
  <c r="Y196" i="18" s="1"/>
  <c r="H196" i="18"/>
  <c r="H135" i="18"/>
  <c r="AA135" i="18"/>
  <c r="Z135" i="18" s="1"/>
  <c r="Y135" i="18" s="1"/>
  <c r="G135" i="18"/>
  <c r="CA135" i="6" s="1"/>
  <c r="I229" i="18"/>
  <c r="B229" i="6" s="1"/>
  <c r="BA229" i="6" s="1"/>
  <c r="D229" i="6" s="1"/>
  <c r="J229" i="18"/>
  <c r="C229" i="6" s="1"/>
  <c r="I352" i="18"/>
  <c r="B352" i="6" s="1"/>
  <c r="BA352" i="6" s="1"/>
  <c r="D352" i="6" s="1"/>
  <c r="J352" i="18"/>
  <c r="C352" i="6" s="1"/>
  <c r="J147" i="18"/>
  <c r="C147" i="6" s="1"/>
  <c r="I147" i="18"/>
  <c r="B147" i="6" s="1"/>
  <c r="BA147" i="6" s="1"/>
  <c r="D147" i="6" s="1"/>
  <c r="J257" i="18"/>
  <c r="C257" i="6" s="1"/>
  <c r="I257" i="18"/>
  <c r="B257" i="6" s="1"/>
  <c r="BA257" i="6" s="1"/>
  <c r="D257" i="6" s="1"/>
  <c r="J261" i="18"/>
  <c r="C261" i="6" s="1"/>
  <c r="J32" i="18"/>
  <c r="C32" i="6" s="1"/>
  <c r="I32" i="18"/>
  <c r="B32" i="6" s="1"/>
  <c r="BA32" i="6" s="1"/>
  <c r="D32" i="6" s="1"/>
  <c r="J50" i="18"/>
  <c r="C50" i="6" s="1"/>
  <c r="I50" i="18"/>
  <c r="B50" i="6" s="1"/>
  <c r="BA50" i="6" s="1"/>
  <c r="D50" i="6" s="1"/>
  <c r="J54" i="18"/>
  <c r="C54" i="6" s="1"/>
  <c r="I54" i="18"/>
  <c r="B54" i="6" s="1"/>
  <c r="BA54" i="6" s="1"/>
  <c r="D54" i="6" s="1"/>
  <c r="I66" i="18"/>
  <c r="B66" i="6" s="1"/>
  <c r="BA66" i="6" s="1"/>
  <c r="D66" i="6" s="1"/>
  <c r="J66" i="18"/>
  <c r="C66" i="6" s="1"/>
  <c r="J104" i="18"/>
  <c r="C104" i="6" s="1"/>
  <c r="I104" i="18"/>
  <c r="B104" i="6" s="1"/>
  <c r="BA104" i="6" s="1"/>
  <c r="D104" i="6" s="1"/>
  <c r="I250" i="18"/>
  <c r="B250" i="6" s="1"/>
  <c r="BA250" i="6" s="1"/>
  <c r="D250" i="6" s="1"/>
  <c r="J250" i="18"/>
  <c r="C250" i="6" s="1"/>
  <c r="J280" i="18"/>
  <c r="C280" i="6" s="1"/>
  <c r="I280" i="18"/>
  <c r="B280" i="6" s="1"/>
  <c r="BA280" i="6" s="1"/>
  <c r="D280" i="6" s="1"/>
  <c r="I310" i="18"/>
  <c r="B310" i="6" s="1"/>
  <c r="BA310" i="6" s="1"/>
  <c r="D310" i="6" s="1"/>
  <c r="J310" i="18"/>
  <c r="C310" i="6" s="1"/>
  <c r="I370" i="18"/>
  <c r="B370" i="6" s="1"/>
  <c r="BA370" i="6" s="1"/>
  <c r="D370" i="6" s="1"/>
  <c r="J370" i="18"/>
  <c r="C370" i="6" s="1"/>
  <c r="I193" i="18"/>
  <c r="B193" i="6" s="1"/>
  <c r="BA193" i="6" s="1"/>
  <c r="D193" i="6" s="1"/>
  <c r="J193" i="18"/>
  <c r="C193" i="6" s="1"/>
  <c r="G227" i="18"/>
  <c r="CA227" i="6" s="1"/>
  <c r="AA227" i="18"/>
  <c r="Z227" i="18" s="1"/>
  <c r="Y227" i="18" s="1"/>
  <c r="H227" i="18"/>
  <c r="I259" i="18"/>
  <c r="B259" i="6" s="1"/>
  <c r="BA259" i="6" s="1"/>
  <c r="D259" i="6" s="1"/>
  <c r="J259" i="18"/>
  <c r="C259" i="6" s="1"/>
  <c r="I277" i="18"/>
  <c r="B277" i="6" s="1"/>
  <c r="BA277" i="6" s="1"/>
  <c r="D277" i="6" s="1"/>
  <c r="J277" i="18"/>
  <c r="C277" i="6" s="1"/>
  <c r="AA18" i="20"/>
  <c r="Z18" i="20" s="1"/>
  <c r="Y18" i="20" s="1"/>
  <c r="G18" i="20"/>
  <c r="CB18" i="6" s="1"/>
  <c r="AA47" i="20"/>
  <c r="Z47" i="20" s="1"/>
  <c r="Y47" i="20" s="1"/>
  <c r="G47" i="20"/>
  <c r="CB47" i="6" s="1"/>
  <c r="AA93" i="20"/>
  <c r="Z93" i="20" s="1"/>
  <c r="Y93" i="20" s="1"/>
  <c r="G93" i="20"/>
  <c r="CB93" i="6" s="1"/>
  <c r="G143" i="20"/>
  <c r="CB143" i="6" s="1"/>
  <c r="AH24" i="7"/>
  <c r="V149" i="20"/>
  <c r="B149" i="20" s="1"/>
  <c r="G151" i="20"/>
  <c r="CB151" i="6" s="1"/>
  <c r="G169" i="20"/>
  <c r="CB169" i="6" s="1"/>
  <c r="AA169" i="20"/>
  <c r="Z169" i="20" s="1"/>
  <c r="Y169" i="20" s="1"/>
  <c r="H169" i="20"/>
  <c r="G175" i="20"/>
  <c r="CB175" i="6" s="1"/>
  <c r="G189" i="20"/>
  <c r="CB189" i="6" s="1"/>
  <c r="G239" i="20"/>
  <c r="CB239" i="6" s="1"/>
  <c r="G267" i="20"/>
  <c r="CB267" i="6" s="1"/>
  <c r="AA267" i="20"/>
  <c r="Z267" i="20" s="1"/>
  <c r="Y267" i="20" s="1"/>
  <c r="G269" i="20"/>
  <c r="CB269" i="6" s="1"/>
  <c r="G321" i="20"/>
  <c r="CB321" i="6" s="1"/>
  <c r="H321" i="20"/>
  <c r="D331" i="20"/>
  <c r="E331" i="20" s="1"/>
  <c r="F331" i="20" s="1"/>
  <c r="W331" i="20"/>
  <c r="H335" i="20"/>
  <c r="G335" i="20"/>
  <c r="CB335" i="6" s="1"/>
  <c r="AA345" i="20"/>
  <c r="Z345" i="20" s="1"/>
  <c r="Y345" i="20" s="1"/>
  <c r="G345" i="20"/>
  <c r="CB345" i="6" s="1"/>
  <c r="D349" i="20"/>
  <c r="E349" i="20" s="1"/>
  <c r="F349" i="20" s="1"/>
  <c r="W349" i="20"/>
  <c r="G367" i="20"/>
  <c r="CB367" i="6" s="1"/>
  <c r="H367" i="20"/>
  <c r="G369" i="20"/>
  <c r="CB369" i="6" s="1"/>
  <c r="H373" i="20"/>
  <c r="G373" i="20"/>
  <c r="CB373" i="6" s="1"/>
  <c r="AM16" i="7"/>
  <c r="J100" i="18"/>
  <c r="C100" i="6" s="1"/>
  <c r="I100" i="18"/>
  <c r="B100" i="6" s="1"/>
  <c r="BA100" i="6" s="1"/>
  <c r="D100" i="6" s="1"/>
  <c r="I144" i="18"/>
  <c r="B144" i="6" s="1"/>
  <c r="BA144" i="6" s="1"/>
  <c r="D144" i="6" s="1"/>
  <c r="J144" i="18"/>
  <c r="C144" i="6" s="1"/>
  <c r="J212" i="18"/>
  <c r="C212" i="6" s="1"/>
  <c r="I212" i="18"/>
  <c r="B212" i="6" s="1"/>
  <c r="BA212" i="6" s="1"/>
  <c r="D212" i="6" s="1"/>
  <c r="I270" i="18"/>
  <c r="B270" i="6" s="1"/>
  <c r="BA270" i="6" s="1"/>
  <c r="D270" i="6" s="1"/>
  <c r="J270" i="18"/>
  <c r="C270" i="6" s="1"/>
  <c r="I290" i="18"/>
  <c r="B290" i="6" s="1"/>
  <c r="BA290" i="6" s="1"/>
  <c r="D290" i="6" s="1"/>
  <c r="J290" i="18"/>
  <c r="C290" i="6" s="1"/>
  <c r="J338" i="18"/>
  <c r="C338" i="6" s="1"/>
  <c r="I338" i="18"/>
  <c r="B338" i="6" s="1"/>
  <c r="BA338" i="6" s="1"/>
  <c r="D338" i="6" s="1"/>
  <c r="J37" i="18"/>
  <c r="C37" i="6" s="1"/>
  <c r="I37" i="18"/>
  <c r="B37" i="6" s="1"/>
  <c r="BA37" i="6" s="1"/>
  <c r="D37" i="6" s="1"/>
  <c r="I79" i="18"/>
  <c r="B79" i="6" s="1"/>
  <c r="BA79" i="6" s="1"/>
  <c r="D79" i="6" s="1"/>
  <c r="J79" i="18"/>
  <c r="C79" i="6" s="1"/>
  <c r="I151" i="18"/>
  <c r="B151" i="6" s="1"/>
  <c r="BA151" i="6" s="1"/>
  <c r="D151" i="6" s="1"/>
  <c r="J151" i="18"/>
  <c r="C151" i="6" s="1"/>
  <c r="I221" i="18"/>
  <c r="B221" i="6" s="1"/>
  <c r="BA221" i="6" s="1"/>
  <c r="D221" i="6" s="1"/>
  <c r="J221" i="18"/>
  <c r="C221" i="6" s="1"/>
  <c r="J265" i="18"/>
  <c r="C265" i="6" s="1"/>
  <c r="I265" i="18"/>
  <c r="B265" i="6" s="1"/>
  <c r="BA265" i="6" s="1"/>
  <c r="D265" i="6" s="1"/>
  <c r="I44" i="18"/>
  <c r="B44" i="6" s="1"/>
  <c r="BA44" i="6" s="1"/>
  <c r="D44" i="6" s="1"/>
  <c r="J44" i="18"/>
  <c r="C44" i="6" s="1"/>
  <c r="I56" i="18"/>
  <c r="B56" i="6" s="1"/>
  <c r="BA56" i="6" s="1"/>
  <c r="D56" i="6" s="1"/>
  <c r="J56" i="18"/>
  <c r="C56" i="6" s="1"/>
  <c r="I64" i="18"/>
  <c r="B64" i="6" s="1"/>
  <c r="BA64" i="6" s="1"/>
  <c r="D64" i="6" s="1"/>
  <c r="J64" i="18"/>
  <c r="C64" i="6" s="1"/>
  <c r="J222" i="18"/>
  <c r="C222" i="6" s="1"/>
  <c r="I222" i="18"/>
  <c r="B222" i="6" s="1"/>
  <c r="BA222" i="6" s="1"/>
  <c r="D222" i="6" s="1"/>
  <c r="J238" i="18"/>
  <c r="C238" i="6" s="1"/>
  <c r="I238" i="18"/>
  <c r="B238" i="6" s="1"/>
  <c r="BA238" i="6" s="1"/>
  <c r="D238" i="6" s="1"/>
  <c r="J47" i="18"/>
  <c r="C47" i="6" s="1"/>
  <c r="I47" i="18"/>
  <c r="B47" i="6" s="1"/>
  <c r="BA47" i="6" s="1"/>
  <c r="D47" i="6" s="1"/>
  <c r="J93" i="18"/>
  <c r="C93" i="6" s="1"/>
  <c r="I93" i="18"/>
  <c r="B93" i="6" s="1"/>
  <c r="BA93" i="6" s="1"/>
  <c r="D93" i="6" s="1"/>
  <c r="AA105" i="18"/>
  <c r="Z105" i="18" s="1"/>
  <c r="Y105" i="18" s="1"/>
  <c r="H105" i="18"/>
  <c r="G105" i="18"/>
  <c r="CA105" i="6" s="1"/>
  <c r="J155" i="18"/>
  <c r="C155" i="6" s="1"/>
  <c r="I155" i="18"/>
  <c r="B155" i="6" s="1"/>
  <c r="BA155" i="6" s="1"/>
  <c r="I281" i="18"/>
  <c r="B281" i="6" s="1"/>
  <c r="BA281" i="6" s="1"/>
  <c r="J281" i="18"/>
  <c r="C281" i="6" s="1"/>
  <c r="I341" i="18"/>
  <c r="B341" i="6" s="1"/>
  <c r="BA341" i="6" s="1"/>
  <c r="D341" i="6" s="1"/>
  <c r="J341" i="18"/>
  <c r="C341" i="6" s="1"/>
  <c r="J68" i="18"/>
  <c r="C68" i="6" s="1"/>
  <c r="I68" i="18"/>
  <c r="B68" i="6" s="1"/>
  <c r="BA68" i="6" s="1"/>
  <c r="D68" i="6" s="1"/>
  <c r="J102" i="18"/>
  <c r="C102" i="6" s="1"/>
  <c r="I102" i="18"/>
  <c r="B102" i="6" s="1"/>
  <c r="BA102" i="6" s="1"/>
  <c r="D102" i="6" s="1"/>
  <c r="I134" i="18"/>
  <c r="B134" i="6" s="1"/>
  <c r="BA134" i="6" s="1"/>
  <c r="D134" i="6" s="1"/>
  <c r="J134" i="18"/>
  <c r="C134" i="6" s="1"/>
  <c r="I216" i="18"/>
  <c r="B216" i="6" s="1"/>
  <c r="BA216" i="6" s="1"/>
  <c r="D216" i="6" s="1"/>
  <c r="J216" i="18"/>
  <c r="C216" i="6" s="1"/>
  <c r="J41" i="18"/>
  <c r="C41" i="6" s="1"/>
  <c r="I41" i="18"/>
  <c r="B41" i="6" s="1"/>
  <c r="BA41" i="6" s="1"/>
  <c r="D41" i="6" s="1"/>
  <c r="I324" i="18"/>
  <c r="B324" i="6" s="1"/>
  <c r="BA324" i="6" s="1"/>
  <c r="D324" i="6" s="1"/>
  <c r="J324" i="18"/>
  <c r="C324" i="6" s="1"/>
  <c r="J342" i="18"/>
  <c r="C342" i="6" s="1"/>
  <c r="I342" i="18"/>
  <c r="B342" i="6" s="1"/>
  <c r="BA342" i="6" s="1"/>
  <c r="D342" i="6" s="1"/>
  <c r="J348" i="18"/>
  <c r="C348" i="6" s="1"/>
  <c r="I348" i="18"/>
  <c r="B348" i="6" s="1"/>
  <c r="BA348" i="6" s="1"/>
  <c r="D348" i="6" s="1"/>
  <c r="I364" i="18"/>
  <c r="B364" i="6" s="1"/>
  <c r="BA364" i="6" s="1"/>
  <c r="D364" i="6" s="1"/>
  <c r="J364" i="18"/>
  <c r="C364" i="6" s="1"/>
  <c r="I378" i="18"/>
  <c r="B378" i="6" s="1"/>
  <c r="BA378" i="6" s="1"/>
  <c r="D378" i="6" s="1"/>
  <c r="J378" i="18"/>
  <c r="C378" i="6" s="1"/>
  <c r="I51" i="18"/>
  <c r="B51" i="6" s="1"/>
  <c r="BA51" i="6" s="1"/>
  <c r="D51" i="6" s="1"/>
  <c r="J51" i="18"/>
  <c r="C51" i="6" s="1"/>
  <c r="J63" i="18"/>
  <c r="C63" i="6" s="1"/>
  <c r="I63" i="18"/>
  <c r="B63" i="6" s="1"/>
  <c r="BA63" i="6" s="1"/>
  <c r="D63" i="6" s="1"/>
  <c r="J163" i="18"/>
  <c r="C163" i="6" s="1"/>
  <c r="I163" i="18"/>
  <c r="B163" i="6" s="1"/>
  <c r="BA163" i="6" s="1"/>
  <c r="D163" i="6" s="1"/>
  <c r="I279" i="18"/>
  <c r="B279" i="6" s="1"/>
  <c r="BA279" i="6" s="1"/>
  <c r="D279" i="6" s="1"/>
  <c r="J279" i="18"/>
  <c r="C279" i="6" s="1"/>
  <c r="D295" i="6"/>
  <c r="D351" i="6"/>
  <c r="I371" i="18"/>
  <c r="B371" i="6" s="1"/>
  <c r="BA371" i="6" s="1"/>
  <c r="D371" i="6" s="1"/>
  <c r="J371" i="18"/>
  <c r="C371" i="6" s="1"/>
  <c r="I17" i="18"/>
  <c r="B17" i="6" s="1"/>
  <c r="BA17" i="6" s="1"/>
  <c r="D17" i="6" s="1"/>
  <c r="J17" i="18"/>
  <c r="C17" i="6" s="1"/>
  <c r="J20" i="18"/>
  <c r="C20" i="6" s="1"/>
  <c r="I20" i="18"/>
  <c r="B20" i="6" s="1"/>
  <c r="BA20" i="6" s="1"/>
  <c r="D20" i="6" s="1"/>
  <c r="J24" i="18"/>
  <c r="C24" i="6" s="1"/>
  <c r="I24" i="18"/>
  <c r="B24" i="6" s="1"/>
  <c r="BA24" i="6" s="1"/>
  <c r="D24" i="6" s="1"/>
  <c r="J40" i="18"/>
  <c r="C40" i="6" s="1"/>
  <c r="I40" i="18"/>
  <c r="B40" i="6" s="1"/>
  <c r="BA40" i="6" s="1"/>
  <c r="D40" i="6" s="1"/>
  <c r="J48" i="18"/>
  <c r="C48" i="6" s="1"/>
  <c r="I48" i="18"/>
  <c r="B48" i="6" s="1"/>
  <c r="BA48" i="6" s="1"/>
  <c r="D48" i="6" s="1"/>
  <c r="I70" i="18"/>
  <c r="B70" i="6" s="1"/>
  <c r="BA70" i="6" s="1"/>
  <c r="D70" i="6" s="1"/>
  <c r="J70" i="18"/>
  <c r="C70" i="6" s="1"/>
  <c r="I110" i="18"/>
  <c r="B110" i="6" s="1"/>
  <c r="BA110" i="6" s="1"/>
  <c r="D110" i="6" s="1"/>
  <c r="J110" i="18"/>
  <c r="C110" i="6" s="1"/>
  <c r="I118" i="18"/>
  <c r="B118" i="6" s="1"/>
  <c r="BA118" i="6" s="1"/>
  <c r="D118" i="6" s="1"/>
  <c r="J118" i="18"/>
  <c r="C118" i="6" s="1"/>
  <c r="J138" i="18"/>
  <c r="C138" i="6" s="1"/>
  <c r="I138" i="18"/>
  <c r="B138" i="6" s="1"/>
  <c r="BA138" i="6" s="1"/>
  <c r="D138" i="6" s="1"/>
  <c r="J148" i="18"/>
  <c r="C148" i="6" s="1"/>
  <c r="I148" i="18"/>
  <c r="B148" i="6" s="1"/>
  <c r="BA148" i="6" s="1"/>
  <c r="D148" i="6" s="1"/>
  <c r="I184" i="18"/>
  <c r="B184" i="6" s="1"/>
  <c r="BA184" i="6" s="1"/>
  <c r="D184" i="6" s="1"/>
  <c r="J184" i="18"/>
  <c r="C184" i="6" s="1"/>
  <c r="G258" i="18"/>
  <c r="CA258" i="6" s="1"/>
  <c r="AA258" i="18"/>
  <c r="Z258" i="18" s="1"/>
  <c r="Y258" i="18" s="1"/>
  <c r="H258" i="18"/>
  <c r="I286" i="18"/>
  <c r="B286" i="6" s="1"/>
  <c r="BA286" i="6" s="1"/>
  <c r="D286" i="6" s="1"/>
  <c r="J286" i="18"/>
  <c r="C286" i="6" s="1"/>
  <c r="J296" i="18"/>
  <c r="C296" i="6" s="1"/>
  <c r="I296" i="18"/>
  <c r="B296" i="6" s="1"/>
  <c r="BA296" i="6" s="1"/>
  <c r="D296" i="6" s="1"/>
  <c r="I372" i="18"/>
  <c r="B372" i="6" s="1"/>
  <c r="BA372" i="6" s="1"/>
  <c r="D372" i="6" s="1"/>
  <c r="J372" i="18"/>
  <c r="C372" i="6" s="1"/>
  <c r="I288" i="18"/>
  <c r="B288" i="6" s="1"/>
  <c r="BA288" i="6" s="1"/>
  <c r="D288" i="6" s="1"/>
  <c r="J288" i="18"/>
  <c r="C288" i="6" s="1"/>
  <c r="J33" i="18"/>
  <c r="C33" i="6" s="1"/>
  <c r="I33" i="18"/>
  <c r="B33" i="6" s="1"/>
  <c r="BA33" i="6" s="1"/>
  <c r="D33" i="6" s="1"/>
  <c r="I57" i="18"/>
  <c r="B57" i="6" s="1"/>
  <c r="BA57" i="6" s="1"/>
  <c r="J57" i="18"/>
  <c r="C57" i="6" s="1"/>
  <c r="I139" i="18"/>
  <c r="B139" i="6" s="1"/>
  <c r="BA139" i="6" s="1"/>
  <c r="D139" i="6" s="1"/>
  <c r="J139" i="18"/>
  <c r="C139" i="6" s="1"/>
  <c r="J165" i="18"/>
  <c r="C165" i="6" s="1"/>
  <c r="I165" i="18"/>
  <c r="B165" i="6" s="1"/>
  <c r="BA165" i="6" s="1"/>
  <c r="D165" i="6" s="1"/>
  <c r="I183" i="18"/>
  <c r="B183" i="6" s="1"/>
  <c r="BA183" i="6" s="1"/>
  <c r="J183" i="18"/>
  <c r="C183" i="6" s="1"/>
  <c r="J235" i="18"/>
  <c r="C235" i="6" s="1"/>
  <c r="I235" i="18"/>
  <c r="B235" i="6" s="1"/>
  <c r="BA235" i="6" s="1"/>
  <c r="D235" i="6" s="1"/>
  <c r="J23" i="18"/>
  <c r="C23" i="6" s="1"/>
  <c r="I23" i="18"/>
  <c r="B23" i="6" s="1"/>
  <c r="BA23" i="6" s="1"/>
  <c r="D23" i="6" s="1"/>
  <c r="I35" i="18"/>
  <c r="B35" i="6" s="1"/>
  <c r="BA35" i="6" s="1"/>
  <c r="D35" i="6" s="1"/>
  <c r="J35" i="18"/>
  <c r="C35" i="6" s="1"/>
  <c r="I199" i="18"/>
  <c r="B199" i="6" s="1"/>
  <c r="BA199" i="6" s="1"/>
  <c r="D199" i="6" s="1"/>
  <c r="J199" i="18"/>
  <c r="C199" i="6" s="1"/>
  <c r="AA19" i="20"/>
  <c r="Z19" i="20" s="1"/>
  <c r="Y19" i="20" s="1"/>
  <c r="W17" i="20"/>
  <c r="D17" i="20"/>
  <c r="E17" i="20" s="1"/>
  <c r="F17" i="20" s="1"/>
  <c r="W22" i="20"/>
  <c r="D22" i="20"/>
  <c r="E22" i="20" s="1"/>
  <c r="F22" i="20" s="1"/>
  <c r="W26" i="20"/>
  <c r="D26" i="20"/>
  <c r="E26" i="20" s="1"/>
  <c r="F26" i="20" s="1"/>
  <c r="W28" i="20"/>
  <c r="D28" i="20"/>
  <c r="E28" i="20" s="1"/>
  <c r="F28" i="20" s="1"/>
  <c r="D32" i="20"/>
  <c r="E32" i="20" s="1"/>
  <c r="F32" i="20" s="1"/>
  <c r="W32" i="20"/>
  <c r="D34" i="20"/>
  <c r="E34" i="20" s="1"/>
  <c r="F34" i="20" s="1"/>
  <c r="W34" i="20"/>
  <c r="AA36" i="20"/>
  <c r="Z36" i="20" s="1"/>
  <c r="Y36" i="20" s="1"/>
  <c r="D42" i="20"/>
  <c r="E42" i="20" s="1"/>
  <c r="F42" i="20" s="1"/>
  <c r="W42" i="20"/>
  <c r="D50" i="20"/>
  <c r="E50" i="20" s="1"/>
  <c r="F50" i="20" s="1"/>
  <c r="W50" i="20"/>
  <c r="W52" i="20"/>
  <c r="D52" i="20"/>
  <c r="E52" i="20" s="1"/>
  <c r="F52" i="20" s="1"/>
  <c r="D54" i="20"/>
  <c r="E54" i="20" s="1"/>
  <c r="F54" i="20" s="1"/>
  <c r="W54" i="20"/>
  <c r="D56" i="20"/>
  <c r="E56" i="20" s="1"/>
  <c r="F56" i="20" s="1"/>
  <c r="W56" i="20"/>
  <c r="W58" i="20"/>
  <c r="D58" i="20"/>
  <c r="E58" i="20" s="1"/>
  <c r="F58" i="20" s="1"/>
  <c r="G62" i="20"/>
  <c r="CB62" i="6" s="1"/>
  <c r="AA62" i="20"/>
  <c r="Z62" i="20" s="1"/>
  <c r="Y62" i="20" s="1"/>
  <c r="D64" i="20"/>
  <c r="E64" i="20" s="1"/>
  <c r="F64" i="20" s="1"/>
  <c r="W64" i="20"/>
  <c r="D66" i="20"/>
  <c r="E66" i="20" s="1"/>
  <c r="F66" i="20" s="1"/>
  <c r="W66" i="20"/>
  <c r="D70" i="20"/>
  <c r="E70" i="20" s="1"/>
  <c r="F70" i="20" s="1"/>
  <c r="W70" i="20"/>
  <c r="B74" i="20"/>
  <c r="W76" i="20"/>
  <c r="D76" i="20"/>
  <c r="E76" i="20" s="1"/>
  <c r="F76" i="20" s="1"/>
  <c r="D78" i="20"/>
  <c r="E78" i="20" s="1"/>
  <c r="F78" i="20" s="1"/>
  <c r="W78" i="20"/>
  <c r="D80" i="20"/>
  <c r="E80" i="20" s="1"/>
  <c r="F80" i="20" s="1"/>
  <c r="W80" i="20"/>
  <c r="W82" i="20"/>
  <c r="D82" i="20"/>
  <c r="E82" i="20" s="1"/>
  <c r="F82" i="20" s="1"/>
  <c r="D84" i="20"/>
  <c r="E84" i="20" s="1"/>
  <c r="F84" i="20" s="1"/>
  <c r="W84" i="20"/>
  <c r="G124" i="20"/>
  <c r="CB124" i="6" s="1"/>
  <c r="W134" i="20"/>
  <c r="D134" i="20"/>
  <c r="E134" i="20" s="1"/>
  <c r="F134" i="20" s="1"/>
  <c r="G138" i="20"/>
  <c r="CB138" i="6" s="1"/>
  <c r="G182" i="20"/>
  <c r="CB182" i="6" s="1"/>
  <c r="D198" i="20"/>
  <c r="E198" i="20" s="1"/>
  <c r="F198" i="20" s="1"/>
  <c r="W198" i="20"/>
  <c r="D218" i="20"/>
  <c r="E218" i="20" s="1"/>
  <c r="F218" i="20" s="1"/>
  <c r="W218" i="20"/>
  <c r="G234" i="20"/>
  <c r="CB234" i="6" s="1"/>
  <c r="G262" i="20"/>
  <c r="CB262" i="6" s="1"/>
  <c r="H284" i="20"/>
  <c r="G284" i="20"/>
  <c r="CB284" i="6" s="1"/>
  <c r="G300" i="20"/>
  <c r="CB300" i="6" s="1"/>
  <c r="H300" i="20"/>
  <c r="G348" i="20"/>
  <c r="CB348" i="6" s="1"/>
  <c r="W366" i="20"/>
  <c r="D366" i="20"/>
  <c r="E366" i="20" s="1"/>
  <c r="F366" i="20" s="1"/>
  <c r="I264" i="18"/>
  <c r="B264" i="6" s="1"/>
  <c r="BA264" i="6" s="1"/>
  <c r="D264" i="6" s="1"/>
  <c r="J264" i="18"/>
  <c r="C264" i="6" s="1"/>
  <c r="J120" i="18"/>
  <c r="C120" i="6" s="1"/>
  <c r="I120" i="18"/>
  <c r="B120" i="6" s="1"/>
  <c r="BA120" i="6" s="1"/>
  <c r="D120" i="6" s="1"/>
  <c r="I160" i="18"/>
  <c r="B160" i="6" s="1"/>
  <c r="BA160" i="6" s="1"/>
  <c r="D160" i="6" s="1"/>
  <c r="J160" i="18"/>
  <c r="C160" i="6" s="1"/>
  <c r="AG15" i="20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E380" i="22"/>
  <c r="D113" i="6"/>
  <c r="I97" i="18"/>
  <c r="B97" i="6" s="1"/>
  <c r="BA97" i="6" s="1"/>
  <c r="D97" i="6" s="1"/>
  <c r="J97" i="18"/>
  <c r="C97" i="6" s="1"/>
  <c r="I315" i="18"/>
  <c r="B315" i="6" s="1"/>
  <c r="BA315" i="6" s="1"/>
  <c r="D315" i="6" s="1"/>
  <c r="J315" i="18"/>
  <c r="C315" i="6" s="1"/>
  <c r="J274" i="18"/>
  <c r="C274" i="6" s="1"/>
  <c r="I274" i="18"/>
  <c r="B274" i="6" s="1"/>
  <c r="BA274" i="6" s="1"/>
  <c r="D274" i="6" s="1"/>
  <c r="I133" i="18"/>
  <c r="B133" i="6" s="1"/>
  <c r="BA133" i="6" s="1"/>
  <c r="D133" i="6" s="1"/>
  <c r="J133" i="18"/>
  <c r="C133" i="6" s="1"/>
  <c r="J167" i="18"/>
  <c r="C167" i="6" s="1"/>
  <c r="I167" i="18"/>
  <c r="B167" i="6" s="1"/>
  <c r="BA167" i="6" s="1"/>
  <c r="D167" i="6" s="1"/>
  <c r="I273" i="18"/>
  <c r="B273" i="6" s="1"/>
  <c r="BA273" i="6" s="1"/>
  <c r="D273" i="6" s="1"/>
  <c r="J273" i="18"/>
  <c r="C273" i="6" s="1"/>
  <c r="H363" i="18"/>
  <c r="AA363" i="18"/>
  <c r="Z363" i="18" s="1"/>
  <c r="Y363" i="18" s="1"/>
  <c r="G363" i="18"/>
  <c r="CA363" i="6" s="1"/>
  <c r="D46" i="20"/>
  <c r="E46" i="20" s="1"/>
  <c r="F46" i="20" s="1"/>
  <c r="W46" i="20"/>
  <c r="J322" i="18"/>
  <c r="C322" i="6" s="1"/>
  <c r="I322" i="18"/>
  <c r="B322" i="6" s="1"/>
  <c r="BA322" i="6" s="1"/>
  <c r="D322" i="6" s="1"/>
  <c r="I336" i="18"/>
  <c r="B336" i="6" s="1"/>
  <c r="BA336" i="6" s="1"/>
  <c r="D336" i="6" s="1"/>
  <c r="J336" i="18"/>
  <c r="C336" i="6" s="1"/>
  <c r="I346" i="18"/>
  <c r="B346" i="6" s="1"/>
  <c r="BA346" i="6" s="1"/>
  <c r="D346" i="6" s="1"/>
  <c r="J346" i="18"/>
  <c r="C346" i="6" s="1"/>
  <c r="I103" i="18"/>
  <c r="B103" i="6" s="1"/>
  <c r="BA103" i="6" s="1"/>
  <c r="D103" i="6" s="1"/>
  <c r="J103" i="18"/>
  <c r="C103" i="6" s="1"/>
  <c r="J337" i="18"/>
  <c r="C337" i="6" s="1"/>
  <c r="I337" i="18"/>
  <c r="B337" i="6" s="1"/>
  <c r="BA337" i="6" s="1"/>
  <c r="J22" i="18"/>
  <c r="C22" i="6" s="1"/>
  <c r="J239" i="18"/>
  <c r="C239" i="6" s="1"/>
  <c r="I239" i="18"/>
  <c r="B239" i="6" s="1"/>
  <c r="BA239" i="6" s="1"/>
  <c r="I271" i="18"/>
  <c r="B271" i="6" s="1"/>
  <c r="BA271" i="6" s="1"/>
  <c r="D271" i="6" s="1"/>
  <c r="J271" i="18"/>
  <c r="C271" i="6" s="1"/>
  <c r="I345" i="18"/>
  <c r="B345" i="6" s="1"/>
  <c r="BA345" i="6" s="1"/>
  <c r="D345" i="6" s="1"/>
  <c r="J345" i="18"/>
  <c r="C345" i="6" s="1"/>
  <c r="J106" i="18"/>
  <c r="C106" i="6" s="1"/>
  <c r="I106" i="18"/>
  <c r="B106" i="6" s="1"/>
  <c r="BA106" i="6" s="1"/>
  <c r="D106" i="6" s="1"/>
  <c r="I354" i="18"/>
  <c r="B354" i="6" s="1"/>
  <c r="BA354" i="6" s="1"/>
  <c r="D354" i="6" s="1"/>
  <c r="J354" i="18"/>
  <c r="C354" i="6" s="1"/>
  <c r="I25" i="18"/>
  <c r="B25" i="6" s="1"/>
  <c r="BA25" i="6" s="1"/>
  <c r="D25" i="6" s="1"/>
  <c r="J25" i="18"/>
  <c r="C25" i="6" s="1"/>
  <c r="J175" i="18"/>
  <c r="C175" i="6" s="1"/>
  <c r="I175" i="18"/>
  <c r="B175" i="6" s="1"/>
  <c r="BA175" i="6" s="1"/>
  <c r="D175" i="6" s="1"/>
  <c r="D16" i="20"/>
  <c r="E16" i="20" s="1"/>
  <c r="F16" i="20" s="1"/>
  <c r="W16" i="20"/>
  <c r="AA27" i="20"/>
  <c r="Z27" i="20" s="1"/>
  <c r="Y27" i="20" s="1"/>
  <c r="G27" i="20"/>
  <c r="CB27" i="6" s="1"/>
  <c r="H27" i="20"/>
  <c r="G57" i="20"/>
  <c r="CB57" i="6" s="1"/>
  <c r="AA57" i="20"/>
  <c r="Z57" i="20" s="1"/>
  <c r="Y57" i="20" s="1"/>
  <c r="AA71" i="20"/>
  <c r="Z71" i="20" s="1"/>
  <c r="Y71" i="20" s="1"/>
  <c r="G71" i="20"/>
  <c r="CB71" i="6" s="1"/>
  <c r="AA85" i="20"/>
  <c r="Z85" i="20" s="1"/>
  <c r="Y85" i="20" s="1"/>
  <c r="G85" i="20"/>
  <c r="CB85" i="6" s="1"/>
  <c r="H85" i="20"/>
  <c r="G95" i="20"/>
  <c r="CB95" i="6" s="1"/>
  <c r="AA95" i="20"/>
  <c r="Z95" i="20" s="1"/>
  <c r="Y95" i="20" s="1"/>
  <c r="AA123" i="20"/>
  <c r="Z123" i="20" s="1"/>
  <c r="Y123" i="20" s="1"/>
  <c r="H123" i="20"/>
  <c r="G123" i="20"/>
  <c r="CB123" i="6" s="1"/>
  <c r="I181" i="18"/>
  <c r="B181" i="6" s="1"/>
  <c r="BA181" i="6" s="1"/>
  <c r="D181" i="6" s="1"/>
  <c r="J181" i="18"/>
  <c r="C181" i="6" s="1"/>
  <c r="I195" i="18"/>
  <c r="B195" i="6" s="1"/>
  <c r="BA195" i="6" s="1"/>
  <c r="D195" i="6" s="1"/>
  <c r="J195" i="18"/>
  <c r="C195" i="6" s="1"/>
  <c r="J237" i="18"/>
  <c r="C237" i="6" s="1"/>
  <c r="I237" i="18"/>
  <c r="B237" i="6" s="1"/>
  <c r="BA237" i="6" s="1"/>
  <c r="D237" i="6" s="1"/>
  <c r="J293" i="18"/>
  <c r="C293" i="6" s="1"/>
  <c r="I293" i="18"/>
  <c r="B293" i="6" s="1"/>
  <c r="BA293" i="6" s="1"/>
  <c r="D293" i="6" s="1"/>
  <c r="I96" i="18"/>
  <c r="B96" i="6" s="1"/>
  <c r="BA96" i="6" s="1"/>
  <c r="D96" i="6" s="1"/>
  <c r="J96" i="18"/>
  <c r="C96" i="6" s="1"/>
  <c r="I142" i="18"/>
  <c r="B142" i="6" s="1"/>
  <c r="BA142" i="6" s="1"/>
  <c r="D142" i="6" s="1"/>
  <c r="J142" i="18"/>
  <c r="C142" i="6" s="1"/>
  <c r="I168" i="18"/>
  <c r="B168" i="6" s="1"/>
  <c r="BA168" i="6" s="1"/>
  <c r="D168" i="6" s="1"/>
  <c r="J168" i="18"/>
  <c r="C168" i="6" s="1"/>
  <c r="J174" i="18"/>
  <c r="C174" i="6" s="1"/>
  <c r="I75" i="18"/>
  <c r="B75" i="6" s="1"/>
  <c r="BA75" i="6" s="1"/>
  <c r="D75" i="6" s="1"/>
  <c r="J75" i="18"/>
  <c r="C75" i="6" s="1"/>
  <c r="J115" i="18"/>
  <c r="C115" i="6" s="1"/>
  <c r="I115" i="18"/>
  <c r="B115" i="6" s="1"/>
  <c r="BA115" i="6" s="1"/>
  <c r="D115" i="6" s="1"/>
  <c r="I143" i="18"/>
  <c r="B143" i="6" s="1"/>
  <c r="BA143" i="6" s="1"/>
  <c r="D143" i="6" s="1"/>
  <c r="J143" i="18"/>
  <c r="C143" i="6" s="1"/>
  <c r="J233" i="18"/>
  <c r="C233" i="6" s="1"/>
  <c r="I233" i="18"/>
  <c r="B233" i="6" s="1"/>
  <c r="BA233" i="6" s="1"/>
  <c r="D233" i="6" s="1"/>
  <c r="J303" i="18"/>
  <c r="C303" i="6" s="1"/>
  <c r="I303" i="18"/>
  <c r="B303" i="6" s="1"/>
  <c r="BA303" i="6" s="1"/>
  <c r="D303" i="6" s="1"/>
  <c r="AA333" i="18"/>
  <c r="Z333" i="18" s="1"/>
  <c r="Y333" i="18" s="1"/>
  <c r="G333" i="18"/>
  <c r="CA333" i="6" s="1"/>
  <c r="I38" i="18"/>
  <c r="B38" i="6" s="1"/>
  <c r="BA38" i="6" s="1"/>
  <c r="D38" i="6" s="1"/>
  <c r="J38" i="18"/>
  <c r="C38" i="6" s="1"/>
  <c r="J52" i="18"/>
  <c r="C52" i="6" s="1"/>
  <c r="I52" i="18"/>
  <c r="B52" i="6" s="1"/>
  <c r="BA52" i="6" s="1"/>
  <c r="D52" i="6" s="1"/>
  <c r="I116" i="18"/>
  <c r="B116" i="6" s="1"/>
  <c r="BA116" i="6" s="1"/>
  <c r="D116" i="6" s="1"/>
  <c r="J116" i="18"/>
  <c r="C116" i="6" s="1"/>
  <c r="I172" i="18"/>
  <c r="B172" i="6" s="1"/>
  <c r="BA172" i="6" s="1"/>
  <c r="D172" i="6" s="1"/>
  <c r="J172" i="18"/>
  <c r="C172" i="6" s="1"/>
  <c r="I182" i="18"/>
  <c r="B182" i="6" s="1"/>
  <c r="BA182" i="6" s="1"/>
  <c r="D182" i="6" s="1"/>
  <c r="J182" i="18"/>
  <c r="C182" i="6" s="1"/>
  <c r="J228" i="18"/>
  <c r="C228" i="6" s="1"/>
  <c r="I228" i="18"/>
  <c r="B228" i="6" s="1"/>
  <c r="BA228" i="6" s="1"/>
  <c r="D228" i="6" s="1"/>
  <c r="I254" i="18"/>
  <c r="B254" i="6" s="1"/>
  <c r="BA254" i="6" s="1"/>
  <c r="D254" i="6" s="1"/>
  <c r="J254" i="18"/>
  <c r="C254" i="6" s="1"/>
  <c r="I262" i="18"/>
  <c r="B262" i="6" s="1"/>
  <c r="BA262" i="6" s="1"/>
  <c r="D262" i="6" s="1"/>
  <c r="J262" i="18"/>
  <c r="C262" i="6" s="1"/>
  <c r="J276" i="18"/>
  <c r="C276" i="6" s="1"/>
  <c r="I276" i="18"/>
  <c r="B276" i="6" s="1"/>
  <c r="BA276" i="6" s="1"/>
  <c r="D276" i="6" s="1"/>
  <c r="J308" i="18"/>
  <c r="C308" i="6" s="1"/>
  <c r="I308" i="18"/>
  <c r="B308" i="6" s="1"/>
  <c r="BA308" i="6" s="1"/>
  <c r="D308" i="6" s="1"/>
  <c r="I340" i="18"/>
  <c r="B340" i="6" s="1"/>
  <c r="BA340" i="6" s="1"/>
  <c r="D340" i="6" s="1"/>
  <c r="J340" i="18"/>
  <c r="C340" i="6" s="1"/>
  <c r="I350" i="18"/>
  <c r="B350" i="6" s="1"/>
  <c r="BA350" i="6" s="1"/>
  <c r="D350" i="6" s="1"/>
  <c r="J350" i="18"/>
  <c r="C350" i="6" s="1"/>
  <c r="I358" i="18"/>
  <c r="B358" i="6" s="1"/>
  <c r="BA358" i="6" s="1"/>
  <c r="D358" i="6" s="1"/>
  <c r="J358" i="18"/>
  <c r="C358" i="6" s="1"/>
  <c r="I87" i="18"/>
  <c r="B87" i="6" s="1"/>
  <c r="BA87" i="6" s="1"/>
  <c r="D87" i="6" s="1"/>
  <c r="J87" i="18"/>
  <c r="C87" i="6" s="1"/>
  <c r="D135" i="20"/>
  <c r="E135" i="20" s="1"/>
  <c r="F135" i="20" s="1"/>
  <c r="W135" i="20"/>
  <c r="J173" i="18"/>
  <c r="C173" i="6" s="1"/>
  <c r="I173" i="18"/>
  <c r="B173" i="6" s="1"/>
  <c r="BA173" i="6" s="1"/>
  <c r="D173" i="6" s="1"/>
  <c r="J191" i="18"/>
  <c r="C191" i="6" s="1"/>
  <c r="I191" i="18"/>
  <c r="B191" i="6" s="1"/>
  <c r="BA191" i="6" s="1"/>
  <c r="D191" i="6" s="1"/>
  <c r="I255" i="18"/>
  <c r="B255" i="6" s="1"/>
  <c r="BA255" i="6" s="1"/>
  <c r="D255" i="6" s="1"/>
  <c r="J255" i="18"/>
  <c r="C255" i="6" s="1"/>
  <c r="J287" i="18"/>
  <c r="C287" i="6" s="1"/>
  <c r="I287" i="18"/>
  <c r="B287" i="6" s="1"/>
  <c r="BA287" i="6" s="1"/>
  <c r="D287" i="6" s="1"/>
  <c r="I309" i="18"/>
  <c r="B309" i="6" s="1"/>
  <c r="BA309" i="6" s="1"/>
  <c r="J309" i="18"/>
  <c r="C309" i="6" s="1"/>
  <c r="I377" i="18"/>
  <c r="B377" i="6" s="1"/>
  <c r="BA377" i="6" s="1"/>
  <c r="D377" i="6" s="1"/>
  <c r="J377" i="18"/>
  <c r="C377" i="6" s="1"/>
  <c r="I314" i="18"/>
  <c r="B314" i="6" s="1"/>
  <c r="BA314" i="6" s="1"/>
  <c r="D314" i="6" s="1"/>
  <c r="J314" i="18"/>
  <c r="C314" i="6" s="1"/>
  <c r="I18" i="18"/>
  <c r="B18" i="6" s="1"/>
  <c r="BA18" i="6" s="1"/>
  <c r="D18" i="6" s="1"/>
  <c r="J18" i="18"/>
  <c r="C18" i="6" s="1"/>
  <c r="J45" i="18"/>
  <c r="C45" i="6" s="1"/>
  <c r="I45" i="18"/>
  <c r="B45" i="6" s="1"/>
  <c r="BA45" i="6" s="1"/>
  <c r="D45" i="6" s="1"/>
  <c r="I89" i="18"/>
  <c r="B89" i="6" s="1"/>
  <c r="BA89" i="6" s="1"/>
  <c r="D89" i="6" s="1"/>
  <c r="J89" i="18"/>
  <c r="C89" i="6" s="1"/>
  <c r="I109" i="18"/>
  <c r="B109" i="6" s="1"/>
  <c r="BA109" i="6" s="1"/>
  <c r="D109" i="6" s="1"/>
  <c r="J109" i="18"/>
  <c r="C109" i="6" s="1"/>
  <c r="I129" i="18"/>
  <c r="B129" i="6" s="1"/>
  <c r="BA129" i="6" s="1"/>
  <c r="D129" i="6" s="1"/>
  <c r="J129" i="18"/>
  <c r="C129" i="6" s="1"/>
  <c r="I157" i="18"/>
  <c r="B157" i="6" s="1"/>
  <c r="BA157" i="6" s="1"/>
  <c r="D157" i="6" s="1"/>
  <c r="J157" i="18"/>
  <c r="C157" i="6" s="1"/>
  <c r="J171" i="18"/>
  <c r="C171" i="6" s="1"/>
  <c r="I171" i="18"/>
  <c r="B171" i="6" s="1"/>
  <c r="BA171" i="6" s="1"/>
  <c r="D171" i="6" s="1"/>
  <c r="J289" i="18"/>
  <c r="C289" i="6" s="1"/>
  <c r="I289" i="18"/>
  <c r="B289" i="6" s="1"/>
  <c r="BA289" i="6" s="1"/>
  <c r="D289" i="6" s="1"/>
  <c r="I331" i="18"/>
  <c r="B331" i="6" s="1"/>
  <c r="BA331" i="6" s="1"/>
  <c r="D331" i="6" s="1"/>
  <c r="J331" i="18"/>
  <c r="C331" i="6" s="1"/>
  <c r="J359" i="18"/>
  <c r="C359" i="6" s="1"/>
  <c r="I359" i="18"/>
  <c r="B359" i="6" s="1"/>
  <c r="BA359" i="6" s="1"/>
  <c r="D359" i="6" s="1"/>
  <c r="AL6" i="16"/>
  <c r="AL12" i="16" s="1"/>
  <c r="I192" i="18"/>
  <c r="B192" i="6" s="1"/>
  <c r="BA192" i="6" s="1"/>
  <c r="D192" i="6" s="1"/>
  <c r="J192" i="18"/>
  <c r="C192" i="6" s="1"/>
  <c r="J16" i="18"/>
  <c r="C16" i="6" s="1"/>
  <c r="H60" i="18"/>
  <c r="G60" i="18"/>
  <c r="CA60" i="6" s="1"/>
  <c r="AA60" i="18"/>
  <c r="Z60" i="18" s="1"/>
  <c r="Y60" i="18" s="1"/>
  <c r="I82" i="18"/>
  <c r="B82" i="6" s="1"/>
  <c r="BA82" i="6" s="1"/>
  <c r="D82" i="6" s="1"/>
  <c r="J82" i="18"/>
  <c r="C82" i="6" s="1"/>
  <c r="I90" i="18"/>
  <c r="B90" i="6" s="1"/>
  <c r="BA90" i="6" s="1"/>
  <c r="D90" i="6" s="1"/>
  <c r="J90" i="18"/>
  <c r="C90" i="6" s="1"/>
  <c r="I98" i="18"/>
  <c r="B98" i="6" s="1"/>
  <c r="BA98" i="6" s="1"/>
  <c r="D98" i="6" s="1"/>
  <c r="J98" i="18"/>
  <c r="C98" i="6" s="1"/>
  <c r="I122" i="18"/>
  <c r="B122" i="6" s="1"/>
  <c r="BA122" i="6" s="1"/>
  <c r="D122" i="6" s="1"/>
  <c r="J122" i="18"/>
  <c r="C122" i="6" s="1"/>
  <c r="J146" i="18"/>
  <c r="C146" i="6" s="1"/>
  <c r="I146" i="18"/>
  <c r="B146" i="6" s="1"/>
  <c r="BA146" i="6" s="1"/>
  <c r="D146" i="6" s="1"/>
  <c r="I166" i="18"/>
  <c r="B166" i="6" s="1"/>
  <c r="BA166" i="6" s="1"/>
  <c r="D166" i="6" s="1"/>
  <c r="J166" i="18"/>
  <c r="C166" i="6" s="1"/>
  <c r="J188" i="18"/>
  <c r="C188" i="6" s="1"/>
  <c r="I188" i="18"/>
  <c r="B188" i="6" s="1"/>
  <c r="BA188" i="6" s="1"/>
  <c r="D188" i="6" s="1"/>
  <c r="I200" i="18"/>
  <c r="B200" i="6" s="1"/>
  <c r="BA200" i="6" s="1"/>
  <c r="D200" i="6" s="1"/>
  <c r="J200" i="18"/>
  <c r="C200" i="6" s="1"/>
  <c r="J202" i="18"/>
  <c r="C202" i="6" s="1"/>
  <c r="I202" i="18"/>
  <c r="B202" i="6" s="1"/>
  <c r="BA202" i="6" s="1"/>
  <c r="D202" i="6" s="1"/>
  <c r="I218" i="18"/>
  <c r="B218" i="6" s="1"/>
  <c r="BA218" i="6" s="1"/>
  <c r="D218" i="6" s="1"/>
  <c r="J218" i="18"/>
  <c r="C218" i="6" s="1"/>
  <c r="J226" i="18"/>
  <c r="C226" i="6" s="1"/>
  <c r="I226" i="18"/>
  <c r="B226" i="6" s="1"/>
  <c r="BA226" i="6" s="1"/>
  <c r="D226" i="6" s="1"/>
  <c r="J230" i="18"/>
  <c r="C230" i="6" s="1"/>
  <c r="I230" i="18"/>
  <c r="B230" i="6" s="1"/>
  <c r="BA230" i="6" s="1"/>
  <c r="D230" i="6" s="1"/>
  <c r="I252" i="18"/>
  <c r="B252" i="6" s="1"/>
  <c r="BA252" i="6" s="1"/>
  <c r="D252" i="6" s="1"/>
  <c r="J252" i="18"/>
  <c r="C252" i="6" s="1"/>
  <c r="I278" i="18"/>
  <c r="B278" i="6" s="1"/>
  <c r="BA278" i="6" s="1"/>
  <c r="D278" i="6" s="1"/>
  <c r="J278" i="18"/>
  <c r="C278" i="6" s="1"/>
  <c r="I298" i="18"/>
  <c r="B298" i="6" s="1"/>
  <c r="BA298" i="6" s="1"/>
  <c r="D298" i="6" s="1"/>
  <c r="J298" i="18"/>
  <c r="C298" i="6" s="1"/>
  <c r="I312" i="18"/>
  <c r="B312" i="6" s="1"/>
  <c r="BA312" i="6" s="1"/>
  <c r="D312" i="6" s="1"/>
  <c r="J312" i="18"/>
  <c r="C312" i="6" s="1"/>
  <c r="I332" i="18"/>
  <c r="B332" i="6" s="1"/>
  <c r="BA332" i="6" s="1"/>
  <c r="D332" i="6" s="1"/>
  <c r="J332" i="18"/>
  <c r="C332" i="6" s="1"/>
  <c r="I49" i="18"/>
  <c r="B49" i="6" s="1"/>
  <c r="BA49" i="6" s="1"/>
  <c r="D49" i="6" s="1"/>
  <c r="J49" i="18"/>
  <c r="C49" i="6" s="1"/>
  <c r="I53" i="18"/>
  <c r="B53" i="6" s="1"/>
  <c r="BA53" i="6" s="1"/>
  <c r="D53" i="6" s="1"/>
  <c r="J53" i="18"/>
  <c r="C53" i="6" s="1"/>
  <c r="I67" i="18"/>
  <c r="B67" i="6" s="1"/>
  <c r="BA67" i="6" s="1"/>
  <c r="D67" i="6" s="1"/>
  <c r="J67" i="18"/>
  <c r="C67" i="6" s="1"/>
  <c r="I99" i="18"/>
  <c r="B99" i="6" s="1"/>
  <c r="BA99" i="6" s="1"/>
  <c r="J99" i="18"/>
  <c r="C99" i="6" s="1"/>
  <c r="D127" i="6"/>
  <c r="I179" i="18"/>
  <c r="B179" i="6" s="1"/>
  <c r="BA179" i="6" s="1"/>
  <c r="D179" i="6" s="1"/>
  <c r="J179" i="18"/>
  <c r="C179" i="6" s="1"/>
  <c r="W227" i="20"/>
  <c r="D227" i="20"/>
  <c r="E227" i="20" s="1"/>
  <c r="F227" i="20" s="1"/>
  <c r="G241" i="18"/>
  <c r="CA241" i="6" s="1"/>
  <c r="AA241" i="18"/>
  <c r="Z241" i="18" s="1"/>
  <c r="Y241" i="18" s="1"/>
  <c r="H241" i="18"/>
  <c r="I83" i="18"/>
  <c r="B83" i="6" s="1"/>
  <c r="BA83" i="6" s="1"/>
  <c r="D83" i="6" s="1"/>
  <c r="J83" i="18"/>
  <c r="C83" i="6" s="1"/>
  <c r="J107" i="18"/>
  <c r="C107" i="6" s="1"/>
  <c r="I107" i="18"/>
  <c r="B107" i="6" s="1"/>
  <c r="BA107" i="6" s="1"/>
  <c r="D107" i="6" s="1"/>
  <c r="S15" i="20"/>
  <c r="T381" i="20"/>
  <c r="T383" i="20"/>
  <c r="T382" i="20"/>
  <c r="G31" i="20"/>
  <c r="CB31" i="6" s="1"/>
  <c r="H31" i="20"/>
  <c r="AA31" i="20"/>
  <c r="Z31" i="20" s="1"/>
  <c r="Y31" i="20" s="1"/>
  <c r="G49" i="20"/>
  <c r="CB49" i="6" s="1"/>
  <c r="AA49" i="20"/>
  <c r="Z49" i="20" s="1"/>
  <c r="Y49" i="20" s="1"/>
  <c r="G59" i="20"/>
  <c r="CB59" i="6" s="1"/>
  <c r="AA59" i="20"/>
  <c r="Z59" i="20" s="1"/>
  <c r="Y59" i="20" s="1"/>
  <c r="H59" i="20"/>
  <c r="H91" i="20"/>
  <c r="G91" i="20"/>
  <c r="CB91" i="6" s="1"/>
  <c r="AA91" i="20"/>
  <c r="Z91" i="20" s="1"/>
  <c r="Y91" i="20" s="1"/>
  <c r="G127" i="20"/>
  <c r="CB127" i="6" s="1"/>
  <c r="H127" i="20"/>
  <c r="G157" i="20"/>
  <c r="CB157" i="6" s="1"/>
  <c r="AA163" i="20"/>
  <c r="Z163" i="20" s="1"/>
  <c r="Y163" i="20" s="1"/>
  <c r="G163" i="20"/>
  <c r="CB163" i="6" s="1"/>
  <c r="G165" i="20"/>
  <c r="CB165" i="6" s="1"/>
  <c r="AA171" i="20"/>
  <c r="Z171" i="20" s="1"/>
  <c r="Y171" i="20" s="1"/>
  <c r="G171" i="20"/>
  <c r="CB171" i="6" s="1"/>
  <c r="G177" i="20"/>
  <c r="CB177" i="6" s="1"/>
  <c r="H177" i="20"/>
  <c r="G179" i="20"/>
  <c r="CB179" i="6" s="1"/>
  <c r="AA179" i="20"/>
  <c r="Z179" i="20" s="1"/>
  <c r="Y179" i="20" s="1"/>
  <c r="G181" i="20"/>
  <c r="CB181" i="6" s="1"/>
  <c r="G187" i="20"/>
  <c r="CB187" i="6" s="1"/>
  <c r="AA187" i="20"/>
  <c r="Z187" i="20" s="1"/>
  <c r="Y187" i="20" s="1"/>
  <c r="G213" i="20"/>
  <c r="CB213" i="6" s="1"/>
  <c r="G221" i="20"/>
  <c r="CB221" i="6" s="1"/>
  <c r="G255" i="20"/>
  <c r="CB255" i="6" s="1"/>
  <c r="G273" i="20"/>
  <c r="CB273" i="6" s="1"/>
  <c r="G315" i="20"/>
  <c r="CB315" i="6" s="1"/>
  <c r="AA315" i="20"/>
  <c r="Z315" i="20" s="1"/>
  <c r="Y315" i="20" s="1"/>
  <c r="G323" i="20"/>
  <c r="CB323" i="6" s="1"/>
  <c r="AA323" i="20"/>
  <c r="Z323" i="20" s="1"/>
  <c r="Y323" i="20" s="1"/>
  <c r="G325" i="20"/>
  <c r="CB325" i="6" s="1"/>
  <c r="G327" i="20"/>
  <c r="CB327" i="6" s="1"/>
  <c r="H327" i="20"/>
  <c r="G339" i="20"/>
  <c r="CB339" i="6" s="1"/>
  <c r="H339" i="20"/>
  <c r="AA339" i="20"/>
  <c r="Z339" i="20" s="1"/>
  <c r="Y339" i="20" s="1"/>
  <c r="G357" i="20"/>
  <c r="CB357" i="6" s="1"/>
  <c r="G365" i="20"/>
  <c r="CB365" i="6" s="1"/>
  <c r="U10" i="22"/>
  <c r="R381" i="18"/>
  <c r="R382" i="18"/>
  <c r="R383" i="18"/>
  <c r="P15" i="18"/>
  <c r="J34" i="18"/>
  <c r="C34" i="6" s="1"/>
  <c r="I34" i="18"/>
  <c r="B34" i="6" s="1"/>
  <c r="BA34" i="6" s="1"/>
  <c r="D34" i="6" s="1"/>
  <c r="I78" i="18"/>
  <c r="B78" i="6" s="1"/>
  <c r="BA78" i="6" s="1"/>
  <c r="D78" i="6" s="1"/>
  <c r="J78" i="18"/>
  <c r="C78" i="6" s="1"/>
  <c r="I210" i="18"/>
  <c r="B210" i="6" s="1"/>
  <c r="BA210" i="6" s="1"/>
  <c r="D210" i="6" s="1"/>
  <c r="I242" i="18"/>
  <c r="B242" i="6" s="1"/>
  <c r="BA242" i="6" s="1"/>
  <c r="D242" i="6" s="1"/>
  <c r="J242" i="18"/>
  <c r="C242" i="6" s="1"/>
  <c r="I374" i="18"/>
  <c r="B374" i="6" s="1"/>
  <c r="BA374" i="6" s="1"/>
  <c r="D374" i="6" s="1"/>
  <c r="J374" i="18"/>
  <c r="C374" i="6" s="1"/>
  <c r="J74" i="18"/>
  <c r="C74" i="6" s="1"/>
  <c r="I74" i="18"/>
  <c r="B74" i="6" s="1"/>
  <c r="BA74" i="6" s="1"/>
  <c r="D74" i="6" s="1"/>
  <c r="I121" i="18"/>
  <c r="B121" i="6" s="1"/>
  <c r="BA121" i="6" s="1"/>
  <c r="D121" i="6" s="1"/>
  <c r="J121" i="18"/>
  <c r="C121" i="6" s="1"/>
  <c r="J275" i="18"/>
  <c r="C275" i="6" s="1"/>
  <c r="I275" i="18"/>
  <c r="B275" i="6" s="1"/>
  <c r="BA275" i="6" s="1"/>
  <c r="D275" i="6" s="1"/>
  <c r="I353" i="18"/>
  <c r="B353" i="6" s="1"/>
  <c r="BA353" i="6" s="1"/>
  <c r="D353" i="6" s="1"/>
  <c r="J353" i="18"/>
  <c r="C353" i="6" s="1"/>
  <c r="I365" i="18"/>
  <c r="B365" i="6" s="1"/>
  <c r="BA365" i="6" s="1"/>
  <c r="J124" i="18"/>
  <c r="C124" i="6" s="1"/>
  <c r="I124" i="18"/>
  <c r="B124" i="6" s="1"/>
  <c r="BA124" i="6" s="1"/>
  <c r="D124" i="6" s="1"/>
  <c r="H180" i="18"/>
  <c r="G180" i="18"/>
  <c r="CA180" i="6" s="1"/>
  <c r="AA180" i="18"/>
  <c r="Z180" i="18" s="1"/>
  <c r="Y180" i="18" s="1"/>
  <c r="J234" i="18"/>
  <c r="C234" i="6" s="1"/>
  <c r="I234" i="18"/>
  <c r="B234" i="6" s="1"/>
  <c r="BA234" i="6" s="1"/>
  <c r="D234" i="6" s="1"/>
  <c r="J39" i="18"/>
  <c r="C39" i="6" s="1"/>
  <c r="I39" i="18"/>
  <c r="B39" i="6" s="1"/>
  <c r="BA39" i="6" s="1"/>
  <c r="D39" i="6" s="1"/>
  <c r="I137" i="18"/>
  <c r="B137" i="6" s="1"/>
  <c r="BA137" i="6" s="1"/>
  <c r="D137" i="6" s="1"/>
  <c r="J137" i="18"/>
  <c r="C137" i="6" s="1"/>
  <c r="I223" i="18"/>
  <c r="B223" i="6" s="1"/>
  <c r="BA223" i="6" s="1"/>
  <c r="D223" i="6" s="1"/>
  <c r="J223" i="18"/>
  <c r="C223" i="6" s="1"/>
  <c r="I263" i="18"/>
  <c r="B263" i="6" s="1"/>
  <c r="BA263" i="6" s="1"/>
  <c r="D263" i="6" s="1"/>
  <c r="J263" i="18"/>
  <c r="C263" i="6" s="1"/>
  <c r="I267" i="18"/>
  <c r="B267" i="6" s="1"/>
  <c r="BA267" i="6" s="1"/>
  <c r="I291" i="18"/>
  <c r="B291" i="6" s="1"/>
  <c r="BA291" i="6" s="1"/>
  <c r="D291" i="6" s="1"/>
  <c r="J291" i="18"/>
  <c r="C291" i="6" s="1"/>
  <c r="J317" i="18"/>
  <c r="C317" i="6" s="1"/>
  <c r="I317" i="18"/>
  <c r="B317" i="6" s="1"/>
  <c r="BA317" i="6" s="1"/>
  <c r="D317" i="6" s="1"/>
  <c r="I355" i="18"/>
  <c r="B355" i="6" s="1"/>
  <c r="BA355" i="6" s="1"/>
  <c r="D355" i="6" s="1"/>
  <c r="J355" i="18"/>
  <c r="C355" i="6" s="1"/>
  <c r="I30" i="18"/>
  <c r="B30" i="6" s="1"/>
  <c r="BA30" i="6" s="1"/>
  <c r="D30" i="6" s="1"/>
  <c r="J30" i="18"/>
  <c r="C30" i="6" s="1"/>
  <c r="I72" i="18"/>
  <c r="B72" i="6" s="1"/>
  <c r="BA72" i="6" s="1"/>
  <c r="D72" i="6" s="1"/>
  <c r="J72" i="18"/>
  <c r="C72" i="6" s="1"/>
  <c r="I84" i="18"/>
  <c r="B84" i="6" s="1"/>
  <c r="BA84" i="6" s="1"/>
  <c r="D84" i="6" s="1"/>
  <c r="J84" i="18"/>
  <c r="C84" i="6" s="1"/>
  <c r="I152" i="18"/>
  <c r="B152" i="6" s="1"/>
  <c r="BA152" i="6" s="1"/>
  <c r="D152" i="6" s="1"/>
  <c r="I162" i="18"/>
  <c r="B162" i="6" s="1"/>
  <c r="BA162" i="6" s="1"/>
  <c r="D162" i="6" s="1"/>
  <c r="J162" i="18"/>
  <c r="C162" i="6" s="1"/>
  <c r="J176" i="18"/>
  <c r="C176" i="6" s="1"/>
  <c r="J224" i="18"/>
  <c r="C224" i="6" s="1"/>
  <c r="I224" i="18"/>
  <c r="B224" i="6" s="1"/>
  <c r="BA224" i="6" s="1"/>
  <c r="D224" i="6" s="1"/>
  <c r="I236" i="18"/>
  <c r="B236" i="6" s="1"/>
  <c r="BA236" i="6" s="1"/>
  <c r="D236" i="6" s="1"/>
  <c r="J236" i="18"/>
  <c r="C236" i="6" s="1"/>
  <c r="I366" i="18"/>
  <c r="B366" i="6" s="1"/>
  <c r="BA366" i="6" s="1"/>
  <c r="D366" i="6" s="1"/>
  <c r="J366" i="18"/>
  <c r="C366" i="6" s="1"/>
  <c r="I225" i="18"/>
  <c r="B225" i="6" s="1"/>
  <c r="BA225" i="6" s="1"/>
  <c r="J225" i="18"/>
  <c r="C225" i="6" s="1"/>
  <c r="J269" i="18"/>
  <c r="C269" i="6" s="1"/>
  <c r="I269" i="18"/>
  <c r="B269" i="6" s="1"/>
  <c r="BA269" i="6" s="1"/>
  <c r="D269" i="6" s="1"/>
  <c r="J357" i="18"/>
  <c r="C357" i="6" s="1"/>
  <c r="I357" i="18"/>
  <c r="B357" i="6" s="1"/>
  <c r="BA357" i="6" s="1"/>
  <c r="D357" i="6" s="1"/>
  <c r="I294" i="18"/>
  <c r="B294" i="6" s="1"/>
  <c r="BA294" i="6" s="1"/>
  <c r="D294" i="6" s="1"/>
  <c r="J294" i="18"/>
  <c r="C294" i="6" s="1"/>
  <c r="I21" i="18"/>
  <c r="B21" i="6" s="1"/>
  <c r="BA21" i="6" s="1"/>
  <c r="D21" i="6" s="1"/>
  <c r="J21" i="18"/>
  <c r="C21" i="6" s="1"/>
  <c r="G29" i="18"/>
  <c r="CA29" i="6" s="1"/>
  <c r="H29" i="18"/>
  <c r="AA29" i="18"/>
  <c r="Z29" i="18" s="1"/>
  <c r="Y29" i="18" s="1"/>
  <c r="I55" i="18"/>
  <c r="B55" i="6" s="1"/>
  <c r="BA55" i="6" s="1"/>
  <c r="D55" i="6" s="1"/>
  <c r="J55" i="18"/>
  <c r="C55" i="6" s="1"/>
  <c r="J71" i="18"/>
  <c r="C71" i="6" s="1"/>
  <c r="I71" i="18"/>
  <c r="B71" i="6" s="1"/>
  <c r="BA71" i="6" s="1"/>
  <c r="J185" i="18"/>
  <c r="C185" i="6" s="1"/>
  <c r="I185" i="18"/>
  <c r="B185" i="6" s="1"/>
  <c r="BA185" i="6" s="1"/>
  <c r="D185" i="6" s="1"/>
  <c r="I231" i="18"/>
  <c r="B231" i="6" s="1"/>
  <c r="BA231" i="6" s="1"/>
  <c r="D231" i="6" s="1"/>
  <c r="J231" i="18"/>
  <c r="C231" i="6" s="1"/>
  <c r="I245" i="18"/>
  <c r="B245" i="6" s="1"/>
  <c r="BA245" i="6" s="1"/>
  <c r="D245" i="6" s="1"/>
  <c r="J311" i="18"/>
  <c r="C311" i="6" s="1"/>
  <c r="I311" i="18"/>
  <c r="B311" i="6" s="1"/>
  <c r="BA311" i="6" s="1"/>
  <c r="D311" i="6" s="1"/>
  <c r="J313" i="18"/>
  <c r="C313" i="6" s="1"/>
  <c r="I313" i="18"/>
  <c r="B313" i="6" s="1"/>
  <c r="BA313" i="6" s="1"/>
  <c r="D313" i="6" s="1"/>
  <c r="J323" i="18"/>
  <c r="C323" i="6" s="1"/>
  <c r="I323" i="18"/>
  <c r="B323" i="6" s="1"/>
  <c r="BA323" i="6" s="1"/>
  <c r="J369" i="18"/>
  <c r="C369" i="6" s="1"/>
  <c r="I369" i="18"/>
  <c r="B369" i="6" s="1"/>
  <c r="BA369" i="6" s="1"/>
  <c r="D369" i="6" s="1"/>
  <c r="J26" i="18"/>
  <c r="C26" i="6" s="1"/>
  <c r="I26" i="18"/>
  <c r="B26" i="6" s="1"/>
  <c r="BA26" i="6" s="1"/>
  <c r="D26" i="6" s="1"/>
  <c r="J62" i="18"/>
  <c r="C62" i="6" s="1"/>
  <c r="I62" i="18"/>
  <c r="B62" i="6" s="1"/>
  <c r="BA62" i="6" s="1"/>
  <c r="D62" i="6" s="1"/>
  <c r="I80" i="18"/>
  <c r="B80" i="6" s="1"/>
  <c r="BA80" i="6" s="1"/>
  <c r="D80" i="6" s="1"/>
  <c r="J80" i="18"/>
  <c r="C80" i="6" s="1"/>
  <c r="J86" i="18"/>
  <c r="C86" i="6" s="1"/>
  <c r="I86" i="18"/>
  <c r="B86" i="6" s="1"/>
  <c r="BA86" i="6" s="1"/>
  <c r="D86" i="6" s="1"/>
  <c r="I112" i="18"/>
  <c r="B112" i="6" s="1"/>
  <c r="BA112" i="6" s="1"/>
  <c r="D112" i="6" s="1"/>
  <c r="J112" i="18"/>
  <c r="C112" i="6" s="1"/>
  <c r="J126" i="18"/>
  <c r="C126" i="6" s="1"/>
  <c r="I130" i="18"/>
  <c r="B130" i="6" s="1"/>
  <c r="BA130" i="6" s="1"/>
  <c r="D130" i="6" s="1"/>
  <c r="J130" i="18"/>
  <c r="C130" i="6" s="1"/>
  <c r="I132" i="18"/>
  <c r="B132" i="6" s="1"/>
  <c r="BA132" i="6" s="1"/>
  <c r="D132" i="6" s="1"/>
  <c r="J132" i="18"/>
  <c r="C132" i="6" s="1"/>
  <c r="J156" i="18"/>
  <c r="C156" i="6" s="1"/>
  <c r="I156" i="18"/>
  <c r="B156" i="6" s="1"/>
  <c r="BA156" i="6" s="1"/>
  <c r="D156" i="6" s="1"/>
  <c r="J190" i="18"/>
  <c r="C190" i="6" s="1"/>
  <c r="I190" i="18"/>
  <c r="B190" i="6" s="1"/>
  <c r="BA190" i="6" s="1"/>
  <c r="D190" i="6" s="1"/>
  <c r="I208" i="18"/>
  <c r="B208" i="6" s="1"/>
  <c r="BA208" i="6" s="1"/>
  <c r="D208" i="6" s="1"/>
  <c r="J208" i="18"/>
  <c r="C208" i="6" s="1"/>
  <c r="AA272" i="18"/>
  <c r="Z272" i="18" s="1"/>
  <c r="Y272" i="18" s="1"/>
  <c r="H272" i="18"/>
  <c r="G272" i="18"/>
  <c r="CA272" i="6" s="1"/>
  <c r="I292" i="18"/>
  <c r="B292" i="6" s="1"/>
  <c r="BA292" i="6" s="1"/>
  <c r="D292" i="6" s="1"/>
  <c r="J292" i="18"/>
  <c r="C292" i="6" s="1"/>
  <c r="I304" i="18"/>
  <c r="B304" i="6" s="1"/>
  <c r="BA304" i="6" s="1"/>
  <c r="D304" i="6" s="1"/>
  <c r="J304" i="18"/>
  <c r="C304" i="6" s="1"/>
  <c r="J326" i="18"/>
  <c r="C326" i="6" s="1"/>
  <c r="I326" i="18"/>
  <c r="B326" i="6" s="1"/>
  <c r="BA326" i="6" s="1"/>
  <c r="D326" i="6" s="1"/>
  <c r="I334" i="18"/>
  <c r="B334" i="6" s="1"/>
  <c r="BA334" i="6" s="1"/>
  <c r="D334" i="6" s="1"/>
  <c r="J334" i="18"/>
  <c r="C334" i="6" s="1"/>
  <c r="I360" i="18"/>
  <c r="B360" i="6" s="1"/>
  <c r="BA360" i="6" s="1"/>
  <c r="D360" i="6" s="1"/>
  <c r="J360" i="18"/>
  <c r="C360" i="6" s="1"/>
  <c r="AG379" i="20"/>
  <c r="AF379" i="20" s="1"/>
  <c r="AD379" i="20" s="1"/>
  <c r="J95" i="18"/>
  <c r="C95" i="6" s="1"/>
  <c r="I95" i="18"/>
  <c r="B95" i="6" s="1"/>
  <c r="BA95" i="6" s="1"/>
  <c r="D95" i="6" s="1"/>
  <c r="J153" i="18"/>
  <c r="C153" i="6" s="1"/>
  <c r="I153" i="18"/>
  <c r="B153" i="6" s="1"/>
  <c r="BA153" i="6" s="1"/>
  <c r="D153" i="6" s="1"/>
  <c r="D169" i="6"/>
  <c r="J211" i="18"/>
  <c r="C211" i="6" s="1"/>
  <c r="I211" i="18"/>
  <c r="B211" i="6" s="1"/>
  <c r="BA211" i="6" s="1"/>
  <c r="J253" i="18"/>
  <c r="C253" i="6" s="1"/>
  <c r="I253" i="18"/>
  <c r="B253" i="6" s="1"/>
  <c r="BA253" i="6" s="1"/>
  <c r="J319" i="18"/>
  <c r="C319" i="6" s="1"/>
  <c r="I319" i="18"/>
  <c r="B319" i="6" s="1"/>
  <c r="BA319" i="6" s="1"/>
  <c r="D319" i="6" s="1"/>
  <c r="I161" i="18"/>
  <c r="B161" i="6" s="1"/>
  <c r="BA161" i="6" s="1"/>
  <c r="D161" i="6" s="1"/>
  <c r="J161" i="18"/>
  <c r="C161" i="6" s="1"/>
  <c r="I249" i="18"/>
  <c r="B249" i="6" s="1"/>
  <c r="BA249" i="6" s="1"/>
  <c r="D249" i="6" s="1"/>
  <c r="J249" i="18"/>
  <c r="C249" i="6" s="1"/>
  <c r="J325" i="18"/>
  <c r="C325" i="6" s="1"/>
  <c r="I325" i="18"/>
  <c r="B325" i="6" s="1"/>
  <c r="BA325" i="6" s="1"/>
  <c r="D325" i="6" s="1"/>
  <c r="AA20" i="20"/>
  <c r="Z20" i="20" s="1"/>
  <c r="Y20" i="20" s="1"/>
  <c r="G20" i="20"/>
  <c r="CB20" i="6" s="1"/>
  <c r="AA30" i="20"/>
  <c r="Z30" i="20" s="1"/>
  <c r="Y30" i="20" s="1"/>
  <c r="G30" i="20"/>
  <c r="CB30" i="6" s="1"/>
  <c r="AA38" i="20"/>
  <c r="Z38" i="20" s="1"/>
  <c r="Y38" i="20" s="1"/>
  <c r="G38" i="20"/>
  <c r="CB38" i="6" s="1"/>
  <c r="W60" i="20"/>
  <c r="W88" i="20"/>
  <c r="D88" i="20"/>
  <c r="E88" i="20" s="1"/>
  <c r="F88" i="20" s="1"/>
  <c r="G160" i="20"/>
  <c r="CB160" i="6" s="1"/>
  <c r="G240" i="20"/>
  <c r="CB240" i="6" s="1"/>
  <c r="H240" i="20"/>
  <c r="G304" i="20"/>
  <c r="CB304" i="6" s="1"/>
  <c r="G316" i="20"/>
  <c r="CB316" i="6" s="1"/>
  <c r="H316" i="20"/>
  <c r="G334" i="20"/>
  <c r="CB334" i="6" s="1"/>
  <c r="G344" i="20"/>
  <c r="CB344" i="6" s="1"/>
  <c r="H344" i="20"/>
  <c r="G370" i="20"/>
  <c r="CB370" i="6" s="1"/>
  <c r="I58" i="18"/>
  <c r="B58" i="6" s="1"/>
  <c r="BA58" i="6" s="1"/>
  <c r="D58" i="6" s="1"/>
  <c r="J58" i="18"/>
  <c r="C58" i="6" s="1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G106" i="20"/>
  <c r="CB106" i="6" s="1"/>
  <c r="G228" i="20"/>
  <c r="CB228" i="6" s="1"/>
  <c r="G291" i="20"/>
  <c r="CB291" i="6" s="1"/>
  <c r="AA291" i="20"/>
  <c r="Z291" i="20" s="1"/>
  <c r="Y291" i="20" s="1"/>
  <c r="J245" i="18" l="1"/>
  <c r="C245" i="6" s="1"/>
  <c r="H213" i="20"/>
  <c r="I213" i="20" s="1"/>
  <c r="AA100" i="20"/>
  <c r="Z100" i="20" s="1"/>
  <c r="Y100" i="20" s="1"/>
  <c r="H19" i="20"/>
  <c r="J19" i="20" s="1"/>
  <c r="AA189" i="20"/>
  <c r="Z189" i="20" s="1"/>
  <c r="Y189" i="20" s="1"/>
  <c r="AA161" i="20"/>
  <c r="Z161" i="20" s="1"/>
  <c r="Y161" i="20" s="1"/>
  <c r="AA225" i="20"/>
  <c r="Z225" i="20" s="1"/>
  <c r="Y225" i="20" s="1"/>
  <c r="AA289" i="20"/>
  <c r="Z289" i="20" s="1"/>
  <c r="Y289" i="20" s="1"/>
  <c r="W189" i="20"/>
  <c r="B125" i="20"/>
  <c r="H220" i="20"/>
  <c r="B61" i="20"/>
  <c r="AD381" i="17"/>
  <c r="AD383" i="17"/>
  <c r="AD382" i="17"/>
  <c r="J285" i="18"/>
  <c r="C285" i="6" s="1"/>
  <c r="I285" i="18"/>
  <c r="B285" i="6" s="1"/>
  <c r="BA285" i="6" s="1"/>
  <c r="D285" i="6" s="1"/>
  <c r="J119" i="17"/>
  <c r="I119" i="17"/>
  <c r="H119" i="18" s="1"/>
  <c r="J149" i="17"/>
  <c r="I149" i="17"/>
  <c r="H149" i="18" s="1"/>
  <c r="I301" i="18"/>
  <c r="B301" i="6" s="1"/>
  <c r="BA301" i="6" s="1"/>
  <c r="D301" i="6" s="1"/>
  <c r="J301" i="18"/>
  <c r="C301" i="6" s="1"/>
  <c r="F125" i="18"/>
  <c r="F189" i="18"/>
  <c r="F61" i="18"/>
  <c r="I205" i="17"/>
  <c r="H205" i="18" s="1"/>
  <c r="J205" i="17"/>
  <c r="J349" i="18"/>
  <c r="C349" i="6" s="1"/>
  <c r="I349" i="18"/>
  <c r="B349" i="6" s="1"/>
  <c r="BA349" i="6" s="1"/>
  <c r="D349" i="6" s="1"/>
  <c r="Z149" i="17"/>
  <c r="AL10" i="17"/>
  <c r="I333" i="17"/>
  <c r="H333" i="18" s="1"/>
  <c r="J333" i="17"/>
  <c r="J333" i="18" s="1"/>
  <c r="C333" i="6" s="1"/>
  <c r="P383" i="17"/>
  <c r="P382" i="17"/>
  <c r="V15" i="17"/>
  <c r="P381" i="17"/>
  <c r="I88" i="17"/>
  <c r="H88" i="18" s="1"/>
  <c r="J88" i="17"/>
  <c r="I77" i="18"/>
  <c r="B77" i="6" s="1"/>
  <c r="BA77" i="6" s="1"/>
  <c r="D77" i="6" s="1"/>
  <c r="J77" i="18"/>
  <c r="C77" i="6" s="1"/>
  <c r="C7" i="6"/>
  <c r="Q7" i="7"/>
  <c r="I381" i="16"/>
  <c r="I382" i="16"/>
  <c r="I383" i="16"/>
  <c r="J380" i="20"/>
  <c r="I380" i="20"/>
  <c r="AL7" i="16"/>
  <c r="Z382" i="16"/>
  <c r="Z9" i="16"/>
  <c r="Y15" i="16"/>
  <c r="Z383" i="16"/>
  <c r="Z381" i="16"/>
  <c r="J382" i="16"/>
  <c r="J383" i="16"/>
  <c r="J381" i="16"/>
  <c r="G37" i="19"/>
  <c r="D13" i="19"/>
  <c r="E13" i="19" s="1"/>
  <c r="F13" i="19" s="1"/>
  <c r="H376" i="20"/>
  <c r="J376" i="20" s="1"/>
  <c r="H114" i="20"/>
  <c r="J114" i="20" s="1"/>
  <c r="H36" i="20"/>
  <c r="I36" i="20" s="1"/>
  <c r="AA376" i="20"/>
  <c r="Z376" i="20" s="1"/>
  <c r="Y376" i="20" s="1"/>
  <c r="AA308" i="20"/>
  <c r="Z308" i="20" s="1"/>
  <c r="Y308" i="20" s="1"/>
  <c r="AI383" i="20"/>
  <c r="G220" i="20"/>
  <c r="CB220" i="6" s="1"/>
  <c r="G249" i="20"/>
  <c r="CB249" i="6" s="1"/>
  <c r="G68" i="20"/>
  <c r="CB68" i="6" s="1"/>
  <c r="AA220" i="20"/>
  <c r="Z220" i="20" s="1"/>
  <c r="Y220" i="20" s="1"/>
  <c r="AA214" i="20"/>
  <c r="Z214" i="20" s="1"/>
  <c r="Y214" i="20" s="1"/>
  <c r="AA128" i="20"/>
  <c r="Z128" i="20" s="1"/>
  <c r="Y128" i="20" s="1"/>
  <c r="AA208" i="20"/>
  <c r="Z208" i="20" s="1"/>
  <c r="Y208" i="20" s="1"/>
  <c r="AA156" i="20"/>
  <c r="Z156" i="20" s="1"/>
  <c r="Y156" i="20" s="1"/>
  <c r="AA172" i="20"/>
  <c r="Z172" i="20" s="1"/>
  <c r="Y172" i="20" s="1"/>
  <c r="AA86" i="20"/>
  <c r="Z86" i="20" s="1"/>
  <c r="Y86" i="20" s="1"/>
  <c r="AA24" i="20"/>
  <c r="Z24" i="20" s="1"/>
  <c r="Y24" i="20" s="1"/>
  <c r="AA137" i="20"/>
  <c r="Z137" i="20" s="1"/>
  <c r="Y137" i="20" s="1"/>
  <c r="J101" i="18"/>
  <c r="C101" i="6" s="1"/>
  <c r="H117" i="20"/>
  <c r="I117" i="20" s="1"/>
  <c r="H295" i="20"/>
  <c r="I295" i="20" s="1"/>
  <c r="G66" i="19"/>
  <c r="AA254" i="20"/>
  <c r="Z254" i="20" s="1"/>
  <c r="Y254" i="20" s="1"/>
  <c r="AA270" i="20"/>
  <c r="Z270" i="20" s="1"/>
  <c r="Y270" i="20" s="1"/>
  <c r="AA350" i="20"/>
  <c r="Z350" i="20" s="1"/>
  <c r="Y350" i="20" s="1"/>
  <c r="AA374" i="20"/>
  <c r="Z374" i="20" s="1"/>
  <c r="Y374" i="20" s="1"/>
  <c r="AA295" i="20"/>
  <c r="Z295" i="20" s="1"/>
  <c r="Y295" i="20" s="1"/>
  <c r="AA247" i="20"/>
  <c r="Z247" i="20" s="1"/>
  <c r="Y247" i="20" s="1"/>
  <c r="H145" i="20"/>
  <c r="I145" i="20" s="1"/>
  <c r="AA45" i="20"/>
  <c r="Z45" i="20" s="1"/>
  <c r="Y45" i="20" s="1"/>
  <c r="AA191" i="20"/>
  <c r="Z191" i="20" s="1"/>
  <c r="Y191" i="20" s="1"/>
  <c r="G75" i="20"/>
  <c r="CB75" i="6" s="1"/>
  <c r="AA322" i="20"/>
  <c r="Z322" i="20" s="1"/>
  <c r="Y322" i="20" s="1"/>
  <c r="AA145" i="20"/>
  <c r="Z145" i="20" s="1"/>
  <c r="Y145" i="20" s="1"/>
  <c r="AA271" i="20"/>
  <c r="Z271" i="20" s="1"/>
  <c r="Y271" i="20" s="1"/>
  <c r="G72" i="20"/>
  <c r="CB72" i="6" s="1"/>
  <c r="AA89" i="20"/>
  <c r="Z89" i="20" s="1"/>
  <c r="Y89" i="20" s="1"/>
  <c r="W90" i="20"/>
  <c r="AA226" i="20"/>
  <c r="Z226" i="20" s="1"/>
  <c r="Y226" i="20" s="1"/>
  <c r="AA223" i="20"/>
  <c r="Z223" i="20" s="1"/>
  <c r="Y223" i="20" s="1"/>
  <c r="AA231" i="20"/>
  <c r="Z231" i="20" s="1"/>
  <c r="Y231" i="20" s="1"/>
  <c r="AO16" i="7"/>
  <c r="Q12" i="23"/>
  <c r="D66" i="19"/>
  <c r="AA81" i="20"/>
  <c r="Z81" i="20" s="1"/>
  <c r="Y81" i="20" s="1"/>
  <c r="AA87" i="20"/>
  <c r="Z87" i="20" s="1"/>
  <c r="Y87" i="20" s="1"/>
  <c r="H77" i="20"/>
  <c r="I77" i="20" s="1"/>
  <c r="G41" i="20"/>
  <c r="CB41" i="6" s="1"/>
  <c r="G140" i="20"/>
  <c r="CB140" i="6" s="1"/>
  <c r="G77" i="20"/>
  <c r="CB77" i="6" s="1"/>
  <c r="AA114" i="20"/>
  <c r="Z114" i="20" s="1"/>
  <c r="Y114" i="20" s="1"/>
  <c r="AA21" i="20"/>
  <c r="Z21" i="20" s="1"/>
  <c r="Y21" i="20" s="1"/>
  <c r="AA94" i="20"/>
  <c r="Z94" i="20" s="1"/>
  <c r="Y94" i="20" s="1"/>
  <c r="AA110" i="20"/>
  <c r="Z110" i="20" s="1"/>
  <c r="Y110" i="20" s="1"/>
  <c r="H94" i="20"/>
  <c r="J94" i="20" s="1"/>
  <c r="H128" i="20"/>
  <c r="J128" i="20" s="1"/>
  <c r="D180" i="20"/>
  <c r="E180" i="20" s="1"/>
  <c r="F180" i="20" s="1"/>
  <c r="AA180" i="20" s="1"/>
  <c r="Z180" i="20" s="1"/>
  <c r="Y180" i="20" s="1"/>
  <c r="AA112" i="20"/>
  <c r="Z112" i="20" s="1"/>
  <c r="Y112" i="20" s="1"/>
  <c r="AA140" i="20"/>
  <c r="Z140" i="20" s="1"/>
  <c r="Y140" i="20" s="1"/>
  <c r="AA120" i="20"/>
  <c r="Z120" i="20" s="1"/>
  <c r="Y120" i="20" s="1"/>
  <c r="AI381" i="20"/>
  <c r="I119" i="18"/>
  <c r="B119" i="6" s="1"/>
  <c r="BA119" i="6" s="1"/>
  <c r="D119" i="6" s="1"/>
  <c r="AH104" i="20"/>
  <c r="AI382" i="20"/>
  <c r="H247" i="20"/>
  <c r="I247" i="20" s="1"/>
  <c r="H100" i="20"/>
  <c r="J100" i="20" s="1"/>
  <c r="I379" i="18"/>
  <c r="B379" i="6" s="1"/>
  <c r="BA379" i="6" s="1"/>
  <c r="D379" i="6" s="1"/>
  <c r="D48" i="20"/>
  <c r="E48" i="20" s="1"/>
  <c r="F48" i="20" s="1"/>
  <c r="G48" i="20" s="1"/>
  <c r="CB48" i="6" s="1"/>
  <c r="H81" i="20"/>
  <c r="J81" i="20" s="1"/>
  <c r="H315" i="20"/>
  <c r="J315" i="20" s="1"/>
  <c r="H214" i="20"/>
  <c r="I214" i="20" s="1"/>
  <c r="H187" i="20"/>
  <c r="I187" i="20" s="1"/>
  <c r="I302" i="18"/>
  <c r="B302" i="6" s="1"/>
  <c r="BA302" i="6" s="1"/>
  <c r="D302" i="6" s="1"/>
  <c r="H228" i="20"/>
  <c r="I228" i="20" s="1"/>
  <c r="H334" i="20"/>
  <c r="J334" i="20" s="1"/>
  <c r="H171" i="20"/>
  <c r="J171" i="20" s="1"/>
  <c r="H304" i="20"/>
  <c r="J304" i="20" s="1"/>
  <c r="H179" i="20"/>
  <c r="I179" i="20" s="1"/>
  <c r="H291" i="20"/>
  <c r="J291" i="20" s="1"/>
  <c r="H308" i="20"/>
  <c r="I308" i="20" s="1"/>
  <c r="H160" i="20"/>
  <c r="I160" i="20" s="1"/>
  <c r="H72" i="20"/>
  <c r="J72" i="20" s="1"/>
  <c r="H68" i="20"/>
  <c r="J68" i="20" s="1"/>
  <c r="H181" i="20"/>
  <c r="J181" i="20" s="1"/>
  <c r="H163" i="20"/>
  <c r="I163" i="20" s="1"/>
  <c r="H374" i="20"/>
  <c r="J374" i="20" s="1"/>
  <c r="H370" i="20"/>
  <c r="J370" i="20" s="1"/>
  <c r="H352" i="20"/>
  <c r="J352" i="20" s="1"/>
  <c r="H110" i="20"/>
  <c r="J110" i="20" s="1"/>
  <c r="H38" i="20"/>
  <c r="I38" i="20" s="1"/>
  <c r="H271" i="20"/>
  <c r="J271" i="20" s="1"/>
  <c r="H165" i="20"/>
  <c r="J165" i="20" s="1"/>
  <c r="H157" i="20"/>
  <c r="I157" i="20" s="1"/>
  <c r="H89" i="20"/>
  <c r="J89" i="20" s="1"/>
  <c r="H87" i="20"/>
  <c r="J87" i="20" s="1"/>
  <c r="H106" i="20"/>
  <c r="J106" i="20" s="1"/>
  <c r="H350" i="20"/>
  <c r="J350" i="20" s="1"/>
  <c r="H270" i="20"/>
  <c r="J270" i="20" s="1"/>
  <c r="H226" i="20"/>
  <c r="I226" i="20" s="1"/>
  <c r="H172" i="20"/>
  <c r="I172" i="20" s="1"/>
  <c r="H86" i="20"/>
  <c r="I86" i="20" s="1"/>
  <c r="H24" i="20"/>
  <c r="I24" i="20" s="1"/>
  <c r="H20" i="20"/>
  <c r="J20" i="20" s="1"/>
  <c r="H273" i="20"/>
  <c r="I273" i="20" s="1"/>
  <c r="H255" i="20"/>
  <c r="J255" i="20" s="1"/>
  <c r="H221" i="20"/>
  <c r="J221" i="20" s="1"/>
  <c r="H41" i="20"/>
  <c r="J41" i="20" s="1"/>
  <c r="H57" i="20"/>
  <c r="I57" i="20" s="1"/>
  <c r="H348" i="20"/>
  <c r="J348" i="20" s="1"/>
  <c r="AF382" i="18"/>
  <c r="AF381" i="18"/>
  <c r="AF383" i="18"/>
  <c r="AD15" i="18"/>
  <c r="H156" i="20"/>
  <c r="J156" i="20" s="1"/>
  <c r="H30" i="20"/>
  <c r="J30" i="20" s="1"/>
  <c r="Q381" i="22"/>
  <c r="H289" i="20"/>
  <c r="J289" i="20" s="1"/>
  <c r="H191" i="20"/>
  <c r="J191" i="20" s="1"/>
  <c r="H49" i="20"/>
  <c r="I49" i="20" s="1"/>
  <c r="H138" i="20"/>
  <c r="J138" i="20" s="1"/>
  <c r="H66" i="19"/>
  <c r="L66" i="19"/>
  <c r="K66" i="19"/>
  <c r="J66" i="19"/>
  <c r="E66" i="19"/>
  <c r="I66" i="19"/>
  <c r="F66" i="19"/>
  <c r="M66" i="19"/>
  <c r="I376" i="20"/>
  <c r="I94" i="20"/>
  <c r="G60" i="20"/>
  <c r="CB60" i="6" s="1"/>
  <c r="AA60" i="20"/>
  <c r="Z60" i="20" s="1"/>
  <c r="Y60" i="20" s="1"/>
  <c r="D253" i="6"/>
  <c r="AB4" i="6"/>
  <c r="D211" i="6"/>
  <c r="J272" i="18"/>
  <c r="C272" i="6" s="1"/>
  <c r="I272" i="18"/>
  <c r="B272" i="6" s="1"/>
  <c r="BA272" i="6" s="1"/>
  <c r="D272" i="6" s="1"/>
  <c r="J29" i="18"/>
  <c r="C29" i="6" s="1"/>
  <c r="I29" i="18"/>
  <c r="B29" i="6" s="1"/>
  <c r="BA29" i="6" s="1"/>
  <c r="I180" i="18"/>
  <c r="B180" i="6" s="1"/>
  <c r="BA180" i="6" s="1"/>
  <c r="J180" i="18"/>
  <c r="C180" i="6" s="1"/>
  <c r="H325" i="20"/>
  <c r="J295" i="20"/>
  <c r="H223" i="20"/>
  <c r="J213" i="20"/>
  <c r="J241" i="18"/>
  <c r="C241" i="6" s="1"/>
  <c r="I241" i="18"/>
  <c r="B241" i="6" s="1"/>
  <c r="BA241" i="6" s="1"/>
  <c r="D241" i="6" s="1"/>
  <c r="AA227" i="20"/>
  <c r="Z227" i="20" s="1"/>
  <c r="Y227" i="20" s="1"/>
  <c r="G227" i="20"/>
  <c r="CB227" i="6" s="1"/>
  <c r="I60" i="18"/>
  <c r="B60" i="6" s="1"/>
  <c r="BA60" i="6" s="1"/>
  <c r="D60" i="6" s="1"/>
  <c r="J60" i="18"/>
  <c r="C60" i="6" s="1"/>
  <c r="D309" i="6"/>
  <c r="AI4" i="6"/>
  <c r="I333" i="18"/>
  <c r="B333" i="6" s="1"/>
  <c r="BA333" i="6" s="1"/>
  <c r="D333" i="6" s="1"/>
  <c r="J123" i="20"/>
  <c r="I123" i="20"/>
  <c r="I85" i="20"/>
  <c r="J85" i="20"/>
  <c r="H45" i="20"/>
  <c r="J27" i="20"/>
  <c r="I27" i="20"/>
  <c r="AA16" i="20"/>
  <c r="Z16" i="20" s="1"/>
  <c r="Y16" i="20" s="1"/>
  <c r="H16" i="20"/>
  <c r="G16" i="20"/>
  <c r="CB16" i="6" s="1"/>
  <c r="I363" i="18"/>
  <c r="B363" i="6" s="1"/>
  <c r="BA363" i="6" s="1"/>
  <c r="D363" i="6" s="1"/>
  <c r="J363" i="18"/>
  <c r="C363" i="6" s="1"/>
  <c r="AE381" i="22"/>
  <c r="AE382" i="22"/>
  <c r="AE383" i="22"/>
  <c r="Q382" i="22"/>
  <c r="AF15" i="20"/>
  <c r="H360" i="20"/>
  <c r="I284" i="20"/>
  <c r="J284" i="20"/>
  <c r="H254" i="20"/>
  <c r="AA218" i="20"/>
  <c r="Z218" i="20" s="1"/>
  <c r="Y218" i="20" s="1"/>
  <c r="H218" i="20"/>
  <c r="G218" i="20"/>
  <c r="CB218" i="6" s="1"/>
  <c r="H208" i="20"/>
  <c r="H182" i="20"/>
  <c r="H124" i="20"/>
  <c r="H112" i="20"/>
  <c r="AA84" i="20"/>
  <c r="Z84" i="20" s="1"/>
  <c r="Y84" i="20" s="1"/>
  <c r="G84" i="20"/>
  <c r="CB84" i="6" s="1"/>
  <c r="H84" i="20"/>
  <c r="G80" i="20"/>
  <c r="CB80" i="6" s="1"/>
  <c r="AA80" i="20"/>
  <c r="Z80" i="20" s="1"/>
  <c r="Y80" i="20" s="1"/>
  <c r="H80" i="20"/>
  <c r="H78" i="20"/>
  <c r="G78" i="20"/>
  <c r="CB78" i="6" s="1"/>
  <c r="AA78" i="20"/>
  <c r="Z78" i="20" s="1"/>
  <c r="Y78" i="20" s="1"/>
  <c r="AA70" i="20"/>
  <c r="Z70" i="20" s="1"/>
  <c r="Y70" i="20" s="1"/>
  <c r="G70" i="20"/>
  <c r="CB70" i="6" s="1"/>
  <c r="H70" i="20"/>
  <c r="H66" i="20"/>
  <c r="AA66" i="20"/>
  <c r="Z66" i="20" s="1"/>
  <c r="Y66" i="20" s="1"/>
  <c r="G66" i="20"/>
  <c r="CB66" i="6" s="1"/>
  <c r="AA64" i="20"/>
  <c r="Z64" i="20" s="1"/>
  <c r="Y64" i="20" s="1"/>
  <c r="G64" i="20"/>
  <c r="CB64" i="6" s="1"/>
  <c r="H64" i="20"/>
  <c r="H58" i="20"/>
  <c r="G58" i="20"/>
  <c r="CB58" i="6" s="1"/>
  <c r="AA58" i="20"/>
  <c r="Z58" i="20" s="1"/>
  <c r="Y58" i="20" s="1"/>
  <c r="H52" i="20"/>
  <c r="AA52" i="20"/>
  <c r="Z52" i="20" s="1"/>
  <c r="Y52" i="20" s="1"/>
  <c r="G52" i="20"/>
  <c r="CB52" i="6" s="1"/>
  <c r="J36" i="20"/>
  <c r="AA34" i="20"/>
  <c r="Z34" i="20" s="1"/>
  <c r="Y34" i="20" s="1"/>
  <c r="G34" i="20"/>
  <c r="CB34" i="6" s="1"/>
  <c r="H34" i="20"/>
  <c r="H32" i="20"/>
  <c r="AA32" i="20"/>
  <c r="Z32" i="20" s="1"/>
  <c r="Y32" i="20" s="1"/>
  <c r="G32" i="20"/>
  <c r="CB32" i="6" s="1"/>
  <c r="AI380" i="22"/>
  <c r="AH380" i="22" s="1"/>
  <c r="AI378" i="22"/>
  <c r="AH378" i="22" s="1"/>
  <c r="AI376" i="22"/>
  <c r="AH376" i="22" s="1"/>
  <c r="AG376" i="22" s="1"/>
  <c r="AF376" i="22" s="1"/>
  <c r="AD376" i="22" s="1"/>
  <c r="AI374" i="22"/>
  <c r="AH374" i="22" s="1"/>
  <c r="AI372" i="22"/>
  <c r="AH372" i="22" s="1"/>
  <c r="AI370" i="22"/>
  <c r="AH370" i="22" s="1"/>
  <c r="AI368" i="22"/>
  <c r="AH368" i="22" s="1"/>
  <c r="AI366" i="22"/>
  <c r="AH366" i="22" s="1"/>
  <c r="AG366" i="22" s="1"/>
  <c r="AF366" i="22" s="1"/>
  <c r="AD366" i="22" s="1"/>
  <c r="AI364" i="22"/>
  <c r="AH364" i="22" s="1"/>
  <c r="AI362" i="22"/>
  <c r="AH362" i="22" s="1"/>
  <c r="AG362" i="22" s="1"/>
  <c r="AF362" i="22" s="1"/>
  <c r="AD362" i="22" s="1"/>
  <c r="AI360" i="22"/>
  <c r="AH360" i="22" s="1"/>
  <c r="AI358" i="22"/>
  <c r="AH358" i="22" s="1"/>
  <c r="AI356" i="22"/>
  <c r="AH356" i="22" s="1"/>
  <c r="AG356" i="22" s="1"/>
  <c r="AF356" i="22" s="1"/>
  <c r="AD356" i="22" s="1"/>
  <c r="AI354" i="22"/>
  <c r="AH354" i="22" s="1"/>
  <c r="AI352" i="22"/>
  <c r="AH352" i="22" s="1"/>
  <c r="AI350" i="22"/>
  <c r="AH350" i="22" s="1"/>
  <c r="AI348" i="22"/>
  <c r="AH348" i="22" s="1"/>
  <c r="AG348" i="22" s="1"/>
  <c r="AF348" i="22" s="1"/>
  <c r="AD348" i="22" s="1"/>
  <c r="AI346" i="22"/>
  <c r="AH346" i="22" s="1"/>
  <c r="AG346" i="22" s="1"/>
  <c r="AF346" i="22" s="1"/>
  <c r="AD346" i="22" s="1"/>
  <c r="AI344" i="22"/>
  <c r="AH344" i="22" s="1"/>
  <c r="AG344" i="22" s="1"/>
  <c r="AF344" i="22" s="1"/>
  <c r="AD344" i="22" s="1"/>
  <c r="AI342" i="22"/>
  <c r="AH342" i="22" s="1"/>
  <c r="AG342" i="22" s="1"/>
  <c r="AF342" i="22" s="1"/>
  <c r="AD342" i="22" s="1"/>
  <c r="AI340" i="22"/>
  <c r="AH340" i="22" s="1"/>
  <c r="AI338" i="22"/>
  <c r="AH338" i="22" s="1"/>
  <c r="AG338" i="22" s="1"/>
  <c r="AF338" i="22" s="1"/>
  <c r="AD338" i="22" s="1"/>
  <c r="AI336" i="22"/>
  <c r="AH336" i="22" s="1"/>
  <c r="AI334" i="22"/>
  <c r="AH334" i="22" s="1"/>
  <c r="AI332" i="22"/>
  <c r="AH332" i="22" s="1"/>
  <c r="AI330" i="22"/>
  <c r="AH330" i="22" s="1"/>
  <c r="AI328" i="22"/>
  <c r="AH328" i="22" s="1"/>
  <c r="AG328" i="22" s="1"/>
  <c r="AF328" i="22" s="1"/>
  <c r="AD328" i="22" s="1"/>
  <c r="AI326" i="22"/>
  <c r="AH326" i="22" s="1"/>
  <c r="AI324" i="22"/>
  <c r="AH324" i="22" s="1"/>
  <c r="AI322" i="22"/>
  <c r="AH322" i="22" s="1"/>
  <c r="AG322" i="22" s="1"/>
  <c r="AF322" i="22" s="1"/>
  <c r="AD322" i="22" s="1"/>
  <c r="AI320" i="22"/>
  <c r="AH320" i="22" s="1"/>
  <c r="AG320" i="22" s="1"/>
  <c r="AF320" i="22" s="1"/>
  <c r="AD320" i="22" s="1"/>
  <c r="AI318" i="22"/>
  <c r="AH318" i="22" s="1"/>
  <c r="AI316" i="22"/>
  <c r="AH316" i="22" s="1"/>
  <c r="AG316" i="22" s="1"/>
  <c r="AF316" i="22" s="1"/>
  <c r="AD316" i="22" s="1"/>
  <c r="AI314" i="22"/>
  <c r="AH314" i="22" s="1"/>
  <c r="AG314" i="22" s="1"/>
  <c r="AF314" i="22" s="1"/>
  <c r="AD314" i="22" s="1"/>
  <c r="AI312" i="22"/>
  <c r="AH312" i="22" s="1"/>
  <c r="AG312" i="22" s="1"/>
  <c r="AF312" i="22" s="1"/>
  <c r="AD312" i="22" s="1"/>
  <c r="AI310" i="22"/>
  <c r="AH310" i="22" s="1"/>
  <c r="AI308" i="22"/>
  <c r="AH308" i="22" s="1"/>
  <c r="AG308" i="22" s="1"/>
  <c r="AF308" i="22" s="1"/>
  <c r="AD308" i="22" s="1"/>
  <c r="AI306" i="22"/>
  <c r="AH306" i="22" s="1"/>
  <c r="AI304" i="22"/>
  <c r="AH304" i="22" s="1"/>
  <c r="AI302" i="22"/>
  <c r="AH302" i="22" s="1"/>
  <c r="AI300" i="22"/>
  <c r="AH300" i="22" s="1"/>
  <c r="AI298" i="22"/>
  <c r="AH298" i="22" s="1"/>
  <c r="AI296" i="22"/>
  <c r="AH296" i="22" s="1"/>
  <c r="AI294" i="22"/>
  <c r="AH294" i="22" s="1"/>
  <c r="AI292" i="22"/>
  <c r="AH292" i="22" s="1"/>
  <c r="AG292" i="22" s="1"/>
  <c r="AF292" i="22" s="1"/>
  <c r="AD292" i="22" s="1"/>
  <c r="AI290" i="22"/>
  <c r="AH290" i="22" s="1"/>
  <c r="AG290" i="22" s="1"/>
  <c r="AF290" i="22" s="1"/>
  <c r="AD290" i="22" s="1"/>
  <c r="AI288" i="22"/>
  <c r="AH288" i="22" s="1"/>
  <c r="AG288" i="22" s="1"/>
  <c r="AF288" i="22" s="1"/>
  <c r="AD288" i="22" s="1"/>
  <c r="AI286" i="22"/>
  <c r="AH286" i="22" s="1"/>
  <c r="AG286" i="22" s="1"/>
  <c r="AF286" i="22" s="1"/>
  <c r="AD286" i="22" s="1"/>
  <c r="AI284" i="22"/>
  <c r="AH284" i="22" s="1"/>
  <c r="AG284" i="22" s="1"/>
  <c r="AF284" i="22" s="1"/>
  <c r="AD284" i="22" s="1"/>
  <c r="AI282" i="22"/>
  <c r="AH282" i="22" s="1"/>
  <c r="AG282" i="22" s="1"/>
  <c r="AF282" i="22" s="1"/>
  <c r="AD282" i="22" s="1"/>
  <c r="AI280" i="22"/>
  <c r="AH280" i="22" s="1"/>
  <c r="AG280" i="22" s="1"/>
  <c r="AF280" i="22" s="1"/>
  <c r="AD280" i="22" s="1"/>
  <c r="AI278" i="22"/>
  <c r="AH278" i="22" s="1"/>
  <c r="AG278" i="22" s="1"/>
  <c r="AF278" i="22" s="1"/>
  <c r="AD278" i="22" s="1"/>
  <c r="AI276" i="22"/>
  <c r="AH276" i="22" s="1"/>
  <c r="AG276" i="22" s="1"/>
  <c r="AF276" i="22" s="1"/>
  <c r="AD276" i="22" s="1"/>
  <c r="AI274" i="22"/>
  <c r="AH274" i="22" s="1"/>
  <c r="AG274" i="22" s="1"/>
  <c r="AF274" i="22" s="1"/>
  <c r="AD274" i="22" s="1"/>
  <c r="AI272" i="22"/>
  <c r="AH272" i="22" s="1"/>
  <c r="AI270" i="22"/>
  <c r="AH270" i="22" s="1"/>
  <c r="AI268" i="22"/>
  <c r="AH268" i="22" s="1"/>
  <c r="AG268" i="22" s="1"/>
  <c r="AF268" i="22" s="1"/>
  <c r="AD268" i="22" s="1"/>
  <c r="AI266" i="22"/>
  <c r="AH266" i="22" s="1"/>
  <c r="AG266" i="22" s="1"/>
  <c r="AF266" i="22" s="1"/>
  <c r="AD266" i="22" s="1"/>
  <c r="AI264" i="22"/>
  <c r="AH264" i="22" s="1"/>
  <c r="AG264" i="22" s="1"/>
  <c r="AF264" i="22" s="1"/>
  <c r="AD264" i="22" s="1"/>
  <c r="AI262" i="22"/>
  <c r="AH262" i="22" s="1"/>
  <c r="AG262" i="22" s="1"/>
  <c r="AF262" i="22" s="1"/>
  <c r="AD262" i="22" s="1"/>
  <c r="AI260" i="22"/>
  <c r="AH260" i="22" s="1"/>
  <c r="AI258" i="22"/>
  <c r="AH258" i="22" s="1"/>
  <c r="AG258" i="22" s="1"/>
  <c r="AF258" i="22" s="1"/>
  <c r="AD258" i="22" s="1"/>
  <c r="AI256" i="22"/>
  <c r="AH256" i="22" s="1"/>
  <c r="AG256" i="22" s="1"/>
  <c r="AF256" i="22" s="1"/>
  <c r="AD256" i="22" s="1"/>
  <c r="AI254" i="22"/>
  <c r="AH254" i="22" s="1"/>
  <c r="AG254" i="22" s="1"/>
  <c r="AF254" i="22" s="1"/>
  <c r="AD254" i="22" s="1"/>
  <c r="AI252" i="22"/>
  <c r="AH252" i="22" s="1"/>
  <c r="AG252" i="22" s="1"/>
  <c r="AF252" i="22" s="1"/>
  <c r="AD252" i="22" s="1"/>
  <c r="AI250" i="22"/>
  <c r="AH250" i="22" s="1"/>
  <c r="AG250" i="22" s="1"/>
  <c r="AF250" i="22" s="1"/>
  <c r="AD250" i="22" s="1"/>
  <c r="AI248" i="22"/>
  <c r="AH248" i="22" s="1"/>
  <c r="AI246" i="22"/>
  <c r="AH246" i="22" s="1"/>
  <c r="AI244" i="22"/>
  <c r="AH244" i="22" s="1"/>
  <c r="AG244" i="22" s="1"/>
  <c r="AF244" i="22" s="1"/>
  <c r="AD244" i="22" s="1"/>
  <c r="AI242" i="22"/>
  <c r="AH242" i="22" s="1"/>
  <c r="AI240" i="22"/>
  <c r="AH240" i="22" s="1"/>
  <c r="AI238" i="22"/>
  <c r="AH238" i="22" s="1"/>
  <c r="AI236" i="22"/>
  <c r="AH236" i="22" s="1"/>
  <c r="AG236" i="22" s="1"/>
  <c r="AF236" i="22" s="1"/>
  <c r="AD236" i="22" s="1"/>
  <c r="AI234" i="22"/>
  <c r="AH234" i="22" s="1"/>
  <c r="AG234" i="22" s="1"/>
  <c r="AF234" i="22" s="1"/>
  <c r="AD234" i="22" s="1"/>
  <c r="AI232" i="22"/>
  <c r="AH232" i="22" s="1"/>
  <c r="AG232" i="22" s="1"/>
  <c r="AF232" i="22" s="1"/>
  <c r="AD232" i="22" s="1"/>
  <c r="AI230" i="22"/>
  <c r="AH230" i="22" s="1"/>
  <c r="AI228" i="22"/>
  <c r="AH228" i="22" s="1"/>
  <c r="AG228" i="22" s="1"/>
  <c r="AF228" i="22" s="1"/>
  <c r="AD228" i="22" s="1"/>
  <c r="AI226" i="22"/>
  <c r="AH226" i="22" s="1"/>
  <c r="AI224" i="22"/>
  <c r="AH224" i="22" s="1"/>
  <c r="AG224" i="22" s="1"/>
  <c r="AF224" i="22" s="1"/>
  <c r="AD224" i="22" s="1"/>
  <c r="AI222" i="22"/>
  <c r="AH222" i="22" s="1"/>
  <c r="AG222" i="22" s="1"/>
  <c r="AF222" i="22" s="1"/>
  <c r="AD222" i="22" s="1"/>
  <c r="AI220" i="22"/>
  <c r="AH220" i="22" s="1"/>
  <c r="AI218" i="22"/>
  <c r="AH218" i="22" s="1"/>
  <c r="AI216" i="22"/>
  <c r="AH216" i="22" s="1"/>
  <c r="AG216" i="22" s="1"/>
  <c r="AF216" i="22" s="1"/>
  <c r="AD216" i="22" s="1"/>
  <c r="AI214" i="22"/>
  <c r="AH214" i="22" s="1"/>
  <c r="AI212" i="22"/>
  <c r="AH212" i="22" s="1"/>
  <c r="AI210" i="22"/>
  <c r="AH210" i="22" s="1"/>
  <c r="AG210" i="22" s="1"/>
  <c r="AF210" i="22" s="1"/>
  <c r="AD210" i="22" s="1"/>
  <c r="AI208" i="22"/>
  <c r="AH208" i="22" s="1"/>
  <c r="AG208" i="22" s="1"/>
  <c r="AF208" i="22" s="1"/>
  <c r="AD208" i="22" s="1"/>
  <c r="AI206" i="22"/>
  <c r="AH206" i="22" s="1"/>
  <c r="AI204" i="22"/>
  <c r="AH204" i="22" s="1"/>
  <c r="AI202" i="22"/>
  <c r="AH202" i="22" s="1"/>
  <c r="AG202" i="22" s="1"/>
  <c r="AF202" i="22" s="1"/>
  <c r="AD202" i="22" s="1"/>
  <c r="AI200" i="22"/>
  <c r="AH200" i="22" s="1"/>
  <c r="AG200" i="22" s="1"/>
  <c r="AF200" i="22" s="1"/>
  <c r="AD200" i="22" s="1"/>
  <c r="AI198" i="22"/>
  <c r="AH198" i="22" s="1"/>
  <c r="AG198" i="22" s="1"/>
  <c r="AF198" i="22" s="1"/>
  <c r="AD198" i="22" s="1"/>
  <c r="AI196" i="22"/>
  <c r="AH196" i="22" s="1"/>
  <c r="AG196" i="22" s="1"/>
  <c r="AF196" i="22" s="1"/>
  <c r="AD196" i="22" s="1"/>
  <c r="AI194" i="22"/>
  <c r="AH194" i="22" s="1"/>
  <c r="AI192" i="22"/>
  <c r="AH192" i="22" s="1"/>
  <c r="AI190" i="22"/>
  <c r="AH190" i="22" s="1"/>
  <c r="AI188" i="22"/>
  <c r="AH188" i="22" s="1"/>
  <c r="AG188" i="22" s="1"/>
  <c r="AF188" i="22" s="1"/>
  <c r="AD188" i="22" s="1"/>
  <c r="AI186" i="22"/>
  <c r="AH186" i="22" s="1"/>
  <c r="AG186" i="22" s="1"/>
  <c r="AF186" i="22" s="1"/>
  <c r="AD186" i="22" s="1"/>
  <c r="AI184" i="22"/>
  <c r="AH184" i="22" s="1"/>
  <c r="AI182" i="22"/>
  <c r="AH182" i="22" s="1"/>
  <c r="AI180" i="22"/>
  <c r="AH180" i="22" s="1"/>
  <c r="AI178" i="22"/>
  <c r="AH178" i="22" s="1"/>
  <c r="AG178" i="22" s="1"/>
  <c r="AF178" i="22" s="1"/>
  <c r="AD178" i="22" s="1"/>
  <c r="AI176" i="22"/>
  <c r="AH176" i="22" s="1"/>
  <c r="AG176" i="22" s="1"/>
  <c r="AF176" i="22" s="1"/>
  <c r="AD176" i="22" s="1"/>
  <c r="AI174" i="22"/>
  <c r="AH174" i="22" s="1"/>
  <c r="AG174" i="22" s="1"/>
  <c r="AF174" i="22" s="1"/>
  <c r="AD174" i="22" s="1"/>
  <c r="AI172" i="22"/>
  <c r="AH172" i="22" s="1"/>
  <c r="AI170" i="22"/>
  <c r="AH170" i="22" s="1"/>
  <c r="AI168" i="22"/>
  <c r="AH168" i="22" s="1"/>
  <c r="AI166" i="22"/>
  <c r="AH166" i="22" s="1"/>
  <c r="AG166" i="22" s="1"/>
  <c r="AF166" i="22" s="1"/>
  <c r="AD166" i="22" s="1"/>
  <c r="AI164" i="22"/>
  <c r="AH164" i="22" s="1"/>
  <c r="AI162" i="22"/>
  <c r="AH162" i="22" s="1"/>
  <c r="AI160" i="22"/>
  <c r="AH160" i="22" s="1"/>
  <c r="AI158" i="22"/>
  <c r="AH158" i="22" s="1"/>
  <c r="AG158" i="22" s="1"/>
  <c r="AF158" i="22" s="1"/>
  <c r="AD158" i="22" s="1"/>
  <c r="AI156" i="22"/>
  <c r="AH156" i="22" s="1"/>
  <c r="AG156" i="22" s="1"/>
  <c r="AF156" i="22" s="1"/>
  <c r="AD156" i="22" s="1"/>
  <c r="AI154" i="22"/>
  <c r="AH154" i="22" s="1"/>
  <c r="AG154" i="22" s="1"/>
  <c r="AF154" i="22" s="1"/>
  <c r="AD154" i="22" s="1"/>
  <c r="AI152" i="22"/>
  <c r="AH152" i="22" s="1"/>
  <c r="AI150" i="22"/>
  <c r="AH150" i="22" s="1"/>
  <c r="AG150" i="22" s="1"/>
  <c r="AF150" i="22" s="1"/>
  <c r="AD150" i="22" s="1"/>
  <c r="AI148" i="22"/>
  <c r="AH148" i="22" s="1"/>
  <c r="AI146" i="22"/>
  <c r="AH146" i="22" s="1"/>
  <c r="AI144" i="22"/>
  <c r="AH144" i="22" s="1"/>
  <c r="AG144" i="22" s="1"/>
  <c r="AF144" i="22" s="1"/>
  <c r="AD144" i="22" s="1"/>
  <c r="AI142" i="22"/>
  <c r="AH142" i="22" s="1"/>
  <c r="AG142" i="22" s="1"/>
  <c r="AF142" i="22" s="1"/>
  <c r="AD142" i="22" s="1"/>
  <c r="AI140" i="22"/>
  <c r="AH140" i="22" s="1"/>
  <c r="AG140" i="22" s="1"/>
  <c r="AF140" i="22" s="1"/>
  <c r="AD140" i="22" s="1"/>
  <c r="AI138" i="22"/>
  <c r="AH138" i="22" s="1"/>
  <c r="AG138" i="22" s="1"/>
  <c r="AF138" i="22" s="1"/>
  <c r="AD138" i="22" s="1"/>
  <c r="AI136" i="22"/>
  <c r="AH136" i="22" s="1"/>
  <c r="AI134" i="22"/>
  <c r="AH134" i="22" s="1"/>
  <c r="AG134" i="22" s="1"/>
  <c r="AF134" i="22" s="1"/>
  <c r="AD134" i="22" s="1"/>
  <c r="AI132" i="22"/>
  <c r="AH132" i="22" s="1"/>
  <c r="AG132" i="22" s="1"/>
  <c r="AF132" i="22" s="1"/>
  <c r="AD132" i="22" s="1"/>
  <c r="AI130" i="22"/>
  <c r="AH130" i="22" s="1"/>
  <c r="AG130" i="22" s="1"/>
  <c r="AF130" i="22" s="1"/>
  <c r="AD130" i="22" s="1"/>
  <c r="AI128" i="22"/>
  <c r="AH128" i="22" s="1"/>
  <c r="AI126" i="22"/>
  <c r="AH126" i="22" s="1"/>
  <c r="AI124" i="22"/>
  <c r="AH124" i="22" s="1"/>
  <c r="AG124" i="22" s="1"/>
  <c r="AF124" i="22" s="1"/>
  <c r="AD124" i="22" s="1"/>
  <c r="AI122" i="22"/>
  <c r="AH122" i="22" s="1"/>
  <c r="AG122" i="22" s="1"/>
  <c r="AF122" i="22" s="1"/>
  <c r="AD122" i="22" s="1"/>
  <c r="AI120" i="22"/>
  <c r="AH120" i="22" s="1"/>
  <c r="AG120" i="22" s="1"/>
  <c r="AF120" i="22" s="1"/>
  <c r="AD120" i="22" s="1"/>
  <c r="AI118" i="22"/>
  <c r="AH118" i="22" s="1"/>
  <c r="AG118" i="22" s="1"/>
  <c r="AF118" i="22" s="1"/>
  <c r="AD118" i="22" s="1"/>
  <c r="AI116" i="22"/>
  <c r="AH116" i="22" s="1"/>
  <c r="AG116" i="22" s="1"/>
  <c r="AF116" i="22" s="1"/>
  <c r="AD116" i="22" s="1"/>
  <c r="AI114" i="22"/>
  <c r="AH114" i="22" s="1"/>
  <c r="AI112" i="22"/>
  <c r="AH112" i="22" s="1"/>
  <c r="AI110" i="22"/>
  <c r="AH110" i="22" s="1"/>
  <c r="AI108" i="22"/>
  <c r="AH108" i="22" s="1"/>
  <c r="AG108" i="22" s="1"/>
  <c r="AF108" i="22" s="1"/>
  <c r="AD108" i="22" s="1"/>
  <c r="AI106" i="22"/>
  <c r="AH106" i="22" s="1"/>
  <c r="AG106" i="22" s="1"/>
  <c r="AF106" i="22" s="1"/>
  <c r="AD106" i="22" s="1"/>
  <c r="AI104" i="22"/>
  <c r="AH104" i="22" s="1"/>
  <c r="AG104" i="22" s="1"/>
  <c r="AF104" i="22" s="1"/>
  <c r="AD104" i="22" s="1"/>
  <c r="AI102" i="22"/>
  <c r="AH102" i="22" s="1"/>
  <c r="AI100" i="22"/>
  <c r="AH100" i="22" s="1"/>
  <c r="AI98" i="22"/>
  <c r="AH98" i="22" s="1"/>
  <c r="AI96" i="22"/>
  <c r="AH96" i="22" s="1"/>
  <c r="AG96" i="22" s="1"/>
  <c r="AF96" i="22" s="1"/>
  <c r="AD96" i="22" s="1"/>
  <c r="AI94" i="22"/>
  <c r="AH94" i="22" s="1"/>
  <c r="AG94" i="22" s="1"/>
  <c r="AF94" i="22" s="1"/>
  <c r="AD94" i="22" s="1"/>
  <c r="AI92" i="22"/>
  <c r="AH92" i="22" s="1"/>
  <c r="AI90" i="22"/>
  <c r="AH90" i="22" s="1"/>
  <c r="AI88" i="22"/>
  <c r="AH88" i="22" s="1"/>
  <c r="AI86" i="22"/>
  <c r="AH86" i="22" s="1"/>
  <c r="AI84" i="22"/>
  <c r="AH84" i="22" s="1"/>
  <c r="AI82" i="22"/>
  <c r="AH82" i="22" s="1"/>
  <c r="AG82" i="22" s="1"/>
  <c r="AF82" i="22" s="1"/>
  <c r="AD82" i="22" s="1"/>
  <c r="AI80" i="22"/>
  <c r="AH80" i="22" s="1"/>
  <c r="AI78" i="22"/>
  <c r="AH78" i="22" s="1"/>
  <c r="AI76" i="22"/>
  <c r="AH76" i="22" s="1"/>
  <c r="AI74" i="22"/>
  <c r="AH74" i="22" s="1"/>
  <c r="AG74" i="22" s="1"/>
  <c r="AF74" i="22" s="1"/>
  <c r="AD74" i="22" s="1"/>
  <c r="AI72" i="22"/>
  <c r="AH72" i="22" s="1"/>
  <c r="AI70" i="22"/>
  <c r="AH70" i="22" s="1"/>
  <c r="AG70" i="22" s="1"/>
  <c r="AF70" i="22" s="1"/>
  <c r="AD70" i="22" s="1"/>
  <c r="AI68" i="22"/>
  <c r="AH68" i="22" s="1"/>
  <c r="AI66" i="22"/>
  <c r="AH66" i="22" s="1"/>
  <c r="AI64" i="22"/>
  <c r="AH64" i="22" s="1"/>
  <c r="AG64" i="22" s="1"/>
  <c r="AF64" i="22" s="1"/>
  <c r="AD64" i="22" s="1"/>
  <c r="AI62" i="22"/>
  <c r="AH62" i="22" s="1"/>
  <c r="AG62" i="22" s="1"/>
  <c r="AF62" i="22" s="1"/>
  <c r="AD62" i="22" s="1"/>
  <c r="AI60" i="22"/>
  <c r="AH60" i="22" s="1"/>
  <c r="AG60" i="22" s="1"/>
  <c r="AF60" i="22" s="1"/>
  <c r="AD60" i="22" s="1"/>
  <c r="AI58" i="22"/>
  <c r="AH58" i="22" s="1"/>
  <c r="AI56" i="22"/>
  <c r="AH56" i="22" s="1"/>
  <c r="AG56" i="22" s="1"/>
  <c r="AF56" i="22" s="1"/>
  <c r="AD56" i="22" s="1"/>
  <c r="AI54" i="22"/>
  <c r="AH54" i="22" s="1"/>
  <c r="AG54" i="22" s="1"/>
  <c r="AF54" i="22" s="1"/>
  <c r="AD54" i="22" s="1"/>
  <c r="AI52" i="22"/>
  <c r="AH52" i="22" s="1"/>
  <c r="AG52" i="22" s="1"/>
  <c r="AF52" i="22" s="1"/>
  <c r="AD52" i="22" s="1"/>
  <c r="AI50" i="22"/>
  <c r="AH50" i="22" s="1"/>
  <c r="AI48" i="22"/>
  <c r="AH48" i="22" s="1"/>
  <c r="AG48" i="22" s="1"/>
  <c r="AF48" i="22" s="1"/>
  <c r="AD48" i="22" s="1"/>
  <c r="AI46" i="22"/>
  <c r="AH46" i="22" s="1"/>
  <c r="AG46" i="22" s="1"/>
  <c r="AF46" i="22" s="1"/>
  <c r="AD46" i="22" s="1"/>
  <c r="AI44" i="22"/>
  <c r="AH44" i="22" s="1"/>
  <c r="AI42" i="22"/>
  <c r="AH42" i="22" s="1"/>
  <c r="AG42" i="22" s="1"/>
  <c r="AF42" i="22" s="1"/>
  <c r="AD42" i="22" s="1"/>
  <c r="AI40" i="22"/>
  <c r="AH40" i="22" s="1"/>
  <c r="AI38" i="22"/>
  <c r="AH38" i="22" s="1"/>
  <c r="AI36" i="22"/>
  <c r="AH36" i="22" s="1"/>
  <c r="AG36" i="22" s="1"/>
  <c r="AF36" i="22" s="1"/>
  <c r="AD36" i="22" s="1"/>
  <c r="AI34" i="22"/>
  <c r="AH34" i="22" s="1"/>
  <c r="AI32" i="22"/>
  <c r="AH32" i="22" s="1"/>
  <c r="AG32" i="22" s="1"/>
  <c r="AF32" i="22" s="1"/>
  <c r="AD32" i="22" s="1"/>
  <c r="AI30" i="22"/>
  <c r="AH30" i="22" s="1"/>
  <c r="AG30" i="22" s="1"/>
  <c r="AF30" i="22" s="1"/>
  <c r="AD30" i="22" s="1"/>
  <c r="AI28" i="22"/>
  <c r="AH28" i="22" s="1"/>
  <c r="AG28" i="22" s="1"/>
  <c r="AF28" i="22" s="1"/>
  <c r="AD28" i="22" s="1"/>
  <c r="AI26" i="22"/>
  <c r="AH26" i="22" s="1"/>
  <c r="AG26" i="22" s="1"/>
  <c r="AF26" i="22" s="1"/>
  <c r="AD26" i="22" s="1"/>
  <c r="AI24" i="22"/>
  <c r="AH24" i="22" s="1"/>
  <c r="AI22" i="22"/>
  <c r="AH22" i="22" s="1"/>
  <c r="AI16" i="22"/>
  <c r="AH16" i="22" s="1"/>
  <c r="AI19" i="22"/>
  <c r="AH19" i="22" s="1"/>
  <c r="AI20" i="22"/>
  <c r="AH20" i="22" s="1"/>
  <c r="D281" i="6"/>
  <c r="AG4" i="6"/>
  <c r="J105" i="18"/>
  <c r="C105" i="6" s="1"/>
  <c r="I105" i="18"/>
  <c r="B105" i="6" s="1"/>
  <c r="BA105" i="6" s="1"/>
  <c r="D105" i="6" s="1"/>
  <c r="W379" i="20"/>
  <c r="D379" i="20"/>
  <c r="E379" i="20" s="1"/>
  <c r="F379" i="20" s="1"/>
  <c r="U380" i="22"/>
  <c r="T380" i="22" s="1"/>
  <c r="U378" i="22"/>
  <c r="T378" i="22" s="1"/>
  <c r="U376" i="22"/>
  <c r="T376" i="22" s="1"/>
  <c r="S376" i="22" s="1"/>
  <c r="R376" i="22" s="1"/>
  <c r="P376" i="22" s="1"/>
  <c r="V376" i="22" s="1"/>
  <c r="B376" i="22" s="1"/>
  <c r="U374" i="22"/>
  <c r="T374" i="22" s="1"/>
  <c r="U372" i="22"/>
  <c r="T372" i="22" s="1"/>
  <c r="S372" i="22" s="1"/>
  <c r="R372" i="22" s="1"/>
  <c r="P372" i="22" s="1"/>
  <c r="V372" i="22" s="1"/>
  <c r="B372" i="22" s="1"/>
  <c r="U370" i="22"/>
  <c r="T370" i="22" s="1"/>
  <c r="S370" i="22" s="1"/>
  <c r="R370" i="22" s="1"/>
  <c r="P370" i="22" s="1"/>
  <c r="V370" i="22" s="1"/>
  <c r="B370" i="22" s="1"/>
  <c r="U368" i="22"/>
  <c r="T368" i="22" s="1"/>
  <c r="U366" i="22"/>
  <c r="T366" i="22" s="1"/>
  <c r="S366" i="22" s="1"/>
  <c r="R366" i="22" s="1"/>
  <c r="P366" i="22" s="1"/>
  <c r="V366" i="22" s="1"/>
  <c r="B366" i="22" s="1"/>
  <c r="U364" i="22"/>
  <c r="T364" i="22" s="1"/>
  <c r="U362" i="22"/>
  <c r="T362" i="22" s="1"/>
  <c r="S362" i="22" s="1"/>
  <c r="R362" i="22" s="1"/>
  <c r="P362" i="22" s="1"/>
  <c r="V362" i="22" s="1"/>
  <c r="B362" i="22" s="1"/>
  <c r="U360" i="22"/>
  <c r="T360" i="22" s="1"/>
  <c r="S360" i="22" s="1"/>
  <c r="R360" i="22" s="1"/>
  <c r="P360" i="22" s="1"/>
  <c r="V360" i="22" s="1"/>
  <c r="B360" i="22" s="1"/>
  <c r="U358" i="22"/>
  <c r="T358" i="22" s="1"/>
  <c r="S358" i="22" s="1"/>
  <c r="R358" i="22" s="1"/>
  <c r="P358" i="22" s="1"/>
  <c r="V358" i="22" s="1"/>
  <c r="B358" i="22" s="1"/>
  <c r="U356" i="22"/>
  <c r="T356" i="22" s="1"/>
  <c r="U354" i="22"/>
  <c r="T354" i="22" s="1"/>
  <c r="S354" i="22" s="1"/>
  <c r="R354" i="22" s="1"/>
  <c r="P354" i="22" s="1"/>
  <c r="V354" i="22" s="1"/>
  <c r="B354" i="22" s="1"/>
  <c r="U352" i="22"/>
  <c r="T352" i="22" s="1"/>
  <c r="S352" i="22" s="1"/>
  <c r="R352" i="22" s="1"/>
  <c r="P352" i="22" s="1"/>
  <c r="V352" i="22" s="1"/>
  <c r="B352" i="22" s="1"/>
  <c r="U350" i="22"/>
  <c r="T350" i="22" s="1"/>
  <c r="U348" i="22"/>
  <c r="T348" i="22" s="1"/>
  <c r="S348" i="22" s="1"/>
  <c r="R348" i="22" s="1"/>
  <c r="P348" i="22" s="1"/>
  <c r="V348" i="22" s="1"/>
  <c r="B348" i="22" s="1"/>
  <c r="U346" i="22"/>
  <c r="T346" i="22" s="1"/>
  <c r="U344" i="22"/>
  <c r="T344" i="22" s="1"/>
  <c r="S344" i="22" s="1"/>
  <c r="R344" i="22" s="1"/>
  <c r="P344" i="22" s="1"/>
  <c r="V344" i="22" s="1"/>
  <c r="B344" i="22" s="1"/>
  <c r="U342" i="22"/>
  <c r="T342" i="22" s="1"/>
  <c r="U340" i="22"/>
  <c r="T340" i="22" s="1"/>
  <c r="S340" i="22" s="1"/>
  <c r="R340" i="22" s="1"/>
  <c r="P340" i="22" s="1"/>
  <c r="V340" i="22" s="1"/>
  <c r="B340" i="22" s="1"/>
  <c r="U338" i="22"/>
  <c r="T338" i="22" s="1"/>
  <c r="S338" i="22" s="1"/>
  <c r="R338" i="22" s="1"/>
  <c r="P338" i="22" s="1"/>
  <c r="V338" i="22" s="1"/>
  <c r="B338" i="22" s="1"/>
  <c r="U336" i="22"/>
  <c r="T336" i="22" s="1"/>
  <c r="U334" i="22"/>
  <c r="T334" i="22" s="1"/>
  <c r="U332" i="22"/>
  <c r="T332" i="22" s="1"/>
  <c r="S332" i="22" s="1"/>
  <c r="R332" i="22" s="1"/>
  <c r="P332" i="22" s="1"/>
  <c r="V332" i="22" s="1"/>
  <c r="B332" i="22" s="1"/>
  <c r="U330" i="22"/>
  <c r="T330" i="22" s="1"/>
  <c r="U328" i="22"/>
  <c r="T328" i="22" s="1"/>
  <c r="S328" i="22" s="1"/>
  <c r="R328" i="22" s="1"/>
  <c r="P328" i="22" s="1"/>
  <c r="V328" i="22" s="1"/>
  <c r="B328" i="22" s="1"/>
  <c r="U326" i="22"/>
  <c r="T326" i="22" s="1"/>
  <c r="U324" i="22"/>
  <c r="T324" i="22" s="1"/>
  <c r="S324" i="22" s="1"/>
  <c r="R324" i="22" s="1"/>
  <c r="P324" i="22" s="1"/>
  <c r="V324" i="22" s="1"/>
  <c r="B324" i="22" s="1"/>
  <c r="U322" i="22"/>
  <c r="T322" i="22" s="1"/>
  <c r="S322" i="22" s="1"/>
  <c r="R322" i="22" s="1"/>
  <c r="P322" i="22" s="1"/>
  <c r="V322" i="22" s="1"/>
  <c r="B322" i="22" s="1"/>
  <c r="U320" i="22"/>
  <c r="T320" i="22" s="1"/>
  <c r="U318" i="22"/>
  <c r="T318" i="22" s="1"/>
  <c r="S318" i="22" s="1"/>
  <c r="R318" i="22" s="1"/>
  <c r="P318" i="22" s="1"/>
  <c r="V318" i="22" s="1"/>
  <c r="B318" i="22" s="1"/>
  <c r="U316" i="22"/>
  <c r="T316" i="22" s="1"/>
  <c r="S316" i="22" s="1"/>
  <c r="R316" i="22" s="1"/>
  <c r="P316" i="22" s="1"/>
  <c r="V316" i="22" s="1"/>
  <c r="B316" i="22" s="1"/>
  <c r="U314" i="22"/>
  <c r="T314" i="22" s="1"/>
  <c r="U312" i="22"/>
  <c r="T312" i="22" s="1"/>
  <c r="U310" i="22"/>
  <c r="T310" i="22" s="1"/>
  <c r="S310" i="22" s="1"/>
  <c r="R310" i="22" s="1"/>
  <c r="P310" i="22" s="1"/>
  <c r="V310" i="22" s="1"/>
  <c r="B310" i="22" s="1"/>
  <c r="U308" i="22"/>
  <c r="T308" i="22" s="1"/>
  <c r="U306" i="22"/>
  <c r="T306" i="22" s="1"/>
  <c r="S306" i="22" s="1"/>
  <c r="R306" i="22" s="1"/>
  <c r="P306" i="22" s="1"/>
  <c r="V306" i="22" s="1"/>
  <c r="B306" i="22" s="1"/>
  <c r="U304" i="22"/>
  <c r="T304" i="22" s="1"/>
  <c r="U302" i="22"/>
  <c r="T302" i="22" s="1"/>
  <c r="S302" i="22" s="1"/>
  <c r="R302" i="22" s="1"/>
  <c r="P302" i="22" s="1"/>
  <c r="U300" i="22"/>
  <c r="T300" i="22" s="1"/>
  <c r="U298" i="22"/>
  <c r="T298" i="22" s="1"/>
  <c r="S298" i="22" s="1"/>
  <c r="R298" i="22" s="1"/>
  <c r="P298" i="22" s="1"/>
  <c r="V298" i="22" s="1"/>
  <c r="B298" i="22" s="1"/>
  <c r="U296" i="22"/>
  <c r="T296" i="22" s="1"/>
  <c r="S296" i="22" s="1"/>
  <c r="R296" i="22" s="1"/>
  <c r="P296" i="22" s="1"/>
  <c r="V296" i="22" s="1"/>
  <c r="B296" i="22" s="1"/>
  <c r="U294" i="22"/>
  <c r="T294" i="22" s="1"/>
  <c r="S294" i="22" s="1"/>
  <c r="R294" i="22" s="1"/>
  <c r="P294" i="22" s="1"/>
  <c r="V294" i="22" s="1"/>
  <c r="B294" i="22" s="1"/>
  <c r="U292" i="22"/>
  <c r="T292" i="22" s="1"/>
  <c r="S292" i="22" s="1"/>
  <c r="R292" i="22" s="1"/>
  <c r="P292" i="22" s="1"/>
  <c r="V292" i="22" s="1"/>
  <c r="B292" i="22" s="1"/>
  <c r="U290" i="22"/>
  <c r="T290" i="22" s="1"/>
  <c r="S290" i="22" s="1"/>
  <c r="R290" i="22" s="1"/>
  <c r="P290" i="22" s="1"/>
  <c r="V290" i="22" s="1"/>
  <c r="B290" i="22" s="1"/>
  <c r="U288" i="22"/>
  <c r="T288" i="22" s="1"/>
  <c r="S288" i="22" s="1"/>
  <c r="R288" i="22" s="1"/>
  <c r="P288" i="22" s="1"/>
  <c r="V288" i="22" s="1"/>
  <c r="B288" i="22" s="1"/>
  <c r="U286" i="22"/>
  <c r="T286" i="22" s="1"/>
  <c r="U284" i="22"/>
  <c r="T284" i="22" s="1"/>
  <c r="S284" i="22" s="1"/>
  <c r="R284" i="22" s="1"/>
  <c r="P284" i="22" s="1"/>
  <c r="V284" i="22" s="1"/>
  <c r="B284" i="22" s="1"/>
  <c r="U282" i="22"/>
  <c r="T282" i="22" s="1"/>
  <c r="S282" i="22" s="1"/>
  <c r="R282" i="22" s="1"/>
  <c r="P282" i="22" s="1"/>
  <c r="V282" i="22" s="1"/>
  <c r="B282" i="22" s="1"/>
  <c r="U280" i="22"/>
  <c r="T280" i="22" s="1"/>
  <c r="S280" i="22" s="1"/>
  <c r="R280" i="22" s="1"/>
  <c r="P280" i="22" s="1"/>
  <c r="V280" i="22" s="1"/>
  <c r="B280" i="22" s="1"/>
  <c r="U278" i="22"/>
  <c r="T278" i="22" s="1"/>
  <c r="S278" i="22" s="1"/>
  <c r="R278" i="22" s="1"/>
  <c r="P278" i="22" s="1"/>
  <c r="V278" i="22" s="1"/>
  <c r="B278" i="22" s="1"/>
  <c r="U276" i="22"/>
  <c r="T276" i="22" s="1"/>
  <c r="U274" i="22"/>
  <c r="T274" i="22" s="1"/>
  <c r="U272" i="22"/>
  <c r="T272" i="22" s="1"/>
  <c r="S272" i="22" s="1"/>
  <c r="R272" i="22" s="1"/>
  <c r="P272" i="22" s="1"/>
  <c r="U270" i="22"/>
  <c r="T270" i="22" s="1"/>
  <c r="S270" i="22" s="1"/>
  <c r="R270" i="22" s="1"/>
  <c r="P270" i="22" s="1"/>
  <c r="V270" i="22" s="1"/>
  <c r="B270" i="22" s="1"/>
  <c r="U268" i="22"/>
  <c r="T268" i="22" s="1"/>
  <c r="U266" i="22"/>
  <c r="T266" i="22" s="1"/>
  <c r="U264" i="22"/>
  <c r="T264" i="22" s="1"/>
  <c r="U262" i="22"/>
  <c r="T262" i="22" s="1"/>
  <c r="S262" i="22" s="1"/>
  <c r="R262" i="22" s="1"/>
  <c r="P262" i="22" s="1"/>
  <c r="V262" i="22" s="1"/>
  <c r="B262" i="22" s="1"/>
  <c r="U260" i="22"/>
  <c r="T260" i="22" s="1"/>
  <c r="S260" i="22" s="1"/>
  <c r="R260" i="22" s="1"/>
  <c r="P260" i="22" s="1"/>
  <c r="V260" i="22" s="1"/>
  <c r="B260" i="22" s="1"/>
  <c r="U258" i="22"/>
  <c r="T258" i="22" s="1"/>
  <c r="U256" i="22"/>
  <c r="T256" i="22" s="1"/>
  <c r="S256" i="22" s="1"/>
  <c r="R256" i="22" s="1"/>
  <c r="P256" i="22" s="1"/>
  <c r="V256" i="22" s="1"/>
  <c r="B256" i="22" s="1"/>
  <c r="U254" i="22"/>
  <c r="T254" i="22" s="1"/>
  <c r="S254" i="22" s="1"/>
  <c r="R254" i="22" s="1"/>
  <c r="P254" i="22" s="1"/>
  <c r="V254" i="22" s="1"/>
  <c r="B254" i="22" s="1"/>
  <c r="U252" i="22"/>
  <c r="T252" i="22" s="1"/>
  <c r="S252" i="22" s="1"/>
  <c r="R252" i="22" s="1"/>
  <c r="P252" i="22" s="1"/>
  <c r="V252" i="22" s="1"/>
  <c r="B252" i="22" s="1"/>
  <c r="U250" i="22"/>
  <c r="T250" i="22" s="1"/>
  <c r="S250" i="22" s="1"/>
  <c r="R250" i="22" s="1"/>
  <c r="P250" i="22" s="1"/>
  <c r="V250" i="22" s="1"/>
  <c r="B250" i="22" s="1"/>
  <c r="U248" i="22"/>
  <c r="T248" i="22" s="1"/>
  <c r="S248" i="22" s="1"/>
  <c r="R248" i="22" s="1"/>
  <c r="P248" i="22" s="1"/>
  <c r="V248" i="22" s="1"/>
  <c r="B248" i="22" s="1"/>
  <c r="U246" i="22"/>
  <c r="T246" i="22" s="1"/>
  <c r="U244" i="22"/>
  <c r="T244" i="22" s="1"/>
  <c r="U242" i="22"/>
  <c r="T242" i="22" s="1"/>
  <c r="U240" i="22"/>
  <c r="T240" i="22" s="1"/>
  <c r="S240" i="22" s="1"/>
  <c r="R240" i="22" s="1"/>
  <c r="P240" i="22" s="1"/>
  <c r="V240" i="22" s="1"/>
  <c r="B240" i="22" s="1"/>
  <c r="U238" i="22"/>
  <c r="T238" i="22" s="1"/>
  <c r="U236" i="22"/>
  <c r="T236" i="22" s="1"/>
  <c r="U234" i="22"/>
  <c r="T234" i="22" s="1"/>
  <c r="U232" i="22"/>
  <c r="T232" i="22" s="1"/>
  <c r="S232" i="22" s="1"/>
  <c r="R232" i="22" s="1"/>
  <c r="P232" i="22" s="1"/>
  <c r="V232" i="22" s="1"/>
  <c r="B232" i="22" s="1"/>
  <c r="U230" i="22"/>
  <c r="T230" i="22" s="1"/>
  <c r="U228" i="22"/>
  <c r="T228" i="22" s="1"/>
  <c r="U226" i="22"/>
  <c r="T226" i="22" s="1"/>
  <c r="U224" i="22"/>
  <c r="T224" i="22" s="1"/>
  <c r="U222" i="22"/>
  <c r="T222" i="22" s="1"/>
  <c r="S222" i="22" s="1"/>
  <c r="R222" i="22" s="1"/>
  <c r="P222" i="22" s="1"/>
  <c r="V222" i="22" s="1"/>
  <c r="B222" i="22" s="1"/>
  <c r="U220" i="22"/>
  <c r="T220" i="22" s="1"/>
  <c r="S220" i="22" s="1"/>
  <c r="R220" i="22" s="1"/>
  <c r="P220" i="22" s="1"/>
  <c r="V220" i="22" s="1"/>
  <c r="B220" i="22" s="1"/>
  <c r="U218" i="22"/>
  <c r="T218" i="22" s="1"/>
  <c r="U216" i="22"/>
  <c r="T216" i="22" s="1"/>
  <c r="S216" i="22" s="1"/>
  <c r="R216" i="22" s="1"/>
  <c r="P216" i="22" s="1"/>
  <c r="V216" i="22" s="1"/>
  <c r="B216" i="22" s="1"/>
  <c r="U214" i="22"/>
  <c r="T214" i="22" s="1"/>
  <c r="S214" i="22" s="1"/>
  <c r="R214" i="22" s="1"/>
  <c r="P214" i="22" s="1"/>
  <c r="V214" i="22" s="1"/>
  <c r="B214" i="22" s="1"/>
  <c r="U212" i="22"/>
  <c r="T212" i="22" s="1"/>
  <c r="S212" i="22" s="1"/>
  <c r="R212" i="22" s="1"/>
  <c r="P212" i="22" s="1"/>
  <c r="V212" i="22" s="1"/>
  <c r="B212" i="22" s="1"/>
  <c r="U210" i="22"/>
  <c r="T210" i="22" s="1"/>
  <c r="U208" i="22"/>
  <c r="T208" i="22" s="1"/>
  <c r="U206" i="22"/>
  <c r="T206" i="22" s="1"/>
  <c r="S206" i="22" s="1"/>
  <c r="R206" i="22" s="1"/>
  <c r="P206" i="22" s="1"/>
  <c r="V206" i="22" s="1"/>
  <c r="B206" i="22" s="1"/>
  <c r="U204" i="22"/>
  <c r="T204" i="22" s="1"/>
  <c r="S204" i="22" s="1"/>
  <c r="R204" i="22" s="1"/>
  <c r="P204" i="22" s="1"/>
  <c r="V204" i="22" s="1"/>
  <c r="B204" i="22" s="1"/>
  <c r="U202" i="22"/>
  <c r="T202" i="22" s="1"/>
  <c r="U200" i="22"/>
  <c r="T200" i="22" s="1"/>
  <c r="S200" i="22" s="1"/>
  <c r="R200" i="22" s="1"/>
  <c r="P200" i="22" s="1"/>
  <c r="V200" i="22" s="1"/>
  <c r="B200" i="22" s="1"/>
  <c r="U198" i="22"/>
  <c r="T198" i="22" s="1"/>
  <c r="U196" i="22"/>
  <c r="T196" i="22" s="1"/>
  <c r="U194" i="22"/>
  <c r="T194" i="22" s="1"/>
  <c r="U192" i="22"/>
  <c r="T192" i="22" s="1"/>
  <c r="S192" i="22" s="1"/>
  <c r="R192" i="22" s="1"/>
  <c r="P192" i="22" s="1"/>
  <c r="V192" i="22" s="1"/>
  <c r="B192" i="22" s="1"/>
  <c r="U190" i="22"/>
  <c r="T190" i="22" s="1"/>
  <c r="U188" i="22"/>
  <c r="T188" i="22" s="1"/>
  <c r="S188" i="22" s="1"/>
  <c r="R188" i="22" s="1"/>
  <c r="P188" i="22" s="1"/>
  <c r="V188" i="22" s="1"/>
  <c r="B188" i="22" s="1"/>
  <c r="U186" i="22"/>
  <c r="T186" i="22" s="1"/>
  <c r="S186" i="22" s="1"/>
  <c r="R186" i="22" s="1"/>
  <c r="P186" i="22" s="1"/>
  <c r="V186" i="22" s="1"/>
  <c r="B186" i="22" s="1"/>
  <c r="U184" i="22"/>
  <c r="T184" i="22" s="1"/>
  <c r="U182" i="22"/>
  <c r="T182" i="22" s="1"/>
  <c r="U180" i="22"/>
  <c r="T180" i="22" s="1"/>
  <c r="S180" i="22" s="1"/>
  <c r="R180" i="22" s="1"/>
  <c r="P180" i="22" s="1"/>
  <c r="U178" i="22"/>
  <c r="T178" i="22" s="1"/>
  <c r="U176" i="22"/>
  <c r="T176" i="22" s="1"/>
  <c r="S176" i="22" s="1"/>
  <c r="R176" i="22" s="1"/>
  <c r="P176" i="22" s="1"/>
  <c r="V176" i="22" s="1"/>
  <c r="B176" i="22" s="1"/>
  <c r="U174" i="22"/>
  <c r="T174" i="22" s="1"/>
  <c r="S174" i="22" s="1"/>
  <c r="R174" i="22" s="1"/>
  <c r="P174" i="22" s="1"/>
  <c r="V174" i="22" s="1"/>
  <c r="B174" i="22" s="1"/>
  <c r="U172" i="22"/>
  <c r="T172" i="22" s="1"/>
  <c r="U170" i="22"/>
  <c r="T170" i="22" s="1"/>
  <c r="S170" i="22" s="1"/>
  <c r="R170" i="22" s="1"/>
  <c r="P170" i="22" s="1"/>
  <c r="V170" i="22" s="1"/>
  <c r="B170" i="22" s="1"/>
  <c r="U168" i="22"/>
  <c r="T168" i="22" s="1"/>
  <c r="S168" i="22" s="1"/>
  <c r="R168" i="22" s="1"/>
  <c r="P168" i="22" s="1"/>
  <c r="V168" i="22" s="1"/>
  <c r="B168" i="22" s="1"/>
  <c r="U166" i="22"/>
  <c r="T166" i="22" s="1"/>
  <c r="U164" i="22"/>
  <c r="T164" i="22" s="1"/>
  <c r="U162" i="22"/>
  <c r="T162" i="22" s="1"/>
  <c r="S162" i="22" s="1"/>
  <c r="R162" i="22" s="1"/>
  <c r="P162" i="22" s="1"/>
  <c r="V162" i="22" s="1"/>
  <c r="B162" i="22" s="1"/>
  <c r="U160" i="22"/>
  <c r="T160" i="22" s="1"/>
  <c r="U158" i="22"/>
  <c r="T158" i="22" s="1"/>
  <c r="U156" i="22"/>
  <c r="T156" i="22" s="1"/>
  <c r="U154" i="22"/>
  <c r="T154" i="22" s="1"/>
  <c r="U152" i="22"/>
  <c r="T152" i="22" s="1"/>
  <c r="S152" i="22" s="1"/>
  <c r="R152" i="22" s="1"/>
  <c r="P152" i="22" s="1"/>
  <c r="V152" i="22" s="1"/>
  <c r="B152" i="22" s="1"/>
  <c r="U150" i="22"/>
  <c r="T150" i="22" s="1"/>
  <c r="U148" i="22"/>
  <c r="T148" i="22" s="1"/>
  <c r="S148" i="22" s="1"/>
  <c r="R148" i="22" s="1"/>
  <c r="P148" i="22" s="1"/>
  <c r="V148" i="22" s="1"/>
  <c r="B148" i="22" s="1"/>
  <c r="U146" i="22"/>
  <c r="T146" i="22" s="1"/>
  <c r="U144" i="22"/>
  <c r="T144" i="22" s="1"/>
  <c r="S144" i="22" s="1"/>
  <c r="R144" i="22" s="1"/>
  <c r="P144" i="22" s="1"/>
  <c r="V144" i="22" s="1"/>
  <c r="B144" i="22" s="1"/>
  <c r="U142" i="22"/>
  <c r="T142" i="22" s="1"/>
  <c r="U140" i="22"/>
  <c r="T140" i="22" s="1"/>
  <c r="S140" i="22" s="1"/>
  <c r="R140" i="22" s="1"/>
  <c r="P140" i="22" s="1"/>
  <c r="V140" i="22" s="1"/>
  <c r="B140" i="22" s="1"/>
  <c r="U138" i="22"/>
  <c r="T138" i="22" s="1"/>
  <c r="S138" i="22" s="1"/>
  <c r="R138" i="22" s="1"/>
  <c r="P138" i="22" s="1"/>
  <c r="V138" i="22" s="1"/>
  <c r="B138" i="22" s="1"/>
  <c r="U136" i="22"/>
  <c r="T136" i="22" s="1"/>
  <c r="U134" i="22"/>
  <c r="T134" i="22" s="1"/>
  <c r="S134" i="22" s="1"/>
  <c r="R134" i="22" s="1"/>
  <c r="P134" i="22" s="1"/>
  <c r="V134" i="22" s="1"/>
  <c r="B134" i="22" s="1"/>
  <c r="U132" i="22"/>
  <c r="T132" i="22" s="1"/>
  <c r="U130" i="22"/>
  <c r="T130" i="22" s="1"/>
  <c r="U128" i="22"/>
  <c r="T128" i="22" s="1"/>
  <c r="U126" i="22"/>
  <c r="T126" i="22" s="1"/>
  <c r="S126" i="22" s="1"/>
  <c r="R126" i="22" s="1"/>
  <c r="P126" i="22" s="1"/>
  <c r="V126" i="22" s="1"/>
  <c r="B126" i="22" s="1"/>
  <c r="U124" i="22"/>
  <c r="T124" i="22" s="1"/>
  <c r="U122" i="22"/>
  <c r="T122" i="22" s="1"/>
  <c r="S122" i="22" s="1"/>
  <c r="R122" i="22" s="1"/>
  <c r="P122" i="22" s="1"/>
  <c r="V122" i="22" s="1"/>
  <c r="B122" i="22" s="1"/>
  <c r="U120" i="22"/>
  <c r="T120" i="22" s="1"/>
  <c r="S120" i="22" s="1"/>
  <c r="R120" i="22" s="1"/>
  <c r="P120" i="22" s="1"/>
  <c r="V120" i="22" s="1"/>
  <c r="B120" i="22" s="1"/>
  <c r="U118" i="22"/>
  <c r="T118" i="22" s="1"/>
  <c r="U116" i="22"/>
  <c r="T116" i="22" s="1"/>
  <c r="U114" i="22"/>
  <c r="T114" i="22" s="1"/>
  <c r="U112" i="22"/>
  <c r="T112" i="22" s="1"/>
  <c r="S112" i="22" s="1"/>
  <c r="R112" i="22" s="1"/>
  <c r="P112" i="22" s="1"/>
  <c r="V112" i="22" s="1"/>
  <c r="B112" i="22" s="1"/>
  <c r="U110" i="22"/>
  <c r="T110" i="22" s="1"/>
  <c r="U108" i="22"/>
  <c r="T108" i="22" s="1"/>
  <c r="S108" i="22" s="1"/>
  <c r="R108" i="22" s="1"/>
  <c r="P108" i="22" s="1"/>
  <c r="V108" i="22" s="1"/>
  <c r="B108" i="22" s="1"/>
  <c r="U106" i="22"/>
  <c r="T106" i="22" s="1"/>
  <c r="S106" i="22" s="1"/>
  <c r="R106" i="22" s="1"/>
  <c r="P106" i="22" s="1"/>
  <c r="V106" i="22" s="1"/>
  <c r="B106" i="22" s="1"/>
  <c r="U104" i="22"/>
  <c r="T104" i="22" s="1"/>
  <c r="U102" i="22"/>
  <c r="T102" i="22" s="1"/>
  <c r="U100" i="22"/>
  <c r="T100" i="22" s="1"/>
  <c r="S100" i="22" s="1"/>
  <c r="R100" i="22" s="1"/>
  <c r="P100" i="22" s="1"/>
  <c r="V100" i="22" s="1"/>
  <c r="B100" i="22" s="1"/>
  <c r="U98" i="22"/>
  <c r="T98" i="22" s="1"/>
  <c r="U96" i="22"/>
  <c r="T96" i="22" s="1"/>
  <c r="U94" i="22"/>
  <c r="T94" i="22" s="1"/>
  <c r="S94" i="22" s="1"/>
  <c r="R94" i="22" s="1"/>
  <c r="P94" i="22" s="1"/>
  <c r="V94" i="22" s="1"/>
  <c r="B94" i="22" s="1"/>
  <c r="U92" i="22"/>
  <c r="T92" i="22" s="1"/>
  <c r="U90" i="22"/>
  <c r="T90" i="22" s="1"/>
  <c r="U88" i="22"/>
  <c r="T88" i="22" s="1"/>
  <c r="S88" i="22" s="1"/>
  <c r="R88" i="22" s="1"/>
  <c r="P88" i="22" s="1"/>
  <c r="U86" i="22"/>
  <c r="T86" i="22" s="1"/>
  <c r="U84" i="22"/>
  <c r="T84" i="22" s="1"/>
  <c r="U82" i="22"/>
  <c r="T82" i="22" s="1"/>
  <c r="S82" i="22" s="1"/>
  <c r="R82" i="22" s="1"/>
  <c r="P82" i="22" s="1"/>
  <c r="V82" i="22" s="1"/>
  <c r="B82" i="22" s="1"/>
  <c r="U80" i="22"/>
  <c r="T80" i="22" s="1"/>
  <c r="U78" i="22"/>
  <c r="T78" i="22" s="1"/>
  <c r="U76" i="22"/>
  <c r="T76" i="22" s="1"/>
  <c r="U74" i="22"/>
  <c r="T74" i="22" s="1"/>
  <c r="S74" i="22" s="1"/>
  <c r="R74" i="22" s="1"/>
  <c r="P74" i="22" s="1"/>
  <c r="V74" i="22" s="1"/>
  <c r="B74" i="22" s="1"/>
  <c r="U72" i="22"/>
  <c r="T72" i="22" s="1"/>
  <c r="S72" i="22" s="1"/>
  <c r="R72" i="22" s="1"/>
  <c r="P72" i="22" s="1"/>
  <c r="V72" i="22" s="1"/>
  <c r="B72" i="22" s="1"/>
  <c r="U70" i="22"/>
  <c r="T70" i="22" s="1"/>
  <c r="S70" i="22" s="1"/>
  <c r="R70" i="22" s="1"/>
  <c r="P70" i="22" s="1"/>
  <c r="V70" i="22" s="1"/>
  <c r="B70" i="22" s="1"/>
  <c r="U68" i="22"/>
  <c r="T68" i="22" s="1"/>
  <c r="U66" i="22"/>
  <c r="T66" i="22" s="1"/>
  <c r="S66" i="22" s="1"/>
  <c r="R66" i="22" s="1"/>
  <c r="P66" i="22" s="1"/>
  <c r="V66" i="22" s="1"/>
  <c r="B66" i="22" s="1"/>
  <c r="U64" i="22"/>
  <c r="T64" i="22" s="1"/>
  <c r="U62" i="22"/>
  <c r="T62" i="22" s="1"/>
  <c r="S62" i="22" s="1"/>
  <c r="R62" i="22" s="1"/>
  <c r="P62" i="22" s="1"/>
  <c r="V62" i="22" s="1"/>
  <c r="B62" i="22" s="1"/>
  <c r="U60" i="22"/>
  <c r="T60" i="22" s="1"/>
  <c r="S60" i="22" s="1"/>
  <c r="R60" i="22" s="1"/>
  <c r="P60" i="22" s="1"/>
  <c r="U58" i="22"/>
  <c r="T58" i="22" s="1"/>
  <c r="S58" i="22" s="1"/>
  <c r="R58" i="22" s="1"/>
  <c r="P58" i="22" s="1"/>
  <c r="V58" i="22" s="1"/>
  <c r="B58" i="22" s="1"/>
  <c r="U56" i="22"/>
  <c r="T56" i="22" s="1"/>
  <c r="S56" i="22" s="1"/>
  <c r="R56" i="22" s="1"/>
  <c r="P56" i="22" s="1"/>
  <c r="V56" i="22" s="1"/>
  <c r="B56" i="22" s="1"/>
  <c r="U54" i="22"/>
  <c r="T54" i="22" s="1"/>
  <c r="S54" i="22" s="1"/>
  <c r="R54" i="22" s="1"/>
  <c r="P54" i="22" s="1"/>
  <c r="V54" i="22" s="1"/>
  <c r="B54" i="22" s="1"/>
  <c r="U52" i="22"/>
  <c r="T52" i="22" s="1"/>
  <c r="U50" i="22"/>
  <c r="T50" i="22" s="1"/>
  <c r="U48" i="22"/>
  <c r="T48" i="22" s="1"/>
  <c r="S48" i="22" s="1"/>
  <c r="R48" i="22" s="1"/>
  <c r="P48" i="22" s="1"/>
  <c r="V48" i="22" s="1"/>
  <c r="B48" i="22" s="1"/>
  <c r="U46" i="22"/>
  <c r="T46" i="22" s="1"/>
  <c r="S46" i="22" s="1"/>
  <c r="R46" i="22" s="1"/>
  <c r="P46" i="22" s="1"/>
  <c r="V46" i="22" s="1"/>
  <c r="U44" i="22"/>
  <c r="T44" i="22" s="1"/>
  <c r="S44" i="22" s="1"/>
  <c r="R44" i="22" s="1"/>
  <c r="P44" i="22" s="1"/>
  <c r="V44" i="22" s="1"/>
  <c r="B44" i="22" s="1"/>
  <c r="U42" i="22"/>
  <c r="T42" i="22" s="1"/>
  <c r="S42" i="22" s="1"/>
  <c r="R42" i="22" s="1"/>
  <c r="P42" i="22" s="1"/>
  <c r="V42" i="22" s="1"/>
  <c r="B42" i="22" s="1"/>
  <c r="U40" i="22"/>
  <c r="T40" i="22" s="1"/>
  <c r="S40" i="22" s="1"/>
  <c r="R40" i="22" s="1"/>
  <c r="P40" i="22" s="1"/>
  <c r="V40" i="22" s="1"/>
  <c r="B40" i="22" s="1"/>
  <c r="U38" i="22"/>
  <c r="T38" i="22" s="1"/>
  <c r="S38" i="22" s="1"/>
  <c r="R38" i="22" s="1"/>
  <c r="P38" i="22" s="1"/>
  <c r="V38" i="22" s="1"/>
  <c r="B38" i="22" s="1"/>
  <c r="U36" i="22"/>
  <c r="T36" i="22" s="1"/>
  <c r="U34" i="22"/>
  <c r="T34" i="22" s="1"/>
  <c r="S34" i="22" s="1"/>
  <c r="R34" i="22" s="1"/>
  <c r="P34" i="22" s="1"/>
  <c r="V34" i="22" s="1"/>
  <c r="B34" i="22" s="1"/>
  <c r="U32" i="22"/>
  <c r="T32" i="22" s="1"/>
  <c r="S32" i="22" s="1"/>
  <c r="R32" i="22" s="1"/>
  <c r="P32" i="22" s="1"/>
  <c r="V32" i="22" s="1"/>
  <c r="B32" i="22" s="1"/>
  <c r="U30" i="22"/>
  <c r="T30" i="22" s="1"/>
  <c r="U28" i="22"/>
  <c r="T28" i="22" s="1"/>
  <c r="U26" i="22"/>
  <c r="T26" i="22" s="1"/>
  <c r="S26" i="22" s="1"/>
  <c r="R26" i="22" s="1"/>
  <c r="P26" i="22" s="1"/>
  <c r="V26" i="22" s="1"/>
  <c r="B26" i="22" s="1"/>
  <c r="U24" i="22"/>
  <c r="T24" i="22" s="1"/>
  <c r="S24" i="22" s="1"/>
  <c r="R24" i="22" s="1"/>
  <c r="P24" i="22" s="1"/>
  <c r="V24" i="22" s="1"/>
  <c r="B24" i="22" s="1"/>
  <c r="U21" i="22"/>
  <c r="T21" i="22" s="1"/>
  <c r="U15" i="22"/>
  <c r="U17" i="22"/>
  <c r="T17" i="22" s="1"/>
  <c r="S17" i="22" s="1"/>
  <c r="R17" i="22" s="1"/>
  <c r="P17" i="22" s="1"/>
  <c r="V17" i="22" s="1"/>
  <c r="B17" i="22" s="1"/>
  <c r="U18" i="22"/>
  <c r="T18" i="22" s="1"/>
  <c r="S18" i="22" s="1"/>
  <c r="R18" i="22" s="1"/>
  <c r="P18" i="22" s="1"/>
  <c r="V18" i="22" s="1"/>
  <c r="B18" i="22" s="1"/>
  <c r="J373" i="20"/>
  <c r="I373" i="20"/>
  <c r="G349" i="20"/>
  <c r="CB349" i="6" s="1"/>
  <c r="AA349" i="20"/>
  <c r="Z349" i="20" s="1"/>
  <c r="Y349" i="20" s="1"/>
  <c r="H349" i="20"/>
  <c r="H331" i="20"/>
  <c r="G331" i="20"/>
  <c r="CB331" i="6" s="1"/>
  <c r="AA331" i="20"/>
  <c r="Z331" i="20" s="1"/>
  <c r="Y331" i="20" s="1"/>
  <c r="J321" i="20"/>
  <c r="I321" i="20"/>
  <c r="H269" i="20"/>
  <c r="H249" i="20"/>
  <c r="H225" i="20"/>
  <c r="H175" i="20"/>
  <c r="W149" i="20"/>
  <c r="D149" i="20"/>
  <c r="E149" i="20" s="1"/>
  <c r="F149" i="20" s="1"/>
  <c r="H75" i="20"/>
  <c r="H47" i="20"/>
  <c r="H21" i="20"/>
  <c r="H18" i="20"/>
  <c r="J196" i="18"/>
  <c r="C196" i="6" s="1"/>
  <c r="I196" i="18"/>
  <c r="B196" i="6" s="1"/>
  <c r="BA196" i="6" s="1"/>
  <c r="D196" i="6" s="1"/>
  <c r="AA358" i="20"/>
  <c r="Z358" i="20" s="1"/>
  <c r="Y358" i="20" s="1"/>
  <c r="G358" i="20"/>
  <c r="CB358" i="6" s="1"/>
  <c r="H358" i="20"/>
  <c r="G338" i="20"/>
  <c r="CB338" i="6" s="1"/>
  <c r="AA338" i="20"/>
  <c r="Z338" i="20" s="1"/>
  <c r="Y338" i="20" s="1"/>
  <c r="H338" i="20"/>
  <c r="G332" i="20"/>
  <c r="CB332" i="6" s="1"/>
  <c r="AA332" i="20"/>
  <c r="Z332" i="20" s="1"/>
  <c r="Y332" i="20" s="1"/>
  <c r="H332" i="20"/>
  <c r="G324" i="20"/>
  <c r="CB324" i="6" s="1"/>
  <c r="H324" i="20"/>
  <c r="AA324" i="20"/>
  <c r="Z324" i="20" s="1"/>
  <c r="Y324" i="20" s="1"/>
  <c r="G306" i="20"/>
  <c r="CB306" i="6" s="1"/>
  <c r="AA306" i="20"/>
  <c r="Z306" i="20" s="1"/>
  <c r="Y306" i="20" s="1"/>
  <c r="H306" i="20"/>
  <c r="G298" i="20"/>
  <c r="CB298" i="6" s="1"/>
  <c r="AA298" i="20"/>
  <c r="Z298" i="20" s="1"/>
  <c r="Y298" i="20" s="1"/>
  <c r="H298" i="20"/>
  <c r="G294" i="20"/>
  <c r="CB294" i="6" s="1"/>
  <c r="H294" i="20"/>
  <c r="AA294" i="20"/>
  <c r="Z294" i="20" s="1"/>
  <c r="Y294" i="20" s="1"/>
  <c r="AA290" i="20"/>
  <c r="Z290" i="20" s="1"/>
  <c r="Y290" i="20" s="1"/>
  <c r="H290" i="20"/>
  <c r="G290" i="20"/>
  <c r="CB290" i="6" s="1"/>
  <c r="H286" i="20"/>
  <c r="AA286" i="20"/>
  <c r="Z286" i="20" s="1"/>
  <c r="Y286" i="20" s="1"/>
  <c r="G286" i="20"/>
  <c r="CB286" i="6" s="1"/>
  <c r="G280" i="20"/>
  <c r="CB280" i="6" s="1"/>
  <c r="H280" i="20"/>
  <c r="AA280" i="20"/>
  <c r="Z280" i="20" s="1"/>
  <c r="Y280" i="20" s="1"/>
  <c r="W272" i="20"/>
  <c r="D272" i="20"/>
  <c r="E272" i="20" s="1"/>
  <c r="F272" i="20" s="1"/>
  <c r="AA266" i="20"/>
  <c r="Z266" i="20" s="1"/>
  <c r="Y266" i="20" s="1"/>
  <c r="H266" i="20"/>
  <c r="G266" i="20"/>
  <c r="CB266" i="6" s="1"/>
  <c r="AA260" i="20"/>
  <c r="Z260" i="20" s="1"/>
  <c r="Y260" i="20" s="1"/>
  <c r="G260" i="20"/>
  <c r="CB260" i="6" s="1"/>
  <c r="H260" i="20"/>
  <c r="AA246" i="20"/>
  <c r="Z246" i="20" s="1"/>
  <c r="Y246" i="20" s="1"/>
  <c r="G246" i="20"/>
  <c r="CB246" i="6" s="1"/>
  <c r="H246" i="20"/>
  <c r="H230" i="20"/>
  <c r="AA230" i="20"/>
  <c r="Z230" i="20" s="1"/>
  <c r="Y230" i="20" s="1"/>
  <c r="G230" i="20"/>
  <c r="CB230" i="6" s="1"/>
  <c r="H222" i="20"/>
  <c r="AA222" i="20"/>
  <c r="Z222" i="20" s="1"/>
  <c r="Y222" i="20" s="1"/>
  <c r="G222" i="20"/>
  <c r="CB222" i="6" s="1"/>
  <c r="W196" i="20"/>
  <c r="D196" i="20"/>
  <c r="E196" i="20" s="1"/>
  <c r="F196" i="20" s="1"/>
  <c r="AA192" i="20"/>
  <c r="Z192" i="20" s="1"/>
  <c r="Y192" i="20" s="1"/>
  <c r="H192" i="20"/>
  <c r="G192" i="20"/>
  <c r="CB192" i="6" s="1"/>
  <c r="AA170" i="20"/>
  <c r="Z170" i="20" s="1"/>
  <c r="Y170" i="20" s="1"/>
  <c r="G170" i="20"/>
  <c r="CB170" i="6" s="1"/>
  <c r="H170" i="20"/>
  <c r="D166" i="20"/>
  <c r="E166" i="20" s="1"/>
  <c r="F166" i="20" s="1"/>
  <c r="W166" i="20"/>
  <c r="G154" i="20"/>
  <c r="CB154" i="6" s="1"/>
  <c r="H154" i="20"/>
  <c r="AA154" i="20"/>
  <c r="Z154" i="20" s="1"/>
  <c r="Y154" i="20" s="1"/>
  <c r="H150" i="20"/>
  <c r="AA150" i="20"/>
  <c r="Z150" i="20" s="1"/>
  <c r="Y150" i="20" s="1"/>
  <c r="G150" i="20"/>
  <c r="CB150" i="6" s="1"/>
  <c r="G142" i="20"/>
  <c r="CB142" i="6" s="1"/>
  <c r="AA142" i="20"/>
  <c r="Z142" i="20" s="1"/>
  <c r="Y142" i="20" s="1"/>
  <c r="H142" i="20"/>
  <c r="H132" i="20"/>
  <c r="G132" i="20"/>
  <c r="CB132" i="6" s="1"/>
  <c r="AA132" i="20"/>
  <c r="Z132" i="20" s="1"/>
  <c r="Y132" i="20" s="1"/>
  <c r="AA102" i="20"/>
  <c r="Z102" i="20" s="1"/>
  <c r="Y102" i="20" s="1"/>
  <c r="G102" i="20"/>
  <c r="CB102" i="6" s="1"/>
  <c r="H102" i="20"/>
  <c r="G96" i="20"/>
  <c r="CB96" i="6" s="1"/>
  <c r="AA96" i="20"/>
  <c r="Z96" i="20" s="1"/>
  <c r="Y96" i="20" s="1"/>
  <c r="H96" i="20"/>
  <c r="G40" i="20"/>
  <c r="CB40" i="6" s="1"/>
  <c r="AA40" i="20"/>
  <c r="Z40" i="20" s="1"/>
  <c r="Y40" i="20" s="1"/>
  <c r="H40" i="20"/>
  <c r="AA375" i="20"/>
  <c r="Z375" i="20" s="1"/>
  <c r="Y375" i="20" s="1"/>
  <c r="G375" i="20"/>
  <c r="CB375" i="6" s="1"/>
  <c r="H375" i="20"/>
  <c r="W363" i="20"/>
  <c r="D363" i="20"/>
  <c r="E363" i="20" s="1"/>
  <c r="F363" i="20" s="1"/>
  <c r="G353" i="20"/>
  <c r="CB353" i="6" s="1"/>
  <c r="AA353" i="20"/>
  <c r="Z353" i="20" s="1"/>
  <c r="Y353" i="20" s="1"/>
  <c r="H353" i="20"/>
  <c r="G347" i="20"/>
  <c r="CB347" i="6" s="1"/>
  <c r="H347" i="20"/>
  <c r="AA347" i="20"/>
  <c r="Z347" i="20" s="1"/>
  <c r="Y347" i="20" s="1"/>
  <c r="AA341" i="20"/>
  <c r="Z341" i="20" s="1"/>
  <c r="Y341" i="20" s="1"/>
  <c r="G341" i="20"/>
  <c r="CB341" i="6" s="1"/>
  <c r="H341" i="20"/>
  <c r="D333" i="20"/>
  <c r="E333" i="20" s="1"/>
  <c r="F333" i="20" s="1"/>
  <c r="W333" i="20"/>
  <c r="D319" i="20"/>
  <c r="E319" i="20" s="1"/>
  <c r="F319" i="20" s="1"/>
  <c r="W319" i="20"/>
  <c r="AA313" i="20"/>
  <c r="Z313" i="20" s="1"/>
  <c r="Y313" i="20" s="1"/>
  <c r="H313" i="20"/>
  <c r="G313" i="20"/>
  <c r="CB313" i="6" s="1"/>
  <c r="AA305" i="20"/>
  <c r="Z305" i="20" s="1"/>
  <c r="Y305" i="20" s="1"/>
  <c r="H305" i="20"/>
  <c r="G305" i="20"/>
  <c r="CB305" i="6" s="1"/>
  <c r="AA297" i="20"/>
  <c r="Z297" i="20" s="1"/>
  <c r="Y297" i="20" s="1"/>
  <c r="G297" i="20"/>
  <c r="CB297" i="6" s="1"/>
  <c r="H297" i="20"/>
  <c r="H283" i="20"/>
  <c r="AA283" i="20"/>
  <c r="Z283" i="20" s="1"/>
  <c r="Y283" i="20" s="1"/>
  <c r="G283" i="20"/>
  <c r="CB283" i="6" s="1"/>
  <c r="G279" i="20"/>
  <c r="CB279" i="6" s="1"/>
  <c r="AA279" i="20"/>
  <c r="Z279" i="20" s="1"/>
  <c r="Y279" i="20" s="1"/>
  <c r="H279" i="20"/>
  <c r="AA263" i="20"/>
  <c r="Z263" i="20" s="1"/>
  <c r="Y263" i="20" s="1"/>
  <c r="H263" i="20"/>
  <c r="G263" i="20"/>
  <c r="CB263" i="6" s="1"/>
  <c r="AA253" i="20"/>
  <c r="Z253" i="20" s="1"/>
  <c r="Y253" i="20" s="1"/>
  <c r="G253" i="20"/>
  <c r="CB253" i="6" s="1"/>
  <c r="H253" i="20"/>
  <c r="D241" i="20"/>
  <c r="E241" i="20" s="1"/>
  <c r="F241" i="20" s="1"/>
  <c r="W241" i="20"/>
  <c r="H235" i="20"/>
  <c r="AA235" i="20"/>
  <c r="Z235" i="20" s="1"/>
  <c r="Y235" i="20" s="1"/>
  <c r="G235" i="20"/>
  <c r="CB235" i="6" s="1"/>
  <c r="G199" i="20"/>
  <c r="CB199" i="6" s="1"/>
  <c r="H199" i="20"/>
  <c r="AA199" i="20"/>
  <c r="Z199" i="20" s="1"/>
  <c r="Y199" i="20" s="1"/>
  <c r="H185" i="20"/>
  <c r="G185" i="20"/>
  <c r="CB185" i="6" s="1"/>
  <c r="AA185" i="20"/>
  <c r="Z185" i="20" s="1"/>
  <c r="Y185" i="20" s="1"/>
  <c r="AA173" i="20"/>
  <c r="Z173" i="20" s="1"/>
  <c r="Y173" i="20" s="1"/>
  <c r="G173" i="20"/>
  <c r="CB173" i="6" s="1"/>
  <c r="H173" i="20"/>
  <c r="G159" i="20"/>
  <c r="CB159" i="6" s="1"/>
  <c r="AA159" i="20"/>
  <c r="Z159" i="20" s="1"/>
  <c r="Y159" i="20" s="1"/>
  <c r="H159" i="20"/>
  <c r="G141" i="20"/>
  <c r="CB141" i="6" s="1"/>
  <c r="AA141" i="20"/>
  <c r="Z141" i="20" s="1"/>
  <c r="Y141" i="20" s="1"/>
  <c r="H141" i="20"/>
  <c r="G133" i="20"/>
  <c r="CB133" i="6" s="1"/>
  <c r="H133" i="20"/>
  <c r="AA133" i="20"/>
  <c r="Z133" i="20" s="1"/>
  <c r="Y133" i="20" s="1"/>
  <c r="H121" i="20"/>
  <c r="G121" i="20"/>
  <c r="CB121" i="6" s="1"/>
  <c r="AA121" i="20"/>
  <c r="Z121" i="20" s="1"/>
  <c r="Y121" i="20" s="1"/>
  <c r="AA111" i="20"/>
  <c r="Z111" i="20" s="1"/>
  <c r="Y111" i="20" s="1"/>
  <c r="G111" i="20"/>
  <c r="CB111" i="6" s="1"/>
  <c r="H111" i="20"/>
  <c r="G103" i="20"/>
  <c r="CB103" i="6" s="1"/>
  <c r="AA103" i="20"/>
  <c r="Z103" i="20" s="1"/>
  <c r="Y103" i="20" s="1"/>
  <c r="H103" i="20"/>
  <c r="AA99" i="20"/>
  <c r="Z99" i="20" s="1"/>
  <c r="Y99" i="20" s="1"/>
  <c r="H99" i="20"/>
  <c r="G99" i="20"/>
  <c r="CB99" i="6" s="1"/>
  <c r="G73" i="20"/>
  <c r="CB73" i="6" s="1"/>
  <c r="AA73" i="20"/>
  <c r="Z73" i="20" s="1"/>
  <c r="Y73" i="20" s="1"/>
  <c r="H73" i="20"/>
  <c r="G51" i="20"/>
  <c r="CB51" i="6" s="1"/>
  <c r="AA51" i="20"/>
  <c r="Z51" i="20" s="1"/>
  <c r="Y51" i="20" s="1"/>
  <c r="H51" i="20"/>
  <c r="G39" i="20"/>
  <c r="CB39" i="6" s="1"/>
  <c r="AA39" i="20"/>
  <c r="Z39" i="20" s="1"/>
  <c r="Y39" i="20" s="1"/>
  <c r="H39" i="20"/>
  <c r="W29" i="20"/>
  <c r="D29" i="20"/>
  <c r="E29" i="20" s="1"/>
  <c r="F29" i="20" s="1"/>
  <c r="AA23" i="20"/>
  <c r="Z23" i="20" s="1"/>
  <c r="Y23" i="20" s="1"/>
  <c r="G23" i="20"/>
  <c r="CB23" i="6" s="1"/>
  <c r="H23" i="20"/>
  <c r="AA378" i="20"/>
  <c r="Z378" i="20" s="1"/>
  <c r="Y378" i="20" s="1"/>
  <c r="G378" i="20"/>
  <c r="CB378" i="6" s="1"/>
  <c r="H378" i="20"/>
  <c r="H368" i="20"/>
  <c r="G368" i="20"/>
  <c r="CB368" i="6" s="1"/>
  <c r="AA368" i="20"/>
  <c r="Z368" i="20" s="1"/>
  <c r="Y368" i="20" s="1"/>
  <c r="G346" i="20"/>
  <c r="CB346" i="6" s="1"/>
  <c r="H346" i="20"/>
  <c r="AA346" i="20"/>
  <c r="Z346" i="20" s="1"/>
  <c r="Y346" i="20" s="1"/>
  <c r="G340" i="20"/>
  <c r="CB340" i="6" s="1"/>
  <c r="H340" i="20"/>
  <c r="AA340" i="20"/>
  <c r="Z340" i="20" s="1"/>
  <c r="Y340" i="20" s="1"/>
  <c r="G330" i="20"/>
  <c r="CB330" i="6" s="1"/>
  <c r="H330" i="20"/>
  <c r="AA330" i="20"/>
  <c r="Z330" i="20" s="1"/>
  <c r="Y330" i="20" s="1"/>
  <c r="G326" i="20"/>
  <c r="CB326" i="6" s="1"/>
  <c r="H326" i="20"/>
  <c r="AA326" i="20"/>
  <c r="Z326" i="20" s="1"/>
  <c r="Y326" i="20" s="1"/>
  <c r="AA310" i="20"/>
  <c r="Z310" i="20" s="1"/>
  <c r="Y310" i="20" s="1"/>
  <c r="H310" i="20"/>
  <c r="G310" i="20"/>
  <c r="CB310" i="6" s="1"/>
  <c r="W302" i="20"/>
  <c r="D302" i="20"/>
  <c r="E302" i="20" s="1"/>
  <c r="F302" i="20" s="1"/>
  <c r="G296" i="20"/>
  <c r="CB296" i="6" s="1"/>
  <c r="AA296" i="20"/>
  <c r="Z296" i="20" s="1"/>
  <c r="Y296" i="20" s="1"/>
  <c r="H296" i="20"/>
  <c r="W288" i="20"/>
  <c r="D288" i="20"/>
  <c r="E288" i="20" s="1"/>
  <c r="F288" i="20" s="1"/>
  <c r="G282" i="20"/>
  <c r="CB282" i="6" s="1"/>
  <c r="AA282" i="20"/>
  <c r="Z282" i="20" s="1"/>
  <c r="Y282" i="20" s="1"/>
  <c r="H282" i="20"/>
  <c r="G268" i="20"/>
  <c r="CB268" i="6" s="1"/>
  <c r="H268" i="20"/>
  <c r="AA268" i="20"/>
  <c r="Z268" i="20" s="1"/>
  <c r="Y268" i="20" s="1"/>
  <c r="AA264" i="20"/>
  <c r="Z264" i="20" s="1"/>
  <c r="Y264" i="20" s="1"/>
  <c r="H264" i="20"/>
  <c r="G264" i="20"/>
  <c r="CB264" i="6" s="1"/>
  <c r="W258" i="20"/>
  <c r="D258" i="20"/>
  <c r="E258" i="20" s="1"/>
  <c r="F258" i="20" s="1"/>
  <c r="G252" i="20"/>
  <c r="CB252" i="6" s="1"/>
  <c r="H252" i="20"/>
  <c r="AA252" i="20"/>
  <c r="Z252" i="20" s="1"/>
  <c r="Y252" i="20" s="1"/>
  <c r="AA238" i="20"/>
  <c r="Z238" i="20" s="1"/>
  <c r="Y238" i="20" s="1"/>
  <c r="H238" i="20"/>
  <c r="G238" i="20"/>
  <c r="CB238" i="6" s="1"/>
  <c r="D210" i="20"/>
  <c r="E210" i="20" s="1"/>
  <c r="F210" i="20" s="1"/>
  <c r="W210" i="20"/>
  <c r="H204" i="20"/>
  <c r="AA204" i="20"/>
  <c r="Z204" i="20" s="1"/>
  <c r="Y204" i="20" s="1"/>
  <c r="G204" i="20"/>
  <c r="CB204" i="6" s="1"/>
  <c r="H200" i="20"/>
  <c r="G200" i="20"/>
  <c r="CB200" i="6" s="1"/>
  <c r="AA200" i="20"/>
  <c r="Z200" i="20" s="1"/>
  <c r="Y200" i="20" s="1"/>
  <c r="AA194" i="20"/>
  <c r="Z194" i="20" s="1"/>
  <c r="Y194" i="20" s="1"/>
  <c r="G194" i="20"/>
  <c r="CB194" i="6" s="1"/>
  <c r="H194" i="20"/>
  <c r="AA174" i="20"/>
  <c r="Z174" i="20" s="1"/>
  <c r="Y174" i="20" s="1"/>
  <c r="G174" i="20"/>
  <c r="CB174" i="6" s="1"/>
  <c r="H174" i="20"/>
  <c r="G168" i="20"/>
  <c r="CB168" i="6" s="1"/>
  <c r="H168" i="20"/>
  <c r="AA168" i="20"/>
  <c r="Z168" i="20" s="1"/>
  <c r="Y168" i="20" s="1"/>
  <c r="H158" i="20"/>
  <c r="AA158" i="20"/>
  <c r="Z158" i="20" s="1"/>
  <c r="Y158" i="20" s="1"/>
  <c r="G158" i="20"/>
  <c r="CB158" i="6" s="1"/>
  <c r="G152" i="20"/>
  <c r="CB152" i="6" s="1"/>
  <c r="H152" i="20"/>
  <c r="AA152" i="20"/>
  <c r="Z152" i="20" s="1"/>
  <c r="Y152" i="20" s="1"/>
  <c r="AA148" i="20"/>
  <c r="Z148" i="20" s="1"/>
  <c r="Y148" i="20" s="1"/>
  <c r="H148" i="20"/>
  <c r="G148" i="20"/>
  <c r="CB148" i="6" s="1"/>
  <c r="AA136" i="20"/>
  <c r="Z136" i="20" s="1"/>
  <c r="Y136" i="20" s="1"/>
  <c r="H136" i="20"/>
  <c r="G136" i="20"/>
  <c r="CB136" i="6" s="1"/>
  <c r="G130" i="20"/>
  <c r="CB130" i="6" s="1"/>
  <c r="H130" i="20"/>
  <c r="AA130" i="20"/>
  <c r="Z130" i="20" s="1"/>
  <c r="Y130" i="20" s="1"/>
  <c r="AA122" i="20"/>
  <c r="Z122" i="20" s="1"/>
  <c r="Y122" i="20" s="1"/>
  <c r="G122" i="20"/>
  <c r="CB122" i="6" s="1"/>
  <c r="H122" i="20"/>
  <c r="G98" i="20"/>
  <c r="CB98" i="6" s="1"/>
  <c r="AA98" i="20"/>
  <c r="Z98" i="20" s="1"/>
  <c r="Y98" i="20" s="1"/>
  <c r="H98" i="20"/>
  <c r="AA92" i="20"/>
  <c r="Z92" i="20" s="1"/>
  <c r="Y92" i="20" s="1"/>
  <c r="G92" i="20"/>
  <c r="CB92" i="6" s="1"/>
  <c r="H92" i="20"/>
  <c r="H44" i="20"/>
  <c r="G44" i="20"/>
  <c r="CB44" i="6" s="1"/>
  <c r="AA44" i="20"/>
  <c r="Z44" i="20" s="1"/>
  <c r="Y44" i="20" s="1"/>
  <c r="AA343" i="20"/>
  <c r="Z343" i="20" s="1"/>
  <c r="Y343" i="20" s="1"/>
  <c r="G343" i="20"/>
  <c r="CB343" i="6" s="1"/>
  <c r="H343" i="20"/>
  <c r="G337" i="20"/>
  <c r="CB337" i="6" s="1"/>
  <c r="H337" i="20"/>
  <c r="AA337" i="20"/>
  <c r="Z337" i="20" s="1"/>
  <c r="Y337" i="20" s="1"/>
  <c r="AA329" i="20"/>
  <c r="Z329" i="20" s="1"/>
  <c r="Y329" i="20" s="1"/>
  <c r="H329" i="20"/>
  <c r="G329" i="20"/>
  <c r="CB329" i="6" s="1"/>
  <c r="G307" i="20"/>
  <c r="CB307" i="6" s="1"/>
  <c r="H307" i="20"/>
  <c r="AA307" i="20"/>
  <c r="Z307" i="20" s="1"/>
  <c r="Y307" i="20" s="1"/>
  <c r="H303" i="20"/>
  <c r="G303" i="20"/>
  <c r="CB303" i="6" s="1"/>
  <c r="AA303" i="20"/>
  <c r="Z303" i="20" s="1"/>
  <c r="Y303" i="20" s="1"/>
  <c r="AA299" i="20"/>
  <c r="Z299" i="20" s="1"/>
  <c r="Y299" i="20" s="1"/>
  <c r="G299" i="20"/>
  <c r="CB299" i="6" s="1"/>
  <c r="H299" i="20"/>
  <c r="AA285" i="20"/>
  <c r="Z285" i="20" s="1"/>
  <c r="Y285" i="20" s="1"/>
  <c r="H285" i="20"/>
  <c r="G285" i="20"/>
  <c r="CB285" i="6" s="1"/>
  <c r="AA281" i="20"/>
  <c r="Z281" i="20" s="1"/>
  <c r="Y281" i="20" s="1"/>
  <c r="H281" i="20"/>
  <c r="G281" i="20"/>
  <c r="CB281" i="6" s="1"/>
  <c r="AA277" i="20"/>
  <c r="Z277" i="20" s="1"/>
  <c r="Y277" i="20" s="1"/>
  <c r="H277" i="20"/>
  <c r="G277" i="20"/>
  <c r="CB277" i="6" s="1"/>
  <c r="AA261" i="20"/>
  <c r="Z261" i="20" s="1"/>
  <c r="Y261" i="20" s="1"/>
  <c r="G261" i="20"/>
  <c r="CB261" i="6" s="1"/>
  <c r="H261" i="20"/>
  <c r="AA257" i="20"/>
  <c r="Z257" i="20" s="1"/>
  <c r="Y257" i="20" s="1"/>
  <c r="G257" i="20"/>
  <c r="CB257" i="6" s="1"/>
  <c r="H257" i="20"/>
  <c r="AA237" i="20"/>
  <c r="Z237" i="20" s="1"/>
  <c r="Y237" i="20" s="1"/>
  <c r="G237" i="20"/>
  <c r="CB237" i="6" s="1"/>
  <c r="H237" i="20"/>
  <c r="G233" i="20"/>
  <c r="CB233" i="6" s="1"/>
  <c r="AA233" i="20"/>
  <c r="Z233" i="20" s="1"/>
  <c r="Y233" i="20" s="1"/>
  <c r="H233" i="20"/>
  <c r="AA215" i="20"/>
  <c r="Z215" i="20" s="1"/>
  <c r="Y215" i="20" s="1"/>
  <c r="H215" i="20"/>
  <c r="G215" i="20"/>
  <c r="CB215" i="6" s="1"/>
  <c r="AA201" i="20"/>
  <c r="Z201" i="20" s="1"/>
  <c r="Y201" i="20" s="1"/>
  <c r="G201" i="20"/>
  <c r="CB201" i="6" s="1"/>
  <c r="H201" i="20"/>
  <c r="H183" i="20"/>
  <c r="AA183" i="20"/>
  <c r="Z183" i="20" s="1"/>
  <c r="Y183" i="20" s="1"/>
  <c r="G183" i="20"/>
  <c r="CB183" i="6" s="1"/>
  <c r="AA167" i="20"/>
  <c r="Z167" i="20" s="1"/>
  <c r="Y167" i="20" s="1"/>
  <c r="G167" i="20"/>
  <c r="CB167" i="6" s="1"/>
  <c r="H167" i="20"/>
  <c r="H147" i="20"/>
  <c r="AA147" i="20"/>
  <c r="Z147" i="20" s="1"/>
  <c r="Y147" i="20" s="1"/>
  <c r="G147" i="20"/>
  <c r="CB147" i="6" s="1"/>
  <c r="AA131" i="20"/>
  <c r="Z131" i="20" s="1"/>
  <c r="Y131" i="20" s="1"/>
  <c r="H131" i="20"/>
  <c r="G131" i="20"/>
  <c r="CB131" i="6" s="1"/>
  <c r="D119" i="20"/>
  <c r="E119" i="20" s="1"/>
  <c r="F119" i="20" s="1"/>
  <c r="W119" i="20"/>
  <c r="G113" i="20"/>
  <c r="CB113" i="6" s="1"/>
  <c r="AA113" i="20"/>
  <c r="Z113" i="20" s="1"/>
  <c r="Y113" i="20" s="1"/>
  <c r="H113" i="20"/>
  <c r="W105" i="20"/>
  <c r="D105" i="20"/>
  <c r="E105" i="20" s="1"/>
  <c r="F105" i="20" s="1"/>
  <c r="AA97" i="20"/>
  <c r="Z97" i="20" s="1"/>
  <c r="Y97" i="20" s="1"/>
  <c r="H97" i="20"/>
  <c r="G97" i="20"/>
  <c r="CB97" i="6" s="1"/>
  <c r="AA65" i="20"/>
  <c r="Z65" i="20" s="1"/>
  <c r="Y65" i="20" s="1"/>
  <c r="H65" i="20"/>
  <c r="G65" i="20"/>
  <c r="CB65" i="6" s="1"/>
  <c r="AA53" i="20"/>
  <c r="Z53" i="20" s="1"/>
  <c r="Y53" i="20" s="1"/>
  <c r="H53" i="20"/>
  <c r="G53" i="20"/>
  <c r="CB53" i="6" s="1"/>
  <c r="AA37" i="20"/>
  <c r="Z37" i="20" s="1"/>
  <c r="Y37" i="20" s="1"/>
  <c r="G37" i="20"/>
  <c r="CB37" i="6" s="1"/>
  <c r="H37" i="20"/>
  <c r="G33" i="20"/>
  <c r="CB33" i="6" s="1"/>
  <c r="H33" i="20"/>
  <c r="AA33" i="20"/>
  <c r="Z33" i="20" s="1"/>
  <c r="Y33" i="20" s="1"/>
  <c r="Q10" i="23"/>
  <c r="AE20" i="23" s="1"/>
  <c r="AS15" i="7"/>
  <c r="I344" i="20"/>
  <c r="J344" i="20"/>
  <c r="J316" i="20"/>
  <c r="I316" i="20"/>
  <c r="I240" i="20"/>
  <c r="J240" i="20"/>
  <c r="G90" i="20"/>
  <c r="CB90" i="6" s="1"/>
  <c r="H90" i="20"/>
  <c r="AA90" i="20"/>
  <c r="Z90" i="20" s="1"/>
  <c r="Y90" i="20" s="1"/>
  <c r="G88" i="20"/>
  <c r="CB88" i="6" s="1"/>
  <c r="AA88" i="20"/>
  <c r="Z88" i="20" s="1"/>
  <c r="Y88" i="20" s="1"/>
  <c r="D323" i="6"/>
  <c r="D71" i="6"/>
  <c r="R4" i="6"/>
  <c r="D225" i="6"/>
  <c r="D267" i="6"/>
  <c r="D365" i="6"/>
  <c r="P382" i="18"/>
  <c r="P383" i="18"/>
  <c r="V15" i="18"/>
  <c r="P381" i="18"/>
  <c r="H365" i="20"/>
  <c r="H357" i="20"/>
  <c r="J339" i="20"/>
  <c r="I339" i="20"/>
  <c r="J327" i="20"/>
  <c r="I327" i="20"/>
  <c r="H323" i="20"/>
  <c r="I177" i="20"/>
  <c r="J177" i="20"/>
  <c r="H137" i="20"/>
  <c r="J127" i="20"/>
  <c r="I127" i="20"/>
  <c r="I91" i="20"/>
  <c r="J91" i="20"/>
  <c r="I59" i="20"/>
  <c r="J59" i="20"/>
  <c r="J31" i="20"/>
  <c r="I31" i="20"/>
  <c r="S383" i="20"/>
  <c r="S382" i="20"/>
  <c r="S381" i="20"/>
  <c r="R15" i="20"/>
  <c r="D99" i="6"/>
  <c r="AJ4" i="16"/>
  <c r="P13" i="19" s="1"/>
  <c r="G135" i="20"/>
  <c r="CB135" i="6" s="1"/>
  <c r="AA135" i="20"/>
  <c r="Z135" i="20" s="1"/>
  <c r="Y135" i="20" s="1"/>
  <c r="H95" i="20"/>
  <c r="H71" i="20"/>
  <c r="D239" i="6"/>
  <c r="D337" i="6"/>
  <c r="AA46" i="20"/>
  <c r="Z46" i="20" s="1"/>
  <c r="Y46" i="20" s="1"/>
  <c r="G46" i="20"/>
  <c r="CB46" i="6" s="1"/>
  <c r="H322" i="20"/>
  <c r="Q383" i="22"/>
  <c r="G366" i="20"/>
  <c r="CB366" i="6" s="1"/>
  <c r="AA366" i="20"/>
  <c r="Z366" i="20" s="1"/>
  <c r="Y366" i="20" s="1"/>
  <c r="H366" i="20"/>
  <c r="I300" i="20"/>
  <c r="J300" i="20"/>
  <c r="H262" i="20"/>
  <c r="H234" i="20"/>
  <c r="I220" i="20"/>
  <c r="J220" i="20"/>
  <c r="G198" i="20"/>
  <c r="CB198" i="6" s="1"/>
  <c r="H198" i="20"/>
  <c r="AA198" i="20"/>
  <c r="Z198" i="20" s="1"/>
  <c r="Y198" i="20" s="1"/>
  <c r="I140" i="20"/>
  <c r="J140" i="20"/>
  <c r="AA134" i="20"/>
  <c r="Z134" i="20" s="1"/>
  <c r="Y134" i="20" s="1"/>
  <c r="G134" i="20"/>
  <c r="CB134" i="6" s="1"/>
  <c r="H134" i="20"/>
  <c r="H120" i="20"/>
  <c r="AA82" i="20"/>
  <c r="Z82" i="20" s="1"/>
  <c r="Y82" i="20" s="1"/>
  <c r="H82" i="20"/>
  <c r="G82" i="20"/>
  <c r="CB82" i="6" s="1"/>
  <c r="G76" i="20"/>
  <c r="CB76" i="6" s="1"/>
  <c r="H76" i="20"/>
  <c r="AA76" i="20"/>
  <c r="Z76" i="20" s="1"/>
  <c r="Y76" i="20" s="1"/>
  <c r="W74" i="20"/>
  <c r="D74" i="20"/>
  <c r="E74" i="20" s="1"/>
  <c r="F74" i="20" s="1"/>
  <c r="H62" i="20"/>
  <c r="AA56" i="20"/>
  <c r="Z56" i="20" s="1"/>
  <c r="Y56" i="20" s="1"/>
  <c r="G56" i="20"/>
  <c r="CB56" i="6" s="1"/>
  <c r="H56" i="20"/>
  <c r="AA54" i="20"/>
  <c r="Z54" i="20" s="1"/>
  <c r="Y54" i="20" s="1"/>
  <c r="H54" i="20"/>
  <c r="G54" i="20"/>
  <c r="CB54" i="6" s="1"/>
  <c r="G50" i="20"/>
  <c r="CB50" i="6" s="1"/>
  <c r="H50" i="20"/>
  <c r="AA50" i="20"/>
  <c r="Z50" i="20" s="1"/>
  <c r="Y50" i="20" s="1"/>
  <c r="G42" i="20"/>
  <c r="CB42" i="6" s="1"/>
  <c r="AA42" i="20"/>
  <c r="Z42" i="20" s="1"/>
  <c r="Y42" i="20" s="1"/>
  <c r="H42" i="20"/>
  <c r="G28" i="20"/>
  <c r="CB28" i="6" s="1"/>
  <c r="H28" i="20"/>
  <c r="AA28" i="20"/>
  <c r="Z28" i="20" s="1"/>
  <c r="Y28" i="20" s="1"/>
  <c r="G26" i="20"/>
  <c r="CB26" i="6" s="1"/>
  <c r="H26" i="20"/>
  <c r="AA26" i="20"/>
  <c r="Z26" i="20" s="1"/>
  <c r="Y26" i="20" s="1"/>
  <c r="AA22" i="20"/>
  <c r="Z22" i="20" s="1"/>
  <c r="Y22" i="20" s="1"/>
  <c r="G22" i="20"/>
  <c r="CB22" i="6" s="1"/>
  <c r="H22" i="20"/>
  <c r="G17" i="20"/>
  <c r="CB17" i="6" s="1"/>
  <c r="H17" i="20"/>
  <c r="AA17" i="20"/>
  <c r="Z17" i="20" s="1"/>
  <c r="Y17" i="20" s="1"/>
  <c r="I19" i="20"/>
  <c r="D183" i="6"/>
  <c r="D57" i="6"/>
  <c r="AI379" i="22"/>
  <c r="AI377" i="22"/>
  <c r="AH377" i="22" s="1"/>
  <c r="AG377" i="22" s="1"/>
  <c r="AF377" i="22" s="1"/>
  <c r="AD377" i="22" s="1"/>
  <c r="AI375" i="22"/>
  <c r="AH375" i="22" s="1"/>
  <c r="AG375" i="22" s="1"/>
  <c r="AF375" i="22" s="1"/>
  <c r="AD375" i="22" s="1"/>
  <c r="AI373" i="22"/>
  <c r="AH373" i="22" s="1"/>
  <c r="AI371" i="22"/>
  <c r="AH371" i="22" s="1"/>
  <c r="AI369" i="22"/>
  <c r="AH369" i="22" s="1"/>
  <c r="AI367" i="22"/>
  <c r="AH367" i="22" s="1"/>
  <c r="AI365" i="22"/>
  <c r="AH365" i="22" s="1"/>
  <c r="AI363" i="22"/>
  <c r="AH363" i="22" s="1"/>
  <c r="AI361" i="22"/>
  <c r="AH361" i="22" s="1"/>
  <c r="AI359" i="22"/>
  <c r="AH359" i="22" s="1"/>
  <c r="AG359" i="22" s="1"/>
  <c r="AF359" i="22" s="1"/>
  <c r="AD359" i="22" s="1"/>
  <c r="AI357" i="22"/>
  <c r="AH357" i="22" s="1"/>
  <c r="AI355" i="22"/>
  <c r="AH355" i="22" s="1"/>
  <c r="AI353" i="22"/>
  <c r="AH353" i="22" s="1"/>
  <c r="AG353" i="22" s="1"/>
  <c r="AF353" i="22" s="1"/>
  <c r="AD353" i="22" s="1"/>
  <c r="AI351" i="22"/>
  <c r="AH351" i="22" s="1"/>
  <c r="AG351" i="22" s="1"/>
  <c r="AF351" i="22" s="1"/>
  <c r="AD351" i="22" s="1"/>
  <c r="AI349" i="22"/>
  <c r="AH349" i="22" s="1"/>
  <c r="AG349" i="22" s="1"/>
  <c r="AF349" i="22" s="1"/>
  <c r="AD349" i="22" s="1"/>
  <c r="AI347" i="22"/>
  <c r="AH347" i="22" s="1"/>
  <c r="AI345" i="22"/>
  <c r="AH345" i="22" s="1"/>
  <c r="AI343" i="22"/>
  <c r="AH343" i="22" s="1"/>
  <c r="AI341" i="22"/>
  <c r="AH341" i="22" s="1"/>
  <c r="AG341" i="22" s="1"/>
  <c r="AF341" i="22" s="1"/>
  <c r="AD341" i="22" s="1"/>
  <c r="AI339" i="22"/>
  <c r="AH339" i="22" s="1"/>
  <c r="AG339" i="22" s="1"/>
  <c r="AF339" i="22" s="1"/>
  <c r="AD339" i="22" s="1"/>
  <c r="AI337" i="22"/>
  <c r="AH337" i="22" s="1"/>
  <c r="AI335" i="22"/>
  <c r="AH335" i="22" s="1"/>
  <c r="AG335" i="22" s="1"/>
  <c r="AF335" i="22" s="1"/>
  <c r="AD335" i="22" s="1"/>
  <c r="AI333" i="22"/>
  <c r="AH333" i="22" s="1"/>
  <c r="AG333" i="22" s="1"/>
  <c r="AF333" i="22" s="1"/>
  <c r="AD333" i="22" s="1"/>
  <c r="AI331" i="22"/>
  <c r="AH331" i="22" s="1"/>
  <c r="AG331" i="22" s="1"/>
  <c r="AF331" i="22" s="1"/>
  <c r="AD331" i="22" s="1"/>
  <c r="AI329" i="22"/>
  <c r="AH329" i="22" s="1"/>
  <c r="AI327" i="22"/>
  <c r="AH327" i="22" s="1"/>
  <c r="AG327" i="22" s="1"/>
  <c r="AF327" i="22" s="1"/>
  <c r="AD327" i="22" s="1"/>
  <c r="AI325" i="22"/>
  <c r="AH325" i="22" s="1"/>
  <c r="AG325" i="22" s="1"/>
  <c r="AF325" i="22" s="1"/>
  <c r="AD325" i="22" s="1"/>
  <c r="AI323" i="22"/>
  <c r="AH323" i="22" s="1"/>
  <c r="AG323" i="22" s="1"/>
  <c r="AF323" i="22" s="1"/>
  <c r="AD323" i="22" s="1"/>
  <c r="AI321" i="22"/>
  <c r="AH321" i="22" s="1"/>
  <c r="AG321" i="22" s="1"/>
  <c r="AF321" i="22" s="1"/>
  <c r="AD321" i="22" s="1"/>
  <c r="AI319" i="22"/>
  <c r="AH319" i="22" s="1"/>
  <c r="AG319" i="22" s="1"/>
  <c r="AF319" i="22" s="1"/>
  <c r="AD319" i="22" s="1"/>
  <c r="AI317" i="22"/>
  <c r="AH317" i="22" s="1"/>
  <c r="AG317" i="22" s="1"/>
  <c r="AF317" i="22" s="1"/>
  <c r="AD317" i="22" s="1"/>
  <c r="AI315" i="22"/>
  <c r="AH315" i="22" s="1"/>
  <c r="AI313" i="22"/>
  <c r="AH313" i="22" s="1"/>
  <c r="AG313" i="22" s="1"/>
  <c r="AF313" i="22" s="1"/>
  <c r="AD313" i="22" s="1"/>
  <c r="AI311" i="22"/>
  <c r="AH311" i="22" s="1"/>
  <c r="AG311" i="22" s="1"/>
  <c r="AF311" i="22" s="1"/>
  <c r="AD311" i="22" s="1"/>
  <c r="AI309" i="22"/>
  <c r="AH309" i="22" s="1"/>
  <c r="AI307" i="22"/>
  <c r="AH307" i="22" s="1"/>
  <c r="AG307" i="22" s="1"/>
  <c r="AF307" i="22" s="1"/>
  <c r="AD307" i="22" s="1"/>
  <c r="AI305" i="22"/>
  <c r="AH305" i="22" s="1"/>
  <c r="AG305" i="22" s="1"/>
  <c r="AF305" i="22" s="1"/>
  <c r="AD305" i="22" s="1"/>
  <c r="AI303" i="22"/>
  <c r="AH303" i="22" s="1"/>
  <c r="AI301" i="22"/>
  <c r="AH301" i="22" s="1"/>
  <c r="AG301" i="22" s="1"/>
  <c r="AF301" i="22" s="1"/>
  <c r="AD301" i="22" s="1"/>
  <c r="AI299" i="22"/>
  <c r="AH299" i="22" s="1"/>
  <c r="AG299" i="22" s="1"/>
  <c r="AF299" i="22" s="1"/>
  <c r="AD299" i="22" s="1"/>
  <c r="AI297" i="22"/>
  <c r="AH297" i="22" s="1"/>
  <c r="AG297" i="22" s="1"/>
  <c r="AF297" i="22" s="1"/>
  <c r="AD297" i="22" s="1"/>
  <c r="AI295" i="22"/>
  <c r="AH295" i="22" s="1"/>
  <c r="AI293" i="22"/>
  <c r="AH293" i="22" s="1"/>
  <c r="AI291" i="22"/>
  <c r="AH291" i="22" s="1"/>
  <c r="AI289" i="22"/>
  <c r="AH289" i="22" s="1"/>
  <c r="AG289" i="22" s="1"/>
  <c r="AF289" i="22" s="1"/>
  <c r="AD289" i="22" s="1"/>
  <c r="AI287" i="22"/>
  <c r="AH287" i="22" s="1"/>
  <c r="AG287" i="22" s="1"/>
  <c r="AF287" i="22" s="1"/>
  <c r="AD287" i="22" s="1"/>
  <c r="AI285" i="22"/>
  <c r="AH285" i="22" s="1"/>
  <c r="AI283" i="22"/>
  <c r="AH283" i="22" s="1"/>
  <c r="AG283" i="22" s="1"/>
  <c r="AF283" i="22" s="1"/>
  <c r="AD283" i="22" s="1"/>
  <c r="AI281" i="22"/>
  <c r="AH281" i="22" s="1"/>
  <c r="AG281" i="22" s="1"/>
  <c r="AF281" i="22" s="1"/>
  <c r="AD281" i="22" s="1"/>
  <c r="AI279" i="22"/>
  <c r="AH279" i="22" s="1"/>
  <c r="AI277" i="22"/>
  <c r="AH277" i="22" s="1"/>
  <c r="AG277" i="22" s="1"/>
  <c r="AF277" i="22" s="1"/>
  <c r="AD277" i="22" s="1"/>
  <c r="AI275" i="22"/>
  <c r="AH275" i="22" s="1"/>
  <c r="AI273" i="22"/>
  <c r="AH273" i="22" s="1"/>
  <c r="AI271" i="22"/>
  <c r="AH271" i="22" s="1"/>
  <c r="AG271" i="22" s="1"/>
  <c r="AF271" i="22" s="1"/>
  <c r="AD271" i="22" s="1"/>
  <c r="AI269" i="22"/>
  <c r="AH269" i="22" s="1"/>
  <c r="AI267" i="22"/>
  <c r="AH267" i="22" s="1"/>
  <c r="AG267" i="22" s="1"/>
  <c r="AF267" i="22" s="1"/>
  <c r="AD267" i="22" s="1"/>
  <c r="AI265" i="22"/>
  <c r="AH265" i="22" s="1"/>
  <c r="AI263" i="22"/>
  <c r="AH263" i="22" s="1"/>
  <c r="AI261" i="22"/>
  <c r="AH261" i="22" s="1"/>
  <c r="AG261" i="22" s="1"/>
  <c r="AF261" i="22" s="1"/>
  <c r="AD261" i="22" s="1"/>
  <c r="AI259" i="22"/>
  <c r="AH259" i="22" s="1"/>
  <c r="AG259" i="22" s="1"/>
  <c r="AF259" i="22" s="1"/>
  <c r="AD259" i="22" s="1"/>
  <c r="AI257" i="22"/>
  <c r="AH257" i="22" s="1"/>
  <c r="AG257" i="22" s="1"/>
  <c r="AF257" i="22" s="1"/>
  <c r="AD257" i="22" s="1"/>
  <c r="AI255" i="22"/>
  <c r="AH255" i="22" s="1"/>
  <c r="AI253" i="22"/>
  <c r="AH253" i="22" s="1"/>
  <c r="AG253" i="22" s="1"/>
  <c r="AF253" i="22" s="1"/>
  <c r="AD253" i="22" s="1"/>
  <c r="AI251" i="22"/>
  <c r="AH251" i="22" s="1"/>
  <c r="AG251" i="22" s="1"/>
  <c r="AF251" i="22" s="1"/>
  <c r="AD251" i="22" s="1"/>
  <c r="AI249" i="22"/>
  <c r="AH249" i="22" s="1"/>
  <c r="AI247" i="22"/>
  <c r="AH247" i="22" s="1"/>
  <c r="AI245" i="22"/>
  <c r="AH245" i="22" s="1"/>
  <c r="AG245" i="22" s="1"/>
  <c r="AF245" i="22" s="1"/>
  <c r="AD245" i="22" s="1"/>
  <c r="AI243" i="22"/>
  <c r="AH243" i="22" s="1"/>
  <c r="AG243" i="22" s="1"/>
  <c r="AF243" i="22" s="1"/>
  <c r="AD243" i="22" s="1"/>
  <c r="AI241" i="22"/>
  <c r="AH241" i="22" s="1"/>
  <c r="AI239" i="22"/>
  <c r="AH239" i="22" s="1"/>
  <c r="AG239" i="22" s="1"/>
  <c r="AF239" i="22" s="1"/>
  <c r="AD239" i="22" s="1"/>
  <c r="AI237" i="22"/>
  <c r="AH237" i="22" s="1"/>
  <c r="AG237" i="22" s="1"/>
  <c r="AF237" i="22" s="1"/>
  <c r="AD237" i="22" s="1"/>
  <c r="AI235" i="22"/>
  <c r="AH235" i="22" s="1"/>
  <c r="AG235" i="22" s="1"/>
  <c r="AF235" i="22" s="1"/>
  <c r="AD235" i="22" s="1"/>
  <c r="AI233" i="22"/>
  <c r="AH233" i="22" s="1"/>
  <c r="AI231" i="22"/>
  <c r="AH231" i="22" s="1"/>
  <c r="AI229" i="22"/>
  <c r="AH229" i="22" s="1"/>
  <c r="AI227" i="22"/>
  <c r="AH227" i="22" s="1"/>
  <c r="AG227" i="22" s="1"/>
  <c r="AF227" i="22" s="1"/>
  <c r="AD227" i="22" s="1"/>
  <c r="AI225" i="22"/>
  <c r="AH225" i="22" s="1"/>
  <c r="AG225" i="22" s="1"/>
  <c r="AF225" i="22" s="1"/>
  <c r="AD225" i="22" s="1"/>
  <c r="AI223" i="22"/>
  <c r="AH223" i="22" s="1"/>
  <c r="AG223" i="22" s="1"/>
  <c r="AF223" i="22" s="1"/>
  <c r="AD223" i="22" s="1"/>
  <c r="AI221" i="22"/>
  <c r="AH221" i="22" s="1"/>
  <c r="AI219" i="22"/>
  <c r="AH219" i="22" s="1"/>
  <c r="AI217" i="22"/>
  <c r="AH217" i="22" s="1"/>
  <c r="AI215" i="22"/>
  <c r="AH215" i="22" s="1"/>
  <c r="AG215" i="22" s="1"/>
  <c r="AF215" i="22" s="1"/>
  <c r="AD215" i="22" s="1"/>
  <c r="AI213" i="22"/>
  <c r="AH213" i="22" s="1"/>
  <c r="AI211" i="22"/>
  <c r="AH211" i="22" s="1"/>
  <c r="AG211" i="22" s="1"/>
  <c r="AF211" i="22" s="1"/>
  <c r="AD211" i="22" s="1"/>
  <c r="AI209" i="22"/>
  <c r="AH209" i="22" s="1"/>
  <c r="AI207" i="22"/>
  <c r="AH207" i="22" s="1"/>
  <c r="AI205" i="22"/>
  <c r="AH205" i="22" s="1"/>
  <c r="AI203" i="22"/>
  <c r="AH203" i="22" s="1"/>
  <c r="AG203" i="22" s="1"/>
  <c r="AF203" i="22" s="1"/>
  <c r="AD203" i="22" s="1"/>
  <c r="AI201" i="22"/>
  <c r="AH201" i="22" s="1"/>
  <c r="AI199" i="22"/>
  <c r="AH199" i="22" s="1"/>
  <c r="AG199" i="22" s="1"/>
  <c r="AF199" i="22" s="1"/>
  <c r="AD199" i="22" s="1"/>
  <c r="AI197" i="22"/>
  <c r="AH197" i="22" s="1"/>
  <c r="AG197" i="22" s="1"/>
  <c r="AF197" i="22" s="1"/>
  <c r="AD197" i="22" s="1"/>
  <c r="AI195" i="22"/>
  <c r="AH195" i="22" s="1"/>
  <c r="AI193" i="22"/>
  <c r="AH193" i="22" s="1"/>
  <c r="AG193" i="22" s="1"/>
  <c r="AF193" i="22" s="1"/>
  <c r="AD193" i="22" s="1"/>
  <c r="AI191" i="22"/>
  <c r="AH191" i="22" s="1"/>
  <c r="AI189" i="22"/>
  <c r="AH189" i="22" s="1"/>
  <c r="AI187" i="22"/>
  <c r="AH187" i="22" s="1"/>
  <c r="AG187" i="22" s="1"/>
  <c r="AF187" i="22" s="1"/>
  <c r="AD187" i="22" s="1"/>
  <c r="AI185" i="22"/>
  <c r="AH185" i="22" s="1"/>
  <c r="AI183" i="22"/>
  <c r="AH183" i="22" s="1"/>
  <c r="AI181" i="22"/>
  <c r="AH181" i="22" s="1"/>
  <c r="AG181" i="22" s="1"/>
  <c r="AF181" i="22" s="1"/>
  <c r="AD181" i="22" s="1"/>
  <c r="AI179" i="22"/>
  <c r="AH179" i="22" s="1"/>
  <c r="AG179" i="22" s="1"/>
  <c r="AF179" i="22" s="1"/>
  <c r="AD179" i="22" s="1"/>
  <c r="AI177" i="22"/>
  <c r="AH177" i="22" s="1"/>
  <c r="AI175" i="22"/>
  <c r="AH175" i="22" s="1"/>
  <c r="AG175" i="22" s="1"/>
  <c r="AF175" i="22" s="1"/>
  <c r="AD175" i="22" s="1"/>
  <c r="AI173" i="22"/>
  <c r="AH173" i="22" s="1"/>
  <c r="AI171" i="22"/>
  <c r="AH171" i="22" s="1"/>
  <c r="AI169" i="22"/>
  <c r="AH169" i="22" s="1"/>
  <c r="AG169" i="22" s="1"/>
  <c r="AF169" i="22" s="1"/>
  <c r="AD169" i="22" s="1"/>
  <c r="AI167" i="22"/>
  <c r="AH167" i="22" s="1"/>
  <c r="AG167" i="22" s="1"/>
  <c r="AF167" i="22" s="1"/>
  <c r="AD167" i="22" s="1"/>
  <c r="AI165" i="22"/>
  <c r="AH165" i="22" s="1"/>
  <c r="AG165" i="22" s="1"/>
  <c r="AF165" i="22" s="1"/>
  <c r="AD165" i="22" s="1"/>
  <c r="AI163" i="22"/>
  <c r="AH163" i="22" s="1"/>
  <c r="AI161" i="22"/>
  <c r="AH161" i="22" s="1"/>
  <c r="AI159" i="22"/>
  <c r="AH159" i="22" s="1"/>
  <c r="AG159" i="22" s="1"/>
  <c r="AF159" i="22" s="1"/>
  <c r="AD159" i="22" s="1"/>
  <c r="AI157" i="22"/>
  <c r="AH157" i="22" s="1"/>
  <c r="AG157" i="22" s="1"/>
  <c r="AF157" i="22" s="1"/>
  <c r="AD157" i="22" s="1"/>
  <c r="AI155" i="22"/>
  <c r="AH155" i="22" s="1"/>
  <c r="AG155" i="22" s="1"/>
  <c r="AF155" i="22" s="1"/>
  <c r="AD155" i="22" s="1"/>
  <c r="AI153" i="22"/>
  <c r="AH153" i="22" s="1"/>
  <c r="AI151" i="22"/>
  <c r="AH151" i="22" s="1"/>
  <c r="AG151" i="22" s="1"/>
  <c r="AF151" i="22" s="1"/>
  <c r="AD151" i="22" s="1"/>
  <c r="AI149" i="22"/>
  <c r="AH149" i="22" s="1"/>
  <c r="AG149" i="22" s="1"/>
  <c r="AF149" i="22" s="1"/>
  <c r="AD149" i="22" s="1"/>
  <c r="AI147" i="22"/>
  <c r="AH147" i="22" s="1"/>
  <c r="AG147" i="22" s="1"/>
  <c r="AF147" i="22" s="1"/>
  <c r="AD147" i="22" s="1"/>
  <c r="AI145" i="22"/>
  <c r="AH145" i="22" s="1"/>
  <c r="AI143" i="22"/>
  <c r="AH143" i="22" s="1"/>
  <c r="AG143" i="22" s="1"/>
  <c r="AF143" i="22" s="1"/>
  <c r="AD143" i="22" s="1"/>
  <c r="AI141" i="22"/>
  <c r="AH141" i="22" s="1"/>
  <c r="AG141" i="22" s="1"/>
  <c r="AF141" i="22" s="1"/>
  <c r="AD141" i="22" s="1"/>
  <c r="AI139" i="22"/>
  <c r="AH139" i="22" s="1"/>
  <c r="AI137" i="22"/>
  <c r="AH137" i="22" s="1"/>
  <c r="AG137" i="22" s="1"/>
  <c r="AF137" i="22" s="1"/>
  <c r="AD137" i="22" s="1"/>
  <c r="AI135" i="22"/>
  <c r="AH135" i="22" s="1"/>
  <c r="AG135" i="22" s="1"/>
  <c r="AF135" i="22" s="1"/>
  <c r="AD135" i="22" s="1"/>
  <c r="AI133" i="22"/>
  <c r="AH133" i="22" s="1"/>
  <c r="AI131" i="22"/>
  <c r="AH131" i="22" s="1"/>
  <c r="AI129" i="22"/>
  <c r="AH129" i="22" s="1"/>
  <c r="AG129" i="22" s="1"/>
  <c r="AF129" i="22" s="1"/>
  <c r="AD129" i="22" s="1"/>
  <c r="AI127" i="22"/>
  <c r="AH127" i="22" s="1"/>
  <c r="AI125" i="22"/>
  <c r="AH125" i="22" s="1"/>
  <c r="AI123" i="22"/>
  <c r="AH123" i="22" s="1"/>
  <c r="AG123" i="22" s="1"/>
  <c r="AF123" i="22" s="1"/>
  <c r="AD123" i="22" s="1"/>
  <c r="AI121" i="22"/>
  <c r="AH121" i="22" s="1"/>
  <c r="AG121" i="22" s="1"/>
  <c r="AF121" i="22" s="1"/>
  <c r="AD121" i="22" s="1"/>
  <c r="AI119" i="22"/>
  <c r="AH119" i="22" s="1"/>
  <c r="AG119" i="22" s="1"/>
  <c r="AF119" i="22" s="1"/>
  <c r="AD119" i="22" s="1"/>
  <c r="AI117" i="22"/>
  <c r="AH117" i="22" s="1"/>
  <c r="AI115" i="22"/>
  <c r="AH115" i="22" s="1"/>
  <c r="AG115" i="22" s="1"/>
  <c r="AF115" i="22" s="1"/>
  <c r="AD115" i="22" s="1"/>
  <c r="AI113" i="22"/>
  <c r="AH113" i="22" s="1"/>
  <c r="AG113" i="22" s="1"/>
  <c r="AF113" i="22" s="1"/>
  <c r="AD113" i="22" s="1"/>
  <c r="AI111" i="22"/>
  <c r="AH111" i="22" s="1"/>
  <c r="AI109" i="22"/>
  <c r="AH109" i="22" s="1"/>
  <c r="AI107" i="22"/>
  <c r="AH107" i="22" s="1"/>
  <c r="AI105" i="22"/>
  <c r="AH105" i="22" s="1"/>
  <c r="AI103" i="22"/>
  <c r="AH103" i="22" s="1"/>
  <c r="AG103" i="22" s="1"/>
  <c r="AF103" i="22" s="1"/>
  <c r="AD103" i="22" s="1"/>
  <c r="AI101" i="22"/>
  <c r="AH101" i="22" s="1"/>
  <c r="AI99" i="22"/>
  <c r="AH99" i="22" s="1"/>
  <c r="AI97" i="22"/>
  <c r="AH97" i="22" s="1"/>
  <c r="AI95" i="22"/>
  <c r="AH95" i="22" s="1"/>
  <c r="AI93" i="22"/>
  <c r="AH93" i="22" s="1"/>
  <c r="AG93" i="22" s="1"/>
  <c r="AF93" i="22" s="1"/>
  <c r="AD93" i="22" s="1"/>
  <c r="AI91" i="22"/>
  <c r="AH91" i="22" s="1"/>
  <c r="AG91" i="22" s="1"/>
  <c r="AF91" i="22" s="1"/>
  <c r="AD91" i="22" s="1"/>
  <c r="AI89" i="22"/>
  <c r="AH89" i="22" s="1"/>
  <c r="AG89" i="22" s="1"/>
  <c r="AF89" i="22" s="1"/>
  <c r="AD89" i="22" s="1"/>
  <c r="AI87" i="22"/>
  <c r="AH87" i="22" s="1"/>
  <c r="AI85" i="22"/>
  <c r="AH85" i="22" s="1"/>
  <c r="AI83" i="22"/>
  <c r="AH83" i="22" s="1"/>
  <c r="AG83" i="22" s="1"/>
  <c r="AF83" i="22" s="1"/>
  <c r="AD83" i="22" s="1"/>
  <c r="AI81" i="22"/>
  <c r="AH81" i="22" s="1"/>
  <c r="AI79" i="22"/>
  <c r="AH79" i="22" s="1"/>
  <c r="AG79" i="22" s="1"/>
  <c r="AF79" i="22" s="1"/>
  <c r="AD79" i="22" s="1"/>
  <c r="AI77" i="22"/>
  <c r="AH77" i="22" s="1"/>
  <c r="AG77" i="22" s="1"/>
  <c r="AF77" i="22" s="1"/>
  <c r="AD77" i="22" s="1"/>
  <c r="AI75" i="22"/>
  <c r="AH75" i="22" s="1"/>
  <c r="AI73" i="22"/>
  <c r="AH73" i="22" s="1"/>
  <c r="AI71" i="22"/>
  <c r="AH71" i="22" s="1"/>
  <c r="AI69" i="22"/>
  <c r="AH69" i="22" s="1"/>
  <c r="AI67" i="22"/>
  <c r="AH67" i="22" s="1"/>
  <c r="AG67" i="22" s="1"/>
  <c r="AF67" i="22" s="1"/>
  <c r="AD67" i="22" s="1"/>
  <c r="AI65" i="22"/>
  <c r="AH65" i="22" s="1"/>
  <c r="AG65" i="22" s="1"/>
  <c r="AF65" i="22" s="1"/>
  <c r="AD65" i="22" s="1"/>
  <c r="AI63" i="22"/>
  <c r="AH63" i="22" s="1"/>
  <c r="AG63" i="22" s="1"/>
  <c r="AF63" i="22" s="1"/>
  <c r="AD63" i="22" s="1"/>
  <c r="AI61" i="22"/>
  <c r="AH61" i="22" s="1"/>
  <c r="AI59" i="22"/>
  <c r="AH59" i="22" s="1"/>
  <c r="AI57" i="22"/>
  <c r="AH57" i="22" s="1"/>
  <c r="AG57" i="22" s="1"/>
  <c r="AF57" i="22" s="1"/>
  <c r="AD57" i="22" s="1"/>
  <c r="AI55" i="22"/>
  <c r="AH55" i="22" s="1"/>
  <c r="AG55" i="22" s="1"/>
  <c r="AF55" i="22" s="1"/>
  <c r="AD55" i="22" s="1"/>
  <c r="AI53" i="22"/>
  <c r="AH53" i="22" s="1"/>
  <c r="AI51" i="22"/>
  <c r="AH51" i="22" s="1"/>
  <c r="AI49" i="22"/>
  <c r="AH49" i="22" s="1"/>
  <c r="AG49" i="22" s="1"/>
  <c r="AF49" i="22" s="1"/>
  <c r="AD49" i="22" s="1"/>
  <c r="AI47" i="22"/>
  <c r="AH47" i="22" s="1"/>
  <c r="AG47" i="22" s="1"/>
  <c r="AF47" i="22" s="1"/>
  <c r="AD47" i="22" s="1"/>
  <c r="AI45" i="22"/>
  <c r="AH45" i="22" s="1"/>
  <c r="AG45" i="22" s="1"/>
  <c r="AF45" i="22" s="1"/>
  <c r="AD45" i="22" s="1"/>
  <c r="AI43" i="22"/>
  <c r="AH43" i="22" s="1"/>
  <c r="AI41" i="22"/>
  <c r="AH41" i="22" s="1"/>
  <c r="AG41" i="22" s="1"/>
  <c r="AF41" i="22" s="1"/>
  <c r="AD41" i="22" s="1"/>
  <c r="AI39" i="22"/>
  <c r="AH39" i="22" s="1"/>
  <c r="AG39" i="22" s="1"/>
  <c r="AF39" i="22" s="1"/>
  <c r="AD39" i="22" s="1"/>
  <c r="AI37" i="22"/>
  <c r="AH37" i="22" s="1"/>
  <c r="AI35" i="22"/>
  <c r="AH35" i="22" s="1"/>
  <c r="AI33" i="22"/>
  <c r="AH33" i="22" s="1"/>
  <c r="AG33" i="22" s="1"/>
  <c r="AF33" i="22" s="1"/>
  <c r="AD33" i="22" s="1"/>
  <c r="AI31" i="22"/>
  <c r="AH31" i="22" s="1"/>
  <c r="AI29" i="22"/>
  <c r="AH29" i="22" s="1"/>
  <c r="AG29" i="22" s="1"/>
  <c r="AF29" i="22" s="1"/>
  <c r="AD29" i="22" s="1"/>
  <c r="AI27" i="22"/>
  <c r="AH27" i="22" s="1"/>
  <c r="AI25" i="22"/>
  <c r="AH25" i="22" s="1"/>
  <c r="AG25" i="22" s="1"/>
  <c r="AF25" i="22" s="1"/>
  <c r="AD25" i="22" s="1"/>
  <c r="AI23" i="22"/>
  <c r="AH23" i="22" s="1"/>
  <c r="AI18" i="22"/>
  <c r="AH18" i="22" s="1"/>
  <c r="AG18" i="22" s="1"/>
  <c r="AF18" i="22" s="1"/>
  <c r="AD18" i="22" s="1"/>
  <c r="AI15" i="22"/>
  <c r="AI21" i="22"/>
  <c r="AH21" i="22" s="1"/>
  <c r="AI17" i="22"/>
  <c r="AH17" i="22" s="1"/>
  <c r="J258" i="18"/>
  <c r="C258" i="6" s="1"/>
  <c r="I258" i="18"/>
  <c r="B258" i="6" s="1"/>
  <c r="BA258" i="6" s="1"/>
  <c r="D258" i="6" s="1"/>
  <c r="X4" i="6"/>
  <c r="D155" i="6"/>
  <c r="U379" i="22"/>
  <c r="U377" i="22"/>
  <c r="T377" i="22" s="1"/>
  <c r="S377" i="22" s="1"/>
  <c r="R377" i="22" s="1"/>
  <c r="P377" i="22" s="1"/>
  <c r="V377" i="22" s="1"/>
  <c r="B377" i="22" s="1"/>
  <c r="U375" i="22"/>
  <c r="T375" i="22" s="1"/>
  <c r="U373" i="22"/>
  <c r="T373" i="22" s="1"/>
  <c r="S373" i="22" s="1"/>
  <c r="R373" i="22" s="1"/>
  <c r="P373" i="22" s="1"/>
  <c r="V373" i="22" s="1"/>
  <c r="B373" i="22" s="1"/>
  <c r="U371" i="22"/>
  <c r="T371" i="22" s="1"/>
  <c r="U369" i="22"/>
  <c r="T369" i="22" s="1"/>
  <c r="S369" i="22" s="1"/>
  <c r="R369" i="22" s="1"/>
  <c r="P369" i="22" s="1"/>
  <c r="V369" i="22" s="1"/>
  <c r="B369" i="22" s="1"/>
  <c r="U367" i="22"/>
  <c r="T367" i="22" s="1"/>
  <c r="S367" i="22" s="1"/>
  <c r="R367" i="22" s="1"/>
  <c r="P367" i="22" s="1"/>
  <c r="V367" i="22" s="1"/>
  <c r="B367" i="22" s="1"/>
  <c r="U365" i="22"/>
  <c r="T365" i="22" s="1"/>
  <c r="U363" i="22"/>
  <c r="T363" i="22" s="1"/>
  <c r="S363" i="22" s="1"/>
  <c r="R363" i="22" s="1"/>
  <c r="P363" i="22" s="1"/>
  <c r="U361" i="22"/>
  <c r="T361" i="22" s="1"/>
  <c r="U359" i="22"/>
  <c r="T359" i="22" s="1"/>
  <c r="S359" i="22" s="1"/>
  <c r="R359" i="22" s="1"/>
  <c r="P359" i="22" s="1"/>
  <c r="V359" i="22" s="1"/>
  <c r="B359" i="22" s="1"/>
  <c r="U357" i="22"/>
  <c r="T357" i="22" s="1"/>
  <c r="U355" i="22"/>
  <c r="T355" i="22" s="1"/>
  <c r="S355" i="22" s="1"/>
  <c r="R355" i="22" s="1"/>
  <c r="P355" i="22" s="1"/>
  <c r="V355" i="22" s="1"/>
  <c r="B355" i="22" s="1"/>
  <c r="U353" i="22"/>
  <c r="T353" i="22" s="1"/>
  <c r="U351" i="22"/>
  <c r="T351" i="22" s="1"/>
  <c r="U349" i="22"/>
  <c r="T349" i="22" s="1"/>
  <c r="U347" i="22"/>
  <c r="T347" i="22" s="1"/>
  <c r="S347" i="22" s="1"/>
  <c r="R347" i="22" s="1"/>
  <c r="P347" i="22" s="1"/>
  <c r="V347" i="22" s="1"/>
  <c r="B347" i="22" s="1"/>
  <c r="U345" i="22"/>
  <c r="T345" i="22" s="1"/>
  <c r="S345" i="22" s="1"/>
  <c r="R345" i="22" s="1"/>
  <c r="P345" i="22" s="1"/>
  <c r="V345" i="22" s="1"/>
  <c r="B345" i="22" s="1"/>
  <c r="U343" i="22"/>
  <c r="T343" i="22" s="1"/>
  <c r="S343" i="22" s="1"/>
  <c r="R343" i="22" s="1"/>
  <c r="P343" i="22" s="1"/>
  <c r="V343" i="22" s="1"/>
  <c r="B343" i="22" s="1"/>
  <c r="U341" i="22"/>
  <c r="T341" i="22" s="1"/>
  <c r="U339" i="22"/>
  <c r="T339" i="22" s="1"/>
  <c r="S339" i="22" s="1"/>
  <c r="R339" i="22" s="1"/>
  <c r="P339" i="22" s="1"/>
  <c r="V339" i="22" s="1"/>
  <c r="B339" i="22" s="1"/>
  <c r="U337" i="22"/>
  <c r="T337" i="22" s="1"/>
  <c r="U335" i="22"/>
  <c r="T335" i="22" s="1"/>
  <c r="U333" i="22"/>
  <c r="T333" i="22" s="1"/>
  <c r="S333" i="22" s="1"/>
  <c r="R333" i="22" s="1"/>
  <c r="P333" i="22" s="1"/>
  <c r="U331" i="22"/>
  <c r="T331" i="22" s="1"/>
  <c r="U329" i="22"/>
  <c r="T329" i="22" s="1"/>
  <c r="S329" i="22" s="1"/>
  <c r="R329" i="22" s="1"/>
  <c r="P329" i="22" s="1"/>
  <c r="V329" i="22" s="1"/>
  <c r="B329" i="22" s="1"/>
  <c r="U327" i="22"/>
  <c r="T327" i="22" s="1"/>
  <c r="S327" i="22" s="1"/>
  <c r="R327" i="22" s="1"/>
  <c r="P327" i="22" s="1"/>
  <c r="V327" i="22" s="1"/>
  <c r="B327" i="22" s="1"/>
  <c r="U325" i="22"/>
  <c r="T325" i="22" s="1"/>
  <c r="S325" i="22" s="1"/>
  <c r="R325" i="22" s="1"/>
  <c r="P325" i="22" s="1"/>
  <c r="V325" i="22" s="1"/>
  <c r="B325" i="22" s="1"/>
  <c r="U323" i="22"/>
  <c r="T323" i="22" s="1"/>
  <c r="U321" i="22"/>
  <c r="T321" i="22" s="1"/>
  <c r="S321" i="22" s="1"/>
  <c r="R321" i="22" s="1"/>
  <c r="P321" i="22" s="1"/>
  <c r="V321" i="22" s="1"/>
  <c r="B321" i="22" s="1"/>
  <c r="U319" i="22"/>
  <c r="T319" i="22" s="1"/>
  <c r="S319" i="22" s="1"/>
  <c r="R319" i="22" s="1"/>
  <c r="P319" i="22" s="1"/>
  <c r="V319" i="22" s="1"/>
  <c r="U317" i="22"/>
  <c r="T317" i="22" s="1"/>
  <c r="U315" i="22"/>
  <c r="T315" i="22" s="1"/>
  <c r="U313" i="22"/>
  <c r="T313" i="22" s="1"/>
  <c r="S313" i="22" s="1"/>
  <c r="R313" i="22" s="1"/>
  <c r="P313" i="22" s="1"/>
  <c r="V313" i="22" s="1"/>
  <c r="B313" i="22" s="1"/>
  <c r="U311" i="22"/>
  <c r="T311" i="22" s="1"/>
  <c r="S311" i="22" s="1"/>
  <c r="R311" i="22" s="1"/>
  <c r="P311" i="22" s="1"/>
  <c r="V311" i="22" s="1"/>
  <c r="B311" i="22" s="1"/>
  <c r="U309" i="22"/>
  <c r="T309" i="22" s="1"/>
  <c r="U307" i="22"/>
  <c r="T307" i="22" s="1"/>
  <c r="S307" i="22" s="1"/>
  <c r="R307" i="22" s="1"/>
  <c r="P307" i="22" s="1"/>
  <c r="V307" i="22" s="1"/>
  <c r="B307" i="22" s="1"/>
  <c r="U305" i="22"/>
  <c r="T305" i="22" s="1"/>
  <c r="S305" i="22" s="1"/>
  <c r="R305" i="22" s="1"/>
  <c r="P305" i="22" s="1"/>
  <c r="V305" i="22" s="1"/>
  <c r="B305" i="22" s="1"/>
  <c r="U303" i="22"/>
  <c r="T303" i="22" s="1"/>
  <c r="U301" i="22"/>
  <c r="T301" i="22" s="1"/>
  <c r="S301" i="22" s="1"/>
  <c r="R301" i="22" s="1"/>
  <c r="P301" i="22" s="1"/>
  <c r="V301" i="22" s="1"/>
  <c r="B301" i="22" s="1"/>
  <c r="U299" i="22"/>
  <c r="T299" i="22" s="1"/>
  <c r="S299" i="22" s="1"/>
  <c r="R299" i="22" s="1"/>
  <c r="P299" i="22" s="1"/>
  <c r="V299" i="22" s="1"/>
  <c r="B299" i="22" s="1"/>
  <c r="U297" i="22"/>
  <c r="T297" i="22" s="1"/>
  <c r="U295" i="22"/>
  <c r="T295" i="22" s="1"/>
  <c r="U293" i="22"/>
  <c r="T293" i="22" s="1"/>
  <c r="S293" i="22" s="1"/>
  <c r="R293" i="22" s="1"/>
  <c r="P293" i="22" s="1"/>
  <c r="V293" i="22" s="1"/>
  <c r="B293" i="22" s="1"/>
  <c r="U291" i="22"/>
  <c r="T291" i="22" s="1"/>
  <c r="S291" i="22" s="1"/>
  <c r="R291" i="22" s="1"/>
  <c r="P291" i="22" s="1"/>
  <c r="V291" i="22" s="1"/>
  <c r="B291" i="22" s="1"/>
  <c r="U289" i="22"/>
  <c r="T289" i="22" s="1"/>
  <c r="S289" i="22" s="1"/>
  <c r="R289" i="22" s="1"/>
  <c r="P289" i="22" s="1"/>
  <c r="V289" i="22" s="1"/>
  <c r="B289" i="22" s="1"/>
  <c r="U287" i="22"/>
  <c r="T287" i="22" s="1"/>
  <c r="U285" i="22"/>
  <c r="T285" i="22" s="1"/>
  <c r="S285" i="22" s="1"/>
  <c r="R285" i="22" s="1"/>
  <c r="P285" i="22" s="1"/>
  <c r="V285" i="22" s="1"/>
  <c r="B285" i="22" s="1"/>
  <c r="U283" i="22"/>
  <c r="T283" i="22" s="1"/>
  <c r="S283" i="22" s="1"/>
  <c r="R283" i="22" s="1"/>
  <c r="P283" i="22" s="1"/>
  <c r="V283" i="22" s="1"/>
  <c r="B283" i="22" s="1"/>
  <c r="U281" i="22"/>
  <c r="T281" i="22" s="1"/>
  <c r="S281" i="22" s="1"/>
  <c r="R281" i="22" s="1"/>
  <c r="P281" i="22" s="1"/>
  <c r="V281" i="22" s="1"/>
  <c r="B281" i="22" s="1"/>
  <c r="U279" i="22"/>
  <c r="T279" i="22" s="1"/>
  <c r="S279" i="22" s="1"/>
  <c r="R279" i="22" s="1"/>
  <c r="P279" i="22" s="1"/>
  <c r="V279" i="22" s="1"/>
  <c r="B279" i="22" s="1"/>
  <c r="U277" i="22"/>
  <c r="T277" i="22" s="1"/>
  <c r="S277" i="22" s="1"/>
  <c r="R277" i="22" s="1"/>
  <c r="P277" i="22" s="1"/>
  <c r="V277" i="22" s="1"/>
  <c r="B277" i="22" s="1"/>
  <c r="U275" i="22"/>
  <c r="T275" i="22" s="1"/>
  <c r="S275" i="22" s="1"/>
  <c r="R275" i="22" s="1"/>
  <c r="P275" i="22" s="1"/>
  <c r="V275" i="22" s="1"/>
  <c r="B275" i="22" s="1"/>
  <c r="U273" i="22"/>
  <c r="T273" i="22" s="1"/>
  <c r="U271" i="22"/>
  <c r="T271" i="22" s="1"/>
  <c r="U269" i="22"/>
  <c r="T269" i="22" s="1"/>
  <c r="U267" i="22"/>
  <c r="T267" i="22" s="1"/>
  <c r="S267" i="22" s="1"/>
  <c r="R267" i="22" s="1"/>
  <c r="P267" i="22" s="1"/>
  <c r="V267" i="22" s="1"/>
  <c r="B267" i="22" s="1"/>
  <c r="U265" i="22"/>
  <c r="T265" i="22" s="1"/>
  <c r="S265" i="22" s="1"/>
  <c r="R265" i="22" s="1"/>
  <c r="P265" i="22" s="1"/>
  <c r="V265" i="22" s="1"/>
  <c r="B265" i="22" s="1"/>
  <c r="U263" i="22"/>
  <c r="T263" i="22" s="1"/>
  <c r="S263" i="22" s="1"/>
  <c r="R263" i="22" s="1"/>
  <c r="P263" i="22" s="1"/>
  <c r="V263" i="22" s="1"/>
  <c r="B263" i="22" s="1"/>
  <c r="U261" i="22"/>
  <c r="T261" i="22" s="1"/>
  <c r="U259" i="22"/>
  <c r="T259" i="22" s="1"/>
  <c r="S259" i="22" s="1"/>
  <c r="R259" i="22" s="1"/>
  <c r="P259" i="22" s="1"/>
  <c r="V259" i="22" s="1"/>
  <c r="B259" i="22" s="1"/>
  <c r="U257" i="22"/>
  <c r="T257" i="22" s="1"/>
  <c r="U255" i="22"/>
  <c r="T255" i="22" s="1"/>
  <c r="S255" i="22" s="1"/>
  <c r="R255" i="22" s="1"/>
  <c r="P255" i="22" s="1"/>
  <c r="V255" i="22" s="1"/>
  <c r="B255" i="22" s="1"/>
  <c r="U253" i="22"/>
  <c r="T253" i="22" s="1"/>
  <c r="S253" i="22" s="1"/>
  <c r="R253" i="22" s="1"/>
  <c r="P253" i="22" s="1"/>
  <c r="V253" i="22" s="1"/>
  <c r="B253" i="22" s="1"/>
  <c r="U251" i="22"/>
  <c r="T251" i="22" s="1"/>
  <c r="U249" i="22"/>
  <c r="T249" i="22" s="1"/>
  <c r="S249" i="22" s="1"/>
  <c r="R249" i="22" s="1"/>
  <c r="P249" i="22" s="1"/>
  <c r="V249" i="22" s="1"/>
  <c r="B249" i="22" s="1"/>
  <c r="U247" i="22"/>
  <c r="T247" i="22" s="1"/>
  <c r="S247" i="22" s="1"/>
  <c r="R247" i="22" s="1"/>
  <c r="P247" i="22" s="1"/>
  <c r="V247" i="22" s="1"/>
  <c r="B247" i="22" s="1"/>
  <c r="U245" i="22"/>
  <c r="T245" i="22" s="1"/>
  <c r="U243" i="22"/>
  <c r="T243" i="22" s="1"/>
  <c r="S243" i="22" s="1"/>
  <c r="R243" i="22" s="1"/>
  <c r="P243" i="22" s="1"/>
  <c r="V243" i="22" s="1"/>
  <c r="B243" i="22" s="1"/>
  <c r="U241" i="22"/>
  <c r="T241" i="22" s="1"/>
  <c r="S241" i="22" s="1"/>
  <c r="R241" i="22" s="1"/>
  <c r="P241" i="22" s="1"/>
  <c r="U239" i="22"/>
  <c r="T239" i="22" s="1"/>
  <c r="U237" i="22"/>
  <c r="T237" i="22" s="1"/>
  <c r="U235" i="22"/>
  <c r="T235" i="22" s="1"/>
  <c r="S235" i="22" s="1"/>
  <c r="R235" i="22" s="1"/>
  <c r="P235" i="22" s="1"/>
  <c r="V235" i="22" s="1"/>
  <c r="B235" i="22" s="1"/>
  <c r="U233" i="22"/>
  <c r="T233" i="22" s="1"/>
  <c r="S233" i="22" s="1"/>
  <c r="R233" i="22" s="1"/>
  <c r="P233" i="22" s="1"/>
  <c r="V233" i="22" s="1"/>
  <c r="B233" i="22" s="1"/>
  <c r="U231" i="22"/>
  <c r="T231" i="22" s="1"/>
  <c r="S231" i="22" s="1"/>
  <c r="R231" i="22" s="1"/>
  <c r="P231" i="22" s="1"/>
  <c r="V231" i="22" s="1"/>
  <c r="B231" i="22" s="1"/>
  <c r="U229" i="22"/>
  <c r="T229" i="22" s="1"/>
  <c r="S229" i="22" s="1"/>
  <c r="R229" i="22" s="1"/>
  <c r="P229" i="22" s="1"/>
  <c r="V229" i="22" s="1"/>
  <c r="B229" i="22" s="1"/>
  <c r="U227" i="22"/>
  <c r="T227" i="22" s="1"/>
  <c r="U225" i="22"/>
  <c r="T225" i="22" s="1"/>
  <c r="S225" i="22" s="1"/>
  <c r="R225" i="22" s="1"/>
  <c r="P225" i="22" s="1"/>
  <c r="V225" i="22" s="1"/>
  <c r="B225" i="22" s="1"/>
  <c r="U223" i="22"/>
  <c r="T223" i="22" s="1"/>
  <c r="S223" i="22" s="1"/>
  <c r="R223" i="22" s="1"/>
  <c r="P223" i="22" s="1"/>
  <c r="V223" i="22" s="1"/>
  <c r="B223" i="22" s="1"/>
  <c r="U221" i="22"/>
  <c r="T221" i="22" s="1"/>
  <c r="S221" i="22" s="1"/>
  <c r="R221" i="22" s="1"/>
  <c r="P221" i="22" s="1"/>
  <c r="V221" i="22" s="1"/>
  <c r="B221" i="22" s="1"/>
  <c r="U219" i="22"/>
  <c r="T219" i="22" s="1"/>
  <c r="S219" i="22" s="1"/>
  <c r="R219" i="22" s="1"/>
  <c r="P219" i="22" s="1"/>
  <c r="V219" i="22" s="1"/>
  <c r="B219" i="22" s="1"/>
  <c r="U217" i="22"/>
  <c r="T217" i="22" s="1"/>
  <c r="U215" i="22"/>
  <c r="T215" i="22" s="1"/>
  <c r="S215" i="22" s="1"/>
  <c r="R215" i="22" s="1"/>
  <c r="P215" i="22" s="1"/>
  <c r="V215" i="22" s="1"/>
  <c r="B215" i="22" s="1"/>
  <c r="U213" i="22"/>
  <c r="T213" i="22" s="1"/>
  <c r="S213" i="22" s="1"/>
  <c r="R213" i="22" s="1"/>
  <c r="P213" i="22" s="1"/>
  <c r="V213" i="22" s="1"/>
  <c r="B213" i="22" s="1"/>
  <c r="U211" i="22"/>
  <c r="T211" i="22" s="1"/>
  <c r="U209" i="22"/>
  <c r="T209" i="22" s="1"/>
  <c r="U207" i="22"/>
  <c r="T207" i="22" s="1"/>
  <c r="S207" i="22" s="1"/>
  <c r="R207" i="22" s="1"/>
  <c r="P207" i="22" s="1"/>
  <c r="V207" i="22" s="1"/>
  <c r="B207" i="22" s="1"/>
  <c r="U205" i="22"/>
  <c r="T205" i="22" s="1"/>
  <c r="S205" i="22" s="1"/>
  <c r="R205" i="22" s="1"/>
  <c r="P205" i="22" s="1"/>
  <c r="V205" i="22" s="1"/>
  <c r="B205" i="22" s="1"/>
  <c r="U203" i="22"/>
  <c r="T203" i="22" s="1"/>
  <c r="U201" i="22"/>
  <c r="T201" i="22" s="1"/>
  <c r="S201" i="22" s="1"/>
  <c r="R201" i="22" s="1"/>
  <c r="P201" i="22" s="1"/>
  <c r="V201" i="22" s="1"/>
  <c r="B201" i="22" s="1"/>
  <c r="U199" i="22"/>
  <c r="T199" i="22" s="1"/>
  <c r="S199" i="22" s="1"/>
  <c r="R199" i="22" s="1"/>
  <c r="P199" i="22" s="1"/>
  <c r="V199" i="22" s="1"/>
  <c r="B199" i="22" s="1"/>
  <c r="U197" i="22"/>
  <c r="T197" i="22" s="1"/>
  <c r="S197" i="22" s="1"/>
  <c r="R197" i="22" s="1"/>
  <c r="P197" i="22" s="1"/>
  <c r="V197" i="22" s="1"/>
  <c r="B197" i="22" s="1"/>
  <c r="U195" i="22"/>
  <c r="T195" i="22" s="1"/>
  <c r="S195" i="22" s="1"/>
  <c r="R195" i="22" s="1"/>
  <c r="P195" i="22" s="1"/>
  <c r="V195" i="22" s="1"/>
  <c r="B195" i="22" s="1"/>
  <c r="U193" i="22"/>
  <c r="T193" i="22" s="1"/>
  <c r="U191" i="22"/>
  <c r="T191" i="22" s="1"/>
  <c r="S191" i="22" s="1"/>
  <c r="R191" i="22" s="1"/>
  <c r="P191" i="22" s="1"/>
  <c r="V191" i="22" s="1"/>
  <c r="B191" i="22" s="1"/>
  <c r="U189" i="22"/>
  <c r="T189" i="22" s="1"/>
  <c r="U187" i="22"/>
  <c r="T187" i="22" s="1"/>
  <c r="U185" i="22"/>
  <c r="T185" i="22" s="1"/>
  <c r="S185" i="22" s="1"/>
  <c r="R185" i="22" s="1"/>
  <c r="P185" i="22" s="1"/>
  <c r="V185" i="22" s="1"/>
  <c r="B185" i="22" s="1"/>
  <c r="U183" i="22"/>
  <c r="T183" i="22" s="1"/>
  <c r="S183" i="22" s="1"/>
  <c r="R183" i="22" s="1"/>
  <c r="P183" i="22" s="1"/>
  <c r="V183" i="22" s="1"/>
  <c r="B183" i="22" s="1"/>
  <c r="U181" i="22"/>
  <c r="T181" i="22" s="1"/>
  <c r="S181" i="22" s="1"/>
  <c r="R181" i="22" s="1"/>
  <c r="P181" i="22" s="1"/>
  <c r="V181" i="22" s="1"/>
  <c r="B181" i="22" s="1"/>
  <c r="U179" i="22"/>
  <c r="T179" i="22" s="1"/>
  <c r="U177" i="22"/>
  <c r="T177" i="22" s="1"/>
  <c r="S177" i="22" s="1"/>
  <c r="R177" i="22" s="1"/>
  <c r="P177" i="22" s="1"/>
  <c r="V177" i="22" s="1"/>
  <c r="B177" i="22" s="1"/>
  <c r="U175" i="22"/>
  <c r="T175" i="22" s="1"/>
  <c r="S175" i="22" s="1"/>
  <c r="R175" i="22" s="1"/>
  <c r="P175" i="22" s="1"/>
  <c r="V175" i="22" s="1"/>
  <c r="B175" i="22" s="1"/>
  <c r="U173" i="22"/>
  <c r="T173" i="22" s="1"/>
  <c r="S173" i="22" s="1"/>
  <c r="R173" i="22" s="1"/>
  <c r="P173" i="22" s="1"/>
  <c r="V173" i="22" s="1"/>
  <c r="B173" i="22" s="1"/>
  <c r="U171" i="22"/>
  <c r="T171" i="22" s="1"/>
  <c r="S171" i="22" s="1"/>
  <c r="R171" i="22" s="1"/>
  <c r="P171" i="22" s="1"/>
  <c r="V171" i="22" s="1"/>
  <c r="B171" i="22" s="1"/>
  <c r="U169" i="22"/>
  <c r="T169" i="22" s="1"/>
  <c r="U167" i="22"/>
  <c r="T167" i="22" s="1"/>
  <c r="U165" i="22"/>
  <c r="T165" i="22" s="1"/>
  <c r="S165" i="22" s="1"/>
  <c r="R165" i="22" s="1"/>
  <c r="P165" i="22" s="1"/>
  <c r="V165" i="22" s="1"/>
  <c r="B165" i="22" s="1"/>
  <c r="U163" i="22"/>
  <c r="T163" i="22" s="1"/>
  <c r="U161" i="22"/>
  <c r="T161" i="22" s="1"/>
  <c r="U159" i="22"/>
  <c r="T159" i="22" s="1"/>
  <c r="S159" i="22" s="1"/>
  <c r="R159" i="22" s="1"/>
  <c r="P159" i="22" s="1"/>
  <c r="V159" i="22" s="1"/>
  <c r="B159" i="22" s="1"/>
  <c r="U157" i="22"/>
  <c r="T157" i="22" s="1"/>
  <c r="S157" i="22" s="1"/>
  <c r="R157" i="22" s="1"/>
  <c r="P157" i="22" s="1"/>
  <c r="V157" i="22" s="1"/>
  <c r="B157" i="22" s="1"/>
  <c r="U155" i="22"/>
  <c r="T155" i="22" s="1"/>
  <c r="S155" i="22" s="1"/>
  <c r="R155" i="22" s="1"/>
  <c r="P155" i="22" s="1"/>
  <c r="V155" i="22" s="1"/>
  <c r="B155" i="22" s="1"/>
  <c r="U153" i="22"/>
  <c r="T153" i="22" s="1"/>
  <c r="S153" i="22" s="1"/>
  <c r="R153" i="22" s="1"/>
  <c r="P153" i="22" s="1"/>
  <c r="V153" i="22" s="1"/>
  <c r="B153" i="22" s="1"/>
  <c r="U151" i="22"/>
  <c r="T151" i="22" s="1"/>
  <c r="U149" i="22"/>
  <c r="T149" i="22" s="1"/>
  <c r="U147" i="22"/>
  <c r="T147" i="22" s="1"/>
  <c r="S147" i="22" s="1"/>
  <c r="R147" i="22" s="1"/>
  <c r="P147" i="22" s="1"/>
  <c r="V147" i="22" s="1"/>
  <c r="B147" i="22" s="1"/>
  <c r="U145" i="22"/>
  <c r="T145" i="22" s="1"/>
  <c r="U143" i="22"/>
  <c r="T143" i="22" s="1"/>
  <c r="S143" i="22" s="1"/>
  <c r="R143" i="22" s="1"/>
  <c r="P143" i="22" s="1"/>
  <c r="V143" i="22" s="1"/>
  <c r="B143" i="22" s="1"/>
  <c r="U141" i="22"/>
  <c r="T141" i="22" s="1"/>
  <c r="S141" i="22" s="1"/>
  <c r="R141" i="22" s="1"/>
  <c r="P141" i="22" s="1"/>
  <c r="V141" i="22" s="1"/>
  <c r="B141" i="22" s="1"/>
  <c r="U139" i="22"/>
  <c r="T139" i="22" s="1"/>
  <c r="U137" i="22"/>
  <c r="T137" i="22" s="1"/>
  <c r="U135" i="22"/>
  <c r="T135" i="22" s="1"/>
  <c r="U133" i="22"/>
  <c r="T133" i="22" s="1"/>
  <c r="S133" i="22" s="1"/>
  <c r="R133" i="22" s="1"/>
  <c r="P133" i="22" s="1"/>
  <c r="V133" i="22" s="1"/>
  <c r="B133" i="22" s="1"/>
  <c r="U131" i="22"/>
  <c r="T131" i="22" s="1"/>
  <c r="U129" i="22"/>
  <c r="T129" i="22" s="1"/>
  <c r="U127" i="22"/>
  <c r="T127" i="22" s="1"/>
  <c r="S127" i="22" s="1"/>
  <c r="R127" i="22" s="1"/>
  <c r="P127" i="22" s="1"/>
  <c r="V127" i="22" s="1"/>
  <c r="B127" i="22" s="1"/>
  <c r="U125" i="22"/>
  <c r="T125" i="22" s="1"/>
  <c r="U123" i="22"/>
  <c r="T123" i="22" s="1"/>
  <c r="U121" i="22"/>
  <c r="T121" i="22" s="1"/>
  <c r="U119" i="22"/>
  <c r="T119" i="22" s="1"/>
  <c r="U117" i="22"/>
  <c r="T117" i="22" s="1"/>
  <c r="S117" i="22" s="1"/>
  <c r="R117" i="22" s="1"/>
  <c r="P117" i="22" s="1"/>
  <c r="V117" i="22" s="1"/>
  <c r="B117" i="22" s="1"/>
  <c r="U115" i="22"/>
  <c r="T115" i="22" s="1"/>
  <c r="S115" i="22" s="1"/>
  <c r="R115" i="22" s="1"/>
  <c r="P115" i="22" s="1"/>
  <c r="V115" i="22" s="1"/>
  <c r="B115" i="22" s="1"/>
  <c r="U113" i="22"/>
  <c r="T113" i="22" s="1"/>
  <c r="U111" i="22"/>
  <c r="T111" i="22" s="1"/>
  <c r="U109" i="22"/>
  <c r="T109" i="22" s="1"/>
  <c r="U107" i="22"/>
  <c r="T107" i="22" s="1"/>
  <c r="S107" i="22" s="1"/>
  <c r="R107" i="22" s="1"/>
  <c r="P107" i="22" s="1"/>
  <c r="V107" i="22" s="1"/>
  <c r="B107" i="22" s="1"/>
  <c r="U105" i="22"/>
  <c r="T105" i="22" s="1"/>
  <c r="U103" i="22"/>
  <c r="T103" i="22" s="1"/>
  <c r="U101" i="22"/>
  <c r="T101" i="22" s="1"/>
  <c r="U99" i="22"/>
  <c r="T99" i="22" s="1"/>
  <c r="U97" i="22"/>
  <c r="T97" i="22" s="1"/>
  <c r="S97" i="22" s="1"/>
  <c r="R97" i="22" s="1"/>
  <c r="P97" i="22" s="1"/>
  <c r="V97" i="22" s="1"/>
  <c r="B97" i="22" s="1"/>
  <c r="U95" i="22"/>
  <c r="T95" i="22" s="1"/>
  <c r="U93" i="22"/>
  <c r="T93" i="22" s="1"/>
  <c r="S93" i="22" s="1"/>
  <c r="R93" i="22" s="1"/>
  <c r="P93" i="22" s="1"/>
  <c r="V93" i="22" s="1"/>
  <c r="B93" i="22" s="1"/>
  <c r="U91" i="22"/>
  <c r="T91" i="22" s="1"/>
  <c r="U89" i="22"/>
  <c r="T89" i="22" s="1"/>
  <c r="U87" i="22"/>
  <c r="T87" i="22" s="1"/>
  <c r="U85" i="22"/>
  <c r="T85" i="22" s="1"/>
  <c r="U83" i="22"/>
  <c r="T83" i="22" s="1"/>
  <c r="S83" i="22" s="1"/>
  <c r="R83" i="22" s="1"/>
  <c r="P83" i="22" s="1"/>
  <c r="V83" i="22" s="1"/>
  <c r="B83" i="22" s="1"/>
  <c r="U81" i="22"/>
  <c r="T81" i="22" s="1"/>
  <c r="S81" i="22" s="1"/>
  <c r="R81" i="22" s="1"/>
  <c r="P81" i="22" s="1"/>
  <c r="V81" i="22" s="1"/>
  <c r="B81" i="22" s="1"/>
  <c r="U79" i="22"/>
  <c r="T79" i="22" s="1"/>
  <c r="U77" i="22"/>
  <c r="T77" i="22" s="1"/>
  <c r="S77" i="22" s="1"/>
  <c r="R77" i="22" s="1"/>
  <c r="P77" i="22" s="1"/>
  <c r="V77" i="22" s="1"/>
  <c r="B77" i="22" s="1"/>
  <c r="U75" i="22"/>
  <c r="T75" i="22" s="1"/>
  <c r="U73" i="22"/>
  <c r="T73" i="22" s="1"/>
  <c r="U71" i="22"/>
  <c r="T71" i="22" s="1"/>
  <c r="U69" i="22"/>
  <c r="T69" i="22" s="1"/>
  <c r="S69" i="22" s="1"/>
  <c r="R69" i="22" s="1"/>
  <c r="P69" i="22" s="1"/>
  <c r="V69" i="22" s="1"/>
  <c r="B69" i="22" s="1"/>
  <c r="U67" i="22"/>
  <c r="T67" i="22" s="1"/>
  <c r="S67" i="22" s="1"/>
  <c r="R67" i="22" s="1"/>
  <c r="P67" i="22" s="1"/>
  <c r="V67" i="22" s="1"/>
  <c r="B67" i="22" s="1"/>
  <c r="U65" i="22"/>
  <c r="T65" i="22" s="1"/>
  <c r="S65" i="22" s="1"/>
  <c r="R65" i="22" s="1"/>
  <c r="P65" i="22" s="1"/>
  <c r="V65" i="22" s="1"/>
  <c r="B65" i="22" s="1"/>
  <c r="U63" i="22"/>
  <c r="T63" i="22" s="1"/>
  <c r="U61" i="22"/>
  <c r="T61" i="22" s="1"/>
  <c r="U59" i="22"/>
  <c r="T59" i="22" s="1"/>
  <c r="U57" i="22"/>
  <c r="T57" i="22" s="1"/>
  <c r="U55" i="22"/>
  <c r="T55" i="22" s="1"/>
  <c r="U53" i="22"/>
  <c r="T53" i="22" s="1"/>
  <c r="S53" i="22" s="1"/>
  <c r="R53" i="22" s="1"/>
  <c r="P53" i="22" s="1"/>
  <c r="V53" i="22" s="1"/>
  <c r="B53" i="22" s="1"/>
  <c r="U51" i="22"/>
  <c r="T51" i="22" s="1"/>
  <c r="U49" i="22"/>
  <c r="T49" i="22" s="1"/>
  <c r="S49" i="22" s="1"/>
  <c r="R49" i="22" s="1"/>
  <c r="P49" i="22" s="1"/>
  <c r="V49" i="22" s="1"/>
  <c r="B49" i="22" s="1"/>
  <c r="U47" i="22"/>
  <c r="T47" i="22" s="1"/>
  <c r="S47" i="22" s="1"/>
  <c r="R47" i="22" s="1"/>
  <c r="P47" i="22" s="1"/>
  <c r="V47" i="22" s="1"/>
  <c r="B47" i="22" s="1"/>
  <c r="U45" i="22"/>
  <c r="T45" i="22" s="1"/>
  <c r="U43" i="22"/>
  <c r="T43" i="22" s="1"/>
  <c r="S43" i="22" s="1"/>
  <c r="R43" i="22" s="1"/>
  <c r="P43" i="22" s="1"/>
  <c r="V43" i="22" s="1"/>
  <c r="B43" i="22" s="1"/>
  <c r="U41" i="22"/>
  <c r="T41" i="22" s="1"/>
  <c r="S41" i="22" s="1"/>
  <c r="R41" i="22" s="1"/>
  <c r="P41" i="22" s="1"/>
  <c r="V41" i="22" s="1"/>
  <c r="B41" i="22" s="1"/>
  <c r="U39" i="22"/>
  <c r="T39" i="22" s="1"/>
  <c r="S39" i="22" s="1"/>
  <c r="R39" i="22" s="1"/>
  <c r="P39" i="22" s="1"/>
  <c r="V39" i="22" s="1"/>
  <c r="B39" i="22" s="1"/>
  <c r="U37" i="22"/>
  <c r="T37" i="22" s="1"/>
  <c r="U35" i="22"/>
  <c r="T35" i="22" s="1"/>
  <c r="S35" i="22" s="1"/>
  <c r="R35" i="22" s="1"/>
  <c r="P35" i="22" s="1"/>
  <c r="V35" i="22" s="1"/>
  <c r="B35" i="22" s="1"/>
  <c r="U33" i="22"/>
  <c r="T33" i="22" s="1"/>
  <c r="U31" i="22"/>
  <c r="T31" i="22" s="1"/>
  <c r="S31" i="22" s="1"/>
  <c r="R31" i="22" s="1"/>
  <c r="P31" i="22" s="1"/>
  <c r="V31" i="22" s="1"/>
  <c r="B31" i="22" s="1"/>
  <c r="U29" i="22"/>
  <c r="T29" i="22" s="1"/>
  <c r="U27" i="22"/>
  <c r="T27" i="22" s="1"/>
  <c r="U25" i="22"/>
  <c r="T25" i="22" s="1"/>
  <c r="S25" i="22" s="1"/>
  <c r="R25" i="22" s="1"/>
  <c r="P25" i="22" s="1"/>
  <c r="V25" i="22" s="1"/>
  <c r="B25" i="22" s="1"/>
  <c r="U16" i="22"/>
  <c r="T16" i="22" s="1"/>
  <c r="U23" i="22"/>
  <c r="T23" i="22" s="1"/>
  <c r="U19" i="22"/>
  <c r="T19" i="22" s="1"/>
  <c r="U20" i="22"/>
  <c r="T20" i="22" s="1"/>
  <c r="S20" i="22" s="1"/>
  <c r="R20" i="22" s="1"/>
  <c r="P20" i="22" s="1"/>
  <c r="V20" i="22" s="1"/>
  <c r="B20" i="22" s="1"/>
  <c r="U22" i="22"/>
  <c r="T22" i="22" s="1"/>
  <c r="S22" i="22" s="1"/>
  <c r="R22" i="22" s="1"/>
  <c r="P22" i="22" s="1"/>
  <c r="V22" i="22" s="1"/>
  <c r="B22" i="22" s="1"/>
  <c r="H369" i="20"/>
  <c r="I367" i="20"/>
  <c r="J367" i="20"/>
  <c r="H345" i="20"/>
  <c r="I335" i="20"/>
  <c r="J335" i="20"/>
  <c r="H267" i="20"/>
  <c r="H239" i="20"/>
  <c r="H231" i="20"/>
  <c r="I169" i="20"/>
  <c r="J169" i="20"/>
  <c r="H161" i="20"/>
  <c r="H151" i="20"/>
  <c r="H143" i="20"/>
  <c r="H93" i="20"/>
  <c r="J227" i="18"/>
  <c r="C227" i="6" s="1"/>
  <c r="I227" i="18"/>
  <c r="B227" i="6" s="1"/>
  <c r="BA227" i="6" s="1"/>
  <c r="D227" i="6" s="1"/>
  <c r="I135" i="18"/>
  <c r="B135" i="6" s="1"/>
  <c r="BA135" i="6" s="1"/>
  <c r="D135" i="6" s="1"/>
  <c r="J135" i="18"/>
  <c r="C135" i="6" s="1"/>
  <c r="I46" i="18"/>
  <c r="B46" i="6" s="1"/>
  <c r="BA46" i="6" s="1"/>
  <c r="J46" i="18"/>
  <c r="C46" i="6" s="1"/>
  <c r="G372" i="20"/>
  <c r="CB372" i="6" s="1"/>
  <c r="H372" i="20"/>
  <c r="AA372" i="20"/>
  <c r="Z372" i="20" s="1"/>
  <c r="Y372" i="20" s="1"/>
  <c r="H364" i="20"/>
  <c r="AA364" i="20"/>
  <c r="Z364" i="20" s="1"/>
  <c r="Y364" i="20" s="1"/>
  <c r="G364" i="20"/>
  <c r="CB364" i="6" s="1"/>
  <c r="AA354" i="20"/>
  <c r="Z354" i="20" s="1"/>
  <c r="Y354" i="20" s="1"/>
  <c r="H354" i="20"/>
  <c r="G354" i="20"/>
  <c r="CB354" i="6" s="1"/>
  <c r="AA342" i="20"/>
  <c r="Z342" i="20" s="1"/>
  <c r="Y342" i="20" s="1"/>
  <c r="G342" i="20"/>
  <c r="CB342" i="6" s="1"/>
  <c r="H342" i="20"/>
  <c r="AA328" i="20"/>
  <c r="Z328" i="20" s="1"/>
  <c r="Y328" i="20" s="1"/>
  <c r="H328" i="20"/>
  <c r="G328" i="20"/>
  <c r="CB328" i="6" s="1"/>
  <c r="AA318" i="20"/>
  <c r="Z318" i="20" s="1"/>
  <c r="Y318" i="20" s="1"/>
  <c r="G318" i="20"/>
  <c r="CB318" i="6" s="1"/>
  <c r="H318" i="20"/>
  <c r="AA312" i="20"/>
  <c r="Z312" i="20" s="1"/>
  <c r="Y312" i="20" s="1"/>
  <c r="G312" i="20"/>
  <c r="CB312" i="6" s="1"/>
  <c r="H312" i="20"/>
  <c r="AA276" i="20"/>
  <c r="Z276" i="20" s="1"/>
  <c r="Y276" i="20" s="1"/>
  <c r="G276" i="20"/>
  <c r="CB276" i="6" s="1"/>
  <c r="H276" i="20"/>
  <c r="AA256" i="20"/>
  <c r="Z256" i="20" s="1"/>
  <c r="Y256" i="20" s="1"/>
  <c r="H256" i="20"/>
  <c r="G256" i="20"/>
  <c r="CB256" i="6" s="1"/>
  <c r="AA250" i="20"/>
  <c r="Z250" i="20" s="1"/>
  <c r="Y250" i="20" s="1"/>
  <c r="G250" i="20"/>
  <c r="CB250" i="6" s="1"/>
  <c r="H250" i="20"/>
  <c r="G242" i="20"/>
  <c r="CB242" i="6" s="1"/>
  <c r="AA242" i="20"/>
  <c r="Z242" i="20" s="1"/>
  <c r="Y242" i="20" s="1"/>
  <c r="H242" i="20"/>
  <c r="G236" i="20"/>
  <c r="CB236" i="6" s="1"/>
  <c r="AA236" i="20"/>
  <c r="Z236" i="20" s="1"/>
  <c r="Y236" i="20" s="1"/>
  <c r="H236" i="20"/>
  <c r="AA212" i="20"/>
  <c r="Z212" i="20" s="1"/>
  <c r="Y212" i="20" s="1"/>
  <c r="G212" i="20"/>
  <c r="CB212" i="6" s="1"/>
  <c r="H212" i="20"/>
  <c r="H206" i="20"/>
  <c r="G206" i="20"/>
  <c r="CB206" i="6" s="1"/>
  <c r="AA206" i="20"/>
  <c r="Z206" i="20" s="1"/>
  <c r="Y206" i="20" s="1"/>
  <c r="G202" i="20"/>
  <c r="CB202" i="6" s="1"/>
  <c r="AA202" i="20"/>
  <c r="Z202" i="20" s="1"/>
  <c r="Y202" i="20" s="1"/>
  <c r="H202" i="20"/>
  <c r="H188" i="20"/>
  <c r="G188" i="20"/>
  <c r="CB188" i="6" s="1"/>
  <c r="AA188" i="20"/>
  <c r="Z188" i="20" s="1"/>
  <c r="Y188" i="20" s="1"/>
  <c r="AA184" i="20"/>
  <c r="Z184" i="20" s="1"/>
  <c r="Y184" i="20" s="1"/>
  <c r="G184" i="20"/>
  <c r="CB184" i="6" s="1"/>
  <c r="H184" i="20"/>
  <c r="AA176" i="20"/>
  <c r="Z176" i="20" s="1"/>
  <c r="Y176" i="20" s="1"/>
  <c r="H176" i="20"/>
  <c r="G176" i="20"/>
  <c r="CB176" i="6" s="1"/>
  <c r="AA162" i="20"/>
  <c r="Z162" i="20" s="1"/>
  <c r="Y162" i="20" s="1"/>
  <c r="G162" i="20"/>
  <c r="CB162" i="6" s="1"/>
  <c r="H162" i="20"/>
  <c r="G146" i="20"/>
  <c r="CB146" i="6" s="1"/>
  <c r="H146" i="20"/>
  <c r="AA146" i="20"/>
  <c r="Z146" i="20" s="1"/>
  <c r="Y146" i="20" s="1"/>
  <c r="G126" i="20"/>
  <c r="CB126" i="6" s="1"/>
  <c r="AA126" i="20"/>
  <c r="Z126" i="20" s="1"/>
  <c r="Y126" i="20" s="1"/>
  <c r="H126" i="20"/>
  <c r="G118" i="20"/>
  <c r="CB118" i="6" s="1"/>
  <c r="AA118" i="20"/>
  <c r="Z118" i="20" s="1"/>
  <c r="Y118" i="20" s="1"/>
  <c r="H118" i="20"/>
  <c r="G108" i="20"/>
  <c r="CB108" i="6" s="1"/>
  <c r="H108" i="20"/>
  <c r="AA108" i="20"/>
  <c r="Z108" i="20" s="1"/>
  <c r="Y108" i="20" s="1"/>
  <c r="G359" i="20"/>
  <c r="CB359" i="6" s="1"/>
  <c r="H359" i="20"/>
  <c r="AA359" i="20"/>
  <c r="Z359" i="20" s="1"/>
  <c r="Y359" i="20" s="1"/>
  <c r="G309" i="20"/>
  <c r="CB309" i="6" s="1"/>
  <c r="H309" i="20"/>
  <c r="AA309" i="20"/>
  <c r="Z309" i="20" s="1"/>
  <c r="Y309" i="20" s="1"/>
  <c r="H301" i="20"/>
  <c r="G301" i="20"/>
  <c r="CB301" i="6" s="1"/>
  <c r="AA301" i="20"/>
  <c r="Z301" i="20" s="1"/>
  <c r="Y301" i="20" s="1"/>
  <c r="G287" i="20"/>
  <c r="CB287" i="6" s="1"/>
  <c r="AA287" i="20"/>
  <c r="Z287" i="20" s="1"/>
  <c r="Y287" i="20" s="1"/>
  <c r="H287" i="20"/>
  <c r="G275" i="20"/>
  <c r="CB275" i="6" s="1"/>
  <c r="H275" i="20"/>
  <c r="AA275" i="20"/>
  <c r="Z275" i="20" s="1"/>
  <c r="Y275" i="20" s="1"/>
  <c r="AA259" i="20"/>
  <c r="Z259" i="20" s="1"/>
  <c r="Y259" i="20" s="1"/>
  <c r="H259" i="20"/>
  <c r="G259" i="20"/>
  <c r="CB259" i="6" s="1"/>
  <c r="AA245" i="20"/>
  <c r="Z245" i="20" s="1"/>
  <c r="Y245" i="20" s="1"/>
  <c r="H245" i="20"/>
  <c r="G245" i="20"/>
  <c r="CB245" i="6" s="1"/>
  <c r="G229" i="20"/>
  <c r="CB229" i="6" s="1"/>
  <c r="H229" i="20"/>
  <c r="AA229" i="20"/>
  <c r="Z229" i="20" s="1"/>
  <c r="Y229" i="20" s="1"/>
  <c r="G217" i="20"/>
  <c r="CB217" i="6" s="1"/>
  <c r="AA217" i="20"/>
  <c r="Z217" i="20" s="1"/>
  <c r="Y217" i="20" s="1"/>
  <c r="H217" i="20"/>
  <c r="G211" i="20"/>
  <c r="CB211" i="6" s="1"/>
  <c r="AA211" i="20"/>
  <c r="Z211" i="20" s="1"/>
  <c r="Y211" i="20" s="1"/>
  <c r="H211" i="20"/>
  <c r="AA207" i="20"/>
  <c r="Z207" i="20" s="1"/>
  <c r="Y207" i="20" s="1"/>
  <c r="G207" i="20"/>
  <c r="CB207" i="6" s="1"/>
  <c r="H207" i="20"/>
  <c r="H203" i="20"/>
  <c r="AA203" i="20"/>
  <c r="Z203" i="20" s="1"/>
  <c r="Y203" i="20" s="1"/>
  <c r="G203" i="20"/>
  <c r="CB203" i="6" s="1"/>
  <c r="G195" i="20"/>
  <c r="CB195" i="6" s="1"/>
  <c r="H195" i="20"/>
  <c r="AA195" i="20"/>
  <c r="Z195" i="20" s="1"/>
  <c r="Y195" i="20" s="1"/>
  <c r="G153" i="20"/>
  <c r="CB153" i="6" s="1"/>
  <c r="AA153" i="20"/>
  <c r="Z153" i="20" s="1"/>
  <c r="Y153" i="20" s="1"/>
  <c r="H153" i="20"/>
  <c r="G129" i="20"/>
  <c r="CB129" i="6" s="1"/>
  <c r="AA129" i="20"/>
  <c r="Z129" i="20" s="1"/>
  <c r="Y129" i="20" s="1"/>
  <c r="H129" i="20"/>
  <c r="AA115" i="20"/>
  <c r="Z115" i="20" s="1"/>
  <c r="Y115" i="20" s="1"/>
  <c r="H115" i="20"/>
  <c r="G115" i="20"/>
  <c r="CB115" i="6" s="1"/>
  <c r="H107" i="20"/>
  <c r="AA107" i="20"/>
  <c r="Z107" i="20" s="1"/>
  <c r="Y107" i="20" s="1"/>
  <c r="G107" i="20"/>
  <c r="CB107" i="6" s="1"/>
  <c r="G83" i="20"/>
  <c r="CB83" i="6" s="1"/>
  <c r="AA83" i="20"/>
  <c r="Z83" i="20" s="1"/>
  <c r="Y83" i="20" s="1"/>
  <c r="H83" i="20"/>
  <c r="AA67" i="20"/>
  <c r="Z67" i="20" s="1"/>
  <c r="Y67" i="20" s="1"/>
  <c r="G67" i="20"/>
  <c r="CB67" i="6" s="1"/>
  <c r="H67" i="20"/>
  <c r="H63" i="20"/>
  <c r="AA63" i="20"/>
  <c r="Z63" i="20" s="1"/>
  <c r="Y63" i="20" s="1"/>
  <c r="G63" i="20"/>
  <c r="CB63" i="6" s="1"/>
  <c r="H55" i="20"/>
  <c r="G55" i="20"/>
  <c r="CB55" i="6" s="1"/>
  <c r="AA55" i="20"/>
  <c r="Z55" i="20" s="1"/>
  <c r="Y55" i="20" s="1"/>
  <c r="G35" i="20"/>
  <c r="CB35" i="6" s="1"/>
  <c r="AA35" i="20"/>
  <c r="Z35" i="20" s="1"/>
  <c r="Y35" i="20" s="1"/>
  <c r="H35" i="20"/>
  <c r="AA362" i="20"/>
  <c r="Z362" i="20" s="1"/>
  <c r="Y362" i="20" s="1"/>
  <c r="H362" i="20"/>
  <c r="G362" i="20"/>
  <c r="CB362" i="6" s="1"/>
  <c r="G356" i="20"/>
  <c r="CB356" i="6" s="1"/>
  <c r="AA356" i="20"/>
  <c r="Z356" i="20" s="1"/>
  <c r="Y356" i="20" s="1"/>
  <c r="H356" i="20"/>
  <c r="AA336" i="20"/>
  <c r="Z336" i="20" s="1"/>
  <c r="Y336" i="20" s="1"/>
  <c r="H336" i="20"/>
  <c r="G336" i="20"/>
  <c r="CB336" i="6" s="1"/>
  <c r="G320" i="20"/>
  <c r="CB320" i="6" s="1"/>
  <c r="AA320" i="20"/>
  <c r="Z320" i="20" s="1"/>
  <c r="Y320" i="20" s="1"/>
  <c r="H320" i="20"/>
  <c r="AA314" i="20"/>
  <c r="Z314" i="20" s="1"/>
  <c r="Y314" i="20" s="1"/>
  <c r="G314" i="20"/>
  <c r="CB314" i="6" s="1"/>
  <c r="H314" i="20"/>
  <c r="AA292" i="20"/>
  <c r="Z292" i="20" s="1"/>
  <c r="Y292" i="20" s="1"/>
  <c r="H292" i="20"/>
  <c r="G292" i="20"/>
  <c r="CB292" i="6" s="1"/>
  <c r="G278" i="20"/>
  <c r="CB278" i="6" s="1"/>
  <c r="AA278" i="20"/>
  <c r="Z278" i="20" s="1"/>
  <c r="Y278" i="20" s="1"/>
  <c r="H278" i="20"/>
  <c r="AA274" i="20"/>
  <c r="Z274" i="20" s="1"/>
  <c r="Y274" i="20" s="1"/>
  <c r="G274" i="20"/>
  <c r="CB274" i="6" s="1"/>
  <c r="H274" i="20"/>
  <c r="AA248" i="20"/>
  <c r="Z248" i="20" s="1"/>
  <c r="Y248" i="20" s="1"/>
  <c r="G248" i="20"/>
  <c r="CB248" i="6" s="1"/>
  <c r="H248" i="20"/>
  <c r="G244" i="20"/>
  <c r="CB244" i="6" s="1"/>
  <c r="AA244" i="20"/>
  <c r="Z244" i="20" s="1"/>
  <c r="Y244" i="20" s="1"/>
  <c r="H244" i="20"/>
  <c r="G232" i="20"/>
  <c r="CB232" i="6" s="1"/>
  <c r="H232" i="20"/>
  <c r="AA232" i="20"/>
  <c r="Z232" i="20" s="1"/>
  <c r="Y232" i="20" s="1"/>
  <c r="AA224" i="20"/>
  <c r="Z224" i="20" s="1"/>
  <c r="Y224" i="20" s="1"/>
  <c r="G224" i="20"/>
  <c r="CB224" i="6" s="1"/>
  <c r="H224" i="20"/>
  <c r="AA216" i="20"/>
  <c r="Z216" i="20" s="1"/>
  <c r="Y216" i="20" s="1"/>
  <c r="H216" i="20"/>
  <c r="G216" i="20"/>
  <c r="CB216" i="6" s="1"/>
  <c r="G190" i="20"/>
  <c r="CB190" i="6" s="1"/>
  <c r="AA190" i="20"/>
  <c r="Z190" i="20" s="1"/>
  <c r="Y190" i="20" s="1"/>
  <c r="H190" i="20"/>
  <c r="AA186" i="20"/>
  <c r="Z186" i="20" s="1"/>
  <c r="Y186" i="20" s="1"/>
  <c r="H186" i="20"/>
  <c r="G186" i="20"/>
  <c r="CB186" i="6" s="1"/>
  <c r="G178" i="20"/>
  <c r="CB178" i="6" s="1"/>
  <c r="AA178" i="20"/>
  <c r="Z178" i="20" s="1"/>
  <c r="Y178" i="20" s="1"/>
  <c r="H178" i="20"/>
  <c r="AA164" i="20"/>
  <c r="Z164" i="20" s="1"/>
  <c r="Y164" i="20" s="1"/>
  <c r="H164" i="20"/>
  <c r="G164" i="20"/>
  <c r="CB164" i="6" s="1"/>
  <c r="AA144" i="20"/>
  <c r="Z144" i="20" s="1"/>
  <c r="Y144" i="20" s="1"/>
  <c r="G144" i="20"/>
  <c r="CB144" i="6" s="1"/>
  <c r="H144" i="20"/>
  <c r="G116" i="20"/>
  <c r="CB116" i="6" s="1"/>
  <c r="AA116" i="20"/>
  <c r="Z116" i="20" s="1"/>
  <c r="Y116" i="20" s="1"/>
  <c r="H116" i="20"/>
  <c r="G104" i="20"/>
  <c r="CB104" i="6" s="1"/>
  <c r="H104" i="20"/>
  <c r="AA377" i="20"/>
  <c r="Z377" i="20" s="1"/>
  <c r="Y377" i="20" s="1"/>
  <c r="H377" i="20"/>
  <c r="G377" i="20"/>
  <c r="CB377" i="6" s="1"/>
  <c r="H371" i="20"/>
  <c r="AA371" i="20"/>
  <c r="Z371" i="20" s="1"/>
  <c r="Y371" i="20" s="1"/>
  <c r="G371" i="20"/>
  <c r="CB371" i="6" s="1"/>
  <c r="G361" i="20"/>
  <c r="CB361" i="6" s="1"/>
  <c r="H361" i="20"/>
  <c r="AA361" i="20"/>
  <c r="Z361" i="20" s="1"/>
  <c r="Y361" i="20" s="1"/>
  <c r="AA355" i="20"/>
  <c r="Z355" i="20" s="1"/>
  <c r="Y355" i="20" s="1"/>
  <c r="G355" i="20"/>
  <c r="CB355" i="6" s="1"/>
  <c r="H355" i="20"/>
  <c r="H351" i="20"/>
  <c r="AA351" i="20"/>
  <c r="Z351" i="20" s="1"/>
  <c r="Y351" i="20" s="1"/>
  <c r="G351" i="20"/>
  <c r="CB351" i="6" s="1"/>
  <c r="G317" i="20"/>
  <c r="CB317" i="6" s="1"/>
  <c r="AA317" i="20"/>
  <c r="Z317" i="20" s="1"/>
  <c r="Y317" i="20" s="1"/>
  <c r="H317" i="20"/>
  <c r="AA311" i="20"/>
  <c r="Z311" i="20" s="1"/>
  <c r="Y311" i="20" s="1"/>
  <c r="G311" i="20"/>
  <c r="CB311" i="6" s="1"/>
  <c r="H311" i="20"/>
  <c r="G293" i="20"/>
  <c r="CB293" i="6" s="1"/>
  <c r="AA293" i="20"/>
  <c r="Z293" i="20" s="1"/>
  <c r="Y293" i="20" s="1"/>
  <c r="H293" i="20"/>
  <c r="AA265" i="20"/>
  <c r="Z265" i="20" s="1"/>
  <c r="Y265" i="20" s="1"/>
  <c r="H265" i="20"/>
  <c r="G265" i="20"/>
  <c r="CB265" i="6" s="1"/>
  <c r="AA251" i="20"/>
  <c r="Z251" i="20" s="1"/>
  <c r="Y251" i="20" s="1"/>
  <c r="G251" i="20"/>
  <c r="CB251" i="6" s="1"/>
  <c r="H251" i="20"/>
  <c r="H243" i="20"/>
  <c r="AA243" i="20"/>
  <c r="Z243" i="20" s="1"/>
  <c r="Y243" i="20" s="1"/>
  <c r="G243" i="20"/>
  <c r="CB243" i="6" s="1"/>
  <c r="G219" i="20"/>
  <c r="CB219" i="6" s="1"/>
  <c r="AA219" i="20"/>
  <c r="Z219" i="20" s="1"/>
  <c r="Y219" i="20" s="1"/>
  <c r="H219" i="20"/>
  <c r="AA209" i="20"/>
  <c r="Z209" i="20" s="1"/>
  <c r="Y209" i="20" s="1"/>
  <c r="H209" i="20"/>
  <c r="G209" i="20"/>
  <c r="CB209" i="6" s="1"/>
  <c r="G205" i="20"/>
  <c r="CB205" i="6" s="1"/>
  <c r="AA205" i="20"/>
  <c r="Z205" i="20" s="1"/>
  <c r="Y205" i="20" s="1"/>
  <c r="G197" i="20"/>
  <c r="CB197" i="6" s="1"/>
  <c r="AA197" i="20"/>
  <c r="Z197" i="20" s="1"/>
  <c r="Y197" i="20" s="1"/>
  <c r="H197" i="20"/>
  <c r="AA193" i="20"/>
  <c r="Z193" i="20" s="1"/>
  <c r="Y193" i="20" s="1"/>
  <c r="G193" i="20"/>
  <c r="CB193" i="6" s="1"/>
  <c r="H193" i="20"/>
  <c r="H155" i="20"/>
  <c r="AA155" i="20"/>
  <c r="Z155" i="20" s="1"/>
  <c r="Y155" i="20" s="1"/>
  <c r="G155" i="20"/>
  <c r="CB155" i="6" s="1"/>
  <c r="G139" i="20"/>
  <c r="CB139" i="6" s="1"/>
  <c r="AA139" i="20"/>
  <c r="Z139" i="20" s="1"/>
  <c r="Y139" i="20" s="1"/>
  <c r="H139" i="20"/>
  <c r="AA109" i="20"/>
  <c r="Z109" i="20" s="1"/>
  <c r="Y109" i="20" s="1"/>
  <c r="G109" i="20"/>
  <c r="CB109" i="6" s="1"/>
  <c r="H109" i="20"/>
  <c r="G101" i="20"/>
  <c r="CB101" i="6" s="1"/>
  <c r="H101" i="20"/>
  <c r="AA101" i="20"/>
  <c r="Z101" i="20" s="1"/>
  <c r="Y101" i="20" s="1"/>
  <c r="AA79" i="20"/>
  <c r="Z79" i="20" s="1"/>
  <c r="Y79" i="20" s="1"/>
  <c r="G79" i="20"/>
  <c r="CB79" i="6" s="1"/>
  <c r="H79" i="20"/>
  <c r="H69" i="20"/>
  <c r="AA69" i="20"/>
  <c r="Z69" i="20" s="1"/>
  <c r="Y69" i="20" s="1"/>
  <c r="G69" i="20"/>
  <c r="CB69" i="6" s="1"/>
  <c r="AA43" i="20"/>
  <c r="Z43" i="20" s="1"/>
  <c r="Y43" i="20" s="1"/>
  <c r="G43" i="20"/>
  <c r="CB43" i="6" s="1"/>
  <c r="H43" i="20"/>
  <c r="G25" i="20"/>
  <c r="CB25" i="6" s="1"/>
  <c r="H25" i="20"/>
  <c r="AA25" i="20"/>
  <c r="Z25" i="20" s="1"/>
  <c r="Y25" i="20" s="1"/>
  <c r="AK4" i="6" l="1"/>
  <c r="J119" i="18"/>
  <c r="C119" i="6" s="1"/>
  <c r="D125" i="20"/>
  <c r="E125" i="20" s="1"/>
  <c r="F125" i="20" s="1"/>
  <c r="W125" i="20"/>
  <c r="W61" i="20"/>
  <c r="D61" i="20"/>
  <c r="E61" i="20" s="1"/>
  <c r="F61" i="20" s="1"/>
  <c r="G61" i="18"/>
  <c r="CA61" i="6" s="1"/>
  <c r="H61" i="18"/>
  <c r="AA61" i="18"/>
  <c r="Z61" i="18" s="1"/>
  <c r="Y61" i="18" s="1"/>
  <c r="H125" i="18"/>
  <c r="G125" i="18"/>
  <c r="CA125" i="6" s="1"/>
  <c r="AA125" i="18"/>
  <c r="Z125" i="18" s="1"/>
  <c r="Y125" i="18" s="1"/>
  <c r="I88" i="18"/>
  <c r="J88" i="18"/>
  <c r="C88" i="6" s="1"/>
  <c r="B64" i="19"/>
  <c r="N64" i="19" s="1"/>
  <c r="V383" i="17"/>
  <c r="V382" i="17"/>
  <c r="V381" i="17"/>
  <c r="F15" i="17"/>
  <c r="Y149" i="17"/>
  <c r="AL6" i="17" s="1"/>
  <c r="AL8" i="17"/>
  <c r="I205" i="18"/>
  <c r="J205" i="18"/>
  <c r="C205" i="6" s="1"/>
  <c r="H189" i="18"/>
  <c r="AA189" i="18"/>
  <c r="Z189" i="18" s="1"/>
  <c r="Y189" i="18" s="1"/>
  <c r="G189" i="18"/>
  <c r="CA189" i="6" s="1"/>
  <c r="I149" i="18"/>
  <c r="B149" i="6" s="1"/>
  <c r="BA149" i="6" s="1"/>
  <c r="J149" i="18"/>
  <c r="C149" i="6" s="1"/>
  <c r="AL5" i="16"/>
  <c r="AL11" i="16" s="1"/>
  <c r="Y381" i="16"/>
  <c r="X9" i="16"/>
  <c r="AM6" i="16"/>
  <c r="AM12" i="16" s="1"/>
  <c r="Y383" i="16"/>
  <c r="Y382" i="16"/>
  <c r="J145" i="20"/>
  <c r="I114" i="20"/>
  <c r="Q16" i="23"/>
  <c r="J117" i="20"/>
  <c r="Q63" i="23"/>
  <c r="AE84" i="23"/>
  <c r="AE11" i="23"/>
  <c r="I128" i="20"/>
  <c r="J77" i="20"/>
  <c r="AE52" i="23"/>
  <c r="G180" i="20"/>
  <c r="CB180" i="6" s="1"/>
  <c r="J247" i="20"/>
  <c r="AE314" i="23"/>
  <c r="AE186" i="23"/>
  <c r="AE100" i="23"/>
  <c r="AE68" i="23"/>
  <c r="AE36" i="23"/>
  <c r="I72" i="20"/>
  <c r="I370" i="20"/>
  <c r="AH4" i="6"/>
  <c r="H48" i="20"/>
  <c r="I48" i="20" s="1"/>
  <c r="I100" i="20"/>
  <c r="I81" i="20"/>
  <c r="AG104" i="20"/>
  <c r="AH381" i="20"/>
  <c r="AH382" i="20"/>
  <c r="AH383" i="20"/>
  <c r="AM4" i="6"/>
  <c r="AA48" i="20"/>
  <c r="Z48" i="20" s="1"/>
  <c r="Y48" i="20" s="1"/>
  <c r="I315" i="20"/>
  <c r="J228" i="20"/>
  <c r="AE370" i="23"/>
  <c r="AE334" i="23"/>
  <c r="AE270" i="23"/>
  <c r="AE206" i="23"/>
  <c r="AE108" i="23"/>
  <c r="AE92" i="23"/>
  <c r="AE76" i="23"/>
  <c r="AE60" i="23"/>
  <c r="AE44" i="23"/>
  <c r="AE28" i="23"/>
  <c r="I255" i="20"/>
  <c r="J214" i="20"/>
  <c r="Q287" i="23"/>
  <c r="Q159" i="23"/>
  <c r="Q351" i="23"/>
  <c r="Q223" i="23"/>
  <c r="Q95" i="23"/>
  <c r="J187" i="20"/>
  <c r="Q375" i="23"/>
  <c r="Q319" i="23"/>
  <c r="Q255" i="23"/>
  <c r="Q191" i="23"/>
  <c r="Q127" i="23"/>
  <c r="I87" i="20"/>
  <c r="I334" i="20"/>
  <c r="J160" i="20"/>
  <c r="Q31" i="23"/>
  <c r="Q55" i="23"/>
  <c r="Q71" i="23"/>
  <c r="Q87" i="23"/>
  <c r="Q103" i="23"/>
  <c r="Q119" i="23"/>
  <c r="Q135" i="23"/>
  <c r="Q151" i="23"/>
  <c r="Q167" i="23"/>
  <c r="Q183" i="23"/>
  <c r="Q199" i="23"/>
  <c r="Q215" i="23"/>
  <c r="Q231" i="23"/>
  <c r="Q247" i="23"/>
  <c r="Q263" i="23"/>
  <c r="Q279" i="23"/>
  <c r="Q295" i="23"/>
  <c r="Q311" i="23"/>
  <c r="Q327" i="23"/>
  <c r="Q343" i="23"/>
  <c r="Q359" i="23"/>
  <c r="Q371" i="23"/>
  <c r="Q379" i="23"/>
  <c r="AT15" i="7" s="1"/>
  <c r="AE17" i="23"/>
  <c r="AE24" i="23"/>
  <c r="AE32" i="23"/>
  <c r="AE40" i="23"/>
  <c r="AE48" i="23"/>
  <c r="AE56" i="23"/>
  <c r="AE64" i="23"/>
  <c r="AE72" i="23"/>
  <c r="AE80" i="23"/>
  <c r="AE88" i="23"/>
  <c r="AE96" i="23"/>
  <c r="AE104" i="23"/>
  <c r="AE168" i="23"/>
  <c r="AE204" i="23"/>
  <c r="AE236" i="23"/>
  <c r="AE268" i="23"/>
  <c r="AE300" i="23"/>
  <c r="AE332" i="23"/>
  <c r="Q367" i="23"/>
  <c r="Q335" i="23"/>
  <c r="Q303" i="23"/>
  <c r="Q271" i="23"/>
  <c r="Q239" i="23"/>
  <c r="Q207" i="23"/>
  <c r="Q175" i="23"/>
  <c r="Q143" i="23"/>
  <c r="Q111" i="23"/>
  <c r="Q79" i="23"/>
  <c r="Q47" i="23"/>
  <c r="Q23" i="23"/>
  <c r="Q39" i="23"/>
  <c r="Q51" i="23"/>
  <c r="Q59" i="23"/>
  <c r="Q67" i="23"/>
  <c r="Q75" i="23"/>
  <c r="Q83" i="23"/>
  <c r="Q91" i="23"/>
  <c r="Q99" i="23"/>
  <c r="Q107" i="23"/>
  <c r="Q115" i="23"/>
  <c r="Q123" i="23"/>
  <c r="Q131" i="23"/>
  <c r="Q139" i="23"/>
  <c r="Q147" i="23"/>
  <c r="Q155" i="23"/>
  <c r="Q163" i="23"/>
  <c r="Q171" i="23"/>
  <c r="Q179" i="23"/>
  <c r="Q187" i="23"/>
  <c r="Q195" i="23"/>
  <c r="Q203" i="23"/>
  <c r="Q211" i="23"/>
  <c r="Q219" i="23"/>
  <c r="Q227" i="23"/>
  <c r="Q235" i="23"/>
  <c r="Q243" i="23"/>
  <c r="Q251" i="23"/>
  <c r="Q259" i="23"/>
  <c r="Q267" i="23"/>
  <c r="Q275" i="23"/>
  <c r="Q283" i="23"/>
  <c r="Q291" i="23"/>
  <c r="Q299" i="23"/>
  <c r="Q307" i="23"/>
  <c r="Q315" i="23"/>
  <c r="Q323" i="23"/>
  <c r="Q331" i="23"/>
  <c r="Q339" i="23"/>
  <c r="Q347" i="23"/>
  <c r="Q355" i="23"/>
  <c r="Q363" i="23"/>
  <c r="Q369" i="23"/>
  <c r="Q373" i="23"/>
  <c r="Q377" i="23"/>
  <c r="AE19" i="23"/>
  <c r="AE22" i="23"/>
  <c r="AE26" i="23"/>
  <c r="AE30" i="23"/>
  <c r="AE34" i="23"/>
  <c r="AE38" i="23"/>
  <c r="AE42" i="23"/>
  <c r="AE46" i="23"/>
  <c r="AE50" i="23"/>
  <c r="AE54" i="23"/>
  <c r="AE58" i="23"/>
  <c r="AE62" i="23"/>
  <c r="AE66" i="23"/>
  <c r="AE70" i="23"/>
  <c r="AE74" i="23"/>
  <c r="AE78" i="23"/>
  <c r="AE82" i="23"/>
  <c r="AE86" i="23"/>
  <c r="AE90" i="23"/>
  <c r="AE94" i="23"/>
  <c r="AE98" i="23"/>
  <c r="AE102" i="23"/>
  <c r="AE126" i="23"/>
  <c r="AE158" i="23"/>
  <c r="I171" i="20"/>
  <c r="J179" i="20"/>
  <c r="I110" i="20"/>
  <c r="I304" i="20"/>
  <c r="I291" i="20"/>
  <c r="J163" i="20"/>
  <c r="I41" i="20"/>
  <c r="I191" i="20"/>
  <c r="J86" i="20"/>
  <c r="I348" i="20"/>
  <c r="J157" i="20"/>
  <c r="I271" i="20"/>
  <c r="I68" i="20"/>
  <c r="I350" i="20"/>
  <c r="I138" i="20"/>
  <c r="I221" i="20"/>
  <c r="I289" i="20"/>
  <c r="J24" i="20"/>
  <c r="J308" i="20"/>
  <c r="I352" i="20"/>
  <c r="I181" i="20"/>
  <c r="J49" i="20"/>
  <c r="J38" i="20"/>
  <c r="J172" i="20"/>
  <c r="I374" i="20"/>
  <c r="I89" i="20"/>
  <c r="J273" i="20"/>
  <c r="J57" i="20"/>
  <c r="I165" i="20"/>
  <c r="I156" i="20"/>
  <c r="I270" i="20"/>
  <c r="I106" i="20"/>
  <c r="I30" i="20"/>
  <c r="I20" i="20"/>
  <c r="J226" i="20"/>
  <c r="AD4" i="6"/>
  <c r="T4" i="6"/>
  <c r="AF4" i="6"/>
  <c r="AJ4" i="6"/>
  <c r="AD382" i="18"/>
  <c r="AD383" i="18"/>
  <c r="AD381" i="18"/>
  <c r="AU15" i="7"/>
  <c r="Q17" i="23"/>
  <c r="Q21" i="23"/>
  <c r="Q25" i="23"/>
  <c r="Q29" i="23"/>
  <c r="Q33" i="23"/>
  <c r="Q37" i="23"/>
  <c r="Q41" i="23"/>
  <c r="Q45" i="23"/>
  <c r="Q48" i="23"/>
  <c r="Q50" i="23"/>
  <c r="Q52" i="23"/>
  <c r="Q54" i="23"/>
  <c r="Q56" i="23"/>
  <c r="Q58" i="23"/>
  <c r="Q60" i="23"/>
  <c r="Q62" i="23"/>
  <c r="Q64" i="23"/>
  <c r="Q66" i="23"/>
  <c r="Q68" i="23"/>
  <c r="Q70" i="23"/>
  <c r="Q72" i="23"/>
  <c r="Q74" i="23"/>
  <c r="Q76" i="23"/>
  <c r="Q78" i="23"/>
  <c r="Q80" i="23"/>
  <c r="Q82" i="23"/>
  <c r="Q84" i="23"/>
  <c r="Q86" i="23"/>
  <c r="Q88" i="23"/>
  <c r="Q90" i="23"/>
  <c r="Q92" i="23"/>
  <c r="Q94" i="23"/>
  <c r="Q96" i="23"/>
  <c r="Q98" i="23"/>
  <c r="Q100" i="23"/>
  <c r="Q102" i="23"/>
  <c r="Q104" i="23"/>
  <c r="Q106" i="23"/>
  <c r="Q108" i="23"/>
  <c r="Q110" i="23"/>
  <c r="Q112" i="23"/>
  <c r="Q114" i="23"/>
  <c r="Q116" i="23"/>
  <c r="Q118" i="23"/>
  <c r="Q120" i="23"/>
  <c r="Q122" i="23"/>
  <c r="Q124" i="23"/>
  <c r="Q126" i="23"/>
  <c r="Q128" i="23"/>
  <c r="Q130" i="23"/>
  <c r="Q132" i="23"/>
  <c r="Q134" i="23"/>
  <c r="Q136" i="23"/>
  <c r="Q138" i="23"/>
  <c r="Q140" i="23"/>
  <c r="Q142" i="23"/>
  <c r="Q144" i="23"/>
  <c r="Q146" i="23"/>
  <c r="Q148" i="23"/>
  <c r="Q150" i="23"/>
  <c r="Q152" i="23"/>
  <c r="Q154" i="23"/>
  <c r="Q156" i="23"/>
  <c r="Q158" i="23"/>
  <c r="Q160" i="23"/>
  <c r="Q162" i="23"/>
  <c r="Q164" i="23"/>
  <c r="Q166" i="23"/>
  <c r="Q168" i="23"/>
  <c r="Q170" i="23"/>
  <c r="Q172" i="23"/>
  <c r="Q174" i="23"/>
  <c r="Q176" i="23"/>
  <c r="Q178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250" i="23"/>
  <c r="Q252" i="23"/>
  <c r="Q254" i="23"/>
  <c r="Q256" i="23"/>
  <c r="Q258" i="23"/>
  <c r="Q260" i="23"/>
  <c r="Q262" i="23"/>
  <c r="Q264" i="23"/>
  <c r="Q266" i="23"/>
  <c r="Q268" i="23"/>
  <c r="Q270" i="23"/>
  <c r="Q272" i="23"/>
  <c r="Q274" i="23"/>
  <c r="Q276" i="23"/>
  <c r="Q278" i="23"/>
  <c r="Q280" i="23"/>
  <c r="Q282" i="23"/>
  <c r="Q284" i="23"/>
  <c r="Q286" i="23"/>
  <c r="Q288" i="23"/>
  <c r="Q290" i="23"/>
  <c r="Q292" i="23"/>
  <c r="Q294" i="23"/>
  <c r="Q296" i="23"/>
  <c r="Q298" i="23"/>
  <c r="Q300" i="23"/>
  <c r="Q302" i="23"/>
  <c r="Q304" i="23"/>
  <c r="Q306" i="23"/>
  <c r="Q308" i="23"/>
  <c r="Q310" i="23"/>
  <c r="Q312" i="23"/>
  <c r="Q314" i="23"/>
  <c r="Q316" i="23"/>
  <c r="Q318" i="23"/>
  <c r="Q320" i="23"/>
  <c r="Q322" i="23"/>
  <c r="Q324" i="23"/>
  <c r="Q326" i="23"/>
  <c r="Q328" i="23"/>
  <c r="Q330" i="23"/>
  <c r="Q332" i="23"/>
  <c r="Q334" i="23"/>
  <c r="Q336" i="23"/>
  <c r="Q338" i="23"/>
  <c r="Q340" i="23"/>
  <c r="Q342" i="23"/>
  <c r="Q344" i="23"/>
  <c r="Q346" i="23"/>
  <c r="Q348" i="23"/>
  <c r="Q350" i="23"/>
  <c r="Q352" i="23"/>
  <c r="Q354" i="23"/>
  <c r="Q356" i="23"/>
  <c r="Q358" i="23"/>
  <c r="Q360" i="23"/>
  <c r="Q362" i="23"/>
  <c r="Q364" i="23"/>
  <c r="Q366" i="23"/>
  <c r="AE371" i="23"/>
  <c r="AE355" i="23"/>
  <c r="AE339" i="23"/>
  <c r="AE323" i="23"/>
  <c r="AE313" i="23"/>
  <c r="AE305" i="23"/>
  <c r="AE297" i="23"/>
  <c r="AE289" i="23"/>
  <c r="AE281" i="23"/>
  <c r="AE273" i="23"/>
  <c r="AE265" i="23"/>
  <c r="AE257" i="23"/>
  <c r="AE249" i="23"/>
  <c r="AE241" i="23"/>
  <c r="AE233" i="23"/>
  <c r="AE225" i="23"/>
  <c r="AE217" i="23"/>
  <c r="AE209" i="23"/>
  <c r="AE201" i="23"/>
  <c r="AE193" i="23"/>
  <c r="AE185" i="23"/>
  <c r="AE177" i="23"/>
  <c r="AE169" i="23"/>
  <c r="AE161" i="23"/>
  <c r="AE153" i="23"/>
  <c r="AE145" i="23"/>
  <c r="AE139" i="23"/>
  <c r="AE135" i="23"/>
  <c r="AE131" i="23"/>
  <c r="AE127" i="23"/>
  <c r="AE123" i="23"/>
  <c r="AE119" i="23"/>
  <c r="AE115" i="23"/>
  <c r="AE111" i="23"/>
  <c r="AE107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5" i="23"/>
  <c r="Q361" i="23"/>
  <c r="Q357" i="23"/>
  <c r="Q353" i="23"/>
  <c r="Q349" i="23"/>
  <c r="Q345" i="23"/>
  <c r="Q341" i="23"/>
  <c r="Q337" i="23"/>
  <c r="Q333" i="23"/>
  <c r="Q329" i="23"/>
  <c r="Q325" i="23"/>
  <c r="Q321" i="23"/>
  <c r="Q317" i="23"/>
  <c r="Q313" i="23"/>
  <c r="Q309" i="23"/>
  <c r="Q305" i="23"/>
  <c r="Q301" i="23"/>
  <c r="Q297" i="23"/>
  <c r="Q293" i="23"/>
  <c r="Q289" i="23"/>
  <c r="Q285" i="23"/>
  <c r="Q281" i="23"/>
  <c r="Q277" i="23"/>
  <c r="Q273" i="23"/>
  <c r="Q269" i="23"/>
  <c r="Q265" i="23"/>
  <c r="Q261" i="23"/>
  <c r="Q257" i="23"/>
  <c r="Q253" i="23"/>
  <c r="Q249" i="23"/>
  <c r="Q245" i="23"/>
  <c r="Q241" i="23"/>
  <c r="Q237" i="23"/>
  <c r="Q233" i="23"/>
  <c r="Q229" i="23"/>
  <c r="Q225" i="23"/>
  <c r="Q221" i="23"/>
  <c r="Q217" i="23"/>
  <c r="Q213" i="23"/>
  <c r="Q209" i="23"/>
  <c r="Q205" i="23"/>
  <c r="Q201" i="23"/>
  <c r="Q197" i="23"/>
  <c r="Q193" i="23"/>
  <c r="Q189" i="23"/>
  <c r="Q185" i="23"/>
  <c r="Q181" i="23"/>
  <c r="Q177" i="23"/>
  <c r="Q173" i="23"/>
  <c r="Q169" i="23"/>
  <c r="Q165" i="23"/>
  <c r="Q161" i="23"/>
  <c r="Q157" i="23"/>
  <c r="Q153" i="23"/>
  <c r="Q149" i="23"/>
  <c r="Q145" i="23"/>
  <c r="Q141" i="23"/>
  <c r="Q137" i="23"/>
  <c r="Q133" i="23"/>
  <c r="Q129" i="23"/>
  <c r="Q125" i="23"/>
  <c r="Q121" i="23"/>
  <c r="Q117" i="23"/>
  <c r="Q113" i="23"/>
  <c r="Q109" i="23"/>
  <c r="Q105" i="23"/>
  <c r="Q101" i="23"/>
  <c r="Q97" i="23"/>
  <c r="Q9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H180" i="20"/>
  <c r="I180" i="20" s="1"/>
  <c r="D46" i="6"/>
  <c r="P4" i="6"/>
  <c r="D180" i="6"/>
  <c r="Y4" i="6"/>
  <c r="V4" i="6"/>
  <c r="AL4" i="6"/>
  <c r="AC4" i="6"/>
  <c r="AE4" i="6"/>
  <c r="I25" i="20"/>
  <c r="J25" i="20"/>
  <c r="J43" i="20"/>
  <c r="I43" i="20"/>
  <c r="I69" i="20"/>
  <c r="J69" i="20"/>
  <c r="J197" i="20"/>
  <c r="I197" i="20"/>
  <c r="J243" i="20"/>
  <c r="I243" i="20"/>
  <c r="J311" i="20"/>
  <c r="I311" i="20"/>
  <c r="I351" i="20"/>
  <c r="J351" i="20"/>
  <c r="I116" i="20"/>
  <c r="J116" i="20"/>
  <c r="J248" i="20"/>
  <c r="I248" i="20"/>
  <c r="J278" i="20"/>
  <c r="I278" i="20"/>
  <c r="I292" i="20"/>
  <c r="J292" i="20"/>
  <c r="I314" i="20"/>
  <c r="J314" i="20"/>
  <c r="I55" i="20"/>
  <c r="J55" i="20"/>
  <c r="J67" i="20"/>
  <c r="I67" i="20"/>
  <c r="I107" i="20"/>
  <c r="J107" i="20"/>
  <c r="I115" i="20"/>
  <c r="J115" i="20"/>
  <c r="J129" i="20"/>
  <c r="I129" i="20"/>
  <c r="I207" i="20"/>
  <c r="J207" i="20"/>
  <c r="I217" i="20"/>
  <c r="J217" i="20"/>
  <c r="J229" i="20"/>
  <c r="I229" i="20"/>
  <c r="J259" i="20"/>
  <c r="I259" i="20"/>
  <c r="I301" i="20"/>
  <c r="J301" i="20"/>
  <c r="J309" i="20"/>
  <c r="I309" i="20"/>
  <c r="J108" i="20"/>
  <c r="I108" i="20"/>
  <c r="J118" i="20"/>
  <c r="I118" i="20"/>
  <c r="J188" i="20"/>
  <c r="I188" i="20"/>
  <c r="I206" i="20"/>
  <c r="J206" i="20"/>
  <c r="I236" i="20"/>
  <c r="J236" i="20"/>
  <c r="J250" i="20"/>
  <c r="I250" i="20"/>
  <c r="J256" i="20"/>
  <c r="I256" i="20"/>
  <c r="J276" i="20"/>
  <c r="I276" i="20"/>
  <c r="J318" i="20"/>
  <c r="I318" i="20"/>
  <c r="J328" i="20"/>
  <c r="I328" i="20"/>
  <c r="J342" i="20"/>
  <c r="I342" i="20"/>
  <c r="J354" i="20"/>
  <c r="I354" i="20"/>
  <c r="I364" i="20"/>
  <c r="J364" i="20"/>
  <c r="I372" i="20"/>
  <c r="J372" i="20"/>
  <c r="J93" i="20"/>
  <c r="I93" i="20"/>
  <c r="J151" i="20"/>
  <c r="I151" i="20"/>
  <c r="I231" i="20"/>
  <c r="J231" i="20"/>
  <c r="I267" i="20"/>
  <c r="J267" i="20"/>
  <c r="I369" i="20"/>
  <c r="J369" i="20"/>
  <c r="D20" i="22"/>
  <c r="E20" i="22" s="1"/>
  <c r="F20" i="22" s="1"/>
  <c r="W20" i="22"/>
  <c r="S23" i="22"/>
  <c r="R23" i="22" s="1"/>
  <c r="P23" i="22" s="1"/>
  <c r="V23" i="22" s="1"/>
  <c r="B23" i="22" s="1"/>
  <c r="D25" i="22"/>
  <c r="E25" i="22" s="1"/>
  <c r="F25" i="22" s="1"/>
  <c r="W25" i="22"/>
  <c r="S29" i="22"/>
  <c r="R29" i="22" s="1"/>
  <c r="P29" i="22" s="1"/>
  <c r="S33" i="22"/>
  <c r="R33" i="22" s="1"/>
  <c r="P33" i="22" s="1"/>
  <c r="V33" i="22" s="1"/>
  <c r="B33" i="22" s="1"/>
  <c r="S37" i="22"/>
  <c r="R37" i="22" s="1"/>
  <c r="P37" i="22" s="1"/>
  <c r="V37" i="22" s="1"/>
  <c r="B37" i="22" s="1"/>
  <c r="W41" i="22"/>
  <c r="D41" i="22"/>
  <c r="E41" i="22" s="1"/>
  <c r="F41" i="22" s="1"/>
  <c r="S45" i="22"/>
  <c r="R45" i="22" s="1"/>
  <c r="P45" i="22" s="1"/>
  <c r="V45" i="22" s="1"/>
  <c r="B45" i="22" s="1"/>
  <c r="W49" i="22"/>
  <c r="D49" i="22"/>
  <c r="E49" i="22" s="1"/>
  <c r="F49" i="22" s="1"/>
  <c r="W53" i="22"/>
  <c r="D53" i="22"/>
  <c r="E53" i="22" s="1"/>
  <c r="F53" i="22" s="1"/>
  <c r="S57" i="22"/>
  <c r="R57" i="22" s="1"/>
  <c r="P57" i="22" s="1"/>
  <c r="V57" i="22" s="1"/>
  <c r="B57" i="22" s="1"/>
  <c r="S61" i="22"/>
  <c r="R61" i="22" s="1"/>
  <c r="P61" i="22" s="1"/>
  <c r="V61" i="22" s="1"/>
  <c r="B61" i="22" s="1"/>
  <c r="D65" i="22"/>
  <c r="E65" i="22" s="1"/>
  <c r="F65" i="22" s="1"/>
  <c r="W65" i="22"/>
  <c r="D69" i="22"/>
  <c r="E69" i="22" s="1"/>
  <c r="F69" i="22" s="1"/>
  <c r="W69" i="22"/>
  <c r="S73" i="22"/>
  <c r="R73" i="22" s="1"/>
  <c r="P73" i="22" s="1"/>
  <c r="V73" i="22" s="1"/>
  <c r="B73" i="22" s="1"/>
  <c r="W77" i="22"/>
  <c r="D77" i="22"/>
  <c r="E77" i="22" s="1"/>
  <c r="F77" i="22" s="1"/>
  <c r="W81" i="22"/>
  <c r="D81" i="22"/>
  <c r="E81" i="22" s="1"/>
  <c r="F81" i="22" s="1"/>
  <c r="S85" i="22"/>
  <c r="R85" i="22" s="1"/>
  <c r="P85" i="22" s="1"/>
  <c r="V85" i="22" s="1"/>
  <c r="B85" i="22" s="1"/>
  <c r="S89" i="22"/>
  <c r="R89" i="22" s="1"/>
  <c r="P89" i="22" s="1"/>
  <c r="V89" i="22" s="1"/>
  <c r="B89" i="22" s="1"/>
  <c r="W93" i="22"/>
  <c r="D93" i="22"/>
  <c r="E93" i="22" s="1"/>
  <c r="F93" i="22" s="1"/>
  <c r="D97" i="22"/>
  <c r="E97" i="22" s="1"/>
  <c r="F97" i="22" s="1"/>
  <c r="W97" i="22"/>
  <c r="S101" i="22"/>
  <c r="R101" i="22" s="1"/>
  <c r="P101" i="22" s="1"/>
  <c r="V101" i="22" s="1"/>
  <c r="B101" i="22" s="1"/>
  <c r="S105" i="22"/>
  <c r="R105" i="22" s="1"/>
  <c r="P105" i="22" s="1"/>
  <c r="V105" i="22" s="1"/>
  <c r="S109" i="22"/>
  <c r="R109" i="22" s="1"/>
  <c r="P109" i="22" s="1"/>
  <c r="V109" i="22" s="1"/>
  <c r="B109" i="22" s="1"/>
  <c r="S113" i="22"/>
  <c r="R113" i="22" s="1"/>
  <c r="P113" i="22" s="1"/>
  <c r="V113" i="22" s="1"/>
  <c r="B113" i="22" s="1"/>
  <c r="W117" i="22"/>
  <c r="D117" i="22"/>
  <c r="E117" i="22" s="1"/>
  <c r="F117" i="22" s="1"/>
  <c r="S121" i="22"/>
  <c r="R121" i="22" s="1"/>
  <c r="P121" i="22" s="1"/>
  <c r="V121" i="22" s="1"/>
  <c r="B121" i="22" s="1"/>
  <c r="S125" i="22"/>
  <c r="R125" i="22" s="1"/>
  <c r="P125" i="22" s="1"/>
  <c r="V125" i="22" s="1"/>
  <c r="B125" i="22" s="1"/>
  <c r="S129" i="22"/>
  <c r="R129" i="22" s="1"/>
  <c r="P129" i="22" s="1"/>
  <c r="V129" i="22" s="1"/>
  <c r="B129" i="22" s="1"/>
  <c r="D133" i="22"/>
  <c r="E133" i="22" s="1"/>
  <c r="F133" i="22" s="1"/>
  <c r="W133" i="22"/>
  <c r="S137" i="22"/>
  <c r="R137" i="22" s="1"/>
  <c r="P137" i="22" s="1"/>
  <c r="V137" i="22" s="1"/>
  <c r="B137" i="22" s="1"/>
  <c r="W141" i="22"/>
  <c r="D141" i="22"/>
  <c r="E141" i="22" s="1"/>
  <c r="F141" i="22" s="1"/>
  <c r="S145" i="22"/>
  <c r="R145" i="22" s="1"/>
  <c r="P145" i="22" s="1"/>
  <c r="V145" i="22" s="1"/>
  <c r="B145" i="22" s="1"/>
  <c r="S149" i="22"/>
  <c r="R149" i="22" s="1"/>
  <c r="P149" i="22" s="1"/>
  <c r="W153" i="22"/>
  <c r="D153" i="22"/>
  <c r="E153" i="22" s="1"/>
  <c r="F153" i="22" s="1"/>
  <c r="W157" i="22"/>
  <c r="D157" i="22"/>
  <c r="E157" i="22" s="1"/>
  <c r="F157" i="22" s="1"/>
  <c r="S161" i="22"/>
  <c r="R161" i="22" s="1"/>
  <c r="P161" i="22" s="1"/>
  <c r="V161" i="22" s="1"/>
  <c r="B161" i="22" s="1"/>
  <c r="D165" i="22"/>
  <c r="E165" i="22" s="1"/>
  <c r="F165" i="22" s="1"/>
  <c r="W165" i="22"/>
  <c r="S169" i="22"/>
  <c r="R169" i="22" s="1"/>
  <c r="P169" i="22" s="1"/>
  <c r="V169" i="22" s="1"/>
  <c r="B169" i="22" s="1"/>
  <c r="D173" i="22"/>
  <c r="E173" i="22" s="1"/>
  <c r="F173" i="22" s="1"/>
  <c r="W173" i="22"/>
  <c r="D177" i="22"/>
  <c r="E177" i="22" s="1"/>
  <c r="F177" i="22" s="1"/>
  <c r="W177" i="22"/>
  <c r="D181" i="22"/>
  <c r="E181" i="22" s="1"/>
  <c r="F181" i="22" s="1"/>
  <c r="W181" i="22"/>
  <c r="D185" i="22"/>
  <c r="E185" i="22" s="1"/>
  <c r="F185" i="22" s="1"/>
  <c r="W185" i="22"/>
  <c r="S189" i="22"/>
  <c r="R189" i="22" s="1"/>
  <c r="P189" i="22" s="1"/>
  <c r="V189" i="22" s="1"/>
  <c r="B189" i="22" s="1"/>
  <c r="S193" i="22"/>
  <c r="R193" i="22" s="1"/>
  <c r="P193" i="22" s="1"/>
  <c r="V193" i="22" s="1"/>
  <c r="B193" i="22" s="1"/>
  <c r="D197" i="22"/>
  <c r="E197" i="22" s="1"/>
  <c r="F197" i="22" s="1"/>
  <c r="W197" i="22"/>
  <c r="W201" i="22"/>
  <c r="D201" i="22"/>
  <c r="E201" i="22" s="1"/>
  <c r="F201" i="22" s="1"/>
  <c r="W205" i="22"/>
  <c r="D205" i="22"/>
  <c r="E205" i="22" s="1"/>
  <c r="F205" i="22" s="1"/>
  <c r="S209" i="22"/>
  <c r="R209" i="22" s="1"/>
  <c r="P209" i="22" s="1"/>
  <c r="V209" i="22" s="1"/>
  <c r="B209" i="22" s="1"/>
  <c r="D213" i="22"/>
  <c r="E213" i="22" s="1"/>
  <c r="F213" i="22" s="1"/>
  <c r="W213" i="22"/>
  <c r="S217" i="22"/>
  <c r="R217" i="22" s="1"/>
  <c r="P217" i="22" s="1"/>
  <c r="V217" i="22" s="1"/>
  <c r="B217" i="22" s="1"/>
  <c r="D221" i="22"/>
  <c r="E221" i="22" s="1"/>
  <c r="F221" i="22" s="1"/>
  <c r="W221" i="22"/>
  <c r="W225" i="22"/>
  <c r="D225" i="22"/>
  <c r="E225" i="22" s="1"/>
  <c r="F225" i="22" s="1"/>
  <c r="D229" i="22"/>
  <c r="E229" i="22" s="1"/>
  <c r="F229" i="22" s="1"/>
  <c r="W229" i="22"/>
  <c r="D233" i="22"/>
  <c r="E233" i="22" s="1"/>
  <c r="F233" i="22" s="1"/>
  <c r="W233" i="22"/>
  <c r="S237" i="22"/>
  <c r="R237" i="22" s="1"/>
  <c r="P237" i="22" s="1"/>
  <c r="V237" i="22" s="1"/>
  <c r="B237" i="22" s="1"/>
  <c r="AH39" i="7"/>
  <c r="V241" i="22"/>
  <c r="B241" i="22" s="1"/>
  <c r="S245" i="22"/>
  <c r="R245" i="22" s="1"/>
  <c r="P245" i="22" s="1"/>
  <c r="V245" i="22" s="1"/>
  <c r="B245" i="22" s="1"/>
  <c r="D249" i="22"/>
  <c r="E249" i="22" s="1"/>
  <c r="F249" i="22" s="1"/>
  <c r="W249" i="22"/>
  <c r="D253" i="22"/>
  <c r="E253" i="22" s="1"/>
  <c r="F253" i="22" s="1"/>
  <c r="W253" i="22"/>
  <c r="S257" i="22"/>
  <c r="R257" i="22" s="1"/>
  <c r="P257" i="22" s="1"/>
  <c r="V257" i="22" s="1"/>
  <c r="B257" i="22" s="1"/>
  <c r="S261" i="22"/>
  <c r="R261" i="22" s="1"/>
  <c r="P261" i="22" s="1"/>
  <c r="V261" i="22" s="1"/>
  <c r="B261" i="22" s="1"/>
  <c r="D265" i="22"/>
  <c r="E265" i="22" s="1"/>
  <c r="F265" i="22" s="1"/>
  <c r="W265" i="22"/>
  <c r="S269" i="22"/>
  <c r="R269" i="22" s="1"/>
  <c r="P269" i="22" s="1"/>
  <c r="V269" i="22" s="1"/>
  <c r="B269" i="22" s="1"/>
  <c r="S273" i="22"/>
  <c r="R273" i="22" s="1"/>
  <c r="P273" i="22" s="1"/>
  <c r="V273" i="22" s="1"/>
  <c r="B273" i="22" s="1"/>
  <c r="D277" i="22"/>
  <c r="E277" i="22" s="1"/>
  <c r="F277" i="22" s="1"/>
  <c r="W277" i="22"/>
  <c r="W281" i="22"/>
  <c r="D281" i="22"/>
  <c r="E281" i="22" s="1"/>
  <c r="F281" i="22" s="1"/>
  <c r="D285" i="22"/>
  <c r="E285" i="22" s="1"/>
  <c r="F285" i="22" s="1"/>
  <c r="W285" i="22"/>
  <c r="D289" i="22"/>
  <c r="E289" i="22" s="1"/>
  <c r="F289" i="22" s="1"/>
  <c r="W289" i="22"/>
  <c r="D293" i="22"/>
  <c r="E293" i="22" s="1"/>
  <c r="F293" i="22" s="1"/>
  <c r="W293" i="22"/>
  <c r="S297" i="22"/>
  <c r="R297" i="22" s="1"/>
  <c r="P297" i="22" s="1"/>
  <c r="V297" i="22" s="1"/>
  <c r="B297" i="22" s="1"/>
  <c r="W301" i="22"/>
  <c r="D301" i="22"/>
  <c r="E301" i="22" s="1"/>
  <c r="F301" i="22" s="1"/>
  <c r="D305" i="22"/>
  <c r="E305" i="22" s="1"/>
  <c r="F305" i="22" s="1"/>
  <c r="W305" i="22"/>
  <c r="S309" i="22"/>
  <c r="R309" i="22" s="1"/>
  <c r="P309" i="22" s="1"/>
  <c r="V309" i="22" s="1"/>
  <c r="B309" i="22" s="1"/>
  <c r="D313" i="22"/>
  <c r="E313" i="22" s="1"/>
  <c r="F313" i="22" s="1"/>
  <c r="W313" i="22"/>
  <c r="S317" i="22"/>
  <c r="R317" i="22" s="1"/>
  <c r="P317" i="22" s="1"/>
  <c r="V317" i="22" s="1"/>
  <c r="B317" i="22" s="1"/>
  <c r="W321" i="22"/>
  <c r="D321" i="22"/>
  <c r="E321" i="22" s="1"/>
  <c r="F321" i="22" s="1"/>
  <c r="W325" i="22"/>
  <c r="D325" i="22"/>
  <c r="E325" i="22" s="1"/>
  <c r="F325" i="22" s="1"/>
  <c r="D329" i="22"/>
  <c r="E329" i="22" s="1"/>
  <c r="F329" i="22" s="1"/>
  <c r="W329" i="22"/>
  <c r="AH42" i="7"/>
  <c r="V333" i="22"/>
  <c r="B333" i="22" s="1"/>
  <c r="S337" i="22"/>
  <c r="R337" i="22" s="1"/>
  <c r="P337" i="22" s="1"/>
  <c r="V337" i="22" s="1"/>
  <c r="B337" i="22" s="1"/>
  <c r="S341" i="22"/>
  <c r="R341" i="22" s="1"/>
  <c r="P341" i="22" s="1"/>
  <c r="V341" i="22" s="1"/>
  <c r="B341" i="22" s="1"/>
  <c r="W345" i="22"/>
  <c r="D345" i="22"/>
  <c r="E345" i="22" s="1"/>
  <c r="F345" i="22" s="1"/>
  <c r="S349" i="22"/>
  <c r="R349" i="22" s="1"/>
  <c r="P349" i="22" s="1"/>
  <c r="V349" i="22" s="1"/>
  <c r="S353" i="22"/>
  <c r="R353" i="22" s="1"/>
  <c r="P353" i="22" s="1"/>
  <c r="V353" i="22" s="1"/>
  <c r="B353" i="22" s="1"/>
  <c r="S357" i="22"/>
  <c r="R357" i="22" s="1"/>
  <c r="P357" i="22" s="1"/>
  <c r="V357" i="22" s="1"/>
  <c r="B357" i="22" s="1"/>
  <c r="S361" i="22"/>
  <c r="R361" i="22" s="1"/>
  <c r="P361" i="22" s="1"/>
  <c r="V361" i="22" s="1"/>
  <c r="B361" i="22" s="1"/>
  <c r="S365" i="22"/>
  <c r="R365" i="22" s="1"/>
  <c r="P365" i="22" s="1"/>
  <c r="V365" i="22" s="1"/>
  <c r="B365" i="22" s="1"/>
  <c r="W369" i="22"/>
  <c r="D369" i="22"/>
  <c r="E369" i="22" s="1"/>
  <c r="F369" i="22" s="1"/>
  <c r="W373" i="22"/>
  <c r="D373" i="22"/>
  <c r="E373" i="22" s="1"/>
  <c r="F373" i="22" s="1"/>
  <c r="D377" i="22"/>
  <c r="E377" i="22" s="1"/>
  <c r="F377" i="22" s="1"/>
  <c r="W377" i="22"/>
  <c r="AG17" i="22"/>
  <c r="AF17" i="22" s="1"/>
  <c r="AD17" i="22" s="1"/>
  <c r="AI381" i="22"/>
  <c r="AI383" i="22"/>
  <c r="AH15" i="22"/>
  <c r="AI382" i="22"/>
  <c r="AG23" i="22"/>
  <c r="AF23" i="22" s="1"/>
  <c r="AD23" i="22" s="1"/>
  <c r="AG27" i="22"/>
  <c r="AF27" i="22" s="1"/>
  <c r="AD27" i="22" s="1"/>
  <c r="AG31" i="22"/>
  <c r="AF31" i="22" s="1"/>
  <c r="AD31" i="22" s="1"/>
  <c r="AG35" i="22"/>
  <c r="AF35" i="22" s="1"/>
  <c r="AD35" i="22" s="1"/>
  <c r="AG43" i="22"/>
  <c r="AF43" i="22" s="1"/>
  <c r="AD43" i="22" s="1"/>
  <c r="AG51" i="22"/>
  <c r="AF51" i="22" s="1"/>
  <c r="AD51" i="22" s="1"/>
  <c r="AG59" i="22"/>
  <c r="AF59" i="22" s="1"/>
  <c r="AD59" i="22" s="1"/>
  <c r="AG71" i="22"/>
  <c r="AF71" i="22" s="1"/>
  <c r="AD71" i="22" s="1"/>
  <c r="AG75" i="22"/>
  <c r="AF75" i="22" s="1"/>
  <c r="AD75" i="22" s="1"/>
  <c r="AG87" i="22"/>
  <c r="AF87" i="22" s="1"/>
  <c r="AD87" i="22" s="1"/>
  <c r="AG95" i="22"/>
  <c r="AF95" i="22" s="1"/>
  <c r="AD95" i="22" s="1"/>
  <c r="AG99" i="22"/>
  <c r="AF99" i="22" s="1"/>
  <c r="AD99" i="22" s="1"/>
  <c r="AG107" i="22"/>
  <c r="AF107" i="22" s="1"/>
  <c r="AD107" i="22" s="1"/>
  <c r="AG111" i="22"/>
  <c r="AF111" i="22" s="1"/>
  <c r="AD111" i="22" s="1"/>
  <c r="AG127" i="22"/>
  <c r="AF127" i="22" s="1"/>
  <c r="AD127" i="22" s="1"/>
  <c r="AG131" i="22"/>
  <c r="AF131" i="22" s="1"/>
  <c r="AD131" i="22" s="1"/>
  <c r="AG139" i="22"/>
  <c r="AF139" i="22" s="1"/>
  <c r="AD139" i="22" s="1"/>
  <c r="AG163" i="22"/>
  <c r="AF163" i="22" s="1"/>
  <c r="AD163" i="22" s="1"/>
  <c r="AG171" i="22"/>
  <c r="AF171" i="22" s="1"/>
  <c r="AD171" i="22" s="1"/>
  <c r="AG183" i="22"/>
  <c r="AF183" i="22" s="1"/>
  <c r="AD183" i="22" s="1"/>
  <c r="AG191" i="22"/>
  <c r="AF191" i="22" s="1"/>
  <c r="AD191" i="22" s="1"/>
  <c r="AG195" i="22"/>
  <c r="AF195" i="22" s="1"/>
  <c r="AD195" i="22" s="1"/>
  <c r="AG207" i="22"/>
  <c r="AF207" i="22" s="1"/>
  <c r="AD207" i="22" s="1"/>
  <c r="AG219" i="22"/>
  <c r="AF219" i="22" s="1"/>
  <c r="AD219" i="22" s="1"/>
  <c r="AG231" i="22"/>
  <c r="AF231" i="22" s="1"/>
  <c r="AD231" i="22" s="1"/>
  <c r="AG247" i="22"/>
  <c r="AF247" i="22" s="1"/>
  <c r="AD247" i="22" s="1"/>
  <c r="AG255" i="22"/>
  <c r="AF255" i="22" s="1"/>
  <c r="AD255" i="22" s="1"/>
  <c r="AG263" i="22"/>
  <c r="AF263" i="22" s="1"/>
  <c r="AD263" i="22" s="1"/>
  <c r="AG275" i="22"/>
  <c r="AF275" i="22" s="1"/>
  <c r="AD275" i="22" s="1"/>
  <c r="AG279" i="22"/>
  <c r="AF279" i="22" s="1"/>
  <c r="AD279" i="22" s="1"/>
  <c r="AG291" i="22"/>
  <c r="AF291" i="22" s="1"/>
  <c r="AD291" i="22" s="1"/>
  <c r="AG295" i="22"/>
  <c r="AF295" i="22" s="1"/>
  <c r="AD295" i="22" s="1"/>
  <c r="AG303" i="22"/>
  <c r="AF303" i="22" s="1"/>
  <c r="AD303" i="22" s="1"/>
  <c r="AG315" i="22"/>
  <c r="AF315" i="22" s="1"/>
  <c r="AD315" i="22" s="1"/>
  <c r="AG343" i="22"/>
  <c r="AF343" i="22" s="1"/>
  <c r="AD343" i="22" s="1"/>
  <c r="AG347" i="22"/>
  <c r="AF347" i="22" s="1"/>
  <c r="AD347" i="22" s="1"/>
  <c r="AG355" i="22"/>
  <c r="AF355" i="22" s="1"/>
  <c r="AD355" i="22" s="1"/>
  <c r="AG363" i="22"/>
  <c r="AF363" i="22" s="1"/>
  <c r="AD363" i="22" s="1"/>
  <c r="AG367" i="22"/>
  <c r="AF367" i="22" s="1"/>
  <c r="AD367" i="22" s="1"/>
  <c r="AG371" i="22"/>
  <c r="AF371" i="22" s="1"/>
  <c r="AD371" i="22" s="1"/>
  <c r="AH379" i="22"/>
  <c r="AG379" i="22" s="1"/>
  <c r="AF379" i="22" s="1"/>
  <c r="AD379" i="22" s="1"/>
  <c r="AI12" i="23"/>
  <c r="I17" i="20"/>
  <c r="J17" i="20"/>
  <c r="I22" i="20"/>
  <c r="J22" i="20"/>
  <c r="I26" i="20"/>
  <c r="J26" i="20"/>
  <c r="I50" i="20"/>
  <c r="J50" i="20"/>
  <c r="I62" i="20"/>
  <c r="J62" i="20"/>
  <c r="AA74" i="20"/>
  <c r="Z74" i="20" s="1"/>
  <c r="Y74" i="20" s="1"/>
  <c r="H74" i="20"/>
  <c r="G74" i="20"/>
  <c r="CB74" i="6" s="1"/>
  <c r="I82" i="20"/>
  <c r="J82" i="20"/>
  <c r="I120" i="20"/>
  <c r="J120" i="20"/>
  <c r="I262" i="20"/>
  <c r="J262" i="20"/>
  <c r="J322" i="20"/>
  <c r="I322" i="20"/>
  <c r="J71" i="20"/>
  <c r="I71" i="20"/>
  <c r="H135" i="20"/>
  <c r="I323" i="20"/>
  <c r="J323" i="20"/>
  <c r="I365" i="20"/>
  <c r="J365" i="20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I65" i="20"/>
  <c r="J65" i="20"/>
  <c r="H105" i="20"/>
  <c r="G105" i="20"/>
  <c r="CB105" i="6" s="1"/>
  <c r="AA105" i="20"/>
  <c r="Z105" i="20" s="1"/>
  <c r="Y105" i="20" s="1"/>
  <c r="J113" i="20"/>
  <c r="I113" i="20"/>
  <c r="AA119" i="20"/>
  <c r="Z119" i="20" s="1"/>
  <c r="Y119" i="20" s="1"/>
  <c r="H119" i="20"/>
  <c r="G119" i="20"/>
  <c r="CB119" i="6" s="1"/>
  <c r="J131" i="20"/>
  <c r="I131" i="20"/>
  <c r="I147" i="20"/>
  <c r="J147" i="20"/>
  <c r="I183" i="20"/>
  <c r="J183" i="20"/>
  <c r="J237" i="20"/>
  <c r="I237" i="20"/>
  <c r="I261" i="20"/>
  <c r="J261" i="20"/>
  <c r="J277" i="20"/>
  <c r="I277" i="20"/>
  <c r="I285" i="20"/>
  <c r="J285" i="20"/>
  <c r="J299" i="20"/>
  <c r="I299" i="20"/>
  <c r="I329" i="20"/>
  <c r="J329" i="20"/>
  <c r="I44" i="20"/>
  <c r="J44" i="20"/>
  <c r="I98" i="20"/>
  <c r="J98" i="20"/>
  <c r="J136" i="20"/>
  <c r="I136" i="20"/>
  <c r="J152" i="20"/>
  <c r="I152" i="20"/>
  <c r="I158" i="20"/>
  <c r="J158" i="20"/>
  <c r="J168" i="20"/>
  <c r="I168" i="20"/>
  <c r="I174" i="20"/>
  <c r="J174" i="20"/>
  <c r="J200" i="20"/>
  <c r="I200" i="20"/>
  <c r="I252" i="20"/>
  <c r="J252" i="20"/>
  <c r="I264" i="20"/>
  <c r="J264" i="20"/>
  <c r="D288" i="22"/>
  <c r="E288" i="22" s="1"/>
  <c r="F288" i="22" s="1"/>
  <c r="W288" i="22"/>
  <c r="H302" i="20"/>
  <c r="G302" i="20"/>
  <c r="CB302" i="6" s="1"/>
  <c r="AA302" i="20"/>
  <c r="Z302" i="20" s="1"/>
  <c r="Y302" i="20" s="1"/>
  <c r="J326" i="20"/>
  <c r="I326" i="20"/>
  <c r="J340" i="20"/>
  <c r="I340" i="20"/>
  <c r="J378" i="20"/>
  <c r="I378" i="20"/>
  <c r="G29" i="20"/>
  <c r="CB29" i="6" s="1"/>
  <c r="AA29" i="20"/>
  <c r="Z29" i="20" s="1"/>
  <c r="Y29" i="20" s="1"/>
  <c r="H29" i="20"/>
  <c r="I39" i="20"/>
  <c r="J39" i="20"/>
  <c r="J73" i="20"/>
  <c r="I73" i="20"/>
  <c r="I99" i="20"/>
  <c r="J99" i="20"/>
  <c r="I103" i="20"/>
  <c r="J103" i="20"/>
  <c r="I121" i="20"/>
  <c r="J121" i="20"/>
  <c r="J133" i="20"/>
  <c r="I133" i="20"/>
  <c r="J141" i="20"/>
  <c r="I141" i="20"/>
  <c r="J173" i="20"/>
  <c r="I173" i="20"/>
  <c r="I253" i="20"/>
  <c r="J253" i="20"/>
  <c r="I263" i="20"/>
  <c r="J263" i="20"/>
  <c r="I279" i="20"/>
  <c r="J279" i="20"/>
  <c r="J297" i="20"/>
  <c r="I297" i="20"/>
  <c r="I305" i="20"/>
  <c r="J305" i="20"/>
  <c r="I341" i="20"/>
  <c r="J341" i="20"/>
  <c r="I347" i="20"/>
  <c r="J347" i="20"/>
  <c r="J353" i="20"/>
  <c r="I353" i="20"/>
  <c r="J40" i="20"/>
  <c r="I40" i="20"/>
  <c r="J102" i="20"/>
  <c r="I102" i="20"/>
  <c r="I142" i="20"/>
  <c r="J142" i="20"/>
  <c r="I170" i="20"/>
  <c r="J170" i="20"/>
  <c r="I192" i="20"/>
  <c r="J192" i="20"/>
  <c r="J230" i="20"/>
  <c r="I230" i="20"/>
  <c r="J260" i="20"/>
  <c r="I260" i="20"/>
  <c r="J266" i="20"/>
  <c r="I266" i="20"/>
  <c r="AA272" i="20"/>
  <c r="Z272" i="20" s="1"/>
  <c r="Y272" i="20" s="1"/>
  <c r="G272" i="20"/>
  <c r="CB272" i="6" s="1"/>
  <c r="H272" i="20"/>
  <c r="J294" i="20"/>
  <c r="I294" i="20"/>
  <c r="J298" i="20"/>
  <c r="I298" i="20"/>
  <c r="I338" i="20"/>
  <c r="J338" i="20"/>
  <c r="J21" i="20"/>
  <c r="I21" i="20"/>
  <c r="I75" i="20"/>
  <c r="J75" i="20"/>
  <c r="I225" i="20"/>
  <c r="J225" i="20"/>
  <c r="I269" i="20"/>
  <c r="J269" i="20"/>
  <c r="I349" i="20"/>
  <c r="J349" i="20"/>
  <c r="D17" i="22"/>
  <c r="E17" i="22" s="1"/>
  <c r="F17" i="22" s="1"/>
  <c r="W17" i="22"/>
  <c r="S21" i="22"/>
  <c r="R21" i="22" s="1"/>
  <c r="P21" i="22" s="1"/>
  <c r="V21" i="22" s="1"/>
  <c r="B21" i="22" s="1"/>
  <c r="W26" i="22"/>
  <c r="D26" i="22"/>
  <c r="E26" i="22" s="1"/>
  <c r="F26" i="22" s="1"/>
  <c r="S30" i="22"/>
  <c r="R30" i="22" s="1"/>
  <c r="P30" i="22" s="1"/>
  <c r="V30" i="22" s="1"/>
  <c r="B30" i="22" s="1"/>
  <c r="D34" i="22"/>
  <c r="E34" i="22" s="1"/>
  <c r="F34" i="22" s="1"/>
  <c r="W34" i="22"/>
  <c r="D38" i="22"/>
  <c r="E38" i="22" s="1"/>
  <c r="F38" i="22" s="1"/>
  <c r="W38" i="22"/>
  <c r="W42" i="22"/>
  <c r="D42" i="22"/>
  <c r="E42" i="22" s="1"/>
  <c r="F42" i="22" s="1"/>
  <c r="B46" i="22"/>
  <c r="S50" i="22"/>
  <c r="R50" i="22" s="1"/>
  <c r="P50" i="22" s="1"/>
  <c r="V50" i="22" s="1"/>
  <c r="B50" i="22" s="1"/>
  <c r="D54" i="22"/>
  <c r="E54" i="22" s="1"/>
  <c r="F54" i="22" s="1"/>
  <c r="W54" i="22"/>
  <c r="D58" i="22"/>
  <c r="E58" i="22" s="1"/>
  <c r="F58" i="22" s="1"/>
  <c r="W58" i="22"/>
  <c r="D62" i="22"/>
  <c r="E62" i="22" s="1"/>
  <c r="F62" i="22" s="1"/>
  <c r="W62" i="22"/>
  <c r="D66" i="22"/>
  <c r="E66" i="22" s="1"/>
  <c r="F66" i="22" s="1"/>
  <c r="W66" i="22"/>
  <c r="W70" i="22"/>
  <c r="D70" i="22"/>
  <c r="E70" i="22" s="1"/>
  <c r="F70" i="22" s="1"/>
  <c r="S78" i="22"/>
  <c r="R78" i="22" s="1"/>
  <c r="P78" i="22" s="1"/>
  <c r="V78" i="22" s="1"/>
  <c r="B78" i="22" s="1"/>
  <c r="W82" i="22"/>
  <c r="D82" i="22"/>
  <c r="E82" i="22" s="1"/>
  <c r="F82" i="22" s="1"/>
  <c r="S86" i="22"/>
  <c r="R86" i="22" s="1"/>
  <c r="P86" i="22" s="1"/>
  <c r="V86" i="22" s="1"/>
  <c r="B86" i="22" s="1"/>
  <c r="S90" i="22"/>
  <c r="R90" i="22" s="1"/>
  <c r="P90" i="22" s="1"/>
  <c r="V90" i="22" s="1"/>
  <c r="B90" i="22" s="1"/>
  <c r="D94" i="22"/>
  <c r="E94" i="22" s="1"/>
  <c r="F94" i="22" s="1"/>
  <c r="W94" i="22"/>
  <c r="S98" i="22"/>
  <c r="R98" i="22" s="1"/>
  <c r="P98" i="22" s="1"/>
  <c r="V98" i="22" s="1"/>
  <c r="B98" i="22" s="1"/>
  <c r="S102" i="22"/>
  <c r="R102" i="22" s="1"/>
  <c r="P102" i="22" s="1"/>
  <c r="V102" i="22" s="1"/>
  <c r="B102" i="22" s="1"/>
  <c r="W106" i="22"/>
  <c r="D106" i="22"/>
  <c r="E106" i="22" s="1"/>
  <c r="F106" i="22" s="1"/>
  <c r="S110" i="22"/>
  <c r="R110" i="22" s="1"/>
  <c r="P110" i="22" s="1"/>
  <c r="V110" i="22" s="1"/>
  <c r="B110" i="22" s="1"/>
  <c r="S114" i="22"/>
  <c r="R114" i="22" s="1"/>
  <c r="P114" i="22" s="1"/>
  <c r="V114" i="22" s="1"/>
  <c r="B114" i="22" s="1"/>
  <c r="S118" i="22"/>
  <c r="R118" i="22" s="1"/>
  <c r="P118" i="22" s="1"/>
  <c r="V118" i="22" s="1"/>
  <c r="B118" i="22" s="1"/>
  <c r="D122" i="22"/>
  <c r="E122" i="22" s="1"/>
  <c r="F122" i="22" s="1"/>
  <c r="W122" i="22"/>
  <c r="W126" i="22"/>
  <c r="D126" i="22"/>
  <c r="E126" i="22" s="1"/>
  <c r="F126" i="22" s="1"/>
  <c r="S130" i="22"/>
  <c r="R130" i="22" s="1"/>
  <c r="P130" i="22" s="1"/>
  <c r="V130" i="22" s="1"/>
  <c r="B130" i="22" s="1"/>
  <c r="D134" i="22"/>
  <c r="E134" i="22" s="1"/>
  <c r="F134" i="22" s="1"/>
  <c r="W134" i="22"/>
  <c r="D138" i="22"/>
  <c r="E138" i="22" s="1"/>
  <c r="F138" i="22" s="1"/>
  <c r="W138" i="22"/>
  <c r="S142" i="22"/>
  <c r="R142" i="22" s="1"/>
  <c r="P142" i="22" s="1"/>
  <c r="V142" i="22" s="1"/>
  <c r="B142" i="22" s="1"/>
  <c r="S146" i="22"/>
  <c r="R146" i="22" s="1"/>
  <c r="P146" i="22" s="1"/>
  <c r="V146" i="22" s="1"/>
  <c r="B146" i="22" s="1"/>
  <c r="S150" i="22"/>
  <c r="R150" i="22" s="1"/>
  <c r="P150" i="22" s="1"/>
  <c r="V150" i="22" s="1"/>
  <c r="B150" i="22" s="1"/>
  <c r="S154" i="22"/>
  <c r="R154" i="22" s="1"/>
  <c r="P154" i="22" s="1"/>
  <c r="V154" i="22" s="1"/>
  <c r="B154" i="22" s="1"/>
  <c r="S158" i="22"/>
  <c r="R158" i="22" s="1"/>
  <c r="P158" i="22" s="1"/>
  <c r="V158" i="22" s="1"/>
  <c r="B158" i="22" s="1"/>
  <c r="W162" i="22"/>
  <c r="D162" i="22"/>
  <c r="E162" i="22" s="1"/>
  <c r="F162" i="22" s="1"/>
  <c r="S166" i="22"/>
  <c r="R166" i="22" s="1"/>
  <c r="P166" i="22" s="1"/>
  <c r="V166" i="22" s="1"/>
  <c r="D170" i="22"/>
  <c r="E170" i="22" s="1"/>
  <c r="F170" i="22" s="1"/>
  <c r="W170" i="22"/>
  <c r="W174" i="22"/>
  <c r="D174" i="22"/>
  <c r="E174" i="22" s="1"/>
  <c r="F174" i="22" s="1"/>
  <c r="S178" i="22"/>
  <c r="R178" i="22" s="1"/>
  <c r="P178" i="22" s="1"/>
  <c r="V178" i="22" s="1"/>
  <c r="B178" i="22" s="1"/>
  <c r="S182" i="22"/>
  <c r="R182" i="22" s="1"/>
  <c r="P182" i="22" s="1"/>
  <c r="V182" i="22" s="1"/>
  <c r="B182" i="22" s="1"/>
  <c r="D186" i="22"/>
  <c r="E186" i="22" s="1"/>
  <c r="F186" i="22" s="1"/>
  <c r="W186" i="22"/>
  <c r="S190" i="22"/>
  <c r="R190" i="22" s="1"/>
  <c r="P190" i="22" s="1"/>
  <c r="V190" i="22" s="1"/>
  <c r="B190" i="22" s="1"/>
  <c r="S194" i="22"/>
  <c r="R194" i="22" s="1"/>
  <c r="P194" i="22" s="1"/>
  <c r="V194" i="22" s="1"/>
  <c r="B194" i="22" s="1"/>
  <c r="S198" i="22"/>
  <c r="R198" i="22" s="1"/>
  <c r="P198" i="22" s="1"/>
  <c r="V198" i="22" s="1"/>
  <c r="B198" i="22" s="1"/>
  <c r="S202" i="22"/>
  <c r="R202" i="22" s="1"/>
  <c r="P202" i="22" s="1"/>
  <c r="V202" i="22" s="1"/>
  <c r="B202" i="22" s="1"/>
  <c r="D206" i="22"/>
  <c r="E206" i="22" s="1"/>
  <c r="F206" i="22" s="1"/>
  <c r="W206" i="22"/>
  <c r="S210" i="22"/>
  <c r="R210" i="22" s="1"/>
  <c r="P210" i="22" s="1"/>
  <c r="W214" i="22"/>
  <c r="D214" i="22"/>
  <c r="E214" i="22" s="1"/>
  <c r="F214" i="22" s="1"/>
  <c r="S218" i="22"/>
  <c r="R218" i="22" s="1"/>
  <c r="P218" i="22" s="1"/>
  <c r="V218" i="22" s="1"/>
  <c r="B218" i="22" s="1"/>
  <c r="D222" i="22"/>
  <c r="E222" i="22" s="1"/>
  <c r="F222" i="22" s="1"/>
  <c r="W222" i="22"/>
  <c r="S226" i="22"/>
  <c r="R226" i="22" s="1"/>
  <c r="P226" i="22" s="1"/>
  <c r="V226" i="22" s="1"/>
  <c r="B226" i="22" s="1"/>
  <c r="S230" i="22"/>
  <c r="R230" i="22" s="1"/>
  <c r="P230" i="22" s="1"/>
  <c r="V230" i="22" s="1"/>
  <c r="B230" i="22" s="1"/>
  <c r="S234" i="22"/>
  <c r="R234" i="22" s="1"/>
  <c r="P234" i="22" s="1"/>
  <c r="V234" i="22" s="1"/>
  <c r="B234" i="22" s="1"/>
  <c r="S238" i="22"/>
  <c r="R238" i="22" s="1"/>
  <c r="P238" i="22" s="1"/>
  <c r="V238" i="22" s="1"/>
  <c r="B238" i="22" s="1"/>
  <c r="S242" i="22"/>
  <c r="R242" i="22" s="1"/>
  <c r="P242" i="22" s="1"/>
  <c r="V242" i="22" s="1"/>
  <c r="B242" i="22" s="1"/>
  <c r="S246" i="22"/>
  <c r="R246" i="22" s="1"/>
  <c r="P246" i="22" s="1"/>
  <c r="V246" i="22" s="1"/>
  <c r="B246" i="22" s="1"/>
  <c r="D250" i="22"/>
  <c r="E250" i="22" s="1"/>
  <c r="F250" i="22" s="1"/>
  <c r="W250" i="22"/>
  <c r="W254" i="22"/>
  <c r="D254" i="22"/>
  <c r="E254" i="22" s="1"/>
  <c r="F254" i="22" s="1"/>
  <c r="S258" i="22"/>
  <c r="R258" i="22" s="1"/>
  <c r="P258" i="22" s="1"/>
  <c r="V258" i="22" s="1"/>
  <c r="W262" i="22"/>
  <c r="D262" i="22"/>
  <c r="E262" i="22" s="1"/>
  <c r="F262" i="22" s="1"/>
  <c r="S266" i="22"/>
  <c r="R266" i="22" s="1"/>
  <c r="P266" i="22" s="1"/>
  <c r="V266" i="22" s="1"/>
  <c r="B266" i="22" s="1"/>
  <c r="D270" i="22"/>
  <c r="E270" i="22" s="1"/>
  <c r="F270" i="22" s="1"/>
  <c r="W270" i="22"/>
  <c r="S274" i="22"/>
  <c r="R274" i="22" s="1"/>
  <c r="P274" i="22" s="1"/>
  <c r="V274" i="22" s="1"/>
  <c r="B274" i="22" s="1"/>
  <c r="W278" i="22"/>
  <c r="D278" i="22"/>
  <c r="E278" i="22" s="1"/>
  <c r="F278" i="22" s="1"/>
  <c r="W282" i="22"/>
  <c r="D282" i="22"/>
  <c r="E282" i="22" s="1"/>
  <c r="F282" i="22" s="1"/>
  <c r="S286" i="22"/>
  <c r="R286" i="22" s="1"/>
  <c r="P286" i="22" s="1"/>
  <c r="V286" i="22" s="1"/>
  <c r="B286" i="22" s="1"/>
  <c r="W290" i="22"/>
  <c r="D290" i="22"/>
  <c r="E290" i="22" s="1"/>
  <c r="F290" i="22" s="1"/>
  <c r="W294" i="22"/>
  <c r="D294" i="22"/>
  <c r="E294" i="22" s="1"/>
  <c r="F294" i="22" s="1"/>
  <c r="W298" i="22"/>
  <c r="D298" i="22"/>
  <c r="E298" i="22" s="1"/>
  <c r="F298" i="22" s="1"/>
  <c r="AH41" i="7"/>
  <c r="V302" i="22"/>
  <c r="B302" i="22" s="1"/>
  <c r="W306" i="22"/>
  <c r="D306" i="22"/>
  <c r="E306" i="22" s="1"/>
  <c r="F306" i="22" s="1"/>
  <c r="D310" i="22"/>
  <c r="E310" i="22" s="1"/>
  <c r="F310" i="22" s="1"/>
  <c r="W310" i="22"/>
  <c r="S314" i="22"/>
  <c r="R314" i="22" s="1"/>
  <c r="P314" i="22" s="1"/>
  <c r="V314" i="22" s="1"/>
  <c r="B314" i="22" s="1"/>
  <c r="D318" i="22"/>
  <c r="E318" i="22" s="1"/>
  <c r="F318" i="22" s="1"/>
  <c r="W318" i="22"/>
  <c r="W322" i="22"/>
  <c r="D322" i="22"/>
  <c r="E322" i="22" s="1"/>
  <c r="F322" i="22" s="1"/>
  <c r="S326" i="22"/>
  <c r="R326" i="22" s="1"/>
  <c r="P326" i="22" s="1"/>
  <c r="V326" i="22" s="1"/>
  <c r="B326" i="22" s="1"/>
  <c r="S330" i="22"/>
  <c r="R330" i="22" s="1"/>
  <c r="P330" i="22" s="1"/>
  <c r="V330" i="22" s="1"/>
  <c r="B330" i="22" s="1"/>
  <c r="S334" i="22"/>
  <c r="R334" i="22" s="1"/>
  <c r="P334" i="22" s="1"/>
  <c r="V334" i="22" s="1"/>
  <c r="B334" i="22" s="1"/>
  <c r="D338" i="22"/>
  <c r="E338" i="22" s="1"/>
  <c r="F338" i="22" s="1"/>
  <c r="W338" i="22"/>
  <c r="S342" i="22"/>
  <c r="R342" i="22" s="1"/>
  <c r="P342" i="22" s="1"/>
  <c r="V342" i="22" s="1"/>
  <c r="B342" i="22" s="1"/>
  <c r="S346" i="22"/>
  <c r="R346" i="22" s="1"/>
  <c r="P346" i="22" s="1"/>
  <c r="V346" i="22" s="1"/>
  <c r="B346" i="22" s="1"/>
  <c r="S350" i="22"/>
  <c r="R350" i="22" s="1"/>
  <c r="P350" i="22" s="1"/>
  <c r="V350" i="22" s="1"/>
  <c r="B350" i="22" s="1"/>
  <c r="W354" i="22"/>
  <c r="D354" i="22"/>
  <c r="E354" i="22" s="1"/>
  <c r="F354" i="22" s="1"/>
  <c r="D358" i="22"/>
  <c r="E358" i="22" s="1"/>
  <c r="F358" i="22" s="1"/>
  <c r="W358" i="22"/>
  <c r="W362" i="22"/>
  <c r="D362" i="22"/>
  <c r="E362" i="22" s="1"/>
  <c r="F362" i="22" s="1"/>
  <c r="D366" i="22"/>
  <c r="E366" i="22" s="1"/>
  <c r="F366" i="22" s="1"/>
  <c r="W366" i="22"/>
  <c r="D370" i="22"/>
  <c r="E370" i="22" s="1"/>
  <c r="F370" i="22" s="1"/>
  <c r="W370" i="22"/>
  <c r="S374" i="22"/>
  <c r="R374" i="22" s="1"/>
  <c r="P374" i="22" s="1"/>
  <c r="V374" i="22" s="1"/>
  <c r="B374" i="22" s="1"/>
  <c r="S378" i="22"/>
  <c r="R378" i="22" s="1"/>
  <c r="P378" i="22" s="1"/>
  <c r="V378" i="22" s="1"/>
  <c r="B378" i="22" s="1"/>
  <c r="G379" i="20"/>
  <c r="CB379" i="6" s="1"/>
  <c r="AA379" i="20"/>
  <c r="Z379" i="20" s="1"/>
  <c r="Y379" i="20" s="1"/>
  <c r="H379" i="20"/>
  <c r="AG20" i="22"/>
  <c r="AF20" i="22" s="1"/>
  <c r="AD20" i="22" s="1"/>
  <c r="AG16" i="22"/>
  <c r="AF16" i="22" s="1"/>
  <c r="AD16" i="22" s="1"/>
  <c r="AG24" i="22"/>
  <c r="AF24" i="22" s="1"/>
  <c r="AD24" i="22" s="1"/>
  <c r="AG40" i="22"/>
  <c r="AF40" i="22" s="1"/>
  <c r="AD40" i="22" s="1"/>
  <c r="AG44" i="22"/>
  <c r="AF44" i="22" s="1"/>
  <c r="AD44" i="22" s="1"/>
  <c r="AG68" i="22"/>
  <c r="AF68" i="22" s="1"/>
  <c r="AD68" i="22" s="1"/>
  <c r="AG72" i="22"/>
  <c r="AF72" i="22" s="1"/>
  <c r="AD72" i="22" s="1"/>
  <c r="AG76" i="22"/>
  <c r="AF76" i="22" s="1"/>
  <c r="AD76" i="22" s="1"/>
  <c r="AG80" i="22"/>
  <c r="AF80" i="22" s="1"/>
  <c r="AD80" i="22" s="1"/>
  <c r="AG84" i="22"/>
  <c r="AF84" i="22" s="1"/>
  <c r="AD84" i="22" s="1"/>
  <c r="AG88" i="22"/>
  <c r="AF88" i="22" s="1"/>
  <c r="AD88" i="22" s="1"/>
  <c r="AG92" i="22"/>
  <c r="AF92" i="22" s="1"/>
  <c r="AD92" i="22" s="1"/>
  <c r="AG100" i="22"/>
  <c r="AF100" i="22" s="1"/>
  <c r="AD100" i="22" s="1"/>
  <c r="AG112" i="22"/>
  <c r="AF112" i="22" s="1"/>
  <c r="AD112" i="22" s="1"/>
  <c r="AG128" i="22"/>
  <c r="AF128" i="22" s="1"/>
  <c r="AD128" i="22" s="1"/>
  <c r="AG136" i="22"/>
  <c r="AF136" i="22" s="1"/>
  <c r="AD136" i="22" s="1"/>
  <c r="AG148" i="22"/>
  <c r="AF148" i="22" s="1"/>
  <c r="AD148" i="22" s="1"/>
  <c r="AG152" i="22"/>
  <c r="AF152" i="22" s="1"/>
  <c r="AD152" i="22" s="1"/>
  <c r="AG160" i="22"/>
  <c r="AF160" i="22" s="1"/>
  <c r="AD160" i="22" s="1"/>
  <c r="AG164" i="22"/>
  <c r="AF164" i="22" s="1"/>
  <c r="AD164" i="22" s="1"/>
  <c r="AG168" i="22"/>
  <c r="AF168" i="22" s="1"/>
  <c r="AD168" i="22" s="1"/>
  <c r="AG172" i="22"/>
  <c r="AF172" i="22" s="1"/>
  <c r="AD172" i="22" s="1"/>
  <c r="AG180" i="22"/>
  <c r="AF180" i="22" s="1"/>
  <c r="AD180" i="22" s="1"/>
  <c r="AG184" i="22"/>
  <c r="AF184" i="22" s="1"/>
  <c r="AD184" i="22" s="1"/>
  <c r="AG192" i="22"/>
  <c r="AF192" i="22" s="1"/>
  <c r="AD192" i="22" s="1"/>
  <c r="AG204" i="22"/>
  <c r="AF204" i="22" s="1"/>
  <c r="AD204" i="22" s="1"/>
  <c r="AG212" i="22"/>
  <c r="AF212" i="22" s="1"/>
  <c r="AD212" i="22" s="1"/>
  <c r="AG220" i="22"/>
  <c r="AF220" i="22" s="1"/>
  <c r="AD220" i="22" s="1"/>
  <c r="AG240" i="22"/>
  <c r="AF240" i="22" s="1"/>
  <c r="AD240" i="22" s="1"/>
  <c r="AG248" i="22"/>
  <c r="AF248" i="22" s="1"/>
  <c r="AD248" i="22" s="1"/>
  <c r="AG260" i="22"/>
  <c r="AF260" i="22" s="1"/>
  <c r="AD260" i="22" s="1"/>
  <c r="AG272" i="22"/>
  <c r="AF272" i="22" s="1"/>
  <c r="AD272" i="22" s="1"/>
  <c r="AG296" i="22"/>
  <c r="AF296" i="22" s="1"/>
  <c r="AD296" i="22" s="1"/>
  <c r="AG300" i="22"/>
  <c r="AF300" i="22" s="1"/>
  <c r="AD300" i="22" s="1"/>
  <c r="AG304" i="22"/>
  <c r="AF304" i="22" s="1"/>
  <c r="AD304" i="22" s="1"/>
  <c r="AG324" i="22"/>
  <c r="AF324" i="22" s="1"/>
  <c r="AD324" i="22" s="1"/>
  <c r="AG332" i="22"/>
  <c r="AF332" i="22" s="1"/>
  <c r="AD332" i="22" s="1"/>
  <c r="AG336" i="22"/>
  <c r="AF336" i="22" s="1"/>
  <c r="AD336" i="22" s="1"/>
  <c r="AG340" i="22"/>
  <c r="AF340" i="22" s="1"/>
  <c r="AD340" i="22" s="1"/>
  <c r="AG352" i="22"/>
  <c r="AF352" i="22" s="1"/>
  <c r="AD352" i="22" s="1"/>
  <c r="AG360" i="22"/>
  <c r="AF360" i="22" s="1"/>
  <c r="AD360" i="22" s="1"/>
  <c r="AG364" i="22"/>
  <c r="AF364" i="22" s="1"/>
  <c r="AD364" i="22" s="1"/>
  <c r="AG368" i="22"/>
  <c r="AF368" i="22" s="1"/>
  <c r="AD368" i="22" s="1"/>
  <c r="AG372" i="22"/>
  <c r="AF372" i="22" s="1"/>
  <c r="AD372" i="22" s="1"/>
  <c r="AG380" i="22"/>
  <c r="AF380" i="22" s="1"/>
  <c r="AD380" i="22" s="1"/>
  <c r="I34" i="20"/>
  <c r="J34" i="20"/>
  <c r="I58" i="20"/>
  <c r="J58" i="20"/>
  <c r="J66" i="20"/>
  <c r="I66" i="20"/>
  <c r="I78" i="20"/>
  <c r="J78" i="20"/>
  <c r="J84" i="20"/>
  <c r="I84" i="20"/>
  <c r="J124" i="20"/>
  <c r="I124" i="20"/>
  <c r="I182" i="20"/>
  <c r="J182" i="20"/>
  <c r="I360" i="20"/>
  <c r="J360" i="20"/>
  <c r="I16" i="20"/>
  <c r="J16" i="20"/>
  <c r="J45" i="20"/>
  <c r="I45" i="20"/>
  <c r="I223" i="20"/>
  <c r="J223" i="20"/>
  <c r="D29" i="6"/>
  <c r="O4" i="6"/>
  <c r="J155" i="20"/>
  <c r="I155" i="20"/>
  <c r="J79" i="20"/>
  <c r="I79" i="20"/>
  <c r="I101" i="20"/>
  <c r="J101" i="20"/>
  <c r="I109" i="20"/>
  <c r="J109" i="20"/>
  <c r="J139" i="20"/>
  <c r="I139" i="20"/>
  <c r="I193" i="20"/>
  <c r="J193" i="20"/>
  <c r="J209" i="20"/>
  <c r="I209" i="20"/>
  <c r="J219" i="20"/>
  <c r="I219" i="20"/>
  <c r="I251" i="20"/>
  <c r="J251" i="20"/>
  <c r="I265" i="20"/>
  <c r="J265" i="20"/>
  <c r="J293" i="20"/>
  <c r="I293" i="20"/>
  <c r="I317" i="20"/>
  <c r="J317" i="20"/>
  <c r="I355" i="20"/>
  <c r="J355" i="20"/>
  <c r="J361" i="20"/>
  <c r="I361" i="20"/>
  <c r="J371" i="20"/>
  <c r="I371" i="20"/>
  <c r="J377" i="20"/>
  <c r="I377" i="20"/>
  <c r="I104" i="20"/>
  <c r="J104" i="20"/>
  <c r="J144" i="20"/>
  <c r="I144" i="20"/>
  <c r="I164" i="20"/>
  <c r="J164" i="20"/>
  <c r="J178" i="20"/>
  <c r="I178" i="20"/>
  <c r="J186" i="20"/>
  <c r="I186" i="20"/>
  <c r="I190" i="20"/>
  <c r="J190" i="20"/>
  <c r="I216" i="20"/>
  <c r="J216" i="20"/>
  <c r="I224" i="20"/>
  <c r="J224" i="20"/>
  <c r="J232" i="20"/>
  <c r="I232" i="20"/>
  <c r="J244" i="20"/>
  <c r="I244" i="20"/>
  <c r="I274" i="20"/>
  <c r="J274" i="20"/>
  <c r="I320" i="20"/>
  <c r="J320" i="20"/>
  <c r="I336" i="20"/>
  <c r="J336" i="20"/>
  <c r="I356" i="20"/>
  <c r="J356" i="20"/>
  <c r="J362" i="20"/>
  <c r="I362" i="20"/>
  <c r="J35" i="20"/>
  <c r="I35" i="20"/>
  <c r="J63" i="20"/>
  <c r="I63" i="20"/>
  <c r="J83" i="20"/>
  <c r="I83" i="20"/>
  <c r="J153" i="20"/>
  <c r="I153" i="20"/>
  <c r="J195" i="20"/>
  <c r="I195" i="20"/>
  <c r="J203" i="20"/>
  <c r="I203" i="20"/>
  <c r="J211" i="20"/>
  <c r="I211" i="20"/>
  <c r="J245" i="20"/>
  <c r="I245" i="20"/>
  <c r="J275" i="20"/>
  <c r="I275" i="20"/>
  <c r="I287" i="20"/>
  <c r="J287" i="20"/>
  <c r="J359" i="20"/>
  <c r="I359" i="20"/>
  <c r="J126" i="20"/>
  <c r="I126" i="20"/>
  <c r="I146" i="20"/>
  <c r="J146" i="20"/>
  <c r="I162" i="20"/>
  <c r="J162" i="20"/>
  <c r="I176" i="20"/>
  <c r="J176" i="20"/>
  <c r="J184" i="20"/>
  <c r="I184" i="20"/>
  <c r="J202" i="20"/>
  <c r="I202" i="20"/>
  <c r="J212" i="20"/>
  <c r="I212" i="20"/>
  <c r="I242" i="20"/>
  <c r="J242" i="20"/>
  <c r="I312" i="20"/>
  <c r="J312" i="20"/>
  <c r="I143" i="20"/>
  <c r="J143" i="20"/>
  <c r="J161" i="20"/>
  <c r="I161" i="20"/>
  <c r="I239" i="20"/>
  <c r="J239" i="20"/>
  <c r="I345" i="20"/>
  <c r="J345" i="20"/>
  <c r="D22" i="22"/>
  <c r="E22" i="22" s="1"/>
  <c r="F22" i="22" s="1"/>
  <c r="W22" i="22"/>
  <c r="S19" i="22"/>
  <c r="R19" i="22" s="1"/>
  <c r="P19" i="22" s="1"/>
  <c r="V19" i="22" s="1"/>
  <c r="B19" i="22" s="1"/>
  <c r="S16" i="22"/>
  <c r="R16" i="22" s="1"/>
  <c r="P16" i="22" s="1"/>
  <c r="V16" i="22" s="1"/>
  <c r="B16" i="22" s="1"/>
  <c r="S27" i="22"/>
  <c r="R27" i="22" s="1"/>
  <c r="P27" i="22" s="1"/>
  <c r="V27" i="22" s="1"/>
  <c r="B27" i="22" s="1"/>
  <c r="D31" i="22"/>
  <c r="E31" i="22" s="1"/>
  <c r="F31" i="22" s="1"/>
  <c r="W31" i="22"/>
  <c r="D35" i="22"/>
  <c r="E35" i="22" s="1"/>
  <c r="F35" i="22" s="1"/>
  <c r="W35" i="22"/>
  <c r="W39" i="22"/>
  <c r="D39" i="22"/>
  <c r="E39" i="22" s="1"/>
  <c r="F39" i="22" s="1"/>
  <c r="D43" i="22"/>
  <c r="E43" i="22" s="1"/>
  <c r="F43" i="22" s="1"/>
  <c r="W43" i="22"/>
  <c r="D47" i="22"/>
  <c r="E47" i="22" s="1"/>
  <c r="F47" i="22" s="1"/>
  <c r="W47" i="22"/>
  <c r="S51" i="22"/>
  <c r="R51" i="22" s="1"/>
  <c r="P51" i="22" s="1"/>
  <c r="V51" i="22" s="1"/>
  <c r="B51" i="22" s="1"/>
  <c r="S55" i="22"/>
  <c r="R55" i="22" s="1"/>
  <c r="P55" i="22" s="1"/>
  <c r="V55" i="22" s="1"/>
  <c r="B55" i="22" s="1"/>
  <c r="S59" i="22"/>
  <c r="R59" i="22" s="1"/>
  <c r="P59" i="22" s="1"/>
  <c r="V59" i="22" s="1"/>
  <c r="B59" i="22" s="1"/>
  <c r="S63" i="22"/>
  <c r="R63" i="22" s="1"/>
  <c r="P63" i="22" s="1"/>
  <c r="V63" i="22" s="1"/>
  <c r="B63" i="22" s="1"/>
  <c r="W67" i="22"/>
  <c r="D67" i="22"/>
  <c r="E67" i="22" s="1"/>
  <c r="F67" i="22" s="1"/>
  <c r="S71" i="22"/>
  <c r="R71" i="22" s="1"/>
  <c r="P71" i="22" s="1"/>
  <c r="V71" i="22" s="1"/>
  <c r="B71" i="22" s="1"/>
  <c r="S75" i="22"/>
  <c r="R75" i="22" s="1"/>
  <c r="P75" i="22" s="1"/>
  <c r="V75" i="22" s="1"/>
  <c r="S79" i="22"/>
  <c r="R79" i="22" s="1"/>
  <c r="P79" i="22" s="1"/>
  <c r="V79" i="22" s="1"/>
  <c r="B79" i="22" s="1"/>
  <c r="D83" i="22"/>
  <c r="E83" i="22" s="1"/>
  <c r="F83" i="22" s="1"/>
  <c r="W83" i="22"/>
  <c r="S87" i="22"/>
  <c r="R87" i="22" s="1"/>
  <c r="P87" i="22" s="1"/>
  <c r="V87" i="22" s="1"/>
  <c r="B87" i="22" s="1"/>
  <c r="S91" i="22"/>
  <c r="R91" i="22" s="1"/>
  <c r="P91" i="22" s="1"/>
  <c r="V91" i="22" s="1"/>
  <c r="B91" i="22" s="1"/>
  <c r="S95" i="22"/>
  <c r="R95" i="22" s="1"/>
  <c r="P95" i="22" s="1"/>
  <c r="V95" i="22" s="1"/>
  <c r="B95" i="22" s="1"/>
  <c r="S99" i="22"/>
  <c r="R99" i="22" s="1"/>
  <c r="P99" i="22" s="1"/>
  <c r="V99" i="22" s="1"/>
  <c r="B99" i="22" s="1"/>
  <c r="S103" i="22"/>
  <c r="R103" i="22" s="1"/>
  <c r="P103" i="22" s="1"/>
  <c r="V103" i="22" s="1"/>
  <c r="B103" i="22" s="1"/>
  <c r="W107" i="22"/>
  <c r="D107" i="22"/>
  <c r="E107" i="22" s="1"/>
  <c r="F107" i="22" s="1"/>
  <c r="S111" i="22"/>
  <c r="R111" i="22" s="1"/>
  <c r="P111" i="22" s="1"/>
  <c r="V111" i="22" s="1"/>
  <c r="B111" i="22" s="1"/>
  <c r="W115" i="22"/>
  <c r="D115" i="22"/>
  <c r="E115" i="22" s="1"/>
  <c r="F115" i="22" s="1"/>
  <c r="S119" i="22"/>
  <c r="R119" i="22" s="1"/>
  <c r="P119" i="22" s="1"/>
  <c r="S123" i="22"/>
  <c r="R123" i="22" s="1"/>
  <c r="P123" i="22" s="1"/>
  <c r="V123" i="22" s="1"/>
  <c r="B123" i="22" s="1"/>
  <c r="W127" i="22"/>
  <c r="D127" i="22"/>
  <c r="E127" i="22" s="1"/>
  <c r="F127" i="22" s="1"/>
  <c r="S131" i="22"/>
  <c r="R131" i="22" s="1"/>
  <c r="P131" i="22" s="1"/>
  <c r="V131" i="22" s="1"/>
  <c r="B131" i="22" s="1"/>
  <c r="S135" i="22"/>
  <c r="R135" i="22" s="1"/>
  <c r="P135" i="22" s="1"/>
  <c r="V135" i="22" s="1"/>
  <c r="S139" i="22"/>
  <c r="R139" i="22" s="1"/>
  <c r="P139" i="22" s="1"/>
  <c r="V139" i="22" s="1"/>
  <c r="B139" i="22" s="1"/>
  <c r="D143" i="22"/>
  <c r="E143" i="22" s="1"/>
  <c r="F143" i="22" s="1"/>
  <c r="W143" i="22"/>
  <c r="W147" i="22"/>
  <c r="D147" i="22"/>
  <c r="E147" i="22" s="1"/>
  <c r="F147" i="22" s="1"/>
  <c r="S151" i="22"/>
  <c r="R151" i="22" s="1"/>
  <c r="P151" i="22" s="1"/>
  <c r="V151" i="22" s="1"/>
  <c r="B151" i="22" s="1"/>
  <c r="W155" i="22"/>
  <c r="D155" i="22"/>
  <c r="E155" i="22" s="1"/>
  <c r="F155" i="22" s="1"/>
  <c r="W159" i="22"/>
  <c r="D159" i="22"/>
  <c r="E159" i="22" s="1"/>
  <c r="F159" i="22" s="1"/>
  <c r="S163" i="22"/>
  <c r="R163" i="22" s="1"/>
  <c r="P163" i="22" s="1"/>
  <c r="V163" i="22" s="1"/>
  <c r="B163" i="22" s="1"/>
  <c r="S167" i="22"/>
  <c r="R167" i="22" s="1"/>
  <c r="P167" i="22" s="1"/>
  <c r="V167" i="22" s="1"/>
  <c r="B167" i="22" s="1"/>
  <c r="D171" i="22"/>
  <c r="E171" i="22" s="1"/>
  <c r="F171" i="22" s="1"/>
  <c r="W171" i="22"/>
  <c r="D175" i="22"/>
  <c r="E175" i="22" s="1"/>
  <c r="F175" i="22" s="1"/>
  <c r="W175" i="22"/>
  <c r="S179" i="22"/>
  <c r="R179" i="22" s="1"/>
  <c r="P179" i="22" s="1"/>
  <c r="V179" i="22" s="1"/>
  <c r="B179" i="22" s="1"/>
  <c r="W183" i="22"/>
  <c r="D183" i="22"/>
  <c r="E183" i="22" s="1"/>
  <c r="F183" i="22" s="1"/>
  <c r="S187" i="22"/>
  <c r="R187" i="22" s="1"/>
  <c r="P187" i="22" s="1"/>
  <c r="V187" i="22" s="1"/>
  <c r="B187" i="22" s="1"/>
  <c r="D191" i="22"/>
  <c r="E191" i="22" s="1"/>
  <c r="F191" i="22" s="1"/>
  <c r="W191" i="22"/>
  <c r="D195" i="22"/>
  <c r="E195" i="22" s="1"/>
  <c r="F195" i="22" s="1"/>
  <c r="W195" i="22"/>
  <c r="W199" i="22"/>
  <c r="D199" i="22"/>
  <c r="E199" i="22" s="1"/>
  <c r="F199" i="22" s="1"/>
  <c r="S203" i="22"/>
  <c r="R203" i="22" s="1"/>
  <c r="P203" i="22" s="1"/>
  <c r="V203" i="22" s="1"/>
  <c r="B203" i="22" s="1"/>
  <c r="D207" i="22"/>
  <c r="E207" i="22" s="1"/>
  <c r="F207" i="22" s="1"/>
  <c r="W207" i="22"/>
  <c r="S211" i="22"/>
  <c r="R211" i="22" s="1"/>
  <c r="P211" i="22" s="1"/>
  <c r="V211" i="22" s="1"/>
  <c r="B211" i="22" s="1"/>
  <c r="W215" i="22"/>
  <c r="D215" i="22"/>
  <c r="E215" i="22" s="1"/>
  <c r="F215" i="22" s="1"/>
  <c r="D219" i="22"/>
  <c r="E219" i="22" s="1"/>
  <c r="F219" i="22" s="1"/>
  <c r="W219" i="22"/>
  <c r="D223" i="22"/>
  <c r="E223" i="22" s="1"/>
  <c r="F223" i="22" s="1"/>
  <c r="W223" i="22"/>
  <c r="S227" i="22"/>
  <c r="R227" i="22" s="1"/>
  <c r="P227" i="22" s="1"/>
  <c r="V227" i="22" s="1"/>
  <c r="D231" i="22"/>
  <c r="E231" i="22" s="1"/>
  <c r="F231" i="22" s="1"/>
  <c r="W231" i="22"/>
  <c r="W235" i="22"/>
  <c r="D235" i="22"/>
  <c r="E235" i="22" s="1"/>
  <c r="F235" i="22" s="1"/>
  <c r="S239" i="22"/>
  <c r="R239" i="22" s="1"/>
  <c r="P239" i="22" s="1"/>
  <c r="V239" i="22" s="1"/>
  <c r="B239" i="22" s="1"/>
  <c r="D243" i="22"/>
  <c r="E243" i="22" s="1"/>
  <c r="F243" i="22" s="1"/>
  <c r="W243" i="22"/>
  <c r="W247" i="22"/>
  <c r="D247" i="22"/>
  <c r="E247" i="22" s="1"/>
  <c r="F247" i="22" s="1"/>
  <c r="S251" i="22"/>
  <c r="R251" i="22" s="1"/>
  <c r="P251" i="22" s="1"/>
  <c r="V251" i="22" s="1"/>
  <c r="B251" i="22" s="1"/>
  <c r="D255" i="22"/>
  <c r="E255" i="22" s="1"/>
  <c r="F255" i="22" s="1"/>
  <c r="W255" i="22"/>
  <c r="D259" i="22"/>
  <c r="E259" i="22" s="1"/>
  <c r="F259" i="22" s="1"/>
  <c r="W259" i="22"/>
  <c r="W263" i="22"/>
  <c r="D263" i="22"/>
  <c r="E263" i="22" s="1"/>
  <c r="F263" i="22" s="1"/>
  <c r="W267" i="22"/>
  <c r="D267" i="22"/>
  <c r="E267" i="22" s="1"/>
  <c r="F267" i="22" s="1"/>
  <c r="S271" i="22"/>
  <c r="R271" i="22" s="1"/>
  <c r="P271" i="22" s="1"/>
  <c r="V271" i="22" s="1"/>
  <c r="B271" i="22" s="1"/>
  <c r="D275" i="22"/>
  <c r="E275" i="22" s="1"/>
  <c r="F275" i="22" s="1"/>
  <c r="W275" i="22"/>
  <c r="D279" i="22"/>
  <c r="E279" i="22" s="1"/>
  <c r="F279" i="22" s="1"/>
  <c r="W279" i="22"/>
  <c r="W283" i="22"/>
  <c r="D283" i="22"/>
  <c r="E283" i="22" s="1"/>
  <c r="F283" i="22" s="1"/>
  <c r="S287" i="22"/>
  <c r="R287" i="22" s="1"/>
  <c r="P287" i="22" s="1"/>
  <c r="V287" i="22" s="1"/>
  <c r="B287" i="22" s="1"/>
  <c r="W291" i="22"/>
  <c r="D291" i="22"/>
  <c r="E291" i="22" s="1"/>
  <c r="F291" i="22" s="1"/>
  <c r="S295" i="22"/>
  <c r="R295" i="22" s="1"/>
  <c r="P295" i="22" s="1"/>
  <c r="V295" i="22" s="1"/>
  <c r="B295" i="22" s="1"/>
  <c r="W299" i="22"/>
  <c r="D299" i="22"/>
  <c r="E299" i="22" s="1"/>
  <c r="F299" i="22" s="1"/>
  <c r="S303" i="22"/>
  <c r="R303" i="22" s="1"/>
  <c r="P303" i="22" s="1"/>
  <c r="V303" i="22" s="1"/>
  <c r="B303" i="22" s="1"/>
  <c r="W307" i="22"/>
  <c r="D307" i="22"/>
  <c r="E307" i="22" s="1"/>
  <c r="F307" i="22" s="1"/>
  <c r="W311" i="22"/>
  <c r="D311" i="22"/>
  <c r="E311" i="22" s="1"/>
  <c r="F311" i="22" s="1"/>
  <c r="S315" i="22"/>
  <c r="R315" i="22" s="1"/>
  <c r="P315" i="22" s="1"/>
  <c r="V315" i="22" s="1"/>
  <c r="B315" i="22" s="1"/>
  <c r="S323" i="22"/>
  <c r="R323" i="22" s="1"/>
  <c r="P323" i="22" s="1"/>
  <c r="V323" i="22" s="1"/>
  <c r="B323" i="22" s="1"/>
  <c r="D327" i="22"/>
  <c r="E327" i="22" s="1"/>
  <c r="F327" i="22" s="1"/>
  <c r="W327" i="22"/>
  <c r="S331" i="22"/>
  <c r="R331" i="22" s="1"/>
  <c r="P331" i="22" s="1"/>
  <c r="V331" i="22" s="1"/>
  <c r="B331" i="22" s="1"/>
  <c r="S335" i="22"/>
  <c r="R335" i="22" s="1"/>
  <c r="P335" i="22" s="1"/>
  <c r="V335" i="22" s="1"/>
  <c r="B335" i="22" s="1"/>
  <c r="D339" i="22"/>
  <c r="E339" i="22" s="1"/>
  <c r="F339" i="22" s="1"/>
  <c r="W339" i="22"/>
  <c r="D343" i="22"/>
  <c r="E343" i="22" s="1"/>
  <c r="F343" i="22" s="1"/>
  <c r="W343" i="22"/>
  <c r="D347" i="22"/>
  <c r="E347" i="22" s="1"/>
  <c r="F347" i="22" s="1"/>
  <c r="W347" i="22"/>
  <c r="S351" i="22"/>
  <c r="R351" i="22" s="1"/>
  <c r="P351" i="22" s="1"/>
  <c r="V351" i="22" s="1"/>
  <c r="B351" i="22" s="1"/>
  <c r="D355" i="22"/>
  <c r="E355" i="22" s="1"/>
  <c r="F355" i="22" s="1"/>
  <c r="W355" i="22"/>
  <c r="W359" i="22"/>
  <c r="D359" i="22"/>
  <c r="E359" i="22" s="1"/>
  <c r="F359" i="22" s="1"/>
  <c r="AH43" i="7"/>
  <c r="V363" i="22"/>
  <c r="B363" i="22" s="1"/>
  <c r="W367" i="22"/>
  <c r="D367" i="22"/>
  <c r="E367" i="22" s="1"/>
  <c r="F367" i="22" s="1"/>
  <c r="S371" i="22"/>
  <c r="R371" i="22" s="1"/>
  <c r="P371" i="22" s="1"/>
  <c r="V371" i="22" s="1"/>
  <c r="B371" i="22" s="1"/>
  <c r="S375" i="22"/>
  <c r="R375" i="22" s="1"/>
  <c r="P375" i="22" s="1"/>
  <c r="V375" i="22" s="1"/>
  <c r="B375" i="22" s="1"/>
  <c r="U12" i="23"/>
  <c r="AN16" i="7"/>
  <c r="AT11" i="7" s="1"/>
  <c r="U11" i="23" s="1"/>
  <c r="T379" i="22"/>
  <c r="S379" i="22" s="1"/>
  <c r="R379" i="22" s="1"/>
  <c r="P379" i="22" s="1"/>
  <c r="AG21" i="22"/>
  <c r="AF21" i="22" s="1"/>
  <c r="AD21" i="22" s="1"/>
  <c r="AG37" i="22"/>
  <c r="AF37" i="22" s="1"/>
  <c r="AD37" i="22" s="1"/>
  <c r="AG53" i="22"/>
  <c r="AF53" i="22" s="1"/>
  <c r="AD53" i="22" s="1"/>
  <c r="AG61" i="22"/>
  <c r="AF61" i="22" s="1"/>
  <c r="AD61" i="22" s="1"/>
  <c r="AG69" i="22"/>
  <c r="AF69" i="22" s="1"/>
  <c r="AD69" i="22" s="1"/>
  <c r="AG73" i="22"/>
  <c r="AF73" i="22" s="1"/>
  <c r="AD73" i="22" s="1"/>
  <c r="AG81" i="22"/>
  <c r="AF81" i="22" s="1"/>
  <c r="AD81" i="22" s="1"/>
  <c r="AG85" i="22"/>
  <c r="AF85" i="22" s="1"/>
  <c r="AD85" i="22" s="1"/>
  <c r="AG97" i="22"/>
  <c r="AF97" i="22" s="1"/>
  <c r="AD97" i="22" s="1"/>
  <c r="AG101" i="22"/>
  <c r="AF101" i="22" s="1"/>
  <c r="AD101" i="22" s="1"/>
  <c r="AG105" i="22"/>
  <c r="AF105" i="22" s="1"/>
  <c r="AD105" i="22" s="1"/>
  <c r="AG109" i="22"/>
  <c r="AF109" i="22" s="1"/>
  <c r="AD109" i="22" s="1"/>
  <c r="AG117" i="22"/>
  <c r="AF117" i="22" s="1"/>
  <c r="AD117" i="22" s="1"/>
  <c r="AG125" i="22"/>
  <c r="AF125" i="22" s="1"/>
  <c r="AD125" i="22" s="1"/>
  <c r="AG133" i="22"/>
  <c r="AF133" i="22" s="1"/>
  <c r="AD133" i="22" s="1"/>
  <c r="AG145" i="22"/>
  <c r="AF145" i="22" s="1"/>
  <c r="AD145" i="22" s="1"/>
  <c r="AG153" i="22"/>
  <c r="AF153" i="22" s="1"/>
  <c r="AD153" i="22" s="1"/>
  <c r="AG161" i="22"/>
  <c r="AF161" i="22" s="1"/>
  <c r="AD161" i="22" s="1"/>
  <c r="AG173" i="22"/>
  <c r="AF173" i="22" s="1"/>
  <c r="AD173" i="22" s="1"/>
  <c r="AG177" i="22"/>
  <c r="AF177" i="22" s="1"/>
  <c r="AD177" i="22" s="1"/>
  <c r="AG185" i="22"/>
  <c r="AF185" i="22" s="1"/>
  <c r="AD185" i="22" s="1"/>
  <c r="AG189" i="22"/>
  <c r="AF189" i="22" s="1"/>
  <c r="AD189" i="22" s="1"/>
  <c r="AG201" i="22"/>
  <c r="AF201" i="22" s="1"/>
  <c r="AD201" i="22" s="1"/>
  <c r="AG205" i="22"/>
  <c r="AF205" i="22" s="1"/>
  <c r="AD205" i="22" s="1"/>
  <c r="AG209" i="22"/>
  <c r="AF209" i="22" s="1"/>
  <c r="AD209" i="22" s="1"/>
  <c r="AG213" i="22"/>
  <c r="AF213" i="22" s="1"/>
  <c r="AD213" i="22" s="1"/>
  <c r="AG217" i="22"/>
  <c r="AF217" i="22" s="1"/>
  <c r="AD217" i="22" s="1"/>
  <c r="AG221" i="22"/>
  <c r="AF221" i="22" s="1"/>
  <c r="AD221" i="22" s="1"/>
  <c r="AG229" i="22"/>
  <c r="AF229" i="22" s="1"/>
  <c r="AD229" i="22" s="1"/>
  <c r="AG233" i="22"/>
  <c r="AF233" i="22" s="1"/>
  <c r="AD233" i="22" s="1"/>
  <c r="AG241" i="22"/>
  <c r="AF241" i="22" s="1"/>
  <c r="AD241" i="22" s="1"/>
  <c r="AG249" i="22"/>
  <c r="AF249" i="22" s="1"/>
  <c r="AD249" i="22" s="1"/>
  <c r="AG265" i="22"/>
  <c r="AF265" i="22" s="1"/>
  <c r="AD265" i="22" s="1"/>
  <c r="AG269" i="22"/>
  <c r="AF269" i="22" s="1"/>
  <c r="AD269" i="22" s="1"/>
  <c r="AG273" i="22"/>
  <c r="AF273" i="22" s="1"/>
  <c r="AD273" i="22" s="1"/>
  <c r="AG285" i="22"/>
  <c r="AF285" i="22" s="1"/>
  <c r="AD285" i="22" s="1"/>
  <c r="AG293" i="22"/>
  <c r="AF293" i="22" s="1"/>
  <c r="AD293" i="22" s="1"/>
  <c r="AG309" i="22"/>
  <c r="AF309" i="22" s="1"/>
  <c r="AD309" i="22" s="1"/>
  <c r="AG329" i="22"/>
  <c r="AF329" i="22" s="1"/>
  <c r="AD329" i="22" s="1"/>
  <c r="AG337" i="22"/>
  <c r="AF337" i="22" s="1"/>
  <c r="AD337" i="22" s="1"/>
  <c r="AG345" i="22"/>
  <c r="AF345" i="22" s="1"/>
  <c r="AD345" i="22" s="1"/>
  <c r="AG357" i="22"/>
  <c r="AF357" i="22" s="1"/>
  <c r="AD357" i="22" s="1"/>
  <c r="AG361" i="22"/>
  <c r="AF361" i="22" s="1"/>
  <c r="AD361" i="22" s="1"/>
  <c r="AG365" i="22"/>
  <c r="AF365" i="22" s="1"/>
  <c r="AD365" i="22" s="1"/>
  <c r="AG369" i="22"/>
  <c r="AF369" i="22" s="1"/>
  <c r="AD369" i="22" s="1"/>
  <c r="AG373" i="22"/>
  <c r="AF373" i="22" s="1"/>
  <c r="AD373" i="22" s="1"/>
  <c r="J28" i="20"/>
  <c r="I28" i="20"/>
  <c r="I42" i="20"/>
  <c r="J42" i="20"/>
  <c r="J48" i="20"/>
  <c r="I54" i="20"/>
  <c r="J54" i="20"/>
  <c r="I56" i="20"/>
  <c r="J56" i="20"/>
  <c r="D74" i="22"/>
  <c r="E74" i="22" s="1"/>
  <c r="F74" i="22" s="1"/>
  <c r="W74" i="22"/>
  <c r="I76" i="20"/>
  <c r="J76" i="20"/>
  <c r="I134" i="20"/>
  <c r="J134" i="20"/>
  <c r="J198" i="20"/>
  <c r="I198" i="20"/>
  <c r="I234" i="20"/>
  <c r="J234" i="20"/>
  <c r="I366" i="20"/>
  <c r="J366" i="20"/>
  <c r="H46" i="20"/>
  <c r="I95" i="20"/>
  <c r="J95" i="20"/>
  <c r="R382" i="20"/>
  <c r="R383" i="20"/>
  <c r="R381" i="20"/>
  <c r="P15" i="20"/>
  <c r="I137" i="20"/>
  <c r="J137" i="20"/>
  <c r="J357" i="20"/>
  <c r="I357" i="20"/>
  <c r="I90" i="20"/>
  <c r="J90" i="20"/>
  <c r="Q12" i="24"/>
  <c r="I33" i="20"/>
  <c r="J33" i="20"/>
  <c r="J37" i="20"/>
  <c r="I37" i="20"/>
  <c r="J53" i="20"/>
  <c r="I53" i="20"/>
  <c r="J97" i="20"/>
  <c r="I97" i="20"/>
  <c r="I167" i="20"/>
  <c r="J167" i="20"/>
  <c r="J201" i="20"/>
  <c r="I201" i="20"/>
  <c r="I215" i="20"/>
  <c r="J215" i="20"/>
  <c r="J233" i="20"/>
  <c r="I233" i="20"/>
  <c r="I257" i="20"/>
  <c r="J257" i="20"/>
  <c r="J281" i="20"/>
  <c r="I281" i="20"/>
  <c r="I303" i="20"/>
  <c r="J303" i="20"/>
  <c r="I307" i="20"/>
  <c r="J307" i="20"/>
  <c r="I337" i="20"/>
  <c r="J337" i="20"/>
  <c r="I343" i="20"/>
  <c r="J343" i="20"/>
  <c r="J92" i="20"/>
  <c r="I92" i="20"/>
  <c r="J122" i="20"/>
  <c r="I122" i="20"/>
  <c r="I130" i="20"/>
  <c r="J130" i="20"/>
  <c r="I148" i="20"/>
  <c r="J148" i="20"/>
  <c r="I194" i="20"/>
  <c r="J194" i="20"/>
  <c r="I204" i="20"/>
  <c r="J204" i="20"/>
  <c r="AA210" i="20"/>
  <c r="Z210" i="20" s="1"/>
  <c r="Y210" i="20" s="1"/>
  <c r="H210" i="20"/>
  <c r="G210" i="20"/>
  <c r="CB210" i="6" s="1"/>
  <c r="I238" i="20"/>
  <c r="J238" i="20"/>
  <c r="G258" i="20"/>
  <c r="CB258" i="6" s="1"/>
  <c r="AA258" i="20"/>
  <c r="Z258" i="20" s="1"/>
  <c r="Y258" i="20" s="1"/>
  <c r="H258" i="20"/>
  <c r="J268" i="20"/>
  <c r="I268" i="20"/>
  <c r="J282" i="20"/>
  <c r="I282" i="20"/>
  <c r="AA288" i="20"/>
  <c r="Z288" i="20" s="1"/>
  <c r="Y288" i="20" s="1"/>
  <c r="H288" i="20"/>
  <c r="G288" i="20"/>
  <c r="CB288" i="6" s="1"/>
  <c r="J296" i="20"/>
  <c r="I296" i="20"/>
  <c r="I310" i="20"/>
  <c r="J310" i="20"/>
  <c r="J330" i="20"/>
  <c r="I330" i="20"/>
  <c r="I346" i="20"/>
  <c r="J346" i="20"/>
  <c r="I368" i="20"/>
  <c r="J368" i="20"/>
  <c r="J23" i="20"/>
  <c r="I23" i="20"/>
  <c r="J51" i="20"/>
  <c r="I51" i="20"/>
  <c r="J111" i="20"/>
  <c r="I111" i="20"/>
  <c r="J159" i="20"/>
  <c r="I159" i="20"/>
  <c r="I185" i="20"/>
  <c r="J185" i="20"/>
  <c r="I199" i="20"/>
  <c r="J199" i="20"/>
  <c r="I235" i="20"/>
  <c r="J235" i="20"/>
  <c r="H241" i="20"/>
  <c r="AA241" i="20"/>
  <c r="Z241" i="20" s="1"/>
  <c r="Y241" i="20" s="1"/>
  <c r="G241" i="20"/>
  <c r="CB241" i="6" s="1"/>
  <c r="I283" i="20"/>
  <c r="J283" i="20"/>
  <c r="J313" i="20"/>
  <c r="I313" i="20"/>
  <c r="B319" i="22"/>
  <c r="G319" i="20"/>
  <c r="CB319" i="6" s="1"/>
  <c r="H319" i="20"/>
  <c r="AA319" i="20"/>
  <c r="Z319" i="20" s="1"/>
  <c r="Y319" i="20" s="1"/>
  <c r="AA333" i="20"/>
  <c r="Z333" i="20" s="1"/>
  <c r="Y333" i="20" s="1"/>
  <c r="H333" i="20"/>
  <c r="G333" i="20"/>
  <c r="CB333" i="6" s="1"/>
  <c r="AA363" i="20"/>
  <c r="Z363" i="20" s="1"/>
  <c r="Y363" i="20" s="1"/>
  <c r="G363" i="20"/>
  <c r="CB363" i="6" s="1"/>
  <c r="H363" i="20"/>
  <c r="J375" i="20"/>
  <c r="I375" i="20"/>
  <c r="J96" i="20"/>
  <c r="I96" i="20"/>
  <c r="I132" i="20"/>
  <c r="J132" i="20"/>
  <c r="J150" i="20"/>
  <c r="I150" i="20"/>
  <c r="I154" i="20"/>
  <c r="J154" i="20"/>
  <c r="H166" i="20"/>
  <c r="AA166" i="20"/>
  <c r="Z166" i="20" s="1"/>
  <c r="Y166" i="20" s="1"/>
  <c r="G166" i="20"/>
  <c r="CB166" i="6" s="1"/>
  <c r="AA196" i="20"/>
  <c r="Z196" i="20" s="1"/>
  <c r="Y196" i="20" s="1"/>
  <c r="G196" i="20"/>
  <c r="CB196" i="6" s="1"/>
  <c r="H196" i="20"/>
  <c r="I222" i="20"/>
  <c r="J222" i="20"/>
  <c r="J246" i="20"/>
  <c r="I246" i="20"/>
  <c r="J280" i="20"/>
  <c r="I280" i="20"/>
  <c r="J286" i="20"/>
  <c r="I286" i="20"/>
  <c r="I290" i="20"/>
  <c r="J290" i="20"/>
  <c r="J306" i="20"/>
  <c r="I306" i="20"/>
  <c r="J324" i="20"/>
  <c r="I324" i="20"/>
  <c r="I332" i="20"/>
  <c r="J332" i="20"/>
  <c r="J358" i="20"/>
  <c r="I358" i="20"/>
  <c r="I18" i="20"/>
  <c r="J18" i="20"/>
  <c r="I47" i="20"/>
  <c r="J47" i="20"/>
  <c r="AA149" i="20"/>
  <c r="Z149" i="20" s="1"/>
  <c r="Y149" i="20" s="1"/>
  <c r="G149" i="20"/>
  <c r="CB149" i="6" s="1"/>
  <c r="H149" i="20"/>
  <c r="J175" i="20"/>
  <c r="I175" i="20"/>
  <c r="J249" i="20"/>
  <c r="I249" i="20"/>
  <c r="I331" i="20"/>
  <c r="J331" i="20"/>
  <c r="W18" i="22"/>
  <c r="D18" i="22"/>
  <c r="E18" i="22" s="1"/>
  <c r="F18" i="22" s="1"/>
  <c r="U382" i="22"/>
  <c r="U383" i="22"/>
  <c r="T15" i="22"/>
  <c r="U381" i="22"/>
  <c r="D24" i="22"/>
  <c r="E24" i="22" s="1"/>
  <c r="F24" i="22" s="1"/>
  <c r="W24" i="22"/>
  <c r="S28" i="22"/>
  <c r="R28" i="22" s="1"/>
  <c r="P28" i="22" s="1"/>
  <c r="V28" i="22" s="1"/>
  <c r="B28" i="22" s="1"/>
  <c r="D32" i="22"/>
  <c r="E32" i="22" s="1"/>
  <c r="F32" i="22" s="1"/>
  <c r="W32" i="22"/>
  <c r="S36" i="22"/>
  <c r="R36" i="22" s="1"/>
  <c r="P36" i="22" s="1"/>
  <c r="V36" i="22" s="1"/>
  <c r="B36" i="22" s="1"/>
  <c r="W40" i="22"/>
  <c r="D40" i="22"/>
  <c r="E40" i="22" s="1"/>
  <c r="F40" i="22" s="1"/>
  <c r="W44" i="22"/>
  <c r="D44" i="22"/>
  <c r="E44" i="22" s="1"/>
  <c r="F44" i="22" s="1"/>
  <c r="W48" i="22"/>
  <c r="D48" i="22"/>
  <c r="E48" i="22" s="1"/>
  <c r="F48" i="22" s="1"/>
  <c r="S52" i="22"/>
  <c r="R52" i="22" s="1"/>
  <c r="P52" i="22" s="1"/>
  <c r="V52" i="22" s="1"/>
  <c r="B52" i="22" s="1"/>
  <c r="W56" i="22"/>
  <c r="D56" i="22"/>
  <c r="E56" i="22" s="1"/>
  <c r="F56" i="22" s="1"/>
  <c r="AH33" i="7"/>
  <c r="V60" i="22"/>
  <c r="B60" i="22" s="1"/>
  <c r="S64" i="22"/>
  <c r="R64" i="22" s="1"/>
  <c r="P64" i="22" s="1"/>
  <c r="V64" i="22" s="1"/>
  <c r="B64" i="22" s="1"/>
  <c r="S68" i="22"/>
  <c r="R68" i="22" s="1"/>
  <c r="P68" i="22" s="1"/>
  <c r="V68" i="22" s="1"/>
  <c r="B68" i="22" s="1"/>
  <c r="D72" i="22"/>
  <c r="E72" i="22" s="1"/>
  <c r="F72" i="22" s="1"/>
  <c r="W72" i="22"/>
  <c r="S76" i="22"/>
  <c r="R76" i="22" s="1"/>
  <c r="P76" i="22" s="1"/>
  <c r="V76" i="22" s="1"/>
  <c r="B76" i="22" s="1"/>
  <c r="S80" i="22"/>
  <c r="R80" i="22" s="1"/>
  <c r="P80" i="22" s="1"/>
  <c r="V80" i="22" s="1"/>
  <c r="B80" i="22" s="1"/>
  <c r="S84" i="22"/>
  <c r="R84" i="22" s="1"/>
  <c r="P84" i="22" s="1"/>
  <c r="V84" i="22" s="1"/>
  <c r="B84" i="22" s="1"/>
  <c r="AH34" i="7"/>
  <c r="V88" i="22"/>
  <c r="B88" i="22" s="1"/>
  <c r="S92" i="22"/>
  <c r="R92" i="22" s="1"/>
  <c r="P92" i="22" s="1"/>
  <c r="V92" i="22" s="1"/>
  <c r="B92" i="22" s="1"/>
  <c r="S96" i="22"/>
  <c r="R96" i="22" s="1"/>
  <c r="P96" i="22" s="1"/>
  <c r="V96" i="22" s="1"/>
  <c r="B96" i="22" s="1"/>
  <c r="D100" i="22"/>
  <c r="E100" i="22" s="1"/>
  <c r="F100" i="22" s="1"/>
  <c r="W100" i="22"/>
  <c r="S104" i="22"/>
  <c r="R104" i="22" s="1"/>
  <c r="P104" i="22" s="1"/>
  <c r="V104" i="22" s="1"/>
  <c r="B104" i="22" s="1"/>
  <c r="D108" i="22"/>
  <c r="E108" i="22" s="1"/>
  <c r="F108" i="22" s="1"/>
  <c r="W108" i="22"/>
  <c r="W112" i="22"/>
  <c r="D112" i="22"/>
  <c r="E112" i="22" s="1"/>
  <c r="F112" i="22" s="1"/>
  <c r="S116" i="22"/>
  <c r="R116" i="22" s="1"/>
  <c r="P116" i="22" s="1"/>
  <c r="V116" i="22" s="1"/>
  <c r="B116" i="22" s="1"/>
  <c r="W120" i="22"/>
  <c r="D120" i="22"/>
  <c r="E120" i="22" s="1"/>
  <c r="F120" i="22" s="1"/>
  <c r="S124" i="22"/>
  <c r="R124" i="22" s="1"/>
  <c r="P124" i="22" s="1"/>
  <c r="V124" i="22" s="1"/>
  <c r="B124" i="22" s="1"/>
  <c r="S128" i="22"/>
  <c r="R128" i="22" s="1"/>
  <c r="P128" i="22" s="1"/>
  <c r="V128" i="22" s="1"/>
  <c r="B128" i="22" s="1"/>
  <c r="S132" i="22"/>
  <c r="R132" i="22" s="1"/>
  <c r="P132" i="22" s="1"/>
  <c r="V132" i="22" s="1"/>
  <c r="B132" i="22" s="1"/>
  <c r="S136" i="22"/>
  <c r="R136" i="22" s="1"/>
  <c r="P136" i="22" s="1"/>
  <c r="V136" i="22" s="1"/>
  <c r="B136" i="22" s="1"/>
  <c r="W140" i="22"/>
  <c r="D140" i="22"/>
  <c r="E140" i="22" s="1"/>
  <c r="F140" i="22" s="1"/>
  <c r="W144" i="22"/>
  <c r="D144" i="22"/>
  <c r="E144" i="22" s="1"/>
  <c r="F144" i="22" s="1"/>
  <c r="D148" i="22"/>
  <c r="E148" i="22" s="1"/>
  <c r="F148" i="22" s="1"/>
  <c r="W148" i="22"/>
  <c r="D152" i="22"/>
  <c r="E152" i="22" s="1"/>
  <c r="F152" i="22" s="1"/>
  <c r="W152" i="22"/>
  <c r="S156" i="22"/>
  <c r="R156" i="22" s="1"/>
  <c r="P156" i="22" s="1"/>
  <c r="V156" i="22" s="1"/>
  <c r="B156" i="22" s="1"/>
  <c r="S160" i="22"/>
  <c r="R160" i="22" s="1"/>
  <c r="P160" i="22" s="1"/>
  <c r="V160" i="22" s="1"/>
  <c r="B160" i="22" s="1"/>
  <c r="S164" i="22"/>
  <c r="R164" i="22" s="1"/>
  <c r="P164" i="22" s="1"/>
  <c r="V164" i="22" s="1"/>
  <c r="B164" i="22" s="1"/>
  <c r="W168" i="22"/>
  <c r="D168" i="22"/>
  <c r="E168" i="22" s="1"/>
  <c r="F168" i="22" s="1"/>
  <c r="S172" i="22"/>
  <c r="R172" i="22" s="1"/>
  <c r="P172" i="22" s="1"/>
  <c r="V172" i="22" s="1"/>
  <c r="B172" i="22" s="1"/>
  <c r="W176" i="22"/>
  <c r="D176" i="22"/>
  <c r="E176" i="22" s="1"/>
  <c r="F176" i="22" s="1"/>
  <c r="AH37" i="7"/>
  <c r="V180" i="22"/>
  <c r="B180" i="22" s="1"/>
  <c r="S184" i="22"/>
  <c r="R184" i="22" s="1"/>
  <c r="P184" i="22" s="1"/>
  <c r="V184" i="22" s="1"/>
  <c r="B184" i="22" s="1"/>
  <c r="D188" i="22"/>
  <c r="E188" i="22" s="1"/>
  <c r="F188" i="22" s="1"/>
  <c r="W188" i="22"/>
  <c r="D192" i="22"/>
  <c r="E192" i="22" s="1"/>
  <c r="F192" i="22" s="1"/>
  <c r="W192" i="22"/>
  <c r="S196" i="22"/>
  <c r="R196" i="22" s="1"/>
  <c r="P196" i="22" s="1"/>
  <c r="V196" i="22" s="1"/>
  <c r="W200" i="22"/>
  <c r="D200" i="22"/>
  <c r="E200" i="22" s="1"/>
  <c r="F200" i="22" s="1"/>
  <c r="D204" i="22"/>
  <c r="E204" i="22" s="1"/>
  <c r="F204" i="22" s="1"/>
  <c r="W204" i="22"/>
  <c r="S208" i="22"/>
  <c r="R208" i="22" s="1"/>
  <c r="P208" i="22" s="1"/>
  <c r="V208" i="22" s="1"/>
  <c r="B208" i="22" s="1"/>
  <c r="W212" i="22"/>
  <c r="D212" i="22"/>
  <c r="E212" i="22" s="1"/>
  <c r="F212" i="22" s="1"/>
  <c r="D216" i="22"/>
  <c r="E216" i="22" s="1"/>
  <c r="F216" i="22" s="1"/>
  <c r="W216" i="22"/>
  <c r="W220" i="22"/>
  <c r="D220" i="22"/>
  <c r="E220" i="22" s="1"/>
  <c r="F220" i="22" s="1"/>
  <c r="S224" i="22"/>
  <c r="R224" i="22" s="1"/>
  <c r="P224" i="22" s="1"/>
  <c r="V224" i="22" s="1"/>
  <c r="B224" i="22" s="1"/>
  <c r="S228" i="22"/>
  <c r="R228" i="22" s="1"/>
  <c r="P228" i="22" s="1"/>
  <c r="V228" i="22" s="1"/>
  <c r="B228" i="22" s="1"/>
  <c r="W232" i="22"/>
  <c r="D232" i="22"/>
  <c r="E232" i="22" s="1"/>
  <c r="F232" i="22" s="1"/>
  <c r="S236" i="22"/>
  <c r="R236" i="22" s="1"/>
  <c r="P236" i="22" s="1"/>
  <c r="V236" i="22" s="1"/>
  <c r="B236" i="22" s="1"/>
  <c r="W240" i="22"/>
  <c r="D240" i="22"/>
  <c r="E240" i="22" s="1"/>
  <c r="F240" i="22" s="1"/>
  <c r="S244" i="22"/>
  <c r="R244" i="22" s="1"/>
  <c r="P244" i="22" s="1"/>
  <c r="V244" i="22" s="1"/>
  <c r="B244" i="22" s="1"/>
  <c r="D248" i="22"/>
  <c r="E248" i="22" s="1"/>
  <c r="F248" i="22" s="1"/>
  <c r="W248" i="22"/>
  <c r="D252" i="22"/>
  <c r="E252" i="22" s="1"/>
  <c r="F252" i="22" s="1"/>
  <c r="W252" i="22"/>
  <c r="D256" i="22"/>
  <c r="E256" i="22" s="1"/>
  <c r="F256" i="22" s="1"/>
  <c r="W256" i="22"/>
  <c r="D260" i="22"/>
  <c r="E260" i="22" s="1"/>
  <c r="F260" i="22" s="1"/>
  <c r="W260" i="22"/>
  <c r="S264" i="22"/>
  <c r="R264" i="22" s="1"/>
  <c r="P264" i="22" s="1"/>
  <c r="V264" i="22" s="1"/>
  <c r="B264" i="22" s="1"/>
  <c r="S268" i="22"/>
  <c r="R268" i="22" s="1"/>
  <c r="P268" i="22" s="1"/>
  <c r="V268" i="22" s="1"/>
  <c r="B268" i="22" s="1"/>
  <c r="AH40" i="7"/>
  <c r="V272" i="22"/>
  <c r="B272" i="22" s="1"/>
  <c r="S276" i="22"/>
  <c r="R276" i="22" s="1"/>
  <c r="P276" i="22" s="1"/>
  <c r="V276" i="22" s="1"/>
  <c r="B276" i="22" s="1"/>
  <c r="W280" i="22"/>
  <c r="D280" i="22"/>
  <c r="E280" i="22" s="1"/>
  <c r="F280" i="22" s="1"/>
  <c r="W284" i="22"/>
  <c r="D284" i="22"/>
  <c r="E284" i="22" s="1"/>
  <c r="F284" i="22" s="1"/>
  <c r="W292" i="22"/>
  <c r="D292" i="22"/>
  <c r="E292" i="22" s="1"/>
  <c r="F292" i="22" s="1"/>
  <c r="D296" i="22"/>
  <c r="E296" i="22" s="1"/>
  <c r="F296" i="22" s="1"/>
  <c r="W296" i="22"/>
  <c r="S300" i="22"/>
  <c r="R300" i="22" s="1"/>
  <c r="P300" i="22" s="1"/>
  <c r="V300" i="22" s="1"/>
  <c r="B300" i="22" s="1"/>
  <c r="S304" i="22"/>
  <c r="R304" i="22" s="1"/>
  <c r="P304" i="22" s="1"/>
  <c r="V304" i="22" s="1"/>
  <c r="B304" i="22" s="1"/>
  <c r="S308" i="22"/>
  <c r="R308" i="22" s="1"/>
  <c r="P308" i="22" s="1"/>
  <c r="V308" i="22" s="1"/>
  <c r="B308" i="22" s="1"/>
  <c r="S312" i="22"/>
  <c r="R312" i="22" s="1"/>
  <c r="P312" i="22" s="1"/>
  <c r="V312" i="22" s="1"/>
  <c r="B312" i="22" s="1"/>
  <c r="D316" i="22"/>
  <c r="E316" i="22" s="1"/>
  <c r="F316" i="22" s="1"/>
  <c r="W316" i="22"/>
  <c r="S320" i="22"/>
  <c r="R320" i="22" s="1"/>
  <c r="P320" i="22" s="1"/>
  <c r="V320" i="22" s="1"/>
  <c r="D324" i="22"/>
  <c r="E324" i="22" s="1"/>
  <c r="F324" i="22" s="1"/>
  <c r="W324" i="22"/>
  <c r="W328" i="22"/>
  <c r="D328" i="22"/>
  <c r="E328" i="22" s="1"/>
  <c r="F328" i="22" s="1"/>
  <c r="W332" i="22"/>
  <c r="D332" i="22"/>
  <c r="E332" i="22" s="1"/>
  <c r="F332" i="22" s="1"/>
  <c r="S336" i="22"/>
  <c r="R336" i="22" s="1"/>
  <c r="P336" i="22" s="1"/>
  <c r="V336" i="22" s="1"/>
  <c r="B336" i="22" s="1"/>
  <c r="D340" i="22"/>
  <c r="E340" i="22" s="1"/>
  <c r="F340" i="22" s="1"/>
  <c r="W340" i="22"/>
  <c r="W344" i="22"/>
  <c r="D344" i="22"/>
  <c r="E344" i="22" s="1"/>
  <c r="F344" i="22" s="1"/>
  <c r="W348" i="22"/>
  <c r="D348" i="22"/>
  <c r="E348" i="22" s="1"/>
  <c r="F348" i="22" s="1"/>
  <c r="W352" i="22"/>
  <c r="D352" i="22"/>
  <c r="E352" i="22" s="1"/>
  <c r="F352" i="22" s="1"/>
  <c r="S356" i="22"/>
  <c r="R356" i="22" s="1"/>
  <c r="P356" i="22" s="1"/>
  <c r="V356" i="22" s="1"/>
  <c r="B356" i="22" s="1"/>
  <c r="W360" i="22"/>
  <c r="D360" i="22"/>
  <c r="E360" i="22" s="1"/>
  <c r="F360" i="22" s="1"/>
  <c r="S364" i="22"/>
  <c r="R364" i="22" s="1"/>
  <c r="P364" i="22" s="1"/>
  <c r="V364" i="22" s="1"/>
  <c r="B364" i="22" s="1"/>
  <c r="S368" i="22"/>
  <c r="R368" i="22" s="1"/>
  <c r="P368" i="22" s="1"/>
  <c r="V368" i="22" s="1"/>
  <c r="B368" i="22" s="1"/>
  <c r="D372" i="22"/>
  <c r="E372" i="22" s="1"/>
  <c r="F372" i="22" s="1"/>
  <c r="W372" i="22"/>
  <c r="D376" i="22"/>
  <c r="E376" i="22" s="1"/>
  <c r="F376" i="22" s="1"/>
  <c r="W376" i="22"/>
  <c r="S380" i="22"/>
  <c r="R380" i="22" s="1"/>
  <c r="P380" i="22" s="1"/>
  <c r="V380" i="22" s="1"/>
  <c r="AG19" i="22"/>
  <c r="AF19" i="22" s="1"/>
  <c r="AD19" i="22" s="1"/>
  <c r="AG22" i="22"/>
  <c r="AF22" i="22" s="1"/>
  <c r="AD22" i="22" s="1"/>
  <c r="AG34" i="22"/>
  <c r="AF34" i="22" s="1"/>
  <c r="AD34" i="22" s="1"/>
  <c r="AG38" i="22"/>
  <c r="AF38" i="22" s="1"/>
  <c r="AD38" i="22" s="1"/>
  <c r="AG50" i="22"/>
  <c r="AF50" i="22" s="1"/>
  <c r="AD50" i="22" s="1"/>
  <c r="AG58" i="22"/>
  <c r="AF58" i="22" s="1"/>
  <c r="AD58" i="22" s="1"/>
  <c r="AG66" i="22"/>
  <c r="AF66" i="22" s="1"/>
  <c r="AD66" i="22" s="1"/>
  <c r="AG78" i="22"/>
  <c r="AF78" i="22" s="1"/>
  <c r="AD78" i="22" s="1"/>
  <c r="AG86" i="22"/>
  <c r="AF86" i="22" s="1"/>
  <c r="AD86" i="22" s="1"/>
  <c r="AG90" i="22"/>
  <c r="AF90" i="22" s="1"/>
  <c r="AD90" i="22" s="1"/>
  <c r="AG98" i="22"/>
  <c r="AF98" i="22" s="1"/>
  <c r="AD98" i="22" s="1"/>
  <c r="AG102" i="22"/>
  <c r="AF102" i="22" s="1"/>
  <c r="AD102" i="22" s="1"/>
  <c r="AG110" i="22"/>
  <c r="AF110" i="22" s="1"/>
  <c r="AD110" i="22" s="1"/>
  <c r="AG114" i="22"/>
  <c r="AF114" i="22" s="1"/>
  <c r="AD114" i="22" s="1"/>
  <c r="AG126" i="22"/>
  <c r="AF126" i="22" s="1"/>
  <c r="AD126" i="22" s="1"/>
  <c r="AG146" i="22"/>
  <c r="AF146" i="22" s="1"/>
  <c r="AD146" i="22" s="1"/>
  <c r="AG162" i="22"/>
  <c r="AF162" i="22" s="1"/>
  <c r="AD162" i="22" s="1"/>
  <c r="AG170" i="22"/>
  <c r="AF170" i="22" s="1"/>
  <c r="AD170" i="22" s="1"/>
  <c r="AG182" i="22"/>
  <c r="AF182" i="22" s="1"/>
  <c r="AD182" i="22" s="1"/>
  <c r="AG190" i="22"/>
  <c r="AF190" i="22" s="1"/>
  <c r="AD190" i="22" s="1"/>
  <c r="AG194" i="22"/>
  <c r="AF194" i="22" s="1"/>
  <c r="AD194" i="22" s="1"/>
  <c r="AG206" i="22"/>
  <c r="AF206" i="22" s="1"/>
  <c r="AD206" i="22" s="1"/>
  <c r="AG214" i="22"/>
  <c r="AF214" i="22" s="1"/>
  <c r="AD214" i="22" s="1"/>
  <c r="AG218" i="22"/>
  <c r="AF218" i="22" s="1"/>
  <c r="AD218" i="22" s="1"/>
  <c r="AG226" i="22"/>
  <c r="AF226" i="22" s="1"/>
  <c r="AD226" i="22" s="1"/>
  <c r="AG230" i="22"/>
  <c r="AF230" i="22" s="1"/>
  <c r="AD230" i="22" s="1"/>
  <c r="AG238" i="22"/>
  <c r="AF238" i="22" s="1"/>
  <c r="AD238" i="22" s="1"/>
  <c r="AG242" i="22"/>
  <c r="AF242" i="22" s="1"/>
  <c r="AD242" i="22" s="1"/>
  <c r="AG246" i="22"/>
  <c r="AF246" i="22" s="1"/>
  <c r="AD246" i="22" s="1"/>
  <c r="AG270" i="22"/>
  <c r="AF270" i="22" s="1"/>
  <c r="AD270" i="22" s="1"/>
  <c r="AG294" i="22"/>
  <c r="AF294" i="22" s="1"/>
  <c r="AD294" i="22" s="1"/>
  <c r="AG298" i="22"/>
  <c r="AF298" i="22" s="1"/>
  <c r="AD298" i="22" s="1"/>
  <c r="AG302" i="22"/>
  <c r="AF302" i="22" s="1"/>
  <c r="AD302" i="22" s="1"/>
  <c r="AG306" i="22"/>
  <c r="AF306" i="22" s="1"/>
  <c r="AD306" i="22" s="1"/>
  <c r="AG310" i="22"/>
  <c r="AF310" i="22" s="1"/>
  <c r="AD310" i="22" s="1"/>
  <c r="AG318" i="22"/>
  <c r="AF318" i="22" s="1"/>
  <c r="AD318" i="22" s="1"/>
  <c r="AG326" i="22"/>
  <c r="AF326" i="22" s="1"/>
  <c r="AD326" i="22" s="1"/>
  <c r="AG330" i="22"/>
  <c r="AF330" i="22" s="1"/>
  <c r="AD330" i="22" s="1"/>
  <c r="AG334" i="22"/>
  <c r="AF334" i="22" s="1"/>
  <c r="AD334" i="22" s="1"/>
  <c r="AG350" i="22"/>
  <c r="AF350" i="22" s="1"/>
  <c r="AD350" i="22" s="1"/>
  <c r="AG354" i="22"/>
  <c r="AF354" i="22" s="1"/>
  <c r="AD354" i="22" s="1"/>
  <c r="AG358" i="22"/>
  <c r="AF358" i="22" s="1"/>
  <c r="AD358" i="22" s="1"/>
  <c r="AG370" i="22"/>
  <c r="AF370" i="22" s="1"/>
  <c r="AD370" i="22" s="1"/>
  <c r="AG374" i="22"/>
  <c r="AF374" i="22" s="1"/>
  <c r="AD374" i="22" s="1"/>
  <c r="AG378" i="22"/>
  <c r="AF378" i="22" s="1"/>
  <c r="AD378" i="22" s="1"/>
  <c r="J32" i="20"/>
  <c r="I32" i="20"/>
  <c r="I52" i="20"/>
  <c r="J52" i="20"/>
  <c r="J64" i="20"/>
  <c r="I64" i="20"/>
  <c r="I70" i="20"/>
  <c r="J70" i="20"/>
  <c r="I80" i="20"/>
  <c r="J80" i="20"/>
  <c r="I112" i="20"/>
  <c r="J112" i="20"/>
  <c r="J208" i="20"/>
  <c r="I208" i="20"/>
  <c r="I218" i="20"/>
  <c r="J218" i="20"/>
  <c r="I254" i="20"/>
  <c r="J254" i="20"/>
  <c r="AD15" i="20"/>
  <c r="H227" i="20"/>
  <c r="J325" i="20"/>
  <c r="I325" i="20"/>
  <c r="H60" i="20"/>
  <c r="Q381" i="23" l="1"/>
  <c r="AL12" i="17"/>
  <c r="AJ4" i="17" s="1"/>
  <c r="P14" i="19" s="1"/>
  <c r="G125" i="20"/>
  <c r="CB125" i="6" s="1"/>
  <c r="AA125" i="20"/>
  <c r="Z125" i="20" s="1"/>
  <c r="Y125" i="20" s="1"/>
  <c r="G61" i="20"/>
  <c r="CB61" i="6" s="1"/>
  <c r="AA61" i="20"/>
  <c r="Z61" i="20" s="1"/>
  <c r="Y61" i="20" s="1"/>
  <c r="I189" i="18"/>
  <c r="J189" i="18"/>
  <c r="C189" i="6" s="1"/>
  <c r="B205" i="6"/>
  <c r="BA205" i="6" s="1"/>
  <c r="H205" i="20"/>
  <c r="I125" i="18"/>
  <c r="J125" i="18"/>
  <c r="C125" i="6" s="1"/>
  <c r="I61" i="18"/>
  <c r="J61" i="18"/>
  <c r="C61" i="6" s="1"/>
  <c r="D149" i="6"/>
  <c r="W4" i="6"/>
  <c r="F9" i="17"/>
  <c r="F383" i="17"/>
  <c r="AK10" i="17"/>
  <c r="AK12" i="17" s="1"/>
  <c r="AK13" i="17" s="1"/>
  <c r="F381" i="17"/>
  <c r="AA15" i="17"/>
  <c r="AM10" i="17"/>
  <c r="G15" i="17"/>
  <c r="F382" i="17"/>
  <c r="H15" i="17"/>
  <c r="B88" i="6"/>
  <c r="BA88" i="6" s="1"/>
  <c r="H88" i="20"/>
  <c r="AE338" i="23"/>
  <c r="AE372" i="23"/>
  <c r="AE116" i="23"/>
  <c r="AE376" i="23"/>
  <c r="AE344" i="23"/>
  <c r="AE282" i="23"/>
  <c r="AE218" i="23"/>
  <c r="AE132" i="23"/>
  <c r="AE378" i="23"/>
  <c r="AE362" i="23"/>
  <c r="AE346" i="23"/>
  <c r="AE318" i="23"/>
  <c r="AE286" i="23"/>
  <c r="AE254" i="23"/>
  <c r="AE222" i="23"/>
  <c r="AE190" i="23"/>
  <c r="AE140" i="23"/>
  <c r="AE120" i="23"/>
  <c r="AE152" i="23"/>
  <c r="AE180" i="23"/>
  <c r="AE196" i="23"/>
  <c r="AE212" i="23"/>
  <c r="AE228" i="23"/>
  <c r="AE244" i="23"/>
  <c r="AE260" i="23"/>
  <c r="AE276" i="23"/>
  <c r="AE292" i="23"/>
  <c r="AE308" i="23"/>
  <c r="AE324" i="23"/>
  <c r="AE340" i="23"/>
  <c r="AE118" i="23"/>
  <c r="AE134" i="23"/>
  <c r="AE150" i="23"/>
  <c r="AE166" i="23"/>
  <c r="AE375" i="23"/>
  <c r="AE367" i="23"/>
  <c r="AE359" i="23"/>
  <c r="AE351" i="23"/>
  <c r="AE343" i="23"/>
  <c r="AE335" i="23"/>
  <c r="AE327" i="23"/>
  <c r="AE319" i="23"/>
  <c r="AE315" i="23"/>
  <c r="AE311" i="23"/>
  <c r="AE307" i="23"/>
  <c r="AE303" i="23"/>
  <c r="AE299" i="23"/>
  <c r="AE295" i="23"/>
  <c r="AE291" i="23"/>
  <c r="AE287" i="23"/>
  <c r="AE283" i="23"/>
  <c r="AE279" i="23"/>
  <c r="AE275" i="23"/>
  <c r="AE271" i="23"/>
  <c r="AE267" i="23"/>
  <c r="AE263" i="23"/>
  <c r="AE259" i="23"/>
  <c r="AE255" i="23"/>
  <c r="AE251" i="23"/>
  <c r="AE247" i="23"/>
  <c r="AE243" i="23"/>
  <c r="AE239" i="23"/>
  <c r="AE235" i="23"/>
  <c r="AE231" i="23"/>
  <c r="AE227" i="23"/>
  <c r="AE223" i="23"/>
  <c r="AE219" i="23"/>
  <c r="AE215" i="23"/>
  <c r="AE211" i="23"/>
  <c r="AE207" i="23"/>
  <c r="AE203" i="23"/>
  <c r="AE199" i="23"/>
  <c r="AE195" i="23"/>
  <c r="AE191" i="23"/>
  <c r="AE187" i="23"/>
  <c r="AE183" i="23"/>
  <c r="AE179" i="23"/>
  <c r="AE175" i="23"/>
  <c r="AE171" i="23"/>
  <c r="AE167" i="23"/>
  <c r="AE163" i="23"/>
  <c r="AE159" i="23"/>
  <c r="AE155" i="23"/>
  <c r="AE151" i="23"/>
  <c r="AE147" i="23"/>
  <c r="AE143" i="23"/>
  <c r="AE105" i="23"/>
  <c r="AE109" i="23"/>
  <c r="AE113" i="23"/>
  <c r="AE117" i="23"/>
  <c r="AE121" i="23"/>
  <c r="AE125" i="23"/>
  <c r="AE129" i="23"/>
  <c r="AE133" i="23"/>
  <c r="AE137" i="23"/>
  <c r="AE141" i="23"/>
  <c r="AE149" i="23"/>
  <c r="AE157" i="23"/>
  <c r="AE165" i="23"/>
  <c r="AE173" i="23"/>
  <c r="AE181" i="23"/>
  <c r="AE189" i="23"/>
  <c r="AE197" i="23"/>
  <c r="AE205" i="23"/>
  <c r="AE213" i="23"/>
  <c r="AE221" i="23"/>
  <c r="AE229" i="23"/>
  <c r="AE237" i="23"/>
  <c r="AE245" i="23"/>
  <c r="AE253" i="23"/>
  <c r="AE261" i="23"/>
  <c r="AE269" i="23"/>
  <c r="AE277" i="23"/>
  <c r="AE285" i="23"/>
  <c r="AE293" i="23"/>
  <c r="AE301" i="23"/>
  <c r="AE309" i="23"/>
  <c r="AE317" i="23"/>
  <c r="AE331" i="23"/>
  <c r="AE347" i="23"/>
  <c r="AE363" i="23"/>
  <c r="AE379" i="23"/>
  <c r="AE12" i="24" s="1"/>
  <c r="AE174" i="23"/>
  <c r="AE142" i="23"/>
  <c r="AE110" i="23"/>
  <c r="AE316" i="23"/>
  <c r="AE284" i="23"/>
  <c r="AE252" i="23"/>
  <c r="AE220" i="23"/>
  <c r="AE188" i="23"/>
  <c r="AE136" i="23"/>
  <c r="AE172" i="23"/>
  <c r="AE238" i="23"/>
  <c r="AE302" i="23"/>
  <c r="AE354" i="23"/>
  <c r="AE250" i="23"/>
  <c r="AE360" i="23"/>
  <c r="AE210" i="23"/>
  <c r="AM13" i="16"/>
  <c r="AK4" i="16"/>
  <c r="R13" i="19" s="1"/>
  <c r="N14" i="19" s="1"/>
  <c r="AE274" i="23"/>
  <c r="Z11" i="16"/>
  <c r="Z5" i="16" s="1"/>
  <c r="H13" i="19" s="1"/>
  <c r="H37" i="19" s="1"/>
  <c r="AA11" i="16"/>
  <c r="AA5" i="16" s="1"/>
  <c r="I13" i="19" s="1"/>
  <c r="I37" i="19" s="1"/>
  <c r="Y11" i="16"/>
  <c r="J13" i="19"/>
  <c r="AJ3" i="16"/>
  <c r="O13" i="19" s="1"/>
  <c r="M13" i="19" s="1"/>
  <c r="AL13" i="16"/>
  <c r="AE356" i="23"/>
  <c r="AE306" i="23"/>
  <c r="AE242" i="23"/>
  <c r="AE178" i="23"/>
  <c r="AE368" i="23"/>
  <c r="AE352" i="23"/>
  <c r="AE330" i="23"/>
  <c r="AE298" i="23"/>
  <c r="AE266" i="23"/>
  <c r="AE234" i="23"/>
  <c r="AE202" i="23"/>
  <c r="AE164" i="23"/>
  <c r="AE374" i="23"/>
  <c r="AE366" i="23"/>
  <c r="AE358" i="23"/>
  <c r="AE350" i="23"/>
  <c r="AE342" i="23"/>
  <c r="AE326" i="23"/>
  <c r="AE310" i="23"/>
  <c r="AE294" i="23"/>
  <c r="AE278" i="23"/>
  <c r="AE262" i="23"/>
  <c r="AE246" i="23"/>
  <c r="AE230" i="23"/>
  <c r="AE214" i="23"/>
  <c r="AE198" i="23"/>
  <c r="AE182" i="23"/>
  <c r="AE156" i="23"/>
  <c r="AE124" i="23"/>
  <c r="AE112" i="23"/>
  <c r="AE128" i="23"/>
  <c r="AE144" i="23"/>
  <c r="AE160" i="23"/>
  <c r="AE176" i="23"/>
  <c r="AE184" i="23"/>
  <c r="AE192" i="23"/>
  <c r="AE200" i="23"/>
  <c r="AE208" i="23"/>
  <c r="AE216" i="23"/>
  <c r="AE224" i="23"/>
  <c r="AE232" i="23"/>
  <c r="AE240" i="23"/>
  <c r="AE248" i="23"/>
  <c r="AE256" i="23"/>
  <c r="AE264" i="23"/>
  <c r="AE272" i="23"/>
  <c r="AE280" i="23"/>
  <c r="AE288" i="23"/>
  <c r="AE296" i="23"/>
  <c r="AE304" i="23"/>
  <c r="AE312" i="23"/>
  <c r="AE320" i="23"/>
  <c r="AE328" i="23"/>
  <c r="AE336" i="23"/>
  <c r="AE106" i="23"/>
  <c r="AE114" i="23"/>
  <c r="AE122" i="23"/>
  <c r="AE130" i="23"/>
  <c r="AE138" i="23"/>
  <c r="AE146" i="23"/>
  <c r="AE154" i="23"/>
  <c r="AE162" i="23"/>
  <c r="AE170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194" i="23"/>
  <c r="AE258" i="23"/>
  <c r="AE322" i="23"/>
  <c r="AE364" i="23"/>
  <c r="AE148" i="23"/>
  <c r="AE226" i="23"/>
  <c r="AE290" i="23"/>
  <c r="AE348" i="23"/>
  <c r="AF104" i="20"/>
  <c r="AG382" i="20"/>
  <c r="AG381" i="20"/>
  <c r="AG383" i="20"/>
  <c r="V379" i="22"/>
  <c r="B379" i="22" s="1"/>
  <c r="D379" i="22" s="1"/>
  <c r="E379" i="22" s="1"/>
  <c r="F379" i="22" s="1"/>
  <c r="D41" i="19"/>
  <c r="AJ6" i="18"/>
  <c r="AJ5" i="18"/>
  <c r="J180" i="20"/>
  <c r="AE382" i="23"/>
  <c r="B380" i="22"/>
  <c r="D380" i="22" s="1"/>
  <c r="E380" i="22" s="1"/>
  <c r="F380" i="22" s="1"/>
  <c r="B320" i="22"/>
  <c r="D320" i="22" s="1"/>
  <c r="E320" i="22" s="1"/>
  <c r="F320" i="22" s="1"/>
  <c r="L67" i="19"/>
  <c r="B75" i="22"/>
  <c r="D75" i="22" s="1"/>
  <c r="E75" i="22" s="1"/>
  <c r="F75" i="22" s="1"/>
  <c r="D67" i="19"/>
  <c r="C67" i="19"/>
  <c r="N65" i="19"/>
  <c r="K67" i="19"/>
  <c r="W368" i="22"/>
  <c r="D368" i="22"/>
  <c r="E368" i="22" s="1"/>
  <c r="F368" i="22" s="1"/>
  <c r="D308" i="22"/>
  <c r="E308" i="22" s="1"/>
  <c r="F308" i="22" s="1"/>
  <c r="W308" i="22"/>
  <c r="D224" i="22"/>
  <c r="E224" i="22" s="1"/>
  <c r="F224" i="22" s="1"/>
  <c r="W224" i="22"/>
  <c r="W164" i="22"/>
  <c r="D164" i="22"/>
  <c r="E164" i="22" s="1"/>
  <c r="F164" i="22" s="1"/>
  <c r="W136" i="22"/>
  <c r="D136" i="22"/>
  <c r="E136" i="22" s="1"/>
  <c r="F136" i="22" s="1"/>
  <c r="W124" i="22"/>
  <c r="D124" i="22"/>
  <c r="E124" i="22" s="1"/>
  <c r="F124" i="22" s="1"/>
  <c r="W104" i="22"/>
  <c r="D104" i="22"/>
  <c r="E104" i="22" s="1"/>
  <c r="F104" i="22" s="1"/>
  <c r="D92" i="22"/>
  <c r="E92" i="22" s="1"/>
  <c r="F92" i="22" s="1"/>
  <c r="W92" i="22"/>
  <c r="D52" i="22"/>
  <c r="E52" i="22" s="1"/>
  <c r="F52" i="22" s="1"/>
  <c r="W52" i="22"/>
  <c r="W28" i="22"/>
  <c r="D28" i="22"/>
  <c r="E28" i="22" s="1"/>
  <c r="F28" i="22" s="1"/>
  <c r="W375" i="22"/>
  <c r="D375" i="22"/>
  <c r="E375" i="22" s="1"/>
  <c r="F375" i="22" s="1"/>
  <c r="D295" i="22"/>
  <c r="E295" i="22" s="1"/>
  <c r="F295" i="22" s="1"/>
  <c r="W295" i="22"/>
  <c r="D251" i="22"/>
  <c r="E251" i="22" s="1"/>
  <c r="F251" i="22" s="1"/>
  <c r="W251" i="22"/>
  <c r="W203" i="22"/>
  <c r="D203" i="22"/>
  <c r="E203" i="22" s="1"/>
  <c r="F203" i="22" s="1"/>
  <c r="B135" i="22"/>
  <c r="D71" i="22"/>
  <c r="E71" i="22" s="1"/>
  <c r="F71" i="22" s="1"/>
  <c r="W71" i="22"/>
  <c r="W55" i="22"/>
  <c r="D55" i="22"/>
  <c r="E55" i="22" s="1"/>
  <c r="F55" i="22" s="1"/>
  <c r="D19" i="22"/>
  <c r="E19" i="22" s="1"/>
  <c r="F19" i="22" s="1"/>
  <c r="W19" i="22"/>
  <c r="D346" i="22"/>
  <c r="E346" i="22" s="1"/>
  <c r="F346" i="22" s="1"/>
  <c r="W346" i="22"/>
  <c r="D334" i="22"/>
  <c r="E334" i="22" s="1"/>
  <c r="F334" i="22" s="1"/>
  <c r="W334" i="22"/>
  <c r="W274" i="22"/>
  <c r="D274" i="22"/>
  <c r="E274" i="22" s="1"/>
  <c r="F274" i="22" s="1"/>
  <c r="D242" i="22"/>
  <c r="E242" i="22" s="1"/>
  <c r="F242" i="22" s="1"/>
  <c r="W242" i="22"/>
  <c r="D226" i="22"/>
  <c r="E226" i="22" s="1"/>
  <c r="F226" i="22" s="1"/>
  <c r="W226" i="22"/>
  <c r="D198" i="22"/>
  <c r="E198" i="22" s="1"/>
  <c r="F198" i="22" s="1"/>
  <c r="W198" i="22"/>
  <c r="D178" i="22"/>
  <c r="E178" i="22" s="1"/>
  <c r="F178" i="22" s="1"/>
  <c r="W178" i="22"/>
  <c r="D150" i="22"/>
  <c r="E150" i="22" s="1"/>
  <c r="F150" i="22" s="1"/>
  <c r="W150" i="22"/>
  <c r="W142" i="22"/>
  <c r="D142" i="22"/>
  <c r="E142" i="22" s="1"/>
  <c r="F142" i="22" s="1"/>
  <c r="D102" i="22"/>
  <c r="E102" i="22" s="1"/>
  <c r="F102" i="22" s="1"/>
  <c r="W102" i="22"/>
  <c r="W86" i="22"/>
  <c r="D86" i="22"/>
  <c r="E86" i="22" s="1"/>
  <c r="F86" i="22" s="1"/>
  <c r="D50" i="22"/>
  <c r="E50" i="22" s="1"/>
  <c r="F50" i="22" s="1"/>
  <c r="W50" i="22"/>
  <c r="B349" i="22"/>
  <c r="D273" i="22"/>
  <c r="E273" i="22" s="1"/>
  <c r="F273" i="22" s="1"/>
  <c r="W273" i="22"/>
  <c r="D261" i="22"/>
  <c r="E261" i="22" s="1"/>
  <c r="F261" i="22" s="1"/>
  <c r="W261" i="22"/>
  <c r="W209" i="22"/>
  <c r="D209" i="22"/>
  <c r="E209" i="22" s="1"/>
  <c r="F209" i="22" s="1"/>
  <c r="D189" i="22"/>
  <c r="E189" i="22" s="1"/>
  <c r="F189" i="22" s="1"/>
  <c r="W189" i="22"/>
  <c r="W161" i="22"/>
  <c r="D161" i="22"/>
  <c r="E161" i="22" s="1"/>
  <c r="F161" i="22" s="1"/>
  <c r="D145" i="22"/>
  <c r="E145" i="22" s="1"/>
  <c r="F145" i="22" s="1"/>
  <c r="W145" i="22"/>
  <c r="W125" i="22"/>
  <c r="D125" i="22"/>
  <c r="E125" i="22" s="1"/>
  <c r="F125" i="22" s="1"/>
  <c r="W101" i="22"/>
  <c r="D101" i="22"/>
  <c r="E101" i="22" s="1"/>
  <c r="F101" i="22" s="1"/>
  <c r="D61" i="22"/>
  <c r="E61" i="22" s="1"/>
  <c r="F61" i="22" s="1"/>
  <c r="W61" i="22"/>
  <c r="W45" i="22"/>
  <c r="D45" i="22"/>
  <c r="E45" i="22" s="1"/>
  <c r="F45" i="22" s="1"/>
  <c r="W364" i="22"/>
  <c r="D364" i="22"/>
  <c r="E364" i="22" s="1"/>
  <c r="F364" i="22" s="1"/>
  <c r="W276" i="22"/>
  <c r="D276" i="22"/>
  <c r="E276" i="22" s="1"/>
  <c r="F276" i="22" s="1"/>
  <c r="D208" i="22"/>
  <c r="E208" i="22" s="1"/>
  <c r="F208" i="22" s="1"/>
  <c r="W208" i="22"/>
  <c r="D160" i="22"/>
  <c r="E160" i="22" s="1"/>
  <c r="F160" i="22" s="1"/>
  <c r="W160" i="22"/>
  <c r="D128" i="22"/>
  <c r="E128" i="22" s="1"/>
  <c r="F128" i="22" s="1"/>
  <c r="W128" i="22"/>
  <c r="D116" i="22"/>
  <c r="E116" i="22" s="1"/>
  <c r="F116" i="22" s="1"/>
  <c r="W116" i="22"/>
  <c r="D96" i="22"/>
  <c r="E96" i="22" s="1"/>
  <c r="F96" i="22" s="1"/>
  <c r="W96" i="22"/>
  <c r="D80" i="22"/>
  <c r="E80" i="22" s="1"/>
  <c r="F80" i="22" s="1"/>
  <c r="W80" i="22"/>
  <c r="W36" i="22"/>
  <c r="D36" i="22"/>
  <c r="E36" i="22" s="1"/>
  <c r="F36" i="22" s="1"/>
  <c r="D371" i="22"/>
  <c r="E371" i="22" s="1"/>
  <c r="F371" i="22" s="1"/>
  <c r="W371" i="22"/>
  <c r="W271" i="22"/>
  <c r="D271" i="22"/>
  <c r="E271" i="22" s="1"/>
  <c r="F271" i="22" s="1"/>
  <c r="D211" i="22"/>
  <c r="E211" i="22" s="1"/>
  <c r="F211" i="22" s="1"/>
  <c r="W211" i="22"/>
  <c r="D163" i="22"/>
  <c r="E163" i="22" s="1"/>
  <c r="F163" i="22" s="1"/>
  <c r="W163" i="22"/>
  <c r="W131" i="22"/>
  <c r="D131" i="22"/>
  <c r="E131" i="22" s="1"/>
  <c r="F131" i="22" s="1"/>
  <c r="D59" i="22"/>
  <c r="E59" i="22" s="1"/>
  <c r="F59" i="22" s="1"/>
  <c r="W59" i="22"/>
  <c r="D51" i="22"/>
  <c r="E51" i="22" s="1"/>
  <c r="F51" i="22" s="1"/>
  <c r="W51" i="22"/>
  <c r="W342" i="22"/>
  <c r="D342" i="22"/>
  <c r="E342" i="22" s="1"/>
  <c r="F342" i="22" s="1"/>
  <c r="D314" i="22"/>
  <c r="E314" i="22" s="1"/>
  <c r="F314" i="22" s="1"/>
  <c r="W314" i="22"/>
  <c r="D246" i="22"/>
  <c r="E246" i="22" s="1"/>
  <c r="F246" i="22" s="1"/>
  <c r="W246" i="22"/>
  <c r="W230" i="22"/>
  <c r="D230" i="22"/>
  <c r="E230" i="22" s="1"/>
  <c r="F230" i="22" s="1"/>
  <c r="AH38" i="7"/>
  <c r="V210" i="22"/>
  <c r="B210" i="22" s="1"/>
  <c r="D194" i="22"/>
  <c r="E194" i="22" s="1"/>
  <c r="F194" i="22" s="1"/>
  <c r="W194" i="22"/>
  <c r="D154" i="22"/>
  <c r="E154" i="22" s="1"/>
  <c r="F154" i="22" s="1"/>
  <c r="W154" i="22"/>
  <c r="D146" i="22"/>
  <c r="E146" i="22" s="1"/>
  <c r="F146" i="22" s="1"/>
  <c r="W146" i="22"/>
  <c r="D114" i="22"/>
  <c r="E114" i="22" s="1"/>
  <c r="F114" i="22" s="1"/>
  <c r="W114" i="22"/>
  <c r="D90" i="22"/>
  <c r="E90" i="22" s="1"/>
  <c r="F90" i="22" s="1"/>
  <c r="W90" i="22"/>
  <c r="D78" i="22"/>
  <c r="E78" i="22" s="1"/>
  <c r="F78" i="22" s="1"/>
  <c r="W78" i="22"/>
  <c r="W337" i="22"/>
  <c r="D337" i="22"/>
  <c r="E337" i="22" s="1"/>
  <c r="F337" i="22" s="1"/>
  <c r="D269" i="22"/>
  <c r="E269" i="22" s="1"/>
  <c r="F269" i="22" s="1"/>
  <c r="W269" i="22"/>
  <c r="D257" i="22"/>
  <c r="E257" i="22" s="1"/>
  <c r="F257" i="22" s="1"/>
  <c r="W257" i="22"/>
  <c r="D193" i="22"/>
  <c r="E193" i="22" s="1"/>
  <c r="F193" i="22" s="1"/>
  <c r="W193" i="22"/>
  <c r="W169" i="22"/>
  <c r="D169" i="22"/>
  <c r="E169" i="22" s="1"/>
  <c r="F169" i="22" s="1"/>
  <c r="AH36" i="7"/>
  <c r="V149" i="22"/>
  <c r="B149" i="22" s="1"/>
  <c r="W129" i="22"/>
  <c r="D129" i="22"/>
  <c r="E129" i="22" s="1"/>
  <c r="F129" i="22" s="1"/>
  <c r="D109" i="22"/>
  <c r="E109" i="22" s="1"/>
  <c r="F109" i="22" s="1"/>
  <c r="W109" i="22"/>
  <c r="D73" i="22"/>
  <c r="E73" i="22" s="1"/>
  <c r="F73" i="22" s="1"/>
  <c r="W73" i="22"/>
  <c r="W57" i="22"/>
  <c r="D57" i="22"/>
  <c r="E57" i="22" s="1"/>
  <c r="F57" i="22" s="1"/>
  <c r="W23" i="22"/>
  <c r="D23" i="22"/>
  <c r="E23" i="22" s="1"/>
  <c r="F23" i="22" s="1"/>
  <c r="AA372" i="22"/>
  <c r="Z372" i="22" s="1"/>
  <c r="Y372" i="22" s="1"/>
  <c r="G372" i="22"/>
  <c r="CC372" i="6" s="1"/>
  <c r="H372" i="22"/>
  <c r="D336" i="22"/>
  <c r="E336" i="22" s="1"/>
  <c r="F336" i="22" s="1"/>
  <c r="W336" i="22"/>
  <c r="G316" i="22"/>
  <c r="CC316" i="6" s="1"/>
  <c r="AA316" i="22"/>
  <c r="Z316" i="22" s="1"/>
  <c r="Y316" i="22" s="1"/>
  <c r="H316" i="22"/>
  <c r="W304" i="22"/>
  <c r="D304" i="22"/>
  <c r="E304" i="22" s="1"/>
  <c r="F304" i="22" s="1"/>
  <c r="G296" i="22"/>
  <c r="CC296" i="6" s="1"/>
  <c r="AA296" i="22"/>
  <c r="Z296" i="22" s="1"/>
  <c r="Y296" i="22" s="1"/>
  <c r="H296" i="22"/>
  <c r="D268" i="22"/>
  <c r="E268" i="22" s="1"/>
  <c r="F268" i="22" s="1"/>
  <c r="W268" i="22"/>
  <c r="AA260" i="22"/>
  <c r="Z260" i="22" s="1"/>
  <c r="Y260" i="22" s="1"/>
  <c r="H260" i="22"/>
  <c r="G260" i="22"/>
  <c r="CC260" i="6" s="1"/>
  <c r="D244" i="22"/>
  <c r="E244" i="22" s="1"/>
  <c r="F244" i="22" s="1"/>
  <c r="W244" i="22"/>
  <c r="W236" i="22"/>
  <c r="D236" i="22"/>
  <c r="E236" i="22" s="1"/>
  <c r="F236" i="22" s="1"/>
  <c r="B196" i="22"/>
  <c r="AA188" i="22"/>
  <c r="Z188" i="22" s="1"/>
  <c r="Y188" i="22" s="1"/>
  <c r="G188" i="22"/>
  <c r="CC188" i="6" s="1"/>
  <c r="H188" i="22"/>
  <c r="W172" i="22"/>
  <c r="D172" i="22"/>
  <c r="E172" i="22" s="1"/>
  <c r="F172" i="22" s="1"/>
  <c r="AA152" i="22"/>
  <c r="Z152" i="22" s="1"/>
  <c r="Y152" i="22" s="1"/>
  <c r="H152" i="22"/>
  <c r="G152" i="22"/>
  <c r="CC152" i="6" s="1"/>
  <c r="W132" i="22"/>
  <c r="D132" i="22"/>
  <c r="E132" i="22" s="1"/>
  <c r="F132" i="22" s="1"/>
  <c r="G100" i="22"/>
  <c r="CC100" i="6" s="1"/>
  <c r="AA100" i="22"/>
  <c r="Z100" i="22" s="1"/>
  <c r="Y100" i="22" s="1"/>
  <c r="H100" i="22"/>
  <c r="D76" i="22"/>
  <c r="E76" i="22" s="1"/>
  <c r="F76" i="22" s="1"/>
  <c r="W76" i="22"/>
  <c r="D64" i="22"/>
  <c r="E64" i="22" s="1"/>
  <c r="F64" i="22" s="1"/>
  <c r="W64" i="22"/>
  <c r="AA32" i="22"/>
  <c r="Z32" i="22" s="1"/>
  <c r="Y32" i="22" s="1"/>
  <c r="G32" i="22"/>
  <c r="CC32" i="6" s="1"/>
  <c r="H32" i="22"/>
  <c r="AA18" i="22"/>
  <c r="Z18" i="22" s="1"/>
  <c r="Y18" i="22" s="1"/>
  <c r="H18" i="22"/>
  <c r="G18" i="22"/>
  <c r="CC18" i="6" s="1"/>
  <c r="I149" i="20"/>
  <c r="J149" i="20"/>
  <c r="J319" i="20"/>
  <c r="I319" i="20"/>
  <c r="W319" i="22"/>
  <c r="D319" i="22"/>
  <c r="E319" i="22" s="1"/>
  <c r="F319" i="22" s="1"/>
  <c r="AA360" i="22"/>
  <c r="Z360" i="22" s="1"/>
  <c r="Y360" i="22" s="1"/>
  <c r="G360" i="22"/>
  <c r="CC360" i="6" s="1"/>
  <c r="H360" i="22"/>
  <c r="AA352" i="22"/>
  <c r="Z352" i="22" s="1"/>
  <c r="Y352" i="22" s="1"/>
  <c r="H352" i="22"/>
  <c r="G352" i="22"/>
  <c r="CC352" i="6" s="1"/>
  <c r="G348" i="22"/>
  <c r="CC348" i="6" s="1"/>
  <c r="H348" i="22"/>
  <c r="AA348" i="22"/>
  <c r="Z348" i="22" s="1"/>
  <c r="Y348" i="22" s="1"/>
  <c r="AA344" i="22"/>
  <c r="Z344" i="22" s="1"/>
  <c r="Y344" i="22" s="1"/>
  <c r="H344" i="22"/>
  <c r="G344" i="22"/>
  <c r="CC344" i="6" s="1"/>
  <c r="AA332" i="22"/>
  <c r="Z332" i="22" s="1"/>
  <c r="Y332" i="22" s="1"/>
  <c r="H332" i="22"/>
  <c r="G332" i="22"/>
  <c r="CC332" i="6" s="1"/>
  <c r="H328" i="22"/>
  <c r="G328" i="22"/>
  <c r="CC328" i="6" s="1"/>
  <c r="AA328" i="22"/>
  <c r="Z328" i="22" s="1"/>
  <c r="Y328" i="22" s="1"/>
  <c r="G292" i="22"/>
  <c r="CC292" i="6" s="1"/>
  <c r="H292" i="22"/>
  <c r="AA292" i="22"/>
  <c r="Z292" i="22" s="1"/>
  <c r="Y292" i="22" s="1"/>
  <c r="G284" i="22"/>
  <c r="CC284" i="6" s="1"/>
  <c r="AA284" i="22"/>
  <c r="Z284" i="22" s="1"/>
  <c r="Y284" i="22" s="1"/>
  <c r="H284" i="22"/>
  <c r="AA280" i="22"/>
  <c r="Z280" i="22" s="1"/>
  <c r="Y280" i="22" s="1"/>
  <c r="G280" i="22"/>
  <c r="CC280" i="6" s="1"/>
  <c r="H280" i="22"/>
  <c r="D272" i="22"/>
  <c r="E272" i="22" s="1"/>
  <c r="F272" i="22" s="1"/>
  <c r="W272" i="22"/>
  <c r="AA240" i="22"/>
  <c r="Z240" i="22" s="1"/>
  <c r="Y240" i="22" s="1"/>
  <c r="H240" i="22"/>
  <c r="G240" i="22"/>
  <c r="CC240" i="6" s="1"/>
  <c r="AA232" i="22"/>
  <c r="Z232" i="22" s="1"/>
  <c r="Y232" i="22" s="1"/>
  <c r="G232" i="22"/>
  <c r="CC232" i="6" s="1"/>
  <c r="H232" i="22"/>
  <c r="AA220" i="22"/>
  <c r="Z220" i="22" s="1"/>
  <c r="Y220" i="22" s="1"/>
  <c r="G220" i="22"/>
  <c r="CC220" i="6" s="1"/>
  <c r="H220" i="22"/>
  <c r="G212" i="22"/>
  <c r="CC212" i="6" s="1"/>
  <c r="AA212" i="22"/>
  <c r="Z212" i="22" s="1"/>
  <c r="Y212" i="22" s="1"/>
  <c r="H212" i="22"/>
  <c r="G200" i="22"/>
  <c r="CC200" i="6" s="1"/>
  <c r="AA200" i="22"/>
  <c r="Z200" i="22" s="1"/>
  <c r="Y200" i="22" s="1"/>
  <c r="H200" i="22"/>
  <c r="W180" i="22"/>
  <c r="D180" i="22"/>
  <c r="E180" i="22" s="1"/>
  <c r="F180" i="22" s="1"/>
  <c r="AA176" i="22"/>
  <c r="Z176" i="22" s="1"/>
  <c r="Y176" i="22" s="1"/>
  <c r="G176" i="22"/>
  <c r="CC176" i="6" s="1"/>
  <c r="H176" i="22"/>
  <c r="AA168" i="22"/>
  <c r="Z168" i="22" s="1"/>
  <c r="Y168" i="22" s="1"/>
  <c r="G168" i="22"/>
  <c r="CC168" i="6" s="1"/>
  <c r="H168" i="22"/>
  <c r="G144" i="22"/>
  <c r="CC144" i="6" s="1"/>
  <c r="AA144" i="22"/>
  <c r="Z144" i="22" s="1"/>
  <c r="Y144" i="22" s="1"/>
  <c r="H144" i="22"/>
  <c r="G140" i="22"/>
  <c r="CC140" i="6" s="1"/>
  <c r="AA140" i="22"/>
  <c r="Z140" i="22" s="1"/>
  <c r="Y140" i="22" s="1"/>
  <c r="H140" i="22"/>
  <c r="G120" i="22"/>
  <c r="CC120" i="6" s="1"/>
  <c r="H120" i="22"/>
  <c r="AA120" i="22"/>
  <c r="Z120" i="22" s="1"/>
  <c r="Y120" i="22" s="1"/>
  <c r="G112" i="22"/>
  <c r="CC112" i="6" s="1"/>
  <c r="AA112" i="22"/>
  <c r="Z112" i="22" s="1"/>
  <c r="Y112" i="22" s="1"/>
  <c r="H112" i="22"/>
  <c r="D88" i="22"/>
  <c r="E88" i="22" s="1"/>
  <c r="F88" i="22" s="1"/>
  <c r="W88" i="22"/>
  <c r="D60" i="22"/>
  <c r="E60" i="22" s="1"/>
  <c r="F60" i="22" s="1"/>
  <c r="W60" i="22"/>
  <c r="AA56" i="22"/>
  <c r="Z56" i="22" s="1"/>
  <c r="Y56" i="22" s="1"/>
  <c r="H56" i="22"/>
  <c r="G56" i="22"/>
  <c r="CC56" i="6" s="1"/>
  <c r="AA48" i="22"/>
  <c r="Z48" i="22" s="1"/>
  <c r="Y48" i="22" s="1"/>
  <c r="H48" i="22"/>
  <c r="G48" i="22"/>
  <c r="CC48" i="6" s="1"/>
  <c r="AA44" i="22"/>
  <c r="Z44" i="22" s="1"/>
  <c r="Y44" i="22" s="1"/>
  <c r="H44" i="22"/>
  <c r="G44" i="22"/>
  <c r="CC44" i="6" s="1"/>
  <c r="H40" i="22"/>
  <c r="AA40" i="22"/>
  <c r="Z40" i="22" s="1"/>
  <c r="Y40" i="22" s="1"/>
  <c r="G40" i="22"/>
  <c r="CC40" i="6" s="1"/>
  <c r="T382" i="22"/>
  <c r="S15" i="22"/>
  <c r="T383" i="22"/>
  <c r="T381" i="22"/>
  <c r="J196" i="20"/>
  <c r="I196" i="20"/>
  <c r="J363" i="20"/>
  <c r="I363" i="20"/>
  <c r="J333" i="20"/>
  <c r="I333" i="20"/>
  <c r="J241" i="20"/>
  <c r="I241" i="20"/>
  <c r="I288" i="20"/>
  <c r="H288" i="22" s="1"/>
  <c r="J288" i="20"/>
  <c r="J258" i="20"/>
  <c r="I258" i="20"/>
  <c r="J210" i="20"/>
  <c r="I210" i="20"/>
  <c r="Q10" i="24"/>
  <c r="Q95" i="24" s="1"/>
  <c r="AY15" i="7"/>
  <c r="Q21" i="24"/>
  <c r="G74" i="22"/>
  <c r="CC74" i="6" s="1"/>
  <c r="AA74" i="22"/>
  <c r="Z74" i="22" s="1"/>
  <c r="Y74" i="22" s="1"/>
  <c r="U10" i="23"/>
  <c r="U71" i="23" s="1"/>
  <c r="T71" i="23" s="1"/>
  <c r="AA367" i="22"/>
  <c r="Z367" i="22" s="1"/>
  <c r="Y367" i="22" s="1"/>
  <c r="G367" i="22"/>
  <c r="CC367" i="6" s="1"/>
  <c r="H367" i="22"/>
  <c r="W363" i="22"/>
  <c r="D363" i="22"/>
  <c r="E363" i="22" s="1"/>
  <c r="F363" i="22" s="1"/>
  <c r="H359" i="22"/>
  <c r="G359" i="22"/>
  <c r="CC359" i="6" s="1"/>
  <c r="AA359" i="22"/>
  <c r="Z359" i="22" s="1"/>
  <c r="Y359" i="22" s="1"/>
  <c r="G311" i="22"/>
  <c r="CC311" i="6" s="1"/>
  <c r="AA311" i="22"/>
  <c r="Z311" i="22" s="1"/>
  <c r="Y311" i="22" s="1"/>
  <c r="H311" i="22"/>
  <c r="G307" i="22"/>
  <c r="CC307" i="6" s="1"/>
  <c r="AA307" i="22"/>
  <c r="Z307" i="22" s="1"/>
  <c r="Y307" i="22" s="1"/>
  <c r="H307" i="22"/>
  <c r="AA299" i="22"/>
  <c r="Z299" i="22" s="1"/>
  <c r="Y299" i="22" s="1"/>
  <c r="H299" i="22"/>
  <c r="G299" i="22"/>
  <c r="CC299" i="6" s="1"/>
  <c r="AA291" i="22"/>
  <c r="Z291" i="22" s="1"/>
  <c r="Y291" i="22" s="1"/>
  <c r="G291" i="22"/>
  <c r="CC291" i="6" s="1"/>
  <c r="H291" i="22"/>
  <c r="G283" i="22"/>
  <c r="CC283" i="6" s="1"/>
  <c r="AA283" i="22"/>
  <c r="Z283" i="22" s="1"/>
  <c r="Y283" i="22" s="1"/>
  <c r="H283" i="22"/>
  <c r="G267" i="22"/>
  <c r="CC267" i="6" s="1"/>
  <c r="AA267" i="22"/>
  <c r="Z267" i="22" s="1"/>
  <c r="Y267" i="22" s="1"/>
  <c r="H267" i="22"/>
  <c r="G263" i="22"/>
  <c r="CC263" i="6" s="1"/>
  <c r="H263" i="22"/>
  <c r="AA263" i="22"/>
  <c r="Z263" i="22" s="1"/>
  <c r="Y263" i="22" s="1"/>
  <c r="G247" i="22"/>
  <c r="CC247" i="6" s="1"/>
  <c r="AA247" i="22"/>
  <c r="Z247" i="22" s="1"/>
  <c r="Y247" i="22" s="1"/>
  <c r="H247" i="22"/>
  <c r="AA235" i="22"/>
  <c r="Z235" i="22" s="1"/>
  <c r="Y235" i="22" s="1"/>
  <c r="H235" i="22"/>
  <c r="G235" i="22"/>
  <c r="CC235" i="6" s="1"/>
  <c r="H215" i="22"/>
  <c r="G215" i="22"/>
  <c r="CC215" i="6" s="1"/>
  <c r="AA215" i="22"/>
  <c r="Z215" i="22" s="1"/>
  <c r="Y215" i="22" s="1"/>
  <c r="G199" i="22"/>
  <c r="CC199" i="6" s="1"/>
  <c r="AA199" i="22"/>
  <c r="Z199" i="22" s="1"/>
  <c r="Y199" i="22" s="1"/>
  <c r="H199" i="22"/>
  <c r="AA183" i="22"/>
  <c r="Z183" i="22" s="1"/>
  <c r="Y183" i="22" s="1"/>
  <c r="H183" i="22"/>
  <c r="G183" i="22"/>
  <c r="CC183" i="6" s="1"/>
  <c r="G159" i="22"/>
  <c r="CC159" i="6" s="1"/>
  <c r="AA159" i="22"/>
  <c r="Z159" i="22" s="1"/>
  <c r="Y159" i="22" s="1"/>
  <c r="H159" i="22"/>
  <c r="G155" i="22"/>
  <c r="CC155" i="6" s="1"/>
  <c r="H155" i="22"/>
  <c r="AA155" i="22"/>
  <c r="Z155" i="22" s="1"/>
  <c r="Y155" i="22" s="1"/>
  <c r="AA147" i="22"/>
  <c r="Z147" i="22" s="1"/>
  <c r="Y147" i="22" s="1"/>
  <c r="G147" i="22"/>
  <c r="CC147" i="6" s="1"/>
  <c r="H147" i="22"/>
  <c r="G127" i="22"/>
  <c r="CC127" i="6" s="1"/>
  <c r="H127" i="22"/>
  <c r="AA127" i="22"/>
  <c r="Z127" i="22" s="1"/>
  <c r="Y127" i="22" s="1"/>
  <c r="G115" i="22"/>
  <c r="CC115" i="6" s="1"/>
  <c r="AA115" i="22"/>
  <c r="Z115" i="22" s="1"/>
  <c r="Y115" i="22" s="1"/>
  <c r="H115" i="22"/>
  <c r="G107" i="22"/>
  <c r="CC107" i="6" s="1"/>
  <c r="AA107" i="22"/>
  <c r="Z107" i="22" s="1"/>
  <c r="Y107" i="22" s="1"/>
  <c r="H107" i="22"/>
  <c r="G67" i="22"/>
  <c r="CC67" i="6" s="1"/>
  <c r="AA67" i="22"/>
  <c r="Z67" i="22" s="1"/>
  <c r="Y67" i="22" s="1"/>
  <c r="H67" i="22"/>
  <c r="G39" i="22"/>
  <c r="CC39" i="6" s="1"/>
  <c r="AA39" i="22"/>
  <c r="Z39" i="22" s="1"/>
  <c r="Y39" i="22" s="1"/>
  <c r="H39" i="22"/>
  <c r="J379" i="20"/>
  <c r="I379" i="20"/>
  <c r="G370" i="22"/>
  <c r="CC370" i="6" s="1"/>
  <c r="H370" i="22"/>
  <c r="AA370" i="22"/>
  <c r="Z370" i="22" s="1"/>
  <c r="Y370" i="22" s="1"/>
  <c r="AA366" i="22"/>
  <c r="Z366" i="22" s="1"/>
  <c r="Y366" i="22" s="1"/>
  <c r="H366" i="22"/>
  <c r="G366" i="22"/>
  <c r="CC366" i="6" s="1"/>
  <c r="AA362" i="22"/>
  <c r="Z362" i="22" s="1"/>
  <c r="Y362" i="22" s="1"/>
  <c r="H362" i="22"/>
  <c r="G362" i="22"/>
  <c r="CC362" i="6" s="1"/>
  <c r="AA354" i="22"/>
  <c r="Z354" i="22" s="1"/>
  <c r="Y354" i="22" s="1"/>
  <c r="H354" i="22"/>
  <c r="G354" i="22"/>
  <c r="CC354" i="6" s="1"/>
  <c r="G322" i="22"/>
  <c r="CC322" i="6" s="1"/>
  <c r="AA322" i="22"/>
  <c r="Z322" i="22" s="1"/>
  <c r="Y322" i="22" s="1"/>
  <c r="H322" i="22"/>
  <c r="G306" i="22"/>
  <c r="CC306" i="6" s="1"/>
  <c r="AA306" i="22"/>
  <c r="Z306" i="22" s="1"/>
  <c r="Y306" i="22" s="1"/>
  <c r="H306" i="22"/>
  <c r="D302" i="22"/>
  <c r="E302" i="22" s="1"/>
  <c r="F302" i="22" s="1"/>
  <c r="W302" i="22"/>
  <c r="AA298" i="22"/>
  <c r="Z298" i="22" s="1"/>
  <c r="Y298" i="22" s="1"/>
  <c r="H298" i="22"/>
  <c r="G298" i="22"/>
  <c r="CC298" i="6" s="1"/>
  <c r="G294" i="22"/>
  <c r="CC294" i="6" s="1"/>
  <c r="AA294" i="22"/>
  <c r="Z294" i="22" s="1"/>
  <c r="Y294" i="22" s="1"/>
  <c r="H294" i="22"/>
  <c r="G290" i="22"/>
  <c r="CC290" i="6" s="1"/>
  <c r="AA290" i="22"/>
  <c r="Z290" i="22" s="1"/>
  <c r="Y290" i="22" s="1"/>
  <c r="H290" i="22"/>
  <c r="AA282" i="22"/>
  <c r="Z282" i="22" s="1"/>
  <c r="Y282" i="22" s="1"/>
  <c r="H282" i="22"/>
  <c r="G282" i="22"/>
  <c r="CC282" i="6" s="1"/>
  <c r="H278" i="22"/>
  <c r="AA278" i="22"/>
  <c r="Z278" i="22" s="1"/>
  <c r="Y278" i="22" s="1"/>
  <c r="G278" i="22"/>
  <c r="CC278" i="6" s="1"/>
  <c r="AA262" i="22"/>
  <c r="Z262" i="22" s="1"/>
  <c r="Y262" i="22" s="1"/>
  <c r="G262" i="22"/>
  <c r="CC262" i="6" s="1"/>
  <c r="H262" i="22"/>
  <c r="AA254" i="22"/>
  <c r="Z254" i="22" s="1"/>
  <c r="Y254" i="22" s="1"/>
  <c r="G254" i="22"/>
  <c r="CC254" i="6" s="1"/>
  <c r="H254" i="22"/>
  <c r="AA214" i="22"/>
  <c r="Z214" i="22" s="1"/>
  <c r="Y214" i="22" s="1"/>
  <c r="H214" i="22"/>
  <c r="G214" i="22"/>
  <c r="CC214" i="6" s="1"/>
  <c r="G174" i="22"/>
  <c r="CC174" i="6" s="1"/>
  <c r="H174" i="22"/>
  <c r="AA174" i="22"/>
  <c r="Z174" i="22" s="1"/>
  <c r="Y174" i="22" s="1"/>
  <c r="G162" i="22"/>
  <c r="CC162" i="6" s="1"/>
  <c r="AA162" i="22"/>
  <c r="Z162" i="22" s="1"/>
  <c r="Y162" i="22" s="1"/>
  <c r="H162" i="22"/>
  <c r="G126" i="22"/>
  <c r="CC126" i="6" s="1"/>
  <c r="AA126" i="22"/>
  <c r="Z126" i="22" s="1"/>
  <c r="Y126" i="22" s="1"/>
  <c r="H126" i="22"/>
  <c r="AA106" i="22"/>
  <c r="Z106" i="22" s="1"/>
  <c r="Y106" i="22" s="1"/>
  <c r="H106" i="22"/>
  <c r="G106" i="22"/>
  <c r="CC106" i="6" s="1"/>
  <c r="AA82" i="22"/>
  <c r="Z82" i="22" s="1"/>
  <c r="Y82" i="22" s="1"/>
  <c r="G82" i="22"/>
  <c r="CC82" i="6" s="1"/>
  <c r="H82" i="22"/>
  <c r="AA70" i="22"/>
  <c r="Z70" i="22" s="1"/>
  <c r="Y70" i="22" s="1"/>
  <c r="H70" i="22"/>
  <c r="G70" i="22"/>
  <c r="CC70" i="6" s="1"/>
  <c r="D46" i="22"/>
  <c r="E46" i="22" s="1"/>
  <c r="F46" i="22" s="1"/>
  <c r="W46" i="22"/>
  <c r="AA42" i="22"/>
  <c r="Z42" i="22" s="1"/>
  <c r="Y42" i="22" s="1"/>
  <c r="G42" i="22"/>
  <c r="CC42" i="6" s="1"/>
  <c r="H42" i="22"/>
  <c r="G26" i="22"/>
  <c r="CC26" i="6" s="1"/>
  <c r="AA26" i="22"/>
  <c r="Z26" i="22" s="1"/>
  <c r="Y26" i="22" s="1"/>
  <c r="H26" i="22"/>
  <c r="I272" i="20"/>
  <c r="J272" i="20"/>
  <c r="I302" i="20"/>
  <c r="J302" i="20"/>
  <c r="W15" i="18"/>
  <c r="B383" i="18"/>
  <c r="AK6" i="18"/>
  <c r="D15" i="18"/>
  <c r="B382" i="18"/>
  <c r="H9" i="18"/>
  <c r="B15" i="19" s="1"/>
  <c r="B381" i="18"/>
  <c r="G373" i="22"/>
  <c r="CC373" i="6" s="1"/>
  <c r="AA373" i="22"/>
  <c r="Z373" i="22" s="1"/>
  <c r="Y373" i="22" s="1"/>
  <c r="H373" i="22"/>
  <c r="H369" i="22"/>
  <c r="G369" i="22"/>
  <c r="CC369" i="6" s="1"/>
  <c r="AA369" i="22"/>
  <c r="Z369" i="22" s="1"/>
  <c r="Y369" i="22" s="1"/>
  <c r="AA345" i="22"/>
  <c r="Z345" i="22" s="1"/>
  <c r="Y345" i="22" s="1"/>
  <c r="H345" i="22"/>
  <c r="G345" i="22"/>
  <c r="CC345" i="6" s="1"/>
  <c r="W333" i="22"/>
  <c r="D333" i="22"/>
  <c r="E333" i="22" s="1"/>
  <c r="F333" i="22" s="1"/>
  <c r="AA325" i="22"/>
  <c r="Z325" i="22" s="1"/>
  <c r="Y325" i="22" s="1"/>
  <c r="G325" i="22"/>
  <c r="CC325" i="6" s="1"/>
  <c r="H325" i="22"/>
  <c r="H321" i="22"/>
  <c r="G321" i="22"/>
  <c r="CC321" i="6" s="1"/>
  <c r="AA321" i="22"/>
  <c r="Z321" i="22" s="1"/>
  <c r="Y321" i="22" s="1"/>
  <c r="G301" i="22"/>
  <c r="CC301" i="6" s="1"/>
  <c r="H301" i="22"/>
  <c r="AA301" i="22"/>
  <c r="Z301" i="22" s="1"/>
  <c r="Y301" i="22" s="1"/>
  <c r="AA281" i="22"/>
  <c r="Z281" i="22" s="1"/>
  <c r="Y281" i="22" s="1"/>
  <c r="H281" i="22"/>
  <c r="G281" i="22"/>
  <c r="CC281" i="6" s="1"/>
  <c r="W241" i="22"/>
  <c r="D241" i="22"/>
  <c r="E241" i="22" s="1"/>
  <c r="F241" i="22" s="1"/>
  <c r="AA225" i="22"/>
  <c r="Z225" i="22" s="1"/>
  <c r="Y225" i="22" s="1"/>
  <c r="H225" i="22"/>
  <c r="G225" i="22"/>
  <c r="CC225" i="6" s="1"/>
  <c r="AA205" i="22"/>
  <c r="Z205" i="22" s="1"/>
  <c r="Y205" i="22" s="1"/>
  <c r="G205" i="22"/>
  <c r="CC205" i="6" s="1"/>
  <c r="AA201" i="22"/>
  <c r="Z201" i="22" s="1"/>
  <c r="Y201" i="22" s="1"/>
  <c r="G201" i="22"/>
  <c r="CC201" i="6" s="1"/>
  <c r="H201" i="22"/>
  <c r="AA157" i="22"/>
  <c r="Z157" i="22" s="1"/>
  <c r="Y157" i="22" s="1"/>
  <c r="G157" i="22"/>
  <c r="CC157" i="6" s="1"/>
  <c r="H157" i="22"/>
  <c r="AA153" i="22"/>
  <c r="Z153" i="22" s="1"/>
  <c r="Y153" i="22" s="1"/>
  <c r="G153" i="22"/>
  <c r="CC153" i="6" s="1"/>
  <c r="H153" i="22"/>
  <c r="AA141" i="22"/>
  <c r="Z141" i="22" s="1"/>
  <c r="Y141" i="22" s="1"/>
  <c r="H141" i="22"/>
  <c r="G141" i="22"/>
  <c r="CC141" i="6" s="1"/>
  <c r="D137" i="22"/>
  <c r="E137" i="22" s="1"/>
  <c r="F137" i="22" s="1"/>
  <c r="W137" i="22"/>
  <c r="W121" i="22"/>
  <c r="D121" i="22"/>
  <c r="E121" i="22" s="1"/>
  <c r="F121" i="22" s="1"/>
  <c r="AA117" i="22"/>
  <c r="Z117" i="22" s="1"/>
  <c r="Y117" i="22" s="1"/>
  <c r="G117" i="22"/>
  <c r="CC117" i="6" s="1"/>
  <c r="H117" i="22"/>
  <c r="W113" i="22"/>
  <c r="D113" i="22"/>
  <c r="E113" i="22" s="1"/>
  <c r="F113" i="22" s="1"/>
  <c r="B105" i="22"/>
  <c r="AA93" i="22"/>
  <c r="Z93" i="22" s="1"/>
  <c r="Y93" i="22" s="1"/>
  <c r="H93" i="22"/>
  <c r="G93" i="22"/>
  <c r="CC93" i="6" s="1"/>
  <c r="D89" i="22"/>
  <c r="E89" i="22" s="1"/>
  <c r="F89" i="22" s="1"/>
  <c r="W89" i="22"/>
  <c r="D85" i="22"/>
  <c r="E85" i="22" s="1"/>
  <c r="F85" i="22" s="1"/>
  <c r="W85" i="22"/>
  <c r="AA81" i="22"/>
  <c r="Z81" i="22" s="1"/>
  <c r="Y81" i="22" s="1"/>
  <c r="H81" i="22"/>
  <c r="G81" i="22"/>
  <c r="CC81" i="6" s="1"/>
  <c r="AA77" i="22"/>
  <c r="Z77" i="22" s="1"/>
  <c r="Y77" i="22" s="1"/>
  <c r="H77" i="22"/>
  <c r="G77" i="22"/>
  <c r="CC77" i="6" s="1"/>
  <c r="G53" i="22"/>
  <c r="CC53" i="6" s="1"/>
  <c r="H53" i="22"/>
  <c r="AA53" i="22"/>
  <c r="Z53" i="22" s="1"/>
  <c r="Y53" i="22" s="1"/>
  <c r="AA49" i="22"/>
  <c r="Z49" i="22" s="1"/>
  <c r="Y49" i="22" s="1"/>
  <c r="H49" i="22"/>
  <c r="G49" i="22"/>
  <c r="CC49" i="6" s="1"/>
  <c r="AA41" i="22"/>
  <c r="Z41" i="22" s="1"/>
  <c r="Y41" i="22" s="1"/>
  <c r="G41" i="22"/>
  <c r="CC41" i="6" s="1"/>
  <c r="H41" i="22"/>
  <c r="W37" i="22"/>
  <c r="D37" i="22"/>
  <c r="E37" i="22" s="1"/>
  <c r="F37" i="22" s="1"/>
  <c r="W33" i="22"/>
  <c r="D33" i="22"/>
  <c r="E33" i="22" s="1"/>
  <c r="F33" i="22" s="1"/>
  <c r="AH32" i="7"/>
  <c r="V29" i="22"/>
  <c r="B29" i="22" s="1"/>
  <c r="J60" i="20"/>
  <c r="I60" i="20"/>
  <c r="I227" i="20"/>
  <c r="J227" i="20"/>
  <c r="G376" i="22"/>
  <c r="CC376" i="6" s="1"/>
  <c r="AA376" i="22"/>
  <c r="Z376" i="22" s="1"/>
  <c r="Y376" i="22" s="1"/>
  <c r="H376" i="22"/>
  <c r="D356" i="22"/>
  <c r="E356" i="22" s="1"/>
  <c r="F356" i="22" s="1"/>
  <c r="W356" i="22"/>
  <c r="G340" i="22"/>
  <c r="CC340" i="6" s="1"/>
  <c r="AA340" i="22"/>
  <c r="Z340" i="22" s="1"/>
  <c r="Y340" i="22" s="1"/>
  <c r="H340" i="22"/>
  <c r="G324" i="22"/>
  <c r="CC324" i="6" s="1"/>
  <c r="AA324" i="22"/>
  <c r="Z324" i="22" s="1"/>
  <c r="Y324" i="22" s="1"/>
  <c r="H324" i="22"/>
  <c r="W312" i="22"/>
  <c r="D312" i="22"/>
  <c r="E312" i="22" s="1"/>
  <c r="F312" i="22" s="1"/>
  <c r="W300" i="22"/>
  <c r="D300" i="22"/>
  <c r="E300" i="22" s="1"/>
  <c r="F300" i="22" s="1"/>
  <c r="D264" i="22"/>
  <c r="E264" i="22" s="1"/>
  <c r="F264" i="22" s="1"/>
  <c r="W264" i="22"/>
  <c r="G256" i="22"/>
  <c r="CC256" i="6" s="1"/>
  <c r="AA256" i="22"/>
  <c r="Z256" i="22" s="1"/>
  <c r="Y256" i="22" s="1"/>
  <c r="H256" i="22"/>
  <c r="AA252" i="22"/>
  <c r="Z252" i="22" s="1"/>
  <c r="Y252" i="22" s="1"/>
  <c r="H252" i="22"/>
  <c r="G252" i="22"/>
  <c r="CC252" i="6" s="1"/>
  <c r="G248" i="22"/>
  <c r="CC248" i="6" s="1"/>
  <c r="H248" i="22"/>
  <c r="AA248" i="22"/>
  <c r="Z248" i="22" s="1"/>
  <c r="Y248" i="22" s="1"/>
  <c r="W228" i="22"/>
  <c r="D228" i="22"/>
  <c r="E228" i="22" s="1"/>
  <c r="F228" i="22" s="1"/>
  <c r="AA216" i="22"/>
  <c r="Z216" i="22" s="1"/>
  <c r="Y216" i="22" s="1"/>
  <c r="H216" i="22"/>
  <c r="G216" i="22"/>
  <c r="CC216" i="6" s="1"/>
  <c r="AA204" i="22"/>
  <c r="Z204" i="22" s="1"/>
  <c r="Y204" i="22" s="1"/>
  <c r="H204" i="22"/>
  <c r="G204" i="22"/>
  <c r="CC204" i="6" s="1"/>
  <c r="G192" i="22"/>
  <c r="CC192" i="6" s="1"/>
  <c r="H192" i="22"/>
  <c r="AA192" i="22"/>
  <c r="Z192" i="22" s="1"/>
  <c r="Y192" i="22" s="1"/>
  <c r="D184" i="22"/>
  <c r="E184" i="22" s="1"/>
  <c r="F184" i="22" s="1"/>
  <c r="W184" i="22"/>
  <c r="W156" i="22"/>
  <c r="D156" i="22"/>
  <c r="E156" i="22" s="1"/>
  <c r="F156" i="22" s="1"/>
  <c r="G148" i="22"/>
  <c r="CC148" i="6" s="1"/>
  <c r="AA148" i="22"/>
  <c r="Z148" i="22" s="1"/>
  <c r="Y148" i="22" s="1"/>
  <c r="H148" i="22"/>
  <c r="AA108" i="22"/>
  <c r="Z108" i="22" s="1"/>
  <c r="Y108" i="22" s="1"/>
  <c r="H108" i="22"/>
  <c r="G108" i="22"/>
  <c r="CC108" i="6" s="1"/>
  <c r="D84" i="22"/>
  <c r="E84" i="22" s="1"/>
  <c r="F84" i="22" s="1"/>
  <c r="W84" i="22"/>
  <c r="G72" i="22"/>
  <c r="CC72" i="6" s="1"/>
  <c r="H72" i="22"/>
  <c r="AA72" i="22"/>
  <c r="Z72" i="22" s="1"/>
  <c r="Y72" i="22" s="1"/>
  <c r="D68" i="22"/>
  <c r="E68" i="22" s="1"/>
  <c r="F68" i="22" s="1"/>
  <c r="W68" i="22"/>
  <c r="G24" i="22"/>
  <c r="CC24" i="6" s="1"/>
  <c r="H24" i="22"/>
  <c r="AA24" i="22"/>
  <c r="Z24" i="22" s="1"/>
  <c r="Y24" i="22" s="1"/>
  <c r="J166" i="20"/>
  <c r="I166" i="20"/>
  <c r="V15" i="20"/>
  <c r="P382" i="20"/>
  <c r="P381" i="20"/>
  <c r="P383" i="20"/>
  <c r="J46" i="20"/>
  <c r="I46" i="20"/>
  <c r="W379" i="22"/>
  <c r="AS16" i="7"/>
  <c r="U170" i="23"/>
  <c r="T170" i="23" s="1"/>
  <c r="U298" i="23"/>
  <c r="T298" i="23" s="1"/>
  <c r="U379" i="23"/>
  <c r="AA355" i="22"/>
  <c r="Z355" i="22" s="1"/>
  <c r="Y355" i="22" s="1"/>
  <c r="H355" i="22"/>
  <c r="G355" i="22"/>
  <c r="CC355" i="6" s="1"/>
  <c r="W351" i="22"/>
  <c r="D351" i="22"/>
  <c r="E351" i="22" s="1"/>
  <c r="F351" i="22" s="1"/>
  <c r="AA347" i="22"/>
  <c r="Z347" i="22" s="1"/>
  <c r="Y347" i="22" s="1"/>
  <c r="H347" i="22"/>
  <c r="G347" i="22"/>
  <c r="CC347" i="6" s="1"/>
  <c r="AA343" i="22"/>
  <c r="Z343" i="22" s="1"/>
  <c r="Y343" i="22" s="1"/>
  <c r="H343" i="22"/>
  <c r="G343" i="22"/>
  <c r="CC343" i="6" s="1"/>
  <c r="G339" i="22"/>
  <c r="CC339" i="6" s="1"/>
  <c r="AA339" i="22"/>
  <c r="Z339" i="22" s="1"/>
  <c r="Y339" i="22" s="1"/>
  <c r="H339" i="22"/>
  <c r="D335" i="22"/>
  <c r="E335" i="22" s="1"/>
  <c r="F335" i="22" s="1"/>
  <c r="W335" i="22"/>
  <c r="W331" i="22"/>
  <c r="D331" i="22"/>
  <c r="E331" i="22" s="1"/>
  <c r="F331" i="22" s="1"/>
  <c r="AA327" i="22"/>
  <c r="Z327" i="22" s="1"/>
  <c r="Y327" i="22" s="1"/>
  <c r="G327" i="22"/>
  <c r="CC327" i="6" s="1"/>
  <c r="H327" i="22"/>
  <c r="W323" i="22"/>
  <c r="D323" i="22"/>
  <c r="E323" i="22" s="1"/>
  <c r="F323" i="22" s="1"/>
  <c r="D315" i="22"/>
  <c r="E315" i="22" s="1"/>
  <c r="F315" i="22" s="1"/>
  <c r="W315" i="22"/>
  <c r="D303" i="22"/>
  <c r="E303" i="22" s="1"/>
  <c r="F303" i="22" s="1"/>
  <c r="W303" i="22"/>
  <c r="D287" i="22"/>
  <c r="E287" i="22" s="1"/>
  <c r="F287" i="22" s="1"/>
  <c r="W287" i="22"/>
  <c r="G279" i="22"/>
  <c r="CC279" i="6" s="1"/>
  <c r="H279" i="22"/>
  <c r="AA279" i="22"/>
  <c r="Z279" i="22" s="1"/>
  <c r="Y279" i="22" s="1"/>
  <c r="G275" i="22"/>
  <c r="CC275" i="6" s="1"/>
  <c r="AA275" i="22"/>
  <c r="Z275" i="22" s="1"/>
  <c r="Y275" i="22" s="1"/>
  <c r="H275" i="22"/>
  <c r="AA259" i="22"/>
  <c r="Z259" i="22" s="1"/>
  <c r="Y259" i="22" s="1"/>
  <c r="G259" i="22"/>
  <c r="CC259" i="6" s="1"/>
  <c r="H259" i="22"/>
  <c r="AA255" i="22"/>
  <c r="Z255" i="22" s="1"/>
  <c r="Y255" i="22" s="1"/>
  <c r="H255" i="22"/>
  <c r="G255" i="22"/>
  <c r="CC255" i="6" s="1"/>
  <c r="AA243" i="22"/>
  <c r="Z243" i="22" s="1"/>
  <c r="Y243" i="22" s="1"/>
  <c r="H243" i="22"/>
  <c r="G243" i="22"/>
  <c r="CC243" i="6" s="1"/>
  <c r="D239" i="22"/>
  <c r="E239" i="22" s="1"/>
  <c r="F239" i="22" s="1"/>
  <c r="W239" i="22"/>
  <c r="G231" i="22"/>
  <c r="CC231" i="6" s="1"/>
  <c r="H231" i="22"/>
  <c r="AA231" i="22"/>
  <c r="Z231" i="22" s="1"/>
  <c r="Y231" i="22" s="1"/>
  <c r="I67" i="19"/>
  <c r="B227" i="22"/>
  <c r="AA223" i="22"/>
  <c r="Z223" i="22" s="1"/>
  <c r="Y223" i="22" s="1"/>
  <c r="G223" i="22"/>
  <c r="CC223" i="6" s="1"/>
  <c r="H223" i="22"/>
  <c r="H219" i="22"/>
  <c r="G219" i="22"/>
  <c r="CC219" i="6" s="1"/>
  <c r="AA219" i="22"/>
  <c r="Z219" i="22" s="1"/>
  <c r="Y219" i="22" s="1"/>
  <c r="G207" i="22"/>
  <c r="CC207" i="6" s="1"/>
  <c r="AA207" i="22"/>
  <c r="Z207" i="22" s="1"/>
  <c r="Y207" i="22" s="1"/>
  <c r="H207" i="22"/>
  <c r="AA195" i="22"/>
  <c r="Z195" i="22" s="1"/>
  <c r="Y195" i="22" s="1"/>
  <c r="G195" i="22"/>
  <c r="CC195" i="6" s="1"/>
  <c r="H195" i="22"/>
  <c r="G191" i="22"/>
  <c r="CC191" i="6" s="1"/>
  <c r="H191" i="22"/>
  <c r="AA191" i="22"/>
  <c r="Z191" i="22" s="1"/>
  <c r="Y191" i="22" s="1"/>
  <c r="W187" i="22"/>
  <c r="D187" i="22"/>
  <c r="E187" i="22" s="1"/>
  <c r="F187" i="22" s="1"/>
  <c r="D179" i="22"/>
  <c r="E179" i="22" s="1"/>
  <c r="F179" i="22" s="1"/>
  <c r="W179" i="22"/>
  <c r="G175" i="22"/>
  <c r="CC175" i="6" s="1"/>
  <c r="AA175" i="22"/>
  <c r="Z175" i="22" s="1"/>
  <c r="Y175" i="22" s="1"/>
  <c r="H175" i="22"/>
  <c r="AA171" i="22"/>
  <c r="Z171" i="22" s="1"/>
  <c r="Y171" i="22" s="1"/>
  <c r="H171" i="22"/>
  <c r="G171" i="22"/>
  <c r="CC171" i="6" s="1"/>
  <c r="D167" i="22"/>
  <c r="E167" i="22" s="1"/>
  <c r="F167" i="22" s="1"/>
  <c r="W167" i="22"/>
  <c r="W151" i="22"/>
  <c r="D151" i="22"/>
  <c r="E151" i="22" s="1"/>
  <c r="F151" i="22" s="1"/>
  <c r="G143" i="22"/>
  <c r="CC143" i="6" s="1"/>
  <c r="AA143" i="22"/>
  <c r="Z143" i="22" s="1"/>
  <c r="Y143" i="22" s="1"/>
  <c r="H143" i="22"/>
  <c r="W139" i="22"/>
  <c r="D139" i="22"/>
  <c r="E139" i="22" s="1"/>
  <c r="F139" i="22" s="1"/>
  <c r="W123" i="22"/>
  <c r="D123" i="22"/>
  <c r="E123" i="22" s="1"/>
  <c r="F123" i="22" s="1"/>
  <c r="AH35" i="7"/>
  <c r="V119" i="22"/>
  <c r="B119" i="22" s="1"/>
  <c r="D111" i="22"/>
  <c r="E111" i="22" s="1"/>
  <c r="F111" i="22" s="1"/>
  <c r="W111" i="22"/>
  <c r="D103" i="22"/>
  <c r="E103" i="22" s="1"/>
  <c r="F103" i="22" s="1"/>
  <c r="W103" i="22"/>
  <c r="D99" i="22"/>
  <c r="E99" i="22" s="1"/>
  <c r="F99" i="22" s="1"/>
  <c r="W99" i="22"/>
  <c r="D95" i="22"/>
  <c r="E95" i="22" s="1"/>
  <c r="F95" i="22" s="1"/>
  <c r="W95" i="22"/>
  <c r="D91" i="22"/>
  <c r="E91" i="22" s="1"/>
  <c r="F91" i="22" s="1"/>
  <c r="W91" i="22"/>
  <c r="W87" i="22"/>
  <c r="D87" i="22"/>
  <c r="E87" i="22" s="1"/>
  <c r="F87" i="22" s="1"/>
  <c r="AA83" i="22"/>
  <c r="Z83" i="22" s="1"/>
  <c r="Y83" i="22" s="1"/>
  <c r="G83" i="22"/>
  <c r="CC83" i="6" s="1"/>
  <c r="H83" i="22"/>
  <c r="W79" i="22"/>
  <c r="D79" i="22"/>
  <c r="E79" i="22" s="1"/>
  <c r="F79" i="22" s="1"/>
  <c r="W63" i="22"/>
  <c r="D63" i="22"/>
  <c r="E63" i="22" s="1"/>
  <c r="F63" i="22" s="1"/>
  <c r="G47" i="22"/>
  <c r="CC47" i="6" s="1"/>
  <c r="AA47" i="22"/>
  <c r="Z47" i="22" s="1"/>
  <c r="Y47" i="22" s="1"/>
  <c r="H47" i="22"/>
  <c r="AA43" i="22"/>
  <c r="Z43" i="22" s="1"/>
  <c r="Y43" i="22" s="1"/>
  <c r="H43" i="22"/>
  <c r="G43" i="22"/>
  <c r="CC43" i="6" s="1"/>
  <c r="G35" i="22"/>
  <c r="CC35" i="6" s="1"/>
  <c r="AA35" i="22"/>
  <c r="Z35" i="22" s="1"/>
  <c r="Y35" i="22" s="1"/>
  <c r="H35" i="22"/>
  <c r="G31" i="22"/>
  <c r="CC31" i="6" s="1"/>
  <c r="AA31" i="22"/>
  <c r="Z31" i="22" s="1"/>
  <c r="Y31" i="22" s="1"/>
  <c r="H31" i="22"/>
  <c r="D27" i="22"/>
  <c r="E27" i="22" s="1"/>
  <c r="F27" i="22" s="1"/>
  <c r="W27" i="22"/>
  <c r="D16" i="22"/>
  <c r="E16" i="22" s="1"/>
  <c r="F16" i="22" s="1"/>
  <c r="W16" i="22"/>
  <c r="AA22" i="22"/>
  <c r="Z22" i="22" s="1"/>
  <c r="Y22" i="22" s="1"/>
  <c r="G22" i="22"/>
  <c r="CC22" i="6" s="1"/>
  <c r="H22" i="22"/>
  <c r="D378" i="22"/>
  <c r="E378" i="22" s="1"/>
  <c r="F378" i="22" s="1"/>
  <c r="W378" i="22"/>
  <c r="W374" i="22"/>
  <c r="D374" i="22"/>
  <c r="E374" i="22" s="1"/>
  <c r="F374" i="22" s="1"/>
  <c r="AA358" i="22"/>
  <c r="Z358" i="22" s="1"/>
  <c r="Y358" i="22" s="1"/>
  <c r="H358" i="22"/>
  <c r="G358" i="22"/>
  <c r="CC358" i="6" s="1"/>
  <c r="D350" i="22"/>
  <c r="E350" i="22" s="1"/>
  <c r="F350" i="22" s="1"/>
  <c r="W350" i="22"/>
  <c r="AA338" i="22"/>
  <c r="Z338" i="22" s="1"/>
  <c r="Y338" i="22" s="1"/>
  <c r="H338" i="22"/>
  <c r="G338" i="22"/>
  <c r="CC338" i="6" s="1"/>
  <c r="D330" i="22"/>
  <c r="E330" i="22" s="1"/>
  <c r="F330" i="22" s="1"/>
  <c r="W330" i="22"/>
  <c r="D326" i="22"/>
  <c r="E326" i="22" s="1"/>
  <c r="F326" i="22" s="1"/>
  <c r="W326" i="22"/>
  <c r="AA318" i="22"/>
  <c r="Z318" i="22" s="1"/>
  <c r="Y318" i="22" s="1"/>
  <c r="H318" i="22"/>
  <c r="G318" i="22"/>
  <c r="CC318" i="6" s="1"/>
  <c r="G310" i="22"/>
  <c r="CC310" i="6" s="1"/>
  <c r="AA310" i="22"/>
  <c r="Z310" i="22" s="1"/>
  <c r="Y310" i="22" s="1"/>
  <c r="H310" i="22"/>
  <c r="D286" i="22"/>
  <c r="E286" i="22" s="1"/>
  <c r="F286" i="22" s="1"/>
  <c r="W286" i="22"/>
  <c r="G270" i="22"/>
  <c r="CC270" i="6" s="1"/>
  <c r="AA270" i="22"/>
  <c r="Z270" i="22" s="1"/>
  <c r="Y270" i="22" s="1"/>
  <c r="H270" i="22"/>
  <c r="W266" i="22"/>
  <c r="D266" i="22"/>
  <c r="E266" i="22" s="1"/>
  <c r="F266" i="22" s="1"/>
  <c r="J67" i="19"/>
  <c r="B258" i="22"/>
  <c r="G250" i="22"/>
  <c r="CC250" i="6" s="1"/>
  <c r="AA250" i="22"/>
  <c r="Z250" i="22" s="1"/>
  <c r="Y250" i="22" s="1"/>
  <c r="H250" i="22"/>
  <c r="W238" i="22"/>
  <c r="D238" i="22"/>
  <c r="E238" i="22" s="1"/>
  <c r="F238" i="22" s="1"/>
  <c r="W234" i="22"/>
  <c r="D234" i="22"/>
  <c r="E234" i="22" s="1"/>
  <c r="F234" i="22" s="1"/>
  <c r="G222" i="22"/>
  <c r="CC222" i="6" s="1"/>
  <c r="AA222" i="22"/>
  <c r="Z222" i="22" s="1"/>
  <c r="Y222" i="22" s="1"/>
  <c r="H222" i="22"/>
  <c r="D218" i="22"/>
  <c r="E218" i="22" s="1"/>
  <c r="F218" i="22" s="1"/>
  <c r="W218" i="22"/>
  <c r="G206" i="22"/>
  <c r="CC206" i="6" s="1"/>
  <c r="AA206" i="22"/>
  <c r="Z206" i="22" s="1"/>
  <c r="Y206" i="22" s="1"/>
  <c r="H206" i="22"/>
  <c r="W202" i="22"/>
  <c r="D202" i="22"/>
  <c r="E202" i="22" s="1"/>
  <c r="F202" i="22" s="1"/>
  <c r="W190" i="22"/>
  <c r="D190" i="22"/>
  <c r="E190" i="22" s="1"/>
  <c r="F190" i="22" s="1"/>
  <c r="AA186" i="22"/>
  <c r="Z186" i="22" s="1"/>
  <c r="Y186" i="22" s="1"/>
  <c r="G186" i="22"/>
  <c r="CC186" i="6" s="1"/>
  <c r="H186" i="22"/>
  <c r="W182" i="22"/>
  <c r="D182" i="22"/>
  <c r="E182" i="22" s="1"/>
  <c r="F182" i="22" s="1"/>
  <c r="AA170" i="22"/>
  <c r="Z170" i="22" s="1"/>
  <c r="Y170" i="22" s="1"/>
  <c r="G170" i="22"/>
  <c r="CC170" i="6" s="1"/>
  <c r="H170" i="22"/>
  <c r="G67" i="19"/>
  <c r="B166" i="22"/>
  <c r="W158" i="22"/>
  <c r="D158" i="22"/>
  <c r="E158" i="22" s="1"/>
  <c r="F158" i="22" s="1"/>
  <c r="AA138" i="22"/>
  <c r="Z138" i="22" s="1"/>
  <c r="Y138" i="22" s="1"/>
  <c r="G138" i="22"/>
  <c r="CC138" i="6" s="1"/>
  <c r="H138" i="22"/>
  <c r="AA134" i="22"/>
  <c r="Z134" i="22" s="1"/>
  <c r="Y134" i="22" s="1"/>
  <c r="H134" i="22"/>
  <c r="G134" i="22"/>
  <c r="CC134" i="6" s="1"/>
  <c r="W130" i="22"/>
  <c r="D130" i="22"/>
  <c r="E130" i="22" s="1"/>
  <c r="F130" i="22" s="1"/>
  <c r="H122" i="22"/>
  <c r="AA122" i="22"/>
  <c r="Z122" i="22" s="1"/>
  <c r="Y122" i="22" s="1"/>
  <c r="G122" i="22"/>
  <c r="CC122" i="6" s="1"/>
  <c r="D118" i="22"/>
  <c r="E118" i="22" s="1"/>
  <c r="F118" i="22" s="1"/>
  <c r="W118" i="22"/>
  <c r="W110" i="22"/>
  <c r="D110" i="22"/>
  <c r="E110" i="22" s="1"/>
  <c r="F110" i="22" s="1"/>
  <c r="W98" i="22"/>
  <c r="D98" i="22"/>
  <c r="E98" i="22" s="1"/>
  <c r="F98" i="22" s="1"/>
  <c r="G94" i="22"/>
  <c r="CC94" i="6" s="1"/>
  <c r="AA94" i="22"/>
  <c r="Z94" i="22" s="1"/>
  <c r="Y94" i="22" s="1"/>
  <c r="H94" i="22"/>
  <c r="AA66" i="22"/>
  <c r="Z66" i="22" s="1"/>
  <c r="Y66" i="22" s="1"/>
  <c r="G66" i="22"/>
  <c r="CC66" i="6" s="1"/>
  <c r="H66" i="22"/>
  <c r="G62" i="22"/>
  <c r="CC62" i="6" s="1"/>
  <c r="AA62" i="22"/>
  <c r="Z62" i="22" s="1"/>
  <c r="Y62" i="22" s="1"/>
  <c r="H62" i="22"/>
  <c r="G58" i="22"/>
  <c r="CC58" i="6" s="1"/>
  <c r="H58" i="22"/>
  <c r="AA58" i="22"/>
  <c r="Z58" i="22" s="1"/>
  <c r="Y58" i="22" s="1"/>
  <c r="AA54" i="22"/>
  <c r="Z54" i="22" s="1"/>
  <c r="Y54" i="22" s="1"/>
  <c r="H54" i="22"/>
  <c r="G54" i="22"/>
  <c r="CC54" i="6" s="1"/>
  <c r="AA38" i="22"/>
  <c r="Z38" i="22" s="1"/>
  <c r="Y38" i="22" s="1"/>
  <c r="H38" i="22"/>
  <c r="G38" i="22"/>
  <c r="CC38" i="6" s="1"/>
  <c r="AA34" i="22"/>
  <c r="Z34" i="22" s="1"/>
  <c r="Y34" i="22" s="1"/>
  <c r="H34" i="22"/>
  <c r="G34" i="22"/>
  <c r="CC34" i="6" s="1"/>
  <c r="W30" i="22"/>
  <c r="D30" i="22"/>
  <c r="E30" i="22" s="1"/>
  <c r="F30" i="22" s="1"/>
  <c r="W21" i="22"/>
  <c r="D21" i="22"/>
  <c r="E21" i="22" s="1"/>
  <c r="F21" i="22" s="1"/>
  <c r="AA17" i="22"/>
  <c r="Z17" i="22" s="1"/>
  <c r="Y17" i="22" s="1"/>
  <c r="H17" i="22"/>
  <c r="G17" i="22"/>
  <c r="CC17" i="6" s="1"/>
  <c r="J29" i="20"/>
  <c r="I29" i="20"/>
  <c r="AA288" i="22"/>
  <c r="Z288" i="22" s="1"/>
  <c r="Y288" i="22" s="1"/>
  <c r="G288" i="22"/>
  <c r="CC288" i="6" s="1"/>
  <c r="J119" i="20"/>
  <c r="I119" i="20"/>
  <c r="J105" i="20"/>
  <c r="I105" i="20"/>
  <c r="Q382" i="23"/>
  <c r="Q383" i="23"/>
  <c r="I135" i="20"/>
  <c r="J135" i="20"/>
  <c r="J74" i="20"/>
  <c r="I74" i="20"/>
  <c r="H74" i="22" s="1"/>
  <c r="AI31" i="23"/>
  <c r="AH31" i="23" s="1"/>
  <c r="AG31" i="23" s="1"/>
  <c r="AF31" i="23" s="1"/>
  <c r="AD31" i="23" s="1"/>
  <c r="AI63" i="23"/>
  <c r="AH63" i="23" s="1"/>
  <c r="AI95" i="23"/>
  <c r="AH95" i="23" s="1"/>
  <c r="AG95" i="23" s="1"/>
  <c r="AF95" i="23" s="1"/>
  <c r="AD95" i="23" s="1"/>
  <c r="AH383" i="22"/>
  <c r="AG15" i="22"/>
  <c r="AH382" i="22"/>
  <c r="AH381" i="22"/>
  <c r="AA377" i="22"/>
  <c r="Z377" i="22" s="1"/>
  <c r="Y377" i="22" s="1"/>
  <c r="H377" i="22"/>
  <c r="G377" i="22"/>
  <c r="CC377" i="6" s="1"/>
  <c r="D365" i="22"/>
  <c r="E365" i="22" s="1"/>
  <c r="F365" i="22" s="1"/>
  <c r="W365" i="22"/>
  <c r="D361" i="22"/>
  <c r="E361" i="22" s="1"/>
  <c r="F361" i="22" s="1"/>
  <c r="W361" i="22"/>
  <c r="W357" i="22"/>
  <c r="D357" i="22"/>
  <c r="E357" i="22" s="1"/>
  <c r="F357" i="22" s="1"/>
  <c r="W353" i="22"/>
  <c r="D353" i="22"/>
  <c r="E353" i="22" s="1"/>
  <c r="F353" i="22" s="1"/>
  <c r="W341" i="22"/>
  <c r="D341" i="22"/>
  <c r="E341" i="22" s="1"/>
  <c r="F341" i="22" s="1"/>
  <c r="AA329" i="22"/>
  <c r="Z329" i="22" s="1"/>
  <c r="Y329" i="22" s="1"/>
  <c r="G329" i="22"/>
  <c r="CC329" i="6" s="1"/>
  <c r="H329" i="22"/>
  <c r="W317" i="22"/>
  <c r="D317" i="22"/>
  <c r="E317" i="22" s="1"/>
  <c r="F317" i="22" s="1"/>
  <c r="G313" i="22"/>
  <c r="CC313" i="6" s="1"/>
  <c r="AA313" i="22"/>
  <c r="Z313" i="22" s="1"/>
  <c r="Y313" i="22" s="1"/>
  <c r="H313" i="22"/>
  <c r="W309" i="22"/>
  <c r="D309" i="22"/>
  <c r="E309" i="22" s="1"/>
  <c r="F309" i="22" s="1"/>
  <c r="G305" i="22"/>
  <c r="CC305" i="6" s="1"/>
  <c r="H305" i="22"/>
  <c r="AA305" i="22"/>
  <c r="Z305" i="22" s="1"/>
  <c r="Y305" i="22" s="1"/>
  <c r="D297" i="22"/>
  <c r="E297" i="22" s="1"/>
  <c r="F297" i="22" s="1"/>
  <c r="W297" i="22"/>
  <c r="G293" i="22"/>
  <c r="CC293" i="6" s="1"/>
  <c r="AA293" i="22"/>
  <c r="Z293" i="22" s="1"/>
  <c r="Y293" i="22" s="1"/>
  <c r="H293" i="22"/>
  <c r="AA289" i="22"/>
  <c r="Z289" i="22" s="1"/>
  <c r="Y289" i="22" s="1"/>
  <c r="G289" i="22"/>
  <c r="CC289" i="6" s="1"/>
  <c r="H289" i="22"/>
  <c r="AA285" i="22"/>
  <c r="Z285" i="22" s="1"/>
  <c r="Y285" i="22" s="1"/>
  <c r="H285" i="22"/>
  <c r="G285" i="22"/>
  <c r="CC285" i="6" s="1"/>
  <c r="G277" i="22"/>
  <c r="CC277" i="6" s="1"/>
  <c r="AA277" i="22"/>
  <c r="Z277" i="22" s="1"/>
  <c r="Y277" i="22" s="1"/>
  <c r="H277" i="22"/>
  <c r="G265" i="22"/>
  <c r="CC265" i="6" s="1"/>
  <c r="H265" i="22"/>
  <c r="AA265" i="22"/>
  <c r="Z265" i="22" s="1"/>
  <c r="Y265" i="22" s="1"/>
  <c r="AA253" i="22"/>
  <c r="Z253" i="22" s="1"/>
  <c r="Y253" i="22" s="1"/>
  <c r="G253" i="22"/>
  <c r="CC253" i="6" s="1"/>
  <c r="H253" i="22"/>
  <c r="G249" i="22"/>
  <c r="CC249" i="6" s="1"/>
  <c r="AA249" i="22"/>
  <c r="Z249" i="22" s="1"/>
  <c r="Y249" i="22" s="1"/>
  <c r="H249" i="22"/>
  <c r="D245" i="22"/>
  <c r="E245" i="22" s="1"/>
  <c r="F245" i="22" s="1"/>
  <c r="W245" i="22"/>
  <c r="D237" i="22"/>
  <c r="E237" i="22" s="1"/>
  <c r="F237" i="22" s="1"/>
  <c r="W237" i="22"/>
  <c r="G233" i="22"/>
  <c r="CC233" i="6" s="1"/>
  <c r="AA233" i="22"/>
  <c r="Z233" i="22" s="1"/>
  <c r="Y233" i="22" s="1"/>
  <c r="H233" i="22"/>
  <c r="G229" i="22"/>
  <c r="CC229" i="6" s="1"/>
  <c r="AA229" i="22"/>
  <c r="Z229" i="22" s="1"/>
  <c r="Y229" i="22" s="1"/>
  <c r="H229" i="22"/>
  <c r="H221" i="22"/>
  <c r="G221" i="22"/>
  <c r="CC221" i="6" s="1"/>
  <c r="AA221" i="22"/>
  <c r="Z221" i="22" s="1"/>
  <c r="Y221" i="22" s="1"/>
  <c r="D217" i="22"/>
  <c r="E217" i="22" s="1"/>
  <c r="F217" i="22" s="1"/>
  <c r="W217" i="22"/>
  <c r="AA213" i="22"/>
  <c r="Z213" i="22" s="1"/>
  <c r="Y213" i="22" s="1"/>
  <c r="G213" i="22"/>
  <c r="CC213" i="6" s="1"/>
  <c r="H213" i="22"/>
  <c r="AA197" i="22"/>
  <c r="Z197" i="22" s="1"/>
  <c r="Y197" i="22" s="1"/>
  <c r="G197" i="22"/>
  <c r="CC197" i="6" s="1"/>
  <c r="H197" i="22"/>
  <c r="G185" i="22"/>
  <c r="CC185" i="6" s="1"/>
  <c r="AA185" i="22"/>
  <c r="Z185" i="22" s="1"/>
  <c r="Y185" i="22" s="1"/>
  <c r="H185" i="22"/>
  <c r="G181" i="22"/>
  <c r="CC181" i="6" s="1"/>
  <c r="H181" i="22"/>
  <c r="AA181" i="22"/>
  <c r="Z181" i="22" s="1"/>
  <c r="Y181" i="22" s="1"/>
  <c r="AA177" i="22"/>
  <c r="Z177" i="22" s="1"/>
  <c r="Y177" i="22" s="1"/>
  <c r="H177" i="22"/>
  <c r="G177" i="22"/>
  <c r="CC177" i="6" s="1"/>
  <c r="G173" i="22"/>
  <c r="CC173" i="6" s="1"/>
  <c r="AA173" i="22"/>
  <c r="Z173" i="22" s="1"/>
  <c r="Y173" i="22" s="1"/>
  <c r="H173" i="22"/>
  <c r="AA165" i="22"/>
  <c r="Z165" i="22" s="1"/>
  <c r="Y165" i="22" s="1"/>
  <c r="G165" i="22"/>
  <c r="CC165" i="6" s="1"/>
  <c r="H165" i="22"/>
  <c r="G133" i="22"/>
  <c r="CC133" i="6" s="1"/>
  <c r="H133" i="22"/>
  <c r="AA133" i="22"/>
  <c r="Z133" i="22" s="1"/>
  <c r="Y133" i="22" s="1"/>
  <c r="G97" i="22"/>
  <c r="CC97" i="6" s="1"/>
  <c r="AA97" i="22"/>
  <c r="Z97" i="22" s="1"/>
  <c r="Y97" i="22" s="1"/>
  <c r="H97" i="22"/>
  <c r="G69" i="22"/>
  <c r="CC69" i="6" s="1"/>
  <c r="AA69" i="22"/>
  <c r="Z69" i="22" s="1"/>
  <c r="Y69" i="22" s="1"/>
  <c r="H69" i="22"/>
  <c r="AA65" i="22"/>
  <c r="Z65" i="22" s="1"/>
  <c r="Y65" i="22" s="1"/>
  <c r="G65" i="22"/>
  <c r="CC65" i="6" s="1"/>
  <c r="H65" i="22"/>
  <c r="AA25" i="22"/>
  <c r="Z25" i="22" s="1"/>
  <c r="Y25" i="22" s="1"/>
  <c r="H25" i="22"/>
  <c r="G25" i="22"/>
  <c r="CC25" i="6" s="1"/>
  <c r="AA20" i="22"/>
  <c r="Z20" i="22" s="1"/>
  <c r="Y20" i="22" s="1"/>
  <c r="G20" i="22"/>
  <c r="CC20" i="6" s="1"/>
  <c r="H20" i="22"/>
  <c r="AI79" i="23" l="1"/>
  <c r="AH79" i="23" s="1"/>
  <c r="AG79" i="23" s="1"/>
  <c r="AF79" i="23" s="1"/>
  <c r="AD79" i="23" s="1"/>
  <c r="AI47" i="23"/>
  <c r="AH47" i="23" s="1"/>
  <c r="AG47" i="23" s="1"/>
  <c r="AF47" i="23" s="1"/>
  <c r="AD47" i="23" s="1"/>
  <c r="AI20" i="23"/>
  <c r="AH20" i="23" s="1"/>
  <c r="AG20" i="23" s="1"/>
  <c r="AF20" i="23" s="1"/>
  <c r="AD20" i="23" s="1"/>
  <c r="U347" i="23"/>
  <c r="T347" i="23" s="1"/>
  <c r="S347" i="23" s="1"/>
  <c r="R347" i="23" s="1"/>
  <c r="P347" i="23" s="1"/>
  <c r="V347" i="23" s="1"/>
  <c r="B347" i="23" s="1"/>
  <c r="U234" i="23"/>
  <c r="T234" i="23" s="1"/>
  <c r="U106" i="23"/>
  <c r="T106" i="23" s="1"/>
  <c r="S106" i="23" s="1"/>
  <c r="R106" i="23" s="1"/>
  <c r="P106" i="23" s="1"/>
  <c r="V106" i="23" s="1"/>
  <c r="B106" i="23" s="1"/>
  <c r="D88" i="6"/>
  <c r="S4" i="6"/>
  <c r="I205" i="20"/>
  <c r="H205" i="22" s="1"/>
  <c r="J205" i="20"/>
  <c r="J205" i="22" s="1"/>
  <c r="I88" i="20"/>
  <c r="J88" i="20"/>
  <c r="J15" i="17"/>
  <c r="I15" i="17"/>
  <c r="BZ15" i="6"/>
  <c r="G382" i="17"/>
  <c r="G381" i="17"/>
  <c r="G383" i="17"/>
  <c r="G12" i="17" s="1"/>
  <c r="Z15" i="17"/>
  <c r="AA9" i="17"/>
  <c r="AA382" i="17"/>
  <c r="AL9" i="17"/>
  <c r="AM8" i="17"/>
  <c r="AA383" i="17"/>
  <c r="AA381" i="17"/>
  <c r="F11" i="17"/>
  <c r="AB9" i="17"/>
  <c r="G14" i="19"/>
  <c r="J38" i="19" s="1"/>
  <c r="B61" i="6"/>
  <c r="BA61" i="6" s="1"/>
  <c r="H61" i="20"/>
  <c r="B125" i="6"/>
  <c r="BA125" i="6" s="1"/>
  <c r="H125" i="20"/>
  <c r="D205" i="6"/>
  <c r="AA4" i="6"/>
  <c r="B189" i="6"/>
  <c r="BA189" i="6" s="1"/>
  <c r="H189" i="20"/>
  <c r="U363" i="23"/>
  <c r="T363" i="23" s="1"/>
  <c r="U330" i="23"/>
  <c r="T330" i="23" s="1"/>
  <c r="S330" i="23" s="1"/>
  <c r="R330" i="23" s="1"/>
  <c r="P330" i="23" s="1"/>
  <c r="V330" i="23" s="1"/>
  <c r="B330" i="23" s="1"/>
  <c r="D330" i="23" s="1"/>
  <c r="E330" i="23" s="1"/>
  <c r="F330" i="23" s="1"/>
  <c r="U266" i="23"/>
  <c r="T266" i="23" s="1"/>
  <c r="U202" i="23"/>
  <c r="T202" i="23" s="1"/>
  <c r="S202" i="23" s="1"/>
  <c r="R202" i="23" s="1"/>
  <c r="P202" i="23" s="1"/>
  <c r="V202" i="23" s="1"/>
  <c r="B202" i="23" s="1"/>
  <c r="U138" i="23"/>
  <c r="T138" i="23" s="1"/>
  <c r="AI11" i="23"/>
  <c r="AI343" i="23" s="1"/>
  <c r="AH343" i="23" s="1"/>
  <c r="AG343" i="23" s="1"/>
  <c r="AF343" i="23" s="1"/>
  <c r="AD343" i="23" s="1"/>
  <c r="AE383" i="23"/>
  <c r="AE381" i="23"/>
  <c r="U21" i="23"/>
  <c r="T21" i="23" s="1"/>
  <c r="AI377" i="23"/>
  <c r="AH377" i="23" s="1"/>
  <c r="AG377" i="23" s="1"/>
  <c r="AF377" i="23" s="1"/>
  <c r="AD377" i="23" s="1"/>
  <c r="AI345" i="23"/>
  <c r="AH345" i="23" s="1"/>
  <c r="AG345" i="23" s="1"/>
  <c r="AF345" i="23" s="1"/>
  <c r="AD345" i="23" s="1"/>
  <c r="AI293" i="23"/>
  <c r="AH293" i="23" s="1"/>
  <c r="AG293" i="23" s="1"/>
  <c r="AF293" i="23" s="1"/>
  <c r="AD293" i="23" s="1"/>
  <c r="AI229" i="23"/>
  <c r="AH229" i="23" s="1"/>
  <c r="AG229" i="23" s="1"/>
  <c r="AF229" i="23" s="1"/>
  <c r="AD229" i="23" s="1"/>
  <c r="AI165" i="23"/>
  <c r="AH165" i="23" s="1"/>
  <c r="AG165" i="23" s="1"/>
  <c r="AF165" i="23" s="1"/>
  <c r="AD165" i="23" s="1"/>
  <c r="AI103" i="23"/>
  <c r="AH103" i="23" s="1"/>
  <c r="AG103" i="23" s="1"/>
  <c r="AF103" i="23" s="1"/>
  <c r="AD103" i="23" s="1"/>
  <c r="AI87" i="23"/>
  <c r="AH87" i="23" s="1"/>
  <c r="AG87" i="23" s="1"/>
  <c r="AF87" i="23" s="1"/>
  <c r="AD87" i="23" s="1"/>
  <c r="AI71" i="23"/>
  <c r="AH71" i="23" s="1"/>
  <c r="AG71" i="23" s="1"/>
  <c r="AF71" i="23" s="1"/>
  <c r="AD71" i="23" s="1"/>
  <c r="AI55" i="23"/>
  <c r="AH55" i="23" s="1"/>
  <c r="AG55" i="23" s="1"/>
  <c r="AF55" i="23" s="1"/>
  <c r="AD55" i="23" s="1"/>
  <c r="AI39" i="23"/>
  <c r="AH39" i="23" s="1"/>
  <c r="AI19" i="23"/>
  <c r="AH19" i="23" s="1"/>
  <c r="AG19" i="23" s="1"/>
  <c r="AF19" i="23" s="1"/>
  <c r="AD19" i="23" s="1"/>
  <c r="U371" i="23"/>
  <c r="T371" i="23" s="1"/>
  <c r="S371" i="23" s="1"/>
  <c r="R371" i="23" s="1"/>
  <c r="P371" i="23" s="1"/>
  <c r="V371" i="23" s="1"/>
  <c r="B371" i="23" s="1"/>
  <c r="W371" i="23" s="1"/>
  <c r="U355" i="23"/>
  <c r="T355" i="23" s="1"/>
  <c r="S355" i="23" s="1"/>
  <c r="R355" i="23" s="1"/>
  <c r="P355" i="23" s="1"/>
  <c r="V355" i="23" s="1"/>
  <c r="B355" i="23" s="1"/>
  <c r="W355" i="23" s="1"/>
  <c r="U339" i="23"/>
  <c r="T339" i="23" s="1"/>
  <c r="U314" i="23"/>
  <c r="T314" i="23" s="1"/>
  <c r="S314" i="23" s="1"/>
  <c r="R314" i="23" s="1"/>
  <c r="P314" i="23" s="1"/>
  <c r="V314" i="23" s="1"/>
  <c r="B314" i="23" s="1"/>
  <c r="U282" i="23"/>
  <c r="T282" i="23" s="1"/>
  <c r="U250" i="23"/>
  <c r="T250" i="23" s="1"/>
  <c r="U218" i="23"/>
  <c r="T218" i="23" s="1"/>
  <c r="U186" i="23"/>
  <c r="T186" i="23" s="1"/>
  <c r="S186" i="23" s="1"/>
  <c r="R186" i="23" s="1"/>
  <c r="P186" i="23" s="1"/>
  <c r="V186" i="23" s="1"/>
  <c r="B186" i="23" s="1"/>
  <c r="D186" i="23" s="1"/>
  <c r="E186" i="23" s="1"/>
  <c r="F186" i="23" s="1"/>
  <c r="U154" i="23"/>
  <c r="T154" i="23" s="1"/>
  <c r="U122" i="23"/>
  <c r="T122" i="23" s="1"/>
  <c r="S122" i="23" s="1"/>
  <c r="R122" i="23" s="1"/>
  <c r="P122" i="23" s="1"/>
  <c r="V122" i="23" s="1"/>
  <c r="B122" i="23" s="1"/>
  <c r="U90" i="23"/>
  <c r="T90" i="23" s="1"/>
  <c r="U39" i="23"/>
  <c r="T39" i="23" s="1"/>
  <c r="AI364" i="23"/>
  <c r="AH364" i="23" s="1"/>
  <c r="AG364" i="23" s="1"/>
  <c r="AF364" i="23" s="1"/>
  <c r="AD364" i="23" s="1"/>
  <c r="AI348" i="23"/>
  <c r="AH348" i="23" s="1"/>
  <c r="AG348" i="23" s="1"/>
  <c r="AF348" i="23" s="1"/>
  <c r="AD348" i="23" s="1"/>
  <c r="AI331" i="23"/>
  <c r="AH331" i="23" s="1"/>
  <c r="AG331" i="23" s="1"/>
  <c r="AF331" i="23" s="1"/>
  <c r="AD331" i="23" s="1"/>
  <c r="AI299" i="23"/>
  <c r="AH299" i="23" s="1"/>
  <c r="AG299" i="23" s="1"/>
  <c r="AF299" i="23" s="1"/>
  <c r="AD299" i="23" s="1"/>
  <c r="AI267" i="23"/>
  <c r="AH267" i="23" s="1"/>
  <c r="AG267" i="23" s="1"/>
  <c r="AF267" i="23" s="1"/>
  <c r="AD267" i="23" s="1"/>
  <c r="AI235" i="23"/>
  <c r="AH235" i="23" s="1"/>
  <c r="AG235" i="23" s="1"/>
  <c r="AF235" i="23" s="1"/>
  <c r="AD235" i="23" s="1"/>
  <c r="AI203" i="23"/>
  <c r="AH203" i="23" s="1"/>
  <c r="AI171" i="23"/>
  <c r="AH171" i="23" s="1"/>
  <c r="AG171" i="23" s="1"/>
  <c r="AF171" i="23" s="1"/>
  <c r="AD171" i="23" s="1"/>
  <c r="AI115" i="23"/>
  <c r="AH115" i="23" s="1"/>
  <c r="AG115" i="23" s="1"/>
  <c r="AF115" i="23" s="1"/>
  <c r="AD115" i="23" s="1"/>
  <c r="AI99" i="23"/>
  <c r="AH99" i="23" s="1"/>
  <c r="AG99" i="23" s="1"/>
  <c r="AF99" i="23" s="1"/>
  <c r="AD99" i="23" s="1"/>
  <c r="AI91" i="23"/>
  <c r="AH91" i="23" s="1"/>
  <c r="AI83" i="23"/>
  <c r="AH83" i="23" s="1"/>
  <c r="AG83" i="23" s="1"/>
  <c r="AF83" i="23" s="1"/>
  <c r="AD83" i="23" s="1"/>
  <c r="AI75" i="23"/>
  <c r="AH75" i="23" s="1"/>
  <c r="AG75" i="23" s="1"/>
  <c r="AF75" i="23" s="1"/>
  <c r="AD75" i="23" s="1"/>
  <c r="AI67" i="23"/>
  <c r="AH67" i="23" s="1"/>
  <c r="AG67" i="23" s="1"/>
  <c r="AF67" i="23" s="1"/>
  <c r="AD67" i="23" s="1"/>
  <c r="AI59" i="23"/>
  <c r="AH59" i="23" s="1"/>
  <c r="AG59" i="23" s="1"/>
  <c r="AF59" i="23" s="1"/>
  <c r="AD59" i="23" s="1"/>
  <c r="AI51" i="23"/>
  <c r="AH51" i="23" s="1"/>
  <c r="AG51" i="23" s="1"/>
  <c r="AF51" i="23" s="1"/>
  <c r="AD51" i="23" s="1"/>
  <c r="AI43" i="23"/>
  <c r="AH43" i="23" s="1"/>
  <c r="AG43" i="23" s="1"/>
  <c r="AF43" i="23" s="1"/>
  <c r="AD43" i="23" s="1"/>
  <c r="AI35" i="23"/>
  <c r="AH35" i="23" s="1"/>
  <c r="AI27" i="23"/>
  <c r="AH27" i="23" s="1"/>
  <c r="AG27" i="23" s="1"/>
  <c r="AF27" i="23" s="1"/>
  <c r="AD27" i="23" s="1"/>
  <c r="AI17" i="23"/>
  <c r="AH17" i="23" s="1"/>
  <c r="AG17" i="23" s="1"/>
  <c r="AF17" i="23" s="1"/>
  <c r="AD17" i="23" s="1"/>
  <c r="U375" i="23"/>
  <c r="T375" i="23" s="1"/>
  <c r="U367" i="23"/>
  <c r="T367" i="23" s="1"/>
  <c r="U359" i="23"/>
  <c r="T359" i="23" s="1"/>
  <c r="U351" i="23"/>
  <c r="T351" i="23" s="1"/>
  <c r="S351" i="23" s="1"/>
  <c r="R351" i="23" s="1"/>
  <c r="P351" i="23" s="1"/>
  <c r="V351" i="23" s="1"/>
  <c r="B351" i="23" s="1"/>
  <c r="U343" i="23"/>
  <c r="T343" i="23" s="1"/>
  <c r="U335" i="23"/>
  <c r="T335" i="23" s="1"/>
  <c r="S335" i="23" s="1"/>
  <c r="R335" i="23" s="1"/>
  <c r="P335" i="23" s="1"/>
  <c r="V335" i="23" s="1"/>
  <c r="B335" i="23" s="1"/>
  <c r="W335" i="23" s="1"/>
  <c r="U322" i="23"/>
  <c r="T322" i="23" s="1"/>
  <c r="S322" i="23" s="1"/>
  <c r="R322" i="23" s="1"/>
  <c r="P322" i="23" s="1"/>
  <c r="V322" i="23" s="1"/>
  <c r="B322" i="23" s="1"/>
  <c r="U306" i="23"/>
  <c r="T306" i="23" s="1"/>
  <c r="S306" i="23" s="1"/>
  <c r="R306" i="23" s="1"/>
  <c r="P306" i="23" s="1"/>
  <c r="V306" i="23" s="1"/>
  <c r="B306" i="23" s="1"/>
  <c r="U290" i="23"/>
  <c r="T290" i="23" s="1"/>
  <c r="S290" i="23" s="1"/>
  <c r="R290" i="23" s="1"/>
  <c r="P290" i="23" s="1"/>
  <c r="V290" i="23" s="1"/>
  <c r="B290" i="23" s="1"/>
  <c r="U274" i="23"/>
  <c r="T274" i="23" s="1"/>
  <c r="S274" i="23" s="1"/>
  <c r="R274" i="23" s="1"/>
  <c r="P274" i="23" s="1"/>
  <c r="V274" i="23" s="1"/>
  <c r="B274" i="23" s="1"/>
  <c r="U258" i="23"/>
  <c r="T258" i="23" s="1"/>
  <c r="S258" i="23" s="1"/>
  <c r="R258" i="23" s="1"/>
  <c r="P258" i="23" s="1"/>
  <c r="V258" i="23" s="1"/>
  <c r="U242" i="23"/>
  <c r="T242" i="23" s="1"/>
  <c r="S242" i="23" s="1"/>
  <c r="R242" i="23" s="1"/>
  <c r="P242" i="23" s="1"/>
  <c r="V242" i="23" s="1"/>
  <c r="B242" i="23" s="1"/>
  <c r="D242" i="23" s="1"/>
  <c r="E242" i="23" s="1"/>
  <c r="F242" i="23" s="1"/>
  <c r="U226" i="23"/>
  <c r="T226" i="23" s="1"/>
  <c r="U210" i="23"/>
  <c r="T210" i="23" s="1"/>
  <c r="S210" i="23" s="1"/>
  <c r="R210" i="23" s="1"/>
  <c r="P210" i="23" s="1"/>
  <c r="U194" i="23"/>
  <c r="T194" i="23" s="1"/>
  <c r="U178" i="23"/>
  <c r="T178" i="23" s="1"/>
  <c r="S178" i="23" s="1"/>
  <c r="R178" i="23" s="1"/>
  <c r="P178" i="23" s="1"/>
  <c r="V178" i="23" s="1"/>
  <c r="B178" i="23" s="1"/>
  <c r="U162" i="23"/>
  <c r="T162" i="23" s="1"/>
  <c r="U146" i="23"/>
  <c r="T146" i="23" s="1"/>
  <c r="U130" i="23"/>
  <c r="T130" i="23" s="1"/>
  <c r="S130" i="23" s="1"/>
  <c r="R130" i="23" s="1"/>
  <c r="P130" i="23" s="1"/>
  <c r="V130" i="23" s="1"/>
  <c r="B130" i="23" s="1"/>
  <c r="U114" i="23"/>
  <c r="T114" i="23" s="1"/>
  <c r="U98" i="23"/>
  <c r="T98" i="23" s="1"/>
  <c r="U82" i="23"/>
  <c r="T82" i="23" s="1"/>
  <c r="S82" i="23" s="1"/>
  <c r="R82" i="23" s="1"/>
  <c r="P82" i="23" s="1"/>
  <c r="V82" i="23" s="1"/>
  <c r="B82" i="23" s="1"/>
  <c r="U55" i="23"/>
  <c r="T55" i="23" s="1"/>
  <c r="S55" i="23" s="1"/>
  <c r="R55" i="23" s="1"/>
  <c r="P55" i="23" s="1"/>
  <c r="V55" i="23" s="1"/>
  <c r="B55" i="23" s="1"/>
  <c r="M67" i="19"/>
  <c r="W320" i="22"/>
  <c r="AD104" i="20"/>
  <c r="AF383" i="20"/>
  <c r="AF381" i="20"/>
  <c r="AF382" i="20"/>
  <c r="U31" i="23"/>
  <c r="T31" i="23" s="1"/>
  <c r="U47" i="23"/>
  <c r="T47" i="23" s="1"/>
  <c r="U63" i="23"/>
  <c r="T63" i="23" s="1"/>
  <c r="S63" i="23" s="1"/>
  <c r="R63" i="23" s="1"/>
  <c r="P63" i="23" s="1"/>
  <c r="V63" i="23" s="1"/>
  <c r="B63" i="23" s="1"/>
  <c r="U78" i="23"/>
  <c r="T78" i="23" s="1"/>
  <c r="S78" i="23" s="1"/>
  <c r="R78" i="23" s="1"/>
  <c r="P78" i="23" s="1"/>
  <c r="V78" i="23" s="1"/>
  <c r="B78" i="23" s="1"/>
  <c r="U86" i="23"/>
  <c r="T86" i="23" s="1"/>
  <c r="S86" i="23" s="1"/>
  <c r="R86" i="23" s="1"/>
  <c r="P86" i="23" s="1"/>
  <c r="V86" i="23" s="1"/>
  <c r="B86" i="23" s="1"/>
  <c r="W86" i="23" s="1"/>
  <c r="U94" i="23"/>
  <c r="T94" i="23" s="1"/>
  <c r="S94" i="23" s="1"/>
  <c r="R94" i="23" s="1"/>
  <c r="P94" i="23" s="1"/>
  <c r="V94" i="23" s="1"/>
  <c r="B94" i="23" s="1"/>
  <c r="U102" i="23"/>
  <c r="T102" i="23" s="1"/>
  <c r="S102" i="23" s="1"/>
  <c r="R102" i="23" s="1"/>
  <c r="P102" i="23" s="1"/>
  <c r="V102" i="23" s="1"/>
  <c r="B102" i="23" s="1"/>
  <c r="U110" i="23"/>
  <c r="T110" i="23" s="1"/>
  <c r="S110" i="23" s="1"/>
  <c r="R110" i="23" s="1"/>
  <c r="P110" i="23" s="1"/>
  <c r="V110" i="23" s="1"/>
  <c r="B110" i="23" s="1"/>
  <c r="U118" i="23"/>
  <c r="T118" i="23" s="1"/>
  <c r="S118" i="23" s="1"/>
  <c r="R118" i="23" s="1"/>
  <c r="P118" i="23" s="1"/>
  <c r="V118" i="23" s="1"/>
  <c r="B118" i="23" s="1"/>
  <c r="W118" i="23" s="1"/>
  <c r="U126" i="23"/>
  <c r="T126" i="23" s="1"/>
  <c r="U134" i="23"/>
  <c r="T134" i="23" s="1"/>
  <c r="S134" i="23" s="1"/>
  <c r="R134" i="23" s="1"/>
  <c r="P134" i="23" s="1"/>
  <c r="V134" i="23" s="1"/>
  <c r="B134" i="23" s="1"/>
  <c r="U142" i="23"/>
  <c r="T142" i="23" s="1"/>
  <c r="S142" i="23" s="1"/>
  <c r="R142" i="23" s="1"/>
  <c r="P142" i="23" s="1"/>
  <c r="V142" i="23" s="1"/>
  <c r="B142" i="23" s="1"/>
  <c r="U150" i="23"/>
  <c r="T150" i="23" s="1"/>
  <c r="U158" i="23"/>
  <c r="T158" i="23" s="1"/>
  <c r="S158" i="23" s="1"/>
  <c r="R158" i="23" s="1"/>
  <c r="P158" i="23" s="1"/>
  <c r="V158" i="23" s="1"/>
  <c r="B158" i="23" s="1"/>
  <c r="U166" i="23"/>
  <c r="T166" i="23" s="1"/>
  <c r="U174" i="23"/>
  <c r="T174" i="23" s="1"/>
  <c r="S174" i="23" s="1"/>
  <c r="R174" i="23" s="1"/>
  <c r="P174" i="23" s="1"/>
  <c r="V174" i="23" s="1"/>
  <c r="B174" i="23" s="1"/>
  <c r="U182" i="23"/>
  <c r="T182" i="23" s="1"/>
  <c r="S182" i="23" s="1"/>
  <c r="R182" i="23" s="1"/>
  <c r="P182" i="23" s="1"/>
  <c r="V182" i="23" s="1"/>
  <c r="B182" i="23" s="1"/>
  <c r="U190" i="23"/>
  <c r="T190" i="23" s="1"/>
  <c r="S190" i="23" s="1"/>
  <c r="R190" i="23" s="1"/>
  <c r="P190" i="23" s="1"/>
  <c r="V190" i="23" s="1"/>
  <c r="B190" i="23" s="1"/>
  <c r="U198" i="23"/>
  <c r="T198" i="23" s="1"/>
  <c r="S198" i="23" s="1"/>
  <c r="R198" i="23" s="1"/>
  <c r="P198" i="23" s="1"/>
  <c r="V198" i="23" s="1"/>
  <c r="B198" i="23" s="1"/>
  <c r="W198" i="23" s="1"/>
  <c r="U206" i="23"/>
  <c r="T206" i="23" s="1"/>
  <c r="S206" i="23" s="1"/>
  <c r="R206" i="23" s="1"/>
  <c r="P206" i="23" s="1"/>
  <c r="V206" i="23" s="1"/>
  <c r="B206" i="23" s="1"/>
  <c r="U214" i="23"/>
  <c r="T214" i="23" s="1"/>
  <c r="S214" i="23" s="1"/>
  <c r="R214" i="23" s="1"/>
  <c r="P214" i="23" s="1"/>
  <c r="V214" i="23" s="1"/>
  <c r="B214" i="23" s="1"/>
  <c r="W214" i="23" s="1"/>
  <c r="U222" i="23"/>
  <c r="T222" i="23" s="1"/>
  <c r="S222" i="23" s="1"/>
  <c r="R222" i="23" s="1"/>
  <c r="P222" i="23" s="1"/>
  <c r="V222" i="23" s="1"/>
  <c r="B222" i="23" s="1"/>
  <c r="U230" i="23"/>
  <c r="T230" i="23" s="1"/>
  <c r="S230" i="23" s="1"/>
  <c r="R230" i="23" s="1"/>
  <c r="P230" i="23" s="1"/>
  <c r="V230" i="23" s="1"/>
  <c r="B230" i="23" s="1"/>
  <c r="D230" i="23" s="1"/>
  <c r="E230" i="23" s="1"/>
  <c r="F230" i="23" s="1"/>
  <c r="U238" i="23"/>
  <c r="T238" i="23" s="1"/>
  <c r="S238" i="23" s="1"/>
  <c r="R238" i="23" s="1"/>
  <c r="P238" i="23" s="1"/>
  <c r="V238" i="23" s="1"/>
  <c r="B238" i="23" s="1"/>
  <c r="D238" i="23" s="1"/>
  <c r="E238" i="23" s="1"/>
  <c r="F238" i="23" s="1"/>
  <c r="U246" i="23"/>
  <c r="T246" i="23" s="1"/>
  <c r="S246" i="23" s="1"/>
  <c r="R246" i="23" s="1"/>
  <c r="P246" i="23" s="1"/>
  <c r="V246" i="23" s="1"/>
  <c r="B246" i="23" s="1"/>
  <c r="U254" i="23"/>
  <c r="T254" i="23" s="1"/>
  <c r="U262" i="23"/>
  <c r="T262" i="23" s="1"/>
  <c r="U270" i="23"/>
  <c r="T270" i="23" s="1"/>
  <c r="S270" i="23" s="1"/>
  <c r="R270" i="23" s="1"/>
  <c r="P270" i="23" s="1"/>
  <c r="V270" i="23" s="1"/>
  <c r="B270" i="23" s="1"/>
  <c r="W270" i="23" s="1"/>
  <c r="U278" i="23"/>
  <c r="T278" i="23" s="1"/>
  <c r="S278" i="23" s="1"/>
  <c r="R278" i="23" s="1"/>
  <c r="P278" i="23" s="1"/>
  <c r="V278" i="23" s="1"/>
  <c r="B278" i="23" s="1"/>
  <c r="U286" i="23"/>
  <c r="T286" i="23" s="1"/>
  <c r="S286" i="23" s="1"/>
  <c r="R286" i="23" s="1"/>
  <c r="P286" i="23" s="1"/>
  <c r="V286" i="23" s="1"/>
  <c r="B286" i="23" s="1"/>
  <c r="W286" i="23" s="1"/>
  <c r="U294" i="23"/>
  <c r="T294" i="23" s="1"/>
  <c r="U302" i="23"/>
  <c r="T302" i="23" s="1"/>
  <c r="S302" i="23" s="1"/>
  <c r="R302" i="23" s="1"/>
  <c r="P302" i="23" s="1"/>
  <c r="AH53" i="7" s="1"/>
  <c r="U310" i="23"/>
  <c r="T310" i="23" s="1"/>
  <c r="S310" i="23" s="1"/>
  <c r="R310" i="23" s="1"/>
  <c r="P310" i="23" s="1"/>
  <c r="V310" i="23" s="1"/>
  <c r="B310" i="23" s="1"/>
  <c r="U318" i="23"/>
  <c r="T318" i="23" s="1"/>
  <c r="U326" i="23"/>
  <c r="T326" i="23" s="1"/>
  <c r="S326" i="23" s="1"/>
  <c r="R326" i="23" s="1"/>
  <c r="P326" i="23" s="1"/>
  <c r="V326" i="23" s="1"/>
  <c r="B326" i="23" s="1"/>
  <c r="U333" i="23"/>
  <c r="T333" i="23" s="1"/>
  <c r="S333" i="23" s="1"/>
  <c r="R333" i="23" s="1"/>
  <c r="P333" i="23" s="1"/>
  <c r="U337" i="23"/>
  <c r="T337" i="23" s="1"/>
  <c r="S337" i="23" s="1"/>
  <c r="R337" i="23" s="1"/>
  <c r="P337" i="23" s="1"/>
  <c r="V337" i="23" s="1"/>
  <c r="B337" i="23" s="1"/>
  <c r="W337" i="23" s="1"/>
  <c r="U341" i="23"/>
  <c r="T341" i="23" s="1"/>
  <c r="S341" i="23" s="1"/>
  <c r="R341" i="23" s="1"/>
  <c r="P341" i="23" s="1"/>
  <c r="V341" i="23" s="1"/>
  <c r="B341" i="23" s="1"/>
  <c r="U345" i="23"/>
  <c r="T345" i="23" s="1"/>
  <c r="S345" i="23" s="1"/>
  <c r="R345" i="23" s="1"/>
  <c r="P345" i="23" s="1"/>
  <c r="V345" i="23" s="1"/>
  <c r="B345" i="23" s="1"/>
  <c r="U349" i="23"/>
  <c r="T349" i="23" s="1"/>
  <c r="S349" i="23" s="1"/>
  <c r="R349" i="23" s="1"/>
  <c r="P349" i="23" s="1"/>
  <c r="V349" i="23" s="1"/>
  <c r="B349" i="23" s="1"/>
  <c r="U353" i="23"/>
  <c r="T353" i="23" s="1"/>
  <c r="U357" i="23"/>
  <c r="T357" i="23" s="1"/>
  <c r="S357" i="23" s="1"/>
  <c r="R357" i="23" s="1"/>
  <c r="P357" i="23" s="1"/>
  <c r="V357" i="23" s="1"/>
  <c r="B357" i="23" s="1"/>
  <c r="U361" i="23"/>
  <c r="T361" i="23" s="1"/>
  <c r="S361" i="23" s="1"/>
  <c r="R361" i="23" s="1"/>
  <c r="P361" i="23" s="1"/>
  <c r="V361" i="23" s="1"/>
  <c r="B361" i="23" s="1"/>
  <c r="U365" i="23"/>
  <c r="T365" i="23" s="1"/>
  <c r="U369" i="23"/>
  <c r="T369" i="23" s="1"/>
  <c r="S369" i="23" s="1"/>
  <c r="R369" i="23" s="1"/>
  <c r="P369" i="23" s="1"/>
  <c r="V369" i="23" s="1"/>
  <c r="B369" i="23" s="1"/>
  <c r="U373" i="23"/>
  <c r="T373" i="23" s="1"/>
  <c r="S373" i="23" s="1"/>
  <c r="R373" i="23" s="1"/>
  <c r="P373" i="23" s="1"/>
  <c r="V373" i="23" s="1"/>
  <c r="B373" i="23" s="1"/>
  <c r="U377" i="23"/>
  <c r="T377" i="23" s="1"/>
  <c r="AI18" i="23"/>
  <c r="AH18" i="23" s="1"/>
  <c r="AG18" i="23" s="1"/>
  <c r="AF18" i="23" s="1"/>
  <c r="AD18" i="23" s="1"/>
  <c r="AI21" i="23"/>
  <c r="AH21" i="23" s="1"/>
  <c r="AI25" i="23"/>
  <c r="AH25" i="23" s="1"/>
  <c r="AI29" i="23"/>
  <c r="AH29" i="23" s="1"/>
  <c r="AG29" i="23" s="1"/>
  <c r="AF29" i="23" s="1"/>
  <c r="AD29" i="23" s="1"/>
  <c r="AI33" i="23"/>
  <c r="AH33" i="23" s="1"/>
  <c r="AG33" i="23" s="1"/>
  <c r="AF33" i="23" s="1"/>
  <c r="AD33" i="23" s="1"/>
  <c r="AI37" i="23"/>
  <c r="AH37" i="23" s="1"/>
  <c r="AG37" i="23" s="1"/>
  <c r="AF37" i="23" s="1"/>
  <c r="AD37" i="23" s="1"/>
  <c r="AI41" i="23"/>
  <c r="AH41" i="23" s="1"/>
  <c r="AG41" i="23" s="1"/>
  <c r="AF41" i="23" s="1"/>
  <c r="AD41" i="23" s="1"/>
  <c r="AI45" i="23"/>
  <c r="AH45" i="23" s="1"/>
  <c r="AG45" i="23" s="1"/>
  <c r="AF45" i="23" s="1"/>
  <c r="AD45" i="23" s="1"/>
  <c r="AI49" i="23"/>
  <c r="AH49" i="23" s="1"/>
  <c r="AI53" i="23"/>
  <c r="AH53" i="23" s="1"/>
  <c r="AG53" i="23" s="1"/>
  <c r="AF53" i="23" s="1"/>
  <c r="AD53" i="23" s="1"/>
  <c r="AI57" i="23"/>
  <c r="AH57" i="23" s="1"/>
  <c r="AG57" i="23" s="1"/>
  <c r="AF57" i="23" s="1"/>
  <c r="AD57" i="23" s="1"/>
  <c r="AI61" i="23"/>
  <c r="AH61" i="23" s="1"/>
  <c r="AG61" i="23" s="1"/>
  <c r="AF61" i="23" s="1"/>
  <c r="AD61" i="23" s="1"/>
  <c r="AI65" i="23"/>
  <c r="AH65" i="23" s="1"/>
  <c r="AG65" i="23" s="1"/>
  <c r="AF65" i="23" s="1"/>
  <c r="AD65" i="23" s="1"/>
  <c r="AI69" i="23"/>
  <c r="AH69" i="23" s="1"/>
  <c r="AG69" i="23" s="1"/>
  <c r="AF69" i="23" s="1"/>
  <c r="AD69" i="23" s="1"/>
  <c r="AI73" i="23"/>
  <c r="AH73" i="23" s="1"/>
  <c r="AG73" i="23" s="1"/>
  <c r="AF73" i="23" s="1"/>
  <c r="AD73" i="23" s="1"/>
  <c r="AI77" i="23"/>
  <c r="AH77" i="23" s="1"/>
  <c r="AG77" i="23" s="1"/>
  <c r="AF77" i="23" s="1"/>
  <c r="AD77" i="23" s="1"/>
  <c r="AI81" i="23"/>
  <c r="AH81" i="23" s="1"/>
  <c r="AG81" i="23" s="1"/>
  <c r="AF81" i="23" s="1"/>
  <c r="AD81" i="23" s="1"/>
  <c r="AI85" i="23"/>
  <c r="AH85" i="23" s="1"/>
  <c r="AG85" i="23" s="1"/>
  <c r="AF85" i="23" s="1"/>
  <c r="AD85" i="23" s="1"/>
  <c r="AI89" i="23"/>
  <c r="AH89" i="23" s="1"/>
  <c r="AG89" i="23" s="1"/>
  <c r="AF89" i="23" s="1"/>
  <c r="AD89" i="23" s="1"/>
  <c r="AI93" i="23"/>
  <c r="AH93" i="23" s="1"/>
  <c r="AG93" i="23" s="1"/>
  <c r="AF93" i="23" s="1"/>
  <c r="AD93" i="23" s="1"/>
  <c r="AI97" i="23"/>
  <c r="AH97" i="23" s="1"/>
  <c r="AG97" i="23" s="1"/>
  <c r="AF97" i="23" s="1"/>
  <c r="AD97" i="23" s="1"/>
  <c r="AI101" i="23"/>
  <c r="AH101" i="23" s="1"/>
  <c r="AG101" i="23" s="1"/>
  <c r="AF101" i="23" s="1"/>
  <c r="AD101" i="23" s="1"/>
  <c r="AI109" i="23"/>
  <c r="AH109" i="23" s="1"/>
  <c r="AG109" i="23" s="1"/>
  <c r="AF109" i="23" s="1"/>
  <c r="AD109" i="23" s="1"/>
  <c r="AI141" i="23"/>
  <c r="AH141" i="23" s="1"/>
  <c r="AG141" i="23" s="1"/>
  <c r="AF141" i="23" s="1"/>
  <c r="AD141" i="23" s="1"/>
  <c r="AI168" i="23"/>
  <c r="AH168" i="23" s="1"/>
  <c r="AG168" i="23" s="1"/>
  <c r="AF168" i="23" s="1"/>
  <c r="AD168" i="23" s="1"/>
  <c r="AI184" i="23"/>
  <c r="AH184" i="23" s="1"/>
  <c r="AG184" i="23" s="1"/>
  <c r="AF184" i="23" s="1"/>
  <c r="AD184" i="23" s="1"/>
  <c r="AI200" i="23"/>
  <c r="AH200" i="23" s="1"/>
  <c r="AG200" i="23" s="1"/>
  <c r="AF200" i="23" s="1"/>
  <c r="AD200" i="23" s="1"/>
  <c r="AI216" i="23"/>
  <c r="AH216" i="23" s="1"/>
  <c r="AG216" i="23" s="1"/>
  <c r="AF216" i="23" s="1"/>
  <c r="AD216" i="23" s="1"/>
  <c r="AI232" i="23"/>
  <c r="AH232" i="23" s="1"/>
  <c r="AG232" i="23" s="1"/>
  <c r="AF232" i="23" s="1"/>
  <c r="AD232" i="23" s="1"/>
  <c r="AI248" i="23"/>
  <c r="AH248" i="23" s="1"/>
  <c r="AG248" i="23" s="1"/>
  <c r="AF248" i="23" s="1"/>
  <c r="AD248" i="23" s="1"/>
  <c r="AI264" i="23"/>
  <c r="AH264" i="23" s="1"/>
  <c r="AG264" i="23" s="1"/>
  <c r="AF264" i="23" s="1"/>
  <c r="AD264" i="23" s="1"/>
  <c r="AI280" i="23"/>
  <c r="AH280" i="23" s="1"/>
  <c r="AG280" i="23" s="1"/>
  <c r="AF280" i="23" s="1"/>
  <c r="AD280" i="23" s="1"/>
  <c r="AI296" i="23"/>
  <c r="AH296" i="23" s="1"/>
  <c r="AG296" i="23" s="1"/>
  <c r="AF296" i="23" s="1"/>
  <c r="AD296" i="23" s="1"/>
  <c r="AI312" i="23"/>
  <c r="AH312" i="23" s="1"/>
  <c r="AG312" i="23" s="1"/>
  <c r="AF312" i="23" s="1"/>
  <c r="AD312" i="23" s="1"/>
  <c r="AI328" i="23"/>
  <c r="AH328" i="23" s="1"/>
  <c r="AG328" i="23" s="1"/>
  <c r="AF328" i="23" s="1"/>
  <c r="AD328" i="23" s="1"/>
  <c r="U22" i="23"/>
  <c r="T22" i="23" s="1"/>
  <c r="U17" i="23"/>
  <c r="T17" i="23" s="1"/>
  <c r="S17" i="23" s="1"/>
  <c r="R17" i="23" s="1"/>
  <c r="P17" i="23" s="1"/>
  <c r="V17" i="23" s="1"/>
  <c r="B17" i="23" s="1"/>
  <c r="U27" i="23"/>
  <c r="T27" i="23" s="1"/>
  <c r="S27" i="23" s="1"/>
  <c r="R27" i="23" s="1"/>
  <c r="P27" i="23" s="1"/>
  <c r="V27" i="23" s="1"/>
  <c r="B27" i="23" s="1"/>
  <c r="W27" i="23" s="1"/>
  <c r="U35" i="23"/>
  <c r="T35" i="23" s="1"/>
  <c r="S35" i="23" s="1"/>
  <c r="R35" i="23" s="1"/>
  <c r="P35" i="23" s="1"/>
  <c r="V35" i="23" s="1"/>
  <c r="B35" i="23" s="1"/>
  <c r="U43" i="23"/>
  <c r="T43" i="23" s="1"/>
  <c r="U51" i="23"/>
  <c r="T51" i="23" s="1"/>
  <c r="S51" i="23" s="1"/>
  <c r="R51" i="23" s="1"/>
  <c r="P51" i="23" s="1"/>
  <c r="V51" i="23" s="1"/>
  <c r="B51" i="23" s="1"/>
  <c r="W51" i="23" s="1"/>
  <c r="U59" i="23"/>
  <c r="T59" i="23" s="1"/>
  <c r="S59" i="23" s="1"/>
  <c r="R59" i="23" s="1"/>
  <c r="P59" i="23" s="1"/>
  <c r="V59" i="23" s="1"/>
  <c r="B59" i="23" s="1"/>
  <c r="D59" i="23" s="1"/>
  <c r="E59" i="23" s="1"/>
  <c r="F59" i="23" s="1"/>
  <c r="U67" i="23"/>
  <c r="T67" i="23" s="1"/>
  <c r="S67" i="23" s="1"/>
  <c r="R67" i="23" s="1"/>
  <c r="P67" i="23" s="1"/>
  <c r="V67" i="23" s="1"/>
  <c r="B67" i="23" s="1"/>
  <c r="W67" i="23" s="1"/>
  <c r="U75" i="23"/>
  <c r="T75" i="23" s="1"/>
  <c r="U80" i="23"/>
  <c r="T80" i="23" s="1"/>
  <c r="U84" i="23"/>
  <c r="T84" i="23" s="1"/>
  <c r="S84" i="23" s="1"/>
  <c r="R84" i="23" s="1"/>
  <c r="P84" i="23" s="1"/>
  <c r="V84" i="23" s="1"/>
  <c r="B84" i="23" s="1"/>
  <c r="W84" i="23" s="1"/>
  <c r="U88" i="23"/>
  <c r="T88" i="23" s="1"/>
  <c r="S88" i="23" s="1"/>
  <c r="R88" i="23" s="1"/>
  <c r="P88" i="23" s="1"/>
  <c r="AH46" i="7" s="1"/>
  <c r="U92" i="23"/>
  <c r="T92" i="23" s="1"/>
  <c r="U96" i="23"/>
  <c r="T96" i="23" s="1"/>
  <c r="S96" i="23" s="1"/>
  <c r="R96" i="23" s="1"/>
  <c r="P96" i="23" s="1"/>
  <c r="V96" i="23" s="1"/>
  <c r="B96" i="23" s="1"/>
  <c r="U100" i="23"/>
  <c r="T100" i="23" s="1"/>
  <c r="S100" i="23" s="1"/>
  <c r="R100" i="23" s="1"/>
  <c r="P100" i="23" s="1"/>
  <c r="V100" i="23" s="1"/>
  <c r="B100" i="23" s="1"/>
  <c r="D100" i="23" s="1"/>
  <c r="E100" i="23" s="1"/>
  <c r="F100" i="23" s="1"/>
  <c r="U104" i="23"/>
  <c r="T104" i="23" s="1"/>
  <c r="S104" i="23" s="1"/>
  <c r="R104" i="23" s="1"/>
  <c r="P104" i="23" s="1"/>
  <c r="V104" i="23" s="1"/>
  <c r="B104" i="23" s="1"/>
  <c r="U108" i="23"/>
  <c r="T108" i="23" s="1"/>
  <c r="U112" i="23"/>
  <c r="T112" i="23" s="1"/>
  <c r="S112" i="23" s="1"/>
  <c r="R112" i="23" s="1"/>
  <c r="P112" i="23" s="1"/>
  <c r="V112" i="23" s="1"/>
  <c r="B112" i="23" s="1"/>
  <c r="D112" i="23" s="1"/>
  <c r="E112" i="23" s="1"/>
  <c r="F112" i="23" s="1"/>
  <c r="U116" i="23"/>
  <c r="T116" i="23" s="1"/>
  <c r="U120" i="23"/>
  <c r="T120" i="23" s="1"/>
  <c r="U124" i="23"/>
  <c r="T124" i="23" s="1"/>
  <c r="S124" i="23" s="1"/>
  <c r="R124" i="23" s="1"/>
  <c r="P124" i="23" s="1"/>
  <c r="V124" i="23" s="1"/>
  <c r="B124" i="23" s="1"/>
  <c r="D124" i="23" s="1"/>
  <c r="E124" i="23" s="1"/>
  <c r="F124" i="23" s="1"/>
  <c r="U128" i="23"/>
  <c r="T128" i="23" s="1"/>
  <c r="S128" i="23" s="1"/>
  <c r="R128" i="23" s="1"/>
  <c r="P128" i="23" s="1"/>
  <c r="V128" i="23" s="1"/>
  <c r="B128" i="23" s="1"/>
  <c r="D128" i="23" s="1"/>
  <c r="E128" i="23" s="1"/>
  <c r="F128" i="23" s="1"/>
  <c r="U132" i="23"/>
  <c r="T132" i="23" s="1"/>
  <c r="U136" i="23"/>
  <c r="T136" i="23" s="1"/>
  <c r="S136" i="23" s="1"/>
  <c r="R136" i="23" s="1"/>
  <c r="P136" i="23" s="1"/>
  <c r="V136" i="23" s="1"/>
  <c r="B136" i="23" s="1"/>
  <c r="D136" i="23" s="1"/>
  <c r="E136" i="23" s="1"/>
  <c r="F136" i="23" s="1"/>
  <c r="U140" i="23"/>
  <c r="T140" i="23" s="1"/>
  <c r="U144" i="23"/>
  <c r="T144" i="23" s="1"/>
  <c r="S144" i="23" s="1"/>
  <c r="R144" i="23" s="1"/>
  <c r="P144" i="23" s="1"/>
  <c r="V144" i="23" s="1"/>
  <c r="B144" i="23" s="1"/>
  <c r="U148" i="23"/>
  <c r="T148" i="23" s="1"/>
  <c r="U152" i="23"/>
  <c r="T152" i="23" s="1"/>
  <c r="S152" i="23" s="1"/>
  <c r="R152" i="23" s="1"/>
  <c r="P152" i="23" s="1"/>
  <c r="V152" i="23" s="1"/>
  <c r="B152" i="23" s="1"/>
  <c r="U156" i="23"/>
  <c r="T156" i="23" s="1"/>
  <c r="U160" i="23"/>
  <c r="T160" i="23" s="1"/>
  <c r="S160" i="23" s="1"/>
  <c r="R160" i="23" s="1"/>
  <c r="P160" i="23" s="1"/>
  <c r="V160" i="23" s="1"/>
  <c r="B160" i="23" s="1"/>
  <c r="U164" i="23"/>
  <c r="T164" i="23" s="1"/>
  <c r="U168" i="23"/>
  <c r="T168" i="23" s="1"/>
  <c r="S168" i="23" s="1"/>
  <c r="R168" i="23" s="1"/>
  <c r="P168" i="23" s="1"/>
  <c r="V168" i="23" s="1"/>
  <c r="B168" i="23" s="1"/>
  <c r="D168" i="23" s="1"/>
  <c r="E168" i="23" s="1"/>
  <c r="F168" i="23" s="1"/>
  <c r="U172" i="23"/>
  <c r="T172" i="23" s="1"/>
  <c r="U176" i="23"/>
  <c r="T176" i="23" s="1"/>
  <c r="U180" i="23"/>
  <c r="T180" i="23" s="1"/>
  <c r="U184" i="23"/>
  <c r="T184" i="23" s="1"/>
  <c r="U188" i="23"/>
  <c r="T188" i="23" s="1"/>
  <c r="S188" i="23" s="1"/>
  <c r="R188" i="23" s="1"/>
  <c r="P188" i="23" s="1"/>
  <c r="V188" i="23" s="1"/>
  <c r="B188" i="23" s="1"/>
  <c r="D188" i="23" s="1"/>
  <c r="E188" i="23" s="1"/>
  <c r="F188" i="23" s="1"/>
  <c r="U192" i="23"/>
  <c r="T192" i="23" s="1"/>
  <c r="S192" i="23" s="1"/>
  <c r="R192" i="23" s="1"/>
  <c r="P192" i="23" s="1"/>
  <c r="V192" i="23" s="1"/>
  <c r="B192" i="23" s="1"/>
  <c r="D192" i="23" s="1"/>
  <c r="E192" i="23" s="1"/>
  <c r="F192" i="23" s="1"/>
  <c r="U196" i="23"/>
  <c r="T196" i="23" s="1"/>
  <c r="S196" i="23" s="1"/>
  <c r="R196" i="23" s="1"/>
  <c r="P196" i="23" s="1"/>
  <c r="V196" i="23" s="1"/>
  <c r="B196" i="23" s="1"/>
  <c r="U200" i="23"/>
  <c r="T200" i="23" s="1"/>
  <c r="S200" i="23" s="1"/>
  <c r="R200" i="23" s="1"/>
  <c r="P200" i="23" s="1"/>
  <c r="V200" i="23" s="1"/>
  <c r="B200" i="23" s="1"/>
  <c r="D200" i="23" s="1"/>
  <c r="E200" i="23" s="1"/>
  <c r="F200" i="23" s="1"/>
  <c r="U204" i="23"/>
  <c r="T204" i="23" s="1"/>
  <c r="U208" i="23"/>
  <c r="T208" i="23" s="1"/>
  <c r="S208" i="23" s="1"/>
  <c r="R208" i="23" s="1"/>
  <c r="P208" i="23" s="1"/>
  <c r="V208" i="23" s="1"/>
  <c r="B208" i="23" s="1"/>
  <c r="W208" i="23" s="1"/>
  <c r="U212" i="23"/>
  <c r="T212" i="23" s="1"/>
  <c r="U216" i="23"/>
  <c r="T216" i="23" s="1"/>
  <c r="S216" i="23" s="1"/>
  <c r="R216" i="23" s="1"/>
  <c r="P216" i="23" s="1"/>
  <c r="V216" i="23" s="1"/>
  <c r="B216" i="23" s="1"/>
  <c r="U220" i="23"/>
  <c r="T220" i="23" s="1"/>
  <c r="U224" i="23"/>
  <c r="T224" i="23" s="1"/>
  <c r="S224" i="23" s="1"/>
  <c r="R224" i="23" s="1"/>
  <c r="P224" i="23" s="1"/>
  <c r="V224" i="23" s="1"/>
  <c r="B224" i="23" s="1"/>
  <c r="U228" i="23"/>
  <c r="T228" i="23" s="1"/>
  <c r="U232" i="23"/>
  <c r="T232" i="23" s="1"/>
  <c r="S232" i="23" s="1"/>
  <c r="R232" i="23" s="1"/>
  <c r="P232" i="23" s="1"/>
  <c r="V232" i="23" s="1"/>
  <c r="B232" i="23" s="1"/>
  <c r="U236" i="23"/>
  <c r="T236" i="23" s="1"/>
  <c r="U240" i="23"/>
  <c r="T240" i="23" s="1"/>
  <c r="S240" i="23" s="1"/>
  <c r="R240" i="23" s="1"/>
  <c r="P240" i="23" s="1"/>
  <c r="V240" i="23" s="1"/>
  <c r="B240" i="23" s="1"/>
  <c r="D240" i="23" s="1"/>
  <c r="E240" i="23" s="1"/>
  <c r="F240" i="23" s="1"/>
  <c r="U244" i="23"/>
  <c r="T244" i="23" s="1"/>
  <c r="U248" i="23"/>
  <c r="T248" i="23" s="1"/>
  <c r="S248" i="23" s="1"/>
  <c r="R248" i="23" s="1"/>
  <c r="P248" i="23" s="1"/>
  <c r="V248" i="23" s="1"/>
  <c r="B248" i="23" s="1"/>
  <c r="U252" i="23"/>
  <c r="T252" i="23" s="1"/>
  <c r="U256" i="23"/>
  <c r="T256" i="23" s="1"/>
  <c r="S256" i="23" s="1"/>
  <c r="R256" i="23" s="1"/>
  <c r="P256" i="23" s="1"/>
  <c r="V256" i="23" s="1"/>
  <c r="B256" i="23" s="1"/>
  <c r="D256" i="23" s="1"/>
  <c r="E256" i="23" s="1"/>
  <c r="F256" i="23" s="1"/>
  <c r="U260" i="23"/>
  <c r="T260" i="23" s="1"/>
  <c r="S260" i="23" s="1"/>
  <c r="R260" i="23" s="1"/>
  <c r="P260" i="23" s="1"/>
  <c r="V260" i="23" s="1"/>
  <c r="B260" i="23" s="1"/>
  <c r="W260" i="23" s="1"/>
  <c r="U264" i="23"/>
  <c r="T264" i="23" s="1"/>
  <c r="S264" i="23" s="1"/>
  <c r="R264" i="23" s="1"/>
  <c r="P264" i="23" s="1"/>
  <c r="V264" i="23" s="1"/>
  <c r="B264" i="23" s="1"/>
  <c r="U268" i="23"/>
  <c r="T268" i="23" s="1"/>
  <c r="S268" i="23" s="1"/>
  <c r="R268" i="23" s="1"/>
  <c r="P268" i="23" s="1"/>
  <c r="V268" i="23" s="1"/>
  <c r="B268" i="23" s="1"/>
  <c r="D268" i="23" s="1"/>
  <c r="E268" i="23" s="1"/>
  <c r="F268" i="23" s="1"/>
  <c r="U272" i="23"/>
  <c r="T272" i="23" s="1"/>
  <c r="U276" i="23"/>
  <c r="T276" i="23" s="1"/>
  <c r="U280" i="23"/>
  <c r="T280" i="23" s="1"/>
  <c r="U284" i="23"/>
  <c r="T284" i="23" s="1"/>
  <c r="U288" i="23"/>
  <c r="T288" i="23" s="1"/>
  <c r="S288" i="23" s="1"/>
  <c r="R288" i="23" s="1"/>
  <c r="P288" i="23" s="1"/>
  <c r="V288" i="23" s="1"/>
  <c r="U292" i="23"/>
  <c r="T292" i="23" s="1"/>
  <c r="U296" i="23"/>
  <c r="T296" i="23" s="1"/>
  <c r="S296" i="23" s="1"/>
  <c r="R296" i="23" s="1"/>
  <c r="P296" i="23" s="1"/>
  <c r="V296" i="23" s="1"/>
  <c r="B296" i="23" s="1"/>
  <c r="U300" i="23"/>
  <c r="T300" i="23" s="1"/>
  <c r="U304" i="23"/>
  <c r="T304" i="23" s="1"/>
  <c r="U308" i="23"/>
  <c r="T308" i="23" s="1"/>
  <c r="U312" i="23"/>
  <c r="T312" i="23" s="1"/>
  <c r="U316" i="23"/>
  <c r="T316" i="23" s="1"/>
  <c r="S316" i="23" s="1"/>
  <c r="R316" i="23" s="1"/>
  <c r="P316" i="23" s="1"/>
  <c r="V316" i="23" s="1"/>
  <c r="B316" i="23" s="1"/>
  <c r="D316" i="23" s="1"/>
  <c r="E316" i="23" s="1"/>
  <c r="F316" i="23" s="1"/>
  <c r="U320" i="23"/>
  <c r="T320" i="23" s="1"/>
  <c r="S320" i="23" s="1"/>
  <c r="R320" i="23" s="1"/>
  <c r="P320" i="23" s="1"/>
  <c r="V320" i="23" s="1"/>
  <c r="U324" i="23"/>
  <c r="T324" i="23" s="1"/>
  <c r="U328" i="23"/>
  <c r="T328" i="23" s="1"/>
  <c r="S328" i="23" s="1"/>
  <c r="R328" i="23" s="1"/>
  <c r="P328" i="23" s="1"/>
  <c r="V328" i="23" s="1"/>
  <c r="B328" i="23" s="1"/>
  <c r="U332" i="23"/>
  <c r="T332" i="23" s="1"/>
  <c r="U334" i="23"/>
  <c r="T334" i="23" s="1"/>
  <c r="S334" i="23" s="1"/>
  <c r="R334" i="23" s="1"/>
  <c r="P334" i="23" s="1"/>
  <c r="V334" i="23" s="1"/>
  <c r="B334" i="23" s="1"/>
  <c r="U336" i="23"/>
  <c r="T336" i="23" s="1"/>
  <c r="U338" i="23"/>
  <c r="T338" i="23" s="1"/>
  <c r="S338" i="23" s="1"/>
  <c r="R338" i="23" s="1"/>
  <c r="P338" i="23" s="1"/>
  <c r="V338" i="23" s="1"/>
  <c r="B338" i="23" s="1"/>
  <c r="U340" i="23"/>
  <c r="T340" i="23" s="1"/>
  <c r="U342" i="23"/>
  <c r="T342" i="23" s="1"/>
  <c r="S342" i="23" s="1"/>
  <c r="R342" i="23" s="1"/>
  <c r="P342" i="23" s="1"/>
  <c r="V342" i="23" s="1"/>
  <c r="B342" i="23" s="1"/>
  <c r="U344" i="23"/>
  <c r="T344" i="23" s="1"/>
  <c r="U346" i="23"/>
  <c r="T346" i="23" s="1"/>
  <c r="S346" i="23" s="1"/>
  <c r="R346" i="23" s="1"/>
  <c r="P346" i="23" s="1"/>
  <c r="V346" i="23" s="1"/>
  <c r="B346" i="23" s="1"/>
  <c r="U348" i="23"/>
  <c r="T348" i="23" s="1"/>
  <c r="U350" i="23"/>
  <c r="T350" i="23" s="1"/>
  <c r="S350" i="23" s="1"/>
  <c r="R350" i="23" s="1"/>
  <c r="P350" i="23" s="1"/>
  <c r="V350" i="23" s="1"/>
  <c r="B350" i="23" s="1"/>
  <c r="U352" i="23"/>
  <c r="T352" i="23" s="1"/>
  <c r="S352" i="23" s="1"/>
  <c r="R352" i="23" s="1"/>
  <c r="P352" i="23" s="1"/>
  <c r="V352" i="23" s="1"/>
  <c r="B352" i="23" s="1"/>
  <c r="D352" i="23" s="1"/>
  <c r="E352" i="23" s="1"/>
  <c r="F352" i="23" s="1"/>
  <c r="U354" i="23"/>
  <c r="T354" i="23" s="1"/>
  <c r="S354" i="23" s="1"/>
  <c r="R354" i="23" s="1"/>
  <c r="P354" i="23" s="1"/>
  <c r="V354" i="23" s="1"/>
  <c r="B354" i="23" s="1"/>
  <c r="U356" i="23"/>
  <c r="T356" i="23" s="1"/>
  <c r="U358" i="23"/>
  <c r="T358" i="23" s="1"/>
  <c r="S358" i="23" s="1"/>
  <c r="R358" i="23" s="1"/>
  <c r="P358" i="23" s="1"/>
  <c r="V358" i="23" s="1"/>
  <c r="B358" i="23" s="1"/>
  <c r="U360" i="23"/>
  <c r="T360" i="23" s="1"/>
  <c r="S360" i="23" s="1"/>
  <c r="R360" i="23" s="1"/>
  <c r="P360" i="23" s="1"/>
  <c r="V360" i="23" s="1"/>
  <c r="B360" i="23" s="1"/>
  <c r="D360" i="23" s="1"/>
  <c r="E360" i="23" s="1"/>
  <c r="F360" i="23" s="1"/>
  <c r="U362" i="23"/>
  <c r="T362" i="23" s="1"/>
  <c r="S362" i="23" s="1"/>
  <c r="R362" i="23" s="1"/>
  <c r="P362" i="23" s="1"/>
  <c r="V362" i="23" s="1"/>
  <c r="B362" i="23" s="1"/>
  <c r="U364" i="23"/>
  <c r="T364" i="23" s="1"/>
  <c r="S364" i="23" s="1"/>
  <c r="R364" i="23" s="1"/>
  <c r="P364" i="23" s="1"/>
  <c r="V364" i="23" s="1"/>
  <c r="B364" i="23" s="1"/>
  <c r="D364" i="23" s="1"/>
  <c r="E364" i="23" s="1"/>
  <c r="F364" i="23" s="1"/>
  <c r="U366" i="23"/>
  <c r="T366" i="23" s="1"/>
  <c r="S366" i="23" s="1"/>
  <c r="R366" i="23" s="1"/>
  <c r="P366" i="23" s="1"/>
  <c r="V366" i="23" s="1"/>
  <c r="B366" i="23" s="1"/>
  <c r="U368" i="23"/>
  <c r="T368" i="23" s="1"/>
  <c r="S368" i="23" s="1"/>
  <c r="R368" i="23" s="1"/>
  <c r="P368" i="23" s="1"/>
  <c r="V368" i="23" s="1"/>
  <c r="B368" i="23" s="1"/>
  <c r="D368" i="23" s="1"/>
  <c r="E368" i="23" s="1"/>
  <c r="F368" i="23" s="1"/>
  <c r="U370" i="23"/>
  <c r="T370" i="23" s="1"/>
  <c r="S370" i="23" s="1"/>
  <c r="R370" i="23" s="1"/>
  <c r="P370" i="23" s="1"/>
  <c r="V370" i="23" s="1"/>
  <c r="B370" i="23" s="1"/>
  <c r="U372" i="23"/>
  <c r="T372" i="23" s="1"/>
  <c r="U374" i="23"/>
  <c r="T374" i="23" s="1"/>
  <c r="S374" i="23" s="1"/>
  <c r="R374" i="23" s="1"/>
  <c r="P374" i="23" s="1"/>
  <c r="V374" i="23" s="1"/>
  <c r="B374" i="23" s="1"/>
  <c r="U376" i="23"/>
  <c r="T376" i="23" s="1"/>
  <c r="S376" i="23" s="1"/>
  <c r="R376" i="23" s="1"/>
  <c r="P376" i="23" s="1"/>
  <c r="V376" i="23" s="1"/>
  <c r="B376" i="23" s="1"/>
  <c r="W376" i="23" s="1"/>
  <c r="U378" i="23"/>
  <c r="T378" i="23" s="1"/>
  <c r="S378" i="23" s="1"/>
  <c r="R378" i="23" s="1"/>
  <c r="P378" i="23" s="1"/>
  <c r="V378" i="23" s="1"/>
  <c r="B378" i="23" s="1"/>
  <c r="AI22" i="23"/>
  <c r="AH22" i="23" s="1"/>
  <c r="AG22" i="23" s="1"/>
  <c r="AF22" i="23" s="1"/>
  <c r="AD22" i="23" s="1"/>
  <c r="AI23" i="23"/>
  <c r="AH23" i="23" s="1"/>
  <c r="AG23" i="23" s="1"/>
  <c r="AF23" i="23" s="1"/>
  <c r="AD23" i="23" s="1"/>
  <c r="AI16" i="23"/>
  <c r="AH16" i="23" s="1"/>
  <c r="AG16" i="23" s="1"/>
  <c r="AF16" i="23" s="1"/>
  <c r="AD16" i="23" s="1"/>
  <c r="AI15" i="23"/>
  <c r="AI24" i="23"/>
  <c r="AH24" i="23" s="1"/>
  <c r="AG24" i="23" s="1"/>
  <c r="AF24" i="23" s="1"/>
  <c r="AD24" i="23" s="1"/>
  <c r="AI26" i="23"/>
  <c r="AH26" i="23" s="1"/>
  <c r="AG26" i="23" s="1"/>
  <c r="AF26" i="23" s="1"/>
  <c r="AD26" i="23" s="1"/>
  <c r="AI28" i="23"/>
  <c r="AH28" i="23" s="1"/>
  <c r="AG28" i="23" s="1"/>
  <c r="AF28" i="23" s="1"/>
  <c r="AD28" i="23" s="1"/>
  <c r="AI30" i="23"/>
  <c r="AH30" i="23" s="1"/>
  <c r="AG30" i="23" s="1"/>
  <c r="AF30" i="23" s="1"/>
  <c r="AD30" i="23" s="1"/>
  <c r="AI32" i="23"/>
  <c r="AH32" i="23" s="1"/>
  <c r="AI34" i="23"/>
  <c r="AH34" i="23" s="1"/>
  <c r="AG34" i="23" s="1"/>
  <c r="AF34" i="23" s="1"/>
  <c r="AD34" i="23" s="1"/>
  <c r="AI36" i="23"/>
  <c r="AH36" i="23" s="1"/>
  <c r="AG36" i="23" s="1"/>
  <c r="AF36" i="23" s="1"/>
  <c r="AD36" i="23" s="1"/>
  <c r="AI38" i="23"/>
  <c r="AH38" i="23" s="1"/>
  <c r="AG38" i="23" s="1"/>
  <c r="AF38" i="23" s="1"/>
  <c r="AD38" i="23" s="1"/>
  <c r="AI40" i="23"/>
  <c r="AH40" i="23" s="1"/>
  <c r="AI42" i="23"/>
  <c r="AH42" i="23" s="1"/>
  <c r="AG42" i="23" s="1"/>
  <c r="AF42" i="23" s="1"/>
  <c r="AD42" i="23" s="1"/>
  <c r="AI44" i="23"/>
  <c r="AH44" i="23" s="1"/>
  <c r="AG44" i="23" s="1"/>
  <c r="AF44" i="23" s="1"/>
  <c r="AD44" i="23" s="1"/>
  <c r="AI46" i="23"/>
  <c r="AH46" i="23" s="1"/>
  <c r="AG46" i="23" s="1"/>
  <c r="AF46" i="23" s="1"/>
  <c r="AD46" i="23" s="1"/>
  <c r="AI48" i="23"/>
  <c r="AH48" i="23" s="1"/>
  <c r="AG48" i="23" s="1"/>
  <c r="AF48" i="23" s="1"/>
  <c r="AD48" i="23" s="1"/>
  <c r="AI50" i="23"/>
  <c r="AH50" i="23" s="1"/>
  <c r="AG50" i="23" s="1"/>
  <c r="AF50" i="23" s="1"/>
  <c r="AD50" i="23" s="1"/>
  <c r="AI52" i="23"/>
  <c r="AH52" i="23" s="1"/>
  <c r="AI54" i="23"/>
  <c r="AH54" i="23" s="1"/>
  <c r="AG54" i="23" s="1"/>
  <c r="AF54" i="23" s="1"/>
  <c r="AD54" i="23" s="1"/>
  <c r="AI56" i="23"/>
  <c r="AH56" i="23" s="1"/>
  <c r="AG56" i="23" s="1"/>
  <c r="AF56" i="23" s="1"/>
  <c r="AD56" i="23" s="1"/>
  <c r="AI58" i="23"/>
  <c r="AH58" i="23" s="1"/>
  <c r="AG58" i="23" s="1"/>
  <c r="AF58" i="23" s="1"/>
  <c r="AD58" i="23" s="1"/>
  <c r="AI60" i="23"/>
  <c r="AH60" i="23" s="1"/>
  <c r="AG60" i="23" s="1"/>
  <c r="AF60" i="23" s="1"/>
  <c r="AD60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AI66" i="23"/>
  <c r="AH66" i="23" s="1"/>
  <c r="AG66" i="23" s="1"/>
  <c r="AF66" i="23" s="1"/>
  <c r="AD66" i="23" s="1"/>
  <c r="AI68" i="23"/>
  <c r="AH68" i="23" s="1"/>
  <c r="AG68" i="23" s="1"/>
  <c r="AF68" i="23" s="1"/>
  <c r="AD68" i="23" s="1"/>
  <c r="AI70" i="23"/>
  <c r="AH70" i="23" s="1"/>
  <c r="AG70" i="23" s="1"/>
  <c r="AF70" i="23" s="1"/>
  <c r="AD70" i="23" s="1"/>
  <c r="AI72" i="23"/>
  <c r="AH72" i="23" s="1"/>
  <c r="AG72" i="23" s="1"/>
  <c r="AF72" i="23" s="1"/>
  <c r="AD72" i="23" s="1"/>
  <c r="AI74" i="23"/>
  <c r="AH74" i="23" s="1"/>
  <c r="AG74" i="23" s="1"/>
  <c r="AF74" i="23" s="1"/>
  <c r="AD74" i="23" s="1"/>
  <c r="AI76" i="23"/>
  <c r="AH76" i="23" s="1"/>
  <c r="AG76" i="23" s="1"/>
  <c r="AF76" i="23" s="1"/>
  <c r="AD76" i="23" s="1"/>
  <c r="AI78" i="23"/>
  <c r="AH78" i="23" s="1"/>
  <c r="AG78" i="23" s="1"/>
  <c r="AF78" i="23" s="1"/>
  <c r="AD78" i="23" s="1"/>
  <c r="AI80" i="23"/>
  <c r="AH80" i="23" s="1"/>
  <c r="AG80" i="23" s="1"/>
  <c r="AF80" i="23" s="1"/>
  <c r="AD80" i="23" s="1"/>
  <c r="AI82" i="23"/>
  <c r="AH82" i="23" s="1"/>
  <c r="AG82" i="23" s="1"/>
  <c r="AF82" i="23" s="1"/>
  <c r="AD82" i="23" s="1"/>
  <c r="AI84" i="23"/>
  <c r="AH84" i="23" s="1"/>
  <c r="AG84" i="23" s="1"/>
  <c r="AF84" i="23" s="1"/>
  <c r="AD84" i="23" s="1"/>
  <c r="AI86" i="23"/>
  <c r="AH86" i="23" s="1"/>
  <c r="AG86" i="23" s="1"/>
  <c r="AF86" i="23" s="1"/>
  <c r="AD86" i="23" s="1"/>
  <c r="AI88" i="23"/>
  <c r="AH88" i="23" s="1"/>
  <c r="AI90" i="23"/>
  <c r="AH90" i="23" s="1"/>
  <c r="AG90" i="23" s="1"/>
  <c r="AF90" i="23" s="1"/>
  <c r="AD90" i="23" s="1"/>
  <c r="AI92" i="23"/>
  <c r="AH92" i="23" s="1"/>
  <c r="AG92" i="23" s="1"/>
  <c r="AF92" i="23" s="1"/>
  <c r="AD92" i="23" s="1"/>
  <c r="AI94" i="23"/>
  <c r="AH94" i="23" s="1"/>
  <c r="AG94" i="23" s="1"/>
  <c r="AF94" i="23" s="1"/>
  <c r="AD94" i="23" s="1"/>
  <c r="AI96" i="23"/>
  <c r="AH96" i="23" s="1"/>
  <c r="AG96" i="23" s="1"/>
  <c r="AF96" i="23" s="1"/>
  <c r="AD96" i="23" s="1"/>
  <c r="AI98" i="23"/>
  <c r="AH98" i="23" s="1"/>
  <c r="AG98" i="23" s="1"/>
  <c r="AF98" i="23" s="1"/>
  <c r="AD98" i="23" s="1"/>
  <c r="AI100" i="23"/>
  <c r="AH100" i="23" s="1"/>
  <c r="AI102" i="23"/>
  <c r="AH102" i="23" s="1"/>
  <c r="AG102" i="23" s="1"/>
  <c r="AF102" i="23" s="1"/>
  <c r="AD102" i="23" s="1"/>
  <c r="AI114" i="23"/>
  <c r="AH114" i="23" s="1"/>
  <c r="AG114" i="23" s="1"/>
  <c r="AF114" i="23" s="1"/>
  <c r="AD114" i="23" s="1"/>
  <c r="AI130" i="23"/>
  <c r="AH130" i="23" s="1"/>
  <c r="AG130" i="23" s="1"/>
  <c r="AF130" i="23" s="1"/>
  <c r="AD130" i="23" s="1"/>
  <c r="AI146" i="23"/>
  <c r="AH146" i="23" s="1"/>
  <c r="AG146" i="23" s="1"/>
  <c r="AF146" i="23" s="1"/>
  <c r="AD146" i="23" s="1"/>
  <c r="AI162" i="23"/>
  <c r="AH162" i="23" s="1"/>
  <c r="AG162" i="23" s="1"/>
  <c r="AF162" i="23" s="1"/>
  <c r="AD162" i="23" s="1"/>
  <c r="Q293" i="24"/>
  <c r="Q357" i="24"/>
  <c r="Q229" i="24"/>
  <c r="Q325" i="24"/>
  <c r="Q261" i="24"/>
  <c r="Q167" i="24"/>
  <c r="Q373" i="24"/>
  <c r="Q341" i="24"/>
  <c r="Q309" i="24"/>
  <c r="Q277" i="24"/>
  <c r="Q245" i="24"/>
  <c r="Q199" i="24"/>
  <c r="Q127" i="24"/>
  <c r="AU16" i="7"/>
  <c r="U23" i="23"/>
  <c r="T23" i="23" s="1"/>
  <c r="S23" i="23" s="1"/>
  <c r="R23" i="23" s="1"/>
  <c r="P23" i="23" s="1"/>
  <c r="V23" i="23" s="1"/>
  <c r="B23" i="23" s="1"/>
  <c r="U18" i="23"/>
  <c r="T18" i="23" s="1"/>
  <c r="S18" i="23" s="1"/>
  <c r="R18" i="23" s="1"/>
  <c r="P18" i="23" s="1"/>
  <c r="V18" i="23" s="1"/>
  <c r="B18" i="23" s="1"/>
  <c r="U19" i="23"/>
  <c r="T19" i="23" s="1"/>
  <c r="U20" i="23"/>
  <c r="T20" i="23" s="1"/>
  <c r="S20" i="23" s="1"/>
  <c r="R20" i="23" s="1"/>
  <c r="P20" i="23" s="1"/>
  <c r="V20" i="23" s="1"/>
  <c r="B20" i="23" s="1"/>
  <c r="U24" i="23"/>
  <c r="T24" i="23" s="1"/>
  <c r="S24" i="23" s="1"/>
  <c r="R24" i="23" s="1"/>
  <c r="P24" i="23" s="1"/>
  <c r="V24" i="23" s="1"/>
  <c r="B24" i="23" s="1"/>
  <c r="U26" i="23"/>
  <c r="T26" i="23" s="1"/>
  <c r="S26" i="23" s="1"/>
  <c r="R26" i="23" s="1"/>
  <c r="P26" i="23" s="1"/>
  <c r="V26" i="23" s="1"/>
  <c r="B26" i="23" s="1"/>
  <c r="W26" i="23" s="1"/>
  <c r="U28" i="23"/>
  <c r="T28" i="23" s="1"/>
  <c r="U30" i="23"/>
  <c r="T30" i="23" s="1"/>
  <c r="S30" i="23" s="1"/>
  <c r="R30" i="23" s="1"/>
  <c r="P30" i="23" s="1"/>
  <c r="V30" i="23" s="1"/>
  <c r="B30" i="23" s="1"/>
  <c r="U32" i="23"/>
  <c r="T32" i="23" s="1"/>
  <c r="S32" i="23" s="1"/>
  <c r="R32" i="23" s="1"/>
  <c r="P32" i="23" s="1"/>
  <c r="V32" i="23" s="1"/>
  <c r="B32" i="23" s="1"/>
  <c r="U34" i="23"/>
  <c r="T34" i="23" s="1"/>
  <c r="S34" i="23" s="1"/>
  <c r="R34" i="23" s="1"/>
  <c r="P34" i="23" s="1"/>
  <c r="V34" i="23" s="1"/>
  <c r="B34" i="23" s="1"/>
  <c r="U36" i="23"/>
  <c r="T36" i="23" s="1"/>
  <c r="U38" i="23"/>
  <c r="T38" i="23" s="1"/>
  <c r="S38" i="23" s="1"/>
  <c r="R38" i="23" s="1"/>
  <c r="P38" i="23" s="1"/>
  <c r="V38" i="23" s="1"/>
  <c r="B38" i="23" s="1"/>
  <c r="U40" i="23"/>
  <c r="T40" i="23" s="1"/>
  <c r="S40" i="23" s="1"/>
  <c r="R40" i="23" s="1"/>
  <c r="P40" i="23" s="1"/>
  <c r="V40" i="23" s="1"/>
  <c r="B40" i="23" s="1"/>
  <c r="U42" i="23"/>
  <c r="T42" i="23" s="1"/>
  <c r="S42" i="23" s="1"/>
  <c r="R42" i="23" s="1"/>
  <c r="P42" i="23" s="1"/>
  <c r="V42" i="23" s="1"/>
  <c r="B42" i="23" s="1"/>
  <c r="U44" i="23"/>
  <c r="T44" i="23" s="1"/>
  <c r="U46" i="23"/>
  <c r="T46" i="23" s="1"/>
  <c r="S46" i="23" s="1"/>
  <c r="R46" i="23" s="1"/>
  <c r="P46" i="23" s="1"/>
  <c r="V46" i="23" s="1"/>
  <c r="U48" i="23"/>
  <c r="T48" i="23" s="1"/>
  <c r="S48" i="23" s="1"/>
  <c r="R48" i="23" s="1"/>
  <c r="P48" i="23" s="1"/>
  <c r="V48" i="23" s="1"/>
  <c r="B48" i="23" s="1"/>
  <c r="U50" i="23"/>
  <c r="T50" i="23" s="1"/>
  <c r="S50" i="23" s="1"/>
  <c r="R50" i="23" s="1"/>
  <c r="P50" i="23" s="1"/>
  <c r="V50" i="23" s="1"/>
  <c r="B50" i="23" s="1"/>
  <c r="U52" i="23"/>
  <c r="T52" i="23" s="1"/>
  <c r="U54" i="23"/>
  <c r="T54" i="23" s="1"/>
  <c r="S54" i="23" s="1"/>
  <c r="R54" i="23" s="1"/>
  <c r="P54" i="23" s="1"/>
  <c r="V54" i="23" s="1"/>
  <c r="B54" i="23" s="1"/>
  <c r="U56" i="23"/>
  <c r="T56" i="23" s="1"/>
  <c r="S56" i="23" s="1"/>
  <c r="R56" i="23" s="1"/>
  <c r="P56" i="23" s="1"/>
  <c r="V56" i="23" s="1"/>
  <c r="B56" i="23" s="1"/>
  <c r="U58" i="23"/>
  <c r="T58" i="23" s="1"/>
  <c r="S58" i="23" s="1"/>
  <c r="R58" i="23" s="1"/>
  <c r="P58" i="23" s="1"/>
  <c r="V58" i="23" s="1"/>
  <c r="B58" i="23" s="1"/>
  <c r="U60" i="23"/>
  <c r="T60" i="23" s="1"/>
  <c r="U62" i="23"/>
  <c r="T62" i="23" s="1"/>
  <c r="S62" i="23" s="1"/>
  <c r="R62" i="23" s="1"/>
  <c r="P62" i="23" s="1"/>
  <c r="V62" i="23" s="1"/>
  <c r="B62" i="23" s="1"/>
  <c r="U64" i="23"/>
  <c r="T64" i="23" s="1"/>
  <c r="S64" i="23" s="1"/>
  <c r="R64" i="23" s="1"/>
  <c r="P64" i="23" s="1"/>
  <c r="V64" i="23" s="1"/>
  <c r="B64" i="23" s="1"/>
  <c r="U66" i="23"/>
  <c r="T66" i="23" s="1"/>
  <c r="S66" i="23" s="1"/>
  <c r="R66" i="23" s="1"/>
  <c r="P66" i="23" s="1"/>
  <c r="V66" i="23" s="1"/>
  <c r="B66" i="23" s="1"/>
  <c r="W66" i="23" s="1"/>
  <c r="U68" i="23"/>
  <c r="T68" i="23" s="1"/>
  <c r="U70" i="23"/>
  <c r="T70" i="23" s="1"/>
  <c r="S70" i="23" s="1"/>
  <c r="R70" i="23" s="1"/>
  <c r="P70" i="23" s="1"/>
  <c r="V70" i="23" s="1"/>
  <c r="B70" i="23" s="1"/>
  <c r="U72" i="23"/>
  <c r="T72" i="23" s="1"/>
  <c r="S72" i="23" s="1"/>
  <c r="R72" i="23" s="1"/>
  <c r="P72" i="23" s="1"/>
  <c r="V72" i="23" s="1"/>
  <c r="B72" i="23" s="1"/>
  <c r="U74" i="23"/>
  <c r="T74" i="23" s="1"/>
  <c r="S74" i="23" s="1"/>
  <c r="R74" i="23" s="1"/>
  <c r="P74" i="23" s="1"/>
  <c r="V74" i="23" s="1"/>
  <c r="B74" i="23" s="1"/>
  <c r="U76" i="23"/>
  <c r="T76" i="23" s="1"/>
  <c r="U15" i="23"/>
  <c r="T15" i="23" s="1"/>
  <c r="U16" i="23"/>
  <c r="T16" i="23" s="1"/>
  <c r="S16" i="23" s="1"/>
  <c r="R16" i="23" s="1"/>
  <c r="P16" i="23" s="1"/>
  <c r="V16" i="23" s="1"/>
  <c r="B16" i="23" s="1"/>
  <c r="U25" i="23"/>
  <c r="T25" i="23" s="1"/>
  <c r="S25" i="23" s="1"/>
  <c r="R25" i="23" s="1"/>
  <c r="P25" i="23" s="1"/>
  <c r="V25" i="23" s="1"/>
  <c r="B25" i="23" s="1"/>
  <c r="U29" i="23"/>
  <c r="T29" i="23" s="1"/>
  <c r="S29" i="23" s="1"/>
  <c r="R29" i="23" s="1"/>
  <c r="P29" i="23" s="1"/>
  <c r="U33" i="23"/>
  <c r="T33" i="23" s="1"/>
  <c r="S33" i="23" s="1"/>
  <c r="R33" i="23" s="1"/>
  <c r="P33" i="23" s="1"/>
  <c r="V33" i="23" s="1"/>
  <c r="B33" i="23" s="1"/>
  <c r="U37" i="23"/>
  <c r="T37" i="23" s="1"/>
  <c r="S37" i="23" s="1"/>
  <c r="R37" i="23" s="1"/>
  <c r="P37" i="23" s="1"/>
  <c r="V37" i="23" s="1"/>
  <c r="B37" i="23" s="1"/>
  <c r="U41" i="23"/>
  <c r="T41" i="23" s="1"/>
  <c r="S41" i="23" s="1"/>
  <c r="R41" i="23" s="1"/>
  <c r="P41" i="23" s="1"/>
  <c r="V41" i="23" s="1"/>
  <c r="B41" i="23" s="1"/>
  <c r="U45" i="23"/>
  <c r="T45" i="23" s="1"/>
  <c r="S45" i="23" s="1"/>
  <c r="R45" i="23" s="1"/>
  <c r="P45" i="23" s="1"/>
  <c r="V45" i="23" s="1"/>
  <c r="B45" i="23" s="1"/>
  <c r="U49" i="23"/>
  <c r="T49" i="23" s="1"/>
  <c r="S49" i="23" s="1"/>
  <c r="R49" i="23" s="1"/>
  <c r="P49" i="23" s="1"/>
  <c r="V49" i="23" s="1"/>
  <c r="B49" i="23" s="1"/>
  <c r="U53" i="23"/>
  <c r="T53" i="23" s="1"/>
  <c r="S53" i="23" s="1"/>
  <c r="R53" i="23" s="1"/>
  <c r="P53" i="23" s="1"/>
  <c r="V53" i="23" s="1"/>
  <c r="B53" i="23" s="1"/>
  <c r="D53" i="23" s="1"/>
  <c r="E53" i="23" s="1"/>
  <c r="F53" i="23" s="1"/>
  <c r="U57" i="23"/>
  <c r="T57" i="23" s="1"/>
  <c r="S57" i="23" s="1"/>
  <c r="R57" i="23" s="1"/>
  <c r="P57" i="23" s="1"/>
  <c r="V57" i="23" s="1"/>
  <c r="B57" i="23" s="1"/>
  <c r="U61" i="23"/>
  <c r="T61" i="23" s="1"/>
  <c r="S61" i="23" s="1"/>
  <c r="R61" i="23" s="1"/>
  <c r="P61" i="23" s="1"/>
  <c r="V61" i="23" s="1"/>
  <c r="B61" i="23" s="1"/>
  <c r="U65" i="23"/>
  <c r="T65" i="23" s="1"/>
  <c r="S65" i="23" s="1"/>
  <c r="R65" i="23" s="1"/>
  <c r="P65" i="23" s="1"/>
  <c r="V65" i="23" s="1"/>
  <c r="B65" i="23" s="1"/>
  <c r="U69" i="23"/>
  <c r="T69" i="23" s="1"/>
  <c r="S69" i="23" s="1"/>
  <c r="R69" i="23" s="1"/>
  <c r="P69" i="23" s="1"/>
  <c r="V69" i="23" s="1"/>
  <c r="B69" i="23" s="1"/>
  <c r="U73" i="23"/>
  <c r="T73" i="23" s="1"/>
  <c r="S73" i="23" s="1"/>
  <c r="R73" i="23" s="1"/>
  <c r="P73" i="23" s="1"/>
  <c r="V73" i="23" s="1"/>
  <c r="B73" i="23" s="1"/>
  <c r="U77" i="23"/>
  <c r="T77" i="23" s="1"/>
  <c r="U79" i="23"/>
  <c r="T79" i="23" s="1"/>
  <c r="S79" i="23" s="1"/>
  <c r="R79" i="23" s="1"/>
  <c r="P79" i="23" s="1"/>
  <c r="V79" i="23" s="1"/>
  <c r="B79" i="23" s="1"/>
  <c r="U81" i="23"/>
  <c r="T81" i="23" s="1"/>
  <c r="S81" i="23" s="1"/>
  <c r="R81" i="23" s="1"/>
  <c r="P81" i="23" s="1"/>
  <c r="V81" i="23" s="1"/>
  <c r="B81" i="23" s="1"/>
  <c r="U83" i="23"/>
  <c r="T83" i="23" s="1"/>
  <c r="S83" i="23" s="1"/>
  <c r="R83" i="23" s="1"/>
  <c r="P83" i="23" s="1"/>
  <c r="V83" i="23" s="1"/>
  <c r="B83" i="23" s="1"/>
  <c r="U85" i="23"/>
  <c r="T85" i="23" s="1"/>
  <c r="S85" i="23" s="1"/>
  <c r="R85" i="23" s="1"/>
  <c r="P85" i="23" s="1"/>
  <c r="V85" i="23" s="1"/>
  <c r="B85" i="23" s="1"/>
  <c r="U87" i="23"/>
  <c r="T87" i="23" s="1"/>
  <c r="S87" i="23" s="1"/>
  <c r="R87" i="23" s="1"/>
  <c r="P87" i="23" s="1"/>
  <c r="V87" i="23" s="1"/>
  <c r="B87" i="23" s="1"/>
  <c r="U89" i="23"/>
  <c r="T89" i="23" s="1"/>
  <c r="S89" i="23" s="1"/>
  <c r="R89" i="23" s="1"/>
  <c r="P89" i="23" s="1"/>
  <c r="V89" i="23" s="1"/>
  <c r="B89" i="23" s="1"/>
  <c r="U91" i="23"/>
  <c r="T91" i="23" s="1"/>
  <c r="S91" i="23" s="1"/>
  <c r="R91" i="23" s="1"/>
  <c r="P91" i="23" s="1"/>
  <c r="V91" i="23" s="1"/>
  <c r="B91" i="23" s="1"/>
  <c r="U93" i="23"/>
  <c r="T93" i="23" s="1"/>
  <c r="U95" i="23"/>
  <c r="T95" i="23" s="1"/>
  <c r="S95" i="23" s="1"/>
  <c r="R95" i="23" s="1"/>
  <c r="P95" i="23" s="1"/>
  <c r="V95" i="23" s="1"/>
  <c r="B95" i="23" s="1"/>
  <c r="U97" i="23"/>
  <c r="T97" i="23" s="1"/>
  <c r="S97" i="23" s="1"/>
  <c r="R97" i="23" s="1"/>
  <c r="P97" i="23" s="1"/>
  <c r="V97" i="23" s="1"/>
  <c r="B97" i="23" s="1"/>
  <c r="D97" i="23" s="1"/>
  <c r="E97" i="23" s="1"/>
  <c r="F97" i="23" s="1"/>
  <c r="U99" i="23"/>
  <c r="T99" i="23" s="1"/>
  <c r="S99" i="23" s="1"/>
  <c r="R99" i="23" s="1"/>
  <c r="P99" i="23" s="1"/>
  <c r="V99" i="23" s="1"/>
  <c r="B99" i="23" s="1"/>
  <c r="U101" i="23"/>
  <c r="T101" i="23" s="1"/>
  <c r="S101" i="23" s="1"/>
  <c r="R101" i="23" s="1"/>
  <c r="P101" i="23" s="1"/>
  <c r="V101" i="23" s="1"/>
  <c r="B101" i="23" s="1"/>
  <c r="W101" i="23" s="1"/>
  <c r="U103" i="23"/>
  <c r="T103" i="23" s="1"/>
  <c r="S103" i="23" s="1"/>
  <c r="R103" i="23" s="1"/>
  <c r="P103" i="23" s="1"/>
  <c r="V103" i="23" s="1"/>
  <c r="B103" i="23" s="1"/>
  <c r="U105" i="23"/>
  <c r="T105" i="23" s="1"/>
  <c r="S105" i="23" s="1"/>
  <c r="R105" i="23" s="1"/>
  <c r="P105" i="23" s="1"/>
  <c r="V105" i="23" s="1"/>
  <c r="B105" i="23" s="1"/>
  <c r="U107" i="23"/>
  <c r="T107" i="23" s="1"/>
  <c r="S107" i="23" s="1"/>
  <c r="R107" i="23" s="1"/>
  <c r="P107" i="23" s="1"/>
  <c r="V107" i="23" s="1"/>
  <c r="B107" i="23" s="1"/>
  <c r="U109" i="23"/>
  <c r="T109" i="23" s="1"/>
  <c r="S109" i="23" s="1"/>
  <c r="R109" i="23" s="1"/>
  <c r="P109" i="23" s="1"/>
  <c r="V109" i="23" s="1"/>
  <c r="B109" i="23" s="1"/>
  <c r="U111" i="23"/>
  <c r="T111" i="23" s="1"/>
  <c r="S111" i="23" s="1"/>
  <c r="R111" i="23" s="1"/>
  <c r="P111" i="23" s="1"/>
  <c r="V111" i="23" s="1"/>
  <c r="B111" i="23" s="1"/>
  <c r="U113" i="23"/>
  <c r="T113" i="23" s="1"/>
  <c r="S113" i="23" s="1"/>
  <c r="R113" i="23" s="1"/>
  <c r="P113" i="23" s="1"/>
  <c r="V113" i="23" s="1"/>
  <c r="B113" i="23" s="1"/>
  <c r="W113" i="23" s="1"/>
  <c r="U115" i="23"/>
  <c r="T115" i="23" s="1"/>
  <c r="S115" i="23" s="1"/>
  <c r="R115" i="23" s="1"/>
  <c r="P115" i="23" s="1"/>
  <c r="V115" i="23" s="1"/>
  <c r="B115" i="23" s="1"/>
  <c r="U117" i="23"/>
  <c r="T117" i="23" s="1"/>
  <c r="S117" i="23" s="1"/>
  <c r="R117" i="23" s="1"/>
  <c r="P117" i="23" s="1"/>
  <c r="V117" i="23" s="1"/>
  <c r="B117" i="23" s="1"/>
  <c r="U119" i="23"/>
  <c r="T119" i="23" s="1"/>
  <c r="S119" i="23" s="1"/>
  <c r="R119" i="23" s="1"/>
  <c r="P119" i="23" s="1"/>
  <c r="U121" i="23"/>
  <c r="T121" i="23" s="1"/>
  <c r="S121" i="23" s="1"/>
  <c r="R121" i="23" s="1"/>
  <c r="P121" i="23" s="1"/>
  <c r="V121" i="23" s="1"/>
  <c r="B121" i="23" s="1"/>
  <c r="U123" i="23"/>
  <c r="T123" i="23" s="1"/>
  <c r="S123" i="23" s="1"/>
  <c r="R123" i="23" s="1"/>
  <c r="P123" i="23" s="1"/>
  <c r="V123" i="23" s="1"/>
  <c r="B123" i="23" s="1"/>
  <c r="U125" i="23"/>
  <c r="T125" i="23" s="1"/>
  <c r="U127" i="23"/>
  <c r="T127" i="23" s="1"/>
  <c r="S127" i="23" s="1"/>
  <c r="R127" i="23" s="1"/>
  <c r="P127" i="23" s="1"/>
  <c r="V127" i="23" s="1"/>
  <c r="B127" i="23" s="1"/>
  <c r="U129" i="23"/>
  <c r="T129" i="23" s="1"/>
  <c r="S129" i="23" s="1"/>
  <c r="R129" i="23" s="1"/>
  <c r="P129" i="23" s="1"/>
  <c r="V129" i="23" s="1"/>
  <c r="B129" i="23" s="1"/>
  <c r="U131" i="23"/>
  <c r="T131" i="23" s="1"/>
  <c r="S131" i="23" s="1"/>
  <c r="R131" i="23" s="1"/>
  <c r="P131" i="23" s="1"/>
  <c r="V131" i="23" s="1"/>
  <c r="B131" i="23" s="1"/>
  <c r="U133" i="23"/>
  <c r="T133" i="23" s="1"/>
  <c r="S133" i="23" s="1"/>
  <c r="R133" i="23" s="1"/>
  <c r="P133" i="23" s="1"/>
  <c r="V133" i="23" s="1"/>
  <c r="B133" i="23" s="1"/>
  <c r="U135" i="23"/>
  <c r="T135" i="23" s="1"/>
  <c r="S135" i="23" s="1"/>
  <c r="R135" i="23" s="1"/>
  <c r="P135" i="23" s="1"/>
  <c r="V135" i="23" s="1"/>
  <c r="U137" i="23"/>
  <c r="T137" i="23" s="1"/>
  <c r="S137" i="23" s="1"/>
  <c r="R137" i="23" s="1"/>
  <c r="P137" i="23" s="1"/>
  <c r="V137" i="23" s="1"/>
  <c r="B137" i="23" s="1"/>
  <c r="D137" i="23" s="1"/>
  <c r="E137" i="23" s="1"/>
  <c r="F137" i="23" s="1"/>
  <c r="U139" i="23"/>
  <c r="T139" i="23" s="1"/>
  <c r="S139" i="23" s="1"/>
  <c r="R139" i="23" s="1"/>
  <c r="P139" i="23" s="1"/>
  <c r="V139" i="23" s="1"/>
  <c r="B139" i="23" s="1"/>
  <c r="U141" i="23"/>
  <c r="T141" i="23" s="1"/>
  <c r="S141" i="23" s="1"/>
  <c r="R141" i="23" s="1"/>
  <c r="P141" i="23" s="1"/>
  <c r="V141" i="23" s="1"/>
  <c r="B141" i="23" s="1"/>
  <c r="U143" i="23"/>
  <c r="T143" i="23" s="1"/>
  <c r="S143" i="23" s="1"/>
  <c r="R143" i="23" s="1"/>
  <c r="P143" i="23" s="1"/>
  <c r="V143" i="23" s="1"/>
  <c r="B143" i="23" s="1"/>
  <c r="W143" i="23" s="1"/>
  <c r="U145" i="23"/>
  <c r="T145" i="23" s="1"/>
  <c r="U147" i="23"/>
  <c r="T147" i="23" s="1"/>
  <c r="U149" i="23"/>
  <c r="T149" i="23" s="1"/>
  <c r="U151" i="23"/>
  <c r="T151" i="23" s="1"/>
  <c r="U153" i="23"/>
  <c r="T153" i="23" s="1"/>
  <c r="S153" i="23" s="1"/>
  <c r="R153" i="23" s="1"/>
  <c r="P153" i="23" s="1"/>
  <c r="V153" i="23" s="1"/>
  <c r="B153" i="23" s="1"/>
  <c r="W153" i="23" s="1"/>
  <c r="U155" i="23"/>
  <c r="T155" i="23" s="1"/>
  <c r="S155" i="23" s="1"/>
  <c r="R155" i="23" s="1"/>
  <c r="P155" i="23" s="1"/>
  <c r="V155" i="23" s="1"/>
  <c r="B155" i="23" s="1"/>
  <c r="U157" i="23"/>
  <c r="T157" i="23" s="1"/>
  <c r="U159" i="23"/>
  <c r="T159" i="23" s="1"/>
  <c r="S159" i="23" s="1"/>
  <c r="R159" i="23" s="1"/>
  <c r="P159" i="23" s="1"/>
  <c r="V159" i="23" s="1"/>
  <c r="B159" i="23" s="1"/>
  <c r="D159" i="23" s="1"/>
  <c r="E159" i="23" s="1"/>
  <c r="F159" i="23" s="1"/>
  <c r="U161" i="23"/>
  <c r="T161" i="23" s="1"/>
  <c r="S161" i="23" s="1"/>
  <c r="R161" i="23" s="1"/>
  <c r="P161" i="23" s="1"/>
  <c r="V161" i="23" s="1"/>
  <c r="B161" i="23" s="1"/>
  <c r="U163" i="23"/>
  <c r="T163" i="23" s="1"/>
  <c r="S163" i="23" s="1"/>
  <c r="R163" i="23" s="1"/>
  <c r="P163" i="23" s="1"/>
  <c r="V163" i="23" s="1"/>
  <c r="B163" i="23" s="1"/>
  <c r="U165" i="23"/>
  <c r="T165" i="23" s="1"/>
  <c r="S165" i="23" s="1"/>
  <c r="R165" i="23" s="1"/>
  <c r="P165" i="23" s="1"/>
  <c r="V165" i="23" s="1"/>
  <c r="B165" i="23" s="1"/>
  <c r="U167" i="23"/>
  <c r="T167" i="23" s="1"/>
  <c r="S167" i="23" s="1"/>
  <c r="R167" i="23" s="1"/>
  <c r="P167" i="23" s="1"/>
  <c r="V167" i="23" s="1"/>
  <c r="B167" i="23" s="1"/>
  <c r="U169" i="23"/>
  <c r="T169" i="23" s="1"/>
  <c r="S169" i="23" s="1"/>
  <c r="R169" i="23" s="1"/>
  <c r="P169" i="23" s="1"/>
  <c r="V169" i="23" s="1"/>
  <c r="B169" i="23" s="1"/>
  <c r="U171" i="23"/>
  <c r="T171" i="23" s="1"/>
  <c r="S171" i="23" s="1"/>
  <c r="R171" i="23" s="1"/>
  <c r="P171" i="23" s="1"/>
  <c r="V171" i="23" s="1"/>
  <c r="B171" i="23" s="1"/>
  <c r="U173" i="23"/>
  <c r="T173" i="23" s="1"/>
  <c r="U175" i="23"/>
  <c r="T175" i="23" s="1"/>
  <c r="S175" i="23" s="1"/>
  <c r="R175" i="23" s="1"/>
  <c r="P175" i="23" s="1"/>
  <c r="V175" i="23" s="1"/>
  <c r="B175" i="23" s="1"/>
  <c r="U177" i="23"/>
  <c r="T177" i="23" s="1"/>
  <c r="S177" i="23" s="1"/>
  <c r="R177" i="23" s="1"/>
  <c r="P177" i="23" s="1"/>
  <c r="V177" i="23" s="1"/>
  <c r="B177" i="23" s="1"/>
  <c r="U179" i="23"/>
  <c r="T179" i="23" s="1"/>
  <c r="S179" i="23" s="1"/>
  <c r="R179" i="23" s="1"/>
  <c r="P179" i="23" s="1"/>
  <c r="V179" i="23" s="1"/>
  <c r="B179" i="23" s="1"/>
  <c r="U181" i="23"/>
  <c r="T181" i="23" s="1"/>
  <c r="S181" i="23" s="1"/>
  <c r="R181" i="23" s="1"/>
  <c r="P181" i="23" s="1"/>
  <c r="V181" i="23" s="1"/>
  <c r="B181" i="23" s="1"/>
  <c r="U183" i="23"/>
  <c r="T183" i="23" s="1"/>
  <c r="S183" i="23" s="1"/>
  <c r="R183" i="23" s="1"/>
  <c r="P183" i="23" s="1"/>
  <c r="V183" i="23" s="1"/>
  <c r="B183" i="23" s="1"/>
  <c r="W183" i="23" s="1"/>
  <c r="U185" i="23"/>
  <c r="T185" i="23" s="1"/>
  <c r="S185" i="23" s="1"/>
  <c r="R185" i="23" s="1"/>
  <c r="P185" i="23" s="1"/>
  <c r="V185" i="23" s="1"/>
  <c r="B185" i="23" s="1"/>
  <c r="U187" i="23"/>
  <c r="T187" i="23" s="1"/>
  <c r="S187" i="23" s="1"/>
  <c r="R187" i="23" s="1"/>
  <c r="P187" i="23" s="1"/>
  <c r="V187" i="23" s="1"/>
  <c r="B187" i="23" s="1"/>
  <c r="U189" i="23"/>
  <c r="T189" i="23" s="1"/>
  <c r="U191" i="23"/>
  <c r="T191" i="23" s="1"/>
  <c r="S191" i="23" s="1"/>
  <c r="R191" i="23" s="1"/>
  <c r="P191" i="23" s="1"/>
  <c r="V191" i="23" s="1"/>
  <c r="B191" i="23" s="1"/>
  <c r="U193" i="23"/>
  <c r="T193" i="23" s="1"/>
  <c r="S193" i="23" s="1"/>
  <c r="R193" i="23" s="1"/>
  <c r="P193" i="23" s="1"/>
  <c r="V193" i="23" s="1"/>
  <c r="B193" i="23" s="1"/>
  <c r="U195" i="23"/>
  <c r="T195" i="23" s="1"/>
  <c r="S195" i="23" s="1"/>
  <c r="R195" i="23" s="1"/>
  <c r="P195" i="23" s="1"/>
  <c r="V195" i="23" s="1"/>
  <c r="B195" i="23" s="1"/>
  <c r="D195" i="23" s="1"/>
  <c r="E195" i="23" s="1"/>
  <c r="F195" i="23" s="1"/>
  <c r="U197" i="23"/>
  <c r="T197" i="23" s="1"/>
  <c r="S197" i="23" s="1"/>
  <c r="R197" i="23" s="1"/>
  <c r="P197" i="23" s="1"/>
  <c r="V197" i="23" s="1"/>
  <c r="B197" i="23" s="1"/>
  <c r="U199" i="23"/>
  <c r="T199" i="23" s="1"/>
  <c r="S199" i="23" s="1"/>
  <c r="R199" i="23" s="1"/>
  <c r="P199" i="23" s="1"/>
  <c r="V199" i="23" s="1"/>
  <c r="B199" i="23" s="1"/>
  <c r="U201" i="23"/>
  <c r="T201" i="23" s="1"/>
  <c r="S201" i="23" s="1"/>
  <c r="R201" i="23" s="1"/>
  <c r="P201" i="23" s="1"/>
  <c r="V201" i="23" s="1"/>
  <c r="B201" i="23" s="1"/>
  <c r="U203" i="23"/>
  <c r="T203" i="23" s="1"/>
  <c r="S203" i="23" s="1"/>
  <c r="R203" i="23" s="1"/>
  <c r="P203" i="23" s="1"/>
  <c r="V203" i="23" s="1"/>
  <c r="B203" i="23" s="1"/>
  <c r="U205" i="23"/>
  <c r="T205" i="23" s="1"/>
  <c r="U207" i="23"/>
  <c r="T207" i="23" s="1"/>
  <c r="S207" i="23" s="1"/>
  <c r="R207" i="23" s="1"/>
  <c r="P207" i="23" s="1"/>
  <c r="V207" i="23" s="1"/>
  <c r="B207" i="23" s="1"/>
  <c r="U209" i="23"/>
  <c r="T209" i="23" s="1"/>
  <c r="S209" i="23" s="1"/>
  <c r="R209" i="23" s="1"/>
  <c r="P209" i="23" s="1"/>
  <c r="V209" i="23" s="1"/>
  <c r="B209" i="23" s="1"/>
  <c r="U211" i="23"/>
  <c r="T211" i="23" s="1"/>
  <c r="S211" i="23" s="1"/>
  <c r="R211" i="23" s="1"/>
  <c r="P211" i="23" s="1"/>
  <c r="V211" i="23" s="1"/>
  <c r="B211" i="23" s="1"/>
  <c r="U213" i="23"/>
  <c r="T213" i="23" s="1"/>
  <c r="S213" i="23" s="1"/>
  <c r="R213" i="23" s="1"/>
  <c r="P213" i="23" s="1"/>
  <c r="V213" i="23" s="1"/>
  <c r="B213" i="23" s="1"/>
  <c r="U215" i="23"/>
  <c r="T215" i="23" s="1"/>
  <c r="S215" i="23" s="1"/>
  <c r="R215" i="23" s="1"/>
  <c r="P215" i="23" s="1"/>
  <c r="V215" i="23" s="1"/>
  <c r="B215" i="23" s="1"/>
  <c r="U217" i="23"/>
  <c r="T217" i="23" s="1"/>
  <c r="S217" i="23" s="1"/>
  <c r="R217" i="23" s="1"/>
  <c r="P217" i="23" s="1"/>
  <c r="V217" i="23" s="1"/>
  <c r="B217" i="23" s="1"/>
  <c r="U219" i="23"/>
  <c r="T219" i="23" s="1"/>
  <c r="S219" i="23" s="1"/>
  <c r="R219" i="23" s="1"/>
  <c r="P219" i="23" s="1"/>
  <c r="V219" i="23" s="1"/>
  <c r="B219" i="23" s="1"/>
  <c r="U221" i="23"/>
  <c r="T221" i="23" s="1"/>
  <c r="U223" i="23"/>
  <c r="T223" i="23" s="1"/>
  <c r="S223" i="23" s="1"/>
  <c r="R223" i="23" s="1"/>
  <c r="P223" i="23" s="1"/>
  <c r="V223" i="23" s="1"/>
  <c r="B223" i="23" s="1"/>
  <c r="U225" i="23"/>
  <c r="T225" i="23" s="1"/>
  <c r="S225" i="23" s="1"/>
  <c r="R225" i="23" s="1"/>
  <c r="P225" i="23" s="1"/>
  <c r="V225" i="23" s="1"/>
  <c r="B225" i="23" s="1"/>
  <c r="D225" i="23" s="1"/>
  <c r="E225" i="23" s="1"/>
  <c r="F225" i="23" s="1"/>
  <c r="U227" i="23"/>
  <c r="T227" i="23" s="1"/>
  <c r="S227" i="23" s="1"/>
  <c r="R227" i="23" s="1"/>
  <c r="P227" i="23" s="1"/>
  <c r="V227" i="23" s="1"/>
  <c r="B227" i="23" s="1"/>
  <c r="U229" i="23"/>
  <c r="T229" i="23" s="1"/>
  <c r="S229" i="23" s="1"/>
  <c r="R229" i="23" s="1"/>
  <c r="P229" i="23" s="1"/>
  <c r="V229" i="23" s="1"/>
  <c r="B229" i="23" s="1"/>
  <c r="U231" i="23"/>
  <c r="T231" i="23" s="1"/>
  <c r="S231" i="23" s="1"/>
  <c r="R231" i="23" s="1"/>
  <c r="P231" i="23" s="1"/>
  <c r="V231" i="23" s="1"/>
  <c r="B231" i="23" s="1"/>
  <c r="U233" i="23"/>
  <c r="T233" i="23" s="1"/>
  <c r="S233" i="23" s="1"/>
  <c r="R233" i="23" s="1"/>
  <c r="P233" i="23" s="1"/>
  <c r="V233" i="23" s="1"/>
  <c r="B233" i="23" s="1"/>
  <c r="U235" i="23"/>
  <c r="T235" i="23" s="1"/>
  <c r="S235" i="23" s="1"/>
  <c r="R235" i="23" s="1"/>
  <c r="P235" i="23" s="1"/>
  <c r="V235" i="23" s="1"/>
  <c r="B235" i="23" s="1"/>
  <c r="U237" i="23"/>
  <c r="T237" i="23" s="1"/>
  <c r="S237" i="23" s="1"/>
  <c r="R237" i="23" s="1"/>
  <c r="P237" i="23" s="1"/>
  <c r="V237" i="23" s="1"/>
  <c r="B237" i="23" s="1"/>
  <c r="U239" i="23"/>
  <c r="T239" i="23" s="1"/>
  <c r="S239" i="23" s="1"/>
  <c r="R239" i="23" s="1"/>
  <c r="P239" i="23" s="1"/>
  <c r="V239" i="23" s="1"/>
  <c r="B239" i="23" s="1"/>
  <c r="D239" i="23" s="1"/>
  <c r="E239" i="23" s="1"/>
  <c r="F239" i="23" s="1"/>
  <c r="U241" i="23"/>
  <c r="T241" i="23" s="1"/>
  <c r="U243" i="23"/>
  <c r="T243" i="23" s="1"/>
  <c r="S243" i="23" s="1"/>
  <c r="R243" i="23" s="1"/>
  <c r="P243" i="23" s="1"/>
  <c r="V243" i="23" s="1"/>
  <c r="B243" i="23" s="1"/>
  <c r="U245" i="23"/>
  <c r="T245" i="23" s="1"/>
  <c r="S245" i="23" s="1"/>
  <c r="R245" i="23" s="1"/>
  <c r="P245" i="23" s="1"/>
  <c r="V245" i="23" s="1"/>
  <c r="B245" i="23" s="1"/>
  <c r="U247" i="23"/>
  <c r="T247" i="23" s="1"/>
  <c r="S247" i="23" s="1"/>
  <c r="R247" i="23" s="1"/>
  <c r="P247" i="23" s="1"/>
  <c r="V247" i="23" s="1"/>
  <c r="B247" i="23" s="1"/>
  <c r="U249" i="23"/>
  <c r="T249" i="23" s="1"/>
  <c r="S249" i="23" s="1"/>
  <c r="R249" i="23" s="1"/>
  <c r="P249" i="23" s="1"/>
  <c r="V249" i="23" s="1"/>
  <c r="B249" i="23" s="1"/>
  <c r="U251" i="23"/>
  <c r="T251" i="23" s="1"/>
  <c r="S251" i="23" s="1"/>
  <c r="R251" i="23" s="1"/>
  <c r="P251" i="23" s="1"/>
  <c r="V251" i="23" s="1"/>
  <c r="B251" i="23" s="1"/>
  <c r="W251" i="23" s="1"/>
  <c r="U253" i="23"/>
  <c r="T253" i="23" s="1"/>
  <c r="S253" i="23" s="1"/>
  <c r="R253" i="23" s="1"/>
  <c r="P253" i="23" s="1"/>
  <c r="V253" i="23" s="1"/>
  <c r="B253" i="23" s="1"/>
  <c r="U255" i="23"/>
  <c r="T255" i="23" s="1"/>
  <c r="S255" i="23" s="1"/>
  <c r="R255" i="23" s="1"/>
  <c r="P255" i="23" s="1"/>
  <c r="V255" i="23" s="1"/>
  <c r="B255" i="23" s="1"/>
  <c r="U257" i="23"/>
  <c r="T257" i="23" s="1"/>
  <c r="S257" i="23" s="1"/>
  <c r="R257" i="23" s="1"/>
  <c r="P257" i="23" s="1"/>
  <c r="V257" i="23" s="1"/>
  <c r="B257" i="23" s="1"/>
  <c r="W257" i="23" s="1"/>
  <c r="U259" i="23"/>
  <c r="T259" i="23" s="1"/>
  <c r="S259" i="23" s="1"/>
  <c r="R259" i="23" s="1"/>
  <c r="P259" i="23" s="1"/>
  <c r="V259" i="23" s="1"/>
  <c r="B259" i="23" s="1"/>
  <c r="U261" i="23"/>
  <c r="T261" i="23" s="1"/>
  <c r="U263" i="23"/>
  <c r="T263" i="23" s="1"/>
  <c r="S263" i="23" s="1"/>
  <c r="R263" i="23" s="1"/>
  <c r="P263" i="23" s="1"/>
  <c r="V263" i="23" s="1"/>
  <c r="B263" i="23" s="1"/>
  <c r="U265" i="23"/>
  <c r="T265" i="23" s="1"/>
  <c r="S265" i="23" s="1"/>
  <c r="R265" i="23" s="1"/>
  <c r="P265" i="23" s="1"/>
  <c r="V265" i="23" s="1"/>
  <c r="B265" i="23" s="1"/>
  <c r="U267" i="23"/>
  <c r="T267" i="23" s="1"/>
  <c r="S267" i="23" s="1"/>
  <c r="R267" i="23" s="1"/>
  <c r="P267" i="23" s="1"/>
  <c r="V267" i="23" s="1"/>
  <c r="B267" i="23" s="1"/>
  <c r="U269" i="23"/>
  <c r="T269" i="23" s="1"/>
  <c r="S269" i="23" s="1"/>
  <c r="R269" i="23" s="1"/>
  <c r="P269" i="23" s="1"/>
  <c r="V269" i="23" s="1"/>
  <c r="B269" i="23" s="1"/>
  <c r="U271" i="23"/>
  <c r="T271" i="23" s="1"/>
  <c r="S271" i="23" s="1"/>
  <c r="R271" i="23" s="1"/>
  <c r="P271" i="23" s="1"/>
  <c r="V271" i="23" s="1"/>
  <c r="B271" i="23" s="1"/>
  <c r="U273" i="23"/>
  <c r="T273" i="23" s="1"/>
  <c r="S273" i="23" s="1"/>
  <c r="R273" i="23" s="1"/>
  <c r="P273" i="23" s="1"/>
  <c r="V273" i="23" s="1"/>
  <c r="B273" i="23" s="1"/>
  <c r="U275" i="23"/>
  <c r="T275" i="23" s="1"/>
  <c r="S275" i="23" s="1"/>
  <c r="R275" i="23" s="1"/>
  <c r="P275" i="23" s="1"/>
  <c r="V275" i="23" s="1"/>
  <c r="B275" i="23" s="1"/>
  <c r="U277" i="23"/>
  <c r="T277" i="23" s="1"/>
  <c r="U279" i="23"/>
  <c r="T279" i="23" s="1"/>
  <c r="S279" i="23" s="1"/>
  <c r="R279" i="23" s="1"/>
  <c r="P279" i="23" s="1"/>
  <c r="V279" i="23" s="1"/>
  <c r="B279" i="23" s="1"/>
  <c r="U281" i="23"/>
  <c r="T281" i="23" s="1"/>
  <c r="S281" i="23" s="1"/>
  <c r="R281" i="23" s="1"/>
  <c r="P281" i="23" s="1"/>
  <c r="V281" i="23" s="1"/>
  <c r="B281" i="23" s="1"/>
  <c r="U283" i="23"/>
  <c r="T283" i="23" s="1"/>
  <c r="S283" i="23" s="1"/>
  <c r="R283" i="23" s="1"/>
  <c r="P283" i="23" s="1"/>
  <c r="V283" i="23" s="1"/>
  <c r="B283" i="23" s="1"/>
  <c r="U285" i="23"/>
  <c r="T285" i="23" s="1"/>
  <c r="S285" i="23" s="1"/>
  <c r="R285" i="23" s="1"/>
  <c r="P285" i="23" s="1"/>
  <c r="V285" i="23" s="1"/>
  <c r="B285" i="23" s="1"/>
  <c r="U287" i="23"/>
  <c r="T287" i="23" s="1"/>
  <c r="S287" i="23" s="1"/>
  <c r="R287" i="23" s="1"/>
  <c r="P287" i="23" s="1"/>
  <c r="V287" i="23" s="1"/>
  <c r="B287" i="23" s="1"/>
  <c r="U289" i="23"/>
  <c r="T289" i="23" s="1"/>
  <c r="S289" i="23" s="1"/>
  <c r="R289" i="23" s="1"/>
  <c r="P289" i="23" s="1"/>
  <c r="V289" i="23" s="1"/>
  <c r="B289" i="23" s="1"/>
  <c r="U291" i="23"/>
  <c r="T291" i="23" s="1"/>
  <c r="S291" i="23" s="1"/>
  <c r="R291" i="23" s="1"/>
  <c r="P291" i="23" s="1"/>
  <c r="V291" i="23" s="1"/>
  <c r="B291" i="23" s="1"/>
  <c r="U293" i="23"/>
  <c r="T293" i="23" s="1"/>
  <c r="U295" i="23"/>
  <c r="T295" i="23" s="1"/>
  <c r="S295" i="23" s="1"/>
  <c r="R295" i="23" s="1"/>
  <c r="P295" i="23" s="1"/>
  <c r="V295" i="23" s="1"/>
  <c r="B295" i="23" s="1"/>
  <c r="W295" i="23" s="1"/>
  <c r="U297" i="23"/>
  <c r="T297" i="23" s="1"/>
  <c r="S297" i="23" s="1"/>
  <c r="R297" i="23" s="1"/>
  <c r="P297" i="23" s="1"/>
  <c r="V297" i="23" s="1"/>
  <c r="B297" i="23" s="1"/>
  <c r="D297" i="23" s="1"/>
  <c r="E297" i="23" s="1"/>
  <c r="F297" i="23" s="1"/>
  <c r="U299" i="23"/>
  <c r="T299" i="23" s="1"/>
  <c r="S299" i="23" s="1"/>
  <c r="R299" i="23" s="1"/>
  <c r="P299" i="23" s="1"/>
  <c r="V299" i="23" s="1"/>
  <c r="B299" i="23" s="1"/>
  <c r="W299" i="23" s="1"/>
  <c r="U301" i="23"/>
  <c r="T301" i="23" s="1"/>
  <c r="S301" i="23" s="1"/>
  <c r="R301" i="23" s="1"/>
  <c r="P301" i="23" s="1"/>
  <c r="V301" i="23" s="1"/>
  <c r="B301" i="23" s="1"/>
  <c r="U303" i="23"/>
  <c r="T303" i="23" s="1"/>
  <c r="S303" i="23" s="1"/>
  <c r="R303" i="23" s="1"/>
  <c r="P303" i="23" s="1"/>
  <c r="V303" i="23" s="1"/>
  <c r="B303" i="23" s="1"/>
  <c r="U305" i="23"/>
  <c r="T305" i="23" s="1"/>
  <c r="S305" i="23" s="1"/>
  <c r="R305" i="23" s="1"/>
  <c r="P305" i="23" s="1"/>
  <c r="V305" i="23" s="1"/>
  <c r="B305" i="23" s="1"/>
  <c r="U307" i="23"/>
  <c r="T307" i="23" s="1"/>
  <c r="S307" i="23" s="1"/>
  <c r="R307" i="23" s="1"/>
  <c r="P307" i="23" s="1"/>
  <c r="V307" i="23" s="1"/>
  <c r="B307" i="23" s="1"/>
  <c r="U309" i="23"/>
  <c r="T309" i="23" s="1"/>
  <c r="S309" i="23" s="1"/>
  <c r="R309" i="23" s="1"/>
  <c r="P309" i="23" s="1"/>
  <c r="V309" i="23" s="1"/>
  <c r="B309" i="23" s="1"/>
  <c r="U311" i="23"/>
  <c r="T311" i="23" s="1"/>
  <c r="S311" i="23" s="1"/>
  <c r="R311" i="23" s="1"/>
  <c r="P311" i="23" s="1"/>
  <c r="V311" i="23" s="1"/>
  <c r="B311" i="23" s="1"/>
  <c r="U313" i="23"/>
  <c r="T313" i="23" s="1"/>
  <c r="U315" i="23"/>
  <c r="T315" i="23" s="1"/>
  <c r="S315" i="23" s="1"/>
  <c r="R315" i="23" s="1"/>
  <c r="P315" i="23" s="1"/>
  <c r="V315" i="23" s="1"/>
  <c r="B315" i="23" s="1"/>
  <c r="U317" i="23"/>
  <c r="T317" i="23" s="1"/>
  <c r="S317" i="23" s="1"/>
  <c r="R317" i="23" s="1"/>
  <c r="P317" i="23" s="1"/>
  <c r="V317" i="23" s="1"/>
  <c r="B317" i="23" s="1"/>
  <c r="U319" i="23"/>
  <c r="T319" i="23" s="1"/>
  <c r="S319" i="23" s="1"/>
  <c r="R319" i="23" s="1"/>
  <c r="P319" i="23" s="1"/>
  <c r="V319" i="23" s="1"/>
  <c r="U321" i="23"/>
  <c r="T321" i="23" s="1"/>
  <c r="S321" i="23" s="1"/>
  <c r="R321" i="23" s="1"/>
  <c r="P321" i="23" s="1"/>
  <c r="V321" i="23" s="1"/>
  <c r="B321" i="23" s="1"/>
  <c r="W321" i="23" s="1"/>
  <c r="U323" i="23"/>
  <c r="T323" i="23" s="1"/>
  <c r="S323" i="23" s="1"/>
  <c r="R323" i="23" s="1"/>
  <c r="P323" i="23" s="1"/>
  <c r="V323" i="23" s="1"/>
  <c r="B323" i="23" s="1"/>
  <c r="U325" i="23"/>
  <c r="T325" i="23" s="1"/>
  <c r="S325" i="23" s="1"/>
  <c r="R325" i="23" s="1"/>
  <c r="P325" i="23" s="1"/>
  <c r="V325" i="23" s="1"/>
  <c r="B325" i="23" s="1"/>
  <c r="W325" i="23" s="1"/>
  <c r="U327" i="23"/>
  <c r="T327" i="23" s="1"/>
  <c r="S327" i="23" s="1"/>
  <c r="R327" i="23" s="1"/>
  <c r="P327" i="23" s="1"/>
  <c r="V327" i="23" s="1"/>
  <c r="B327" i="23" s="1"/>
  <c r="U329" i="23"/>
  <c r="T329" i="23" s="1"/>
  <c r="S329" i="23" s="1"/>
  <c r="R329" i="23" s="1"/>
  <c r="P329" i="23" s="1"/>
  <c r="V329" i="23" s="1"/>
  <c r="B329" i="23" s="1"/>
  <c r="U331" i="23"/>
  <c r="T331" i="23" s="1"/>
  <c r="S331" i="23" s="1"/>
  <c r="R331" i="23" s="1"/>
  <c r="P331" i="23" s="1"/>
  <c r="V331" i="23" s="1"/>
  <c r="B331" i="23" s="1"/>
  <c r="Q365" i="24"/>
  <c r="Q349" i="24"/>
  <c r="Q333" i="24"/>
  <c r="Q317" i="24"/>
  <c r="Q301" i="24"/>
  <c r="Q285" i="24"/>
  <c r="Q269" i="24"/>
  <c r="Q253" i="24"/>
  <c r="Q237" i="24"/>
  <c r="Q215" i="24"/>
  <c r="Q183" i="24"/>
  <c r="Q151" i="24"/>
  <c r="Q19" i="24"/>
  <c r="Q67" i="24"/>
  <c r="Q87" i="24"/>
  <c r="Q103" i="24"/>
  <c r="Q119" i="24"/>
  <c r="Q135" i="24"/>
  <c r="Q147" i="24"/>
  <c r="Q155" i="24"/>
  <c r="Q163" i="24"/>
  <c r="Q171" i="24"/>
  <c r="Q179" i="24"/>
  <c r="Q187" i="24"/>
  <c r="Q195" i="24"/>
  <c r="Q203" i="24"/>
  <c r="Q211" i="24"/>
  <c r="Q219" i="24"/>
  <c r="Q227" i="24"/>
  <c r="Q231" i="24"/>
  <c r="Q235" i="24"/>
  <c r="Q239" i="24"/>
  <c r="Q243" i="24"/>
  <c r="Q247" i="24"/>
  <c r="Q251" i="24"/>
  <c r="Q255" i="24"/>
  <c r="Q259" i="24"/>
  <c r="Q263" i="24"/>
  <c r="Q267" i="24"/>
  <c r="Q271" i="24"/>
  <c r="Q275" i="24"/>
  <c r="Q279" i="24"/>
  <c r="Q283" i="24"/>
  <c r="Q287" i="24"/>
  <c r="Q291" i="24"/>
  <c r="Q295" i="24"/>
  <c r="Q299" i="24"/>
  <c r="Q303" i="24"/>
  <c r="Q307" i="24"/>
  <c r="Q311" i="24"/>
  <c r="Q315" i="24"/>
  <c r="Q319" i="24"/>
  <c r="Q323" i="24"/>
  <c r="Q327" i="24"/>
  <c r="Q331" i="24"/>
  <c r="Q335" i="24"/>
  <c r="Q339" i="24"/>
  <c r="Q343" i="24"/>
  <c r="Q347" i="24"/>
  <c r="Q351" i="24"/>
  <c r="Q355" i="24"/>
  <c r="Q359" i="24"/>
  <c r="Q363" i="24"/>
  <c r="Q367" i="24"/>
  <c r="Q371" i="24"/>
  <c r="Q375" i="24"/>
  <c r="Q379" i="24"/>
  <c r="Q79" i="24"/>
  <c r="Q111" i="24"/>
  <c r="Q143" i="24"/>
  <c r="Q159" i="24"/>
  <c r="Q175" i="24"/>
  <c r="Q191" i="24"/>
  <c r="Q207" i="24"/>
  <c r="Q223" i="24"/>
  <c r="Q233" i="24"/>
  <c r="Q241" i="24"/>
  <c r="Q249" i="24"/>
  <c r="Q257" i="24"/>
  <c r="Q265" i="24"/>
  <c r="Q273" i="24"/>
  <c r="Q281" i="24"/>
  <c r="Q289" i="24"/>
  <c r="Q297" i="24"/>
  <c r="Q305" i="24"/>
  <c r="Q313" i="24"/>
  <c r="Q321" i="24"/>
  <c r="Q329" i="24"/>
  <c r="Q337" i="24"/>
  <c r="Q345" i="24"/>
  <c r="Q353" i="24"/>
  <c r="Q361" i="24"/>
  <c r="Q369" i="24"/>
  <c r="Q377" i="24"/>
  <c r="Q139" i="24"/>
  <c r="Q131" i="24"/>
  <c r="Q123" i="24"/>
  <c r="Q115" i="24"/>
  <c r="Q107" i="24"/>
  <c r="Q99" i="24"/>
  <c r="Q91" i="24"/>
  <c r="Q83" i="24"/>
  <c r="Q75" i="24"/>
  <c r="Q59" i="24"/>
  <c r="AJ8" i="18"/>
  <c r="AJ7" i="18"/>
  <c r="W380" i="22"/>
  <c r="Q71" i="24"/>
  <c r="Q63" i="24"/>
  <c r="Q50" i="24"/>
  <c r="Q55" i="24"/>
  <c r="Q42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6" i="24"/>
  <c r="Q34" i="24"/>
  <c r="W75" i="22"/>
  <c r="Q38" i="24"/>
  <c r="Q30" i="24"/>
  <c r="Q2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8" i="24"/>
  <c r="Q66" i="24"/>
  <c r="Q64" i="24"/>
  <c r="Q62" i="24"/>
  <c r="Q60" i="24"/>
  <c r="Q58" i="24"/>
  <c r="Q56" i="24"/>
  <c r="Q54" i="24"/>
  <c r="Q52" i="24"/>
  <c r="Q48" i="24"/>
  <c r="Q44" i="24"/>
  <c r="Q40" i="24"/>
  <c r="Q36" i="24"/>
  <c r="Q32" i="24"/>
  <c r="Q28" i="24"/>
  <c r="Q24" i="24"/>
  <c r="B320" i="23"/>
  <c r="W320" i="23" s="1"/>
  <c r="H67" i="19"/>
  <c r="Q51" i="24"/>
  <c r="Q49" i="24"/>
  <c r="Q47" i="24"/>
  <c r="Q45" i="24"/>
  <c r="Q43" i="24"/>
  <c r="Q41" i="24"/>
  <c r="Q39" i="24"/>
  <c r="Q37" i="24"/>
  <c r="Q35" i="24"/>
  <c r="Q33" i="24"/>
  <c r="Q31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J74" i="22"/>
  <c r="I74" i="22"/>
  <c r="I20" i="22"/>
  <c r="J20" i="22"/>
  <c r="I25" i="22"/>
  <c r="J25" i="22"/>
  <c r="I97" i="22"/>
  <c r="J97" i="22"/>
  <c r="J133" i="22"/>
  <c r="I133" i="22"/>
  <c r="J165" i="22"/>
  <c r="I165" i="22"/>
  <c r="J181" i="22"/>
  <c r="I181" i="22"/>
  <c r="I249" i="22"/>
  <c r="J249" i="22"/>
  <c r="J293" i="22"/>
  <c r="I293" i="22"/>
  <c r="AA309" i="22"/>
  <c r="Z309" i="22" s="1"/>
  <c r="Y309" i="22" s="1"/>
  <c r="G309" i="22"/>
  <c r="CC309" i="6" s="1"/>
  <c r="H309" i="22"/>
  <c r="G341" i="22"/>
  <c r="CC341" i="6" s="1"/>
  <c r="AA341" i="22"/>
  <c r="Z341" i="22" s="1"/>
  <c r="Y341" i="22" s="1"/>
  <c r="H341" i="22"/>
  <c r="G357" i="22"/>
  <c r="CC357" i="6" s="1"/>
  <c r="AA357" i="22"/>
  <c r="Z357" i="22" s="1"/>
  <c r="Y357" i="22" s="1"/>
  <c r="H357" i="22"/>
  <c r="I69" i="22"/>
  <c r="J69" i="22"/>
  <c r="I173" i="22"/>
  <c r="J173" i="22"/>
  <c r="I177" i="22"/>
  <c r="J177" i="22"/>
  <c r="J197" i="22"/>
  <c r="I197" i="22"/>
  <c r="I221" i="22"/>
  <c r="J221" i="22"/>
  <c r="J233" i="22"/>
  <c r="I233" i="22"/>
  <c r="G237" i="22"/>
  <c r="CC237" i="6" s="1"/>
  <c r="H237" i="22"/>
  <c r="AA237" i="22"/>
  <c r="Z237" i="22" s="1"/>
  <c r="Y237" i="22" s="1"/>
  <c r="H245" i="22"/>
  <c r="G245" i="22"/>
  <c r="CC245" i="6" s="1"/>
  <c r="AA245" i="22"/>
  <c r="Z245" i="22" s="1"/>
  <c r="Y245" i="22" s="1"/>
  <c r="I253" i="22"/>
  <c r="J253" i="22"/>
  <c r="I265" i="22"/>
  <c r="J265" i="22"/>
  <c r="J277" i="22"/>
  <c r="I277" i="22"/>
  <c r="I285" i="22"/>
  <c r="J285" i="22"/>
  <c r="I289" i="22"/>
  <c r="J289" i="22"/>
  <c r="G317" i="22"/>
  <c r="CC317" i="6" s="1"/>
  <c r="H317" i="22"/>
  <c r="AA317" i="22"/>
  <c r="Z317" i="22" s="1"/>
  <c r="Y317" i="22" s="1"/>
  <c r="I329" i="22"/>
  <c r="J329" i="22"/>
  <c r="G361" i="22"/>
  <c r="CC361" i="6" s="1"/>
  <c r="AA361" i="22"/>
  <c r="Z361" i="22" s="1"/>
  <c r="Y361" i="22" s="1"/>
  <c r="H361" i="22"/>
  <c r="H365" i="22"/>
  <c r="AA365" i="22"/>
  <c r="Z365" i="22" s="1"/>
  <c r="Y365" i="22" s="1"/>
  <c r="G365" i="22"/>
  <c r="CC365" i="6" s="1"/>
  <c r="I377" i="22"/>
  <c r="J377" i="22"/>
  <c r="AG100" i="23"/>
  <c r="AF100" i="23" s="1"/>
  <c r="AD100" i="23" s="1"/>
  <c r="AG88" i="23"/>
  <c r="AF88" i="23" s="1"/>
  <c r="AD88" i="23" s="1"/>
  <c r="AG52" i="23"/>
  <c r="AF52" i="23" s="1"/>
  <c r="AD52" i="23" s="1"/>
  <c r="AG40" i="23"/>
  <c r="AF40" i="23" s="1"/>
  <c r="AD40" i="23" s="1"/>
  <c r="AG32" i="23"/>
  <c r="AF32" i="23" s="1"/>
  <c r="AD32" i="23" s="1"/>
  <c r="J17" i="22"/>
  <c r="I17" i="22"/>
  <c r="G21" i="22"/>
  <c r="CC21" i="6" s="1"/>
  <c r="AA21" i="22"/>
  <c r="Z21" i="22" s="1"/>
  <c r="Y21" i="22" s="1"/>
  <c r="H21" i="22"/>
  <c r="G30" i="22"/>
  <c r="CC30" i="6" s="1"/>
  <c r="H30" i="22"/>
  <c r="AA30" i="22"/>
  <c r="Z30" i="22" s="1"/>
  <c r="Y30" i="22" s="1"/>
  <c r="J38" i="22"/>
  <c r="I38" i="22"/>
  <c r="I58" i="22"/>
  <c r="J58" i="22"/>
  <c r="J62" i="22"/>
  <c r="I62" i="22"/>
  <c r="I94" i="22"/>
  <c r="J94" i="22"/>
  <c r="G118" i="22"/>
  <c r="CC118" i="6" s="1"/>
  <c r="H118" i="22"/>
  <c r="AA118" i="22"/>
  <c r="Z118" i="22" s="1"/>
  <c r="Y118" i="22" s="1"/>
  <c r="AA130" i="22"/>
  <c r="Z130" i="22" s="1"/>
  <c r="Y130" i="22" s="1"/>
  <c r="G130" i="22"/>
  <c r="CC130" i="6" s="1"/>
  <c r="H130" i="22"/>
  <c r="G158" i="22"/>
  <c r="CC158" i="6" s="1"/>
  <c r="H158" i="22"/>
  <c r="AA158" i="22"/>
  <c r="Z158" i="22" s="1"/>
  <c r="Y158" i="22" s="1"/>
  <c r="D166" i="22"/>
  <c r="E166" i="22" s="1"/>
  <c r="F166" i="22" s="1"/>
  <c r="W166" i="22"/>
  <c r="I170" i="22"/>
  <c r="J170" i="22"/>
  <c r="AA190" i="22"/>
  <c r="Z190" i="22" s="1"/>
  <c r="Y190" i="22" s="1"/>
  <c r="H190" i="22"/>
  <c r="G190" i="22"/>
  <c r="CC190" i="6" s="1"/>
  <c r="G202" i="22"/>
  <c r="CC202" i="6" s="1"/>
  <c r="H202" i="22"/>
  <c r="AA202" i="22"/>
  <c r="Z202" i="22" s="1"/>
  <c r="Y202" i="22" s="1"/>
  <c r="J206" i="22"/>
  <c r="I206" i="22"/>
  <c r="H218" i="22"/>
  <c r="AA218" i="22"/>
  <c r="Z218" i="22" s="1"/>
  <c r="Y218" i="22" s="1"/>
  <c r="G218" i="22"/>
  <c r="CC218" i="6" s="1"/>
  <c r="G234" i="22"/>
  <c r="CC234" i="6" s="1"/>
  <c r="H234" i="22"/>
  <c r="AA234" i="22"/>
  <c r="Z234" i="22" s="1"/>
  <c r="Y234" i="22" s="1"/>
  <c r="G238" i="22"/>
  <c r="CC238" i="6" s="1"/>
  <c r="H238" i="22"/>
  <c r="AA238" i="22"/>
  <c r="Z238" i="22" s="1"/>
  <c r="Y238" i="22" s="1"/>
  <c r="J250" i="22"/>
  <c r="I250" i="22"/>
  <c r="J310" i="22"/>
  <c r="I310" i="22"/>
  <c r="J318" i="22"/>
  <c r="I318" i="22"/>
  <c r="AA350" i="22"/>
  <c r="Z350" i="22" s="1"/>
  <c r="Y350" i="22" s="1"/>
  <c r="G350" i="22"/>
  <c r="CC350" i="6" s="1"/>
  <c r="H350" i="22"/>
  <c r="I358" i="22"/>
  <c r="J358" i="22"/>
  <c r="G380" i="22"/>
  <c r="CC380" i="6" s="1"/>
  <c r="AA380" i="22"/>
  <c r="Z380" i="22" s="1"/>
  <c r="Y380" i="22" s="1"/>
  <c r="H380" i="22"/>
  <c r="AA374" i="22"/>
  <c r="Z374" i="22" s="1"/>
  <c r="Y374" i="22" s="1"/>
  <c r="G374" i="22"/>
  <c r="CC374" i="6" s="1"/>
  <c r="H374" i="22"/>
  <c r="I31" i="22"/>
  <c r="J31" i="22"/>
  <c r="AA63" i="22"/>
  <c r="Z63" i="22" s="1"/>
  <c r="Y63" i="22" s="1"/>
  <c r="H63" i="22"/>
  <c r="G63" i="22"/>
  <c r="CC63" i="6" s="1"/>
  <c r="G79" i="22"/>
  <c r="CC79" i="6" s="1"/>
  <c r="H79" i="22"/>
  <c r="AA79" i="22"/>
  <c r="Z79" i="22" s="1"/>
  <c r="Y79" i="22" s="1"/>
  <c r="J83" i="22"/>
  <c r="I83" i="22"/>
  <c r="G91" i="22"/>
  <c r="CC91" i="6" s="1"/>
  <c r="H91" i="22"/>
  <c r="AA91" i="22"/>
  <c r="Z91" i="22" s="1"/>
  <c r="Y91" i="22" s="1"/>
  <c r="H95" i="22"/>
  <c r="G95" i="22"/>
  <c r="CC95" i="6" s="1"/>
  <c r="AA95" i="22"/>
  <c r="Z95" i="22" s="1"/>
  <c r="Y95" i="22" s="1"/>
  <c r="G99" i="22"/>
  <c r="CC99" i="6" s="1"/>
  <c r="H99" i="22"/>
  <c r="AA99" i="22"/>
  <c r="Z99" i="22" s="1"/>
  <c r="Y99" i="22" s="1"/>
  <c r="AA103" i="22"/>
  <c r="Z103" i="22" s="1"/>
  <c r="Y103" i="22" s="1"/>
  <c r="H103" i="22"/>
  <c r="G103" i="22"/>
  <c r="CC103" i="6" s="1"/>
  <c r="AA111" i="22"/>
  <c r="Z111" i="22" s="1"/>
  <c r="Y111" i="22" s="1"/>
  <c r="G111" i="22"/>
  <c r="CC111" i="6" s="1"/>
  <c r="H111" i="22"/>
  <c r="AA151" i="22"/>
  <c r="Z151" i="22" s="1"/>
  <c r="Y151" i="22" s="1"/>
  <c r="G151" i="22"/>
  <c r="CC151" i="6" s="1"/>
  <c r="H151" i="22"/>
  <c r="G187" i="22"/>
  <c r="CC187" i="6" s="1"/>
  <c r="H187" i="22"/>
  <c r="AA187" i="22"/>
  <c r="Z187" i="22" s="1"/>
  <c r="Y187" i="22" s="1"/>
  <c r="J207" i="22"/>
  <c r="I207" i="22"/>
  <c r="J223" i="22"/>
  <c r="I223" i="22"/>
  <c r="I231" i="22"/>
  <c r="J231" i="22"/>
  <c r="J255" i="22"/>
  <c r="I255" i="22"/>
  <c r="J259" i="22"/>
  <c r="I259" i="22"/>
  <c r="AA287" i="22"/>
  <c r="Z287" i="22" s="1"/>
  <c r="Y287" i="22" s="1"/>
  <c r="G287" i="22"/>
  <c r="CC287" i="6" s="1"/>
  <c r="H287" i="22"/>
  <c r="G303" i="22"/>
  <c r="CC303" i="6" s="1"/>
  <c r="AA303" i="22"/>
  <c r="Z303" i="22" s="1"/>
  <c r="Y303" i="22" s="1"/>
  <c r="H303" i="22"/>
  <c r="AA315" i="22"/>
  <c r="Z315" i="22" s="1"/>
  <c r="Y315" i="22" s="1"/>
  <c r="G315" i="22"/>
  <c r="CC315" i="6" s="1"/>
  <c r="H315" i="22"/>
  <c r="AA331" i="22"/>
  <c r="Z331" i="22" s="1"/>
  <c r="Y331" i="22" s="1"/>
  <c r="H331" i="22"/>
  <c r="G331" i="22"/>
  <c r="CC331" i="6" s="1"/>
  <c r="I339" i="22"/>
  <c r="J339" i="22"/>
  <c r="J343" i="22"/>
  <c r="I343" i="22"/>
  <c r="J355" i="22"/>
  <c r="I355" i="22"/>
  <c r="T379" i="23"/>
  <c r="U12" i="24"/>
  <c r="AT16" i="7"/>
  <c r="AZ11" i="7" s="1"/>
  <c r="U11" i="24" s="1"/>
  <c r="S377" i="23"/>
  <c r="R377" i="23" s="1"/>
  <c r="P377" i="23" s="1"/>
  <c r="V377" i="23" s="1"/>
  <c r="B377" i="23" s="1"/>
  <c r="S375" i="23"/>
  <c r="R375" i="23" s="1"/>
  <c r="P375" i="23" s="1"/>
  <c r="V375" i="23" s="1"/>
  <c r="B375" i="23" s="1"/>
  <c r="D371" i="23"/>
  <c r="E371" i="23" s="1"/>
  <c r="F371" i="23" s="1"/>
  <c r="S367" i="23"/>
  <c r="R367" i="23" s="1"/>
  <c r="P367" i="23" s="1"/>
  <c r="V367" i="23" s="1"/>
  <c r="B367" i="23" s="1"/>
  <c r="S365" i="23"/>
  <c r="R365" i="23" s="1"/>
  <c r="P365" i="23" s="1"/>
  <c r="V365" i="23" s="1"/>
  <c r="B365" i="23" s="1"/>
  <c r="S363" i="23"/>
  <c r="R363" i="23" s="1"/>
  <c r="P363" i="23" s="1"/>
  <c r="S359" i="23"/>
  <c r="R359" i="23" s="1"/>
  <c r="P359" i="23" s="1"/>
  <c r="V359" i="23" s="1"/>
  <c r="B359" i="23" s="1"/>
  <c r="S353" i="23"/>
  <c r="R353" i="23" s="1"/>
  <c r="P353" i="23" s="1"/>
  <c r="V353" i="23" s="1"/>
  <c r="B353" i="23" s="1"/>
  <c r="S343" i="23"/>
  <c r="R343" i="23" s="1"/>
  <c r="P343" i="23" s="1"/>
  <c r="V343" i="23" s="1"/>
  <c r="B343" i="23" s="1"/>
  <c r="S339" i="23"/>
  <c r="R339" i="23" s="1"/>
  <c r="P339" i="23" s="1"/>
  <c r="V339" i="23" s="1"/>
  <c r="B339" i="23" s="1"/>
  <c r="S313" i="23"/>
  <c r="R313" i="23" s="1"/>
  <c r="P313" i="23" s="1"/>
  <c r="V313" i="23" s="1"/>
  <c r="B313" i="23" s="1"/>
  <c r="S293" i="23"/>
  <c r="R293" i="23" s="1"/>
  <c r="P293" i="23" s="1"/>
  <c r="V293" i="23" s="1"/>
  <c r="B293" i="23" s="1"/>
  <c r="S277" i="23"/>
  <c r="R277" i="23" s="1"/>
  <c r="P277" i="23" s="1"/>
  <c r="V277" i="23" s="1"/>
  <c r="B277" i="23" s="1"/>
  <c r="S261" i="23"/>
  <c r="R261" i="23" s="1"/>
  <c r="P261" i="23" s="1"/>
  <c r="V261" i="23" s="1"/>
  <c r="B261" i="23" s="1"/>
  <c r="S241" i="23"/>
  <c r="R241" i="23" s="1"/>
  <c r="P241" i="23" s="1"/>
  <c r="S221" i="23"/>
  <c r="R221" i="23" s="1"/>
  <c r="P221" i="23" s="1"/>
  <c r="V221" i="23" s="1"/>
  <c r="B221" i="23" s="1"/>
  <c r="S205" i="23"/>
  <c r="R205" i="23" s="1"/>
  <c r="P205" i="23" s="1"/>
  <c r="V205" i="23" s="1"/>
  <c r="B205" i="23" s="1"/>
  <c r="S189" i="23"/>
  <c r="R189" i="23" s="1"/>
  <c r="P189" i="23" s="1"/>
  <c r="V189" i="23" s="1"/>
  <c r="B189" i="23" s="1"/>
  <c r="S173" i="23"/>
  <c r="R173" i="23" s="1"/>
  <c r="P173" i="23" s="1"/>
  <c r="V173" i="23" s="1"/>
  <c r="B173" i="23" s="1"/>
  <c r="S157" i="23"/>
  <c r="R157" i="23" s="1"/>
  <c r="P157" i="23" s="1"/>
  <c r="V157" i="23" s="1"/>
  <c r="B157" i="23" s="1"/>
  <c r="S151" i="23"/>
  <c r="R151" i="23" s="1"/>
  <c r="P151" i="23" s="1"/>
  <c r="V151" i="23" s="1"/>
  <c r="B151" i="23" s="1"/>
  <c r="S149" i="23"/>
  <c r="R149" i="23" s="1"/>
  <c r="P149" i="23" s="1"/>
  <c r="S147" i="23"/>
  <c r="R147" i="23" s="1"/>
  <c r="P147" i="23" s="1"/>
  <c r="V147" i="23" s="1"/>
  <c r="B147" i="23" s="1"/>
  <c r="S145" i="23"/>
  <c r="R145" i="23" s="1"/>
  <c r="P145" i="23" s="1"/>
  <c r="V145" i="23" s="1"/>
  <c r="B145" i="23" s="1"/>
  <c r="S125" i="23"/>
  <c r="R125" i="23" s="1"/>
  <c r="P125" i="23" s="1"/>
  <c r="V125" i="23" s="1"/>
  <c r="B125" i="23" s="1"/>
  <c r="S93" i="23"/>
  <c r="R93" i="23" s="1"/>
  <c r="P93" i="23" s="1"/>
  <c r="V93" i="23" s="1"/>
  <c r="B93" i="23" s="1"/>
  <c r="S77" i="23"/>
  <c r="R77" i="23" s="1"/>
  <c r="P77" i="23" s="1"/>
  <c r="V77" i="23" s="1"/>
  <c r="B77" i="23" s="1"/>
  <c r="S75" i="23"/>
  <c r="R75" i="23" s="1"/>
  <c r="P75" i="23" s="1"/>
  <c r="V75" i="23" s="1"/>
  <c r="B75" i="23" s="1"/>
  <c r="S71" i="23"/>
  <c r="R71" i="23" s="1"/>
  <c r="P71" i="23" s="1"/>
  <c r="V71" i="23" s="1"/>
  <c r="B71" i="23" s="1"/>
  <c r="S47" i="23"/>
  <c r="R47" i="23" s="1"/>
  <c r="P47" i="23" s="1"/>
  <c r="V47" i="23" s="1"/>
  <c r="B47" i="23" s="1"/>
  <c r="S43" i="23"/>
  <c r="R43" i="23" s="1"/>
  <c r="P43" i="23" s="1"/>
  <c r="V43" i="23" s="1"/>
  <c r="B43" i="23" s="1"/>
  <c r="S39" i="23"/>
  <c r="R39" i="23" s="1"/>
  <c r="P39" i="23" s="1"/>
  <c r="V39" i="23" s="1"/>
  <c r="B39" i="23" s="1"/>
  <c r="S31" i="23"/>
  <c r="R31" i="23" s="1"/>
  <c r="P31" i="23" s="1"/>
  <c r="V31" i="23" s="1"/>
  <c r="B31" i="23" s="1"/>
  <c r="S21" i="23"/>
  <c r="R21" i="23" s="1"/>
  <c r="P21" i="23" s="1"/>
  <c r="V21" i="23" s="1"/>
  <c r="B21" i="23" s="1"/>
  <c r="S22" i="23"/>
  <c r="R22" i="23" s="1"/>
  <c r="P22" i="23" s="1"/>
  <c r="V22" i="23" s="1"/>
  <c r="B22" i="23" s="1"/>
  <c r="H379" i="22"/>
  <c r="AA379" i="22"/>
  <c r="Z379" i="22" s="1"/>
  <c r="Y379" i="22" s="1"/>
  <c r="G379" i="22"/>
  <c r="CC379" i="6" s="1"/>
  <c r="AA68" i="22"/>
  <c r="Z68" i="22" s="1"/>
  <c r="Y68" i="22" s="1"/>
  <c r="G68" i="22"/>
  <c r="CC68" i="6" s="1"/>
  <c r="H68" i="22"/>
  <c r="J72" i="22"/>
  <c r="I72" i="22"/>
  <c r="AA156" i="22"/>
  <c r="Z156" i="22" s="1"/>
  <c r="Y156" i="22" s="1"/>
  <c r="H156" i="22"/>
  <c r="G156" i="22"/>
  <c r="CC156" i="6" s="1"/>
  <c r="J204" i="22"/>
  <c r="I204" i="22"/>
  <c r="I248" i="22"/>
  <c r="J248" i="22"/>
  <c r="AA300" i="22"/>
  <c r="Z300" i="22" s="1"/>
  <c r="Y300" i="22" s="1"/>
  <c r="G300" i="22"/>
  <c r="CC300" i="6" s="1"/>
  <c r="H300" i="22"/>
  <c r="G312" i="22"/>
  <c r="CC312" i="6" s="1"/>
  <c r="AA312" i="22"/>
  <c r="Z312" i="22" s="1"/>
  <c r="Y312" i="22" s="1"/>
  <c r="H312" i="22"/>
  <c r="J324" i="22"/>
  <c r="I324" i="22"/>
  <c r="J376" i="22"/>
  <c r="I376" i="22"/>
  <c r="J53" i="22"/>
  <c r="I53" i="22"/>
  <c r="I81" i="22"/>
  <c r="J81" i="22"/>
  <c r="AA121" i="22"/>
  <c r="Z121" i="22" s="1"/>
  <c r="Y121" i="22" s="1"/>
  <c r="G121" i="22"/>
  <c r="CC121" i="6" s="1"/>
  <c r="H121" i="22"/>
  <c r="J157" i="22"/>
  <c r="I157" i="22"/>
  <c r="J225" i="22"/>
  <c r="I225" i="22"/>
  <c r="AA241" i="22"/>
  <c r="Z241" i="22" s="1"/>
  <c r="Y241" i="22" s="1"/>
  <c r="G241" i="22"/>
  <c r="CC241" i="6" s="1"/>
  <c r="H241" i="22"/>
  <c r="I301" i="22"/>
  <c r="J301" i="22"/>
  <c r="I321" i="22"/>
  <c r="J321" i="22"/>
  <c r="AA333" i="22"/>
  <c r="Z333" i="22" s="1"/>
  <c r="Y333" i="22" s="1"/>
  <c r="G333" i="22"/>
  <c r="CC333" i="6" s="1"/>
  <c r="H333" i="22"/>
  <c r="J373" i="22"/>
  <c r="I373" i="22"/>
  <c r="J42" i="22"/>
  <c r="I42" i="22"/>
  <c r="G46" i="22"/>
  <c r="CC46" i="6" s="1"/>
  <c r="H46" i="22"/>
  <c r="AA46" i="22"/>
  <c r="Z46" i="22" s="1"/>
  <c r="Y46" i="22" s="1"/>
  <c r="J162" i="22"/>
  <c r="I162" i="22"/>
  <c r="J174" i="22"/>
  <c r="I174" i="22"/>
  <c r="J262" i="22"/>
  <c r="I262" i="22"/>
  <c r="I294" i="22"/>
  <c r="J294" i="22"/>
  <c r="J298" i="22"/>
  <c r="I298" i="22"/>
  <c r="J306" i="22"/>
  <c r="I306" i="22"/>
  <c r="J362" i="22"/>
  <c r="I362" i="22"/>
  <c r="I370" i="22"/>
  <c r="J370" i="22"/>
  <c r="J39" i="22"/>
  <c r="I39" i="22"/>
  <c r="I107" i="22"/>
  <c r="J107" i="22"/>
  <c r="I215" i="22"/>
  <c r="J215" i="22"/>
  <c r="I235" i="22"/>
  <c r="J235" i="22"/>
  <c r="J247" i="22"/>
  <c r="I247" i="22"/>
  <c r="I263" i="22"/>
  <c r="J263" i="22"/>
  <c r="I267" i="22"/>
  <c r="J267" i="22"/>
  <c r="J291" i="22"/>
  <c r="I291" i="22"/>
  <c r="I299" i="22"/>
  <c r="J299" i="22"/>
  <c r="I307" i="22"/>
  <c r="J307" i="22"/>
  <c r="J359" i="22"/>
  <c r="I359" i="22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S381" i="22"/>
  <c r="S383" i="22"/>
  <c r="S382" i="22"/>
  <c r="R15" i="22"/>
  <c r="I40" i="22"/>
  <c r="J40" i="22"/>
  <c r="I44" i="22"/>
  <c r="J44" i="22"/>
  <c r="J56" i="22"/>
  <c r="I56" i="22"/>
  <c r="I112" i="22"/>
  <c r="J112" i="22"/>
  <c r="J120" i="22"/>
  <c r="I120" i="22"/>
  <c r="J140" i="22"/>
  <c r="I140" i="22"/>
  <c r="J168" i="22"/>
  <c r="I168" i="22"/>
  <c r="AA180" i="22"/>
  <c r="Z180" i="22" s="1"/>
  <c r="Y180" i="22" s="1"/>
  <c r="H180" i="22"/>
  <c r="G180" i="22"/>
  <c r="CC180" i="6" s="1"/>
  <c r="J200" i="22"/>
  <c r="I200" i="22"/>
  <c r="I220" i="22"/>
  <c r="J220" i="22"/>
  <c r="G272" i="22"/>
  <c r="CC272" i="6" s="1"/>
  <c r="H272" i="22"/>
  <c r="AA272" i="22"/>
  <c r="Z272" i="22" s="1"/>
  <c r="Y272" i="22" s="1"/>
  <c r="I284" i="22"/>
  <c r="J284" i="22"/>
  <c r="I292" i="22"/>
  <c r="J292" i="22"/>
  <c r="J328" i="22"/>
  <c r="I328" i="22"/>
  <c r="I332" i="22"/>
  <c r="J332" i="22"/>
  <c r="I348" i="22"/>
  <c r="J348" i="22"/>
  <c r="I18" i="22"/>
  <c r="J18" i="22"/>
  <c r="J32" i="22"/>
  <c r="I32" i="22"/>
  <c r="G64" i="22"/>
  <c r="CC64" i="6" s="1"/>
  <c r="AA64" i="22"/>
  <c r="Z64" i="22" s="1"/>
  <c r="Y64" i="22" s="1"/>
  <c r="H64" i="22"/>
  <c r="AA76" i="22"/>
  <c r="Z76" i="22" s="1"/>
  <c r="Y76" i="22" s="1"/>
  <c r="H76" i="22"/>
  <c r="G76" i="22"/>
  <c r="CC76" i="6" s="1"/>
  <c r="AA132" i="22"/>
  <c r="Z132" i="22" s="1"/>
  <c r="Y132" i="22" s="1"/>
  <c r="H132" i="22"/>
  <c r="G132" i="22"/>
  <c r="CC132" i="6" s="1"/>
  <c r="D196" i="22"/>
  <c r="E196" i="22" s="1"/>
  <c r="F196" i="22" s="1"/>
  <c r="W196" i="22"/>
  <c r="G236" i="22"/>
  <c r="CC236" i="6" s="1"/>
  <c r="AA236" i="22"/>
  <c r="Z236" i="22" s="1"/>
  <c r="Y236" i="22" s="1"/>
  <c r="H236" i="22"/>
  <c r="H268" i="22"/>
  <c r="AA268" i="22"/>
  <c r="Z268" i="22" s="1"/>
  <c r="Y268" i="22" s="1"/>
  <c r="G268" i="22"/>
  <c r="CC268" i="6" s="1"/>
  <c r="G304" i="22"/>
  <c r="CC304" i="6" s="1"/>
  <c r="AA304" i="22"/>
  <c r="Z304" i="22" s="1"/>
  <c r="Y304" i="22" s="1"/>
  <c r="H304" i="22"/>
  <c r="J316" i="22"/>
  <c r="I316" i="22"/>
  <c r="G336" i="22"/>
  <c r="CC336" i="6" s="1"/>
  <c r="AA336" i="22"/>
  <c r="Z336" i="22" s="1"/>
  <c r="Y336" i="22" s="1"/>
  <c r="H336" i="22"/>
  <c r="G23" i="22"/>
  <c r="CC23" i="6" s="1"/>
  <c r="H23" i="22"/>
  <c r="AA23" i="22"/>
  <c r="Z23" i="22" s="1"/>
  <c r="Y23" i="22" s="1"/>
  <c r="G57" i="22"/>
  <c r="CC57" i="6" s="1"/>
  <c r="H57" i="22"/>
  <c r="AA57" i="22"/>
  <c r="Z57" i="22" s="1"/>
  <c r="Y57" i="22" s="1"/>
  <c r="G129" i="22"/>
  <c r="CC129" i="6" s="1"/>
  <c r="H129" i="22"/>
  <c r="AA129" i="22"/>
  <c r="Z129" i="22" s="1"/>
  <c r="Y129" i="22" s="1"/>
  <c r="W149" i="22"/>
  <c r="D149" i="22"/>
  <c r="E149" i="22" s="1"/>
  <c r="F149" i="22" s="1"/>
  <c r="G169" i="22"/>
  <c r="CC169" i="6" s="1"/>
  <c r="AA169" i="22"/>
  <c r="Z169" i="22" s="1"/>
  <c r="Y169" i="22" s="1"/>
  <c r="H169" i="22"/>
  <c r="G337" i="22"/>
  <c r="CC337" i="6" s="1"/>
  <c r="H337" i="22"/>
  <c r="AA337" i="22"/>
  <c r="Z337" i="22" s="1"/>
  <c r="Y337" i="22" s="1"/>
  <c r="W210" i="22"/>
  <c r="D210" i="22"/>
  <c r="E210" i="22" s="1"/>
  <c r="F210" i="22" s="1"/>
  <c r="H230" i="22"/>
  <c r="G230" i="22"/>
  <c r="CC230" i="6" s="1"/>
  <c r="AA230" i="22"/>
  <c r="Z230" i="22" s="1"/>
  <c r="Y230" i="22" s="1"/>
  <c r="AA342" i="22"/>
  <c r="Z342" i="22" s="1"/>
  <c r="Y342" i="22" s="1"/>
  <c r="G342" i="22"/>
  <c r="CC342" i="6" s="1"/>
  <c r="H342" i="22"/>
  <c r="AA131" i="22"/>
  <c r="Z131" i="22" s="1"/>
  <c r="Y131" i="22" s="1"/>
  <c r="G131" i="22"/>
  <c r="CC131" i="6" s="1"/>
  <c r="H131" i="22"/>
  <c r="AA271" i="22"/>
  <c r="Z271" i="22" s="1"/>
  <c r="Y271" i="22" s="1"/>
  <c r="G271" i="22"/>
  <c r="CC271" i="6" s="1"/>
  <c r="H271" i="22"/>
  <c r="AA36" i="22"/>
  <c r="Z36" i="22" s="1"/>
  <c r="Y36" i="22" s="1"/>
  <c r="G36" i="22"/>
  <c r="CC36" i="6" s="1"/>
  <c r="H36" i="22"/>
  <c r="G276" i="22"/>
  <c r="CC276" i="6" s="1"/>
  <c r="H276" i="22"/>
  <c r="AA276" i="22"/>
  <c r="Z276" i="22" s="1"/>
  <c r="Y276" i="22" s="1"/>
  <c r="G364" i="22"/>
  <c r="CC364" i="6" s="1"/>
  <c r="H364" i="22"/>
  <c r="AA364" i="22"/>
  <c r="Z364" i="22" s="1"/>
  <c r="Y364" i="22" s="1"/>
  <c r="AA45" i="22"/>
  <c r="Z45" i="22" s="1"/>
  <c r="Y45" i="22" s="1"/>
  <c r="G45" i="22"/>
  <c r="CC45" i="6" s="1"/>
  <c r="H45" i="22"/>
  <c r="G101" i="22"/>
  <c r="CC101" i="6" s="1"/>
  <c r="H101" i="22"/>
  <c r="AA101" i="22"/>
  <c r="Z101" i="22" s="1"/>
  <c r="Y101" i="22" s="1"/>
  <c r="G125" i="22"/>
  <c r="CC125" i="6" s="1"/>
  <c r="AA125" i="22"/>
  <c r="Z125" i="22" s="1"/>
  <c r="Y125" i="22" s="1"/>
  <c r="AA161" i="22"/>
  <c r="Z161" i="22" s="1"/>
  <c r="Y161" i="22" s="1"/>
  <c r="G161" i="22"/>
  <c r="CC161" i="6" s="1"/>
  <c r="H161" i="22"/>
  <c r="AA209" i="22"/>
  <c r="Z209" i="22" s="1"/>
  <c r="Y209" i="22" s="1"/>
  <c r="H209" i="22"/>
  <c r="G209" i="22"/>
  <c r="CC209" i="6" s="1"/>
  <c r="W349" i="22"/>
  <c r="D349" i="22"/>
  <c r="E349" i="22" s="1"/>
  <c r="F349" i="22" s="1"/>
  <c r="G86" i="22"/>
  <c r="CC86" i="6" s="1"/>
  <c r="AA86" i="22"/>
  <c r="Z86" i="22" s="1"/>
  <c r="Y86" i="22" s="1"/>
  <c r="H86" i="22"/>
  <c r="AA142" i="22"/>
  <c r="Z142" i="22" s="1"/>
  <c r="Y142" i="22" s="1"/>
  <c r="H142" i="22"/>
  <c r="G142" i="22"/>
  <c r="CC142" i="6" s="1"/>
  <c r="AA274" i="22"/>
  <c r="Z274" i="22" s="1"/>
  <c r="Y274" i="22" s="1"/>
  <c r="H274" i="22"/>
  <c r="G274" i="22"/>
  <c r="CC274" i="6" s="1"/>
  <c r="AA55" i="22"/>
  <c r="Z55" i="22" s="1"/>
  <c r="Y55" i="22" s="1"/>
  <c r="H55" i="22"/>
  <c r="G55" i="22"/>
  <c r="CC55" i="6" s="1"/>
  <c r="W135" i="22"/>
  <c r="D135" i="22"/>
  <c r="E135" i="22" s="1"/>
  <c r="F135" i="22" s="1"/>
  <c r="AA203" i="22"/>
  <c r="Z203" i="22" s="1"/>
  <c r="Y203" i="22" s="1"/>
  <c r="G203" i="22"/>
  <c r="CC203" i="6" s="1"/>
  <c r="H203" i="22"/>
  <c r="G375" i="22"/>
  <c r="CC375" i="6" s="1"/>
  <c r="AA375" i="22"/>
  <c r="Z375" i="22" s="1"/>
  <c r="Y375" i="22" s="1"/>
  <c r="H375" i="22"/>
  <c r="G28" i="22"/>
  <c r="CC28" i="6" s="1"/>
  <c r="H28" i="22"/>
  <c r="AA28" i="22"/>
  <c r="Z28" i="22" s="1"/>
  <c r="Y28" i="22" s="1"/>
  <c r="G104" i="22"/>
  <c r="CC104" i="6" s="1"/>
  <c r="H104" i="22"/>
  <c r="AA104" i="22"/>
  <c r="Z104" i="22" s="1"/>
  <c r="Y104" i="22" s="1"/>
  <c r="G124" i="22"/>
  <c r="CC124" i="6" s="1"/>
  <c r="H124" i="22"/>
  <c r="AA124" i="22"/>
  <c r="Z124" i="22" s="1"/>
  <c r="Y124" i="22" s="1"/>
  <c r="G136" i="22"/>
  <c r="CC136" i="6" s="1"/>
  <c r="AA136" i="22"/>
  <c r="Z136" i="22" s="1"/>
  <c r="Y136" i="22" s="1"/>
  <c r="H136" i="22"/>
  <c r="AA164" i="22"/>
  <c r="Z164" i="22" s="1"/>
  <c r="Y164" i="22" s="1"/>
  <c r="G164" i="22"/>
  <c r="CC164" i="6" s="1"/>
  <c r="H164" i="22"/>
  <c r="H368" i="22"/>
  <c r="AA368" i="22"/>
  <c r="Z368" i="22" s="1"/>
  <c r="Y368" i="22" s="1"/>
  <c r="G368" i="22"/>
  <c r="CC368" i="6" s="1"/>
  <c r="I65" i="22"/>
  <c r="J65" i="22"/>
  <c r="I185" i="22"/>
  <c r="J185" i="22"/>
  <c r="I213" i="22"/>
  <c r="J213" i="22"/>
  <c r="AA217" i="22"/>
  <c r="Z217" i="22" s="1"/>
  <c r="Y217" i="22" s="1"/>
  <c r="G217" i="22"/>
  <c r="CC217" i="6" s="1"/>
  <c r="H217" i="22"/>
  <c r="J229" i="22"/>
  <c r="I229" i="22"/>
  <c r="G297" i="22"/>
  <c r="CC297" i="6" s="1"/>
  <c r="H297" i="22"/>
  <c r="AA297" i="22"/>
  <c r="Z297" i="22" s="1"/>
  <c r="Y297" i="22" s="1"/>
  <c r="J305" i="22"/>
  <c r="I305" i="22"/>
  <c r="I313" i="22"/>
  <c r="J313" i="22"/>
  <c r="AA353" i="22"/>
  <c r="Z353" i="22" s="1"/>
  <c r="Y353" i="22" s="1"/>
  <c r="H353" i="22"/>
  <c r="G353" i="22"/>
  <c r="CC353" i="6" s="1"/>
  <c r="AG382" i="22"/>
  <c r="AG383" i="22"/>
  <c r="AG381" i="22"/>
  <c r="AF15" i="22"/>
  <c r="AG203" i="23"/>
  <c r="AF203" i="23" s="1"/>
  <c r="AD203" i="23" s="1"/>
  <c r="AG91" i="23"/>
  <c r="AF91" i="23" s="1"/>
  <c r="AD91" i="23" s="1"/>
  <c r="AG63" i="23"/>
  <c r="AF63" i="23" s="1"/>
  <c r="AD63" i="23" s="1"/>
  <c r="AG49" i="23"/>
  <c r="AF49" i="23" s="1"/>
  <c r="AD49" i="23" s="1"/>
  <c r="AG39" i="23"/>
  <c r="AF39" i="23" s="1"/>
  <c r="AD39" i="23" s="1"/>
  <c r="AG35" i="23"/>
  <c r="AF35" i="23" s="1"/>
  <c r="AD35" i="23" s="1"/>
  <c r="AG25" i="23"/>
  <c r="AF25" i="23" s="1"/>
  <c r="AD25" i="23" s="1"/>
  <c r="AG21" i="23"/>
  <c r="AF21" i="23" s="1"/>
  <c r="AD21" i="23" s="1"/>
  <c r="I288" i="22"/>
  <c r="J288" i="22"/>
  <c r="J34" i="22"/>
  <c r="I34" i="22"/>
  <c r="I54" i="22"/>
  <c r="J54" i="22"/>
  <c r="J66" i="22"/>
  <c r="I66" i="22"/>
  <c r="AA98" i="22"/>
  <c r="Z98" i="22" s="1"/>
  <c r="Y98" i="22" s="1"/>
  <c r="G98" i="22"/>
  <c r="CC98" i="6" s="1"/>
  <c r="H98" i="22"/>
  <c r="G110" i="22"/>
  <c r="CC110" i="6" s="1"/>
  <c r="AA110" i="22"/>
  <c r="Z110" i="22" s="1"/>
  <c r="Y110" i="22" s="1"/>
  <c r="H110" i="22"/>
  <c r="J122" i="22"/>
  <c r="I122" i="22"/>
  <c r="J134" i="22"/>
  <c r="I134" i="22"/>
  <c r="J138" i="22"/>
  <c r="I138" i="22"/>
  <c r="G182" i="22"/>
  <c r="CC182" i="6" s="1"/>
  <c r="AA182" i="22"/>
  <c r="Z182" i="22" s="1"/>
  <c r="Y182" i="22" s="1"/>
  <c r="H182" i="22"/>
  <c r="I186" i="22"/>
  <c r="J186" i="22"/>
  <c r="I222" i="22"/>
  <c r="J222" i="22"/>
  <c r="W258" i="22"/>
  <c r="D258" i="22"/>
  <c r="E258" i="22" s="1"/>
  <c r="F258" i="22" s="1"/>
  <c r="H266" i="22"/>
  <c r="G266" i="22"/>
  <c r="CC266" i="6" s="1"/>
  <c r="AA266" i="22"/>
  <c r="Z266" i="22" s="1"/>
  <c r="Y266" i="22" s="1"/>
  <c r="I270" i="22"/>
  <c r="J270" i="22"/>
  <c r="G286" i="22"/>
  <c r="CC286" i="6" s="1"/>
  <c r="H286" i="22"/>
  <c r="AA286" i="22"/>
  <c r="Z286" i="22" s="1"/>
  <c r="Y286" i="22" s="1"/>
  <c r="AA326" i="22"/>
  <c r="Z326" i="22" s="1"/>
  <c r="Y326" i="22" s="1"/>
  <c r="G326" i="22"/>
  <c r="CC326" i="6" s="1"/>
  <c r="H326" i="22"/>
  <c r="G330" i="22"/>
  <c r="CC330" i="6" s="1"/>
  <c r="AA330" i="22"/>
  <c r="Z330" i="22" s="1"/>
  <c r="Y330" i="22" s="1"/>
  <c r="H330" i="22"/>
  <c r="I338" i="22"/>
  <c r="J338" i="22"/>
  <c r="G378" i="22"/>
  <c r="CC378" i="6" s="1"/>
  <c r="H378" i="22"/>
  <c r="AA378" i="22"/>
  <c r="Z378" i="22" s="1"/>
  <c r="Y378" i="22" s="1"/>
  <c r="J22" i="22"/>
  <c r="I22" i="22"/>
  <c r="AA16" i="22"/>
  <c r="Z16" i="22" s="1"/>
  <c r="Y16" i="22" s="1"/>
  <c r="G16" i="22"/>
  <c r="CC16" i="6" s="1"/>
  <c r="H16" i="22"/>
  <c r="AA27" i="22"/>
  <c r="Z27" i="22" s="1"/>
  <c r="Y27" i="22" s="1"/>
  <c r="G27" i="22"/>
  <c r="CC27" i="6" s="1"/>
  <c r="H27" i="22"/>
  <c r="J35" i="22"/>
  <c r="I35" i="22"/>
  <c r="J43" i="22"/>
  <c r="I43" i="22"/>
  <c r="J47" i="22"/>
  <c r="I47" i="22"/>
  <c r="AA75" i="22"/>
  <c r="Z75" i="22" s="1"/>
  <c r="Y75" i="22" s="1"/>
  <c r="G75" i="22"/>
  <c r="CC75" i="6" s="1"/>
  <c r="H75" i="22"/>
  <c r="G87" i="22"/>
  <c r="CC87" i="6" s="1"/>
  <c r="AA87" i="22"/>
  <c r="Z87" i="22" s="1"/>
  <c r="Y87" i="22" s="1"/>
  <c r="H87" i="22"/>
  <c r="D119" i="22"/>
  <c r="E119" i="22" s="1"/>
  <c r="F119" i="22" s="1"/>
  <c r="W119" i="22"/>
  <c r="H123" i="22"/>
  <c r="AA123" i="22"/>
  <c r="Z123" i="22" s="1"/>
  <c r="Y123" i="22" s="1"/>
  <c r="G123" i="22"/>
  <c r="CC123" i="6" s="1"/>
  <c r="AA139" i="22"/>
  <c r="Z139" i="22" s="1"/>
  <c r="Y139" i="22" s="1"/>
  <c r="H139" i="22"/>
  <c r="G139" i="22"/>
  <c r="CC139" i="6" s="1"/>
  <c r="J143" i="22"/>
  <c r="I143" i="22"/>
  <c r="AA167" i="22"/>
  <c r="Z167" i="22" s="1"/>
  <c r="Y167" i="22" s="1"/>
  <c r="G167" i="22"/>
  <c r="CC167" i="6" s="1"/>
  <c r="H167" i="22"/>
  <c r="J171" i="22"/>
  <c r="I171" i="22"/>
  <c r="I175" i="22"/>
  <c r="J175" i="22"/>
  <c r="G179" i="22"/>
  <c r="CC179" i="6" s="1"/>
  <c r="H179" i="22"/>
  <c r="AA179" i="22"/>
  <c r="Z179" i="22" s="1"/>
  <c r="Y179" i="22" s="1"/>
  <c r="J191" i="22"/>
  <c r="I191" i="22"/>
  <c r="J195" i="22"/>
  <c r="I195" i="22"/>
  <c r="J219" i="22"/>
  <c r="I219" i="22"/>
  <c r="W227" i="22"/>
  <c r="D227" i="22"/>
  <c r="E227" i="22" s="1"/>
  <c r="F227" i="22" s="1"/>
  <c r="G239" i="22"/>
  <c r="CC239" i="6" s="1"/>
  <c r="AA239" i="22"/>
  <c r="Z239" i="22" s="1"/>
  <c r="Y239" i="22" s="1"/>
  <c r="H239" i="22"/>
  <c r="I243" i="22"/>
  <c r="J243" i="22"/>
  <c r="I275" i="22"/>
  <c r="J275" i="22"/>
  <c r="I279" i="22"/>
  <c r="J279" i="22"/>
  <c r="G323" i="22"/>
  <c r="CC323" i="6" s="1"/>
  <c r="AA323" i="22"/>
  <c r="Z323" i="22" s="1"/>
  <c r="Y323" i="22" s="1"/>
  <c r="H323" i="22"/>
  <c r="J327" i="22"/>
  <c r="I327" i="22"/>
  <c r="AA335" i="22"/>
  <c r="Z335" i="22" s="1"/>
  <c r="Y335" i="22" s="1"/>
  <c r="G335" i="22"/>
  <c r="CC335" i="6" s="1"/>
  <c r="H335" i="22"/>
  <c r="I347" i="22"/>
  <c r="J347" i="22"/>
  <c r="G351" i="22"/>
  <c r="CC351" i="6" s="1"/>
  <c r="H351" i="22"/>
  <c r="AA351" i="22"/>
  <c r="Z351" i="22" s="1"/>
  <c r="Y351" i="22" s="1"/>
  <c r="S372" i="23"/>
  <c r="R372" i="23" s="1"/>
  <c r="P372" i="23" s="1"/>
  <c r="V372" i="23" s="1"/>
  <c r="B372" i="23" s="1"/>
  <c r="S356" i="23"/>
  <c r="R356" i="23" s="1"/>
  <c r="P356" i="23" s="1"/>
  <c r="V356" i="23" s="1"/>
  <c r="B356" i="23" s="1"/>
  <c r="S348" i="23"/>
  <c r="R348" i="23" s="1"/>
  <c r="P348" i="23" s="1"/>
  <c r="V348" i="23" s="1"/>
  <c r="B348" i="23" s="1"/>
  <c r="S344" i="23"/>
  <c r="R344" i="23" s="1"/>
  <c r="P344" i="23" s="1"/>
  <c r="V344" i="23" s="1"/>
  <c r="B344" i="23" s="1"/>
  <c r="S340" i="23"/>
  <c r="R340" i="23" s="1"/>
  <c r="P340" i="23" s="1"/>
  <c r="V340" i="23" s="1"/>
  <c r="B340" i="23" s="1"/>
  <c r="S336" i="23"/>
  <c r="R336" i="23" s="1"/>
  <c r="P336" i="23" s="1"/>
  <c r="V336" i="23" s="1"/>
  <c r="B336" i="23" s="1"/>
  <c r="S332" i="23"/>
  <c r="R332" i="23" s="1"/>
  <c r="P332" i="23" s="1"/>
  <c r="V332" i="23" s="1"/>
  <c r="B332" i="23" s="1"/>
  <c r="W330" i="23"/>
  <c r="S324" i="23"/>
  <c r="R324" i="23" s="1"/>
  <c r="P324" i="23" s="1"/>
  <c r="V324" i="23" s="1"/>
  <c r="B324" i="23" s="1"/>
  <c r="S318" i="23"/>
  <c r="R318" i="23" s="1"/>
  <c r="P318" i="23" s="1"/>
  <c r="V318" i="23" s="1"/>
  <c r="B318" i="23" s="1"/>
  <c r="S312" i="23"/>
  <c r="R312" i="23" s="1"/>
  <c r="P312" i="23" s="1"/>
  <c r="V312" i="23" s="1"/>
  <c r="B312" i="23" s="1"/>
  <c r="S308" i="23"/>
  <c r="R308" i="23" s="1"/>
  <c r="P308" i="23" s="1"/>
  <c r="V308" i="23" s="1"/>
  <c r="B308" i="23" s="1"/>
  <c r="S304" i="23"/>
  <c r="R304" i="23" s="1"/>
  <c r="P304" i="23" s="1"/>
  <c r="V304" i="23" s="1"/>
  <c r="B304" i="23" s="1"/>
  <c r="S300" i="23"/>
  <c r="R300" i="23" s="1"/>
  <c r="P300" i="23" s="1"/>
  <c r="V300" i="23" s="1"/>
  <c r="B300" i="23" s="1"/>
  <c r="S298" i="23"/>
  <c r="R298" i="23" s="1"/>
  <c r="P298" i="23" s="1"/>
  <c r="V298" i="23" s="1"/>
  <c r="B298" i="23" s="1"/>
  <c r="S294" i="23"/>
  <c r="R294" i="23" s="1"/>
  <c r="P294" i="23" s="1"/>
  <c r="V294" i="23" s="1"/>
  <c r="B294" i="23" s="1"/>
  <c r="S292" i="23"/>
  <c r="R292" i="23" s="1"/>
  <c r="P292" i="23" s="1"/>
  <c r="V292" i="23" s="1"/>
  <c r="B292" i="23" s="1"/>
  <c r="S284" i="23"/>
  <c r="R284" i="23" s="1"/>
  <c r="P284" i="23" s="1"/>
  <c r="V284" i="23" s="1"/>
  <c r="B284" i="23" s="1"/>
  <c r="S282" i="23"/>
  <c r="R282" i="23" s="1"/>
  <c r="P282" i="23" s="1"/>
  <c r="V282" i="23" s="1"/>
  <c r="B282" i="23" s="1"/>
  <c r="S280" i="23"/>
  <c r="R280" i="23" s="1"/>
  <c r="P280" i="23" s="1"/>
  <c r="V280" i="23" s="1"/>
  <c r="B280" i="23" s="1"/>
  <c r="S276" i="23"/>
  <c r="R276" i="23" s="1"/>
  <c r="P276" i="23" s="1"/>
  <c r="V276" i="23" s="1"/>
  <c r="B276" i="23" s="1"/>
  <c r="S272" i="23"/>
  <c r="R272" i="23" s="1"/>
  <c r="P272" i="23" s="1"/>
  <c r="S266" i="23"/>
  <c r="R266" i="23" s="1"/>
  <c r="P266" i="23" s="1"/>
  <c r="V266" i="23" s="1"/>
  <c r="B266" i="23" s="1"/>
  <c r="S262" i="23"/>
  <c r="R262" i="23" s="1"/>
  <c r="P262" i="23" s="1"/>
  <c r="V262" i="23" s="1"/>
  <c r="B262" i="23" s="1"/>
  <c r="S254" i="23"/>
  <c r="R254" i="23" s="1"/>
  <c r="P254" i="23" s="1"/>
  <c r="V254" i="23" s="1"/>
  <c r="B254" i="23" s="1"/>
  <c r="S252" i="23"/>
  <c r="R252" i="23" s="1"/>
  <c r="P252" i="23" s="1"/>
  <c r="V252" i="23" s="1"/>
  <c r="B252" i="23" s="1"/>
  <c r="S250" i="23"/>
  <c r="R250" i="23" s="1"/>
  <c r="P250" i="23" s="1"/>
  <c r="V250" i="23" s="1"/>
  <c r="B250" i="23" s="1"/>
  <c r="S244" i="23"/>
  <c r="R244" i="23" s="1"/>
  <c r="P244" i="23" s="1"/>
  <c r="V244" i="23" s="1"/>
  <c r="B244" i="23" s="1"/>
  <c r="W242" i="23"/>
  <c r="S236" i="23"/>
  <c r="R236" i="23" s="1"/>
  <c r="P236" i="23" s="1"/>
  <c r="V236" i="23" s="1"/>
  <c r="B236" i="23" s="1"/>
  <c r="S234" i="23"/>
  <c r="R234" i="23" s="1"/>
  <c r="P234" i="23" s="1"/>
  <c r="V234" i="23" s="1"/>
  <c r="B234" i="23" s="1"/>
  <c r="S228" i="23"/>
  <c r="R228" i="23" s="1"/>
  <c r="P228" i="23" s="1"/>
  <c r="V228" i="23" s="1"/>
  <c r="B228" i="23" s="1"/>
  <c r="S226" i="23"/>
  <c r="R226" i="23" s="1"/>
  <c r="P226" i="23" s="1"/>
  <c r="V226" i="23" s="1"/>
  <c r="B226" i="23" s="1"/>
  <c r="S220" i="23"/>
  <c r="R220" i="23" s="1"/>
  <c r="P220" i="23" s="1"/>
  <c r="V220" i="23" s="1"/>
  <c r="B220" i="23" s="1"/>
  <c r="S218" i="23"/>
  <c r="R218" i="23" s="1"/>
  <c r="P218" i="23" s="1"/>
  <c r="V218" i="23" s="1"/>
  <c r="B218" i="23" s="1"/>
  <c r="S212" i="23"/>
  <c r="R212" i="23" s="1"/>
  <c r="P212" i="23" s="1"/>
  <c r="V212" i="23" s="1"/>
  <c r="B212" i="23" s="1"/>
  <c r="S204" i="23"/>
  <c r="R204" i="23" s="1"/>
  <c r="P204" i="23" s="1"/>
  <c r="V204" i="23" s="1"/>
  <c r="B204" i="23" s="1"/>
  <c r="S194" i="23"/>
  <c r="R194" i="23" s="1"/>
  <c r="P194" i="23" s="1"/>
  <c r="V194" i="23" s="1"/>
  <c r="B194" i="23" s="1"/>
  <c r="S184" i="23"/>
  <c r="R184" i="23" s="1"/>
  <c r="P184" i="23" s="1"/>
  <c r="V184" i="23" s="1"/>
  <c r="B184" i="23" s="1"/>
  <c r="S180" i="23"/>
  <c r="R180" i="23" s="1"/>
  <c r="P180" i="23" s="1"/>
  <c r="S176" i="23"/>
  <c r="R176" i="23" s="1"/>
  <c r="P176" i="23" s="1"/>
  <c r="V176" i="23" s="1"/>
  <c r="B176" i="23" s="1"/>
  <c r="S172" i="23"/>
  <c r="R172" i="23" s="1"/>
  <c r="P172" i="23" s="1"/>
  <c r="V172" i="23" s="1"/>
  <c r="B172" i="23" s="1"/>
  <c r="S170" i="23"/>
  <c r="R170" i="23" s="1"/>
  <c r="P170" i="23" s="1"/>
  <c r="V170" i="23" s="1"/>
  <c r="B170" i="23" s="1"/>
  <c r="S166" i="23"/>
  <c r="R166" i="23" s="1"/>
  <c r="P166" i="23" s="1"/>
  <c r="V166" i="23" s="1"/>
  <c r="S164" i="23"/>
  <c r="R164" i="23" s="1"/>
  <c r="P164" i="23" s="1"/>
  <c r="V164" i="23" s="1"/>
  <c r="B164" i="23" s="1"/>
  <c r="S162" i="23"/>
  <c r="R162" i="23" s="1"/>
  <c r="P162" i="23" s="1"/>
  <c r="V162" i="23" s="1"/>
  <c r="B162" i="23" s="1"/>
  <c r="S156" i="23"/>
  <c r="R156" i="23" s="1"/>
  <c r="P156" i="23" s="1"/>
  <c r="V156" i="23" s="1"/>
  <c r="B156" i="23" s="1"/>
  <c r="S154" i="23"/>
  <c r="R154" i="23" s="1"/>
  <c r="P154" i="23" s="1"/>
  <c r="V154" i="23" s="1"/>
  <c r="B154" i="23" s="1"/>
  <c r="S150" i="23"/>
  <c r="R150" i="23" s="1"/>
  <c r="P150" i="23" s="1"/>
  <c r="V150" i="23" s="1"/>
  <c r="B150" i="23" s="1"/>
  <c r="S148" i="23"/>
  <c r="R148" i="23" s="1"/>
  <c r="P148" i="23" s="1"/>
  <c r="V148" i="23" s="1"/>
  <c r="B148" i="23" s="1"/>
  <c r="S146" i="23"/>
  <c r="R146" i="23" s="1"/>
  <c r="P146" i="23" s="1"/>
  <c r="V146" i="23" s="1"/>
  <c r="B146" i="23" s="1"/>
  <c r="S140" i="23"/>
  <c r="R140" i="23" s="1"/>
  <c r="P140" i="23" s="1"/>
  <c r="V140" i="23" s="1"/>
  <c r="B140" i="23" s="1"/>
  <c r="S138" i="23"/>
  <c r="R138" i="23" s="1"/>
  <c r="P138" i="23" s="1"/>
  <c r="V138" i="23" s="1"/>
  <c r="B138" i="23" s="1"/>
  <c r="S132" i="23"/>
  <c r="R132" i="23" s="1"/>
  <c r="P132" i="23" s="1"/>
  <c r="V132" i="23" s="1"/>
  <c r="B132" i="23" s="1"/>
  <c r="S126" i="23"/>
  <c r="R126" i="23" s="1"/>
  <c r="P126" i="23" s="1"/>
  <c r="V126" i="23" s="1"/>
  <c r="B126" i="23" s="1"/>
  <c r="S120" i="23"/>
  <c r="R120" i="23" s="1"/>
  <c r="P120" i="23" s="1"/>
  <c r="V120" i="23" s="1"/>
  <c r="B120" i="23" s="1"/>
  <c r="S116" i="23"/>
  <c r="R116" i="23" s="1"/>
  <c r="P116" i="23" s="1"/>
  <c r="V116" i="23" s="1"/>
  <c r="B116" i="23" s="1"/>
  <c r="S114" i="23"/>
  <c r="R114" i="23" s="1"/>
  <c r="P114" i="23" s="1"/>
  <c r="V114" i="23" s="1"/>
  <c r="B114" i="23" s="1"/>
  <c r="S108" i="23"/>
  <c r="R108" i="23" s="1"/>
  <c r="P108" i="23" s="1"/>
  <c r="V108" i="23" s="1"/>
  <c r="B108" i="23" s="1"/>
  <c r="S98" i="23"/>
  <c r="R98" i="23" s="1"/>
  <c r="P98" i="23" s="1"/>
  <c r="V98" i="23" s="1"/>
  <c r="B98" i="23" s="1"/>
  <c r="S92" i="23"/>
  <c r="R92" i="23" s="1"/>
  <c r="P92" i="23" s="1"/>
  <c r="V92" i="23" s="1"/>
  <c r="B92" i="23" s="1"/>
  <c r="S90" i="23"/>
  <c r="R90" i="23" s="1"/>
  <c r="P90" i="23" s="1"/>
  <c r="V90" i="23" s="1"/>
  <c r="B90" i="23" s="1"/>
  <c r="S80" i="23"/>
  <c r="R80" i="23" s="1"/>
  <c r="P80" i="23" s="1"/>
  <c r="V80" i="23" s="1"/>
  <c r="B80" i="23" s="1"/>
  <c r="S76" i="23"/>
  <c r="R76" i="23" s="1"/>
  <c r="P76" i="23" s="1"/>
  <c r="V76" i="23" s="1"/>
  <c r="B76" i="23" s="1"/>
  <c r="S68" i="23"/>
  <c r="R68" i="23" s="1"/>
  <c r="P68" i="23" s="1"/>
  <c r="V68" i="23" s="1"/>
  <c r="B68" i="23" s="1"/>
  <c r="S60" i="23"/>
  <c r="R60" i="23" s="1"/>
  <c r="P60" i="23" s="1"/>
  <c r="S52" i="23"/>
  <c r="R52" i="23" s="1"/>
  <c r="P52" i="23" s="1"/>
  <c r="V52" i="23" s="1"/>
  <c r="B52" i="23" s="1"/>
  <c r="S44" i="23"/>
  <c r="R44" i="23" s="1"/>
  <c r="P44" i="23" s="1"/>
  <c r="V44" i="23" s="1"/>
  <c r="B44" i="23" s="1"/>
  <c r="S36" i="23"/>
  <c r="R36" i="23" s="1"/>
  <c r="P36" i="23" s="1"/>
  <c r="V36" i="23" s="1"/>
  <c r="B36" i="23" s="1"/>
  <c r="S28" i="23"/>
  <c r="R28" i="23" s="1"/>
  <c r="P28" i="23" s="1"/>
  <c r="V28" i="23" s="1"/>
  <c r="B28" i="23" s="1"/>
  <c r="S19" i="23"/>
  <c r="R19" i="23" s="1"/>
  <c r="P19" i="23" s="1"/>
  <c r="V19" i="23" s="1"/>
  <c r="B19" i="23" s="1"/>
  <c r="B66" i="19"/>
  <c r="V380" i="20"/>
  <c r="V381" i="20" s="1"/>
  <c r="I24" i="22"/>
  <c r="J24" i="22"/>
  <c r="G84" i="22"/>
  <c r="CC84" i="6" s="1"/>
  <c r="AA84" i="22"/>
  <c r="Z84" i="22" s="1"/>
  <c r="Y84" i="22" s="1"/>
  <c r="H84" i="22"/>
  <c r="I108" i="22"/>
  <c r="J108" i="22"/>
  <c r="I148" i="22"/>
  <c r="J148" i="22"/>
  <c r="AA184" i="22"/>
  <c r="Z184" i="22" s="1"/>
  <c r="Y184" i="22" s="1"/>
  <c r="G184" i="22"/>
  <c r="CC184" i="6" s="1"/>
  <c r="H184" i="22"/>
  <c r="J192" i="22"/>
  <c r="I192" i="22"/>
  <c r="J216" i="22"/>
  <c r="I216" i="22"/>
  <c r="AA228" i="22"/>
  <c r="Z228" i="22" s="1"/>
  <c r="Y228" i="22" s="1"/>
  <c r="H228" i="22"/>
  <c r="G228" i="22"/>
  <c r="CC228" i="6" s="1"/>
  <c r="I252" i="22"/>
  <c r="J252" i="22"/>
  <c r="J256" i="22"/>
  <c r="I256" i="22"/>
  <c r="AA264" i="22"/>
  <c r="Z264" i="22" s="1"/>
  <c r="Y264" i="22" s="1"/>
  <c r="G264" i="22"/>
  <c r="CC264" i="6" s="1"/>
  <c r="H264" i="22"/>
  <c r="J340" i="22"/>
  <c r="I340" i="22"/>
  <c r="G356" i="22"/>
  <c r="CC356" i="6" s="1"/>
  <c r="H356" i="22"/>
  <c r="AA356" i="22"/>
  <c r="Z356" i="22" s="1"/>
  <c r="Y356" i="22" s="1"/>
  <c r="D29" i="22"/>
  <c r="E29" i="22" s="1"/>
  <c r="F29" i="22" s="1"/>
  <c r="W29" i="22"/>
  <c r="AA33" i="22"/>
  <c r="Z33" i="22" s="1"/>
  <c r="Y33" i="22" s="1"/>
  <c r="H33" i="22"/>
  <c r="G33" i="22"/>
  <c r="CC33" i="6" s="1"/>
  <c r="H37" i="22"/>
  <c r="AA37" i="22"/>
  <c r="Z37" i="22" s="1"/>
  <c r="Y37" i="22" s="1"/>
  <c r="G37" i="22"/>
  <c r="CC37" i="6" s="1"/>
  <c r="J41" i="22"/>
  <c r="I41" i="22"/>
  <c r="I49" i="22"/>
  <c r="J49" i="22"/>
  <c r="J77" i="22"/>
  <c r="I77" i="22"/>
  <c r="G85" i="22"/>
  <c r="CC85" i="6" s="1"/>
  <c r="AA85" i="22"/>
  <c r="Z85" i="22" s="1"/>
  <c r="Y85" i="22" s="1"/>
  <c r="H85" i="22"/>
  <c r="AA89" i="22"/>
  <c r="Z89" i="22" s="1"/>
  <c r="Y89" i="22" s="1"/>
  <c r="G89" i="22"/>
  <c r="CC89" i="6" s="1"/>
  <c r="H89" i="22"/>
  <c r="I93" i="22"/>
  <c r="J93" i="22"/>
  <c r="D105" i="22"/>
  <c r="E105" i="22" s="1"/>
  <c r="F105" i="22" s="1"/>
  <c r="W105" i="22"/>
  <c r="AA113" i="22"/>
  <c r="Z113" i="22" s="1"/>
  <c r="Y113" i="22" s="1"/>
  <c r="H113" i="22"/>
  <c r="G113" i="22"/>
  <c r="CC113" i="6" s="1"/>
  <c r="J117" i="22"/>
  <c r="I117" i="22"/>
  <c r="G137" i="22"/>
  <c r="CC137" i="6" s="1"/>
  <c r="AA137" i="22"/>
  <c r="Z137" i="22" s="1"/>
  <c r="Y137" i="22" s="1"/>
  <c r="H137" i="22"/>
  <c r="J141" i="22"/>
  <c r="I141" i="22"/>
  <c r="I153" i="22"/>
  <c r="J153" i="22"/>
  <c r="J201" i="22"/>
  <c r="I201" i="22"/>
  <c r="I205" i="22"/>
  <c r="J281" i="22"/>
  <c r="I281" i="22"/>
  <c r="J325" i="22"/>
  <c r="I325" i="22"/>
  <c r="I345" i="22"/>
  <c r="J345" i="22"/>
  <c r="J369" i="22"/>
  <c r="I369" i="22"/>
  <c r="B15" i="20"/>
  <c r="AK5" i="20" s="1"/>
  <c r="D383" i="18"/>
  <c r="D382" i="18"/>
  <c r="D9" i="18"/>
  <c r="D11" i="18" s="1"/>
  <c r="E39" i="19" s="1"/>
  <c r="E15" i="18"/>
  <c r="D381" i="18"/>
  <c r="I26" i="22"/>
  <c r="J26" i="22"/>
  <c r="J70" i="22"/>
  <c r="I70" i="22"/>
  <c r="I82" i="22"/>
  <c r="J82" i="22"/>
  <c r="I106" i="22"/>
  <c r="J106" i="22"/>
  <c r="I126" i="22"/>
  <c r="J126" i="22"/>
  <c r="J214" i="22"/>
  <c r="I214" i="22"/>
  <c r="J254" i="22"/>
  <c r="I254" i="22"/>
  <c r="J278" i="22"/>
  <c r="I278" i="22"/>
  <c r="I282" i="22"/>
  <c r="J282" i="22"/>
  <c r="I290" i="22"/>
  <c r="J290" i="22"/>
  <c r="AA302" i="22"/>
  <c r="Z302" i="22" s="1"/>
  <c r="Y302" i="22" s="1"/>
  <c r="H302" i="22"/>
  <c r="G302" i="22"/>
  <c r="CC302" i="6" s="1"/>
  <c r="I322" i="22"/>
  <c r="J322" i="22"/>
  <c r="J354" i="22"/>
  <c r="I354" i="22"/>
  <c r="J366" i="22"/>
  <c r="I366" i="22"/>
  <c r="I67" i="22"/>
  <c r="J67" i="22"/>
  <c r="I115" i="22"/>
  <c r="J115" i="22"/>
  <c r="J127" i="22"/>
  <c r="I127" i="22"/>
  <c r="I147" i="22"/>
  <c r="J147" i="22"/>
  <c r="I155" i="22"/>
  <c r="J155" i="22"/>
  <c r="J159" i="22"/>
  <c r="I159" i="22"/>
  <c r="J183" i="22"/>
  <c r="I183" i="22"/>
  <c r="J199" i="22"/>
  <c r="I199" i="22"/>
  <c r="I283" i="22"/>
  <c r="J283" i="22"/>
  <c r="J311" i="22"/>
  <c r="I311" i="22"/>
  <c r="G363" i="22"/>
  <c r="CC363" i="6" s="1"/>
  <c r="AA363" i="22"/>
  <c r="Z363" i="22" s="1"/>
  <c r="Y363" i="22" s="1"/>
  <c r="H363" i="22"/>
  <c r="J367" i="22"/>
  <c r="I367" i="22"/>
  <c r="I48" i="22"/>
  <c r="J48" i="22"/>
  <c r="G60" i="22"/>
  <c r="CC60" i="6" s="1"/>
  <c r="AA60" i="22"/>
  <c r="Z60" i="22" s="1"/>
  <c r="Y60" i="22" s="1"/>
  <c r="H60" i="22"/>
  <c r="G88" i="22"/>
  <c r="CC88" i="6" s="1"/>
  <c r="AA88" i="22"/>
  <c r="Z88" i="22" s="1"/>
  <c r="Y88" i="22" s="1"/>
  <c r="H88" i="22"/>
  <c r="I144" i="22"/>
  <c r="J144" i="22"/>
  <c r="I176" i="22"/>
  <c r="J176" i="22"/>
  <c r="I212" i="22"/>
  <c r="J212" i="22"/>
  <c r="J232" i="22"/>
  <c r="I232" i="22"/>
  <c r="J240" i="22"/>
  <c r="I240" i="22"/>
  <c r="J280" i="22"/>
  <c r="I280" i="22"/>
  <c r="J344" i="22"/>
  <c r="I344" i="22"/>
  <c r="I352" i="22"/>
  <c r="J352" i="22"/>
  <c r="J360" i="22"/>
  <c r="I360" i="22"/>
  <c r="G319" i="22"/>
  <c r="CC319" i="6" s="1"/>
  <c r="H319" i="22"/>
  <c r="AA319" i="22"/>
  <c r="Z319" i="22" s="1"/>
  <c r="Y319" i="22" s="1"/>
  <c r="I100" i="22"/>
  <c r="J100" i="22"/>
  <c r="J152" i="22"/>
  <c r="I152" i="22"/>
  <c r="AA172" i="22"/>
  <c r="Z172" i="22" s="1"/>
  <c r="Y172" i="22" s="1"/>
  <c r="H172" i="22"/>
  <c r="G172" i="22"/>
  <c r="CC172" i="6" s="1"/>
  <c r="J188" i="22"/>
  <c r="I188" i="22"/>
  <c r="G244" i="22"/>
  <c r="CC244" i="6" s="1"/>
  <c r="H244" i="22"/>
  <c r="AA244" i="22"/>
  <c r="Z244" i="22" s="1"/>
  <c r="Y244" i="22" s="1"/>
  <c r="J260" i="22"/>
  <c r="I260" i="22"/>
  <c r="I296" i="22"/>
  <c r="J296" i="22"/>
  <c r="G320" i="22"/>
  <c r="CC320" i="6" s="1"/>
  <c r="H320" i="22"/>
  <c r="AA320" i="22"/>
  <c r="Z320" i="22" s="1"/>
  <c r="Y320" i="22" s="1"/>
  <c r="I372" i="22"/>
  <c r="J372" i="22"/>
  <c r="H73" i="22"/>
  <c r="AA73" i="22"/>
  <c r="Z73" i="22" s="1"/>
  <c r="Y73" i="22" s="1"/>
  <c r="G73" i="22"/>
  <c r="CC73" i="6" s="1"/>
  <c r="G109" i="22"/>
  <c r="CC109" i="6" s="1"/>
  <c r="AA109" i="22"/>
  <c r="Z109" i="22" s="1"/>
  <c r="Y109" i="22" s="1"/>
  <c r="H109" i="22"/>
  <c r="G193" i="22"/>
  <c r="CC193" i="6" s="1"/>
  <c r="AA193" i="22"/>
  <c r="Z193" i="22" s="1"/>
  <c r="Y193" i="22" s="1"/>
  <c r="H193" i="22"/>
  <c r="AA257" i="22"/>
  <c r="Z257" i="22" s="1"/>
  <c r="Y257" i="22" s="1"/>
  <c r="H257" i="22"/>
  <c r="G257" i="22"/>
  <c r="CC257" i="6" s="1"/>
  <c r="AA269" i="22"/>
  <c r="Z269" i="22" s="1"/>
  <c r="Y269" i="22" s="1"/>
  <c r="G269" i="22"/>
  <c r="CC269" i="6" s="1"/>
  <c r="H269" i="22"/>
  <c r="G78" i="22"/>
  <c r="CC78" i="6" s="1"/>
  <c r="AA78" i="22"/>
  <c r="Z78" i="22" s="1"/>
  <c r="Y78" i="22" s="1"/>
  <c r="H78" i="22"/>
  <c r="G90" i="22"/>
  <c r="CC90" i="6" s="1"/>
  <c r="AA90" i="22"/>
  <c r="Z90" i="22" s="1"/>
  <c r="Y90" i="22" s="1"/>
  <c r="H90" i="22"/>
  <c r="G114" i="22"/>
  <c r="CC114" i="6" s="1"/>
  <c r="AA114" i="22"/>
  <c r="Z114" i="22" s="1"/>
  <c r="Y114" i="22" s="1"/>
  <c r="H114" i="22"/>
  <c r="G146" i="22"/>
  <c r="CC146" i="6" s="1"/>
  <c r="H146" i="22"/>
  <c r="AA146" i="22"/>
  <c r="Z146" i="22" s="1"/>
  <c r="Y146" i="22" s="1"/>
  <c r="AA154" i="22"/>
  <c r="Z154" i="22" s="1"/>
  <c r="Y154" i="22" s="1"/>
  <c r="H154" i="22"/>
  <c r="G154" i="22"/>
  <c r="CC154" i="6" s="1"/>
  <c r="AA194" i="22"/>
  <c r="Z194" i="22" s="1"/>
  <c r="Y194" i="22" s="1"/>
  <c r="G194" i="22"/>
  <c r="CC194" i="6" s="1"/>
  <c r="H194" i="22"/>
  <c r="G246" i="22"/>
  <c r="CC246" i="6" s="1"/>
  <c r="H246" i="22"/>
  <c r="AA246" i="22"/>
  <c r="Z246" i="22" s="1"/>
  <c r="Y246" i="22" s="1"/>
  <c r="H314" i="22"/>
  <c r="AA314" i="22"/>
  <c r="Z314" i="22" s="1"/>
  <c r="Y314" i="22" s="1"/>
  <c r="G314" i="22"/>
  <c r="CC314" i="6" s="1"/>
  <c r="AA51" i="22"/>
  <c r="Z51" i="22" s="1"/>
  <c r="Y51" i="22" s="1"/>
  <c r="G51" i="22"/>
  <c r="CC51" i="6" s="1"/>
  <c r="H51" i="22"/>
  <c r="G59" i="22"/>
  <c r="CC59" i="6" s="1"/>
  <c r="H59" i="22"/>
  <c r="AA59" i="22"/>
  <c r="Z59" i="22" s="1"/>
  <c r="Y59" i="22" s="1"/>
  <c r="G163" i="22"/>
  <c r="CC163" i="6" s="1"/>
  <c r="H163" i="22"/>
  <c r="AA163" i="22"/>
  <c r="Z163" i="22" s="1"/>
  <c r="Y163" i="22" s="1"/>
  <c r="H211" i="22"/>
  <c r="G211" i="22"/>
  <c r="CC211" i="6" s="1"/>
  <c r="AA211" i="22"/>
  <c r="Z211" i="22" s="1"/>
  <c r="Y211" i="22" s="1"/>
  <c r="H371" i="22"/>
  <c r="G371" i="22"/>
  <c r="CC371" i="6" s="1"/>
  <c r="AA371" i="22"/>
  <c r="Z371" i="22" s="1"/>
  <c r="Y371" i="22" s="1"/>
  <c r="AA80" i="22"/>
  <c r="Z80" i="22" s="1"/>
  <c r="Y80" i="22" s="1"/>
  <c r="G80" i="22"/>
  <c r="CC80" i="6" s="1"/>
  <c r="H80" i="22"/>
  <c r="G96" i="22"/>
  <c r="CC96" i="6" s="1"/>
  <c r="H96" i="22"/>
  <c r="AA96" i="22"/>
  <c r="Z96" i="22" s="1"/>
  <c r="Y96" i="22" s="1"/>
  <c r="AA116" i="22"/>
  <c r="Z116" i="22" s="1"/>
  <c r="Y116" i="22" s="1"/>
  <c r="H116" i="22"/>
  <c r="G116" i="22"/>
  <c r="CC116" i="6" s="1"/>
  <c r="G128" i="22"/>
  <c r="CC128" i="6" s="1"/>
  <c r="AA128" i="22"/>
  <c r="Z128" i="22" s="1"/>
  <c r="Y128" i="22" s="1"/>
  <c r="H128" i="22"/>
  <c r="G160" i="22"/>
  <c r="CC160" i="6" s="1"/>
  <c r="H160" i="22"/>
  <c r="AA160" i="22"/>
  <c r="Z160" i="22" s="1"/>
  <c r="Y160" i="22" s="1"/>
  <c r="G208" i="22"/>
  <c r="CC208" i="6" s="1"/>
  <c r="AA208" i="22"/>
  <c r="Z208" i="22" s="1"/>
  <c r="Y208" i="22" s="1"/>
  <c r="H208" i="22"/>
  <c r="AA61" i="22"/>
  <c r="Z61" i="22" s="1"/>
  <c r="Y61" i="22" s="1"/>
  <c r="G61" i="22"/>
  <c r="CC61" i="6" s="1"/>
  <c r="G145" i="22"/>
  <c r="CC145" i="6" s="1"/>
  <c r="AA145" i="22"/>
  <c r="Z145" i="22" s="1"/>
  <c r="Y145" i="22" s="1"/>
  <c r="H145" i="22"/>
  <c r="AA189" i="22"/>
  <c r="Z189" i="22" s="1"/>
  <c r="Y189" i="22" s="1"/>
  <c r="G189" i="22"/>
  <c r="CC189" i="6" s="1"/>
  <c r="G261" i="22"/>
  <c r="CC261" i="6" s="1"/>
  <c r="AA261" i="22"/>
  <c r="Z261" i="22" s="1"/>
  <c r="Y261" i="22" s="1"/>
  <c r="H261" i="22"/>
  <c r="G273" i="22"/>
  <c r="CC273" i="6" s="1"/>
  <c r="H273" i="22"/>
  <c r="AA273" i="22"/>
  <c r="Z273" i="22" s="1"/>
  <c r="Y273" i="22" s="1"/>
  <c r="G50" i="22"/>
  <c r="CC50" i="6" s="1"/>
  <c r="AA50" i="22"/>
  <c r="Z50" i="22" s="1"/>
  <c r="Y50" i="22" s="1"/>
  <c r="H50" i="22"/>
  <c r="AA102" i="22"/>
  <c r="Z102" i="22" s="1"/>
  <c r="Y102" i="22" s="1"/>
  <c r="H102" i="22"/>
  <c r="G102" i="22"/>
  <c r="CC102" i="6" s="1"/>
  <c r="AA150" i="22"/>
  <c r="Z150" i="22" s="1"/>
  <c r="Y150" i="22" s="1"/>
  <c r="G150" i="22"/>
  <c r="CC150" i="6" s="1"/>
  <c r="H150" i="22"/>
  <c r="AA178" i="22"/>
  <c r="Z178" i="22" s="1"/>
  <c r="Y178" i="22" s="1"/>
  <c r="G178" i="22"/>
  <c r="CC178" i="6" s="1"/>
  <c r="H178" i="22"/>
  <c r="H198" i="22"/>
  <c r="AA198" i="22"/>
  <c r="Z198" i="22" s="1"/>
  <c r="Y198" i="22" s="1"/>
  <c r="G198" i="22"/>
  <c r="CC198" i="6" s="1"/>
  <c r="G226" i="22"/>
  <c r="CC226" i="6" s="1"/>
  <c r="H226" i="22"/>
  <c r="AA226" i="22"/>
  <c r="Z226" i="22" s="1"/>
  <c r="Y226" i="22" s="1"/>
  <c r="H242" i="22"/>
  <c r="G242" i="22"/>
  <c r="CC242" i="6" s="1"/>
  <c r="AA242" i="22"/>
  <c r="Z242" i="22" s="1"/>
  <c r="Y242" i="22" s="1"/>
  <c r="AA334" i="22"/>
  <c r="Z334" i="22" s="1"/>
  <c r="Y334" i="22" s="1"/>
  <c r="H334" i="22"/>
  <c r="G334" i="22"/>
  <c r="CC334" i="6" s="1"/>
  <c r="AA346" i="22"/>
  <c r="Z346" i="22" s="1"/>
  <c r="Y346" i="22" s="1"/>
  <c r="G346" i="22"/>
  <c r="CC346" i="6" s="1"/>
  <c r="H346" i="22"/>
  <c r="AA19" i="22"/>
  <c r="Z19" i="22" s="1"/>
  <c r="Y19" i="22" s="1"/>
  <c r="G19" i="22"/>
  <c r="CC19" i="6" s="1"/>
  <c r="H19" i="22"/>
  <c r="G71" i="22"/>
  <c r="CC71" i="6" s="1"/>
  <c r="AA71" i="22"/>
  <c r="Z71" i="22" s="1"/>
  <c r="Y71" i="22" s="1"/>
  <c r="H71" i="22"/>
  <c r="AA251" i="22"/>
  <c r="Z251" i="22" s="1"/>
  <c r="Y251" i="22" s="1"/>
  <c r="H251" i="22"/>
  <c r="G251" i="22"/>
  <c r="CC251" i="6" s="1"/>
  <c r="G295" i="22"/>
  <c r="CC295" i="6" s="1"/>
  <c r="H295" i="22"/>
  <c r="AA295" i="22"/>
  <c r="Z295" i="22" s="1"/>
  <c r="Y295" i="22" s="1"/>
  <c r="AA52" i="22"/>
  <c r="Z52" i="22" s="1"/>
  <c r="Y52" i="22" s="1"/>
  <c r="H52" i="22"/>
  <c r="G52" i="22"/>
  <c r="CC52" i="6" s="1"/>
  <c r="AA92" i="22"/>
  <c r="Z92" i="22" s="1"/>
  <c r="Y92" i="22" s="1"/>
  <c r="G92" i="22"/>
  <c r="CC92" i="6" s="1"/>
  <c r="H92" i="22"/>
  <c r="AA224" i="22"/>
  <c r="Z224" i="22" s="1"/>
  <c r="Y224" i="22" s="1"/>
  <c r="H224" i="22"/>
  <c r="G224" i="22"/>
  <c r="CC224" i="6" s="1"/>
  <c r="G308" i="22"/>
  <c r="CC308" i="6" s="1"/>
  <c r="AA308" i="22"/>
  <c r="Z308" i="22" s="1"/>
  <c r="Y308" i="22" s="1"/>
  <c r="H308" i="22"/>
  <c r="AI154" i="23" l="1"/>
  <c r="AH154" i="23" s="1"/>
  <c r="AG154" i="23" s="1"/>
  <c r="AF154" i="23" s="1"/>
  <c r="AD154" i="23" s="1"/>
  <c r="AI138" i="23"/>
  <c r="AH138" i="23" s="1"/>
  <c r="AG138" i="23" s="1"/>
  <c r="AF138" i="23" s="1"/>
  <c r="AD138" i="23" s="1"/>
  <c r="AI122" i="23"/>
  <c r="AH122" i="23" s="1"/>
  <c r="AG122" i="23" s="1"/>
  <c r="AF122" i="23" s="1"/>
  <c r="AD122" i="23" s="1"/>
  <c r="AI106" i="23"/>
  <c r="AH106" i="23" s="1"/>
  <c r="AG106" i="23" s="1"/>
  <c r="AF106" i="23" s="1"/>
  <c r="AD106" i="23" s="1"/>
  <c r="AI320" i="23"/>
  <c r="AH320" i="23" s="1"/>
  <c r="AG320" i="23" s="1"/>
  <c r="AF320" i="23" s="1"/>
  <c r="AD320" i="23" s="1"/>
  <c r="AI304" i="23"/>
  <c r="AH304" i="23" s="1"/>
  <c r="AG304" i="23" s="1"/>
  <c r="AF304" i="23" s="1"/>
  <c r="AD304" i="23" s="1"/>
  <c r="AI288" i="23"/>
  <c r="AH288" i="23" s="1"/>
  <c r="AG288" i="23" s="1"/>
  <c r="AF288" i="23" s="1"/>
  <c r="AD288" i="23" s="1"/>
  <c r="AI272" i="23"/>
  <c r="AH272" i="23" s="1"/>
  <c r="AG272" i="23" s="1"/>
  <c r="AF272" i="23" s="1"/>
  <c r="AD272" i="23" s="1"/>
  <c r="AI256" i="23"/>
  <c r="AH256" i="23" s="1"/>
  <c r="AG256" i="23" s="1"/>
  <c r="AF256" i="23" s="1"/>
  <c r="AD256" i="23" s="1"/>
  <c r="AI240" i="23"/>
  <c r="AH240" i="23" s="1"/>
  <c r="AG240" i="23" s="1"/>
  <c r="AF240" i="23" s="1"/>
  <c r="AD240" i="23" s="1"/>
  <c r="AI224" i="23"/>
  <c r="AH224" i="23" s="1"/>
  <c r="AG224" i="23" s="1"/>
  <c r="AF224" i="23" s="1"/>
  <c r="AD224" i="23" s="1"/>
  <c r="AI208" i="23"/>
  <c r="AH208" i="23" s="1"/>
  <c r="AG208" i="23" s="1"/>
  <c r="AF208" i="23" s="1"/>
  <c r="AD208" i="23" s="1"/>
  <c r="AI192" i="23"/>
  <c r="AH192" i="23" s="1"/>
  <c r="AG192" i="23" s="1"/>
  <c r="AF192" i="23" s="1"/>
  <c r="AD192" i="23" s="1"/>
  <c r="AI176" i="23"/>
  <c r="AH176" i="23" s="1"/>
  <c r="AG176" i="23" s="1"/>
  <c r="AF176" i="23" s="1"/>
  <c r="AD176" i="23" s="1"/>
  <c r="AI157" i="23"/>
  <c r="AH157" i="23" s="1"/>
  <c r="AG157" i="23" s="1"/>
  <c r="AF157" i="23" s="1"/>
  <c r="AD157" i="23" s="1"/>
  <c r="AI125" i="23"/>
  <c r="AH125" i="23" s="1"/>
  <c r="AG125" i="23" s="1"/>
  <c r="AF125" i="23" s="1"/>
  <c r="AD125" i="23" s="1"/>
  <c r="AI147" i="23"/>
  <c r="AH147" i="23" s="1"/>
  <c r="AG147" i="23" s="1"/>
  <c r="AF147" i="23" s="1"/>
  <c r="AD147" i="23" s="1"/>
  <c r="AI187" i="23"/>
  <c r="AH187" i="23" s="1"/>
  <c r="AG187" i="23" s="1"/>
  <c r="AF187" i="23" s="1"/>
  <c r="AD187" i="23" s="1"/>
  <c r="AI219" i="23"/>
  <c r="AH219" i="23" s="1"/>
  <c r="AG219" i="23" s="1"/>
  <c r="AF219" i="23" s="1"/>
  <c r="AD219" i="23" s="1"/>
  <c r="AI251" i="23"/>
  <c r="AH251" i="23" s="1"/>
  <c r="AG251" i="23" s="1"/>
  <c r="AF251" i="23" s="1"/>
  <c r="AD251" i="23" s="1"/>
  <c r="AI283" i="23"/>
  <c r="AH283" i="23" s="1"/>
  <c r="AG283" i="23" s="1"/>
  <c r="AF283" i="23" s="1"/>
  <c r="AD283" i="23" s="1"/>
  <c r="AI315" i="23"/>
  <c r="AH315" i="23" s="1"/>
  <c r="AG315" i="23" s="1"/>
  <c r="AF315" i="23" s="1"/>
  <c r="AD315" i="23" s="1"/>
  <c r="AI340" i="23"/>
  <c r="AH340" i="23" s="1"/>
  <c r="AG340" i="23" s="1"/>
  <c r="AF340" i="23" s="1"/>
  <c r="AD340" i="23" s="1"/>
  <c r="AI356" i="23"/>
  <c r="AH356" i="23" s="1"/>
  <c r="AG356" i="23" s="1"/>
  <c r="AF356" i="23" s="1"/>
  <c r="AD356" i="23" s="1"/>
  <c r="AI372" i="23"/>
  <c r="AH372" i="23" s="1"/>
  <c r="AG372" i="23" s="1"/>
  <c r="AF372" i="23" s="1"/>
  <c r="AD372" i="23" s="1"/>
  <c r="AI197" i="23"/>
  <c r="AH197" i="23" s="1"/>
  <c r="AG197" i="23" s="1"/>
  <c r="AF197" i="23" s="1"/>
  <c r="AD197" i="23" s="1"/>
  <c r="AI261" i="23"/>
  <c r="AH261" i="23" s="1"/>
  <c r="AG261" i="23" s="1"/>
  <c r="AF261" i="23" s="1"/>
  <c r="AD261" i="23" s="1"/>
  <c r="AI325" i="23"/>
  <c r="AH325" i="23" s="1"/>
  <c r="AG325" i="23" s="1"/>
  <c r="AF325" i="23" s="1"/>
  <c r="AD325" i="23" s="1"/>
  <c r="AI361" i="23"/>
  <c r="AH361" i="23" s="1"/>
  <c r="AG361" i="23" s="1"/>
  <c r="AF361" i="23" s="1"/>
  <c r="AD361" i="23" s="1"/>
  <c r="AI297" i="23"/>
  <c r="AH297" i="23" s="1"/>
  <c r="AG297" i="23" s="1"/>
  <c r="AF297" i="23" s="1"/>
  <c r="AD297" i="23" s="1"/>
  <c r="AI379" i="23"/>
  <c r="AI169" i="23"/>
  <c r="AH169" i="23" s="1"/>
  <c r="AG169" i="23" s="1"/>
  <c r="AF169" i="23" s="1"/>
  <c r="AD169" i="23" s="1"/>
  <c r="J189" i="20"/>
  <c r="I189" i="20"/>
  <c r="H189" i="22" s="1"/>
  <c r="J189" i="22" s="1"/>
  <c r="J125" i="20"/>
  <c r="I125" i="20"/>
  <c r="H125" i="22" s="1"/>
  <c r="I125" i="22" s="1"/>
  <c r="I61" i="20"/>
  <c r="H61" i="22" s="1"/>
  <c r="J61" i="20"/>
  <c r="G38" i="19"/>
  <c r="D14" i="19"/>
  <c r="E14" i="19" s="1"/>
  <c r="F14" i="19" s="1"/>
  <c r="D7" i="6"/>
  <c r="W7" i="7"/>
  <c r="I383" i="17"/>
  <c r="I382" i="17"/>
  <c r="I381" i="17"/>
  <c r="AI347" i="23"/>
  <c r="AH347" i="23" s="1"/>
  <c r="AG347" i="23" s="1"/>
  <c r="AF347" i="23" s="1"/>
  <c r="AD347" i="23" s="1"/>
  <c r="AI233" i="23"/>
  <c r="AH233" i="23" s="1"/>
  <c r="AG233" i="23" s="1"/>
  <c r="AF233" i="23" s="1"/>
  <c r="AD233" i="23" s="1"/>
  <c r="D189" i="6"/>
  <c r="Z4" i="6"/>
  <c r="D125" i="6"/>
  <c r="U4" i="6"/>
  <c r="D61" i="6"/>
  <c r="Q4" i="6"/>
  <c r="Z382" i="17"/>
  <c r="Z9" i="17"/>
  <c r="Z383" i="17"/>
  <c r="Z381" i="17"/>
  <c r="AL7" i="17"/>
  <c r="Y15" i="17"/>
  <c r="J382" i="17"/>
  <c r="J381" i="17"/>
  <c r="J383" i="17"/>
  <c r="AI127" i="23"/>
  <c r="AH127" i="23" s="1"/>
  <c r="AG127" i="23" s="1"/>
  <c r="AF127" i="23" s="1"/>
  <c r="AD127" i="23" s="1"/>
  <c r="AI257" i="23"/>
  <c r="AH257" i="23" s="1"/>
  <c r="AG257" i="23" s="1"/>
  <c r="AF257" i="23" s="1"/>
  <c r="AD257" i="23" s="1"/>
  <c r="AI321" i="23"/>
  <c r="AH321" i="23" s="1"/>
  <c r="AG321" i="23" s="1"/>
  <c r="AF321" i="23" s="1"/>
  <c r="AD321" i="23" s="1"/>
  <c r="AI359" i="23"/>
  <c r="AH359" i="23" s="1"/>
  <c r="AG359" i="23" s="1"/>
  <c r="AF359" i="23" s="1"/>
  <c r="AD359" i="23" s="1"/>
  <c r="AI143" i="23"/>
  <c r="AH143" i="23" s="1"/>
  <c r="AG143" i="23" s="1"/>
  <c r="AF143" i="23" s="1"/>
  <c r="AD143" i="23" s="1"/>
  <c r="AI185" i="23"/>
  <c r="AH185" i="23" s="1"/>
  <c r="AG185" i="23" s="1"/>
  <c r="AF185" i="23" s="1"/>
  <c r="AD185" i="23" s="1"/>
  <c r="AI217" i="23"/>
  <c r="AH217" i="23" s="1"/>
  <c r="AG217" i="23" s="1"/>
  <c r="AF217" i="23" s="1"/>
  <c r="AD217" i="23" s="1"/>
  <c r="AI249" i="23"/>
  <c r="AH249" i="23" s="1"/>
  <c r="AG249" i="23" s="1"/>
  <c r="AF249" i="23" s="1"/>
  <c r="AD249" i="23" s="1"/>
  <c r="AI281" i="23"/>
  <c r="AH281" i="23" s="1"/>
  <c r="AG281" i="23" s="1"/>
  <c r="AF281" i="23" s="1"/>
  <c r="AD281" i="23" s="1"/>
  <c r="AI313" i="23"/>
  <c r="AH313" i="23" s="1"/>
  <c r="AG313" i="23" s="1"/>
  <c r="AF313" i="23" s="1"/>
  <c r="AD313" i="23" s="1"/>
  <c r="AI339" i="23"/>
  <c r="AH339" i="23" s="1"/>
  <c r="AG339" i="23" s="1"/>
  <c r="AF339" i="23" s="1"/>
  <c r="AD339" i="23" s="1"/>
  <c r="AI355" i="23"/>
  <c r="AH355" i="23" s="1"/>
  <c r="AG355" i="23" s="1"/>
  <c r="AF355" i="23" s="1"/>
  <c r="AD355" i="23" s="1"/>
  <c r="AI371" i="23"/>
  <c r="AH371" i="23" s="1"/>
  <c r="AG371" i="23" s="1"/>
  <c r="AF371" i="23" s="1"/>
  <c r="AD371" i="23" s="1"/>
  <c r="AI373" i="23"/>
  <c r="AH373" i="23" s="1"/>
  <c r="AG373" i="23" s="1"/>
  <c r="AF373" i="23" s="1"/>
  <c r="AD373" i="23" s="1"/>
  <c r="AI365" i="23"/>
  <c r="AH365" i="23" s="1"/>
  <c r="AG365" i="23" s="1"/>
  <c r="AF365" i="23" s="1"/>
  <c r="AD365" i="23" s="1"/>
  <c r="AI357" i="23"/>
  <c r="AH357" i="23" s="1"/>
  <c r="AG357" i="23" s="1"/>
  <c r="AF357" i="23" s="1"/>
  <c r="AD357" i="23" s="1"/>
  <c r="AI349" i="23"/>
  <c r="AH349" i="23" s="1"/>
  <c r="AG349" i="23" s="1"/>
  <c r="AF349" i="23" s="1"/>
  <c r="AD349" i="23" s="1"/>
  <c r="AI341" i="23"/>
  <c r="AH341" i="23" s="1"/>
  <c r="AG341" i="23" s="1"/>
  <c r="AF341" i="23" s="1"/>
  <c r="AD341" i="23" s="1"/>
  <c r="AI333" i="23"/>
  <c r="AH333" i="23" s="1"/>
  <c r="AG333" i="23" s="1"/>
  <c r="AF333" i="23" s="1"/>
  <c r="AD333" i="23" s="1"/>
  <c r="AI317" i="23"/>
  <c r="AH317" i="23" s="1"/>
  <c r="AG317" i="23" s="1"/>
  <c r="AF317" i="23" s="1"/>
  <c r="AD317" i="23" s="1"/>
  <c r="AI301" i="23"/>
  <c r="AH301" i="23" s="1"/>
  <c r="AG301" i="23" s="1"/>
  <c r="AF301" i="23" s="1"/>
  <c r="AD301" i="23" s="1"/>
  <c r="AI285" i="23"/>
  <c r="AH285" i="23" s="1"/>
  <c r="AG285" i="23" s="1"/>
  <c r="AF285" i="23" s="1"/>
  <c r="AD285" i="23" s="1"/>
  <c r="AI269" i="23"/>
  <c r="AH269" i="23" s="1"/>
  <c r="AG269" i="23" s="1"/>
  <c r="AF269" i="23" s="1"/>
  <c r="AD269" i="23" s="1"/>
  <c r="AI253" i="23"/>
  <c r="AH253" i="23" s="1"/>
  <c r="AG253" i="23" s="1"/>
  <c r="AF253" i="23" s="1"/>
  <c r="AD253" i="23" s="1"/>
  <c r="AI237" i="23"/>
  <c r="AH237" i="23" s="1"/>
  <c r="AG237" i="23" s="1"/>
  <c r="AF237" i="23" s="1"/>
  <c r="AD237" i="23" s="1"/>
  <c r="AI221" i="23"/>
  <c r="AH221" i="23" s="1"/>
  <c r="AG221" i="23" s="1"/>
  <c r="AF221" i="23" s="1"/>
  <c r="AD221" i="23" s="1"/>
  <c r="AI205" i="23"/>
  <c r="AH205" i="23" s="1"/>
  <c r="AG205" i="23" s="1"/>
  <c r="AF205" i="23" s="1"/>
  <c r="AD205" i="23" s="1"/>
  <c r="AI189" i="23"/>
  <c r="AH189" i="23" s="1"/>
  <c r="AG189" i="23" s="1"/>
  <c r="AF189" i="23" s="1"/>
  <c r="AD189" i="23" s="1"/>
  <c r="AI173" i="23"/>
  <c r="AH173" i="23" s="1"/>
  <c r="AG173" i="23" s="1"/>
  <c r="AF173" i="23" s="1"/>
  <c r="AD173" i="23" s="1"/>
  <c r="AI151" i="23"/>
  <c r="AH151" i="23" s="1"/>
  <c r="AG151" i="23" s="1"/>
  <c r="AF151" i="23" s="1"/>
  <c r="AD151" i="23" s="1"/>
  <c r="AI119" i="23"/>
  <c r="AH119" i="23" s="1"/>
  <c r="AG119" i="23" s="1"/>
  <c r="AF119" i="23" s="1"/>
  <c r="AD119" i="23" s="1"/>
  <c r="AI378" i="23"/>
  <c r="AH378" i="23" s="1"/>
  <c r="AG378" i="23" s="1"/>
  <c r="AF378" i="23" s="1"/>
  <c r="AD378" i="23" s="1"/>
  <c r="AI374" i="23"/>
  <c r="AH374" i="23" s="1"/>
  <c r="AG374" i="23" s="1"/>
  <c r="AF374" i="23" s="1"/>
  <c r="AD374" i="23" s="1"/>
  <c r="AI370" i="23"/>
  <c r="AH370" i="23" s="1"/>
  <c r="AG370" i="23" s="1"/>
  <c r="AF370" i="23" s="1"/>
  <c r="AD370" i="23" s="1"/>
  <c r="AI366" i="23"/>
  <c r="AH366" i="23" s="1"/>
  <c r="AG366" i="23" s="1"/>
  <c r="AF366" i="23" s="1"/>
  <c r="AD366" i="23" s="1"/>
  <c r="AI362" i="23"/>
  <c r="AH362" i="23" s="1"/>
  <c r="AG362" i="23" s="1"/>
  <c r="AF362" i="23" s="1"/>
  <c r="AD362" i="23" s="1"/>
  <c r="AI358" i="23"/>
  <c r="AH358" i="23" s="1"/>
  <c r="AG358" i="23" s="1"/>
  <c r="AF358" i="23" s="1"/>
  <c r="AD358" i="23" s="1"/>
  <c r="AI354" i="23"/>
  <c r="AH354" i="23" s="1"/>
  <c r="AG354" i="23" s="1"/>
  <c r="AF354" i="23" s="1"/>
  <c r="AD354" i="23" s="1"/>
  <c r="AI350" i="23"/>
  <c r="AH350" i="23" s="1"/>
  <c r="AG350" i="23" s="1"/>
  <c r="AF350" i="23" s="1"/>
  <c r="AD350" i="23" s="1"/>
  <c r="AI346" i="23"/>
  <c r="AH346" i="23" s="1"/>
  <c r="AG346" i="23" s="1"/>
  <c r="AF346" i="23" s="1"/>
  <c r="AD346" i="23" s="1"/>
  <c r="AI342" i="23"/>
  <c r="AH342" i="23" s="1"/>
  <c r="AG342" i="23" s="1"/>
  <c r="AF342" i="23" s="1"/>
  <c r="AD342" i="23" s="1"/>
  <c r="AI338" i="23"/>
  <c r="AH338" i="23" s="1"/>
  <c r="AG338" i="23" s="1"/>
  <c r="AF338" i="23" s="1"/>
  <c r="AD338" i="23" s="1"/>
  <c r="AI334" i="23"/>
  <c r="AH334" i="23" s="1"/>
  <c r="AG334" i="23" s="1"/>
  <c r="AF334" i="23" s="1"/>
  <c r="AD334" i="23" s="1"/>
  <c r="AI327" i="23"/>
  <c r="AH327" i="23" s="1"/>
  <c r="AG327" i="23" s="1"/>
  <c r="AF327" i="23" s="1"/>
  <c r="AD327" i="23" s="1"/>
  <c r="AI319" i="23"/>
  <c r="AH319" i="23" s="1"/>
  <c r="AG319" i="23" s="1"/>
  <c r="AF319" i="23" s="1"/>
  <c r="AD319" i="23" s="1"/>
  <c r="AI311" i="23"/>
  <c r="AH311" i="23" s="1"/>
  <c r="AG311" i="23" s="1"/>
  <c r="AF311" i="23" s="1"/>
  <c r="AD311" i="23" s="1"/>
  <c r="AI303" i="23"/>
  <c r="AH303" i="23" s="1"/>
  <c r="AG303" i="23" s="1"/>
  <c r="AF303" i="23" s="1"/>
  <c r="AD303" i="23" s="1"/>
  <c r="AI295" i="23"/>
  <c r="AH295" i="23" s="1"/>
  <c r="AG295" i="23" s="1"/>
  <c r="AF295" i="23" s="1"/>
  <c r="AD295" i="23" s="1"/>
  <c r="AI287" i="23"/>
  <c r="AH287" i="23" s="1"/>
  <c r="AG287" i="23" s="1"/>
  <c r="AF287" i="23" s="1"/>
  <c r="AD287" i="23" s="1"/>
  <c r="AI279" i="23"/>
  <c r="AH279" i="23" s="1"/>
  <c r="AG279" i="23" s="1"/>
  <c r="AF279" i="23" s="1"/>
  <c r="AD279" i="23" s="1"/>
  <c r="AI271" i="23"/>
  <c r="AH271" i="23" s="1"/>
  <c r="AG271" i="23" s="1"/>
  <c r="AF271" i="23" s="1"/>
  <c r="AD271" i="23" s="1"/>
  <c r="AI263" i="23"/>
  <c r="AH263" i="23" s="1"/>
  <c r="AG263" i="23" s="1"/>
  <c r="AF263" i="23" s="1"/>
  <c r="AD263" i="23" s="1"/>
  <c r="AI255" i="23"/>
  <c r="AH255" i="23" s="1"/>
  <c r="AG255" i="23" s="1"/>
  <c r="AF255" i="23" s="1"/>
  <c r="AD255" i="23" s="1"/>
  <c r="AI247" i="23"/>
  <c r="AH247" i="23" s="1"/>
  <c r="AG247" i="23" s="1"/>
  <c r="AF247" i="23" s="1"/>
  <c r="AD247" i="23" s="1"/>
  <c r="AI239" i="23"/>
  <c r="AH239" i="23" s="1"/>
  <c r="AG239" i="23" s="1"/>
  <c r="AF239" i="23" s="1"/>
  <c r="AD239" i="23" s="1"/>
  <c r="AI231" i="23"/>
  <c r="AH231" i="23" s="1"/>
  <c r="AG231" i="23" s="1"/>
  <c r="AF231" i="23" s="1"/>
  <c r="AD231" i="23" s="1"/>
  <c r="AI223" i="23"/>
  <c r="AH223" i="23" s="1"/>
  <c r="AG223" i="23" s="1"/>
  <c r="AF223" i="23" s="1"/>
  <c r="AD223" i="23" s="1"/>
  <c r="AI215" i="23"/>
  <c r="AH215" i="23" s="1"/>
  <c r="AG215" i="23" s="1"/>
  <c r="AF215" i="23" s="1"/>
  <c r="AD215" i="23" s="1"/>
  <c r="AI207" i="23"/>
  <c r="AH207" i="23" s="1"/>
  <c r="AG207" i="23" s="1"/>
  <c r="AF207" i="23" s="1"/>
  <c r="AD207" i="23" s="1"/>
  <c r="AI199" i="23"/>
  <c r="AH199" i="23" s="1"/>
  <c r="AG199" i="23" s="1"/>
  <c r="AF199" i="23" s="1"/>
  <c r="AD199" i="23" s="1"/>
  <c r="AI191" i="23"/>
  <c r="AH191" i="23" s="1"/>
  <c r="AG191" i="23" s="1"/>
  <c r="AF191" i="23" s="1"/>
  <c r="AD191" i="23" s="1"/>
  <c r="AI183" i="23"/>
  <c r="AH183" i="23" s="1"/>
  <c r="AG183" i="23" s="1"/>
  <c r="AF183" i="23" s="1"/>
  <c r="AD183" i="23" s="1"/>
  <c r="AI175" i="23"/>
  <c r="AH175" i="23" s="1"/>
  <c r="AG175" i="23" s="1"/>
  <c r="AF175" i="23" s="1"/>
  <c r="AD175" i="23" s="1"/>
  <c r="AI167" i="23"/>
  <c r="AH167" i="23" s="1"/>
  <c r="AG167" i="23" s="1"/>
  <c r="AF167" i="23" s="1"/>
  <c r="AD167" i="23" s="1"/>
  <c r="AI155" i="23"/>
  <c r="AH155" i="23" s="1"/>
  <c r="AG155" i="23" s="1"/>
  <c r="AF155" i="23" s="1"/>
  <c r="AD155" i="23" s="1"/>
  <c r="AI139" i="23"/>
  <c r="AH139" i="23" s="1"/>
  <c r="AG139" i="23" s="1"/>
  <c r="AF139" i="23" s="1"/>
  <c r="AD139" i="23" s="1"/>
  <c r="AI123" i="23"/>
  <c r="AH123" i="23" s="1"/>
  <c r="AG123" i="23" s="1"/>
  <c r="AF123" i="23" s="1"/>
  <c r="AD123" i="23" s="1"/>
  <c r="AI107" i="23"/>
  <c r="AH107" i="23" s="1"/>
  <c r="AG107" i="23" s="1"/>
  <c r="AF107" i="23" s="1"/>
  <c r="AD107" i="23" s="1"/>
  <c r="AI105" i="23"/>
  <c r="AH105" i="23" s="1"/>
  <c r="AG105" i="23" s="1"/>
  <c r="AF105" i="23" s="1"/>
  <c r="AD105" i="23" s="1"/>
  <c r="AI113" i="23"/>
  <c r="AH113" i="23" s="1"/>
  <c r="AG113" i="23" s="1"/>
  <c r="AF113" i="23" s="1"/>
  <c r="AD113" i="23" s="1"/>
  <c r="AI121" i="23"/>
  <c r="AH121" i="23" s="1"/>
  <c r="AG121" i="23" s="1"/>
  <c r="AF121" i="23" s="1"/>
  <c r="AD121" i="23" s="1"/>
  <c r="AI129" i="23"/>
  <c r="AH129" i="23" s="1"/>
  <c r="AG129" i="23" s="1"/>
  <c r="AF129" i="23" s="1"/>
  <c r="AD129" i="23" s="1"/>
  <c r="AI137" i="23"/>
  <c r="AH137" i="23" s="1"/>
  <c r="AG137" i="23" s="1"/>
  <c r="AF137" i="23" s="1"/>
  <c r="AD137" i="23" s="1"/>
  <c r="AI145" i="23"/>
  <c r="AH145" i="23" s="1"/>
  <c r="AG145" i="23" s="1"/>
  <c r="AF145" i="23" s="1"/>
  <c r="AD145" i="23" s="1"/>
  <c r="AI153" i="23"/>
  <c r="AH153" i="23" s="1"/>
  <c r="AG153" i="23" s="1"/>
  <c r="AF153" i="23" s="1"/>
  <c r="AD153" i="23" s="1"/>
  <c r="AI161" i="23"/>
  <c r="AH161" i="23" s="1"/>
  <c r="AG161" i="23" s="1"/>
  <c r="AF161" i="23" s="1"/>
  <c r="AD161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A186" i="23" s="1"/>
  <c r="Z186" i="23" s="1"/>
  <c r="Y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A242" i="23" s="1"/>
  <c r="Z242" i="23" s="1"/>
  <c r="Y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26" i="23"/>
  <c r="AH326" i="23" s="1"/>
  <c r="AG326" i="23" s="1"/>
  <c r="AF326" i="23" s="1"/>
  <c r="AD326" i="23" s="1"/>
  <c r="AI330" i="23"/>
  <c r="AH330" i="23" s="1"/>
  <c r="AG330" i="23" s="1"/>
  <c r="AF330" i="23" s="1"/>
  <c r="AD330" i="23" s="1"/>
  <c r="AA330" i="23" s="1"/>
  <c r="Z330" i="23" s="1"/>
  <c r="Y330" i="23" s="1"/>
  <c r="AI104" i="23"/>
  <c r="AH104" i="23" s="1"/>
  <c r="AG104" i="23" s="1"/>
  <c r="AF104" i="23" s="1"/>
  <c r="AD104" i="23" s="1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A124" i="23" s="1"/>
  <c r="Z124" i="23" s="1"/>
  <c r="Y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58" i="23"/>
  <c r="AH158" i="23" s="1"/>
  <c r="AG158" i="23" s="1"/>
  <c r="AF158" i="23" s="1"/>
  <c r="AD158" i="23" s="1"/>
  <c r="AI150" i="23"/>
  <c r="AH150" i="23" s="1"/>
  <c r="AG150" i="23" s="1"/>
  <c r="AF150" i="23" s="1"/>
  <c r="AD150" i="23" s="1"/>
  <c r="AI142" i="23"/>
  <c r="AH142" i="23" s="1"/>
  <c r="AG142" i="23" s="1"/>
  <c r="AF142" i="23" s="1"/>
  <c r="AD142" i="23" s="1"/>
  <c r="AI134" i="23"/>
  <c r="AH134" i="23" s="1"/>
  <c r="AG134" i="23" s="1"/>
  <c r="AF134" i="23" s="1"/>
  <c r="AD134" i="23" s="1"/>
  <c r="AI126" i="23"/>
  <c r="AH126" i="23" s="1"/>
  <c r="AG126" i="23" s="1"/>
  <c r="AF126" i="23" s="1"/>
  <c r="AD126" i="23" s="1"/>
  <c r="AI118" i="23"/>
  <c r="AH118" i="23" s="1"/>
  <c r="AG118" i="23" s="1"/>
  <c r="AF118" i="23" s="1"/>
  <c r="AD118" i="23" s="1"/>
  <c r="AI110" i="23"/>
  <c r="AH110" i="23" s="1"/>
  <c r="AG110" i="23" s="1"/>
  <c r="AF110" i="23" s="1"/>
  <c r="AD110" i="23" s="1"/>
  <c r="AI332" i="23"/>
  <c r="AH332" i="23" s="1"/>
  <c r="AG332" i="23" s="1"/>
  <c r="AF332" i="23" s="1"/>
  <c r="AD332" i="23" s="1"/>
  <c r="AI324" i="23"/>
  <c r="AH324" i="23" s="1"/>
  <c r="AG324" i="23" s="1"/>
  <c r="AF324" i="23" s="1"/>
  <c r="AD324" i="23" s="1"/>
  <c r="AI316" i="23"/>
  <c r="AH316" i="23" s="1"/>
  <c r="AG316" i="23" s="1"/>
  <c r="AF316" i="23" s="1"/>
  <c r="AD316" i="23" s="1"/>
  <c r="AI308" i="23"/>
  <c r="AH308" i="23" s="1"/>
  <c r="AG308" i="23" s="1"/>
  <c r="AF308" i="23" s="1"/>
  <c r="AD308" i="23" s="1"/>
  <c r="AI300" i="23"/>
  <c r="AH300" i="23" s="1"/>
  <c r="AG300" i="23" s="1"/>
  <c r="AF300" i="23" s="1"/>
  <c r="AD300" i="23" s="1"/>
  <c r="AI292" i="23"/>
  <c r="AH292" i="23" s="1"/>
  <c r="AG292" i="23" s="1"/>
  <c r="AF292" i="23" s="1"/>
  <c r="AD292" i="23" s="1"/>
  <c r="AI284" i="23"/>
  <c r="AH284" i="23" s="1"/>
  <c r="AG284" i="23" s="1"/>
  <c r="AF284" i="23" s="1"/>
  <c r="AD284" i="23" s="1"/>
  <c r="AI276" i="23"/>
  <c r="AH276" i="23" s="1"/>
  <c r="AG276" i="23" s="1"/>
  <c r="AF276" i="23" s="1"/>
  <c r="AD276" i="23" s="1"/>
  <c r="AI268" i="23"/>
  <c r="AH268" i="23" s="1"/>
  <c r="AG268" i="23" s="1"/>
  <c r="AF268" i="23" s="1"/>
  <c r="AD268" i="23" s="1"/>
  <c r="AI260" i="23"/>
  <c r="AH260" i="23" s="1"/>
  <c r="AG260" i="23" s="1"/>
  <c r="AF260" i="23" s="1"/>
  <c r="AD260" i="23" s="1"/>
  <c r="AI252" i="23"/>
  <c r="AH252" i="23" s="1"/>
  <c r="AG252" i="23" s="1"/>
  <c r="AF252" i="23" s="1"/>
  <c r="AD252" i="23" s="1"/>
  <c r="AI244" i="23"/>
  <c r="AH244" i="23" s="1"/>
  <c r="AG244" i="23" s="1"/>
  <c r="AF244" i="23" s="1"/>
  <c r="AD244" i="23" s="1"/>
  <c r="AI236" i="23"/>
  <c r="AH236" i="23" s="1"/>
  <c r="AG236" i="23" s="1"/>
  <c r="AF236" i="23" s="1"/>
  <c r="AD236" i="23" s="1"/>
  <c r="AI228" i="23"/>
  <c r="AH228" i="23" s="1"/>
  <c r="AG228" i="23" s="1"/>
  <c r="AF228" i="23" s="1"/>
  <c r="AD228" i="23" s="1"/>
  <c r="AI220" i="23"/>
  <c r="AH220" i="23" s="1"/>
  <c r="AG220" i="23" s="1"/>
  <c r="AF220" i="23" s="1"/>
  <c r="AD220" i="23" s="1"/>
  <c r="AI212" i="23"/>
  <c r="AH212" i="23" s="1"/>
  <c r="AG212" i="23" s="1"/>
  <c r="AF212" i="23" s="1"/>
  <c r="AD212" i="23" s="1"/>
  <c r="AI204" i="23"/>
  <c r="AH204" i="23" s="1"/>
  <c r="AG204" i="23" s="1"/>
  <c r="AF204" i="23" s="1"/>
  <c r="AD204" i="23" s="1"/>
  <c r="AI196" i="23"/>
  <c r="AH196" i="23" s="1"/>
  <c r="AG196" i="23" s="1"/>
  <c r="AF196" i="23" s="1"/>
  <c r="AD196" i="23" s="1"/>
  <c r="AI188" i="23"/>
  <c r="AH188" i="23" s="1"/>
  <c r="AG188" i="23" s="1"/>
  <c r="AF188" i="23" s="1"/>
  <c r="AD188" i="23" s="1"/>
  <c r="AI180" i="23"/>
  <c r="AH180" i="23" s="1"/>
  <c r="AG180" i="23" s="1"/>
  <c r="AF180" i="23" s="1"/>
  <c r="AD180" i="23" s="1"/>
  <c r="AI172" i="23"/>
  <c r="AH172" i="23" s="1"/>
  <c r="AG172" i="23" s="1"/>
  <c r="AF172" i="23" s="1"/>
  <c r="AD172" i="23" s="1"/>
  <c r="AI164" i="23"/>
  <c r="AH164" i="23" s="1"/>
  <c r="AG164" i="23" s="1"/>
  <c r="AF164" i="23" s="1"/>
  <c r="AD164" i="23" s="1"/>
  <c r="AI149" i="23"/>
  <c r="AH149" i="23" s="1"/>
  <c r="AG149" i="23" s="1"/>
  <c r="AF149" i="23" s="1"/>
  <c r="AD149" i="23" s="1"/>
  <c r="AI133" i="23"/>
  <c r="AH133" i="23" s="1"/>
  <c r="AG133" i="23" s="1"/>
  <c r="AF133" i="23" s="1"/>
  <c r="AD133" i="23" s="1"/>
  <c r="AI117" i="23"/>
  <c r="AH117" i="23" s="1"/>
  <c r="AG117" i="23" s="1"/>
  <c r="AF117" i="23" s="1"/>
  <c r="AD117" i="23" s="1"/>
  <c r="AI131" i="23"/>
  <c r="AH131" i="23" s="1"/>
  <c r="AG131" i="23" s="1"/>
  <c r="AF131" i="23" s="1"/>
  <c r="AD131" i="23" s="1"/>
  <c r="AI163" i="23"/>
  <c r="AH163" i="23" s="1"/>
  <c r="AG163" i="23" s="1"/>
  <c r="AF163" i="23" s="1"/>
  <c r="AD163" i="23" s="1"/>
  <c r="AI179" i="23"/>
  <c r="AH179" i="23" s="1"/>
  <c r="AG179" i="23" s="1"/>
  <c r="AF179" i="23" s="1"/>
  <c r="AD179" i="23" s="1"/>
  <c r="AI195" i="23"/>
  <c r="AH195" i="23" s="1"/>
  <c r="AG195" i="23" s="1"/>
  <c r="AF195" i="23" s="1"/>
  <c r="AD195" i="23" s="1"/>
  <c r="AI211" i="23"/>
  <c r="AH211" i="23" s="1"/>
  <c r="AG211" i="23" s="1"/>
  <c r="AF211" i="23" s="1"/>
  <c r="AD211" i="23" s="1"/>
  <c r="AI227" i="23"/>
  <c r="AH227" i="23" s="1"/>
  <c r="AG227" i="23" s="1"/>
  <c r="AF227" i="23" s="1"/>
  <c r="AD227" i="23" s="1"/>
  <c r="AI243" i="23"/>
  <c r="AH243" i="23" s="1"/>
  <c r="AG243" i="23" s="1"/>
  <c r="AF243" i="23" s="1"/>
  <c r="AD243" i="23" s="1"/>
  <c r="AI259" i="23"/>
  <c r="AH259" i="23" s="1"/>
  <c r="AG259" i="23" s="1"/>
  <c r="AF259" i="23" s="1"/>
  <c r="AD259" i="23" s="1"/>
  <c r="AI275" i="23"/>
  <c r="AH275" i="23" s="1"/>
  <c r="AG275" i="23" s="1"/>
  <c r="AF275" i="23" s="1"/>
  <c r="AD275" i="23" s="1"/>
  <c r="AI291" i="23"/>
  <c r="AH291" i="23" s="1"/>
  <c r="AG291" i="23" s="1"/>
  <c r="AF291" i="23" s="1"/>
  <c r="AD291" i="23" s="1"/>
  <c r="AI307" i="23"/>
  <c r="AH307" i="23" s="1"/>
  <c r="AG307" i="23" s="1"/>
  <c r="AF307" i="23" s="1"/>
  <c r="AD307" i="23" s="1"/>
  <c r="AI323" i="23"/>
  <c r="AH323" i="23" s="1"/>
  <c r="AG323" i="23" s="1"/>
  <c r="AF323" i="23" s="1"/>
  <c r="AD323" i="23" s="1"/>
  <c r="AI336" i="23"/>
  <c r="AH336" i="23" s="1"/>
  <c r="AG336" i="23" s="1"/>
  <c r="AF336" i="23" s="1"/>
  <c r="AD336" i="23" s="1"/>
  <c r="AI344" i="23"/>
  <c r="AH344" i="23" s="1"/>
  <c r="AG344" i="23" s="1"/>
  <c r="AF344" i="23" s="1"/>
  <c r="AD344" i="23" s="1"/>
  <c r="AI352" i="23"/>
  <c r="AH352" i="23" s="1"/>
  <c r="AG352" i="23" s="1"/>
  <c r="AF352" i="23" s="1"/>
  <c r="AD352" i="23" s="1"/>
  <c r="AA352" i="23" s="1"/>
  <c r="Z352" i="23" s="1"/>
  <c r="Y352" i="23" s="1"/>
  <c r="AI360" i="23"/>
  <c r="AH360" i="23" s="1"/>
  <c r="AG360" i="23" s="1"/>
  <c r="AF360" i="23" s="1"/>
  <c r="AD360" i="23" s="1"/>
  <c r="AI368" i="23"/>
  <c r="AH368" i="23" s="1"/>
  <c r="AG368" i="23" s="1"/>
  <c r="AF368" i="23" s="1"/>
  <c r="AD368" i="23" s="1"/>
  <c r="AA368" i="23" s="1"/>
  <c r="Z368" i="23" s="1"/>
  <c r="Y368" i="23" s="1"/>
  <c r="AI376" i="23"/>
  <c r="AH376" i="23" s="1"/>
  <c r="AG376" i="23" s="1"/>
  <c r="AF376" i="23" s="1"/>
  <c r="AD376" i="23" s="1"/>
  <c r="AI135" i="23"/>
  <c r="AH135" i="23" s="1"/>
  <c r="AG135" i="23" s="1"/>
  <c r="AF135" i="23" s="1"/>
  <c r="AD135" i="23" s="1"/>
  <c r="AI181" i="23"/>
  <c r="AH181" i="23" s="1"/>
  <c r="AG181" i="23" s="1"/>
  <c r="AF181" i="23" s="1"/>
  <c r="AD181" i="23" s="1"/>
  <c r="AI213" i="23"/>
  <c r="AH213" i="23" s="1"/>
  <c r="AG213" i="23" s="1"/>
  <c r="AF213" i="23" s="1"/>
  <c r="AD213" i="23" s="1"/>
  <c r="AI245" i="23"/>
  <c r="AH245" i="23" s="1"/>
  <c r="AG245" i="23" s="1"/>
  <c r="AF245" i="23" s="1"/>
  <c r="AD245" i="23" s="1"/>
  <c r="AI277" i="23"/>
  <c r="AH277" i="23" s="1"/>
  <c r="AG277" i="23" s="1"/>
  <c r="AF277" i="23" s="1"/>
  <c r="AD277" i="23" s="1"/>
  <c r="AI309" i="23"/>
  <c r="AH309" i="23" s="1"/>
  <c r="AG309" i="23" s="1"/>
  <c r="AF309" i="23" s="1"/>
  <c r="AD309" i="23" s="1"/>
  <c r="AI337" i="23"/>
  <c r="AH337" i="23" s="1"/>
  <c r="AG337" i="23" s="1"/>
  <c r="AF337" i="23" s="1"/>
  <c r="AD337" i="23" s="1"/>
  <c r="AI353" i="23"/>
  <c r="AH353" i="23" s="1"/>
  <c r="AG353" i="23" s="1"/>
  <c r="AF353" i="23" s="1"/>
  <c r="AD353" i="23" s="1"/>
  <c r="AI369" i="23"/>
  <c r="AH369" i="23" s="1"/>
  <c r="AG369" i="23" s="1"/>
  <c r="AF369" i="23" s="1"/>
  <c r="AD369" i="23" s="1"/>
  <c r="AI363" i="23"/>
  <c r="AH363" i="23" s="1"/>
  <c r="AG363" i="23" s="1"/>
  <c r="AF363" i="23" s="1"/>
  <c r="AD363" i="23" s="1"/>
  <c r="AI329" i="23"/>
  <c r="AH329" i="23" s="1"/>
  <c r="AG329" i="23" s="1"/>
  <c r="AF329" i="23" s="1"/>
  <c r="AD329" i="23" s="1"/>
  <c r="AI265" i="23"/>
  <c r="AH265" i="23" s="1"/>
  <c r="AG265" i="23" s="1"/>
  <c r="AF265" i="23" s="1"/>
  <c r="AD265" i="23" s="1"/>
  <c r="AI201" i="23"/>
  <c r="AH201" i="23" s="1"/>
  <c r="AG201" i="23" s="1"/>
  <c r="AF201" i="23" s="1"/>
  <c r="AD201" i="23" s="1"/>
  <c r="AI375" i="23"/>
  <c r="AH375" i="23" s="1"/>
  <c r="AG375" i="23" s="1"/>
  <c r="AF375" i="23" s="1"/>
  <c r="AD375" i="23" s="1"/>
  <c r="AI289" i="23"/>
  <c r="AH289" i="23" s="1"/>
  <c r="AG289" i="23" s="1"/>
  <c r="AF289" i="23" s="1"/>
  <c r="AD289" i="23" s="1"/>
  <c r="AI111" i="23"/>
  <c r="AH111" i="23" s="1"/>
  <c r="AG111" i="23" s="1"/>
  <c r="AF111" i="23" s="1"/>
  <c r="AD111" i="23" s="1"/>
  <c r="AI367" i="23"/>
  <c r="AH367" i="23" s="1"/>
  <c r="AG367" i="23" s="1"/>
  <c r="AF367" i="23" s="1"/>
  <c r="AD367" i="23" s="1"/>
  <c r="AI351" i="23"/>
  <c r="AH351" i="23" s="1"/>
  <c r="AG351" i="23" s="1"/>
  <c r="AF351" i="23" s="1"/>
  <c r="AD351" i="23" s="1"/>
  <c r="AI335" i="23"/>
  <c r="AH335" i="23" s="1"/>
  <c r="AG335" i="23" s="1"/>
  <c r="AF335" i="23" s="1"/>
  <c r="AD335" i="23" s="1"/>
  <c r="AI305" i="23"/>
  <c r="AH305" i="23" s="1"/>
  <c r="AG305" i="23" s="1"/>
  <c r="AF305" i="23" s="1"/>
  <c r="AD305" i="23" s="1"/>
  <c r="AI273" i="23"/>
  <c r="AH273" i="23" s="1"/>
  <c r="AG273" i="23" s="1"/>
  <c r="AF273" i="23" s="1"/>
  <c r="AD273" i="23" s="1"/>
  <c r="AI225" i="23"/>
  <c r="AH225" i="23" s="1"/>
  <c r="AG225" i="23" s="1"/>
  <c r="AF225" i="23" s="1"/>
  <c r="AD225" i="23" s="1"/>
  <c r="AI241" i="23"/>
  <c r="AH241" i="23" s="1"/>
  <c r="AG241" i="23" s="1"/>
  <c r="AF241" i="23" s="1"/>
  <c r="AD241" i="23" s="1"/>
  <c r="AI193" i="23"/>
  <c r="AH193" i="23" s="1"/>
  <c r="AG193" i="23" s="1"/>
  <c r="AF193" i="23" s="1"/>
  <c r="AD193" i="23" s="1"/>
  <c r="AI159" i="23"/>
  <c r="AI209" i="23"/>
  <c r="AH209" i="23" s="1"/>
  <c r="AG209" i="23" s="1"/>
  <c r="AF209" i="23" s="1"/>
  <c r="AD209" i="23" s="1"/>
  <c r="AI177" i="23"/>
  <c r="AH177" i="23" s="1"/>
  <c r="AG177" i="23" s="1"/>
  <c r="AF177" i="23" s="1"/>
  <c r="AD177" i="23" s="1"/>
  <c r="W188" i="23"/>
  <c r="W238" i="23"/>
  <c r="D355" i="23"/>
  <c r="E355" i="23" s="1"/>
  <c r="F355" i="23" s="1"/>
  <c r="G355" i="23" s="1"/>
  <c r="CD355" i="6" s="1"/>
  <c r="D67" i="23"/>
  <c r="E67" i="23" s="1"/>
  <c r="F67" i="23" s="1"/>
  <c r="AA67" i="23" s="1"/>
  <c r="Z67" i="23" s="1"/>
  <c r="Y67" i="23" s="1"/>
  <c r="D335" i="23"/>
  <c r="E335" i="23" s="1"/>
  <c r="F335" i="23" s="1"/>
  <c r="G335" i="23" s="1"/>
  <c r="CD335" i="6" s="1"/>
  <c r="W186" i="23"/>
  <c r="W268" i="23"/>
  <c r="D321" i="23"/>
  <c r="E321" i="23" s="1"/>
  <c r="F321" i="23" s="1"/>
  <c r="AA321" i="23" s="1"/>
  <c r="Z321" i="23" s="1"/>
  <c r="Y321" i="23" s="1"/>
  <c r="D260" i="23"/>
  <c r="E260" i="23" s="1"/>
  <c r="F260" i="23" s="1"/>
  <c r="G260" i="23" s="1"/>
  <c r="CD260" i="6" s="1"/>
  <c r="Q12" i="25"/>
  <c r="Q10" i="25" s="1"/>
  <c r="Q25" i="25" s="1"/>
  <c r="AZ15" i="7"/>
  <c r="D325" i="23"/>
  <c r="E325" i="23" s="1"/>
  <c r="F325" i="23" s="1"/>
  <c r="AA325" i="23" s="1"/>
  <c r="Z325" i="23" s="1"/>
  <c r="Y325" i="23" s="1"/>
  <c r="Q383" i="24"/>
  <c r="U381" i="23"/>
  <c r="AH15" i="23"/>
  <c r="D84" i="23"/>
  <c r="E84" i="23" s="1"/>
  <c r="F84" i="23" s="1"/>
  <c r="G84" i="23" s="1"/>
  <c r="CD84" i="6" s="1"/>
  <c r="W100" i="23"/>
  <c r="D26" i="23"/>
  <c r="E26" i="23" s="1"/>
  <c r="F26" i="23" s="1"/>
  <c r="G26" i="23" s="1"/>
  <c r="CD26" i="6" s="1"/>
  <c r="D86" i="23"/>
  <c r="E86" i="23" s="1"/>
  <c r="F86" i="23" s="1"/>
  <c r="AA86" i="23" s="1"/>
  <c r="Z86" i="23" s="1"/>
  <c r="Y86" i="23" s="1"/>
  <c r="D118" i="23"/>
  <c r="E118" i="23" s="1"/>
  <c r="F118" i="23" s="1"/>
  <c r="AA118" i="23" s="1"/>
  <c r="Z118" i="23" s="1"/>
  <c r="Y118" i="23" s="1"/>
  <c r="W128" i="23"/>
  <c r="W136" i="23"/>
  <c r="W168" i="23"/>
  <c r="W200" i="23"/>
  <c r="D208" i="23"/>
  <c r="E208" i="23" s="1"/>
  <c r="F208" i="23" s="1"/>
  <c r="G208" i="23" s="1"/>
  <c r="CD208" i="6" s="1"/>
  <c r="W240" i="23"/>
  <c r="V88" i="23"/>
  <c r="B88" i="23" s="1"/>
  <c r="W88" i="23" s="1"/>
  <c r="W112" i="23"/>
  <c r="W192" i="23"/>
  <c r="D198" i="23"/>
  <c r="E198" i="23" s="1"/>
  <c r="F198" i="23" s="1"/>
  <c r="AA198" i="23" s="1"/>
  <c r="Z198" i="23" s="1"/>
  <c r="Y198" i="23" s="1"/>
  <c r="D214" i="23"/>
  <c r="E214" i="23" s="1"/>
  <c r="F214" i="23" s="1"/>
  <c r="H214" i="23" s="1"/>
  <c r="W230" i="23"/>
  <c r="W256" i="23"/>
  <c r="W316" i="23"/>
  <c r="W352" i="23"/>
  <c r="W360" i="23"/>
  <c r="W364" i="23"/>
  <c r="W368" i="23"/>
  <c r="D376" i="23"/>
  <c r="E376" i="23" s="1"/>
  <c r="F376" i="23" s="1"/>
  <c r="G376" i="23" s="1"/>
  <c r="CD376" i="6" s="1"/>
  <c r="V302" i="23"/>
  <c r="B302" i="23" s="1"/>
  <c r="D302" i="23" s="1"/>
  <c r="E302" i="23" s="1"/>
  <c r="F302" i="23" s="1"/>
  <c r="D257" i="23"/>
  <c r="E257" i="23" s="1"/>
  <c r="F257" i="23" s="1"/>
  <c r="W124" i="23"/>
  <c r="D270" i="23"/>
  <c r="E270" i="23" s="1"/>
  <c r="F270" i="23" s="1"/>
  <c r="AA270" i="23" s="1"/>
  <c r="Z270" i="23" s="1"/>
  <c r="Y270" i="23" s="1"/>
  <c r="D286" i="23"/>
  <c r="E286" i="23" s="1"/>
  <c r="F286" i="23" s="1"/>
  <c r="G286" i="23" s="1"/>
  <c r="CD286" i="6" s="1"/>
  <c r="D27" i="23"/>
  <c r="E27" i="23" s="1"/>
  <c r="F27" i="23" s="1"/>
  <c r="AA27" i="23" s="1"/>
  <c r="Z27" i="23" s="1"/>
  <c r="Y27" i="23" s="1"/>
  <c r="W59" i="23"/>
  <c r="D153" i="23"/>
  <c r="E153" i="23" s="1"/>
  <c r="F153" i="23" s="1"/>
  <c r="G153" i="23" s="1"/>
  <c r="CD153" i="6" s="1"/>
  <c r="W297" i="23"/>
  <c r="D51" i="23"/>
  <c r="E51" i="23" s="1"/>
  <c r="F51" i="23" s="1"/>
  <c r="G51" i="23" s="1"/>
  <c r="CD51" i="6" s="1"/>
  <c r="D143" i="23"/>
  <c r="E143" i="23" s="1"/>
  <c r="F143" i="23" s="1"/>
  <c r="G143" i="23" s="1"/>
  <c r="CD143" i="6" s="1"/>
  <c r="W159" i="23"/>
  <c r="D183" i="23"/>
  <c r="E183" i="23" s="1"/>
  <c r="F183" i="23" s="1"/>
  <c r="H183" i="23" s="1"/>
  <c r="W195" i="23"/>
  <c r="W239" i="23"/>
  <c r="D251" i="23"/>
  <c r="E251" i="23" s="1"/>
  <c r="F251" i="23" s="1"/>
  <c r="D295" i="23"/>
  <c r="E295" i="23" s="1"/>
  <c r="F295" i="23" s="1"/>
  <c r="AA295" i="23" s="1"/>
  <c r="Z295" i="23" s="1"/>
  <c r="Y295" i="23" s="1"/>
  <c r="D299" i="23"/>
  <c r="E299" i="23" s="1"/>
  <c r="F299" i="23" s="1"/>
  <c r="H299" i="23" s="1"/>
  <c r="D337" i="23"/>
  <c r="E337" i="23" s="1"/>
  <c r="F337" i="23" s="1"/>
  <c r="AA337" i="23" s="1"/>
  <c r="Z337" i="23" s="1"/>
  <c r="Y337" i="23" s="1"/>
  <c r="U383" i="23"/>
  <c r="AA104" i="20"/>
  <c r="Z104" i="20" s="1"/>
  <c r="Y104" i="20" s="1"/>
  <c r="AD381" i="20"/>
  <c r="AD382" i="20"/>
  <c r="AD383" i="20"/>
  <c r="U382" i="23"/>
  <c r="Q381" i="24"/>
  <c r="W53" i="23"/>
  <c r="W97" i="23"/>
  <c r="D101" i="23"/>
  <c r="E101" i="23" s="1"/>
  <c r="F101" i="23" s="1"/>
  <c r="G101" i="23" s="1"/>
  <c r="CD101" i="6" s="1"/>
  <c r="D66" i="23"/>
  <c r="E66" i="23" s="1"/>
  <c r="F66" i="23" s="1"/>
  <c r="G66" i="23" s="1"/>
  <c r="CD66" i="6" s="1"/>
  <c r="D113" i="23"/>
  <c r="E113" i="23" s="1"/>
  <c r="F113" i="23" s="1"/>
  <c r="G113" i="23" s="1"/>
  <c r="CD113" i="6" s="1"/>
  <c r="W137" i="23"/>
  <c r="W225" i="23"/>
  <c r="AJ10" i="18"/>
  <c r="AJ12" i="18" s="1"/>
  <c r="AJ9" i="18"/>
  <c r="AJ11" i="18" s="1"/>
  <c r="AJ6" i="20"/>
  <c r="AJ5" i="20"/>
  <c r="D320" i="23"/>
  <c r="E320" i="23" s="1"/>
  <c r="F320" i="23" s="1"/>
  <c r="G320" i="23" s="1"/>
  <c r="CD320" i="6" s="1"/>
  <c r="Q382" i="24"/>
  <c r="V383" i="20"/>
  <c r="U10" i="24"/>
  <c r="U24" i="24" s="1"/>
  <c r="T24" i="24" s="1"/>
  <c r="B135" i="23"/>
  <c r="W135" i="23" s="1"/>
  <c r="N66" i="19"/>
  <c r="V382" i="20"/>
  <c r="W18" i="23"/>
  <c r="D18" i="23"/>
  <c r="E18" i="23" s="1"/>
  <c r="F18" i="23" s="1"/>
  <c r="W34" i="23"/>
  <c r="D34" i="23"/>
  <c r="E34" i="23" s="1"/>
  <c r="F34" i="23" s="1"/>
  <c r="D40" i="23"/>
  <c r="E40" i="23" s="1"/>
  <c r="F40" i="23" s="1"/>
  <c r="W40" i="23"/>
  <c r="D52" i="23"/>
  <c r="E52" i="23" s="1"/>
  <c r="F52" i="23" s="1"/>
  <c r="W52" i="23"/>
  <c r="W58" i="23"/>
  <c r="D58" i="23"/>
  <c r="E58" i="23" s="1"/>
  <c r="F58" i="23" s="1"/>
  <c r="D68" i="23"/>
  <c r="E68" i="23" s="1"/>
  <c r="F68" i="23" s="1"/>
  <c r="W68" i="23"/>
  <c r="D76" i="23"/>
  <c r="E76" i="23" s="1"/>
  <c r="F76" i="23" s="1"/>
  <c r="W76" i="23"/>
  <c r="D80" i="23"/>
  <c r="E80" i="23" s="1"/>
  <c r="F80" i="23" s="1"/>
  <c r="W80" i="23"/>
  <c r="W94" i="23"/>
  <c r="D94" i="23"/>
  <c r="E94" i="23" s="1"/>
  <c r="F94" i="23" s="1"/>
  <c r="W102" i="23"/>
  <c r="D102" i="23"/>
  <c r="E102" i="23" s="1"/>
  <c r="F102" i="23" s="1"/>
  <c r="D106" i="23"/>
  <c r="E106" i="23" s="1"/>
  <c r="F106" i="23" s="1"/>
  <c r="W106" i="23"/>
  <c r="W122" i="23"/>
  <c r="D122" i="23"/>
  <c r="E122" i="23" s="1"/>
  <c r="F122" i="23" s="1"/>
  <c r="W134" i="23"/>
  <c r="D134" i="23"/>
  <c r="E134" i="23" s="1"/>
  <c r="F134" i="23" s="1"/>
  <c r="D148" i="23"/>
  <c r="E148" i="23" s="1"/>
  <c r="F148" i="23" s="1"/>
  <c r="W148" i="23"/>
  <c r="W160" i="23"/>
  <c r="D160" i="23"/>
  <c r="E160" i="23" s="1"/>
  <c r="F160" i="23" s="1"/>
  <c r="B166" i="23"/>
  <c r="D172" i="23"/>
  <c r="E172" i="23" s="1"/>
  <c r="F172" i="23" s="1"/>
  <c r="W172" i="23"/>
  <c r="AH49" i="7"/>
  <c r="V180" i="23"/>
  <c r="B180" i="23" s="1"/>
  <c r="D204" i="23"/>
  <c r="E204" i="23" s="1"/>
  <c r="F204" i="23" s="1"/>
  <c r="W204" i="23"/>
  <c r="D216" i="23"/>
  <c r="E216" i="23" s="1"/>
  <c r="F216" i="23" s="1"/>
  <c r="W216" i="23"/>
  <c r="D224" i="23"/>
  <c r="E224" i="23" s="1"/>
  <c r="F224" i="23" s="1"/>
  <c r="W224" i="23"/>
  <c r="D244" i="23"/>
  <c r="E244" i="23" s="1"/>
  <c r="F244" i="23" s="1"/>
  <c r="W244" i="23"/>
  <c r="D266" i="23"/>
  <c r="E266" i="23" s="1"/>
  <c r="F266" i="23" s="1"/>
  <c r="W266" i="23"/>
  <c r="D282" i="23"/>
  <c r="E282" i="23" s="1"/>
  <c r="F282" i="23" s="1"/>
  <c r="W282" i="23"/>
  <c r="D294" i="23"/>
  <c r="E294" i="23" s="1"/>
  <c r="F294" i="23" s="1"/>
  <c r="W294" i="23"/>
  <c r="D304" i="23"/>
  <c r="E304" i="23" s="1"/>
  <c r="F304" i="23" s="1"/>
  <c r="W304" i="23"/>
  <c r="W334" i="23"/>
  <c r="D334" i="23"/>
  <c r="E334" i="23" s="1"/>
  <c r="F334" i="23" s="1"/>
  <c r="W342" i="23"/>
  <c r="D342" i="23"/>
  <c r="E342" i="23" s="1"/>
  <c r="F342" i="23" s="1"/>
  <c r="D356" i="23"/>
  <c r="E356" i="23" s="1"/>
  <c r="F356" i="23" s="1"/>
  <c r="W356" i="23"/>
  <c r="D366" i="23"/>
  <c r="E366" i="23" s="1"/>
  <c r="F366" i="23" s="1"/>
  <c r="W366" i="23"/>
  <c r="W372" i="23"/>
  <c r="D372" i="23"/>
  <c r="E372" i="23" s="1"/>
  <c r="F372" i="23" s="1"/>
  <c r="D39" i="23"/>
  <c r="E39" i="23" s="1"/>
  <c r="F39" i="23" s="1"/>
  <c r="W39" i="23"/>
  <c r="W49" i="23"/>
  <c r="D49" i="23"/>
  <c r="E49" i="23" s="1"/>
  <c r="F49" i="23" s="1"/>
  <c r="W73" i="23"/>
  <c r="D73" i="23"/>
  <c r="E73" i="23" s="1"/>
  <c r="F73" i="23" s="1"/>
  <c r="W77" i="23"/>
  <c r="D77" i="23"/>
  <c r="E77" i="23" s="1"/>
  <c r="F77" i="23" s="1"/>
  <c r="W89" i="23"/>
  <c r="D89" i="23"/>
  <c r="E89" i="23" s="1"/>
  <c r="F89" i="23" s="1"/>
  <c r="W121" i="23"/>
  <c r="D121" i="23"/>
  <c r="E121" i="23" s="1"/>
  <c r="F121" i="23" s="1"/>
  <c r="D155" i="23"/>
  <c r="E155" i="23" s="1"/>
  <c r="F155" i="23" s="1"/>
  <c r="W155" i="23"/>
  <c r="D163" i="23"/>
  <c r="E163" i="23" s="1"/>
  <c r="F163" i="23" s="1"/>
  <c r="W163" i="23"/>
  <c r="D173" i="23"/>
  <c r="E173" i="23" s="1"/>
  <c r="F173" i="23" s="1"/>
  <c r="W173" i="23"/>
  <c r="W189" i="23"/>
  <c r="D189" i="23"/>
  <c r="E189" i="23" s="1"/>
  <c r="F189" i="23" s="1"/>
  <c r="W217" i="23"/>
  <c r="D217" i="23"/>
  <c r="E217" i="23" s="1"/>
  <c r="F217" i="23" s="1"/>
  <c r="D253" i="23"/>
  <c r="E253" i="23" s="1"/>
  <c r="F253" i="23" s="1"/>
  <c r="W253" i="23"/>
  <c r="D269" i="23"/>
  <c r="E269" i="23" s="1"/>
  <c r="F269" i="23" s="1"/>
  <c r="W269" i="23"/>
  <c r="W279" i="23"/>
  <c r="D279" i="23"/>
  <c r="E279" i="23" s="1"/>
  <c r="F279" i="23" s="1"/>
  <c r="D285" i="23"/>
  <c r="E285" i="23" s="1"/>
  <c r="F285" i="23" s="1"/>
  <c r="W285" i="23"/>
  <c r="D289" i="23"/>
  <c r="E289" i="23" s="1"/>
  <c r="F289" i="23" s="1"/>
  <c r="W289" i="23"/>
  <c r="W311" i="23"/>
  <c r="D311" i="23"/>
  <c r="E311" i="23" s="1"/>
  <c r="F311" i="23" s="1"/>
  <c r="AH54" i="7"/>
  <c r="V333" i="23"/>
  <c r="B333" i="23" s="1"/>
  <c r="W345" i="23"/>
  <c r="D345" i="23"/>
  <c r="E345" i="23" s="1"/>
  <c r="F345" i="23" s="1"/>
  <c r="W375" i="23"/>
  <c r="D375" i="23"/>
  <c r="E375" i="23" s="1"/>
  <c r="F375" i="23" s="1"/>
  <c r="D23" i="23"/>
  <c r="E23" i="23" s="1"/>
  <c r="F23" i="23" s="1"/>
  <c r="W23" i="23"/>
  <c r="W32" i="23"/>
  <c r="D32" i="23"/>
  <c r="E32" i="23" s="1"/>
  <c r="F32" i="23" s="1"/>
  <c r="D38" i="23"/>
  <c r="E38" i="23" s="1"/>
  <c r="F38" i="23" s="1"/>
  <c r="W38" i="23"/>
  <c r="D48" i="23"/>
  <c r="E48" i="23" s="1"/>
  <c r="F48" i="23" s="1"/>
  <c r="W48" i="23"/>
  <c r="W56" i="23"/>
  <c r="D56" i="23"/>
  <c r="E56" i="23" s="1"/>
  <c r="F56" i="23" s="1"/>
  <c r="W64" i="23"/>
  <c r="D64" i="23"/>
  <c r="E64" i="23" s="1"/>
  <c r="F64" i="23" s="1"/>
  <c r="D70" i="23"/>
  <c r="E70" i="23" s="1"/>
  <c r="F70" i="23" s="1"/>
  <c r="W70" i="23"/>
  <c r="W78" i="23"/>
  <c r="D78" i="23"/>
  <c r="E78" i="23" s="1"/>
  <c r="F78" i="23" s="1"/>
  <c r="W82" i="23"/>
  <c r="D82" i="23"/>
  <c r="E82" i="23" s="1"/>
  <c r="F82" i="23" s="1"/>
  <c r="D96" i="23"/>
  <c r="E96" i="23" s="1"/>
  <c r="F96" i="23" s="1"/>
  <c r="W96" i="23"/>
  <c r="D104" i="23"/>
  <c r="E104" i="23" s="1"/>
  <c r="F104" i="23" s="1"/>
  <c r="W104" i="23"/>
  <c r="D108" i="23"/>
  <c r="E108" i="23" s="1"/>
  <c r="F108" i="23" s="1"/>
  <c r="W108" i="23"/>
  <c r="W126" i="23"/>
  <c r="D126" i="23"/>
  <c r="E126" i="23" s="1"/>
  <c r="F126" i="23" s="1"/>
  <c r="W144" i="23"/>
  <c r="D144" i="23"/>
  <c r="E144" i="23" s="1"/>
  <c r="F144" i="23" s="1"/>
  <c r="W154" i="23"/>
  <c r="D154" i="23"/>
  <c r="E154" i="23" s="1"/>
  <c r="F154" i="23" s="1"/>
  <c r="W164" i="23"/>
  <c r="D164" i="23"/>
  <c r="E164" i="23" s="1"/>
  <c r="F164" i="23" s="1"/>
  <c r="W170" i="23"/>
  <c r="D170" i="23"/>
  <c r="E170" i="23" s="1"/>
  <c r="F170" i="23" s="1"/>
  <c r="D176" i="23"/>
  <c r="E176" i="23" s="1"/>
  <c r="F176" i="23" s="1"/>
  <c r="W176" i="23"/>
  <c r="D190" i="23"/>
  <c r="E190" i="23" s="1"/>
  <c r="F190" i="23" s="1"/>
  <c r="W190" i="23"/>
  <c r="D212" i="23"/>
  <c r="E212" i="23" s="1"/>
  <c r="F212" i="23" s="1"/>
  <c r="W212" i="23"/>
  <c r="D220" i="23"/>
  <c r="E220" i="23" s="1"/>
  <c r="F220" i="23" s="1"/>
  <c r="W220" i="23"/>
  <c r="W226" i="23"/>
  <c r="D226" i="23"/>
  <c r="E226" i="23" s="1"/>
  <c r="F226" i="23" s="1"/>
  <c r="W250" i="23"/>
  <c r="D250" i="23"/>
  <c r="E250" i="23" s="1"/>
  <c r="F250" i="23" s="1"/>
  <c r="D274" i="23"/>
  <c r="E274" i="23" s="1"/>
  <c r="F274" i="23" s="1"/>
  <c r="W274" i="23"/>
  <c r="B288" i="23"/>
  <c r="W296" i="23"/>
  <c r="D296" i="23"/>
  <c r="E296" i="23" s="1"/>
  <c r="F296" i="23" s="1"/>
  <c r="W318" i="23"/>
  <c r="D318" i="23"/>
  <c r="E318" i="23" s="1"/>
  <c r="F318" i="23" s="1"/>
  <c r="W336" i="23"/>
  <c r="D336" i="23"/>
  <c r="E336" i="23" s="1"/>
  <c r="F336" i="23" s="1"/>
  <c r="D348" i="23"/>
  <c r="E348" i="23" s="1"/>
  <c r="F348" i="23" s="1"/>
  <c r="W348" i="23"/>
  <c r="D362" i="23"/>
  <c r="E362" i="23" s="1"/>
  <c r="F362" i="23" s="1"/>
  <c r="W362" i="23"/>
  <c r="D370" i="23"/>
  <c r="E370" i="23" s="1"/>
  <c r="F370" i="23" s="1"/>
  <c r="W370" i="23"/>
  <c r="D31" i="23"/>
  <c r="E31" i="23" s="1"/>
  <c r="F31" i="23" s="1"/>
  <c r="W31" i="23"/>
  <c r="W47" i="23"/>
  <c r="D47" i="23"/>
  <c r="E47" i="23" s="1"/>
  <c r="F47" i="23" s="1"/>
  <c r="W71" i="23"/>
  <c r="D71" i="23"/>
  <c r="E71" i="23" s="1"/>
  <c r="F71" i="23" s="1"/>
  <c r="W75" i="23"/>
  <c r="D75" i="23"/>
  <c r="E75" i="23" s="1"/>
  <c r="F75" i="23" s="1"/>
  <c r="D83" i="23"/>
  <c r="E83" i="23" s="1"/>
  <c r="F83" i="23" s="1"/>
  <c r="W83" i="23"/>
  <c r="W93" i="23"/>
  <c r="D93" i="23"/>
  <c r="E93" i="23" s="1"/>
  <c r="F93" i="23" s="1"/>
  <c r="D131" i="23"/>
  <c r="E131" i="23" s="1"/>
  <c r="F131" i="23" s="1"/>
  <c r="W131" i="23"/>
  <c r="D161" i="23"/>
  <c r="E161" i="23" s="1"/>
  <c r="F161" i="23" s="1"/>
  <c r="W161" i="23"/>
  <c r="W167" i="23"/>
  <c r="D167" i="23"/>
  <c r="E167" i="23" s="1"/>
  <c r="F167" i="23" s="1"/>
  <c r="D179" i="23"/>
  <c r="E179" i="23" s="1"/>
  <c r="F179" i="23" s="1"/>
  <c r="W179" i="23"/>
  <c r="D203" i="23"/>
  <c r="E203" i="23" s="1"/>
  <c r="F203" i="23" s="1"/>
  <c r="W203" i="23"/>
  <c r="W235" i="23"/>
  <c r="D235" i="23"/>
  <c r="E235" i="23" s="1"/>
  <c r="F235" i="23" s="1"/>
  <c r="D265" i="23"/>
  <c r="E265" i="23" s="1"/>
  <c r="F265" i="23" s="1"/>
  <c r="W265" i="23"/>
  <c r="W277" i="23"/>
  <c r="D277" i="23"/>
  <c r="E277" i="23" s="1"/>
  <c r="F277" i="23" s="1"/>
  <c r="W281" i="23"/>
  <c r="D281" i="23"/>
  <c r="E281" i="23" s="1"/>
  <c r="F281" i="23" s="1"/>
  <c r="W287" i="23"/>
  <c r="D287" i="23"/>
  <c r="E287" i="23" s="1"/>
  <c r="F287" i="23" s="1"/>
  <c r="W307" i="23"/>
  <c r="D307" i="23"/>
  <c r="E307" i="23" s="1"/>
  <c r="F307" i="23" s="1"/>
  <c r="W317" i="23"/>
  <c r="D317" i="23"/>
  <c r="E317" i="23" s="1"/>
  <c r="F317" i="23" s="1"/>
  <c r="D343" i="23"/>
  <c r="E343" i="23" s="1"/>
  <c r="F343" i="23" s="1"/>
  <c r="W343" i="23"/>
  <c r="D353" i="23"/>
  <c r="E353" i="23" s="1"/>
  <c r="F353" i="23" s="1"/>
  <c r="W353" i="23"/>
  <c r="J52" i="22"/>
  <c r="I52" i="22"/>
  <c r="I71" i="22"/>
  <c r="J71" i="22"/>
  <c r="J346" i="22"/>
  <c r="I346" i="22"/>
  <c r="I226" i="22"/>
  <c r="J226" i="22"/>
  <c r="I198" i="22"/>
  <c r="J198" i="22"/>
  <c r="I150" i="22"/>
  <c r="J150" i="22"/>
  <c r="I102" i="22"/>
  <c r="J102" i="22"/>
  <c r="J261" i="22"/>
  <c r="I261" i="22"/>
  <c r="I145" i="22"/>
  <c r="J145" i="22"/>
  <c r="J128" i="22"/>
  <c r="I128" i="22"/>
  <c r="H128" i="23" s="1"/>
  <c r="J116" i="22"/>
  <c r="I116" i="22"/>
  <c r="J371" i="22"/>
  <c r="I371" i="22"/>
  <c r="H371" i="23" s="1"/>
  <c r="J146" i="22"/>
  <c r="I146" i="22"/>
  <c r="J114" i="22"/>
  <c r="I114" i="22"/>
  <c r="J78" i="22"/>
  <c r="I78" i="22"/>
  <c r="J137" i="22"/>
  <c r="I137" i="22"/>
  <c r="H137" i="23" s="1"/>
  <c r="J113" i="22"/>
  <c r="I113" i="22"/>
  <c r="D105" i="23"/>
  <c r="E105" i="23" s="1"/>
  <c r="F105" i="23" s="1"/>
  <c r="W105" i="23"/>
  <c r="G29" i="22"/>
  <c r="CC29" i="6" s="1"/>
  <c r="AA29" i="22"/>
  <c r="Z29" i="22" s="1"/>
  <c r="Y29" i="22" s="1"/>
  <c r="H29" i="22"/>
  <c r="I356" i="22"/>
  <c r="J356" i="22"/>
  <c r="J264" i="22"/>
  <c r="I264" i="22"/>
  <c r="J228" i="22"/>
  <c r="I228" i="22"/>
  <c r="W19" i="23"/>
  <c r="D19" i="23"/>
  <c r="E19" i="23" s="1"/>
  <c r="F19" i="23" s="1"/>
  <c r="W24" i="23"/>
  <c r="D24" i="23"/>
  <c r="E24" i="23" s="1"/>
  <c r="F24" i="23" s="1"/>
  <c r="D28" i="23"/>
  <c r="E28" i="23" s="1"/>
  <c r="F28" i="23" s="1"/>
  <c r="W28" i="23"/>
  <c r="D36" i="23"/>
  <c r="E36" i="23" s="1"/>
  <c r="F36" i="23" s="1"/>
  <c r="W36" i="23"/>
  <c r="W44" i="23"/>
  <c r="D44" i="23"/>
  <c r="E44" i="23" s="1"/>
  <c r="F44" i="23" s="1"/>
  <c r="D50" i="23"/>
  <c r="E50" i="23" s="1"/>
  <c r="F50" i="23" s="1"/>
  <c r="W50" i="23"/>
  <c r="AH45" i="7"/>
  <c r="V60" i="23"/>
  <c r="B60" i="23" s="1"/>
  <c r="W74" i="23"/>
  <c r="D74" i="23"/>
  <c r="E74" i="23" s="1"/>
  <c r="F74" i="23" s="1"/>
  <c r="D90" i="23"/>
  <c r="E90" i="23" s="1"/>
  <c r="F90" i="23" s="1"/>
  <c r="W90" i="23"/>
  <c r="G100" i="23"/>
  <c r="CD100" i="6" s="1"/>
  <c r="AA100" i="23"/>
  <c r="Z100" i="23" s="1"/>
  <c r="Y100" i="23" s="1"/>
  <c r="H100" i="23"/>
  <c r="D110" i="23"/>
  <c r="E110" i="23" s="1"/>
  <c r="F110" i="23" s="1"/>
  <c r="W110" i="23"/>
  <c r="G112" i="23"/>
  <c r="CD112" i="6" s="1"/>
  <c r="H112" i="23"/>
  <c r="AA112" i="23"/>
  <c r="Z112" i="23" s="1"/>
  <c r="Y112" i="23" s="1"/>
  <c r="W116" i="23"/>
  <c r="D116" i="23"/>
  <c r="E116" i="23" s="1"/>
  <c r="F116" i="23" s="1"/>
  <c r="D130" i="23"/>
  <c r="E130" i="23" s="1"/>
  <c r="F130" i="23" s="1"/>
  <c r="W130" i="23"/>
  <c r="D140" i="23"/>
  <c r="E140" i="23" s="1"/>
  <c r="F140" i="23" s="1"/>
  <c r="W140" i="23"/>
  <c r="D146" i="23"/>
  <c r="E146" i="23" s="1"/>
  <c r="F146" i="23" s="1"/>
  <c r="W146" i="23"/>
  <c r="D150" i="23"/>
  <c r="E150" i="23" s="1"/>
  <c r="F150" i="23" s="1"/>
  <c r="W150" i="23"/>
  <c r="D156" i="23"/>
  <c r="E156" i="23" s="1"/>
  <c r="F156" i="23" s="1"/>
  <c r="W156" i="23"/>
  <c r="W162" i="23"/>
  <c r="D162" i="23"/>
  <c r="E162" i="23" s="1"/>
  <c r="F162" i="23" s="1"/>
  <c r="AA168" i="23"/>
  <c r="Z168" i="23" s="1"/>
  <c r="Y168" i="23" s="1"/>
  <c r="G168" i="23"/>
  <c r="CD168" i="6" s="1"/>
  <c r="H168" i="23"/>
  <c r="D174" i="23"/>
  <c r="E174" i="23" s="1"/>
  <c r="F174" i="23" s="1"/>
  <c r="W174" i="23"/>
  <c r="D182" i="23"/>
  <c r="E182" i="23" s="1"/>
  <c r="F182" i="23" s="1"/>
  <c r="W182" i="23"/>
  <c r="AA188" i="23"/>
  <c r="Z188" i="23" s="1"/>
  <c r="Y188" i="23" s="1"/>
  <c r="G188" i="23"/>
  <c r="CD188" i="6" s="1"/>
  <c r="H188" i="23"/>
  <c r="D194" i="23"/>
  <c r="E194" i="23" s="1"/>
  <c r="F194" i="23" s="1"/>
  <c r="W194" i="23"/>
  <c r="W202" i="23"/>
  <c r="D202" i="23"/>
  <c r="E202" i="23" s="1"/>
  <c r="F202" i="23" s="1"/>
  <c r="AH50" i="7"/>
  <c r="V210" i="23"/>
  <c r="B210" i="23" s="1"/>
  <c r="D222" i="23"/>
  <c r="E222" i="23" s="1"/>
  <c r="F222" i="23" s="1"/>
  <c r="W222" i="23"/>
  <c r="D232" i="23"/>
  <c r="E232" i="23" s="1"/>
  <c r="F232" i="23" s="1"/>
  <c r="W232" i="23"/>
  <c r="W236" i="23"/>
  <c r="D236" i="23"/>
  <c r="E236" i="23" s="1"/>
  <c r="F236" i="23" s="1"/>
  <c r="W246" i="23"/>
  <c r="D246" i="23"/>
  <c r="E246" i="23" s="1"/>
  <c r="F246" i="23" s="1"/>
  <c r="W252" i="23"/>
  <c r="D252" i="23"/>
  <c r="E252" i="23" s="1"/>
  <c r="F252" i="23" s="1"/>
  <c r="W264" i="23"/>
  <c r="D264" i="23"/>
  <c r="E264" i="23" s="1"/>
  <c r="F264" i="23" s="1"/>
  <c r="W276" i="23"/>
  <c r="D276" i="23"/>
  <c r="E276" i="23" s="1"/>
  <c r="F276" i="23" s="1"/>
  <c r="D280" i="23"/>
  <c r="E280" i="23" s="1"/>
  <c r="F280" i="23" s="1"/>
  <c r="W280" i="23"/>
  <c r="W292" i="23"/>
  <c r="D292" i="23"/>
  <c r="E292" i="23" s="1"/>
  <c r="F292" i="23" s="1"/>
  <c r="W300" i="23"/>
  <c r="D300" i="23"/>
  <c r="E300" i="23" s="1"/>
  <c r="F300" i="23" s="1"/>
  <c r="D308" i="23"/>
  <c r="E308" i="23" s="1"/>
  <c r="F308" i="23" s="1"/>
  <c r="W308" i="23"/>
  <c r="W312" i="23"/>
  <c r="D312" i="23"/>
  <c r="E312" i="23" s="1"/>
  <c r="F312" i="23" s="1"/>
  <c r="W322" i="23"/>
  <c r="D322" i="23"/>
  <c r="E322" i="23" s="1"/>
  <c r="F322" i="23" s="1"/>
  <c r="W326" i="23"/>
  <c r="D326" i="23"/>
  <c r="E326" i="23" s="1"/>
  <c r="F326" i="23" s="1"/>
  <c r="D332" i="23"/>
  <c r="E332" i="23" s="1"/>
  <c r="F332" i="23" s="1"/>
  <c r="W332" i="23"/>
  <c r="W340" i="23"/>
  <c r="D340" i="23"/>
  <c r="E340" i="23" s="1"/>
  <c r="F340" i="23" s="1"/>
  <c r="W346" i="23"/>
  <c r="D346" i="23"/>
  <c r="E346" i="23" s="1"/>
  <c r="F346" i="23" s="1"/>
  <c r="G352" i="23"/>
  <c r="CD352" i="6" s="1"/>
  <c r="H352" i="23"/>
  <c r="W358" i="23"/>
  <c r="D358" i="23"/>
  <c r="E358" i="23" s="1"/>
  <c r="F358" i="23" s="1"/>
  <c r="G364" i="23"/>
  <c r="CD364" i="6" s="1"/>
  <c r="AA364" i="23"/>
  <c r="Z364" i="23" s="1"/>
  <c r="Y364" i="23" s="1"/>
  <c r="W378" i="23"/>
  <c r="D378" i="23"/>
  <c r="E378" i="23" s="1"/>
  <c r="F378" i="23" s="1"/>
  <c r="I179" i="22"/>
  <c r="J179" i="22"/>
  <c r="I167" i="22"/>
  <c r="J167" i="22"/>
  <c r="I139" i="22"/>
  <c r="J139" i="22"/>
  <c r="I123" i="22"/>
  <c r="J123" i="22"/>
  <c r="J75" i="22"/>
  <c r="I75" i="22"/>
  <c r="J330" i="22"/>
  <c r="I330" i="22"/>
  <c r="H330" i="23" s="1"/>
  <c r="B258" i="23"/>
  <c r="J110" i="22"/>
  <c r="I110" i="22"/>
  <c r="I295" i="22"/>
  <c r="J295" i="22"/>
  <c r="J19" i="22"/>
  <c r="I19" i="22"/>
  <c r="I178" i="22"/>
  <c r="J178" i="22"/>
  <c r="I61" i="22"/>
  <c r="J61" i="22"/>
  <c r="I96" i="22"/>
  <c r="J96" i="22"/>
  <c r="J80" i="22"/>
  <c r="I80" i="22"/>
  <c r="I211" i="22"/>
  <c r="J211" i="22"/>
  <c r="I163" i="22"/>
  <c r="J163" i="22"/>
  <c r="I314" i="22"/>
  <c r="J314" i="22"/>
  <c r="I246" i="22"/>
  <c r="J246" i="22"/>
  <c r="J194" i="22"/>
  <c r="I194" i="22"/>
  <c r="J154" i="22"/>
  <c r="I154" i="22"/>
  <c r="I90" i="22"/>
  <c r="J90" i="22"/>
  <c r="J269" i="22"/>
  <c r="I269" i="22"/>
  <c r="J257" i="22"/>
  <c r="I257" i="22"/>
  <c r="J193" i="22"/>
  <c r="I193" i="22"/>
  <c r="I73" i="22"/>
  <c r="J73" i="22"/>
  <c r="J320" i="22"/>
  <c r="I320" i="22"/>
  <c r="J172" i="22"/>
  <c r="I172" i="22"/>
  <c r="J60" i="22"/>
  <c r="I60" i="22"/>
  <c r="J363" i="22"/>
  <c r="I363" i="22"/>
  <c r="J302" i="22"/>
  <c r="I302" i="22"/>
  <c r="W15" i="20"/>
  <c r="B383" i="20"/>
  <c r="H9" i="20"/>
  <c r="B16" i="19" s="1"/>
  <c r="B32" i="19" s="1"/>
  <c r="B381" i="20"/>
  <c r="D15" i="20"/>
  <c r="B382" i="20"/>
  <c r="AK6" i="20"/>
  <c r="J89" i="22"/>
  <c r="I89" i="22"/>
  <c r="J37" i="22"/>
  <c r="I37" i="22"/>
  <c r="J33" i="22"/>
  <c r="I33" i="22"/>
  <c r="I84" i="22"/>
  <c r="J84" i="22"/>
  <c r="G124" i="23"/>
  <c r="CD124" i="6" s="1"/>
  <c r="AA136" i="23"/>
  <c r="Z136" i="23" s="1"/>
  <c r="Y136" i="23" s="1"/>
  <c r="G136" i="23"/>
  <c r="CD136" i="6" s="1"/>
  <c r="G186" i="23"/>
  <c r="CD186" i="6" s="1"/>
  <c r="H186" i="23"/>
  <c r="G200" i="23"/>
  <c r="CD200" i="6" s="1"/>
  <c r="H200" i="23"/>
  <c r="AA200" i="23"/>
  <c r="Z200" i="23" s="1"/>
  <c r="Y200" i="23" s="1"/>
  <c r="G230" i="23"/>
  <c r="CD230" i="6" s="1"/>
  <c r="AA230" i="23"/>
  <c r="Z230" i="23" s="1"/>
  <c r="Y230" i="23" s="1"/>
  <c r="AA238" i="23"/>
  <c r="Z238" i="23" s="1"/>
  <c r="Y238" i="23" s="1"/>
  <c r="G238" i="23"/>
  <c r="CD238" i="6" s="1"/>
  <c r="AA240" i="23"/>
  <c r="Z240" i="23" s="1"/>
  <c r="Y240" i="23" s="1"/>
  <c r="H240" i="23"/>
  <c r="G240" i="23"/>
  <c r="CD240" i="6" s="1"/>
  <c r="G242" i="23"/>
  <c r="CD242" i="6" s="1"/>
  <c r="G256" i="23"/>
  <c r="CD256" i="6" s="1"/>
  <c r="AA256" i="23"/>
  <c r="Z256" i="23" s="1"/>
  <c r="Y256" i="23" s="1"/>
  <c r="H256" i="23"/>
  <c r="G268" i="23"/>
  <c r="CD268" i="6" s="1"/>
  <c r="AA268" i="23"/>
  <c r="Z268" i="23" s="1"/>
  <c r="Y268" i="23" s="1"/>
  <c r="AA316" i="23"/>
  <c r="Z316" i="23" s="1"/>
  <c r="Y316" i="23" s="1"/>
  <c r="G316" i="23"/>
  <c r="CD316" i="6" s="1"/>
  <c r="H316" i="23"/>
  <c r="AA360" i="23"/>
  <c r="Z360" i="23" s="1"/>
  <c r="Y360" i="23" s="1"/>
  <c r="G360" i="23"/>
  <c r="CD360" i="6" s="1"/>
  <c r="H360" i="23"/>
  <c r="G368" i="23"/>
  <c r="CD368" i="6" s="1"/>
  <c r="J351" i="22"/>
  <c r="I351" i="22"/>
  <c r="I335" i="22"/>
  <c r="J335" i="22"/>
  <c r="J239" i="22"/>
  <c r="I239" i="22"/>
  <c r="H239" i="23" s="1"/>
  <c r="AA227" i="22"/>
  <c r="Z227" i="22" s="1"/>
  <c r="Y227" i="22" s="1"/>
  <c r="G227" i="22"/>
  <c r="CC227" i="6" s="1"/>
  <c r="H227" i="22"/>
  <c r="I87" i="22"/>
  <c r="J87" i="22"/>
  <c r="J27" i="22"/>
  <c r="I27" i="22"/>
  <c r="I326" i="22"/>
  <c r="J326" i="22"/>
  <c r="I286" i="22"/>
  <c r="J286" i="22"/>
  <c r="I266" i="22"/>
  <c r="J266" i="22"/>
  <c r="G258" i="22"/>
  <c r="CC258" i="6" s="1"/>
  <c r="AA258" i="22"/>
  <c r="Z258" i="22" s="1"/>
  <c r="Y258" i="22" s="1"/>
  <c r="H258" i="22"/>
  <c r="J182" i="22"/>
  <c r="I182" i="22"/>
  <c r="J98" i="22"/>
  <c r="I98" i="22"/>
  <c r="I353" i="22"/>
  <c r="J353" i="22"/>
  <c r="I368" i="22"/>
  <c r="H368" i="23" s="1"/>
  <c r="J368" i="22"/>
  <c r="I136" i="22"/>
  <c r="H136" i="23" s="1"/>
  <c r="J136" i="22"/>
  <c r="J124" i="22"/>
  <c r="I124" i="22"/>
  <c r="H124" i="23" s="1"/>
  <c r="J28" i="22"/>
  <c r="I28" i="22"/>
  <c r="J375" i="22"/>
  <c r="I375" i="22"/>
  <c r="J55" i="22"/>
  <c r="I55" i="22"/>
  <c r="I142" i="22"/>
  <c r="J142" i="22"/>
  <c r="I86" i="22"/>
  <c r="J86" i="22"/>
  <c r="G349" i="22"/>
  <c r="CC349" i="6" s="1"/>
  <c r="AA349" i="22"/>
  <c r="Z349" i="22" s="1"/>
  <c r="Y349" i="22" s="1"/>
  <c r="H349" i="22"/>
  <c r="I101" i="22"/>
  <c r="J101" i="22"/>
  <c r="I45" i="22"/>
  <c r="J45" i="22"/>
  <c r="I364" i="22"/>
  <c r="H364" i="23" s="1"/>
  <c r="J364" i="22"/>
  <c r="J271" i="22"/>
  <c r="I271" i="22"/>
  <c r="I342" i="22"/>
  <c r="J342" i="22"/>
  <c r="G210" i="22"/>
  <c r="CC210" i="6" s="1"/>
  <c r="AA210" i="22"/>
  <c r="Z210" i="22" s="1"/>
  <c r="Y210" i="22" s="1"/>
  <c r="H210" i="22"/>
  <c r="G149" i="22"/>
  <c r="CC149" i="6" s="1"/>
  <c r="H149" i="22"/>
  <c r="AA149" i="22"/>
  <c r="Z149" i="22" s="1"/>
  <c r="Y149" i="22" s="1"/>
  <c r="I57" i="22"/>
  <c r="J57" i="22"/>
  <c r="J304" i="22"/>
  <c r="I304" i="22"/>
  <c r="I236" i="22"/>
  <c r="J236" i="22"/>
  <c r="J76" i="22"/>
  <c r="I76" i="22"/>
  <c r="I64" i="22"/>
  <c r="J64" i="22"/>
  <c r="I272" i="22"/>
  <c r="J272" i="22"/>
  <c r="AE381" i="24"/>
  <c r="AE382" i="24"/>
  <c r="AE383" i="24"/>
  <c r="I46" i="22"/>
  <c r="J46" i="22"/>
  <c r="I333" i="22"/>
  <c r="J333" i="22"/>
  <c r="I121" i="22"/>
  <c r="J121" i="22"/>
  <c r="J300" i="22"/>
  <c r="I300" i="22"/>
  <c r="I156" i="22"/>
  <c r="J156" i="22"/>
  <c r="I68" i="22"/>
  <c r="J68" i="22"/>
  <c r="T381" i="23"/>
  <c r="T383" i="23"/>
  <c r="S15" i="23"/>
  <c r="T382" i="23"/>
  <c r="G59" i="23"/>
  <c r="CD59" i="6" s="1"/>
  <c r="AA59" i="23"/>
  <c r="Z59" i="23" s="1"/>
  <c r="Y59" i="23" s="1"/>
  <c r="AA97" i="23"/>
  <c r="Z97" i="23" s="1"/>
  <c r="Y97" i="23" s="1"/>
  <c r="G97" i="23"/>
  <c r="CD97" i="6" s="1"/>
  <c r="H97" i="23"/>
  <c r="AA137" i="23"/>
  <c r="Z137" i="23" s="1"/>
  <c r="Y137" i="23" s="1"/>
  <c r="G137" i="23"/>
  <c r="CD137" i="6" s="1"/>
  <c r="G225" i="23"/>
  <c r="CD225" i="6" s="1"/>
  <c r="H225" i="23"/>
  <c r="AA225" i="23"/>
  <c r="Z225" i="23" s="1"/>
  <c r="Y225" i="23" s="1"/>
  <c r="AA239" i="23"/>
  <c r="Z239" i="23" s="1"/>
  <c r="Y239" i="23" s="1"/>
  <c r="G239" i="23"/>
  <c r="CD239" i="6" s="1"/>
  <c r="G297" i="23"/>
  <c r="CD297" i="6" s="1"/>
  <c r="AA297" i="23"/>
  <c r="Z297" i="23" s="1"/>
  <c r="Y297" i="23" s="1"/>
  <c r="G371" i="23"/>
  <c r="CD371" i="6" s="1"/>
  <c r="AA371" i="23"/>
  <c r="Z371" i="23" s="1"/>
  <c r="Y371" i="23" s="1"/>
  <c r="AY16" i="7"/>
  <c r="U18" i="24"/>
  <c r="T18" i="24" s="1"/>
  <c r="S18" i="24" s="1"/>
  <c r="R18" i="24" s="1"/>
  <c r="P18" i="24" s="1"/>
  <c r="V18" i="24" s="1"/>
  <c r="B18" i="24" s="1"/>
  <c r="U31" i="24"/>
  <c r="T31" i="24" s="1"/>
  <c r="U39" i="24"/>
  <c r="T39" i="24" s="1"/>
  <c r="S39" i="24" s="1"/>
  <c r="R39" i="24" s="1"/>
  <c r="P39" i="24" s="1"/>
  <c r="V39" i="24" s="1"/>
  <c r="B39" i="24" s="1"/>
  <c r="U47" i="24"/>
  <c r="T47" i="24" s="1"/>
  <c r="S47" i="24" s="1"/>
  <c r="R47" i="24" s="1"/>
  <c r="P47" i="24" s="1"/>
  <c r="V47" i="24" s="1"/>
  <c r="B47" i="24" s="1"/>
  <c r="U55" i="24"/>
  <c r="T55" i="24" s="1"/>
  <c r="S55" i="24" s="1"/>
  <c r="R55" i="24" s="1"/>
  <c r="P55" i="24" s="1"/>
  <c r="V55" i="24" s="1"/>
  <c r="B55" i="24" s="1"/>
  <c r="U63" i="24"/>
  <c r="T63" i="24" s="1"/>
  <c r="S63" i="24" s="1"/>
  <c r="R63" i="24" s="1"/>
  <c r="P63" i="24" s="1"/>
  <c r="V63" i="24" s="1"/>
  <c r="B63" i="24" s="1"/>
  <c r="U71" i="24"/>
  <c r="T71" i="24" s="1"/>
  <c r="S71" i="24" s="1"/>
  <c r="R71" i="24" s="1"/>
  <c r="P71" i="24" s="1"/>
  <c r="V71" i="24" s="1"/>
  <c r="B71" i="24" s="1"/>
  <c r="U79" i="24"/>
  <c r="T79" i="24" s="1"/>
  <c r="S79" i="24" s="1"/>
  <c r="R79" i="24" s="1"/>
  <c r="P79" i="24" s="1"/>
  <c r="V79" i="24" s="1"/>
  <c r="B79" i="24" s="1"/>
  <c r="U87" i="24"/>
  <c r="T87" i="24" s="1"/>
  <c r="S87" i="24" s="1"/>
  <c r="R87" i="24" s="1"/>
  <c r="P87" i="24" s="1"/>
  <c r="V87" i="24" s="1"/>
  <c r="B87" i="24" s="1"/>
  <c r="U95" i="24"/>
  <c r="T95" i="24" s="1"/>
  <c r="U103" i="24"/>
  <c r="T103" i="24" s="1"/>
  <c r="U111" i="24"/>
  <c r="T111" i="24" s="1"/>
  <c r="U119" i="24"/>
  <c r="T119" i="24" s="1"/>
  <c r="S119" i="24" s="1"/>
  <c r="R119" i="24" s="1"/>
  <c r="P119" i="24" s="1"/>
  <c r="U127" i="24"/>
  <c r="T127" i="24" s="1"/>
  <c r="U135" i="24"/>
  <c r="T135" i="24" s="1"/>
  <c r="S135" i="24" s="1"/>
  <c r="R135" i="24" s="1"/>
  <c r="P135" i="24" s="1"/>
  <c r="V135" i="24" s="1"/>
  <c r="U143" i="24"/>
  <c r="T143" i="24" s="1"/>
  <c r="S143" i="24" s="1"/>
  <c r="R143" i="24" s="1"/>
  <c r="P143" i="24" s="1"/>
  <c r="V143" i="24" s="1"/>
  <c r="B143" i="24" s="1"/>
  <c r="U151" i="24"/>
  <c r="T151" i="24" s="1"/>
  <c r="S151" i="24" s="1"/>
  <c r="R151" i="24" s="1"/>
  <c r="P151" i="24" s="1"/>
  <c r="V151" i="24" s="1"/>
  <c r="B151" i="24" s="1"/>
  <c r="U159" i="24"/>
  <c r="T159" i="24" s="1"/>
  <c r="S159" i="24" s="1"/>
  <c r="R159" i="24" s="1"/>
  <c r="P159" i="24" s="1"/>
  <c r="V159" i="24" s="1"/>
  <c r="B159" i="24" s="1"/>
  <c r="U163" i="24"/>
  <c r="T163" i="24" s="1"/>
  <c r="U167" i="24"/>
  <c r="T167" i="24" s="1"/>
  <c r="S167" i="24" s="1"/>
  <c r="R167" i="24" s="1"/>
  <c r="P167" i="24" s="1"/>
  <c r="V167" i="24" s="1"/>
  <c r="B167" i="24" s="1"/>
  <c r="U171" i="24"/>
  <c r="T171" i="24" s="1"/>
  <c r="S171" i="24" s="1"/>
  <c r="R171" i="24" s="1"/>
  <c r="P171" i="24" s="1"/>
  <c r="V171" i="24" s="1"/>
  <c r="B171" i="24" s="1"/>
  <c r="U175" i="24"/>
  <c r="T175" i="24" s="1"/>
  <c r="S175" i="24" s="1"/>
  <c r="R175" i="24" s="1"/>
  <c r="P175" i="24" s="1"/>
  <c r="V175" i="24" s="1"/>
  <c r="B175" i="24" s="1"/>
  <c r="U179" i="24"/>
  <c r="T179" i="24" s="1"/>
  <c r="S179" i="24" s="1"/>
  <c r="R179" i="24" s="1"/>
  <c r="P179" i="24" s="1"/>
  <c r="V179" i="24" s="1"/>
  <c r="B179" i="24" s="1"/>
  <c r="U183" i="24"/>
  <c r="T183" i="24" s="1"/>
  <c r="S183" i="24" s="1"/>
  <c r="R183" i="24" s="1"/>
  <c r="P183" i="24" s="1"/>
  <c r="V183" i="24" s="1"/>
  <c r="B183" i="24" s="1"/>
  <c r="U187" i="24"/>
  <c r="T187" i="24" s="1"/>
  <c r="S187" i="24" s="1"/>
  <c r="R187" i="24" s="1"/>
  <c r="P187" i="24" s="1"/>
  <c r="V187" i="24" s="1"/>
  <c r="B187" i="24" s="1"/>
  <c r="U191" i="24"/>
  <c r="T191" i="24" s="1"/>
  <c r="S191" i="24" s="1"/>
  <c r="R191" i="24" s="1"/>
  <c r="P191" i="24" s="1"/>
  <c r="V191" i="24" s="1"/>
  <c r="B191" i="24" s="1"/>
  <c r="U195" i="24"/>
  <c r="T195" i="24" s="1"/>
  <c r="U199" i="24"/>
  <c r="T199" i="24" s="1"/>
  <c r="S199" i="24" s="1"/>
  <c r="R199" i="24" s="1"/>
  <c r="P199" i="24" s="1"/>
  <c r="V199" i="24" s="1"/>
  <c r="B199" i="24" s="1"/>
  <c r="U203" i="24"/>
  <c r="T203" i="24" s="1"/>
  <c r="S203" i="24" s="1"/>
  <c r="R203" i="24" s="1"/>
  <c r="P203" i="24" s="1"/>
  <c r="V203" i="24" s="1"/>
  <c r="B203" i="24" s="1"/>
  <c r="U207" i="24"/>
  <c r="T207" i="24" s="1"/>
  <c r="U211" i="24"/>
  <c r="T211" i="24" s="1"/>
  <c r="S211" i="24" s="1"/>
  <c r="R211" i="24" s="1"/>
  <c r="P211" i="24" s="1"/>
  <c r="V211" i="24" s="1"/>
  <c r="B211" i="24" s="1"/>
  <c r="U215" i="24"/>
  <c r="T215" i="24" s="1"/>
  <c r="S215" i="24" s="1"/>
  <c r="R215" i="24" s="1"/>
  <c r="P215" i="24" s="1"/>
  <c r="V215" i="24" s="1"/>
  <c r="B215" i="24" s="1"/>
  <c r="U219" i="24"/>
  <c r="T219" i="24" s="1"/>
  <c r="S219" i="24" s="1"/>
  <c r="R219" i="24" s="1"/>
  <c r="P219" i="24" s="1"/>
  <c r="V219" i="24" s="1"/>
  <c r="B219" i="24" s="1"/>
  <c r="U223" i="24"/>
  <c r="T223" i="24" s="1"/>
  <c r="S223" i="24" s="1"/>
  <c r="R223" i="24" s="1"/>
  <c r="P223" i="24" s="1"/>
  <c r="V223" i="24" s="1"/>
  <c r="B223" i="24" s="1"/>
  <c r="U227" i="24"/>
  <c r="T227" i="24" s="1"/>
  <c r="S227" i="24" s="1"/>
  <c r="R227" i="24" s="1"/>
  <c r="P227" i="24" s="1"/>
  <c r="V227" i="24" s="1"/>
  <c r="B227" i="24" s="1"/>
  <c r="U231" i="24"/>
  <c r="T231" i="24" s="1"/>
  <c r="S231" i="24" s="1"/>
  <c r="R231" i="24" s="1"/>
  <c r="P231" i="24" s="1"/>
  <c r="V231" i="24" s="1"/>
  <c r="B231" i="24" s="1"/>
  <c r="U235" i="24"/>
  <c r="T235" i="24" s="1"/>
  <c r="U239" i="24"/>
  <c r="T239" i="24" s="1"/>
  <c r="S239" i="24" s="1"/>
  <c r="R239" i="24" s="1"/>
  <c r="P239" i="24" s="1"/>
  <c r="V239" i="24" s="1"/>
  <c r="B239" i="24" s="1"/>
  <c r="U243" i="24"/>
  <c r="T243" i="24" s="1"/>
  <c r="S243" i="24" s="1"/>
  <c r="R243" i="24" s="1"/>
  <c r="P243" i="24" s="1"/>
  <c r="V243" i="24" s="1"/>
  <c r="B243" i="24" s="1"/>
  <c r="U247" i="24"/>
  <c r="T247" i="24" s="1"/>
  <c r="S247" i="24" s="1"/>
  <c r="R247" i="24" s="1"/>
  <c r="P247" i="24" s="1"/>
  <c r="V247" i="24" s="1"/>
  <c r="B247" i="24" s="1"/>
  <c r="U251" i="24"/>
  <c r="T251" i="24" s="1"/>
  <c r="U255" i="24"/>
  <c r="T255" i="24" s="1"/>
  <c r="S255" i="24" s="1"/>
  <c r="R255" i="24" s="1"/>
  <c r="P255" i="24" s="1"/>
  <c r="V255" i="24" s="1"/>
  <c r="B255" i="24" s="1"/>
  <c r="U259" i="24"/>
  <c r="T259" i="24" s="1"/>
  <c r="U263" i="24"/>
  <c r="T263" i="24" s="1"/>
  <c r="S263" i="24" s="1"/>
  <c r="R263" i="24" s="1"/>
  <c r="P263" i="24" s="1"/>
  <c r="V263" i="24" s="1"/>
  <c r="B263" i="24" s="1"/>
  <c r="U267" i="24"/>
  <c r="T267" i="24" s="1"/>
  <c r="S267" i="24" s="1"/>
  <c r="R267" i="24" s="1"/>
  <c r="P267" i="24" s="1"/>
  <c r="V267" i="24" s="1"/>
  <c r="B267" i="24" s="1"/>
  <c r="U271" i="24"/>
  <c r="T271" i="24" s="1"/>
  <c r="S271" i="24" s="1"/>
  <c r="R271" i="24" s="1"/>
  <c r="P271" i="24" s="1"/>
  <c r="V271" i="24" s="1"/>
  <c r="B271" i="24" s="1"/>
  <c r="U275" i="24"/>
  <c r="T275" i="24" s="1"/>
  <c r="S275" i="24" s="1"/>
  <c r="R275" i="24" s="1"/>
  <c r="P275" i="24" s="1"/>
  <c r="V275" i="24" s="1"/>
  <c r="B275" i="24" s="1"/>
  <c r="U279" i="24"/>
  <c r="T279" i="24" s="1"/>
  <c r="S279" i="24" s="1"/>
  <c r="R279" i="24" s="1"/>
  <c r="P279" i="24" s="1"/>
  <c r="V279" i="24" s="1"/>
  <c r="B279" i="24" s="1"/>
  <c r="U283" i="24"/>
  <c r="T283" i="24" s="1"/>
  <c r="S283" i="24" s="1"/>
  <c r="R283" i="24" s="1"/>
  <c r="P283" i="24" s="1"/>
  <c r="V283" i="24" s="1"/>
  <c r="B283" i="24" s="1"/>
  <c r="U287" i="24"/>
  <c r="T287" i="24" s="1"/>
  <c r="S287" i="24" s="1"/>
  <c r="R287" i="24" s="1"/>
  <c r="P287" i="24" s="1"/>
  <c r="V287" i="24" s="1"/>
  <c r="B287" i="24" s="1"/>
  <c r="U291" i="24"/>
  <c r="T291" i="24" s="1"/>
  <c r="U295" i="24"/>
  <c r="T295" i="24" s="1"/>
  <c r="U299" i="24"/>
  <c r="T299" i="24" s="1"/>
  <c r="U303" i="24"/>
  <c r="T303" i="24" s="1"/>
  <c r="S303" i="24" s="1"/>
  <c r="R303" i="24" s="1"/>
  <c r="P303" i="24" s="1"/>
  <c r="V303" i="24" s="1"/>
  <c r="B303" i="24" s="1"/>
  <c r="U307" i="24"/>
  <c r="T307" i="24" s="1"/>
  <c r="S307" i="24" s="1"/>
  <c r="R307" i="24" s="1"/>
  <c r="P307" i="24" s="1"/>
  <c r="V307" i="24" s="1"/>
  <c r="B307" i="24" s="1"/>
  <c r="U311" i="24"/>
  <c r="T311" i="24" s="1"/>
  <c r="U315" i="24"/>
  <c r="T315" i="24" s="1"/>
  <c r="S315" i="24" s="1"/>
  <c r="R315" i="24" s="1"/>
  <c r="P315" i="24" s="1"/>
  <c r="V315" i="24" s="1"/>
  <c r="B315" i="24" s="1"/>
  <c r="U319" i="24"/>
  <c r="T319" i="24" s="1"/>
  <c r="U323" i="24"/>
  <c r="T323" i="24" s="1"/>
  <c r="S323" i="24" s="1"/>
  <c r="R323" i="24" s="1"/>
  <c r="P323" i="24" s="1"/>
  <c r="V323" i="24" s="1"/>
  <c r="B323" i="24" s="1"/>
  <c r="U327" i="24"/>
  <c r="T327" i="24" s="1"/>
  <c r="S327" i="24" s="1"/>
  <c r="R327" i="24" s="1"/>
  <c r="P327" i="24" s="1"/>
  <c r="V327" i="24" s="1"/>
  <c r="B327" i="24" s="1"/>
  <c r="U331" i="24"/>
  <c r="T331" i="24" s="1"/>
  <c r="U335" i="24"/>
  <c r="T335" i="24" s="1"/>
  <c r="U339" i="24"/>
  <c r="T339" i="24" s="1"/>
  <c r="S339" i="24" s="1"/>
  <c r="R339" i="24" s="1"/>
  <c r="P339" i="24" s="1"/>
  <c r="V339" i="24" s="1"/>
  <c r="B339" i="24" s="1"/>
  <c r="U343" i="24"/>
  <c r="T343" i="24" s="1"/>
  <c r="S343" i="24" s="1"/>
  <c r="R343" i="24" s="1"/>
  <c r="P343" i="24" s="1"/>
  <c r="V343" i="24" s="1"/>
  <c r="B343" i="24" s="1"/>
  <c r="U347" i="24"/>
  <c r="T347" i="24" s="1"/>
  <c r="U351" i="24"/>
  <c r="T351" i="24" s="1"/>
  <c r="S351" i="24" s="1"/>
  <c r="R351" i="24" s="1"/>
  <c r="P351" i="24" s="1"/>
  <c r="V351" i="24" s="1"/>
  <c r="B351" i="24" s="1"/>
  <c r="U355" i="24"/>
  <c r="T355" i="24" s="1"/>
  <c r="S355" i="24" s="1"/>
  <c r="R355" i="24" s="1"/>
  <c r="P355" i="24" s="1"/>
  <c r="V355" i="24" s="1"/>
  <c r="B355" i="24" s="1"/>
  <c r="U359" i="24"/>
  <c r="T359" i="24" s="1"/>
  <c r="S359" i="24" s="1"/>
  <c r="R359" i="24" s="1"/>
  <c r="P359" i="24" s="1"/>
  <c r="V359" i="24" s="1"/>
  <c r="B359" i="24" s="1"/>
  <c r="U363" i="24"/>
  <c r="T363" i="24" s="1"/>
  <c r="U367" i="24"/>
  <c r="T367" i="24" s="1"/>
  <c r="U371" i="24"/>
  <c r="T371" i="24" s="1"/>
  <c r="U375" i="24"/>
  <c r="T375" i="24" s="1"/>
  <c r="S375" i="24" s="1"/>
  <c r="R375" i="24" s="1"/>
  <c r="P375" i="24" s="1"/>
  <c r="V375" i="24" s="1"/>
  <c r="B375" i="24" s="1"/>
  <c r="U379" i="24"/>
  <c r="J303" i="22"/>
  <c r="I303" i="22"/>
  <c r="J111" i="22"/>
  <c r="I111" i="22"/>
  <c r="J103" i="22"/>
  <c r="I103" i="22"/>
  <c r="I79" i="22"/>
  <c r="J79" i="22"/>
  <c r="J380" i="22"/>
  <c r="I380" i="22"/>
  <c r="H380" i="23" s="1"/>
  <c r="I234" i="22"/>
  <c r="J234" i="22"/>
  <c r="I218" i="22"/>
  <c r="J218" i="22"/>
  <c r="J202" i="22"/>
  <c r="I202" i="22"/>
  <c r="J30" i="22"/>
  <c r="I30" i="22"/>
  <c r="J21" i="22"/>
  <c r="I21" i="22"/>
  <c r="AG15" i="23"/>
  <c r="I365" i="22"/>
  <c r="J365" i="22"/>
  <c r="I341" i="22"/>
  <c r="J341" i="22"/>
  <c r="J308" i="22"/>
  <c r="I308" i="22"/>
  <c r="I224" i="22"/>
  <c r="J224" i="22"/>
  <c r="I92" i="22"/>
  <c r="J92" i="22"/>
  <c r="I251" i="22"/>
  <c r="J251" i="22"/>
  <c r="I334" i="22"/>
  <c r="J334" i="22"/>
  <c r="I242" i="22"/>
  <c r="H242" i="23" s="1"/>
  <c r="J242" i="22"/>
  <c r="J50" i="22"/>
  <c r="I50" i="22"/>
  <c r="J273" i="22"/>
  <c r="I273" i="22"/>
  <c r="I189" i="22"/>
  <c r="J208" i="22"/>
  <c r="I208" i="22"/>
  <c r="I160" i="22"/>
  <c r="J160" i="22"/>
  <c r="I59" i="22"/>
  <c r="H59" i="23" s="1"/>
  <c r="J59" i="22"/>
  <c r="J51" i="22"/>
  <c r="I51" i="22"/>
  <c r="J109" i="22"/>
  <c r="I109" i="22"/>
  <c r="J244" i="22"/>
  <c r="I244" i="22"/>
  <c r="J319" i="22"/>
  <c r="I319" i="22"/>
  <c r="J88" i="22"/>
  <c r="I88" i="22"/>
  <c r="F15" i="18"/>
  <c r="AK8" i="18"/>
  <c r="E383" i="18"/>
  <c r="E382" i="18"/>
  <c r="E381" i="18"/>
  <c r="E9" i="18"/>
  <c r="E11" i="18" s="1"/>
  <c r="H105" i="22"/>
  <c r="AA105" i="22"/>
  <c r="Z105" i="22" s="1"/>
  <c r="Y105" i="22" s="1"/>
  <c r="G105" i="22"/>
  <c r="CC105" i="6" s="1"/>
  <c r="I85" i="22"/>
  <c r="J85" i="22"/>
  <c r="I184" i="22"/>
  <c r="J184" i="22"/>
  <c r="W20" i="23"/>
  <c r="D20" i="23"/>
  <c r="E20" i="23" s="1"/>
  <c r="F20" i="23" s="1"/>
  <c r="W30" i="23"/>
  <c r="D30" i="23"/>
  <c r="E30" i="23" s="1"/>
  <c r="F30" i="23" s="1"/>
  <c r="W42" i="23"/>
  <c r="D42" i="23"/>
  <c r="E42" i="23" s="1"/>
  <c r="F42" i="23" s="1"/>
  <c r="B46" i="23"/>
  <c r="W54" i="23"/>
  <c r="D54" i="23"/>
  <c r="E54" i="23" s="1"/>
  <c r="F54" i="23" s="1"/>
  <c r="W62" i="23"/>
  <c r="D62" i="23"/>
  <c r="E62" i="23" s="1"/>
  <c r="F62" i="23" s="1"/>
  <c r="D72" i="23"/>
  <c r="E72" i="23" s="1"/>
  <c r="F72" i="23" s="1"/>
  <c r="W72" i="23"/>
  <c r="W92" i="23"/>
  <c r="D92" i="23"/>
  <c r="E92" i="23" s="1"/>
  <c r="F92" i="23" s="1"/>
  <c r="D98" i="23"/>
  <c r="E98" i="23" s="1"/>
  <c r="F98" i="23" s="1"/>
  <c r="W98" i="23"/>
  <c r="W114" i="23"/>
  <c r="D114" i="23"/>
  <c r="E114" i="23" s="1"/>
  <c r="F114" i="23" s="1"/>
  <c r="W120" i="23"/>
  <c r="D120" i="23"/>
  <c r="E120" i="23" s="1"/>
  <c r="F120" i="23" s="1"/>
  <c r="AA128" i="23"/>
  <c r="Z128" i="23" s="1"/>
  <c r="Y128" i="23" s="1"/>
  <c r="G128" i="23"/>
  <c r="CD128" i="6" s="1"/>
  <c r="W132" i="23"/>
  <c r="D132" i="23"/>
  <c r="E132" i="23" s="1"/>
  <c r="F132" i="23" s="1"/>
  <c r="D138" i="23"/>
  <c r="E138" i="23" s="1"/>
  <c r="F138" i="23" s="1"/>
  <c r="W138" i="23"/>
  <c r="W142" i="23"/>
  <c r="D142" i="23"/>
  <c r="E142" i="23" s="1"/>
  <c r="F142" i="23" s="1"/>
  <c r="W152" i="23"/>
  <c r="D152" i="23"/>
  <c r="E152" i="23" s="1"/>
  <c r="F152" i="23" s="1"/>
  <c r="D158" i="23"/>
  <c r="E158" i="23" s="1"/>
  <c r="F158" i="23" s="1"/>
  <c r="W158" i="23"/>
  <c r="D178" i="23"/>
  <c r="E178" i="23" s="1"/>
  <c r="F178" i="23" s="1"/>
  <c r="W178" i="23"/>
  <c r="W184" i="23"/>
  <c r="D184" i="23"/>
  <c r="E184" i="23" s="1"/>
  <c r="F184" i="23" s="1"/>
  <c r="AA192" i="23"/>
  <c r="Z192" i="23" s="1"/>
  <c r="Y192" i="23" s="1"/>
  <c r="H192" i="23"/>
  <c r="G192" i="23"/>
  <c r="CD192" i="6" s="1"/>
  <c r="D206" i="23"/>
  <c r="E206" i="23" s="1"/>
  <c r="F206" i="23" s="1"/>
  <c r="W206" i="23"/>
  <c r="D218" i="23"/>
  <c r="E218" i="23" s="1"/>
  <c r="F218" i="23" s="1"/>
  <c r="W218" i="23"/>
  <c r="W228" i="23"/>
  <c r="D228" i="23"/>
  <c r="E228" i="23" s="1"/>
  <c r="F228" i="23" s="1"/>
  <c r="W234" i="23"/>
  <c r="D234" i="23"/>
  <c r="E234" i="23" s="1"/>
  <c r="F234" i="23" s="1"/>
  <c r="W248" i="23"/>
  <c r="D248" i="23"/>
  <c r="E248" i="23" s="1"/>
  <c r="F248" i="23" s="1"/>
  <c r="D254" i="23"/>
  <c r="E254" i="23" s="1"/>
  <c r="F254" i="23" s="1"/>
  <c r="W254" i="23"/>
  <c r="W262" i="23"/>
  <c r="D262" i="23"/>
  <c r="E262" i="23" s="1"/>
  <c r="F262" i="23" s="1"/>
  <c r="AH52" i="7"/>
  <c r="V272" i="23"/>
  <c r="B272" i="23" s="1"/>
  <c r="W278" i="23"/>
  <c r="D278" i="23"/>
  <c r="E278" i="23" s="1"/>
  <c r="F278" i="23" s="1"/>
  <c r="D284" i="23"/>
  <c r="E284" i="23" s="1"/>
  <c r="F284" i="23" s="1"/>
  <c r="W284" i="23"/>
  <c r="D290" i="23"/>
  <c r="E290" i="23" s="1"/>
  <c r="F290" i="23" s="1"/>
  <c r="W290" i="23"/>
  <c r="W298" i="23"/>
  <c r="D298" i="23"/>
  <c r="E298" i="23" s="1"/>
  <c r="F298" i="23" s="1"/>
  <c r="W306" i="23"/>
  <c r="D306" i="23"/>
  <c r="E306" i="23" s="1"/>
  <c r="F306" i="23" s="1"/>
  <c r="D310" i="23"/>
  <c r="E310" i="23" s="1"/>
  <c r="F310" i="23" s="1"/>
  <c r="W310" i="23"/>
  <c r="D314" i="23"/>
  <c r="E314" i="23" s="1"/>
  <c r="F314" i="23" s="1"/>
  <c r="W314" i="23"/>
  <c r="D324" i="23"/>
  <c r="E324" i="23" s="1"/>
  <c r="F324" i="23" s="1"/>
  <c r="W324" i="23"/>
  <c r="D328" i="23"/>
  <c r="E328" i="23" s="1"/>
  <c r="F328" i="23" s="1"/>
  <c r="W328" i="23"/>
  <c r="G330" i="23"/>
  <c r="CD330" i="6" s="1"/>
  <c r="W338" i="23"/>
  <c r="D338" i="23"/>
  <c r="E338" i="23" s="1"/>
  <c r="F338" i="23" s="1"/>
  <c r="W344" i="23"/>
  <c r="D344" i="23"/>
  <c r="E344" i="23" s="1"/>
  <c r="F344" i="23" s="1"/>
  <c r="D350" i="23"/>
  <c r="E350" i="23" s="1"/>
  <c r="F350" i="23" s="1"/>
  <c r="W350" i="23"/>
  <c r="W354" i="23"/>
  <c r="D354" i="23"/>
  <c r="E354" i="23" s="1"/>
  <c r="F354" i="23" s="1"/>
  <c r="D374" i="23"/>
  <c r="E374" i="23" s="1"/>
  <c r="F374" i="23" s="1"/>
  <c r="W374" i="23"/>
  <c r="J323" i="22"/>
  <c r="I323" i="22"/>
  <c r="W227" i="23"/>
  <c r="D227" i="23"/>
  <c r="E227" i="23" s="1"/>
  <c r="F227" i="23" s="1"/>
  <c r="H119" i="22"/>
  <c r="AA119" i="22"/>
  <c r="Z119" i="22" s="1"/>
  <c r="Y119" i="22" s="1"/>
  <c r="G119" i="22"/>
  <c r="CC119" i="6" s="1"/>
  <c r="I16" i="22"/>
  <c r="J16" i="22"/>
  <c r="J378" i="22"/>
  <c r="I378" i="22"/>
  <c r="AF381" i="22"/>
  <c r="AF382" i="22"/>
  <c r="AF383" i="22"/>
  <c r="AD15" i="22"/>
  <c r="J297" i="22"/>
  <c r="I297" i="22"/>
  <c r="H297" i="23" s="1"/>
  <c r="J217" i="22"/>
  <c r="I217" i="22"/>
  <c r="I164" i="22"/>
  <c r="J164" i="22"/>
  <c r="J104" i="22"/>
  <c r="I104" i="22"/>
  <c r="J203" i="22"/>
  <c r="I203" i="22"/>
  <c r="AA135" i="22"/>
  <c r="Z135" i="22" s="1"/>
  <c r="Y135" i="22" s="1"/>
  <c r="G135" i="22"/>
  <c r="CC135" i="6" s="1"/>
  <c r="H135" i="22"/>
  <c r="I274" i="22"/>
  <c r="J274" i="22"/>
  <c r="W349" i="23"/>
  <c r="D349" i="23"/>
  <c r="E349" i="23" s="1"/>
  <c r="F349" i="23" s="1"/>
  <c r="I209" i="22"/>
  <c r="J209" i="22"/>
  <c r="J161" i="22"/>
  <c r="I161" i="22"/>
  <c r="J125" i="22"/>
  <c r="J276" i="22"/>
  <c r="I276" i="22"/>
  <c r="J36" i="22"/>
  <c r="I36" i="22"/>
  <c r="J131" i="22"/>
  <c r="I131" i="22"/>
  <c r="J230" i="22"/>
  <c r="I230" i="22"/>
  <c r="H230" i="23" s="1"/>
  <c r="J337" i="22"/>
  <c r="I337" i="22"/>
  <c r="J169" i="22"/>
  <c r="I169" i="22"/>
  <c r="I129" i="22"/>
  <c r="J129" i="22"/>
  <c r="J23" i="22"/>
  <c r="I23" i="22"/>
  <c r="I336" i="22"/>
  <c r="J336" i="22"/>
  <c r="I268" i="22"/>
  <c r="H268" i="23" s="1"/>
  <c r="J268" i="22"/>
  <c r="D196" i="23"/>
  <c r="E196" i="23" s="1"/>
  <c r="F196" i="23" s="1"/>
  <c r="W196" i="23"/>
  <c r="G196" i="22"/>
  <c r="CC196" i="6" s="1"/>
  <c r="H196" i="22"/>
  <c r="AA196" i="22"/>
  <c r="Z196" i="22" s="1"/>
  <c r="Y196" i="22" s="1"/>
  <c r="I132" i="22"/>
  <c r="J132" i="22"/>
  <c r="I180" i="22"/>
  <c r="J180" i="22"/>
  <c r="R381" i="22"/>
  <c r="R382" i="22"/>
  <c r="R383" i="22"/>
  <c r="P15" i="22"/>
  <c r="BE15" i="7"/>
  <c r="I241" i="22"/>
  <c r="J241" i="22"/>
  <c r="J312" i="22"/>
  <c r="I312" i="22"/>
  <c r="J379" i="22"/>
  <c r="I379" i="22"/>
  <c r="W22" i="23"/>
  <c r="D22" i="23"/>
  <c r="E22" i="23" s="1"/>
  <c r="F22" i="23" s="1"/>
  <c r="D17" i="23"/>
  <c r="E17" i="23" s="1"/>
  <c r="F17" i="23" s="1"/>
  <c r="W17" i="23"/>
  <c r="D16" i="23"/>
  <c r="E16" i="23" s="1"/>
  <c r="F16" i="23" s="1"/>
  <c r="W16" i="23"/>
  <c r="D21" i="23"/>
  <c r="E21" i="23" s="1"/>
  <c r="F21" i="23" s="1"/>
  <c r="W21" i="23"/>
  <c r="D25" i="23"/>
  <c r="E25" i="23" s="1"/>
  <c r="F25" i="23" s="1"/>
  <c r="W25" i="23"/>
  <c r="AH44" i="7"/>
  <c r="V29" i="23"/>
  <c r="B29" i="23" s="1"/>
  <c r="W33" i="23"/>
  <c r="D33" i="23"/>
  <c r="E33" i="23" s="1"/>
  <c r="F33" i="23" s="1"/>
  <c r="W35" i="23"/>
  <c r="D35" i="23"/>
  <c r="E35" i="23" s="1"/>
  <c r="F35" i="23" s="1"/>
  <c r="D37" i="23"/>
  <c r="E37" i="23" s="1"/>
  <c r="F37" i="23" s="1"/>
  <c r="W37" i="23"/>
  <c r="D41" i="23"/>
  <c r="E41" i="23" s="1"/>
  <c r="F41" i="23" s="1"/>
  <c r="W41" i="23"/>
  <c r="W43" i="23"/>
  <c r="D43" i="23"/>
  <c r="E43" i="23" s="1"/>
  <c r="F43" i="23" s="1"/>
  <c r="D45" i="23"/>
  <c r="E45" i="23" s="1"/>
  <c r="F45" i="23" s="1"/>
  <c r="W45" i="23"/>
  <c r="AA53" i="23"/>
  <c r="Z53" i="23" s="1"/>
  <c r="Y53" i="23" s="1"/>
  <c r="H53" i="23"/>
  <c r="G53" i="23"/>
  <c r="CD53" i="6" s="1"/>
  <c r="D55" i="23"/>
  <c r="E55" i="23" s="1"/>
  <c r="F55" i="23" s="1"/>
  <c r="W55" i="23"/>
  <c r="W57" i="23"/>
  <c r="D57" i="23"/>
  <c r="E57" i="23" s="1"/>
  <c r="F57" i="23" s="1"/>
  <c r="W61" i="23"/>
  <c r="D61" i="23"/>
  <c r="E61" i="23" s="1"/>
  <c r="F61" i="23" s="1"/>
  <c r="W63" i="23"/>
  <c r="D63" i="23"/>
  <c r="E63" i="23" s="1"/>
  <c r="F63" i="23" s="1"/>
  <c r="W65" i="23"/>
  <c r="D65" i="23"/>
  <c r="E65" i="23" s="1"/>
  <c r="F65" i="23" s="1"/>
  <c r="W69" i="23"/>
  <c r="D69" i="23"/>
  <c r="E69" i="23" s="1"/>
  <c r="F69" i="23" s="1"/>
  <c r="W79" i="23"/>
  <c r="D79" i="23"/>
  <c r="E79" i="23" s="1"/>
  <c r="F79" i="23" s="1"/>
  <c r="W81" i="23"/>
  <c r="D81" i="23"/>
  <c r="E81" i="23" s="1"/>
  <c r="F81" i="23" s="1"/>
  <c r="W85" i="23"/>
  <c r="D85" i="23"/>
  <c r="E85" i="23" s="1"/>
  <c r="F85" i="23" s="1"/>
  <c r="D87" i="23"/>
  <c r="E87" i="23" s="1"/>
  <c r="F87" i="23" s="1"/>
  <c r="W87" i="23"/>
  <c r="W91" i="23"/>
  <c r="D91" i="23"/>
  <c r="E91" i="23" s="1"/>
  <c r="F91" i="23" s="1"/>
  <c r="W95" i="23"/>
  <c r="D95" i="23"/>
  <c r="E95" i="23" s="1"/>
  <c r="F95" i="23" s="1"/>
  <c r="D99" i="23"/>
  <c r="E99" i="23" s="1"/>
  <c r="F99" i="23" s="1"/>
  <c r="W99" i="23"/>
  <c r="W103" i="23"/>
  <c r="D103" i="23"/>
  <c r="E103" i="23" s="1"/>
  <c r="F103" i="23" s="1"/>
  <c r="W107" i="23"/>
  <c r="D107" i="23"/>
  <c r="E107" i="23" s="1"/>
  <c r="F107" i="23" s="1"/>
  <c r="D109" i="23"/>
  <c r="E109" i="23" s="1"/>
  <c r="F109" i="23" s="1"/>
  <c r="W109" i="23"/>
  <c r="D111" i="23"/>
  <c r="E111" i="23" s="1"/>
  <c r="F111" i="23" s="1"/>
  <c r="W111" i="23"/>
  <c r="W115" i="23"/>
  <c r="D115" i="23"/>
  <c r="E115" i="23" s="1"/>
  <c r="F115" i="23" s="1"/>
  <c r="W117" i="23"/>
  <c r="D117" i="23"/>
  <c r="E117" i="23" s="1"/>
  <c r="F117" i="23" s="1"/>
  <c r="AH47" i="7"/>
  <c r="V119" i="23"/>
  <c r="B119" i="23" s="1"/>
  <c r="W123" i="23"/>
  <c r="D123" i="23"/>
  <c r="E123" i="23" s="1"/>
  <c r="F123" i="23" s="1"/>
  <c r="D125" i="23"/>
  <c r="E125" i="23" s="1"/>
  <c r="F125" i="23" s="1"/>
  <c r="W125" i="23"/>
  <c r="D127" i="23"/>
  <c r="E127" i="23" s="1"/>
  <c r="F127" i="23" s="1"/>
  <c r="W127" i="23"/>
  <c r="D129" i="23"/>
  <c r="E129" i="23" s="1"/>
  <c r="F129" i="23" s="1"/>
  <c r="W129" i="23"/>
  <c r="D133" i="23"/>
  <c r="E133" i="23" s="1"/>
  <c r="F133" i="23" s="1"/>
  <c r="W133" i="23"/>
  <c r="W139" i="23"/>
  <c r="D139" i="23"/>
  <c r="E139" i="23" s="1"/>
  <c r="F139" i="23" s="1"/>
  <c r="W141" i="23"/>
  <c r="D141" i="23"/>
  <c r="E141" i="23" s="1"/>
  <c r="F141" i="23" s="1"/>
  <c r="D145" i="23"/>
  <c r="E145" i="23" s="1"/>
  <c r="F145" i="23" s="1"/>
  <c r="W145" i="23"/>
  <c r="D147" i="23"/>
  <c r="E147" i="23" s="1"/>
  <c r="F147" i="23" s="1"/>
  <c r="W147" i="23"/>
  <c r="AH48" i="7"/>
  <c r="V149" i="23"/>
  <c r="B149" i="23" s="1"/>
  <c r="W151" i="23"/>
  <c r="D151" i="23"/>
  <c r="E151" i="23" s="1"/>
  <c r="F151" i="23" s="1"/>
  <c r="W157" i="23"/>
  <c r="D157" i="23"/>
  <c r="E157" i="23" s="1"/>
  <c r="F157" i="23" s="1"/>
  <c r="G159" i="23"/>
  <c r="CD159" i="6" s="1"/>
  <c r="H159" i="23"/>
  <c r="D165" i="23"/>
  <c r="E165" i="23" s="1"/>
  <c r="F165" i="23" s="1"/>
  <c r="W165" i="23"/>
  <c r="D169" i="23"/>
  <c r="E169" i="23" s="1"/>
  <c r="F169" i="23" s="1"/>
  <c r="W169" i="23"/>
  <c r="W171" i="23"/>
  <c r="D171" i="23"/>
  <c r="E171" i="23" s="1"/>
  <c r="F171" i="23" s="1"/>
  <c r="W175" i="23"/>
  <c r="D175" i="23"/>
  <c r="E175" i="23" s="1"/>
  <c r="F175" i="23" s="1"/>
  <c r="D177" i="23"/>
  <c r="E177" i="23" s="1"/>
  <c r="F177" i="23" s="1"/>
  <c r="W177" i="23"/>
  <c r="W181" i="23"/>
  <c r="D181" i="23"/>
  <c r="E181" i="23" s="1"/>
  <c r="F181" i="23" s="1"/>
  <c r="W185" i="23"/>
  <c r="D185" i="23"/>
  <c r="E185" i="23" s="1"/>
  <c r="F185" i="23" s="1"/>
  <c r="W187" i="23"/>
  <c r="D187" i="23"/>
  <c r="E187" i="23" s="1"/>
  <c r="F187" i="23" s="1"/>
  <c r="D191" i="23"/>
  <c r="E191" i="23" s="1"/>
  <c r="F191" i="23" s="1"/>
  <c r="W191" i="23"/>
  <c r="W193" i="23"/>
  <c r="D193" i="23"/>
  <c r="E193" i="23" s="1"/>
  <c r="F193" i="23" s="1"/>
  <c r="G195" i="23"/>
  <c r="CD195" i="6" s="1"/>
  <c r="AA195" i="23"/>
  <c r="Z195" i="23" s="1"/>
  <c r="Y195" i="23" s="1"/>
  <c r="H195" i="23"/>
  <c r="W197" i="23"/>
  <c r="D197" i="23"/>
  <c r="E197" i="23" s="1"/>
  <c r="F197" i="23" s="1"/>
  <c r="W199" i="23"/>
  <c r="D199" i="23"/>
  <c r="E199" i="23" s="1"/>
  <c r="F199" i="23" s="1"/>
  <c r="W201" i="23"/>
  <c r="D201" i="23"/>
  <c r="E201" i="23" s="1"/>
  <c r="F201" i="23" s="1"/>
  <c r="W205" i="23"/>
  <c r="D205" i="23"/>
  <c r="E205" i="23" s="1"/>
  <c r="F205" i="23" s="1"/>
  <c r="D207" i="23"/>
  <c r="E207" i="23" s="1"/>
  <c r="F207" i="23" s="1"/>
  <c r="W207" i="23"/>
  <c r="D209" i="23"/>
  <c r="E209" i="23" s="1"/>
  <c r="F209" i="23" s="1"/>
  <c r="W209" i="23"/>
  <c r="D211" i="23"/>
  <c r="E211" i="23" s="1"/>
  <c r="F211" i="23" s="1"/>
  <c r="W211" i="23"/>
  <c r="W213" i="23"/>
  <c r="D213" i="23"/>
  <c r="E213" i="23" s="1"/>
  <c r="F213" i="23" s="1"/>
  <c r="D215" i="23"/>
  <c r="E215" i="23" s="1"/>
  <c r="F215" i="23" s="1"/>
  <c r="W215" i="23"/>
  <c r="W219" i="23"/>
  <c r="D219" i="23"/>
  <c r="E219" i="23" s="1"/>
  <c r="F219" i="23" s="1"/>
  <c r="D221" i="23"/>
  <c r="E221" i="23" s="1"/>
  <c r="F221" i="23" s="1"/>
  <c r="W221" i="23"/>
  <c r="W223" i="23"/>
  <c r="D223" i="23"/>
  <c r="E223" i="23" s="1"/>
  <c r="F223" i="23" s="1"/>
  <c r="D229" i="23"/>
  <c r="E229" i="23" s="1"/>
  <c r="F229" i="23" s="1"/>
  <c r="W229" i="23"/>
  <c r="D231" i="23"/>
  <c r="E231" i="23" s="1"/>
  <c r="F231" i="23" s="1"/>
  <c r="W231" i="23"/>
  <c r="D233" i="23"/>
  <c r="E233" i="23" s="1"/>
  <c r="F233" i="23" s="1"/>
  <c r="W233" i="23"/>
  <c r="W237" i="23"/>
  <c r="D237" i="23"/>
  <c r="E237" i="23" s="1"/>
  <c r="F237" i="23" s="1"/>
  <c r="AH51" i="7"/>
  <c r="V241" i="23"/>
  <c r="B241" i="23" s="1"/>
  <c r="W243" i="23"/>
  <c r="D243" i="23"/>
  <c r="E243" i="23" s="1"/>
  <c r="F243" i="23" s="1"/>
  <c r="D245" i="23"/>
  <c r="E245" i="23" s="1"/>
  <c r="F245" i="23" s="1"/>
  <c r="W245" i="23"/>
  <c r="D247" i="23"/>
  <c r="E247" i="23" s="1"/>
  <c r="F247" i="23" s="1"/>
  <c r="W247" i="23"/>
  <c r="D249" i="23"/>
  <c r="E249" i="23" s="1"/>
  <c r="F249" i="23" s="1"/>
  <c r="W249" i="23"/>
  <c r="W255" i="23"/>
  <c r="D255" i="23"/>
  <c r="E255" i="23" s="1"/>
  <c r="F255" i="23" s="1"/>
  <c r="D259" i="23"/>
  <c r="E259" i="23" s="1"/>
  <c r="F259" i="23" s="1"/>
  <c r="W259" i="23"/>
  <c r="W261" i="23"/>
  <c r="D261" i="23"/>
  <c r="E261" i="23" s="1"/>
  <c r="F261" i="23" s="1"/>
  <c r="D263" i="23"/>
  <c r="E263" i="23" s="1"/>
  <c r="F263" i="23" s="1"/>
  <c r="W263" i="23"/>
  <c r="W267" i="23"/>
  <c r="D267" i="23"/>
  <c r="E267" i="23" s="1"/>
  <c r="F267" i="23" s="1"/>
  <c r="W271" i="23"/>
  <c r="D271" i="23"/>
  <c r="E271" i="23" s="1"/>
  <c r="F271" i="23" s="1"/>
  <c r="D273" i="23"/>
  <c r="E273" i="23" s="1"/>
  <c r="F273" i="23" s="1"/>
  <c r="W273" i="23"/>
  <c r="D275" i="23"/>
  <c r="E275" i="23" s="1"/>
  <c r="F275" i="23" s="1"/>
  <c r="W275" i="23"/>
  <c r="W283" i="23"/>
  <c r="D283" i="23"/>
  <c r="E283" i="23" s="1"/>
  <c r="F283" i="23" s="1"/>
  <c r="W291" i="23"/>
  <c r="D291" i="23"/>
  <c r="E291" i="23" s="1"/>
  <c r="F291" i="23" s="1"/>
  <c r="W293" i="23"/>
  <c r="D293" i="23"/>
  <c r="E293" i="23" s="1"/>
  <c r="F293" i="23" s="1"/>
  <c r="D301" i="23"/>
  <c r="E301" i="23" s="1"/>
  <c r="F301" i="23" s="1"/>
  <c r="W301" i="23"/>
  <c r="W303" i="23"/>
  <c r="D303" i="23"/>
  <c r="E303" i="23" s="1"/>
  <c r="F303" i="23" s="1"/>
  <c r="W305" i="23"/>
  <c r="D305" i="23"/>
  <c r="E305" i="23" s="1"/>
  <c r="F305" i="23" s="1"/>
  <c r="W309" i="23"/>
  <c r="D309" i="23"/>
  <c r="E309" i="23" s="1"/>
  <c r="F309" i="23" s="1"/>
  <c r="D313" i="23"/>
  <c r="E313" i="23" s="1"/>
  <c r="F313" i="23" s="1"/>
  <c r="W313" i="23"/>
  <c r="D315" i="23"/>
  <c r="E315" i="23" s="1"/>
  <c r="F315" i="23" s="1"/>
  <c r="W315" i="23"/>
  <c r="B319" i="23"/>
  <c r="D323" i="23"/>
  <c r="E323" i="23" s="1"/>
  <c r="F323" i="23" s="1"/>
  <c r="W323" i="23"/>
  <c r="D327" i="23"/>
  <c r="E327" i="23" s="1"/>
  <c r="F327" i="23" s="1"/>
  <c r="W327" i="23"/>
  <c r="W329" i="23"/>
  <c r="D329" i="23"/>
  <c r="E329" i="23" s="1"/>
  <c r="F329" i="23" s="1"/>
  <c r="D331" i="23"/>
  <c r="E331" i="23" s="1"/>
  <c r="F331" i="23" s="1"/>
  <c r="W331" i="23"/>
  <c r="D339" i="23"/>
  <c r="E339" i="23" s="1"/>
  <c r="F339" i="23" s="1"/>
  <c r="W339" i="23"/>
  <c r="D341" i="23"/>
  <c r="E341" i="23" s="1"/>
  <c r="F341" i="23" s="1"/>
  <c r="W341" i="23"/>
  <c r="D347" i="23"/>
  <c r="E347" i="23" s="1"/>
  <c r="F347" i="23" s="1"/>
  <c r="W347" i="23"/>
  <c r="D351" i="23"/>
  <c r="E351" i="23" s="1"/>
  <c r="F351" i="23" s="1"/>
  <c r="W351" i="23"/>
  <c r="D357" i="23"/>
  <c r="E357" i="23" s="1"/>
  <c r="F357" i="23" s="1"/>
  <c r="W357" i="23"/>
  <c r="D359" i="23"/>
  <c r="E359" i="23" s="1"/>
  <c r="F359" i="23" s="1"/>
  <c r="W359" i="23"/>
  <c r="D361" i="23"/>
  <c r="E361" i="23" s="1"/>
  <c r="F361" i="23" s="1"/>
  <c r="W361" i="23"/>
  <c r="AH55" i="7"/>
  <c r="V363" i="23"/>
  <c r="B363" i="23" s="1"/>
  <c r="W365" i="23"/>
  <c r="D365" i="23"/>
  <c r="E365" i="23" s="1"/>
  <c r="F365" i="23" s="1"/>
  <c r="W367" i="23"/>
  <c r="D367" i="23"/>
  <c r="E367" i="23" s="1"/>
  <c r="F367" i="23" s="1"/>
  <c r="D369" i="23"/>
  <c r="E369" i="23" s="1"/>
  <c r="F369" i="23" s="1"/>
  <c r="W369" i="23"/>
  <c r="D373" i="23"/>
  <c r="E373" i="23" s="1"/>
  <c r="F373" i="23" s="1"/>
  <c r="W373" i="23"/>
  <c r="W377" i="23"/>
  <c r="D377" i="23"/>
  <c r="E377" i="23" s="1"/>
  <c r="F377" i="23" s="1"/>
  <c r="S379" i="23"/>
  <c r="R379" i="23" s="1"/>
  <c r="P379" i="23" s="1"/>
  <c r="J331" i="22"/>
  <c r="I331" i="22"/>
  <c r="I315" i="22"/>
  <c r="J315" i="22"/>
  <c r="J287" i="22"/>
  <c r="I287" i="22"/>
  <c r="I187" i="22"/>
  <c r="J187" i="22"/>
  <c r="I151" i="22"/>
  <c r="J151" i="22"/>
  <c r="J99" i="22"/>
  <c r="I99" i="22"/>
  <c r="I95" i="22"/>
  <c r="J95" i="22"/>
  <c r="I91" i="22"/>
  <c r="J91" i="22"/>
  <c r="J63" i="22"/>
  <c r="I63" i="22"/>
  <c r="J374" i="22"/>
  <c r="I374" i="22"/>
  <c r="J350" i="22"/>
  <c r="I350" i="22"/>
  <c r="J238" i="22"/>
  <c r="I238" i="22"/>
  <c r="H238" i="23" s="1"/>
  <c r="I190" i="22"/>
  <c r="J190" i="22"/>
  <c r="G166" i="22"/>
  <c r="CC166" i="6" s="1"/>
  <c r="AA166" i="22"/>
  <c r="Z166" i="22" s="1"/>
  <c r="Y166" i="22" s="1"/>
  <c r="H166" i="22"/>
  <c r="I158" i="22"/>
  <c r="J158" i="22"/>
  <c r="J130" i="22"/>
  <c r="I130" i="22"/>
  <c r="J118" i="22"/>
  <c r="I118" i="22"/>
  <c r="J361" i="22"/>
  <c r="I361" i="22"/>
  <c r="I317" i="22"/>
  <c r="J317" i="22"/>
  <c r="J245" i="22"/>
  <c r="I245" i="22"/>
  <c r="J237" i="22"/>
  <c r="I237" i="22"/>
  <c r="I357" i="22"/>
  <c r="J357" i="22"/>
  <c r="I309" i="22"/>
  <c r="J309" i="22"/>
  <c r="U377" i="24" l="1"/>
  <c r="T377" i="24" s="1"/>
  <c r="S377" i="24" s="1"/>
  <c r="R377" i="24" s="1"/>
  <c r="P377" i="24" s="1"/>
  <c r="V377" i="24" s="1"/>
  <c r="B377" i="24" s="1"/>
  <c r="U373" i="24"/>
  <c r="T373" i="24" s="1"/>
  <c r="S373" i="24" s="1"/>
  <c r="R373" i="24" s="1"/>
  <c r="P373" i="24" s="1"/>
  <c r="V373" i="24" s="1"/>
  <c r="B373" i="24" s="1"/>
  <c r="D373" i="24" s="1"/>
  <c r="E373" i="24" s="1"/>
  <c r="F373" i="24" s="1"/>
  <c r="U369" i="24"/>
  <c r="T369" i="24" s="1"/>
  <c r="S369" i="24" s="1"/>
  <c r="R369" i="24" s="1"/>
  <c r="P369" i="24" s="1"/>
  <c r="V369" i="24" s="1"/>
  <c r="B369" i="24" s="1"/>
  <c r="U365" i="24"/>
  <c r="T365" i="24" s="1"/>
  <c r="S365" i="24" s="1"/>
  <c r="R365" i="24" s="1"/>
  <c r="P365" i="24" s="1"/>
  <c r="V365" i="24" s="1"/>
  <c r="B365" i="24" s="1"/>
  <c r="D365" i="24" s="1"/>
  <c r="E365" i="24" s="1"/>
  <c r="F365" i="24" s="1"/>
  <c r="U361" i="24"/>
  <c r="T361" i="24" s="1"/>
  <c r="S361" i="24" s="1"/>
  <c r="R361" i="24" s="1"/>
  <c r="P361" i="24" s="1"/>
  <c r="V361" i="24" s="1"/>
  <c r="B361" i="24" s="1"/>
  <c r="U357" i="24"/>
  <c r="T357" i="24" s="1"/>
  <c r="S357" i="24" s="1"/>
  <c r="R357" i="24" s="1"/>
  <c r="P357" i="24" s="1"/>
  <c r="V357" i="24" s="1"/>
  <c r="B357" i="24" s="1"/>
  <c r="D357" i="24" s="1"/>
  <c r="E357" i="24" s="1"/>
  <c r="F357" i="24" s="1"/>
  <c r="U353" i="24"/>
  <c r="T353" i="24" s="1"/>
  <c r="U349" i="24"/>
  <c r="T349" i="24" s="1"/>
  <c r="S349" i="24" s="1"/>
  <c r="R349" i="24" s="1"/>
  <c r="P349" i="24" s="1"/>
  <c r="V349" i="24" s="1"/>
  <c r="B349" i="24" s="1"/>
  <c r="W349" i="24" s="1"/>
  <c r="U345" i="24"/>
  <c r="T345" i="24" s="1"/>
  <c r="S345" i="24" s="1"/>
  <c r="R345" i="24" s="1"/>
  <c r="P345" i="24" s="1"/>
  <c r="V345" i="24" s="1"/>
  <c r="B345" i="24" s="1"/>
  <c r="U341" i="24"/>
  <c r="T341" i="24" s="1"/>
  <c r="S341" i="24" s="1"/>
  <c r="R341" i="24" s="1"/>
  <c r="P341" i="24" s="1"/>
  <c r="V341" i="24" s="1"/>
  <c r="B341" i="24" s="1"/>
  <c r="U337" i="24"/>
  <c r="T337" i="24" s="1"/>
  <c r="S337" i="24" s="1"/>
  <c r="R337" i="24" s="1"/>
  <c r="P337" i="24" s="1"/>
  <c r="V337" i="24" s="1"/>
  <c r="B337" i="24" s="1"/>
  <c r="U333" i="24"/>
  <c r="T333" i="24" s="1"/>
  <c r="S333" i="24" s="1"/>
  <c r="R333" i="24" s="1"/>
  <c r="P333" i="24" s="1"/>
  <c r="AH66" i="7" s="1"/>
  <c r="U329" i="24"/>
  <c r="T329" i="24" s="1"/>
  <c r="S329" i="24" s="1"/>
  <c r="R329" i="24" s="1"/>
  <c r="P329" i="24" s="1"/>
  <c r="V329" i="24" s="1"/>
  <c r="B329" i="24" s="1"/>
  <c r="U325" i="24"/>
  <c r="T325" i="24" s="1"/>
  <c r="S325" i="24" s="1"/>
  <c r="R325" i="24" s="1"/>
  <c r="P325" i="24" s="1"/>
  <c r="V325" i="24" s="1"/>
  <c r="B325" i="24" s="1"/>
  <c r="D325" i="24" s="1"/>
  <c r="E325" i="24" s="1"/>
  <c r="F325" i="24" s="1"/>
  <c r="U321" i="24"/>
  <c r="T321" i="24" s="1"/>
  <c r="U317" i="24"/>
  <c r="T317" i="24" s="1"/>
  <c r="S317" i="24" s="1"/>
  <c r="R317" i="24" s="1"/>
  <c r="P317" i="24" s="1"/>
  <c r="V317" i="24" s="1"/>
  <c r="B317" i="24" s="1"/>
  <c r="W317" i="24" s="1"/>
  <c r="U313" i="24"/>
  <c r="T313" i="24" s="1"/>
  <c r="S313" i="24" s="1"/>
  <c r="R313" i="24" s="1"/>
  <c r="P313" i="24" s="1"/>
  <c r="V313" i="24" s="1"/>
  <c r="B313" i="24" s="1"/>
  <c r="U309" i="24"/>
  <c r="T309" i="24" s="1"/>
  <c r="S309" i="24" s="1"/>
  <c r="R309" i="24" s="1"/>
  <c r="P309" i="24" s="1"/>
  <c r="V309" i="24" s="1"/>
  <c r="B309" i="24" s="1"/>
  <c r="U305" i="24"/>
  <c r="T305" i="24" s="1"/>
  <c r="U301" i="24"/>
  <c r="T301" i="24" s="1"/>
  <c r="S301" i="24" s="1"/>
  <c r="R301" i="24" s="1"/>
  <c r="P301" i="24" s="1"/>
  <c r="V301" i="24" s="1"/>
  <c r="B301" i="24" s="1"/>
  <c r="W301" i="24" s="1"/>
  <c r="U297" i="24"/>
  <c r="T297" i="24" s="1"/>
  <c r="S297" i="24" s="1"/>
  <c r="R297" i="24" s="1"/>
  <c r="P297" i="24" s="1"/>
  <c r="V297" i="24" s="1"/>
  <c r="B297" i="24" s="1"/>
  <c r="U293" i="24"/>
  <c r="T293" i="24" s="1"/>
  <c r="S293" i="24" s="1"/>
  <c r="R293" i="24" s="1"/>
  <c r="P293" i="24" s="1"/>
  <c r="V293" i="24" s="1"/>
  <c r="B293" i="24" s="1"/>
  <c r="W293" i="24" s="1"/>
  <c r="U289" i="24"/>
  <c r="T289" i="24" s="1"/>
  <c r="U285" i="24"/>
  <c r="T285" i="24" s="1"/>
  <c r="S285" i="24" s="1"/>
  <c r="R285" i="24" s="1"/>
  <c r="P285" i="24" s="1"/>
  <c r="V285" i="24" s="1"/>
  <c r="B285" i="24" s="1"/>
  <c r="U281" i="24"/>
  <c r="T281" i="24" s="1"/>
  <c r="S281" i="24" s="1"/>
  <c r="R281" i="24" s="1"/>
  <c r="P281" i="24" s="1"/>
  <c r="V281" i="24" s="1"/>
  <c r="B281" i="24" s="1"/>
  <c r="U277" i="24"/>
  <c r="T277" i="24" s="1"/>
  <c r="S277" i="24" s="1"/>
  <c r="R277" i="24" s="1"/>
  <c r="P277" i="24" s="1"/>
  <c r="V277" i="24" s="1"/>
  <c r="B277" i="24" s="1"/>
  <c r="W277" i="24" s="1"/>
  <c r="U273" i="24"/>
  <c r="T273" i="24" s="1"/>
  <c r="S273" i="24" s="1"/>
  <c r="R273" i="24" s="1"/>
  <c r="P273" i="24" s="1"/>
  <c r="V273" i="24" s="1"/>
  <c r="B273" i="24" s="1"/>
  <c r="U269" i="24"/>
  <c r="T269" i="24" s="1"/>
  <c r="S269" i="24" s="1"/>
  <c r="R269" i="24" s="1"/>
  <c r="P269" i="24" s="1"/>
  <c r="V269" i="24" s="1"/>
  <c r="B269" i="24" s="1"/>
  <c r="W269" i="24" s="1"/>
  <c r="U265" i="24"/>
  <c r="T265" i="24" s="1"/>
  <c r="S265" i="24" s="1"/>
  <c r="R265" i="24" s="1"/>
  <c r="P265" i="24" s="1"/>
  <c r="V265" i="24" s="1"/>
  <c r="B265" i="24" s="1"/>
  <c r="U261" i="24"/>
  <c r="T261" i="24" s="1"/>
  <c r="S261" i="24" s="1"/>
  <c r="R261" i="24" s="1"/>
  <c r="P261" i="24" s="1"/>
  <c r="V261" i="24" s="1"/>
  <c r="B261" i="24" s="1"/>
  <c r="W261" i="24" s="1"/>
  <c r="U257" i="24"/>
  <c r="T257" i="24" s="1"/>
  <c r="S257" i="24" s="1"/>
  <c r="R257" i="24" s="1"/>
  <c r="P257" i="24" s="1"/>
  <c r="V257" i="24" s="1"/>
  <c r="B257" i="24" s="1"/>
  <c r="U253" i="24"/>
  <c r="T253" i="24" s="1"/>
  <c r="S253" i="24" s="1"/>
  <c r="R253" i="24" s="1"/>
  <c r="P253" i="24" s="1"/>
  <c r="V253" i="24" s="1"/>
  <c r="B253" i="24" s="1"/>
  <c r="D253" i="24" s="1"/>
  <c r="E253" i="24" s="1"/>
  <c r="F253" i="24" s="1"/>
  <c r="U249" i="24"/>
  <c r="T249" i="24" s="1"/>
  <c r="S249" i="24" s="1"/>
  <c r="R249" i="24" s="1"/>
  <c r="P249" i="24" s="1"/>
  <c r="V249" i="24" s="1"/>
  <c r="B249" i="24" s="1"/>
  <c r="U245" i="24"/>
  <c r="T245" i="24" s="1"/>
  <c r="S245" i="24" s="1"/>
  <c r="R245" i="24" s="1"/>
  <c r="P245" i="24" s="1"/>
  <c r="V245" i="24" s="1"/>
  <c r="B245" i="24" s="1"/>
  <c r="D245" i="24" s="1"/>
  <c r="E245" i="24" s="1"/>
  <c r="F245" i="24" s="1"/>
  <c r="U241" i="24"/>
  <c r="T241" i="24" s="1"/>
  <c r="S241" i="24" s="1"/>
  <c r="R241" i="24" s="1"/>
  <c r="P241" i="24" s="1"/>
  <c r="U237" i="24"/>
  <c r="T237" i="24" s="1"/>
  <c r="U233" i="24"/>
  <c r="T233" i="24" s="1"/>
  <c r="S233" i="24" s="1"/>
  <c r="R233" i="24" s="1"/>
  <c r="P233" i="24" s="1"/>
  <c r="V233" i="24" s="1"/>
  <c r="B233" i="24" s="1"/>
  <c r="U229" i="24"/>
  <c r="T229" i="24" s="1"/>
  <c r="U225" i="24"/>
  <c r="T225" i="24" s="1"/>
  <c r="U221" i="24"/>
  <c r="T221" i="24" s="1"/>
  <c r="U217" i="24"/>
  <c r="T217" i="24" s="1"/>
  <c r="S217" i="24" s="1"/>
  <c r="R217" i="24" s="1"/>
  <c r="P217" i="24" s="1"/>
  <c r="V217" i="24" s="1"/>
  <c r="B217" i="24" s="1"/>
  <c r="U213" i="24"/>
  <c r="T213" i="24" s="1"/>
  <c r="S213" i="24" s="1"/>
  <c r="R213" i="24" s="1"/>
  <c r="P213" i="24" s="1"/>
  <c r="V213" i="24" s="1"/>
  <c r="B213" i="24" s="1"/>
  <c r="U209" i="24"/>
  <c r="T209" i="24" s="1"/>
  <c r="S209" i="24" s="1"/>
  <c r="R209" i="24" s="1"/>
  <c r="P209" i="24" s="1"/>
  <c r="V209" i="24" s="1"/>
  <c r="B209" i="24" s="1"/>
  <c r="U205" i="24"/>
  <c r="T205" i="24" s="1"/>
  <c r="S205" i="24" s="1"/>
  <c r="R205" i="24" s="1"/>
  <c r="P205" i="24" s="1"/>
  <c r="V205" i="24" s="1"/>
  <c r="B205" i="24" s="1"/>
  <c r="U201" i="24"/>
  <c r="T201" i="24" s="1"/>
  <c r="S201" i="24" s="1"/>
  <c r="R201" i="24" s="1"/>
  <c r="P201" i="24" s="1"/>
  <c r="V201" i="24" s="1"/>
  <c r="B201" i="24" s="1"/>
  <c r="U197" i="24"/>
  <c r="T197" i="24" s="1"/>
  <c r="S197" i="24" s="1"/>
  <c r="R197" i="24" s="1"/>
  <c r="P197" i="24" s="1"/>
  <c r="V197" i="24" s="1"/>
  <c r="B197" i="24" s="1"/>
  <c r="D197" i="24" s="1"/>
  <c r="E197" i="24" s="1"/>
  <c r="F197" i="24" s="1"/>
  <c r="U193" i="24"/>
  <c r="T193" i="24" s="1"/>
  <c r="S193" i="24" s="1"/>
  <c r="R193" i="24" s="1"/>
  <c r="P193" i="24" s="1"/>
  <c r="V193" i="24" s="1"/>
  <c r="B193" i="24" s="1"/>
  <c r="U189" i="24"/>
  <c r="T189" i="24" s="1"/>
  <c r="S189" i="24" s="1"/>
  <c r="R189" i="24" s="1"/>
  <c r="P189" i="24" s="1"/>
  <c r="V189" i="24" s="1"/>
  <c r="B189" i="24" s="1"/>
  <c r="U185" i="24"/>
  <c r="T185" i="24" s="1"/>
  <c r="S185" i="24" s="1"/>
  <c r="R185" i="24" s="1"/>
  <c r="P185" i="24" s="1"/>
  <c r="V185" i="24" s="1"/>
  <c r="B185" i="24" s="1"/>
  <c r="U181" i="24"/>
  <c r="T181" i="24" s="1"/>
  <c r="U177" i="24"/>
  <c r="T177" i="24" s="1"/>
  <c r="S177" i="24" s="1"/>
  <c r="R177" i="24" s="1"/>
  <c r="P177" i="24" s="1"/>
  <c r="V177" i="24" s="1"/>
  <c r="B177" i="24" s="1"/>
  <c r="U173" i="24"/>
  <c r="T173" i="24" s="1"/>
  <c r="S173" i="24" s="1"/>
  <c r="R173" i="24" s="1"/>
  <c r="P173" i="24" s="1"/>
  <c r="V173" i="24" s="1"/>
  <c r="B173" i="24" s="1"/>
  <c r="W173" i="24" s="1"/>
  <c r="U169" i="24"/>
  <c r="T169" i="24" s="1"/>
  <c r="S169" i="24" s="1"/>
  <c r="R169" i="24" s="1"/>
  <c r="P169" i="24" s="1"/>
  <c r="V169" i="24" s="1"/>
  <c r="B169" i="24" s="1"/>
  <c r="U165" i="24"/>
  <c r="T165" i="24" s="1"/>
  <c r="S165" i="24" s="1"/>
  <c r="R165" i="24" s="1"/>
  <c r="P165" i="24" s="1"/>
  <c r="V165" i="24" s="1"/>
  <c r="B165" i="24" s="1"/>
  <c r="D165" i="24" s="1"/>
  <c r="E165" i="24" s="1"/>
  <c r="F165" i="24" s="1"/>
  <c r="U161" i="24"/>
  <c r="T161" i="24" s="1"/>
  <c r="S161" i="24" s="1"/>
  <c r="R161" i="24" s="1"/>
  <c r="P161" i="24" s="1"/>
  <c r="V161" i="24" s="1"/>
  <c r="B161" i="24" s="1"/>
  <c r="U155" i="24"/>
  <c r="T155" i="24" s="1"/>
  <c r="S155" i="24" s="1"/>
  <c r="R155" i="24" s="1"/>
  <c r="P155" i="24" s="1"/>
  <c r="V155" i="24" s="1"/>
  <c r="B155" i="24" s="1"/>
  <c r="D155" i="24" s="1"/>
  <c r="E155" i="24" s="1"/>
  <c r="F155" i="24" s="1"/>
  <c r="U147" i="24"/>
  <c r="T147" i="24" s="1"/>
  <c r="S147" i="24" s="1"/>
  <c r="R147" i="24" s="1"/>
  <c r="P147" i="24" s="1"/>
  <c r="V147" i="24" s="1"/>
  <c r="B147" i="24" s="1"/>
  <c r="U139" i="24"/>
  <c r="T139" i="24" s="1"/>
  <c r="S139" i="24" s="1"/>
  <c r="R139" i="24" s="1"/>
  <c r="P139" i="24" s="1"/>
  <c r="V139" i="24" s="1"/>
  <c r="B139" i="24" s="1"/>
  <c r="W139" i="24" s="1"/>
  <c r="U131" i="24"/>
  <c r="T131" i="24" s="1"/>
  <c r="U123" i="24"/>
  <c r="T123" i="24" s="1"/>
  <c r="U115" i="24"/>
  <c r="T115" i="24" s="1"/>
  <c r="S115" i="24" s="1"/>
  <c r="R115" i="24" s="1"/>
  <c r="P115" i="24" s="1"/>
  <c r="V115" i="24" s="1"/>
  <c r="B115" i="24" s="1"/>
  <c r="U107" i="24"/>
  <c r="T107" i="24" s="1"/>
  <c r="S107" i="24" s="1"/>
  <c r="R107" i="24" s="1"/>
  <c r="P107" i="24" s="1"/>
  <c r="V107" i="24" s="1"/>
  <c r="B107" i="24" s="1"/>
  <c r="D107" i="24" s="1"/>
  <c r="E107" i="24" s="1"/>
  <c r="F107" i="24" s="1"/>
  <c r="U99" i="24"/>
  <c r="T99" i="24" s="1"/>
  <c r="S99" i="24" s="1"/>
  <c r="R99" i="24" s="1"/>
  <c r="P99" i="24" s="1"/>
  <c r="V99" i="24" s="1"/>
  <c r="B99" i="24" s="1"/>
  <c r="U91" i="24"/>
  <c r="T91" i="24" s="1"/>
  <c r="U83" i="24"/>
  <c r="T83" i="24" s="1"/>
  <c r="S83" i="24" s="1"/>
  <c r="R83" i="24" s="1"/>
  <c r="P83" i="24" s="1"/>
  <c r="V83" i="24" s="1"/>
  <c r="B83" i="24" s="1"/>
  <c r="U75" i="24"/>
  <c r="T75" i="24" s="1"/>
  <c r="S75" i="24" s="1"/>
  <c r="R75" i="24" s="1"/>
  <c r="P75" i="24" s="1"/>
  <c r="V75" i="24" s="1"/>
  <c r="B75" i="24" s="1"/>
  <c r="U67" i="24"/>
  <c r="T67" i="24" s="1"/>
  <c r="S67" i="24" s="1"/>
  <c r="R67" i="24" s="1"/>
  <c r="P67" i="24" s="1"/>
  <c r="V67" i="24" s="1"/>
  <c r="B67" i="24" s="1"/>
  <c r="U59" i="24"/>
  <c r="T59" i="24" s="1"/>
  <c r="S59" i="24" s="1"/>
  <c r="R59" i="24" s="1"/>
  <c r="P59" i="24" s="1"/>
  <c r="V59" i="24" s="1"/>
  <c r="B59" i="24" s="1"/>
  <c r="D59" i="24" s="1"/>
  <c r="E59" i="24" s="1"/>
  <c r="F59" i="24" s="1"/>
  <c r="U51" i="24"/>
  <c r="T51" i="24" s="1"/>
  <c r="S51" i="24" s="1"/>
  <c r="R51" i="24" s="1"/>
  <c r="P51" i="24" s="1"/>
  <c r="V51" i="24" s="1"/>
  <c r="B51" i="24" s="1"/>
  <c r="U43" i="24"/>
  <c r="T43" i="24" s="1"/>
  <c r="S43" i="24" s="1"/>
  <c r="R43" i="24" s="1"/>
  <c r="P43" i="24" s="1"/>
  <c r="V43" i="24" s="1"/>
  <c r="B43" i="24" s="1"/>
  <c r="D43" i="24" s="1"/>
  <c r="E43" i="24" s="1"/>
  <c r="F43" i="24" s="1"/>
  <c r="U35" i="24"/>
  <c r="T35" i="24" s="1"/>
  <c r="S35" i="24" s="1"/>
  <c r="R35" i="24" s="1"/>
  <c r="P35" i="24" s="1"/>
  <c r="V35" i="24" s="1"/>
  <c r="B35" i="24" s="1"/>
  <c r="U27" i="24"/>
  <c r="T27" i="24" s="1"/>
  <c r="S27" i="24" s="1"/>
  <c r="R27" i="24" s="1"/>
  <c r="P27" i="24" s="1"/>
  <c r="V27" i="24" s="1"/>
  <c r="B27" i="24" s="1"/>
  <c r="D27" i="24" s="1"/>
  <c r="E27" i="24" s="1"/>
  <c r="F27" i="24" s="1"/>
  <c r="U16" i="24"/>
  <c r="T16" i="24" s="1"/>
  <c r="S16" i="24" s="1"/>
  <c r="R16" i="24" s="1"/>
  <c r="P16" i="24" s="1"/>
  <c r="V16" i="24" s="1"/>
  <c r="B16" i="24" s="1"/>
  <c r="AA251" i="23"/>
  <c r="Z251" i="23" s="1"/>
  <c r="Y251" i="23" s="1"/>
  <c r="AI381" i="23"/>
  <c r="AI12" i="24"/>
  <c r="AI43" i="24" s="1"/>
  <c r="AH43" i="24" s="1"/>
  <c r="AG43" i="24" s="1"/>
  <c r="AF43" i="24" s="1"/>
  <c r="AD43" i="24" s="1"/>
  <c r="AH379" i="23"/>
  <c r="AG379" i="23" s="1"/>
  <c r="AF379" i="23" s="1"/>
  <c r="AD379" i="23" s="1"/>
  <c r="Y382" i="17"/>
  <c r="AL5" i="17"/>
  <c r="AL11" i="17" s="1"/>
  <c r="Y381" i="17"/>
  <c r="AM6" i="17"/>
  <c r="AM12" i="17" s="1"/>
  <c r="Y383" i="17"/>
  <c r="X9" i="17"/>
  <c r="AA257" i="23"/>
  <c r="Z257" i="23" s="1"/>
  <c r="Y257" i="23" s="1"/>
  <c r="AH159" i="23"/>
  <c r="AI383" i="23"/>
  <c r="H321" i="23"/>
  <c r="J321" i="23" s="1"/>
  <c r="G67" i="23"/>
  <c r="CD67" i="6" s="1"/>
  <c r="AI75" i="24"/>
  <c r="AH75" i="24" s="1"/>
  <c r="AG75" i="24" s="1"/>
  <c r="AF75" i="24" s="1"/>
  <c r="AD75" i="24" s="1"/>
  <c r="AI139" i="24"/>
  <c r="AH139" i="24" s="1"/>
  <c r="AG139" i="24" s="1"/>
  <c r="AF139" i="24" s="1"/>
  <c r="AD139" i="24" s="1"/>
  <c r="AI203" i="24"/>
  <c r="AH203" i="24" s="1"/>
  <c r="AG203" i="24" s="1"/>
  <c r="AF203" i="24" s="1"/>
  <c r="AD203" i="24" s="1"/>
  <c r="AI267" i="24"/>
  <c r="AH267" i="24" s="1"/>
  <c r="AG267" i="24" s="1"/>
  <c r="AF267" i="24" s="1"/>
  <c r="AD267" i="24" s="1"/>
  <c r="AI331" i="24"/>
  <c r="AH331" i="24" s="1"/>
  <c r="AG331" i="24" s="1"/>
  <c r="AF331" i="24" s="1"/>
  <c r="AD331" i="24" s="1"/>
  <c r="AI375" i="24"/>
  <c r="AH375" i="24" s="1"/>
  <c r="AG375" i="24" s="1"/>
  <c r="AF375" i="24" s="1"/>
  <c r="AD375" i="24" s="1"/>
  <c r="U19" i="24"/>
  <c r="T19" i="24" s="1"/>
  <c r="U21" i="24"/>
  <c r="T21" i="24" s="1"/>
  <c r="S21" i="24" s="1"/>
  <c r="R21" i="24" s="1"/>
  <c r="P21" i="24" s="1"/>
  <c r="V21" i="24" s="1"/>
  <c r="B21" i="24" s="1"/>
  <c r="W21" i="24" s="1"/>
  <c r="U29" i="24"/>
  <c r="T29" i="24" s="1"/>
  <c r="S29" i="24" s="1"/>
  <c r="R29" i="24" s="1"/>
  <c r="P29" i="24" s="1"/>
  <c r="U33" i="24"/>
  <c r="T33" i="24" s="1"/>
  <c r="S33" i="24" s="1"/>
  <c r="R33" i="24" s="1"/>
  <c r="P33" i="24" s="1"/>
  <c r="V33" i="24" s="1"/>
  <c r="B33" i="24" s="1"/>
  <c r="U37" i="24"/>
  <c r="T37" i="24" s="1"/>
  <c r="S37" i="24" s="1"/>
  <c r="R37" i="24" s="1"/>
  <c r="P37" i="24" s="1"/>
  <c r="V37" i="24" s="1"/>
  <c r="B37" i="24" s="1"/>
  <c r="U41" i="24"/>
  <c r="T41" i="24" s="1"/>
  <c r="S41" i="24" s="1"/>
  <c r="R41" i="24" s="1"/>
  <c r="P41" i="24" s="1"/>
  <c r="V41" i="24" s="1"/>
  <c r="B41" i="24" s="1"/>
  <c r="W41" i="24" s="1"/>
  <c r="U45" i="24"/>
  <c r="T45" i="24" s="1"/>
  <c r="S45" i="24" s="1"/>
  <c r="R45" i="24" s="1"/>
  <c r="P45" i="24" s="1"/>
  <c r="V45" i="24" s="1"/>
  <c r="B45" i="24" s="1"/>
  <c r="U49" i="24"/>
  <c r="T49" i="24" s="1"/>
  <c r="S49" i="24" s="1"/>
  <c r="R49" i="24" s="1"/>
  <c r="P49" i="24" s="1"/>
  <c r="V49" i="24" s="1"/>
  <c r="B49" i="24" s="1"/>
  <c r="D49" i="24" s="1"/>
  <c r="E49" i="24" s="1"/>
  <c r="F49" i="24" s="1"/>
  <c r="U53" i="24"/>
  <c r="T53" i="24" s="1"/>
  <c r="S53" i="24" s="1"/>
  <c r="R53" i="24" s="1"/>
  <c r="P53" i="24" s="1"/>
  <c r="V53" i="24" s="1"/>
  <c r="B53" i="24" s="1"/>
  <c r="U57" i="24"/>
  <c r="T57" i="24" s="1"/>
  <c r="S57" i="24" s="1"/>
  <c r="R57" i="24" s="1"/>
  <c r="P57" i="24" s="1"/>
  <c r="V57" i="24" s="1"/>
  <c r="B57" i="24" s="1"/>
  <c r="U61" i="24"/>
  <c r="T61" i="24" s="1"/>
  <c r="S61" i="24" s="1"/>
  <c r="R61" i="24" s="1"/>
  <c r="P61" i="24" s="1"/>
  <c r="V61" i="24" s="1"/>
  <c r="B61" i="24" s="1"/>
  <c r="U65" i="24"/>
  <c r="T65" i="24" s="1"/>
  <c r="S65" i="24" s="1"/>
  <c r="R65" i="24" s="1"/>
  <c r="P65" i="24" s="1"/>
  <c r="V65" i="24" s="1"/>
  <c r="B65" i="24" s="1"/>
  <c r="W65" i="24" s="1"/>
  <c r="U69" i="24"/>
  <c r="T69" i="24" s="1"/>
  <c r="U73" i="24"/>
  <c r="T73" i="24" s="1"/>
  <c r="U77" i="24"/>
  <c r="T77" i="24" s="1"/>
  <c r="S77" i="24" s="1"/>
  <c r="R77" i="24" s="1"/>
  <c r="P77" i="24" s="1"/>
  <c r="V77" i="24" s="1"/>
  <c r="B77" i="24" s="1"/>
  <c r="U81" i="24"/>
  <c r="T81" i="24" s="1"/>
  <c r="U85" i="24"/>
  <c r="T85" i="24" s="1"/>
  <c r="S85" i="24" s="1"/>
  <c r="R85" i="24" s="1"/>
  <c r="P85" i="24" s="1"/>
  <c r="V85" i="24" s="1"/>
  <c r="B85" i="24" s="1"/>
  <c r="U89" i="24"/>
  <c r="T89" i="24" s="1"/>
  <c r="S89" i="24" s="1"/>
  <c r="R89" i="24" s="1"/>
  <c r="P89" i="24" s="1"/>
  <c r="V89" i="24" s="1"/>
  <c r="B89" i="24" s="1"/>
  <c r="D89" i="24" s="1"/>
  <c r="E89" i="24" s="1"/>
  <c r="F89" i="24" s="1"/>
  <c r="U93" i="24"/>
  <c r="T93" i="24" s="1"/>
  <c r="S93" i="24" s="1"/>
  <c r="R93" i="24" s="1"/>
  <c r="P93" i="24" s="1"/>
  <c r="V93" i="24" s="1"/>
  <c r="B93" i="24" s="1"/>
  <c r="U97" i="24"/>
  <c r="T97" i="24" s="1"/>
  <c r="S97" i="24" s="1"/>
  <c r="R97" i="24" s="1"/>
  <c r="P97" i="24" s="1"/>
  <c r="V97" i="24" s="1"/>
  <c r="B97" i="24" s="1"/>
  <c r="W97" i="24" s="1"/>
  <c r="U101" i="24"/>
  <c r="T101" i="24" s="1"/>
  <c r="S101" i="24" s="1"/>
  <c r="R101" i="24" s="1"/>
  <c r="P101" i="24" s="1"/>
  <c r="V101" i="24" s="1"/>
  <c r="B101" i="24" s="1"/>
  <c r="U105" i="24"/>
  <c r="T105" i="24" s="1"/>
  <c r="S105" i="24" s="1"/>
  <c r="R105" i="24" s="1"/>
  <c r="P105" i="24" s="1"/>
  <c r="V105" i="24" s="1"/>
  <c r="B105" i="24" s="1"/>
  <c r="U109" i="24"/>
  <c r="T109" i="24" s="1"/>
  <c r="S109" i="24" s="1"/>
  <c r="R109" i="24" s="1"/>
  <c r="P109" i="24" s="1"/>
  <c r="V109" i="24" s="1"/>
  <c r="B109" i="24" s="1"/>
  <c r="U113" i="24"/>
  <c r="T113" i="24" s="1"/>
  <c r="S113" i="24" s="1"/>
  <c r="R113" i="24" s="1"/>
  <c r="P113" i="24" s="1"/>
  <c r="V113" i="24" s="1"/>
  <c r="B113" i="24" s="1"/>
  <c r="U117" i="24"/>
  <c r="T117" i="24" s="1"/>
  <c r="S117" i="24" s="1"/>
  <c r="R117" i="24" s="1"/>
  <c r="P117" i="24" s="1"/>
  <c r="V117" i="24" s="1"/>
  <c r="B117" i="24" s="1"/>
  <c r="U121" i="24"/>
  <c r="T121" i="24" s="1"/>
  <c r="S121" i="24" s="1"/>
  <c r="R121" i="24" s="1"/>
  <c r="P121" i="24" s="1"/>
  <c r="V121" i="24" s="1"/>
  <c r="B121" i="24" s="1"/>
  <c r="U125" i="24"/>
  <c r="T125" i="24" s="1"/>
  <c r="U129" i="24"/>
  <c r="T129" i="24" s="1"/>
  <c r="S129" i="24" s="1"/>
  <c r="R129" i="24" s="1"/>
  <c r="P129" i="24" s="1"/>
  <c r="V129" i="24" s="1"/>
  <c r="B129" i="24" s="1"/>
  <c r="D129" i="24" s="1"/>
  <c r="E129" i="24" s="1"/>
  <c r="F129" i="24" s="1"/>
  <c r="U133" i="24"/>
  <c r="T133" i="24" s="1"/>
  <c r="S133" i="24" s="1"/>
  <c r="R133" i="24" s="1"/>
  <c r="P133" i="24" s="1"/>
  <c r="V133" i="24" s="1"/>
  <c r="B133" i="24" s="1"/>
  <c r="U137" i="24"/>
  <c r="T137" i="24" s="1"/>
  <c r="S137" i="24" s="1"/>
  <c r="R137" i="24" s="1"/>
  <c r="P137" i="24" s="1"/>
  <c r="V137" i="24" s="1"/>
  <c r="B137" i="24" s="1"/>
  <c r="U141" i="24"/>
  <c r="T141" i="24" s="1"/>
  <c r="S141" i="24" s="1"/>
  <c r="R141" i="24" s="1"/>
  <c r="P141" i="24" s="1"/>
  <c r="V141" i="24" s="1"/>
  <c r="B141" i="24" s="1"/>
  <c r="U145" i="24"/>
  <c r="T145" i="24" s="1"/>
  <c r="S145" i="24" s="1"/>
  <c r="R145" i="24" s="1"/>
  <c r="P145" i="24" s="1"/>
  <c r="V145" i="24" s="1"/>
  <c r="B145" i="24" s="1"/>
  <c r="U149" i="24"/>
  <c r="T149" i="24" s="1"/>
  <c r="S149" i="24" s="1"/>
  <c r="R149" i="24" s="1"/>
  <c r="P149" i="24" s="1"/>
  <c r="U153" i="24"/>
  <c r="T153" i="24" s="1"/>
  <c r="S153" i="24" s="1"/>
  <c r="R153" i="24" s="1"/>
  <c r="P153" i="24" s="1"/>
  <c r="V153" i="24" s="1"/>
  <c r="B153" i="24" s="1"/>
  <c r="U157" i="24"/>
  <c r="T157" i="24" s="1"/>
  <c r="AA335" i="23"/>
  <c r="Z335" i="23" s="1"/>
  <c r="Y335" i="23" s="1"/>
  <c r="AA208" i="23"/>
  <c r="Z208" i="23" s="1"/>
  <c r="Y208" i="23" s="1"/>
  <c r="H257" i="23"/>
  <c r="I257" i="23" s="1"/>
  <c r="G86" i="23"/>
  <c r="CD86" i="6" s="1"/>
  <c r="D68" i="19"/>
  <c r="AI382" i="23"/>
  <c r="H355" i="23"/>
  <c r="I355" i="23" s="1"/>
  <c r="AA355" i="23"/>
  <c r="Z355" i="23" s="1"/>
  <c r="Y355" i="23" s="1"/>
  <c r="H335" i="23"/>
  <c r="I335" i="23" s="1"/>
  <c r="H260" i="23"/>
  <c r="I260" i="23" s="1"/>
  <c r="G321" i="23"/>
  <c r="CD321" i="6" s="1"/>
  <c r="H67" i="23"/>
  <c r="I67" i="23" s="1"/>
  <c r="Q315" i="25"/>
  <c r="G325" i="23"/>
  <c r="CD325" i="6" s="1"/>
  <c r="AA260" i="23"/>
  <c r="Z260" i="23" s="1"/>
  <c r="Y260" i="23" s="1"/>
  <c r="H325" i="23"/>
  <c r="I325" i="23" s="1"/>
  <c r="Q187" i="25"/>
  <c r="BA16" i="7"/>
  <c r="AI22" i="24"/>
  <c r="AH22" i="24" s="1"/>
  <c r="AG22" i="24" s="1"/>
  <c r="AF22" i="24" s="1"/>
  <c r="AD22" i="24" s="1"/>
  <c r="AI34" i="24"/>
  <c r="AH34" i="24" s="1"/>
  <c r="AG34" i="24" s="1"/>
  <c r="AF34" i="24" s="1"/>
  <c r="AD34" i="24" s="1"/>
  <c r="AI50" i="24"/>
  <c r="AH50" i="24" s="1"/>
  <c r="AG50" i="24" s="1"/>
  <c r="AF50" i="24" s="1"/>
  <c r="AD50" i="24" s="1"/>
  <c r="AI66" i="24"/>
  <c r="AH66" i="24" s="1"/>
  <c r="AG66" i="24" s="1"/>
  <c r="AF66" i="24" s="1"/>
  <c r="AD66" i="24" s="1"/>
  <c r="AI82" i="24"/>
  <c r="AH82" i="24" s="1"/>
  <c r="AG82" i="24" s="1"/>
  <c r="AF82" i="24" s="1"/>
  <c r="AD82" i="24" s="1"/>
  <c r="AI98" i="24"/>
  <c r="AH98" i="24" s="1"/>
  <c r="AG98" i="24" s="1"/>
  <c r="AF98" i="24" s="1"/>
  <c r="AD98" i="24" s="1"/>
  <c r="AI114" i="24"/>
  <c r="AH114" i="24" s="1"/>
  <c r="AG114" i="24" s="1"/>
  <c r="AF114" i="24" s="1"/>
  <c r="AD114" i="24" s="1"/>
  <c r="AI130" i="24"/>
  <c r="AH130" i="24" s="1"/>
  <c r="AG130" i="24" s="1"/>
  <c r="AF130" i="24" s="1"/>
  <c r="AD130" i="24" s="1"/>
  <c r="AI146" i="24"/>
  <c r="AH146" i="24" s="1"/>
  <c r="AG146" i="24" s="1"/>
  <c r="AF146" i="24" s="1"/>
  <c r="AD146" i="24" s="1"/>
  <c r="AI162" i="24"/>
  <c r="AH162" i="24" s="1"/>
  <c r="AG162" i="24" s="1"/>
  <c r="AF162" i="24" s="1"/>
  <c r="AD162" i="24" s="1"/>
  <c r="AI178" i="24"/>
  <c r="AH178" i="24" s="1"/>
  <c r="AG178" i="24" s="1"/>
  <c r="AF178" i="24" s="1"/>
  <c r="AD178" i="24" s="1"/>
  <c r="AI194" i="24"/>
  <c r="AH194" i="24" s="1"/>
  <c r="AG194" i="24" s="1"/>
  <c r="AF194" i="24" s="1"/>
  <c r="AD194" i="24" s="1"/>
  <c r="AI210" i="24"/>
  <c r="AH210" i="24" s="1"/>
  <c r="AG210" i="24" s="1"/>
  <c r="AF210" i="24" s="1"/>
  <c r="AD210" i="24" s="1"/>
  <c r="AI226" i="24"/>
  <c r="AH226" i="24" s="1"/>
  <c r="AG226" i="24" s="1"/>
  <c r="AF226" i="24" s="1"/>
  <c r="AD226" i="24" s="1"/>
  <c r="AI242" i="24"/>
  <c r="AH242" i="24" s="1"/>
  <c r="AG242" i="24" s="1"/>
  <c r="AF242" i="24" s="1"/>
  <c r="AD242" i="24" s="1"/>
  <c r="AI256" i="24"/>
  <c r="AH256" i="24" s="1"/>
  <c r="AG256" i="24" s="1"/>
  <c r="AF256" i="24" s="1"/>
  <c r="AD256" i="24" s="1"/>
  <c r="AI264" i="24"/>
  <c r="AH264" i="24" s="1"/>
  <c r="AG264" i="24" s="1"/>
  <c r="AF264" i="24" s="1"/>
  <c r="AD264" i="24" s="1"/>
  <c r="AI272" i="24"/>
  <c r="AH272" i="24" s="1"/>
  <c r="AG272" i="24" s="1"/>
  <c r="AF272" i="24" s="1"/>
  <c r="AD272" i="24" s="1"/>
  <c r="AI280" i="24"/>
  <c r="AH280" i="24" s="1"/>
  <c r="AG280" i="24" s="1"/>
  <c r="AF280" i="24" s="1"/>
  <c r="AD280" i="24" s="1"/>
  <c r="AI288" i="24"/>
  <c r="AH288" i="24" s="1"/>
  <c r="AG288" i="24" s="1"/>
  <c r="AF288" i="24" s="1"/>
  <c r="AD288" i="24" s="1"/>
  <c r="AI296" i="24"/>
  <c r="AH296" i="24" s="1"/>
  <c r="AG296" i="24" s="1"/>
  <c r="AF296" i="24" s="1"/>
  <c r="AD296" i="24" s="1"/>
  <c r="AI304" i="24"/>
  <c r="AH304" i="24" s="1"/>
  <c r="AG304" i="24" s="1"/>
  <c r="AF304" i="24" s="1"/>
  <c r="AD304" i="24" s="1"/>
  <c r="AI312" i="24"/>
  <c r="AH312" i="24" s="1"/>
  <c r="AG312" i="24" s="1"/>
  <c r="AF312" i="24" s="1"/>
  <c r="AD312" i="24" s="1"/>
  <c r="AI320" i="24"/>
  <c r="AH320" i="24" s="1"/>
  <c r="AG320" i="24" s="1"/>
  <c r="AF320" i="24" s="1"/>
  <c r="AD320" i="24" s="1"/>
  <c r="AI328" i="24"/>
  <c r="AH328" i="24" s="1"/>
  <c r="AG328" i="24" s="1"/>
  <c r="AF328" i="24" s="1"/>
  <c r="AD328" i="24" s="1"/>
  <c r="AI336" i="24"/>
  <c r="AH336" i="24" s="1"/>
  <c r="AG336" i="24" s="1"/>
  <c r="AF336" i="24" s="1"/>
  <c r="AD336" i="24" s="1"/>
  <c r="AI344" i="24"/>
  <c r="AH344" i="24" s="1"/>
  <c r="AG344" i="24" s="1"/>
  <c r="AF344" i="24" s="1"/>
  <c r="AD344" i="24" s="1"/>
  <c r="AI352" i="24"/>
  <c r="AH352" i="24" s="1"/>
  <c r="AG352" i="24" s="1"/>
  <c r="AF352" i="24" s="1"/>
  <c r="AD352" i="24" s="1"/>
  <c r="Q368" i="25"/>
  <c r="Q251" i="25"/>
  <c r="Q123" i="25"/>
  <c r="U378" i="24"/>
  <c r="T378" i="24" s="1"/>
  <c r="S378" i="24" s="1"/>
  <c r="R378" i="24" s="1"/>
  <c r="P378" i="24" s="1"/>
  <c r="V378" i="24" s="1"/>
  <c r="B378" i="24" s="1"/>
  <c r="U376" i="24"/>
  <c r="T376" i="24" s="1"/>
  <c r="S376" i="24" s="1"/>
  <c r="R376" i="24" s="1"/>
  <c r="P376" i="24" s="1"/>
  <c r="V376" i="24" s="1"/>
  <c r="B376" i="24" s="1"/>
  <c r="U374" i="24"/>
  <c r="T374" i="24" s="1"/>
  <c r="U372" i="24"/>
  <c r="T372" i="24" s="1"/>
  <c r="S372" i="24" s="1"/>
  <c r="R372" i="24" s="1"/>
  <c r="P372" i="24" s="1"/>
  <c r="V372" i="24" s="1"/>
  <c r="B372" i="24" s="1"/>
  <c r="D372" i="24" s="1"/>
  <c r="E372" i="24" s="1"/>
  <c r="F372" i="24" s="1"/>
  <c r="U370" i="24"/>
  <c r="T370" i="24" s="1"/>
  <c r="S370" i="24" s="1"/>
  <c r="R370" i="24" s="1"/>
  <c r="P370" i="24" s="1"/>
  <c r="V370" i="24" s="1"/>
  <c r="B370" i="24" s="1"/>
  <c r="D370" i="24" s="1"/>
  <c r="E370" i="24" s="1"/>
  <c r="F370" i="24" s="1"/>
  <c r="U368" i="24"/>
  <c r="T368" i="24" s="1"/>
  <c r="S368" i="24" s="1"/>
  <c r="R368" i="24" s="1"/>
  <c r="P368" i="24" s="1"/>
  <c r="V368" i="24" s="1"/>
  <c r="B368" i="24" s="1"/>
  <c r="D368" i="24" s="1"/>
  <c r="E368" i="24" s="1"/>
  <c r="F368" i="24" s="1"/>
  <c r="U366" i="24"/>
  <c r="T366" i="24" s="1"/>
  <c r="S366" i="24" s="1"/>
  <c r="R366" i="24" s="1"/>
  <c r="P366" i="24" s="1"/>
  <c r="V366" i="24" s="1"/>
  <c r="B366" i="24" s="1"/>
  <c r="U364" i="24"/>
  <c r="T364" i="24" s="1"/>
  <c r="S364" i="24" s="1"/>
  <c r="R364" i="24" s="1"/>
  <c r="P364" i="24" s="1"/>
  <c r="V364" i="24" s="1"/>
  <c r="B364" i="24" s="1"/>
  <c r="W364" i="24" s="1"/>
  <c r="U362" i="24"/>
  <c r="T362" i="24" s="1"/>
  <c r="S362" i="24" s="1"/>
  <c r="R362" i="24" s="1"/>
  <c r="P362" i="24" s="1"/>
  <c r="V362" i="24" s="1"/>
  <c r="B362" i="24" s="1"/>
  <c r="W362" i="24" s="1"/>
  <c r="U360" i="24"/>
  <c r="T360" i="24" s="1"/>
  <c r="S360" i="24" s="1"/>
  <c r="R360" i="24" s="1"/>
  <c r="P360" i="24" s="1"/>
  <c r="V360" i="24" s="1"/>
  <c r="B360" i="24" s="1"/>
  <c r="D360" i="24" s="1"/>
  <c r="E360" i="24" s="1"/>
  <c r="F360" i="24" s="1"/>
  <c r="U358" i="24"/>
  <c r="T358" i="24" s="1"/>
  <c r="S358" i="24" s="1"/>
  <c r="R358" i="24" s="1"/>
  <c r="P358" i="24" s="1"/>
  <c r="V358" i="24" s="1"/>
  <c r="B358" i="24" s="1"/>
  <c r="U356" i="24"/>
  <c r="T356" i="24" s="1"/>
  <c r="S356" i="24" s="1"/>
  <c r="R356" i="24" s="1"/>
  <c r="P356" i="24" s="1"/>
  <c r="V356" i="24" s="1"/>
  <c r="B356" i="24" s="1"/>
  <c r="D356" i="24" s="1"/>
  <c r="E356" i="24" s="1"/>
  <c r="F356" i="24" s="1"/>
  <c r="U354" i="24"/>
  <c r="T354" i="24" s="1"/>
  <c r="S354" i="24" s="1"/>
  <c r="R354" i="24" s="1"/>
  <c r="P354" i="24" s="1"/>
  <c r="V354" i="24" s="1"/>
  <c r="B354" i="24" s="1"/>
  <c r="D354" i="24" s="1"/>
  <c r="E354" i="24" s="1"/>
  <c r="F354" i="24" s="1"/>
  <c r="U352" i="24"/>
  <c r="T352" i="24" s="1"/>
  <c r="U350" i="24"/>
  <c r="T350" i="24" s="1"/>
  <c r="S350" i="24" s="1"/>
  <c r="R350" i="24" s="1"/>
  <c r="P350" i="24" s="1"/>
  <c r="V350" i="24" s="1"/>
  <c r="B350" i="24" s="1"/>
  <c r="W350" i="24" s="1"/>
  <c r="U348" i="24"/>
  <c r="T348" i="24" s="1"/>
  <c r="S348" i="24" s="1"/>
  <c r="R348" i="24" s="1"/>
  <c r="P348" i="24" s="1"/>
  <c r="V348" i="24" s="1"/>
  <c r="B348" i="24" s="1"/>
  <c r="U346" i="24"/>
  <c r="T346" i="24" s="1"/>
  <c r="S346" i="24" s="1"/>
  <c r="R346" i="24" s="1"/>
  <c r="P346" i="24" s="1"/>
  <c r="V346" i="24" s="1"/>
  <c r="B346" i="24" s="1"/>
  <c r="W346" i="24" s="1"/>
  <c r="U344" i="24"/>
  <c r="T344" i="24" s="1"/>
  <c r="S344" i="24" s="1"/>
  <c r="R344" i="24" s="1"/>
  <c r="P344" i="24" s="1"/>
  <c r="V344" i="24" s="1"/>
  <c r="B344" i="24" s="1"/>
  <c r="W344" i="24" s="1"/>
  <c r="U342" i="24"/>
  <c r="T342" i="24" s="1"/>
  <c r="S342" i="24" s="1"/>
  <c r="R342" i="24" s="1"/>
  <c r="P342" i="24" s="1"/>
  <c r="V342" i="24" s="1"/>
  <c r="B342" i="24" s="1"/>
  <c r="U340" i="24"/>
  <c r="T340" i="24" s="1"/>
  <c r="S340" i="24" s="1"/>
  <c r="R340" i="24" s="1"/>
  <c r="P340" i="24" s="1"/>
  <c r="V340" i="24" s="1"/>
  <c r="B340" i="24" s="1"/>
  <c r="W340" i="24" s="1"/>
  <c r="U338" i="24"/>
  <c r="T338" i="24" s="1"/>
  <c r="S338" i="24" s="1"/>
  <c r="R338" i="24" s="1"/>
  <c r="P338" i="24" s="1"/>
  <c r="V338" i="24" s="1"/>
  <c r="B338" i="24" s="1"/>
  <c r="W338" i="24" s="1"/>
  <c r="U336" i="24"/>
  <c r="T336" i="24" s="1"/>
  <c r="S336" i="24" s="1"/>
  <c r="R336" i="24" s="1"/>
  <c r="P336" i="24" s="1"/>
  <c r="V336" i="24" s="1"/>
  <c r="B336" i="24" s="1"/>
  <c r="W336" i="24" s="1"/>
  <c r="U334" i="24"/>
  <c r="T334" i="24" s="1"/>
  <c r="S334" i="24" s="1"/>
  <c r="R334" i="24" s="1"/>
  <c r="P334" i="24" s="1"/>
  <c r="V334" i="24" s="1"/>
  <c r="B334" i="24" s="1"/>
  <c r="U332" i="24"/>
  <c r="T332" i="24" s="1"/>
  <c r="S332" i="24" s="1"/>
  <c r="R332" i="24" s="1"/>
  <c r="P332" i="24" s="1"/>
  <c r="V332" i="24" s="1"/>
  <c r="B332" i="24" s="1"/>
  <c r="U330" i="24"/>
  <c r="T330" i="24" s="1"/>
  <c r="S330" i="24" s="1"/>
  <c r="R330" i="24" s="1"/>
  <c r="P330" i="24" s="1"/>
  <c r="V330" i="24" s="1"/>
  <c r="B330" i="24" s="1"/>
  <c r="D330" i="24" s="1"/>
  <c r="E330" i="24" s="1"/>
  <c r="F330" i="24" s="1"/>
  <c r="U328" i="24"/>
  <c r="T328" i="24" s="1"/>
  <c r="S328" i="24" s="1"/>
  <c r="R328" i="24" s="1"/>
  <c r="P328" i="24" s="1"/>
  <c r="V328" i="24" s="1"/>
  <c r="B328" i="24" s="1"/>
  <c r="W328" i="24" s="1"/>
  <c r="U326" i="24"/>
  <c r="T326" i="24" s="1"/>
  <c r="S326" i="24" s="1"/>
  <c r="R326" i="24" s="1"/>
  <c r="P326" i="24" s="1"/>
  <c r="V326" i="24" s="1"/>
  <c r="B326" i="24" s="1"/>
  <c r="W326" i="24" s="1"/>
  <c r="U324" i="24"/>
  <c r="T324" i="24" s="1"/>
  <c r="S324" i="24" s="1"/>
  <c r="R324" i="24" s="1"/>
  <c r="P324" i="24" s="1"/>
  <c r="V324" i="24" s="1"/>
  <c r="B324" i="24" s="1"/>
  <c r="W324" i="24" s="1"/>
  <c r="U322" i="24"/>
  <c r="T322" i="24" s="1"/>
  <c r="U320" i="24"/>
  <c r="T320" i="24" s="1"/>
  <c r="S320" i="24" s="1"/>
  <c r="R320" i="24" s="1"/>
  <c r="P320" i="24" s="1"/>
  <c r="V320" i="24" s="1"/>
  <c r="B320" i="24" s="1"/>
  <c r="D320" i="24" s="1"/>
  <c r="E320" i="24" s="1"/>
  <c r="F320" i="24" s="1"/>
  <c r="U318" i="24"/>
  <c r="T318" i="24" s="1"/>
  <c r="S318" i="24" s="1"/>
  <c r="R318" i="24" s="1"/>
  <c r="P318" i="24" s="1"/>
  <c r="V318" i="24" s="1"/>
  <c r="B318" i="24" s="1"/>
  <c r="D318" i="24" s="1"/>
  <c r="E318" i="24" s="1"/>
  <c r="F318" i="24" s="1"/>
  <c r="U316" i="24"/>
  <c r="T316" i="24" s="1"/>
  <c r="S316" i="24" s="1"/>
  <c r="R316" i="24" s="1"/>
  <c r="P316" i="24" s="1"/>
  <c r="V316" i="24" s="1"/>
  <c r="B316" i="24" s="1"/>
  <c r="D316" i="24" s="1"/>
  <c r="E316" i="24" s="1"/>
  <c r="F316" i="24" s="1"/>
  <c r="U314" i="24"/>
  <c r="T314" i="24" s="1"/>
  <c r="S314" i="24" s="1"/>
  <c r="R314" i="24" s="1"/>
  <c r="P314" i="24" s="1"/>
  <c r="V314" i="24" s="1"/>
  <c r="B314" i="24" s="1"/>
  <c r="U312" i="24"/>
  <c r="T312" i="24" s="1"/>
  <c r="S312" i="24" s="1"/>
  <c r="R312" i="24" s="1"/>
  <c r="P312" i="24" s="1"/>
  <c r="V312" i="24" s="1"/>
  <c r="B312" i="24" s="1"/>
  <c r="D312" i="24" s="1"/>
  <c r="E312" i="24" s="1"/>
  <c r="F312" i="24" s="1"/>
  <c r="U310" i="24"/>
  <c r="T310" i="24" s="1"/>
  <c r="S310" i="24" s="1"/>
  <c r="R310" i="24" s="1"/>
  <c r="P310" i="24" s="1"/>
  <c r="V310" i="24" s="1"/>
  <c r="B310" i="24" s="1"/>
  <c r="U308" i="24"/>
  <c r="T308" i="24" s="1"/>
  <c r="S308" i="24" s="1"/>
  <c r="R308" i="24" s="1"/>
  <c r="P308" i="24" s="1"/>
  <c r="V308" i="24" s="1"/>
  <c r="B308" i="24" s="1"/>
  <c r="D308" i="24" s="1"/>
  <c r="E308" i="24" s="1"/>
  <c r="F308" i="24" s="1"/>
  <c r="U306" i="24"/>
  <c r="T306" i="24" s="1"/>
  <c r="S306" i="24" s="1"/>
  <c r="R306" i="24" s="1"/>
  <c r="P306" i="24" s="1"/>
  <c r="V306" i="24" s="1"/>
  <c r="B306" i="24" s="1"/>
  <c r="U304" i="24"/>
  <c r="T304" i="24" s="1"/>
  <c r="S304" i="24" s="1"/>
  <c r="R304" i="24" s="1"/>
  <c r="P304" i="24" s="1"/>
  <c r="V304" i="24" s="1"/>
  <c r="B304" i="24" s="1"/>
  <c r="W304" i="24" s="1"/>
  <c r="U302" i="24"/>
  <c r="T302" i="24" s="1"/>
  <c r="U300" i="24"/>
  <c r="T300" i="24" s="1"/>
  <c r="S300" i="24" s="1"/>
  <c r="R300" i="24" s="1"/>
  <c r="P300" i="24" s="1"/>
  <c r="V300" i="24" s="1"/>
  <c r="B300" i="24" s="1"/>
  <c r="U298" i="24"/>
  <c r="T298" i="24" s="1"/>
  <c r="S298" i="24" s="1"/>
  <c r="R298" i="24" s="1"/>
  <c r="P298" i="24" s="1"/>
  <c r="V298" i="24" s="1"/>
  <c r="B298" i="24" s="1"/>
  <c r="D298" i="24" s="1"/>
  <c r="E298" i="24" s="1"/>
  <c r="F298" i="24" s="1"/>
  <c r="U296" i="24"/>
  <c r="T296" i="24" s="1"/>
  <c r="S296" i="24" s="1"/>
  <c r="R296" i="24" s="1"/>
  <c r="P296" i="24" s="1"/>
  <c r="V296" i="24" s="1"/>
  <c r="B296" i="24" s="1"/>
  <c r="U294" i="24"/>
  <c r="T294" i="24" s="1"/>
  <c r="S294" i="24" s="1"/>
  <c r="R294" i="24" s="1"/>
  <c r="P294" i="24" s="1"/>
  <c r="V294" i="24" s="1"/>
  <c r="B294" i="24" s="1"/>
  <c r="W294" i="24" s="1"/>
  <c r="U292" i="24"/>
  <c r="T292" i="24" s="1"/>
  <c r="S292" i="24" s="1"/>
  <c r="R292" i="24" s="1"/>
  <c r="P292" i="24" s="1"/>
  <c r="V292" i="24" s="1"/>
  <c r="B292" i="24" s="1"/>
  <c r="W292" i="24" s="1"/>
  <c r="U290" i="24"/>
  <c r="T290" i="24" s="1"/>
  <c r="S290" i="24" s="1"/>
  <c r="R290" i="24" s="1"/>
  <c r="P290" i="24" s="1"/>
  <c r="V290" i="24" s="1"/>
  <c r="B290" i="24" s="1"/>
  <c r="D290" i="24" s="1"/>
  <c r="E290" i="24" s="1"/>
  <c r="F290" i="24" s="1"/>
  <c r="U288" i="24"/>
  <c r="T288" i="24" s="1"/>
  <c r="S288" i="24" s="1"/>
  <c r="R288" i="24" s="1"/>
  <c r="P288" i="24" s="1"/>
  <c r="V288" i="24" s="1"/>
  <c r="B288" i="24" s="1"/>
  <c r="U286" i="24"/>
  <c r="T286" i="24" s="1"/>
  <c r="S286" i="24" s="1"/>
  <c r="R286" i="24" s="1"/>
  <c r="P286" i="24" s="1"/>
  <c r="V286" i="24" s="1"/>
  <c r="B286" i="24" s="1"/>
  <c r="D286" i="24" s="1"/>
  <c r="E286" i="24" s="1"/>
  <c r="F286" i="24" s="1"/>
  <c r="U284" i="24"/>
  <c r="T284" i="24" s="1"/>
  <c r="S284" i="24" s="1"/>
  <c r="R284" i="24" s="1"/>
  <c r="P284" i="24" s="1"/>
  <c r="V284" i="24" s="1"/>
  <c r="B284" i="24" s="1"/>
  <c r="W284" i="24" s="1"/>
  <c r="U282" i="24"/>
  <c r="T282" i="24" s="1"/>
  <c r="S282" i="24" s="1"/>
  <c r="R282" i="24" s="1"/>
  <c r="P282" i="24" s="1"/>
  <c r="V282" i="24" s="1"/>
  <c r="B282" i="24" s="1"/>
  <c r="D282" i="24" s="1"/>
  <c r="E282" i="24" s="1"/>
  <c r="F282" i="24" s="1"/>
  <c r="U280" i="24"/>
  <c r="T280" i="24" s="1"/>
  <c r="S280" i="24" s="1"/>
  <c r="R280" i="24" s="1"/>
  <c r="P280" i="24" s="1"/>
  <c r="V280" i="24" s="1"/>
  <c r="B280" i="24" s="1"/>
  <c r="U278" i="24"/>
  <c r="T278" i="24" s="1"/>
  <c r="S278" i="24" s="1"/>
  <c r="R278" i="24" s="1"/>
  <c r="P278" i="24" s="1"/>
  <c r="V278" i="24" s="1"/>
  <c r="B278" i="24" s="1"/>
  <c r="D278" i="24" s="1"/>
  <c r="E278" i="24" s="1"/>
  <c r="F278" i="24" s="1"/>
  <c r="U276" i="24"/>
  <c r="T276" i="24" s="1"/>
  <c r="S276" i="24" s="1"/>
  <c r="R276" i="24" s="1"/>
  <c r="P276" i="24" s="1"/>
  <c r="V276" i="24" s="1"/>
  <c r="B276" i="24" s="1"/>
  <c r="U274" i="24"/>
  <c r="T274" i="24" s="1"/>
  <c r="S274" i="24" s="1"/>
  <c r="R274" i="24" s="1"/>
  <c r="P274" i="24" s="1"/>
  <c r="V274" i="24" s="1"/>
  <c r="B274" i="24" s="1"/>
  <c r="W274" i="24" s="1"/>
  <c r="U272" i="24"/>
  <c r="T272" i="24" s="1"/>
  <c r="S272" i="24" s="1"/>
  <c r="R272" i="24" s="1"/>
  <c r="P272" i="24" s="1"/>
  <c r="V272" i="24" s="1"/>
  <c r="B272" i="24" s="1"/>
  <c r="U270" i="24"/>
  <c r="T270" i="24" s="1"/>
  <c r="S270" i="24" s="1"/>
  <c r="R270" i="24" s="1"/>
  <c r="P270" i="24" s="1"/>
  <c r="V270" i="24" s="1"/>
  <c r="B270" i="24" s="1"/>
  <c r="U268" i="24"/>
  <c r="T268" i="24" s="1"/>
  <c r="S268" i="24" s="1"/>
  <c r="R268" i="24" s="1"/>
  <c r="P268" i="24" s="1"/>
  <c r="V268" i="24" s="1"/>
  <c r="B268" i="24" s="1"/>
  <c r="D268" i="24" s="1"/>
  <c r="E268" i="24" s="1"/>
  <c r="F268" i="24" s="1"/>
  <c r="U266" i="24"/>
  <c r="T266" i="24" s="1"/>
  <c r="S266" i="24" s="1"/>
  <c r="R266" i="24" s="1"/>
  <c r="P266" i="24" s="1"/>
  <c r="V266" i="24" s="1"/>
  <c r="B266" i="24" s="1"/>
  <c r="D266" i="24" s="1"/>
  <c r="E266" i="24" s="1"/>
  <c r="F266" i="24" s="1"/>
  <c r="U264" i="24"/>
  <c r="T264" i="24" s="1"/>
  <c r="S264" i="24" s="1"/>
  <c r="R264" i="24" s="1"/>
  <c r="P264" i="24" s="1"/>
  <c r="V264" i="24" s="1"/>
  <c r="B264" i="24" s="1"/>
  <c r="U262" i="24"/>
  <c r="T262" i="24" s="1"/>
  <c r="S262" i="24" s="1"/>
  <c r="R262" i="24" s="1"/>
  <c r="P262" i="24" s="1"/>
  <c r="V262" i="24" s="1"/>
  <c r="B262" i="24" s="1"/>
  <c r="W262" i="24" s="1"/>
  <c r="U260" i="24"/>
  <c r="T260" i="24" s="1"/>
  <c r="S260" i="24" s="1"/>
  <c r="R260" i="24" s="1"/>
  <c r="P260" i="24" s="1"/>
  <c r="V260" i="24" s="1"/>
  <c r="B260" i="24" s="1"/>
  <c r="W260" i="24" s="1"/>
  <c r="U258" i="24"/>
  <c r="T258" i="24" s="1"/>
  <c r="S258" i="24" s="1"/>
  <c r="R258" i="24" s="1"/>
  <c r="P258" i="24" s="1"/>
  <c r="V258" i="24" s="1"/>
  <c r="B258" i="24" s="1"/>
  <c r="U256" i="24"/>
  <c r="T256" i="24" s="1"/>
  <c r="S256" i="24" s="1"/>
  <c r="R256" i="24" s="1"/>
  <c r="P256" i="24" s="1"/>
  <c r="V256" i="24" s="1"/>
  <c r="B256" i="24" s="1"/>
  <c r="W256" i="24" s="1"/>
  <c r="U254" i="24"/>
  <c r="T254" i="24" s="1"/>
  <c r="S254" i="24" s="1"/>
  <c r="R254" i="24" s="1"/>
  <c r="P254" i="24" s="1"/>
  <c r="V254" i="24" s="1"/>
  <c r="B254" i="24" s="1"/>
  <c r="U252" i="24"/>
  <c r="T252" i="24" s="1"/>
  <c r="S252" i="24" s="1"/>
  <c r="R252" i="24" s="1"/>
  <c r="P252" i="24" s="1"/>
  <c r="V252" i="24" s="1"/>
  <c r="B252" i="24" s="1"/>
  <c r="U250" i="24"/>
  <c r="T250" i="24" s="1"/>
  <c r="S250" i="24" s="1"/>
  <c r="R250" i="24" s="1"/>
  <c r="P250" i="24" s="1"/>
  <c r="V250" i="24" s="1"/>
  <c r="B250" i="24" s="1"/>
  <c r="D250" i="24" s="1"/>
  <c r="E250" i="24" s="1"/>
  <c r="F250" i="24" s="1"/>
  <c r="U248" i="24"/>
  <c r="T248" i="24" s="1"/>
  <c r="S248" i="24" s="1"/>
  <c r="R248" i="24" s="1"/>
  <c r="P248" i="24" s="1"/>
  <c r="V248" i="24" s="1"/>
  <c r="B248" i="24" s="1"/>
  <c r="D248" i="24" s="1"/>
  <c r="E248" i="24" s="1"/>
  <c r="F248" i="24" s="1"/>
  <c r="U246" i="24"/>
  <c r="T246" i="24" s="1"/>
  <c r="S246" i="24" s="1"/>
  <c r="R246" i="24" s="1"/>
  <c r="P246" i="24" s="1"/>
  <c r="V246" i="24" s="1"/>
  <c r="B246" i="24" s="1"/>
  <c r="D246" i="24" s="1"/>
  <c r="E246" i="24" s="1"/>
  <c r="F246" i="24" s="1"/>
  <c r="U244" i="24"/>
  <c r="T244" i="24" s="1"/>
  <c r="S244" i="24" s="1"/>
  <c r="R244" i="24" s="1"/>
  <c r="P244" i="24" s="1"/>
  <c r="V244" i="24" s="1"/>
  <c r="B244" i="24" s="1"/>
  <c r="D244" i="24" s="1"/>
  <c r="E244" i="24" s="1"/>
  <c r="F244" i="24" s="1"/>
  <c r="U242" i="24"/>
  <c r="T242" i="24" s="1"/>
  <c r="S242" i="24" s="1"/>
  <c r="R242" i="24" s="1"/>
  <c r="P242" i="24" s="1"/>
  <c r="V242" i="24" s="1"/>
  <c r="B242" i="24" s="1"/>
  <c r="W242" i="24" s="1"/>
  <c r="U240" i="24"/>
  <c r="T240" i="24" s="1"/>
  <c r="S240" i="24" s="1"/>
  <c r="R240" i="24" s="1"/>
  <c r="P240" i="24" s="1"/>
  <c r="V240" i="24" s="1"/>
  <c r="B240" i="24" s="1"/>
  <c r="D240" i="24" s="1"/>
  <c r="E240" i="24" s="1"/>
  <c r="F240" i="24" s="1"/>
  <c r="U238" i="24"/>
  <c r="T238" i="24" s="1"/>
  <c r="S238" i="24" s="1"/>
  <c r="R238" i="24" s="1"/>
  <c r="P238" i="24" s="1"/>
  <c r="V238" i="24" s="1"/>
  <c r="B238" i="24" s="1"/>
  <c r="D238" i="24" s="1"/>
  <c r="E238" i="24" s="1"/>
  <c r="F238" i="24" s="1"/>
  <c r="U236" i="24"/>
  <c r="T236" i="24" s="1"/>
  <c r="S236" i="24" s="1"/>
  <c r="R236" i="24" s="1"/>
  <c r="P236" i="24" s="1"/>
  <c r="V236" i="24" s="1"/>
  <c r="B236" i="24" s="1"/>
  <c r="U234" i="24"/>
  <c r="T234" i="24" s="1"/>
  <c r="S234" i="24" s="1"/>
  <c r="R234" i="24" s="1"/>
  <c r="P234" i="24" s="1"/>
  <c r="V234" i="24" s="1"/>
  <c r="B234" i="24" s="1"/>
  <c r="D234" i="24" s="1"/>
  <c r="E234" i="24" s="1"/>
  <c r="F234" i="24" s="1"/>
  <c r="U232" i="24"/>
  <c r="T232" i="24" s="1"/>
  <c r="S232" i="24" s="1"/>
  <c r="R232" i="24" s="1"/>
  <c r="P232" i="24" s="1"/>
  <c r="V232" i="24" s="1"/>
  <c r="B232" i="24" s="1"/>
  <c r="U230" i="24"/>
  <c r="T230" i="24" s="1"/>
  <c r="S230" i="24" s="1"/>
  <c r="R230" i="24" s="1"/>
  <c r="P230" i="24" s="1"/>
  <c r="V230" i="24" s="1"/>
  <c r="B230" i="24" s="1"/>
  <c r="D230" i="24" s="1"/>
  <c r="E230" i="24" s="1"/>
  <c r="F230" i="24" s="1"/>
  <c r="U228" i="24"/>
  <c r="T228" i="24" s="1"/>
  <c r="S228" i="24" s="1"/>
  <c r="R228" i="24" s="1"/>
  <c r="P228" i="24" s="1"/>
  <c r="V228" i="24" s="1"/>
  <c r="B228" i="24" s="1"/>
  <c r="D228" i="24" s="1"/>
  <c r="E228" i="24" s="1"/>
  <c r="F228" i="24" s="1"/>
  <c r="U226" i="24"/>
  <c r="T226" i="24" s="1"/>
  <c r="S226" i="24" s="1"/>
  <c r="R226" i="24" s="1"/>
  <c r="P226" i="24" s="1"/>
  <c r="V226" i="24" s="1"/>
  <c r="B226" i="24" s="1"/>
  <c r="W226" i="24" s="1"/>
  <c r="U224" i="24"/>
  <c r="T224" i="24" s="1"/>
  <c r="S224" i="24" s="1"/>
  <c r="R224" i="24" s="1"/>
  <c r="P224" i="24" s="1"/>
  <c r="V224" i="24" s="1"/>
  <c r="B224" i="24" s="1"/>
  <c r="D224" i="24" s="1"/>
  <c r="E224" i="24" s="1"/>
  <c r="F224" i="24" s="1"/>
  <c r="U222" i="24"/>
  <c r="T222" i="24" s="1"/>
  <c r="U220" i="24"/>
  <c r="T220" i="24" s="1"/>
  <c r="S220" i="24" s="1"/>
  <c r="R220" i="24" s="1"/>
  <c r="P220" i="24" s="1"/>
  <c r="V220" i="24" s="1"/>
  <c r="B220" i="24" s="1"/>
  <c r="W220" i="24" s="1"/>
  <c r="U218" i="24"/>
  <c r="T218" i="24" s="1"/>
  <c r="S218" i="24" s="1"/>
  <c r="R218" i="24" s="1"/>
  <c r="P218" i="24" s="1"/>
  <c r="V218" i="24" s="1"/>
  <c r="B218" i="24" s="1"/>
  <c r="U216" i="24"/>
  <c r="T216" i="24" s="1"/>
  <c r="S216" i="24" s="1"/>
  <c r="R216" i="24" s="1"/>
  <c r="P216" i="24" s="1"/>
  <c r="V216" i="24" s="1"/>
  <c r="B216" i="24" s="1"/>
  <c r="D216" i="24" s="1"/>
  <c r="E216" i="24" s="1"/>
  <c r="F216" i="24" s="1"/>
  <c r="U214" i="24"/>
  <c r="T214" i="24" s="1"/>
  <c r="S214" i="24" s="1"/>
  <c r="R214" i="24" s="1"/>
  <c r="P214" i="24" s="1"/>
  <c r="V214" i="24" s="1"/>
  <c r="B214" i="24" s="1"/>
  <c r="U212" i="24"/>
  <c r="T212" i="24" s="1"/>
  <c r="S212" i="24" s="1"/>
  <c r="R212" i="24" s="1"/>
  <c r="P212" i="24" s="1"/>
  <c r="V212" i="24" s="1"/>
  <c r="B212" i="24" s="1"/>
  <c r="W212" i="24" s="1"/>
  <c r="U210" i="24"/>
  <c r="T210" i="24" s="1"/>
  <c r="S210" i="24" s="1"/>
  <c r="R210" i="24" s="1"/>
  <c r="P210" i="24" s="1"/>
  <c r="U208" i="24"/>
  <c r="T208" i="24" s="1"/>
  <c r="S208" i="24" s="1"/>
  <c r="R208" i="24" s="1"/>
  <c r="P208" i="24" s="1"/>
  <c r="V208" i="24" s="1"/>
  <c r="B208" i="24" s="1"/>
  <c r="D208" i="24" s="1"/>
  <c r="E208" i="24" s="1"/>
  <c r="F208" i="24" s="1"/>
  <c r="U206" i="24"/>
  <c r="T206" i="24" s="1"/>
  <c r="S206" i="24" s="1"/>
  <c r="R206" i="24" s="1"/>
  <c r="P206" i="24" s="1"/>
  <c r="V206" i="24" s="1"/>
  <c r="B206" i="24" s="1"/>
  <c r="W206" i="24" s="1"/>
  <c r="U204" i="24"/>
  <c r="T204" i="24" s="1"/>
  <c r="U202" i="24"/>
  <c r="T202" i="24" s="1"/>
  <c r="S202" i="24" s="1"/>
  <c r="R202" i="24" s="1"/>
  <c r="P202" i="24" s="1"/>
  <c r="V202" i="24" s="1"/>
  <c r="B202" i="24" s="1"/>
  <c r="W202" i="24" s="1"/>
  <c r="U200" i="24"/>
  <c r="T200" i="24" s="1"/>
  <c r="S200" i="24" s="1"/>
  <c r="R200" i="24" s="1"/>
  <c r="P200" i="24" s="1"/>
  <c r="V200" i="24" s="1"/>
  <c r="U198" i="24"/>
  <c r="T198" i="24" s="1"/>
  <c r="S198" i="24" s="1"/>
  <c r="R198" i="24" s="1"/>
  <c r="P198" i="24" s="1"/>
  <c r="V198" i="24" s="1"/>
  <c r="B198" i="24" s="1"/>
  <c r="W198" i="24" s="1"/>
  <c r="U196" i="24"/>
  <c r="T196" i="24" s="1"/>
  <c r="S196" i="24" s="1"/>
  <c r="R196" i="24" s="1"/>
  <c r="P196" i="24" s="1"/>
  <c r="V196" i="24" s="1"/>
  <c r="B196" i="24" s="1"/>
  <c r="W196" i="24" s="1"/>
  <c r="U194" i="24"/>
  <c r="T194" i="24" s="1"/>
  <c r="S194" i="24" s="1"/>
  <c r="R194" i="24" s="1"/>
  <c r="P194" i="24" s="1"/>
  <c r="V194" i="24" s="1"/>
  <c r="B194" i="24" s="1"/>
  <c r="W194" i="24" s="1"/>
  <c r="U192" i="24"/>
  <c r="T192" i="24" s="1"/>
  <c r="S192" i="24" s="1"/>
  <c r="R192" i="24" s="1"/>
  <c r="P192" i="24" s="1"/>
  <c r="V192" i="24" s="1"/>
  <c r="B192" i="24" s="1"/>
  <c r="W192" i="24" s="1"/>
  <c r="U190" i="24"/>
  <c r="T190" i="24" s="1"/>
  <c r="S190" i="24" s="1"/>
  <c r="R190" i="24" s="1"/>
  <c r="P190" i="24" s="1"/>
  <c r="V190" i="24" s="1"/>
  <c r="B190" i="24" s="1"/>
  <c r="D190" i="24" s="1"/>
  <c r="E190" i="24" s="1"/>
  <c r="F190" i="24" s="1"/>
  <c r="U188" i="24"/>
  <c r="T188" i="24" s="1"/>
  <c r="S188" i="24" s="1"/>
  <c r="R188" i="24" s="1"/>
  <c r="P188" i="24" s="1"/>
  <c r="V188" i="24" s="1"/>
  <c r="B188" i="24" s="1"/>
  <c r="W188" i="24" s="1"/>
  <c r="U186" i="24"/>
  <c r="T186" i="24" s="1"/>
  <c r="S186" i="24" s="1"/>
  <c r="R186" i="24" s="1"/>
  <c r="P186" i="24" s="1"/>
  <c r="V186" i="24" s="1"/>
  <c r="B186" i="24" s="1"/>
  <c r="D186" i="24" s="1"/>
  <c r="E186" i="24" s="1"/>
  <c r="F186" i="24" s="1"/>
  <c r="U184" i="24"/>
  <c r="T184" i="24" s="1"/>
  <c r="S184" i="24" s="1"/>
  <c r="R184" i="24" s="1"/>
  <c r="P184" i="24" s="1"/>
  <c r="V184" i="24" s="1"/>
  <c r="B184" i="24" s="1"/>
  <c r="D184" i="24" s="1"/>
  <c r="E184" i="24" s="1"/>
  <c r="F184" i="24" s="1"/>
  <c r="U182" i="24"/>
  <c r="T182" i="24" s="1"/>
  <c r="S182" i="24" s="1"/>
  <c r="R182" i="24" s="1"/>
  <c r="P182" i="24" s="1"/>
  <c r="V182" i="24" s="1"/>
  <c r="B182" i="24" s="1"/>
  <c r="U180" i="24"/>
  <c r="T180" i="24" s="1"/>
  <c r="S180" i="24" s="1"/>
  <c r="R180" i="24" s="1"/>
  <c r="P180" i="24" s="1"/>
  <c r="AH61" i="7" s="1"/>
  <c r="U178" i="24"/>
  <c r="T178" i="24" s="1"/>
  <c r="S178" i="24" s="1"/>
  <c r="R178" i="24" s="1"/>
  <c r="P178" i="24" s="1"/>
  <c r="V178" i="24" s="1"/>
  <c r="B178" i="24" s="1"/>
  <c r="W178" i="24" s="1"/>
  <c r="U176" i="24"/>
  <c r="T176" i="24" s="1"/>
  <c r="S176" i="24" s="1"/>
  <c r="R176" i="24" s="1"/>
  <c r="P176" i="24" s="1"/>
  <c r="V176" i="24" s="1"/>
  <c r="B176" i="24" s="1"/>
  <c r="D176" i="24" s="1"/>
  <c r="E176" i="24" s="1"/>
  <c r="F176" i="24" s="1"/>
  <c r="U174" i="24"/>
  <c r="T174" i="24" s="1"/>
  <c r="S174" i="24" s="1"/>
  <c r="R174" i="24" s="1"/>
  <c r="P174" i="24" s="1"/>
  <c r="V174" i="24" s="1"/>
  <c r="B174" i="24" s="1"/>
  <c r="U172" i="24"/>
  <c r="T172" i="24" s="1"/>
  <c r="S172" i="24" s="1"/>
  <c r="R172" i="24" s="1"/>
  <c r="P172" i="24" s="1"/>
  <c r="V172" i="24" s="1"/>
  <c r="B172" i="24" s="1"/>
  <c r="D172" i="24" s="1"/>
  <c r="E172" i="24" s="1"/>
  <c r="F172" i="24" s="1"/>
  <c r="U170" i="24"/>
  <c r="T170" i="24" s="1"/>
  <c r="S170" i="24" s="1"/>
  <c r="R170" i="24" s="1"/>
  <c r="P170" i="24" s="1"/>
  <c r="V170" i="24" s="1"/>
  <c r="B170" i="24" s="1"/>
  <c r="W170" i="24" s="1"/>
  <c r="U168" i="24"/>
  <c r="T168" i="24" s="1"/>
  <c r="S168" i="24" s="1"/>
  <c r="R168" i="24" s="1"/>
  <c r="P168" i="24" s="1"/>
  <c r="V168" i="24" s="1"/>
  <c r="B168" i="24" s="1"/>
  <c r="D168" i="24" s="1"/>
  <c r="E168" i="24" s="1"/>
  <c r="F168" i="24" s="1"/>
  <c r="U166" i="24"/>
  <c r="T166" i="24" s="1"/>
  <c r="S166" i="24" s="1"/>
  <c r="R166" i="24" s="1"/>
  <c r="P166" i="24" s="1"/>
  <c r="V166" i="24" s="1"/>
  <c r="B166" i="24" s="1"/>
  <c r="U164" i="24"/>
  <c r="T164" i="24" s="1"/>
  <c r="S164" i="24" s="1"/>
  <c r="R164" i="24" s="1"/>
  <c r="P164" i="24" s="1"/>
  <c r="V164" i="24" s="1"/>
  <c r="B164" i="24" s="1"/>
  <c r="U162" i="24"/>
  <c r="T162" i="24" s="1"/>
  <c r="S162" i="24" s="1"/>
  <c r="R162" i="24" s="1"/>
  <c r="P162" i="24" s="1"/>
  <c r="V162" i="24" s="1"/>
  <c r="B162" i="24" s="1"/>
  <c r="W162" i="24" s="1"/>
  <c r="U160" i="24"/>
  <c r="T160" i="24" s="1"/>
  <c r="S160" i="24" s="1"/>
  <c r="R160" i="24" s="1"/>
  <c r="P160" i="24" s="1"/>
  <c r="V160" i="24" s="1"/>
  <c r="B160" i="24" s="1"/>
  <c r="D160" i="24" s="1"/>
  <c r="E160" i="24" s="1"/>
  <c r="F160" i="24" s="1"/>
  <c r="U158" i="24"/>
  <c r="T158" i="24" s="1"/>
  <c r="U156" i="24"/>
  <c r="T156" i="24" s="1"/>
  <c r="S156" i="24" s="1"/>
  <c r="R156" i="24" s="1"/>
  <c r="P156" i="24" s="1"/>
  <c r="V156" i="24" s="1"/>
  <c r="B156" i="24" s="1"/>
  <c r="W156" i="24" s="1"/>
  <c r="U154" i="24"/>
  <c r="T154" i="24" s="1"/>
  <c r="S154" i="24" s="1"/>
  <c r="R154" i="24" s="1"/>
  <c r="P154" i="24" s="1"/>
  <c r="V154" i="24" s="1"/>
  <c r="B154" i="24" s="1"/>
  <c r="U152" i="24"/>
  <c r="T152" i="24" s="1"/>
  <c r="S152" i="24" s="1"/>
  <c r="R152" i="24" s="1"/>
  <c r="P152" i="24" s="1"/>
  <c r="V152" i="24" s="1"/>
  <c r="B152" i="24" s="1"/>
  <c r="U150" i="24"/>
  <c r="T150" i="24" s="1"/>
  <c r="S150" i="24" s="1"/>
  <c r="R150" i="24" s="1"/>
  <c r="P150" i="24" s="1"/>
  <c r="V150" i="24" s="1"/>
  <c r="B150" i="24" s="1"/>
  <c r="D150" i="24" s="1"/>
  <c r="E150" i="24" s="1"/>
  <c r="F150" i="24" s="1"/>
  <c r="U148" i="24"/>
  <c r="T148" i="24" s="1"/>
  <c r="S148" i="24" s="1"/>
  <c r="R148" i="24" s="1"/>
  <c r="P148" i="24" s="1"/>
  <c r="V148" i="24" s="1"/>
  <c r="B148" i="24" s="1"/>
  <c r="D148" i="24" s="1"/>
  <c r="E148" i="24" s="1"/>
  <c r="F148" i="24" s="1"/>
  <c r="U146" i="24"/>
  <c r="T146" i="24" s="1"/>
  <c r="S146" i="24" s="1"/>
  <c r="R146" i="24" s="1"/>
  <c r="P146" i="24" s="1"/>
  <c r="V146" i="24" s="1"/>
  <c r="B146" i="24" s="1"/>
  <c r="U144" i="24"/>
  <c r="T144" i="24" s="1"/>
  <c r="S144" i="24" s="1"/>
  <c r="R144" i="24" s="1"/>
  <c r="P144" i="24" s="1"/>
  <c r="V144" i="24" s="1"/>
  <c r="B144" i="24" s="1"/>
  <c r="U142" i="24"/>
  <c r="T142" i="24" s="1"/>
  <c r="S142" i="24" s="1"/>
  <c r="R142" i="24" s="1"/>
  <c r="P142" i="24" s="1"/>
  <c r="V142" i="24" s="1"/>
  <c r="B142" i="24" s="1"/>
  <c r="D142" i="24" s="1"/>
  <c r="E142" i="24" s="1"/>
  <c r="F142" i="24" s="1"/>
  <c r="U140" i="24"/>
  <c r="T140" i="24" s="1"/>
  <c r="S140" i="24" s="1"/>
  <c r="R140" i="24" s="1"/>
  <c r="P140" i="24" s="1"/>
  <c r="V140" i="24" s="1"/>
  <c r="B140" i="24" s="1"/>
  <c r="D140" i="24" s="1"/>
  <c r="E140" i="24" s="1"/>
  <c r="F140" i="24" s="1"/>
  <c r="U138" i="24"/>
  <c r="T138" i="24" s="1"/>
  <c r="S138" i="24" s="1"/>
  <c r="R138" i="24" s="1"/>
  <c r="P138" i="24" s="1"/>
  <c r="V138" i="24" s="1"/>
  <c r="B138" i="24" s="1"/>
  <c r="D138" i="24" s="1"/>
  <c r="E138" i="24" s="1"/>
  <c r="F138" i="24" s="1"/>
  <c r="U136" i="24"/>
  <c r="T136" i="24" s="1"/>
  <c r="S136" i="24" s="1"/>
  <c r="R136" i="24" s="1"/>
  <c r="P136" i="24" s="1"/>
  <c r="V136" i="24" s="1"/>
  <c r="B136" i="24" s="1"/>
  <c r="D136" i="24" s="1"/>
  <c r="E136" i="24" s="1"/>
  <c r="F136" i="24" s="1"/>
  <c r="U134" i="24"/>
  <c r="T134" i="24" s="1"/>
  <c r="S134" i="24" s="1"/>
  <c r="R134" i="24" s="1"/>
  <c r="P134" i="24" s="1"/>
  <c r="V134" i="24" s="1"/>
  <c r="B134" i="24" s="1"/>
  <c r="U132" i="24"/>
  <c r="T132" i="24" s="1"/>
  <c r="S132" i="24" s="1"/>
  <c r="R132" i="24" s="1"/>
  <c r="P132" i="24" s="1"/>
  <c r="V132" i="24" s="1"/>
  <c r="B132" i="24" s="1"/>
  <c r="U130" i="24"/>
  <c r="T130" i="24" s="1"/>
  <c r="S130" i="24" s="1"/>
  <c r="R130" i="24" s="1"/>
  <c r="P130" i="24" s="1"/>
  <c r="V130" i="24" s="1"/>
  <c r="B130" i="24" s="1"/>
  <c r="D130" i="24" s="1"/>
  <c r="E130" i="24" s="1"/>
  <c r="F130" i="24" s="1"/>
  <c r="U128" i="24"/>
  <c r="T128" i="24" s="1"/>
  <c r="S128" i="24" s="1"/>
  <c r="R128" i="24" s="1"/>
  <c r="P128" i="24" s="1"/>
  <c r="V128" i="24" s="1"/>
  <c r="B128" i="24" s="1"/>
  <c r="W128" i="24" s="1"/>
  <c r="U126" i="24"/>
  <c r="T126" i="24" s="1"/>
  <c r="S126" i="24" s="1"/>
  <c r="R126" i="24" s="1"/>
  <c r="P126" i="24" s="1"/>
  <c r="V126" i="24" s="1"/>
  <c r="B126" i="24" s="1"/>
  <c r="D126" i="24" s="1"/>
  <c r="E126" i="24" s="1"/>
  <c r="F126" i="24" s="1"/>
  <c r="U124" i="24"/>
  <c r="T124" i="24" s="1"/>
  <c r="S124" i="24" s="1"/>
  <c r="R124" i="24" s="1"/>
  <c r="P124" i="24" s="1"/>
  <c r="V124" i="24" s="1"/>
  <c r="B124" i="24" s="1"/>
  <c r="W124" i="24" s="1"/>
  <c r="U122" i="24"/>
  <c r="T122" i="24" s="1"/>
  <c r="S122" i="24" s="1"/>
  <c r="R122" i="24" s="1"/>
  <c r="P122" i="24" s="1"/>
  <c r="V122" i="24" s="1"/>
  <c r="B122" i="24" s="1"/>
  <c r="W122" i="24" s="1"/>
  <c r="U120" i="24"/>
  <c r="T120" i="24" s="1"/>
  <c r="S120" i="24" s="1"/>
  <c r="R120" i="24" s="1"/>
  <c r="P120" i="24" s="1"/>
  <c r="V120" i="24" s="1"/>
  <c r="B120" i="24" s="1"/>
  <c r="D120" i="24" s="1"/>
  <c r="E120" i="24" s="1"/>
  <c r="F120" i="24" s="1"/>
  <c r="U118" i="24"/>
  <c r="T118" i="24" s="1"/>
  <c r="S118" i="24" s="1"/>
  <c r="R118" i="24" s="1"/>
  <c r="P118" i="24" s="1"/>
  <c r="V118" i="24" s="1"/>
  <c r="B118" i="24" s="1"/>
  <c r="W118" i="24" s="1"/>
  <c r="U116" i="24"/>
  <c r="T116" i="24" s="1"/>
  <c r="S116" i="24" s="1"/>
  <c r="R116" i="24" s="1"/>
  <c r="P116" i="24" s="1"/>
  <c r="V116" i="24" s="1"/>
  <c r="B116" i="24" s="1"/>
  <c r="U114" i="24"/>
  <c r="T114" i="24" s="1"/>
  <c r="S114" i="24" s="1"/>
  <c r="R114" i="24" s="1"/>
  <c r="P114" i="24" s="1"/>
  <c r="V114" i="24" s="1"/>
  <c r="B114" i="24" s="1"/>
  <c r="D114" i="24" s="1"/>
  <c r="E114" i="24" s="1"/>
  <c r="F114" i="24" s="1"/>
  <c r="U112" i="24"/>
  <c r="T112" i="24" s="1"/>
  <c r="S112" i="24" s="1"/>
  <c r="R112" i="24" s="1"/>
  <c r="P112" i="24" s="1"/>
  <c r="V112" i="24" s="1"/>
  <c r="B112" i="24" s="1"/>
  <c r="D112" i="24" s="1"/>
  <c r="E112" i="24" s="1"/>
  <c r="F112" i="24" s="1"/>
  <c r="U110" i="24"/>
  <c r="T110" i="24" s="1"/>
  <c r="S110" i="24" s="1"/>
  <c r="R110" i="24" s="1"/>
  <c r="P110" i="24" s="1"/>
  <c r="V110" i="24" s="1"/>
  <c r="B110" i="24" s="1"/>
  <c r="D110" i="24" s="1"/>
  <c r="E110" i="24" s="1"/>
  <c r="F110" i="24" s="1"/>
  <c r="U108" i="24"/>
  <c r="T108" i="24" s="1"/>
  <c r="S108" i="24" s="1"/>
  <c r="R108" i="24" s="1"/>
  <c r="P108" i="24" s="1"/>
  <c r="V108" i="24" s="1"/>
  <c r="B108" i="24" s="1"/>
  <c r="D108" i="24" s="1"/>
  <c r="E108" i="24" s="1"/>
  <c r="F108" i="24" s="1"/>
  <c r="U106" i="24"/>
  <c r="T106" i="24" s="1"/>
  <c r="S106" i="24" s="1"/>
  <c r="R106" i="24" s="1"/>
  <c r="P106" i="24" s="1"/>
  <c r="V106" i="24" s="1"/>
  <c r="B106" i="24" s="1"/>
  <c r="D106" i="24" s="1"/>
  <c r="E106" i="24" s="1"/>
  <c r="F106" i="24" s="1"/>
  <c r="U104" i="24"/>
  <c r="T104" i="24" s="1"/>
  <c r="S104" i="24" s="1"/>
  <c r="R104" i="24" s="1"/>
  <c r="P104" i="24" s="1"/>
  <c r="V104" i="24" s="1"/>
  <c r="B104" i="24" s="1"/>
  <c r="W104" i="24" s="1"/>
  <c r="U102" i="24"/>
  <c r="T102" i="24" s="1"/>
  <c r="S102" i="24" s="1"/>
  <c r="R102" i="24" s="1"/>
  <c r="P102" i="24" s="1"/>
  <c r="V102" i="24" s="1"/>
  <c r="B102" i="24" s="1"/>
  <c r="D102" i="24" s="1"/>
  <c r="E102" i="24" s="1"/>
  <c r="F102" i="24" s="1"/>
  <c r="U100" i="24"/>
  <c r="T100" i="24" s="1"/>
  <c r="S100" i="24" s="1"/>
  <c r="R100" i="24" s="1"/>
  <c r="P100" i="24" s="1"/>
  <c r="V100" i="24" s="1"/>
  <c r="B100" i="24" s="1"/>
  <c r="U98" i="24"/>
  <c r="T98" i="24" s="1"/>
  <c r="U96" i="24"/>
  <c r="T96" i="24" s="1"/>
  <c r="S96" i="24" s="1"/>
  <c r="R96" i="24" s="1"/>
  <c r="P96" i="24" s="1"/>
  <c r="V96" i="24" s="1"/>
  <c r="B96" i="24" s="1"/>
  <c r="D96" i="24" s="1"/>
  <c r="E96" i="24" s="1"/>
  <c r="F96" i="24" s="1"/>
  <c r="U94" i="24"/>
  <c r="T94" i="24" s="1"/>
  <c r="S94" i="24" s="1"/>
  <c r="R94" i="24" s="1"/>
  <c r="P94" i="24" s="1"/>
  <c r="V94" i="24" s="1"/>
  <c r="B94" i="24" s="1"/>
  <c r="W94" i="24" s="1"/>
  <c r="U92" i="24"/>
  <c r="T92" i="24" s="1"/>
  <c r="S92" i="24" s="1"/>
  <c r="R92" i="24" s="1"/>
  <c r="P92" i="24" s="1"/>
  <c r="V92" i="24" s="1"/>
  <c r="B92" i="24" s="1"/>
  <c r="W92" i="24" s="1"/>
  <c r="U90" i="24"/>
  <c r="T90" i="24" s="1"/>
  <c r="S90" i="24" s="1"/>
  <c r="R90" i="24" s="1"/>
  <c r="P90" i="24" s="1"/>
  <c r="V90" i="24" s="1"/>
  <c r="B90" i="24" s="1"/>
  <c r="U88" i="24"/>
  <c r="T88" i="24" s="1"/>
  <c r="S88" i="24" s="1"/>
  <c r="R88" i="24" s="1"/>
  <c r="P88" i="24" s="1"/>
  <c r="U86" i="24"/>
  <c r="T86" i="24" s="1"/>
  <c r="S86" i="24" s="1"/>
  <c r="R86" i="24" s="1"/>
  <c r="P86" i="24" s="1"/>
  <c r="V86" i="24" s="1"/>
  <c r="B86" i="24" s="1"/>
  <c r="D86" i="24" s="1"/>
  <c r="E86" i="24" s="1"/>
  <c r="F86" i="24" s="1"/>
  <c r="U84" i="24"/>
  <c r="T84" i="24" s="1"/>
  <c r="S84" i="24" s="1"/>
  <c r="R84" i="24" s="1"/>
  <c r="P84" i="24" s="1"/>
  <c r="V84" i="24" s="1"/>
  <c r="B84" i="24" s="1"/>
  <c r="D84" i="24" s="1"/>
  <c r="E84" i="24" s="1"/>
  <c r="F84" i="24" s="1"/>
  <c r="U82" i="24"/>
  <c r="T82" i="24" s="1"/>
  <c r="S82" i="24" s="1"/>
  <c r="R82" i="24" s="1"/>
  <c r="P82" i="24" s="1"/>
  <c r="V82" i="24" s="1"/>
  <c r="B82" i="24" s="1"/>
  <c r="D82" i="24" s="1"/>
  <c r="E82" i="24" s="1"/>
  <c r="F82" i="24" s="1"/>
  <c r="U80" i="24"/>
  <c r="T80" i="24" s="1"/>
  <c r="S80" i="24" s="1"/>
  <c r="R80" i="24" s="1"/>
  <c r="P80" i="24" s="1"/>
  <c r="V80" i="24" s="1"/>
  <c r="B80" i="24" s="1"/>
  <c r="W80" i="24" s="1"/>
  <c r="U78" i="24"/>
  <c r="T78" i="24" s="1"/>
  <c r="S78" i="24" s="1"/>
  <c r="R78" i="24" s="1"/>
  <c r="P78" i="24" s="1"/>
  <c r="V78" i="24" s="1"/>
  <c r="B78" i="24" s="1"/>
  <c r="U76" i="24"/>
  <c r="T76" i="24" s="1"/>
  <c r="S76" i="24" s="1"/>
  <c r="R76" i="24" s="1"/>
  <c r="P76" i="24" s="1"/>
  <c r="V76" i="24" s="1"/>
  <c r="B76" i="24" s="1"/>
  <c r="U74" i="24"/>
  <c r="T74" i="24" s="1"/>
  <c r="S74" i="24" s="1"/>
  <c r="R74" i="24" s="1"/>
  <c r="P74" i="24" s="1"/>
  <c r="V74" i="24" s="1"/>
  <c r="U72" i="24"/>
  <c r="T72" i="24" s="1"/>
  <c r="S72" i="24" s="1"/>
  <c r="R72" i="24" s="1"/>
  <c r="P72" i="24" s="1"/>
  <c r="V72" i="24" s="1"/>
  <c r="B72" i="24" s="1"/>
  <c r="D72" i="24" s="1"/>
  <c r="E72" i="24" s="1"/>
  <c r="F72" i="24" s="1"/>
  <c r="U70" i="24"/>
  <c r="T70" i="24" s="1"/>
  <c r="U68" i="24"/>
  <c r="T68" i="24" s="1"/>
  <c r="S68" i="24" s="1"/>
  <c r="R68" i="24" s="1"/>
  <c r="P68" i="24" s="1"/>
  <c r="V68" i="24" s="1"/>
  <c r="B68" i="24" s="1"/>
  <c r="D68" i="24" s="1"/>
  <c r="E68" i="24" s="1"/>
  <c r="F68" i="24" s="1"/>
  <c r="U66" i="24"/>
  <c r="T66" i="24" s="1"/>
  <c r="S66" i="24" s="1"/>
  <c r="R66" i="24" s="1"/>
  <c r="P66" i="24" s="1"/>
  <c r="V66" i="24" s="1"/>
  <c r="B66" i="24" s="1"/>
  <c r="D66" i="24" s="1"/>
  <c r="E66" i="24" s="1"/>
  <c r="F66" i="24" s="1"/>
  <c r="U64" i="24"/>
  <c r="T64" i="24" s="1"/>
  <c r="S64" i="24" s="1"/>
  <c r="R64" i="24" s="1"/>
  <c r="P64" i="24" s="1"/>
  <c r="V64" i="24" s="1"/>
  <c r="B64" i="24" s="1"/>
  <c r="U62" i="24"/>
  <c r="T62" i="24" s="1"/>
  <c r="S62" i="24" s="1"/>
  <c r="R62" i="24" s="1"/>
  <c r="P62" i="24" s="1"/>
  <c r="V62" i="24" s="1"/>
  <c r="B62" i="24" s="1"/>
  <c r="U60" i="24"/>
  <c r="T60" i="24" s="1"/>
  <c r="S60" i="24" s="1"/>
  <c r="R60" i="24" s="1"/>
  <c r="P60" i="24" s="1"/>
  <c r="AH57" i="7" s="1"/>
  <c r="U58" i="24"/>
  <c r="T58" i="24" s="1"/>
  <c r="S58" i="24" s="1"/>
  <c r="R58" i="24" s="1"/>
  <c r="P58" i="24" s="1"/>
  <c r="V58" i="24" s="1"/>
  <c r="B58" i="24" s="1"/>
  <c r="D58" i="24" s="1"/>
  <c r="E58" i="24" s="1"/>
  <c r="F58" i="24" s="1"/>
  <c r="U56" i="24"/>
  <c r="T56" i="24" s="1"/>
  <c r="S56" i="24" s="1"/>
  <c r="R56" i="24" s="1"/>
  <c r="P56" i="24" s="1"/>
  <c r="V56" i="24" s="1"/>
  <c r="B56" i="24" s="1"/>
  <c r="D56" i="24" s="1"/>
  <c r="E56" i="24" s="1"/>
  <c r="F56" i="24" s="1"/>
  <c r="U54" i="24"/>
  <c r="T54" i="24" s="1"/>
  <c r="S54" i="24" s="1"/>
  <c r="R54" i="24" s="1"/>
  <c r="P54" i="24" s="1"/>
  <c r="V54" i="24" s="1"/>
  <c r="B54" i="24" s="1"/>
  <c r="W54" i="24" s="1"/>
  <c r="U52" i="24"/>
  <c r="T52" i="24" s="1"/>
  <c r="S52" i="24" s="1"/>
  <c r="R52" i="24" s="1"/>
  <c r="P52" i="24" s="1"/>
  <c r="V52" i="24" s="1"/>
  <c r="B52" i="24" s="1"/>
  <c r="U50" i="24"/>
  <c r="T50" i="24" s="1"/>
  <c r="S50" i="24" s="1"/>
  <c r="R50" i="24" s="1"/>
  <c r="P50" i="24" s="1"/>
  <c r="V50" i="24" s="1"/>
  <c r="B50" i="24" s="1"/>
  <c r="U48" i="24"/>
  <c r="T48" i="24" s="1"/>
  <c r="S48" i="24" s="1"/>
  <c r="R48" i="24" s="1"/>
  <c r="P48" i="24" s="1"/>
  <c r="V48" i="24" s="1"/>
  <c r="B48" i="24" s="1"/>
  <c r="D48" i="24" s="1"/>
  <c r="E48" i="24" s="1"/>
  <c r="F48" i="24" s="1"/>
  <c r="U46" i="24"/>
  <c r="T46" i="24" s="1"/>
  <c r="S46" i="24" s="1"/>
  <c r="R46" i="24" s="1"/>
  <c r="P46" i="24" s="1"/>
  <c r="V46" i="24" s="1"/>
  <c r="B46" i="24" s="1"/>
  <c r="U44" i="24"/>
  <c r="T44" i="24" s="1"/>
  <c r="S44" i="24" s="1"/>
  <c r="R44" i="24" s="1"/>
  <c r="P44" i="24" s="1"/>
  <c r="V44" i="24" s="1"/>
  <c r="B44" i="24" s="1"/>
  <c r="D44" i="24" s="1"/>
  <c r="E44" i="24" s="1"/>
  <c r="F44" i="24" s="1"/>
  <c r="U42" i="24"/>
  <c r="T42" i="24" s="1"/>
  <c r="S42" i="24" s="1"/>
  <c r="R42" i="24" s="1"/>
  <c r="P42" i="24" s="1"/>
  <c r="V42" i="24" s="1"/>
  <c r="B42" i="24" s="1"/>
  <c r="D42" i="24" s="1"/>
  <c r="E42" i="24" s="1"/>
  <c r="F42" i="24" s="1"/>
  <c r="U40" i="24"/>
  <c r="T40" i="24" s="1"/>
  <c r="S40" i="24" s="1"/>
  <c r="R40" i="24" s="1"/>
  <c r="P40" i="24" s="1"/>
  <c r="V40" i="24" s="1"/>
  <c r="B40" i="24" s="1"/>
  <c r="W40" i="24" s="1"/>
  <c r="U38" i="24"/>
  <c r="T38" i="24" s="1"/>
  <c r="S38" i="24" s="1"/>
  <c r="R38" i="24" s="1"/>
  <c r="P38" i="24" s="1"/>
  <c r="V38" i="24" s="1"/>
  <c r="B38" i="24" s="1"/>
  <c r="U36" i="24"/>
  <c r="T36" i="24" s="1"/>
  <c r="S36" i="24" s="1"/>
  <c r="R36" i="24" s="1"/>
  <c r="P36" i="24" s="1"/>
  <c r="V36" i="24" s="1"/>
  <c r="B36" i="24" s="1"/>
  <c r="D36" i="24" s="1"/>
  <c r="E36" i="24" s="1"/>
  <c r="F36" i="24" s="1"/>
  <c r="U34" i="24"/>
  <c r="T34" i="24" s="1"/>
  <c r="U32" i="24"/>
  <c r="T32" i="24" s="1"/>
  <c r="S32" i="24" s="1"/>
  <c r="R32" i="24" s="1"/>
  <c r="P32" i="24" s="1"/>
  <c r="V32" i="24" s="1"/>
  <c r="B32" i="24" s="1"/>
  <c r="U30" i="24"/>
  <c r="T30" i="24" s="1"/>
  <c r="S30" i="24" s="1"/>
  <c r="R30" i="24" s="1"/>
  <c r="P30" i="24" s="1"/>
  <c r="V30" i="24" s="1"/>
  <c r="B30" i="24" s="1"/>
  <c r="U28" i="24"/>
  <c r="T28" i="24" s="1"/>
  <c r="S28" i="24" s="1"/>
  <c r="R28" i="24" s="1"/>
  <c r="P28" i="24" s="1"/>
  <c r="V28" i="24" s="1"/>
  <c r="B28" i="24" s="1"/>
  <c r="U26" i="24"/>
  <c r="T26" i="24" s="1"/>
  <c r="S26" i="24" s="1"/>
  <c r="R26" i="24" s="1"/>
  <c r="P26" i="24" s="1"/>
  <c r="V26" i="24" s="1"/>
  <c r="B26" i="24" s="1"/>
  <c r="D26" i="24" s="1"/>
  <c r="E26" i="24" s="1"/>
  <c r="F26" i="24" s="1"/>
  <c r="U25" i="24"/>
  <c r="T25" i="24" s="1"/>
  <c r="S25" i="24" s="1"/>
  <c r="R25" i="24" s="1"/>
  <c r="P25" i="24" s="1"/>
  <c r="V25" i="24" s="1"/>
  <c r="B25" i="24" s="1"/>
  <c r="W25" i="24" s="1"/>
  <c r="U17" i="24"/>
  <c r="T17" i="24" s="1"/>
  <c r="S17" i="24" s="1"/>
  <c r="R17" i="24" s="1"/>
  <c r="P17" i="24" s="1"/>
  <c r="V17" i="24" s="1"/>
  <c r="B17" i="24" s="1"/>
  <c r="W17" i="24" s="1"/>
  <c r="U15" i="24"/>
  <c r="T15" i="24" s="1"/>
  <c r="U23" i="24"/>
  <c r="T23" i="24" s="1"/>
  <c r="S23" i="24" s="1"/>
  <c r="R23" i="24" s="1"/>
  <c r="P23" i="24" s="1"/>
  <c r="V23" i="24" s="1"/>
  <c r="B23" i="24" s="1"/>
  <c r="W23" i="24" s="1"/>
  <c r="U22" i="24"/>
  <c r="T22" i="24" s="1"/>
  <c r="S22" i="24" s="1"/>
  <c r="R22" i="24" s="1"/>
  <c r="P22" i="24" s="1"/>
  <c r="V22" i="24" s="1"/>
  <c r="B22" i="24" s="1"/>
  <c r="D22" i="24" s="1"/>
  <c r="E22" i="24" s="1"/>
  <c r="F22" i="24" s="1"/>
  <c r="U20" i="24"/>
  <c r="T20" i="24" s="1"/>
  <c r="S20" i="24" s="1"/>
  <c r="R20" i="24" s="1"/>
  <c r="P20" i="24" s="1"/>
  <c r="V20" i="24" s="1"/>
  <c r="B20" i="24" s="1"/>
  <c r="D20" i="24" s="1"/>
  <c r="E20" i="24" s="1"/>
  <c r="F20" i="24" s="1"/>
  <c r="AI374" i="24"/>
  <c r="AH374" i="24" s="1"/>
  <c r="AG374" i="24" s="1"/>
  <c r="AF374" i="24" s="1"/>
  <c r="AD374" i="24" s="1"/>
  <c r="AI366" i="24"/>
  <c r="AH366" i="24" s="1"/>
  <c r="AG366" i="24" s="1"/>
  <c r="AF366" i="24" s="1"/>
  <c r="AD366" i="24" s="1"/>
  <c r="AI358" i="24"/>
  <c r="AH358" i="24" s="1"/>
  <c r="AG358" i="24" s="1"/>
  <c r="AF358" i="24" s="1"/>
  <c r="AD358" i="24" s="1"/>
  <c r="AI345" i="24"/>
  <c r="AH345" i="24" s="1"/>
  <c r="AG345" i="24" s="1"/>
  <c r="AF345" i="24" s="1"/>
  <c r="AD345" i="24" s="1"/>
  <c r="AI329" i="24"/>
  <c r="AH329" i="24" s="1"/>
  <c r="AG329" i="24" s="1"/>
  <c r="AF329" i="24" s="1"/>
  <c r="AD329" i="24" s="1"/>
  <c r="AI313" i="24"/>
  <c r="AH313" i="24" s="1"/>
  <c r="AG313" i="24" s="1"/>
  <c r="AF313" i="24" s="1"/>
  <c r="AD313" i="24" s="1"/>
  <c r="AI297" i="24"/>
  <c r="AH297" i="24" s="1"/>
  <c r="AG297" i="24" s="1"/>
  <c r="AF297" i="24" s="1"/>
  <c r="AD297" i="24" s="1"/>
  <c r="AI281" i="24"/>
  <c r="AH281" i="24" s="1"/>
  <c r="AG281" i="24" s="1"/>
  <c r="AF281" i="24" s="1"/>
  <c r="AD281" i="24" s="1"/>
  <c r="AI265" i="24"/>
  <c r="AH265" i="24" s="1"/>
  <c r="AG265" i="24" s="1"/>
  <c r="AF265" i="24" s="1"/>
  <c r="AD265" i="24" s="1"/>
  <c r="AI249" i="24"/>
  <c r="AH249" i="24" s="1"/>
  <c r="AG249" i="24" s="1"/>
  <c r="AF249" i="24" s="1"/>
  <c r="AD249" i="24" s="1"/>
  <c r="AI233" i="24"/>
  <c r="AH233" i="24" s="1"/>
  <c r="AG233" i="24" s="1"/>
  <c r="AF233" i="24" s="1"/>
  <c r="AD233" i="24" s="1"/>
  <c r="AI217" i="24"/>
  <c r="AH217" i="24" s="1"/>
  <c r="AG217" i="24" s="1"/>
  <c r="AF217" i="24" s="1"/>
  <c r="AD217" i="24" s="1"/>
  <c r="AI201" i="24"/>
  <c r="AH201" i="24" s="1"/>
  <c r="AG201" i="24" s="1"/>
  <c r="AF201" i="24" s="1"/>
  <c r="AD201" i="24" s="1"/>
  <c r="AI185" i="24"/>
  <c r="AH185" i="24" s="1"/>
  <c r="AG185" i="24" s="1"/>
  <c r="AF185" i="24" s="1"/>
  <c r="AD185" i="24" s="1"/>
  <c r="AI169" i="24"/>
  <c r="AH169" i="24" s="1"/>
  <c r="AG169" i="24" s="1"/>
  <c r="AF169" i="24" s="1"/>
  <c r="AD169" i="24" s="1"/>
  <c r="AI153" i="24"/>
  <c r="AH153" i="24" s="1"/>
  <c r="AG153" i="24" s="1"/>
  <c r="AF153" i="24" s="1"/>
  <c r="AD153" i="24" s="1"/>
  <c r="AI137" i="24"/>
  <c r="AH137" i="24" s="1"/>
  <c r="AG137" i="24" s="1"/>
  <c r="AF137" i="24" s="1"/>
  <c r="AD137" i="24" s="1"/>
  <c r="AI121" i="24"/>
  <c r="AH121" i="24" s="1"/>
  <c r="AG121" i="24" s="1"/>
  <c r="AF121" i="24" s="1"/>
  <c r="AD121" i="24" s="1"/>
  <c r="AI105" i="24"/>
  <c r="AH105" i="24" s="1"/>
  <c r="AG105" i="24" s="1"/>
  <c r="AF105" i="24" s="1"/>
  <c r="AD105" i="24" s="1"/>
  <c r="AI89" i="24"/>
  <c r="AH89" i="24" s="1"/>
  <c r="AG89" i="24" s="1"/>
  <c r="AF89" i="24" s="1"/>
  <c r="AD89" i="24" s="1"/>
  <c r="AI73" i="24"/>
  <c r="AH73" i="24" s="1"/>
  <c r="AG73" i="24" s="1"/>
  <c r="AF73" i="24" s="1"/>
  <c r="AD73" i="24" s="1"/>
  <c r="AI57" i="24"/>
  <c r="AH57" i="24" s="1"/>
  <c r="AG57" i="24" s="1"/>
  <c r="AF57" i="24" s="1"/>
  <c r="AD57" i="24" s="1"/>
  <c r="AI41" i="24"/>
  <c r="AH41" i="24" s="1"/>
  <c r="AG41" i="24" s="1"/>
  <c r="AF41" i="24" s="1"/>
  <c r="AD41" i="24" s="1"/>
  <c r="AI25" i="24"/>
  <c r="AH25" i="24" s="1"/>
  <c r="AG25" i="24" s="1"/>
  <c r="AF25" i="24" s="1"/>
  <c r="AD25" i="24" s="1"/>
  <c r="H208" i="23"/>
  <c r="J208" i="23" s="1"/>
  <c r="G299" i="23"/>
  <c r="CD299" i="6" s="1"/>
  <c r="H86" i="23"/>
  <c r="I86" i="23" s="1"/>
  <c r="H376" i="23"/>
  <c r="I376" i="23" s="1"/>
  <c r="AA214" i="23"/>
  <c r="Z214" i="23" s="1"/>
  <c r="Y214" i="23" s="1"/>
  <c r="H153" i="23"/>
  <c r="J153" i="23" s="1"/>
  <c r="D88" i="23"/>
  <c r="E88" i="23" s="1"/>
  <c r="F88" i="23" s="1"/>
  <c r="AA88" i="23" s="1"/>
  <c r="Z88" i="23" s="1"/>
  <c r="Y88" i="23" s="1"/>
  <c r="G214" i="23"/>
  <c r="CD214" i="6" s="1"/>
  <c r="Q378" i="25"/>
  <c r="Q347" i="25"/>
  <c r="Q283" i="25"/>
  <c r="Q219" i="25"/>
  <c r="Q155" i="25"/>
  <c r="Q91" i="25"/>
  <c r="G257" i="23"/>
  <c r="CD257" i="6" s="1"/>
  <c r="AA84" i="23"/>
  <c r="Z84" i="23" s="1"/>
  <c r="Y84" i="23" s="1"/>
  <c r="G118" i="23"/>
  <c r="CD118" i="6" s="1"/>
  <c r="H84" i="23"/>
  <c r="J84" i="23" s="1"/>
  <c r="H337" i="23"/>
  <c r="I337" i="23" s="1"/>
  <c r="G198" i="23"/>
  <c r="CD198" i="6" s="1"/>
  <c r="AA26" i="23"/>
  <c r="Z26" i="23" s="1"/>
  <c r="Y26" i="23" s="1"/>
  <c r="H118" i="23"/>
  <c r="I118" i="23" s="1"/>
  <c r="G337" i="23"/>
  <c r="CD337" i="6" s="1"/>
  <c r="H26" i="23"/>
  <c r="J26" i="23" s="1"/>
  <c r="H286" i="23"/>
  <c r="J286" i="23" s="1"/>
  <c r="W302" i="23"/>
  <c r="H113" i="23"/>
  <c r="I113" i="23" s="1"/>
  <c r="G183" i="23"/>
  <c r="CD183" i="6" s="1"/>
  <c r="AA286" i="23"/>
  <c r="Z286" i="23" s="1"/>
  <c r="Y286" i="23" s="1"/>
  <c r="H198" i="23"/>
  <c r="I198" i="23" s="1"/>
  <c r="K68" i="19"/>
  <c r="AA376" i="23"/>
  <c r="Z376" i="23" s="1"/>
  <c r="Y376" i="23" s="1"/>
  <c r="AA51" i="23"/>
  <c r="Z51" i="23" s="1"/>
  <c r="Y51" i="23" s="1"/>
  <c r="G27" i="23"/>
  <c r="CD27" i="6" s="1"/>
  <c r="H51" i="23"/>
  <c r="I51" i="23" s="1"/>
  <c r="AA299" i="23"/>
  <c r="Z299" i="23" s="1"/>
  <c r="Y299" i="23" s="1"/>
  <c r="G251" i="23"/>
  <c r="CD251" i="6" s="1"/>
  <c r="H270" i="23"/>
  <c r="I270" i="23" s="1"/>
  <c r="AA153" i="23"/>
  <c r="Z153" i="23" s="1"/>
  <c r="Y153" i="23" s="1"/>
  <c r="H251" i="23"/>
  <c r="I251" i="23" s="1"/>
  <c r="H27" i="23"/>
  <c r="I27" i="23" s="1"/>
  <c r="G270" i="23"/>
  <c r="CD270" i="6" s="1"/>
  <c r="G295" i="23"/>
  <c r="CD295" i="6" s="1"/>
  <c r="AA183" i="23"/>
  <c r="Z183" i="23" s="1"/>
  <c r="Y183" i="23" s="1"/>
  <c r="H143" i="23"/>
  <c r="I143" i="23" s="1"/>
  <c r="AA143" i="23"/>
  <c r="Z143" i="23" s="1"/>
  <c r="Y143" i="23" s="1"/>
  <c r="H295" i="23"/>
  <c r="J295" i="23" s="1"/>
  <c r="Q374" i="25"/>
  <c r="Q360" i="25"/>
  <c r="Q331" i="25"/>
  <c r="Q299" i="25"/>
  <c r="Q267" i="25"/>
  <c r="Q235" i="25"/>
  <c r="Q203" i="25"/>
  <c r="Q171" i="25"/>
  <c r="Q139" i="25"/>
  <c r="Q107" i="25"/>
  <c r="Q73" i="25"/>
  <c r="V379" i="23"/>
  <c r="B379" i="23" s="1"/>
  <c r="W379" i="23" s="1"/>
  <c r="D42" i="19"/>
  <c r="Q376" i="25"/>
  <c r="Q372" i="25"/>
  <c r="Q364" i="25"/>
  <c r="Q355" i="25"/>
  <c r="Q339" i="25"/>
  <c r="Q323" i="25"/>
  <c r="Q307" i="25"/>
  <c r="Q291" i="25"/>
  <c r="Q275" i="25"/>
  <c r="Q259" i="25"/>
  <c r="Q243" i="25"/>
  <c r="Q227" i="25"/>
  <c r="Q211" i="25"/>
  <c r="Q195" i="25"/>
  <c r="Q179" i="25"/>
  <c r="Q163" i="25"/>
  <c r="Q147" i="25"/>
  <c r="Q131" i="25"/>
  <c r="Q115" i="25"/>
  <c r="Q99" i="25"/>
  <c r="Q83" i="25"/>
  <c r="Q49" i="25"/>
  <c r="C15" i="19"/>
  <c r="F39" i="19"/>
  <c r="AE11" i="25"/>
  <c r="Q379" i="25"/>
  <c r="Q377" i="25"/>
  <c r="Q375" i="25"/>
  <c r="Q373" i="25"/>
  <c r="Q370" i="25"/>
  <c r="Q366" i="25"/>
  <c r="Q362" i="25"/>
  <c r="Q358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15" i="25"/>
  <c r="Q207" i="25"/>
  <c r="Q199" i="25"/>
  <c r="Q191" i="25"/>
  <c r="Q183" i="25"/>
  <c r="Q175" i="25"/>
  <c r="Q167" i="25"/>
  <c r="Q159" i="25"/>
  <c r="Q151" i="25"/>
  <c r="Q143" i="25"/>
  <c r="Q135" i="25"/>
  <c r="Q127" i="25"/>
  <c r="Q119" i="25"/>
  <c r="Q111" i="25"/>
  <c r="Q103" i="25"/>
  <c r="Q95" i="25"/>
  <c r="Q87" i="25"/>
  <c r="Q79" i="25"/>
  <c r="Q65" i="25"/>
  <c r="Q33" i="25"/>
  <c r="AA101" i="23"/>
  <c r="Z101" i="23" s="1"/>
  <c r="Y101" i="23" s="1"/>
  <c r="AA113" i="23"/>
  <c r="Z113" i="23" s="1"/>
  <c r="Y113" i="23" s="1"/>
  <c r="H101" i="23"/>
  <c r="I101" i="23" s="1"/>
  <c r="AA66" i="23"/>
  <c r="Z66" i="23" s="1"/>
  <c r="Y66" i="23" s="1"/>
  <c r="H66" i="23"/>
  <c r="I66" i="23" s="1"/>
  <c r="AJ8" i="20"/>
  <c r="AJ7" i="20"/>
  <c r="AJ13" i="18"/>
  <c r="AA320" i="23"/>
  <c r="Z320" i="23" s="1"/>
  <c r="Y320" i="23" s="1"/>
  <c r="H320" i="23"/>
  <c r="I320" i="23" s="1"/>
  <c r="L68" i="19"/>
  <c r="D135" i="23"/>
  <c r="E135" i="23" s="1"/>
  <c r="F135" i="23" s="1"/>
  <c r="AA135" i="23" s="1"/>
  <c r="Z135" i="23" s="1"/>
  <c r="Y135" i="23" s="1"/>
  <c r="Q57" i="25"/>
  <c r="Q41" i="25"/>
  <c r="Q18" i="25"/>
  <c r="Q16" i="25"/>
  <c r="Q29" i="25"/>
  <c r="Q37" i="25"/>
  <c r="Q45" i="25"/>
  <c r="Q53" i="25"/>
  <c r="Q61" i="25"/>
  <c r="Q69" i="25"/>
  <c r="Q77" i="25"/>
  <c r="Q81" i="25"/>
  <c r="Q85" i="25"/>
  <c r="Q89" i="25"/>
  <c r="Q93" i="25"/>
  <c r="Q97" i="25"/>
  <c r="Q101" i="25"/>
  <c r="Q105" i="25"/>
  <c r="Q109" i="25"/>
  <c r="Q113" i="25"/>
  <c r="Q117" i="25"/>
  <c r="Q121" i="25"/>
  <c r="Q125" i="25"/>
  <c r="Q129" i="25"/>
  <c r="Q133" i="25"/>
  <c r="Q137" i="25"/>
  <c r="Q141" i="25"/>
  <c r="Q145" i="25"/>
  <c r="Q149" i="25"/>
  <c r="Q153" i="25"/>
  <c r="Q157" i="25"/>
  <c r="Q161" i="25"/>
  <c r="Q165" i="25"/>
  <c r="Q169" i="25"/>
  <c r="Q173" i="25"/>
  <c r="Q177" i="25"/>
  <c r="Q181" i="25"/>
  <c r="Q185" i="25"/>
  <c r="Q189" i="25"/>
  <c r="Q193" i="25"/>
  <c r="Q197" i="25"/>
  <c r="Q201" i="25"/>
  <c r="Q205" i="25"/>
  <c r="Q209" i="25"/>
  <c r="Q213" i="25"/>
  <c r="Q217" i="25"/>
  <c r="Q221" i="25"/>
  <c r="Q225" i="25"/>
  <c r="Q229" i="25"/>
  <c r="Q233" i="25"/>
  <c r="Q237" i="25"/>
  <c r="Q241" i="25"/>
  <c r="Q245" i="25"/>
  <c r="Q249" i="25"/>
  <c r="Q253" i="25"/>
  <c r="Q257" i="25"/>
  <c r="Q261" i="25"/>
  <c r="Q265" i="25"/>
  <c r="Q269" i="25"/>
  <c r="Q273" i="25"/>
  <c r="Q277" i="25"/>
  <c r="Q281" i="25"/>
  <c r="Q285" i="25"/>
  <c r="Q289" i="25"/>
  <c r="Q293" i="25"/>
  <c r="Q297" i="25"/>
  <c r="Q301" i="25"/>
  <c r="Q305" i="25"/>
  <c r="Q309" i="25"/>
  <c r="Q313" i="25"/>
  <c r="Q317" i="25"/>
  <c r="Q321" i="25"/>
  <c r="Q325" i="25"/>
  <c r="Q329" i="25"/>
  <c r="Q333" i="25"/>
  <c r="Q337" i="25"/>
  <c r="Q341" i="25"/>
  <c r="Q345" i="25"/>
  <c r="Q349" i="25"/>
  <c r="Q353" i="25"/>
  <c r="Q357" i="25"/>
  <c r="Q359" i="25"/>
  <c r="Q361" i="25"/>
  <c r="Q363" i="25"/>
  <c r="Q365" i="25"/>
  <c r="Q367" i="25"/>
  <c r="Q369" i="25"/>
  <c r="Q371" i="25"/>
  <c r="C68" i="19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188" i="25"/>
  <c r="Q190" i="25"/>
  <c r="Q192" i="25"/>
  <c r="Q194" i="25"/>
  <c r="Q196" i="25"/>
  <c r="Q198" i="25"/>
  <c r="Q200" i="25"/>
  <c r="Q202" i="25"/>
  <c r="Q204" i="25"/>
  <c r="Q206" i="25"/>
  <c r="Q208" i="25"/>
  <c r="Q210" i="25"/>
  <c r="Q212" i="25"/>
  <c r="Q214" i="25"/>
  <c r="Q216" i="25"/>
  <c r="Q218" i="25"/>
  <c r="Q220" i="25"/>
  <c r="Q222" i="25"/>
  <c r="Q224" i="25"/>
  <c r="Q226" i="25"/>
  <c r="Q228" i="25"/>
  <c r="Q230" i="25"/>
  <c r="Q232" i="25"/>
  <c r="Q234" i="25"/>
  <c r="Q236" i="25"/>
  <c r="Q238" i="25"/>
  <c r="Q240" i="25"/>
  <c r="Q242" i="25"/>
  <c r="Q244" i="25"/>
  <c r="Q246" i="25"/>
  <c r="Q248" i="25"/>
  <c r="Q250" i="25"/>
  <c r="Q252" i="25"/>
  <c r="Q254" i="25"/>
  <c r="Q256" i="25"/>
  <c r="Q258" i="25"/>
  <c r="Q260" i="25"/>
  <c r="Q262" i="25"/>
  <c r="Q264" i="25"/>
  <c r="Q266" i="25"/>
  <c r="Q268" i="25"/>
  <c r="Q270" i="25"/>
  <c r="Q272" i="25"/>
  <c r="Q274" i="25"/>
  <c r="Q276" i="25"/>
  <c r="Q278" i="25"/>
  <c r="Q280" i="25"/>
  <c r="Q282" i="25"/>
  <c r="Q284" i="25"/>
  <c r="Q286" i="25"/>
  <c r="Q288" i="25"/>
  <c r="Q290" i="25"/>
  <c r="Q292" i="25"/>
  <c r="Q294" i="25"/>
  <c r="Q296" i="25"/>
  <c r="Q298" i="25"/>
  <c r="Q300" i="25"/>
  <c r="Q302" i="25"/>
  <c r="Q304" i="25"/>
  <c r="Q306" i="25"/>
  <c r="Q308" i="25"/>
  <c r="Q310" i="25"/>
  <c r="Q312" i="25"/>
  <c r="Q314" i="25"/>
  <c r="Q316" i="25"/>
  <c r="Q318" i="25"/>
  <c r="Q320" i="25"/>
  <c r="Q322" i="25"/>
  <c r="Q324" i="25"/>
  <c r="Q326" i="25"/>
  <c r="Q328" i="25"/>
  <c r="Q330" i="25"/>
  <c r="Q332" i="25"/>
  <c r="Q334" i="25"/>
  <c r="Q336" i="25"/>
  <c r="Q338" i="25"/>
  <c r="Q340" i="25"/>
  <c r="Q342" i="25"/>
  <c r="Q344" i="25"/>
  <c r="Q346" i="25"/>
  <c r="Q348" i="25"/>
  <c r="Q350" i="25"/>
  <c r="Q352" i="25"/>
  <c r="Q354" i="25"/>
  <c r="Q356" i="25"/>
  <c r="Q20" i="25"/>
  <c r="Q19" i="25"/>
  <c r="Q17" i="25"/>
  <c r="G68" i="19"/>
  <c r="E68" i="19"/>
  <c r="I68" i="19"/>
  <c r="J68" i="19"/>
  <c r="H68" i="19"/>
  <c r="F68" i="19"/>
  <c r="J118" i="23"/>
  <c r="J268" i="23"/>
  <c r="I268" i="23"/>
  <c r="I208" i="23"/>
  <c r="I136" i="23"/>
  <c r="J136" i="23"/>
  <c r="I368" i="23"/>
  <c r="J368" i="23"/>
  <c r="J238" i="23"/>
  <c r="I238" i="23"/>
  <c r="I230" i="23"/>
  <c r="J230" i="23"/>
  <c r="I297" i="23"/>
  <c r="J297" i="23"/>
  <c r="J59" i="23"/>
  <c r="I59" i="23"/>
  <c r="I242" i="23"/>
  <c r="J242" i="23"/>
  <c r="J364" i="23"/>
  <c r="I364" i="23"/>
  <c r="I124" i="23"/>
  <c r="J124" i="23"/>
  <c r="I166" i="22"/>
  <c r="J166" i="22"/>
  <c r="G373" i="23"/>
  <c r="CD373" i="6" s="1"/>
  <c r="AA373" i="23"/>
  <c r="Z373" i="23" s="1"/>
  <c r="Y373" i="23" s="1"/>
  <c r="H373" i="23"/>
  <c r="AA369" i="23"/>
  <c r="Z369" i="23" s="1"/>
  <c r="Y369" i="23" s="1"/>
  <c r="G369" i="23"/>
  <c r="CD369" i="6" s="1"/>
  <c r="H369" i="23"/>
  <c r="AA361" i="23"/>
  <c r="Z361" i="23" s="1"/>
  <c r="Y361" i="23" s="1"/>
  <c r="G361" i="23"/>
  <c r="CD361" i="6" s="1"/>
  <c r="H361" i="23"/>
  <c r="AA359" i="23"/>
  <c r="Z359" i="23" s="1"/>
  <c r="Y359" i="23" s="1"/>
  <c r="G359" i="23"/>
  <c r="CD359" i="6" s="1"/>
  <c r="H359" i="23"/>
  <c r="G357" i="23"/>
  <c r="CD357" i="6" s="1"/>
  <c r="AA357" i="23"/>
  <c r="Z357" i="23" s="1"/>
  <c r="Y357" i="23" s="1"/>
  <c r="H357" i="23"/>
  <c r="G351" i="23"/>
  <c r="CD351" i="6" s="1"/>
  <c r="H351" i="23"/>
  <c r="AA351" i="23"/>
  <c r="Z351" i="23" s="1"/>
  <c r="Y351" i="23" s="1"/>
  <c r="G347" i="23"/>
  <c r="CD347" i="6" s="1"/>
  <c r="H347" i="23"/>
  <c r="AA347" i="23"/>
  <c r="Z347" i="23" s="1"/>
  <c r="Y347" i="23" s="1"/>
  <c r="G341" i="23"/>
  <c r="CD341" i="6" s="1"/>
  <c r="H341" i="23"/>
  <c r="AA341" i="23"/>
  <c r="Z341" i="23" s="1"/>
  <c r="Y341" i="23" s="1"/>
  <c r="AA339" i="23"/>
  <c r="Z339" i="23" s="1"/>
  <c r="Y339" i="23" s="1"/>
  <c r="H339" i="23"/>
  <c r="G339" i="23"/>
  <c r="CD339" i="6" s="1"/>
  <c r="J335" i="23"/>
  <c r="AA331" i="23"/>
  <c r="Z331" i="23" s="1"/>
  <c r="Y331" i="23" s="1"/>
  <c r="H331" i="23"/>
  <c r="G331" i="23"/>
  <c r="CD331" i="6" s="1"/>
  <c r="G327" i="23"/>
  <c r="CD327" i="6" s="1"/>
  <c r="AA327" i="23"/>
  <c r="Z327" i="23" s="1"/>
  <c r="Y327" i="23" s="1"/>
  <c r="H327" i="23"/>
  <c r="AA323" i="23"/>
  <c r="Z323" i="23" s="1"/>
  <c r="Y323" i="23" s="1"/>
  <c r="G323" i="23"/>
  <c r="CD323" i="6" s="1"/>
  <c r="H323" i="23"/>
  <c r="W319" i="23"/>
  <c r="D319" i="23"/>
  <c r="E319" i="23" s="1"/>
  <c r="F319" i="23" s="1"/>
  <c r="G309" i="23"/>
  <c r="CD309" i="6" s="1"/>
  <c r="AA309" i="23"/>
  <c r="Z309" i="23" s="1"/>
  <c r="Y309" i="23" s="1"/>
  <c r="H309" i="23"/>
  <c r="G305" i="23"/>
  <c r="CD305" i="6" s="1"/>
  <c r="H305" i="23"/>
  <c r="AA305" i="23"/>
  <c r="Z305" i="23" s="1"/>
  <c r="Y305" i="23" s="1"/>
  <c r="G303" i="23"/>
  <c r="CD303" i="6" s="1"/>
  <c r="H303" i="23"/>
  <c r="AA303" i="23"/>
  <c r="Z303" i="23" s="1"/>
  <c r="Y303" i="23" s="1"/>
  <c r="AA275" i="23"/>
  <c r="Z275" i="23" s="1"/>
  <c r="Y275" i="23" s="1"/>
  <c r="H275" i="23"/>
  <c r="G275" i="23"/>
  <c r="CD275" i="6" s="1"/>
  <c r="AA273" i="23"/>
  <c r="Z273" i="23" s="1"/>
  <c r="Y273" i="23" s="1"/>
  <c r="G273" i="23"/>
  <c r="CD273" i="6" s="1"/>
  <c r="H273" i="23"/>
  <c r="G263" i="23"/>
  <c r="CD263" i="6" s="1"/>
  <c r="H263" i="23"/>
  <c r="AA263" i="23"/>
  <c r="Z263" i="23" s="1"/>
  <c r="Y263" i="23" s="1"/>
  <c r="G259" i="23"/>
  <c r="CD259" i="6" s="1"/>
  <c r="AA259" i="23"/>
  <c r="Z259" i="23" s="1"/>
  <c r="Y259" i="23" s="1"/>
  <c r="H259" i="23"/>
  <c r="G255" i="23"/>
  <c r="CD255" i="6" s="1"/>
  <c r="AA255" i="23"/>
  <c r="Z255" i="23" s="1"/>
  <c r="Y255" i="23" s="1"/>
  <c r="H255" i="23"/>
  <c r="AA243" i="23"/>
  <c r="Z243" i="23" s="1"/>
  <c r="Y243" i="23" s="1"/>
  <c r="H243" i="23"/>
  <c r="G243" i="23"/>
  <c r="CD243" i="6" s="1"/>
  <c r="D241" i="23"/>
  <c r="E241" i="23" s="1"/>
  <c r="F241" i="23" s="1"/>
  <c r="W241" i="23"/>
  <c r="G237" i="23"/>
  <c r="CD237" i="6" s="1"/>
  <c r="H237" i="23"/>
  <c r="AA237" i="23"/>
  <c r="Z237" i="23" s="1"/>
  <c r="Y237" i="23" s="1"/>
  <c r="G223" i="23"/>
  <c r="CD223" i="6" s="1"/>
  <c r="H223" i="23"/>
  <c r="AA223" i="23"/>
  <c r="Z223" i="23" s="1"/>
  <c r="Y223" i="23" s="1"/>
  <c r="AA219" i="23"/>
  <c r="Z219" i="23" s="1"/>
  <c r="Y219" i="23" s="1"/>
  <c r="H219" i="23"/>
  <c r="G219" i="23"/>
  <c r="CD219" i="6" s="1"/>
  <c r="G213" i="23"/>
  <c r="CD213" i="6" s="1"/>
  <c r="AA213" i="23"/>
  <c r="Z213" i="23" s="1"/>
  <c r="Y213" i="23" s="1"/>
  <c r="H213" i="23"/>
  <c r="G205" i="23"/>
  <c r="CD205" i="6" s="1"/>
  <c r="AA205" i="23"/>
  <c r="Z205" i="23" s="1"/>
  <c r="Y205" i="23" s="1"/>
  <c r="H205" i="23"/>
  <c r="AA201" i="23"/>
  <c r="Z201" i="23" s="1"/>
  <c r="Y201" i="23" s="1"/>
  <c r="G201" i="23"/>
  <c r="CD201" i="6" s="1"/>
  <c r="H201" i="23"/>
  <c r="G199" i="23"/>
  <c r="CD199" i="6" s="1"/>
  <c r="AA199" i="23"/>
  <c r="Z199" i="23" s="1"/>
  <c r="Y199" i="23" s="1"/>
  <c r="H199" i="23"/>
  <c r="G197" i="23"/>
  <c r="CD197" i="6" s="1"/>
  <c r="H197" i="23"/>
  <c r="AA197" i="23"/>
  <c r="Z197" i="23" s="1"/>
  <c r="Y197" i="23" s="1"/>
  <c r="J195" i="23"/>
  <c r="I195" i="23"/>
  <c r="AA191" i="23"/>
  <c r="Z191" i="23" s="1"/>
  <c r="Y191" i="23" s="1"/>
  <c r="H191" i="23"/>
  <c r="G191" i="23"/>
  <c r="CD191" i="6" s="1"/>
  <c r="J183" i="23"/>
  <c r="I183" i="23"/>
  <c r="G181" i="23"/>
  <c r="CD181" i="6" s="1"/>
  <c r="AA181" i="23"/>
  <c r="Z181" i="23" s="1"/>
  <c r="Y181" i="23" s="1"/>
  <c r="H181" i="23"/>
  <c r="G175" i="23"/>
  <c r="CD175" i="6" s="1"/>
  <c r="AA175" i="23"/>
  <c r="Z175" i="23" s="1"/>
  <c r="Y175" i="23" s="1"/>
  <c r="H175" i="23"/>
  <c r="G171" i="23"/>
  <c r="CD171" i="6" s="1"/>
  <c r="H171" i="23"/>
  <c r="AA171" i="23"/>
  <c r="Z171" i="23" s="1"/>
  <c r="Y171" i="23" s="1"/>
  <c r="AA151" i="23"/>
  <c r="Z151" i="23" s="1"/>
  <c r="Y151" i="23" s="1"/>
  <c r="G151" i="23"/>
  <c r="CD151" i="6" s="1"/>
  <c r="H151" i="23"/>
  <c r="D149" i="23"/>
  <c r="E149" i="23" s="1"/>
  <c r="F149" i="23" s="1"/>
  <c r="W149" i="23"/>
  <c r="AA133" i="23"/>
  <c r="Z133" i="23" s="1"/>
  <c r="Y133" i="23" s="1"/>
  <c r="H133" i="23"/>
  <c r="G133" i="23"/>
  <c r="CD133" i="6" s="1"/>
  <c r="G129" i="23"/>
  <c r="CD129" i="6" s="1"/>
  <c r="AA129" i="23"/>
  <c r="Z129" i="23" s="1"/>
  <c r="Y129" i="23" s="1"/>
  <c r="H129" i="23"/>
  <c r="G127" i="23"/>
  <c r="CD127" i="6" s="1"/>
  <c r="H127" i="23"/>
  <c r="AA127" i="23"/>
  <c r="Z127" i="23" s="1"/>
  <c r="Y127" i="23" s="1"/>
  <c r="G125" i="23"/>
  <c r="CD125" i="6" s="1"/>
  <c r="H125" i="23"/>
  <c r="AA125" i="23"/>
  <c r="Z125" i="23" s="1"/>
  <c r="Y125" i="23" s="1"/>
  <c r="AA111" i="23"/>
  <c r="Z111" i="23" s="1"/>
  <c r="Y111" i="23" s="1"/>
  <c r="H111" i="23"/>
  <c r="G111" i="23"/>
  <c r="CD111" i="6" s="1"/>
  <c r="AA109" i="23"/>
  <c r="Z109" i="23" s="1"/>
  <c r="Y109" i="23" s="1"/>
  <c r="G109" i="23"/>
  <c r="CD109" i="6" s="1"/>
  <c r="H109" i="23"/>
  <c r="AA99" i="23"/>
  <c r="Z99" i="23" s="1"/>
  <c r="Y99" i="23" s="1"/>
  <c r="H99" i="23"/>
  <c r="G99" i="23"/>
  <c r="CD99" i="6" s="1"/>
  <c r="G87" i="23"/>
  <c r="CD87" i="6" s="1"/>
  <c r="AA87" i="23"/>
  <c r="Z87" i="23" s="1"/>
  <c r="Y87" i="23" s="1"/>
  <c r="H87" i="23"/>
  <c r="G65" i="23"/>
  <c r="CD65" i="6" s="1"/>
  <c r="H65" i="23"/>
  <c r="AA65" i="23"/>
  <c r="Z65" i="23" s="1"/>
  <c r="Y65" i="23" s="1"/>
  <c r="AA63" i="23"/>
  <c r="Z63" i="23" s="1"/>
  <c r="Y63" i="23" s="1"/>
  <c r="G63" i="23"/>
  <c r="CD63" i="6" s="1"/>
  <c r="H63" i="23"/>
  <c r="AA61" i="23"/>
  <c r="Z61" i="23" s="1"/>
  <c r="Y61" i="23" s="1"/>
  <c r="H61" i="23"/>
  <c r="G61" i="23"/>
  <c r="CD61" i="6" s="1"/>
  <c r="G57" i="23"/>
  <c r="CD57" i="6" s="1"/>
  <c r="H57" i="23"/>
  <c r="AA57" i="23"/>
  <c r="Z57" i="23" s="1"/>
  <c r="Y57" i="23" s="1"/>
  <c r="G43" i="23"/>
  <c r="CD43" i="6" s="1"/>
  <c r="AA43" i="23"/>
  <c r="Z43" i="23" s="1"/>
  <c r="Y43" i="23" s="1"/>
  <c r="H43" i="23"/>
  <c r="AA35" i="23"/>
  <c r="Z35" i="23" s="1"/>
  <c r="Y35" i="23" s="1"/>
  <c r="G35" i="23"/>
  <c r="CD35" i="6" s="1"/>
  <c r="H35" i="23"/>
  <c r="G33" i="23"/>
  <c r="CD33" i="6" s="1"/>
  <c r="H33" i="23"/>
  <c r="AA33" i="23"/>
  <c r="Z33" i="23" s="1"/>
  <c r="Y33" i="23" s="1"/>
  <c r="D29" i="23"/>
  <c r="E29" i="23" s="1"/>
  <c r="F29" i="23" s="1"/>
  <c r="W29" i="23"/>
  <c r="H22" i="23"/>
  <c r="G22" i="23"/>
  <c r="CD22" i="6" s="1"/>
  <c r="AA22" i="23"/>
  <c r="Z22" i="23" s="1"/>
  <c r="Y22" i="23" s="1"/>
  <c r="J196" i="22"/>
  <c r="I196" i="22"/>
  <c r="H196" i="23" s="1"/>
  <c r="AA196" i="23"/>
  <c r="Z196" i="23" s="1"/>
  <c r="Y196" i="23" s="1"/>
  <c r="G196" i="23"/>
  <c r="CD196" i="6" s="1"/>
  <c r="AA349" i="23"/>
  <c r="Z349" i="23" s="1"/>
  <c r="Y349" i="23" s="1"/>
  <c r="G349" i="23"/>
  <c r="CD349" i="6" s="1"/>
  <c r="I135" i="22"/>
  <c r="J135" i="22"/>
  <c r="W227" i="24"/>
  <c r="D227" i="24"/>
  <c r="E227" i="24" s="1"/>
  <c r="F227" i="24" s="1"/>
  <c r="AA374" i="23"/>
  <c r="Z374" i="23" s="1"/>
  <c r="Y374" i="23" s="1"/>
  <c r="H374" i="23"/>
  <c r="G374" i="23"/>
  <c r="CD374" i="6" s="1"/>
  <c r="AA350" i="23"/>
  <c r="Z350" i="23" s="1"/>
  <c r="Y350" i="23" s="1"/>
  <c r="H350" i="23"/>
  <c r="G350" i="23"/>
  <c r="CD350" i="6" s="1"/>
  <c r="G306" i="23"/>
  <c r="CD306" i="6" s="1"/>
  <c r="AA306" i="23"/>
  <c r="Z306" i="23" s="1"/>
  <c r="Y306" i="23" s="1"/>
  <c r="H306" i="23"/>
  <c r="AA298" i="23"/>
  <c r="Z298" i="23" s="1"/>
  <c r="Y298" i="23" s="1"/>
  <c r="H298" i="23"/>
  <c r="G298" i="23"/>
  <c r="CD298" i="6" s="1"/>
  <c r="AA278" i="23"/>
  <c r="Z278" i="23" s="1"/>
  <c r="Y278" i="23" s="1"/>
  <c r="H278" i="23"/>
  <c r="G278" i="23"/>
  <c r="CD278" i="6" s="1"/>
  <c r="D272" i="23"/>
  <c r="E272" i="23" s="1"/>
  <c r="F272" i="23" s="1"/>
  <c r="W272" i="23"/>
  <c r="AA262" i="23"/>
  <c r="Z262" i="23" s="1"/>
  <c r="Y262" i="23" s="1"/>
  <c r="H262" i="23"/>
  <c r="G262" i="23"/>
  <c r="CD262" i="6" s="1"/>
  <c r="AA248" i="23"/>
  <c r="Z248" i="23" s="1"/>
  <c r="Y248" i="23" s="1"/>
  <c r="G248" i="23"/>
  <c r="CD248" i="6" s="1"/>
  <c r="H248" i="23"/>
  <c r="G234" i="23"/>
  <c r="CD234" i="6" s="1"/>
  <c r="AA234" i="23"/>
  <c r="Z234" i="23" s="1"/>
  <c r="Y234" i="23" s="1"/>
  <c r="H234" i="23"/>
  <c r="AA228" i="23"/>
  <c r="Z228" i="23" s="1"/>
  <c r="Y228" i="23" s="1"/>
  <c r="H228" i="23"/>
  <c r="G228" i="23"/>
  <c r="CD228" i="6" s="1"/>
  <c r="J192" i="23"/>
  <c r="I192" i="23"/>
  <c r="G184" i="23"/>
  <c r="CD184" i="6" s="1"/>
  <c r="AA184" i="23"/>
  <c r="Z184" i="23" s="1"/>
  <c r="Y184" i="23" s="1"/>
  <c r="H184" i="23"/>
  <c r="G152" i="23"/>
  <c r="CD152" i="6" s="1"/>
  <c r="H152" i="23"/>
  <c r="AA152" i="23"/>
  <c r="Z152" i="23" s="1"/>
  <c r="Y152" i="23" s="1"/>
  <c r="AA142" i="23"/>
  <c r="Z142" i="23" s="1"/>
  <c r="Y142" i="23" s="1"/>
  <c r="H142" i="23"/>
  <c r="G142" i="23"/>
  <c r="CD142" i="6" s="1"/>
  <c r="G132" i="23"/>
  <c r="CD132" i="6" s="1"/>
  <c r="H132" i="23"/>
  <c r="AA132" i="23"/>
  <c r="Z132" i="23" s="1"/>
  <c r="Y132" i="23" s="1"/>
  <c r="I128" i="23"/>
  <c r="J128" i="23"/>
  <c r="AA98" i="23"/>
  <c r="Z98" i="23" s="1"/>
  <c r="Y98" i="23" s="1"/>
  <c r="H98" i="23"/>
  <c r="G98" i="23"/>
  <c r="CD98" i="6" s="1"/>
  <c r="AA62" i="23"/>
  <c r="Z62" i="23" s="1"/>
  <c r="Y62" i="23" s="1"/>
  <c r="G62" i="23"/>
  <c r="CD62" i="6" s="1"/>
  <c r="H62" i="23"/>
  <c r="AA54" i="23"/>
  <c r="Z54" i="23" s="1"/>
  <c r="Y54" i="23" s="1"/>
  <c r="G54" i="23"/>
  <c r="CD54" i="6" s="1"/>
  <c r="H54" i="23"/>
  <c r="D46" i="23"/>
  <c r="E46" i="23" s="1"/>
  <c r="F46" i="23" s="1"/>
  <c r="W46" i="23"/>
  <c r="G42" i="23"/>
  <c r="CD42" i="6" s="1"/>
  <c r="AA42" i="23"/>
  <c r="Z42" i="23" s="1"/>
  <c r="Y42" i="23" s="1"/>
  <c r="H42" i="23"/>
  <c r="AA30" i="23"/>
  <c r="Z30" i="23" s="1"/>
  <c r="Y30" i="23" s="1"/>
  <c r="G30" i="23"/>
  <c r="CD30" i="6" s="1"/>
  <c r="H30" i="23"/>
  <c r="AF15" i="23"/>
  <c r="S374" i="24"/>
  <c r="R374" i="24" s="1"/>
  <c r="P374" i="24" s="1"/>
  <c r="V374" i="24" s="1"/>
  <c r="B374" i="24" s="1"/>
  <c r="S352" i="24"/>
  <c r="R352" i="24" s="1"/>
  <c r="P352" i="24" s="1"/>
  <c r="V352" i="24" s="1"/>
  <c r="B352" i="24" s="1"/>
  <c r="S322" i="24"/>
  <c r="R322" i="24" s="1"/>
  <c r="P322" i="24" s="1"/>
  <c r="V322" i="24" s="1"/>
  <c r="B322" i="24" s="1"/>
  <c r="S302" i="24"/>
  <c r="R302" i="24" s="1"/>
  <c r="P302" i="24" s="1"/>
  <c r="S222" i="24"/>
  <c r="R222" i="24" s="1"/>
  <c r="P222" i="24" s="1"/>
  <c r="V222" i="24" s="1"/>
  <c r="B222" i="24" s="1"/>
  <c r="S204" i="24"/>
  <c r="R204" i="24" s="1"/>
  <c r="P204" i="24" s="1"/>
  <c r="V204" i="24" s="1"/>
  <c r="B204" i="24" s="1"/>
  <c r="S158" i="24"/>
  <c r="R158" i="24" s="1"/>
  <c r="P158" i="24" s="1"/>
  <c r="V158" i="24" s="1"/>
  <c r="B158" i="24" s="1"/>
  <c r="S98" i="24"/>
  <c r="R98" i="24" s="1"/>
  <c r="P98" i="24" s="1"/>
  <c r="V98" i="24" s="1"/>
  <c r="B98" i="24" s="1"/>
  <c r="S70" i="24"/>
  <c r="R70" i="24" s="1"/>
  <c r="P70" i="24" s="1"/>
  <c r="V70" i="24" s="1"/>
  <c r="B70" i="24" s="1"/>
  <c r="S34" i="24"/>
  <c r="R34" i="24" s="1"/>
  <c r="P34" i="24" s="1"/>
  <c r="V34" i="24" s="1"/>
  <c r="B34" i="24" s="1"/>
  <c r="J239" i="23"/>
  <c r="I239" i="23"/>
  <c r="J137" i="23"/>
  <c r="I137" i="23"/>
  <c r="J97" i="23"/>
  <c r="I97" i="23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J349" i="22"/>
  <c r="I349" i="22"/>
  <c r="H349" i="23" s="1"/>
  <c r="I227" i="22"/>
  <c r="H227" i="23" s="1"/>
  <c r="J227" i="22"/>
  <c r="J240" i="23"/>
  <c r="I240" i="23"/>
  <c r="D258" i="23"/>
  <c r="E258" i="23" s="1"/>
  <c r="F258" i="23" s="1"/>
  <c r="W258" i="23"/>
  <c r="AA358" i="23"/>
  <c r="Z358" i="23" s="1"/>
  <c r="Y358" i="23" s="1"/>
  <c r="H358" i="23"/>
  <c r="G358" i="23"/>
  <c r="CD358" i="6" s="1"/>
  <c r="G332" i="23"/>
  <c r="CD332" i="6" s="1"/>
  <c r="H332" i="23"/>
  <c r="AA332" i="23"/>
  <c r="Z332" i="23" s="1"/>
  <c r="Y332" i="23" s="1"/>
  <c r="AA308" i="23"/>
  <c r="Z308" i="23" s="1"/>
  <c r="Y308" i="23" s="1"/>
  <c r="G308" i="23"/>
  <c r="CD308" i="6" s="1"/>
  <c r="H308" i="23"/>
  <c r="G280" i="23"/>
  <c r="CD280" i="6" s="1"/>
  <c r="AA280" i="23"/>
  <c r="Z280" i="23" s="1"/>
  <c r="Y280" i="23" s="1"/>
  <c r="H280" i="23"/>
  <c r="AA264" i="23"/>
  <c r="Z264" i="23" s="1"/>
  <c r="Y264" i="23" s="1"/>
  <c r="H264" i="23"/>
  <c r="G264" i="23"/>
  <c r="CD264" i="6" s="1"/>
  <c r="G252" i="23"/>
  <c r="CD252" i="6" s="1"/>
  <c r="AA252" i="23"/>
  <c r="Z252" i="23" s="1"/>
  <c r="Y252" i="23" s="1"/>
  <c r="H252" i="23"/>
  <c r="G246" i="23"/>
  <c r="CD246" i="6" s="1"/>
  <c r="AA246" i="23"/>
  <c r="Z246" i="23" s="1"/>
  <c r="Y246" i="23" s="1"/>
  <c r="H246" i="23"/>
  <c r="AA236" i="23"/>
  <c r="Z236" i="23" s="1"/>
  <c r="Y236" i="23" s="1"/>
  <c r="H236" i="23"/>
  <c r="G236" i="23"/>
  <c r="CD236" i="6" s="1"/>
  <c r="W210" i="23"/>
  <c r="D210" i="23"/>
  <c r="E210" i="23" s="1"/>
  <c r="F210" i="23" s="1"/>
  <c r="G202" i="23"/>
  <c r="CD202" i="6" s="1"/>
  <c r="AA202" i="23"/>
  <c r="Z202" i="23" s="1"/>
  <c r="Y202" i="23" s="1"/>
  <c r="H202" i="23"/>
  <c r="I188" i="23"/>
  <c r="J188" i="23"/>
  <c r="G182" i="23"/>
  <c r="CD182" i="6" s="1"/>
  <c r="AA182" i="23"/>
  <c r="Z182" i="23" s="1"/>
  <c r="Y182" i="23" s="1"/>
  <c r="H182" i="23"/>
  <c r="G174" i="23"/>
  <c r="CD174" i="6" s="1"/>
  <c r="H174" i="23"/>
  <c r="AA174" i="23"/>
  <c r="Z174" i="23" s="1"/>
  <c r="Y174" i="23" s="1"/>
  <c r="AA162" i="23"/>
  <c r="Z162" i="23" s="1"/>
  <c r="Y162" i="23" s="1"/>
  <c r="G162" i="23"/>
  <c r="CD162" i="6" s="1"/>
  <c r="H162" i="23"/>
  <c r="AA116" i="23"/>
  <c r="Z116" i="23" s="1"/>
  <c r="Y116" i="23" s="1"/>
  <c r="G116" i="23"/>
  <c r="CD116" i="6" s="1"/>
  <c r="H116" i="23"/>
  <c r="G110" i="23"/>
  <c r="CD110" i="6" s="1"/>
  <c r="H110" i="23"/>
  <c r="AA110" i="23"/>
  <c r="Z110" i="23" s="1"/>
  <c r="Y110" i="23" s="1"/>
  <c r="W60" i="23"/>
  <c r="D60" i="23"/>
  <c r="E60" i="23" s="1"/>
  <c r="F60" i="23" s="1"/>
  <c r="AA44" i="23"/>
  <c r="Z44" i="23" s="1"/>
  <c r="Y44" i="23" s="1"/>
  <c r="H44" i="23"/>
  <c r="G44" i="23"/>
  <c r="CD44" i="6" s="1"/>
  <c r="G24" i="23"/>
  <c r="CD24" i="6" s="1"/>
  <c r="H24" i="23"/>
  <c r="AA24" i="23"/>
  <c r="Z24" i="23" s="1"/>
  <c r="Y24" i="23" s="1"/>
  <c r="G19" i="23"/>
  <c r="CD19" i="6" s="1"/>
  <c r="AA19" i="23"/>
  <c r="Z19" i="23" s="1"/>
  <c r="Y19" i="23" s="1"/>
  <c r="H19" i="23"/>
  <c r="J29" i="22"/>
  <c r="I29" i="22"/>
  <c r="AA317" i="23"/>
  <c r="Z317" i="23" s="1"/>
  <c r="Y317" i="23" s="1"/>
  <c r="H317" i="23"/>
  <c r="G317" i="23"/>
  <c r="CD317" i="6" s="1"/>
  <c r="G307" i="23"/>
  <c r="CD307" i="6" s="1"/>
  <c r="AA307" i="23"/>
  <c r="Z307" i="23" s="1"/>
  <c r="Y307" i="23" s="1"/>
  <c r="H307" i="23"/>
  <c r="G287" i="23"/>
  <c r="CD287" i="6" s="1"/>
  <c r="AA287" i="23"/>
  <c r="Z287" i="23" s="1"/>
  <c r="Y287" i="23" s="1"/>
  <c r="H287" i="23"/>
  <c r="AA281" i="23"/>
  <c r="Z281" i="23" s="1"/>
  <c r="Y281" i="23" s="1"/>
  <c r="H281" i="23"/>
  <c r="G281" i="23"/>
  <c r="CD281" i="6" s="1"/>
  <c r="G277" i="23"/>
  <c r="CD277" i="6" s="1"/>
  <c r="H277" i="23"/>
  <c r="AA277" i="23"/>
  <c r="Z277" i="23" s="1"/>
  <c r="Y277" i="23" s="1"/>
  <c r="AA235" i="23"/>
  <c r="Z235" i="23" s="1"/>
  <c r="Y235" i="23" s="1"/>
  <c r="G235" i="23"/>
  <c r="CD235" i="6" s="1"/>
  <c r="H235" i="23"/>
  <c r="G167" i="23"/>
  <c r="CD167" i="6" s="1"/>
  <c r="H167" i="23"/>
  <c r="AA167" i="23"/>
  <c r="Z167" i="23" s="1"/>
  <c r="Y167" i="23" s="1"/>
  <c r="G93" i="23"/>
  <c r="CD93" i="6" s="1"/>
  <c r="AA93" i="23"/>
  <c r="Z93" i="23" s="1"/>
  <c r="Y93" i="23" s="1"/>
  <c r="H93" i="23"/>
  <c r="G75" i="23"/>
  <c r="CD75" i="6" s="1"/>
  <c r="H75" i="23"/>
  <c r="AA75" i="23"/>
  <c r="Z75" i="23" s="1"/>
  <c r="Y75" i="23" s="1"/>
  <c r="G71" i="23"/>
  <c r="CD71" i="6" s="1"/>
  <c r="AA71" i="23"/>
  <c r="Z71" i="23" s="1"/>
  <c r="Y71" i="23" s="1"/>
  <c r="H71" i="23"/>
  <c r="G47" i="23"/>
  <c r="CD47" i="6" s="1"/>
  <c r="AA47" i="23"/>
  <c r="Z47" i="23" s="1"/>
  <c r="Y47" i="23" s="1"/>
  <c r="H47" i="23"/>
  <c r="G336" i="23"/>
  <c r="CD336" i="6" s="1"/>
  <c r="AA336" i="23"/>
  <c r="Z336" i="23" s="1"/>
  <c r="Y336" i="23" s="1"/>
  <c r="H336" i="23"/>
  <c r="G318" i="23"/>
  <c r="CD318" i="6" s="1"/>
  <c r="AA318" i="23"/>
  <c r="Z318" i="23" s="1"/>
  <c r="Y318" i="23" s="1"/>
  <c r="H318" i="23"/>
  <c r="G296" i="23"/>
  <c r="CD296" i="6" s="1"/>
  <c r="AA296" i="23"/>
  <c r="Z296" i="23" s="1"/>
  <c r="Y296" i="23" s="1"/>
  <c r="H296" i="23"/>
  <c r="W288" i="23"/>
  <c r="D288" i="23"/>
  <c r="E288" i="23" s="1"/>
  <c r="F288" i="23" s="1"/>
  <c r="G250" i="23"/>
  <c r="CD250" i="6" s="1"/>
  <c r="AA250" i="23"/>
  <c r="Z250" i="23" s="1"/>
  <c r="Y250" i="23" s="1"/>
  <c r="H250" i="23"/>
  <c r="AA226" i="23"/>
  <c r="Z226" i="23" s="1"/>
  <c r="Y226" i="23" s="1"/>
  <c r="G226" i="23"/>
  <c r="CD226" i="6" s="1"/>
  <c r="H226" i="23"/>
  <c r="AA170" i="23"/>
  <c r="Z170" i="23" s="1"/>
  <c r="Y170" i="23" s="1"/>
  <c r="G170" i="23"/>
  <c r="CD170" i="6" s="1"/>
  <c r="H170" i="23"/>
  <c r="AA164" i="23"/>
  <c r="Z164" i="23" s="1"/>
  <c r="Y164" i="23" s="1"/>
  <c r="H164" i="23"/>
  <c r="G164" i="23"/>
  <c r="CD164" i="6" s="1"/>
  <c r="G154" i="23"/>
  <c r="CD154" i="6" s="1"/>
  <c r="H154" i="23"/>
  <c r="AA154" i="23"/>
  <c r="Z154" i="23" s="1"/>
  <c r="Y154" i="23" s="1"/>
  <c r="AA144" i="23"/>
  <c r="Z144" i="23" s="1"/>
  <c r="Y144" i="23" s="1"/>
  <c r="G144" i="23"/>
  <c r="CD144" i="6" s="1"/>
  <c r="H144" i="23"/>
  <c r="G126" i="23"/>
  <c r="CD126" i="6" s="1"/>
  <c r="H126" i="23"/>
  <c r="AA126" i="23"/>
  <c r="Z126" i="23" s="1"/>
  <c r="Y126" i="23" s="1"/>
  <c r="G82" i="23"/>
  <c r="CD82" i="6" s="1"/>
  <c r="H82" i="23"/>
  <c r="AA82" i="23"/>
  <c r="Z82" i="23" s="1"/>
  <c r="Y82" i="23" s="1"/>
  <c r="AA78" i="23"/>
  <c r="Z78" i="23" s="1"/>
  <c r="Y78" i="23" s="1"/>
  <c r="G78" i="23"/>
  <c r="CD78" i="6" s="1"/>
  <c r="H78" i="23"/>
  <c r="G64" i="23"/>
  <c r="CD64" i="6" s="1"/>
  <c r="H64" i="23"/>
  <c r="AA64" i="23"/>
  <c r="Z64" i="23" s="1"/>
  <c r="Y64" i="23" s="1"/>
  <c r="G56" i="23"/>
  <c r="CD56" i="6" s="1"/>
  <c r="H56" i="23"/>
  <c r="AA56" i="23"/>
  <c r="Z56" i="23" s="1"/>
  <c r="Y56" i="23" s="1"/>
  <c r="AA32" i="23"/>
  <c r="Z32" i="23" s="1"/>
  <c r="Y32" i="23" s="1"/>
  <c r="G32" i="23"/>
  <c r="CD32" i="6" s="1"/>
  <c r="H32" i="23"/>
  <c r="G375" i="23"/>
  <c r="CD375" i="6" s="1"/>
  <c r="H375" i="23"/>
  <c r="AA375" i="23"/>
  <c r="Z375" i="23" s="1"/>
  <c r="Y375" i="23" s="1"/>
  <c r="AA345" i="23"/>
  <c r="Z345" i="23" s="1"/>
  <c r="Y345" i="23" s="1"/>
  <c r="G345" i="23"/>
  <c r="CD345" i="6" s="1"/>
  <c r="H345" i="23"/>
  <c r="W333" i="23"/>
  <c r="D333" i="23"/>
  <c r="E333" i="23" s="1"/>
  <c r="F333" i="23" s="1"/>
  <c r="AA311" i="23"/>
  <c r="Z311" i="23" s="1"/>
  <c r="Y311" i="23" s="1"/>
  <c r="H311" i="23"/>
  <c r="G311" i="23"/>
  <c r="CD311" i="6" s="1"/>
  <c r="AA279" i="23"/>
  <c r="Z279" i="23" s="1"/>
  <c r="Y279" i="23" s="1"/>
  <c r="G279" i="23"/>
  <c r="CD279" i="6" s="1"/>
  <c r="H279" i="23"/>
  <c r="AA217" i="23"/>
  <c r="Z217" i="23" s="1"/>
  <c r="Y217" i="23" s="1"/>
  <c r="H217" i="23"/>
  <c r="G217" i="23"/>
  <c r="CD217" i="6" s="1"/>
  <c r="G189" i="23"/>
  <c r="CD189" i="6" s="1"/>
  <c r="AA189" i="23"/>
  <c r="Z189" i="23" s="1"/>
  <c r="Y189" i="23" s="1"/>
  <c r="H189" i="23"/>
  <c r="G121" i="23"/>
  <c r="CD121" i="6" s="1"/>
  <c r="H121" i="23"/>
  <c r="AA121" i="23"/>
  <c r="Z121" i="23" s="1"/>
  <c r="Y121" i="23" s="1"/>
  <c r="G89" i="23"/>
  <c r="CD89" i="6" s="1"/>
  <c r="AA89" i="23"/>
  <c r="Z89" i="23" s="1"/>
  <c r="Y89" i="23" s="1"/>
  <c r="H89" i="23"/>
  <c r="AA77" i="23"/>
  <c r="Z77" i="23" s="1"/>
  <c r="Y77" i="23" s="1"/>
  <c r="H77" i="23"/>
  <c r="G77" i="23"/>
  <c r="CD77" i="6" s="1"/>
  <c r="G73" i="23"/>
  <c r="CD73" i="6" s="1"/>
  <c r="AA73" i="23"/>
  <c r="Z73" i="23" s="1"/>
  <c r="Y73" i="23" s="1"/>
  <c r="H73" i="23"/>
  <c r="AA49" i="23"/>
  <c r="Z49" i="23" s="1"/>
  <c r="Y49" i="23" s="1"/>
  <c r="G49" i="23"/>
  <c r="CD49" i="6" s="1"/>
  <c r="H49" i="23"/>
  <c r="G372" i="23"/>
  <c r="CD372" i="6" s="1"/>
  <c r="AA372" i="23"/>
  <c r="Z372" i="23" s="1"/>
  <c r="Y372" i="23" s="1"/>
  <c r="H372" i="23"/>
  <c r="AA342" i="23"/>
  <c r="Z342" i="23" s="1"/>
  <c r="Y342" i="23" s="1"/>
  <c r="H342" i="23"/>
  <c r="G342" i="23"/>
  <c r="CD342" i="6" s="1"/>
  <c r="AA334" i="23"/>
  <c r="Z334" i="23" s="1"/>
  <c r="Y334" i="23" s="1"/>
  <c r="G334" i="23"/>
  <c r="CD334" i="6" s="1"/>
  <c r="H334" i="23"/>
  <c r="W180" i="23"/>
  <c r="D180" i="23"/>
  <c r="E180" i="23" s="1"/>
  <c r="F180" i="23" s="1"/>
  <c r="D166" i="23"/>
  <c r="E166" i="23" s="1"/>
  <c r="F166" i="23" s="1"/>
  <c r="W166" i="23"/>
  <c r="G160" i="23"/>
  <c r="CD160" i="6" s="1"/>
  <c r="AA160" i="23"/>
  <c r="Z160" i="23" s="1"/>
  <c r="Y160" i="23" s="1"/>
  <c r="H160" i="23"/>
  <c r="G134" i="23"/>
  <c r="CD134" i="6" s="1"/>
  <c r="AA134" i="23"/>
  <c r="Z134" i="23" s="1"/>
  <c r="Y134" i="23" s="1"/>
  <c r="H134" i="23"/>
  <c r="G122" i="23"/>
  <c r="CD122" i="6" s="1"/>
  <c r="H122" i="23"/>
  <c r="AA122" i="23"/>
  <c r="Z122" i="23" s="1"/>
  <c r="Y122" i="23" s="1"/>
  <c r="AA102" i="23"/>
  <c r="Z102" i="23" s="1"/>
  <c r="Y102" i="23" s="1"/>
  <c r="H102" i="23"/>
  <c r="G102" i="23"/>
  <c r="CD102" i="6" s="1"/>
  <c r="AA94" i="23"/>
  <c r="Z94" i="23" s="1"/>
  <c r="Y94" i="23" s="1"/>
  <c r="G94" i="23"/>
  <c r="CD94" i="6" s="1"/>
  <c r="H94" i="23"/>
  <c r="AA58" i="23"/>
  <c r="Z58" i="23" s="1"/>
  <c r="Y58" i="23" s="1"/>
  <c r="H58" i="23"/>
  <c r="G58" i="23"/>
  <c r="CD58" i="6" s="1"/>
  <c r="AA34" i="23"/>
  <c r="Z34" i="23" s="1"/>
  <c r="Y34" i="23" s="1"/>
  <c r="H34" i="23"/>
  <c r="G34" i="23"/>
  <c r="CD34" i="6" s="1"/>
  <c r="AA18" i="23"/>
  <c r="Z18" i="23" s="1"/>
  <c r="Y18" i="23" s="1"/>
  <c r="H18" i="23"/>
  <c r="G18" i="23"/>
  <c r="CD18" i="6" s="1"/>
  <c r="G377" i="23"/>
  <c r="CD377" i="6" s="1"/>
  <c r="AA377" i="23"/>
  <c r="Z377" i="23" s="1"/>
  <c r="Y377" i="23" s="1"/>
  <c r="H377" i="23"/>
  <c r="AA367" i="23"/>
  <c r="Z367" i="23" s="1"/>
  <c r="Y367" i="23" s="1"/>
  <c r="H367" i="23"/>
  <c r="G367" i="23"/>
  <c r="CD367" i="6" s="1"/>
  <c r="AA365" i="23"/>
  <c r="Z365" i="23" s="1"/>
  <c r="Y365" i="23" s="1"/>
  <c r="G365" i="23"/>
  <c r="CD365" i="6" s="1"/>
  <c r="H365" i="23"/>
  <c r="W363" i="23"/>
  <c r="D363" i="23"/>
  <c r="E363" i="23" s="1"/>
  <c r="F363" i="23" s="1"/>
  <c r="G329" i="23"/>
  <c r="CD329" i="6" s="1"/>
  <c r="AA329" i="23"/>
  <c r="Z329" i="23" s="1"/>
  <c r="Y329" i="23" s="1"/>
  <c r="H329" i="23"/>
  <c r="I321" i="23"/>
  <c r="AA315" i="23"/>
  <c r="Z315" i="23" s="1"/>
  <c r="Y315" i="23" s="1"/>
  <c r="G315" i="23"/>
  <c r="CD315" i="6" s="1"/>
  <c r="H315" i="23"/>
  <c r="G313" i="23"/>
  <c r="CD313" i="6" s="1"/>
  <c r="AA313" i="23"/>
  <c r="Z313" i="23" s="1"/>
  <c r="Y313" i="23" s="1"/>
  <c r="H313" i="23"/>
  <c r="G301" i="23"/>
  <c r="CD301" i="6" s="1"/>
  <c r="H301" i="23"/>
  <c r="AA301" i="23"/>
  <c r="Z301" i="23" s="1"/>
  <c r="Y301" i="23" s="1"/>
  <c r="AA293" i="23"/>
  <c r="Z293" i="23" s="1"/>
  <c r="Y293" i="23" s="1"/>
  <c r="G293" i="23"/>
  <c r="CD293" i="6" s="1"/>
  <c r="H293" i="23"/>
  <c r="G291" i="23"/>
  <c r="CD291" i="6" s="1"/>
  <c r="H291" i="23"/>
  <c r="AA291" i="23"/>
  <c r="Z291" i="23" s="1"/>
  <c r="Y291" i="23" s="1"/>
  <c r="AA283" i="23"/>
  <c r="Z283" i="23" s="1"/>
  <c r="Y283" i="23" s="1"/>
  <c r="G283" i="23"/>
  <c r="CD283" i="6" s="1"/>
  <c r="H283" i="23"/>
  <c r="AA271" i="23"/>
  <c r="Z271" i="23" s="1"/>
  <c r="Y271" i="23" s="1"/>
  <c r="H271" i="23"/>
  <c r="G271" i="23"/>
  <c r="CD271" i="6" s="1"/>
  <c r="G267" i="23"/>
  <c r="CD267" i="6" s="1"/>
  <c r="AA267" i="23"/>
  <c r="Z267" i="23" s="1"/>
  <c r="Y267" i="23" s="1"/>
  <c r="H267" i="23"/>
  <c r="AA261" i="23"/>
  <c r="Z261" i="23" s="1"/>
  <c r="Y261" i="23" s="1"/>
  <c r="G261" i="23"/>
  <c r="CD261" i="6" s="1"/>
  <c r="H261" i="23"/>
  <c r="G249" i="23"/>
  <c r="CD249" i="6" s="1"/>
  <c r="H249" i="23"/>
  <c r="AA249" i="23"/>
  <c r="Z249" i="23" s="1"/>
  <c r="Y249" i="23" s="1"/>
  <c r="AA247" i="23"/>
  <c r="Z247" i="23" s="1"/>
  <c r="Y247" i="23" s="1"/>
  <c r="G247" i="23"/>
  <c r="CD247" i="6" s="1"/>
  <c r="H247" i="23"/>
  <c r="G245" i="23"/>
  <c r="CD245" i="6" s="1"/>
  <c r="AA245" i="23"/>
  <c r="Z245" i="23" s="1"/>
  <c r="Y245" i="23" s="1"/>
  <c r="H245" i="23"/>
  <c r="G233" i="23"/>
  <c r="CD233" i="6" s="1"/>
  <c r="AA233" i="23"/>
  <c r="Z233" i="23" s="1"/>
  <c r="Y233" i="23" s="1"/>
  <c r="H233" i="23"/>
  <c r="AA231" i="23"/>
  <c r="Z231" i="23" s="1"/>
  <c r="Y231" i="23" s="1"/>
  <c r="G231" i="23"/>
  <c r="CD231" i="6" s="1"/>
  <c r="H231" i="23"/>
  <c r="AA229" i="23"/>
  <c r="Z229" i="23" s="1"/>
  <c r="Y229" i="23" s="1"/>
  <c r="G229" i="23"/>
  <c r="CD229" i="6" s="1"/>
  <c r="H229" i="23"/>
  <c r="AA221" i="23"/>
  <c r="Z221" i="23" s="1"/>
  <c r="Y221" i="23" s="1"/>
  <c r="G221" i="23"/>
  <c r="CD221" i="6" s="1"/>
  <c r="H221" i="23"/>
  <c r="AA215" i="23"/>
  <c r="Z215" i="23" s="1"/>
  <c r="Y215" i="23" s="1"/>
  <c r="G215" i="23"/>
  <c r="CD215" i="6" s="1"/>
  <c r="H215" i="23"/>
  <c r="G211" i="23"/>
  <c r="CD211" i="6" s="1"/>
  <c r="AA211" i="23"/>
  <c r="Z211" i="23" s="1"/>
  <c r="Y211" i="23" s="1"/>
  <c r="H211" i="23"/>
  <c r="AA209" i="23"/>
  <c r="Z209" i="23" s="1"/>
  <c r="Y209" i="23" s="1"/>
  <c r="G209" i="23"/>
  <c r="CD209" i="6" s="1"/>
  <c r="H209" i="23"/>
  <c r="G207" i="23"/>
  <c r="CD207" i="6" s="1"/>
  <c r="AA207" i="23"/>
  <c r="Z207" i="23" s="1"/>
  <c r="Y207" i="23" s="1"/>
  <c r="H207" i="23"/>
  <c r="G193" i="23"/>
  <c r="CD193" i="6" s="1"/>
  <c r="H193" i="23"/>
  <c r="AA193" i="23"/>
  <c r="Z193" i="23" s="1"/>
  <c r="Y193" i="23" s="1"/>
  <c r="AA187" i="23"/>
  <c r="Z187" i="23" s="1"/>
  <c r="Y187" i="23" s="1"/>
  <c r="H187" i="23"/>
  <c r="G187" i="23"/>
  <c r="CD187" i="6" s="1"/>
  <c r="G185" i="23"/>
  <c r="CD185" i="6" s="1"/>
  <c r="H185" i="23"/>
  <c r="AA185" i="23"/>
  <c r="Z185" i="23" s="1"/>
  <c r="Y185" i="23" s="1"/>
  <c r="G177" i="23"/>
  <c r="CD177" i="6" s="1"/>
  <c r="H177" i="23"/>
  <c r="AA177" i="23"/>
  <c r="Z177" i="23" s="1"/>
  <c r="Y177" i="23" s="1"/>
  <c r="G169" i="23"/>
  <c r="CD169" i="6" s="1"/>
  <c r="H169" i="23"/>
  <c r="AA169" i="23"/>
  <c r="Z169" i="23" s="1"/>
  <c r="Y169" i="23" s="1"/>
  <c r="G165" i="23"/>
  <c r="CD165" i="6" s="1"/>
  <c r="AA165" i="23"/>
  <c r="Z165" i="23" s="1"/>
  <c r="Y165" i="23" s="1"/>
  <c r="H165" i="23"/>
  <c r="J159" i="23"/>
  <c r="I159" i="23"/>
  <c r="AA157" i="23"/>
  <c r="Z157" i="23" s="1"/>
  <c r="Y157" i="23" s="1"/>
  <c r="H157" i="23"/>
  <c r="G157" i="23"/>
  <c r="CD157" i="6" s="1"/>
  <c r="G147" i="23"/>
  <c r="CD147" i="6" s="1"/>
  <c r="AA147" i="23"/>
  <c r="Z147" i="23" s="1"/>
  <c r="Y147" i="23" s="1"/>
  <c r="H147" i="23"/>
  <c r="AA145" i="23"/>
  <c r="Z145" i="23" s="1"/>
  <c r="Y145" i="23" s="1"/>
  <c r="H145" i="23"/>
  <c r="G145" i="23"/>
  <c r="CD145" i="6" s="1"/>
  <c r="G141" i="23"/>
  <c r="CD141" i="6" s="1"/>
  <c r="AA141" i="23"/>
  <c r="Z141" i="23" s="1"/>
  <c r="Y141" i="23" s="1"/>
  <c r="H141" i="23"/>
  <c r="AA139" i="23"/>
  <c r="Z139" i="23" s="1"/>
  <c r="Y139" i="23" s="1"/>
  <c r="G139" i="23"/>
  <c r="CD139" i="6" s="1"/>
  <c r="H139" i="23"/>
  <c r="G123" i="23"/>
  <c r="CD123" i="6" s="1"/>
  <c r="AA123" i="23"/>
  <c r="Z123" i="23" s="1"/>
  <c r="Y123" i="23" s="1"/>
  <c r="H123" i="23"/>
  <c r="W119" i="23"/>
  <c r="D119" i="23"/>
  <c r="E119" i="23" s="1"/>
  <c r="F119" i="23" s="1"/>
  <c r="G117" i="23"/>
  <c r="CD117" i="6" s="1"/>
  <c r="AA117" i="23"/>
  <c r="Z117" i="23" s="1"/>
  <c r="Y117" i="23" s="1"/>
  <c r="H117" i="23"/>
  <c r="AA115" i="23"/>
  <c r="Z115" i="23" s="1"/>
  <c r="Y115" i="23" s="1"/>
  <c r="G115" i="23"/>
  <c r="CD115" i="6" s="1"/>
  <c r="H115" i="23"/>
  <c r="G107" i="23"/>
  <c r="CD107" i="6" s="1"/>
  <c r="AA107" i="23"/>
  <c r="Z107" i="23" s="1"/>
  <c r="Y107" i="23" s="1"/>
  <c r="H107" i="23"/>
  <c r="G103" i="23"/>
  <c r="CD103" i="6" s="1"/>
  <c r="H103" i="23"/>
  <c r="AA103" i="23"/>
  <c r="Z103" i="23" s="1"/>
  <c r="Y103" i="23" s="1"/>
  <c r="G95" i="23"/>
  <c r="CD95" i="6" s="1"/>
  <c r="AA95" i="23"/>
  <c r="Z95" i="23" s="1"/>
  <c r="Y95" i="23" s="1"/>
  <c r="H95" i="23"/>
  <c r="G91" i="23"/>
  <c r="CD91" i="6" s="1"/>
  <c r="H91" i="23"/>
  <c r="AA91" i="23"/>
  <c r="Z91" i="23" s="1"/>
  <c r="Y91" i="23" s="1"/>
  <c r="G85" i="23"/>
  <c r="CD85" i="6" s="1"/>
  <c r="AA85" i="23"/>
  <c r="Z85" i="23" s="1"/>
  <c r="Y85" i="23" s="1"/>
  <c r="H85" i="23"/>
  <c r="AA81" i="23"/>
  <c r="Z81" i="23" s="1"/>
  <c r="Y81" i="23" s="1"/>
  <c r="G81" i="23"/>
  <c r="CD81" i="6" s="1"/>
  <c r="H81" i="23"/>
  <c r="AA79" i="23"/>
  <c r="Z79" i="23" s="1"/>
  <c r="Y79" i="23" s="1"/>
  <c r="H79" i="23"/>
  <c r="G79" i="23"/>
  <c r="CD79" i="6" s="1"/>
  <c r="G69" i="23"/>
  <c r="CD69" i="6" s="1"/>
  <c r="AA69" i="23"/>
  <c r="Z69" i="23" s="1"/>
  <c r="Y69" i="23" s="1"/>
  <c r="H69" i="23"/>
  <c r="G55" i="23"/>
  <c r="CD55" i="6" s="1"/>
  <c r="H55" i="23"/>
  <c r="AA55" i="23"/>
  <c r="Z55" i="23" s="1"/>
  <c r="Y55" i="23" s="1"/>
  <c r="J53" i="23"/>
  <c r="I53" i="23"/>
  <c r="AA45" i="23"/>
  <c r="Z45" i="23" s="1"/>
  <c r="Y45" i="23" s="1"/>
  <c r="H45" i="23"/>
  <c r="G45" i="23"/>
  <c r="CD45" i="6" s="1"/>
  <c r="AA41" i="23"/>
  <c r="Z41" i="23" s="1"/>
  <c r="Y41" i="23" s="1"/>
  <c r="H41" i="23"/>
  <c r="G41" i="23"/>
  <c r="CD41" i="6" s="1"/>
  <c r="AA37" i="23"/>
  <c r="Z37" i="23" s="1"/>
  <c r="Y37" i="23" s="1"/>
  <c r="G37" i="23"/>
  <c r="CD37" i="6" s="1"/>
  <c r="H37" i="23"/>
  <c r="AA25" i="23"/>
  <c r="Z25" i="23" s="1"/>
  <c r="Y25" i="23" s="1"/>
  <c r="G25" i="23"/>
  <c r="CD25" i="6" s="1"/>
  <c r="H25" i="23"/>
  <c r="AA21" i="23"/>
  <c r="Z21" i="23" s="1"/>
  <c r="Y21" i="23" s="1"/>
  <c r="H21" i="23"/>
  <c r="G21" i="23"/>
  <c r="CD21" i="6" s="1"/>
  <c r="G16" i="23"/>
  <c r="CD16" i="6" s="1"/>
  <c r="AA16" i="23"/>
  <c r="Z16" i="23" s="1"/>
  <c r="Y16" i="23" s="1"/>
  <c r="H16" i="23"/>
  <c r="G17" i="23"/>
  <c r="CD17" i="6" s="1"/>
  <c r="H17" i="23"/>
  <c r="AA17" i="23"/>
  <c r="Z17" i="23" s="1"/>
  <c r="Y17" i="23" s="1"/>
  <c r="P383" i="22"/>
  <c r="P381" i="22"/>
  <c r="V15" i="22"/>
  <c r="P382" i="22"/>
  <c r="D349" i="24"/>
  <c r="E349" i="24" s="1"/>
  <c r="F349" i="24" s="1"/>
  <c r="AD382" i="22"/>
  <c r="AD383" i="22"/>
  <c r="AD381" i="22"/>
  <c r="I119" i="22"/>
  <c r="J119" i="22"/>
  <c r="G227" i="23"/>
  <c r="CD227" i="6" s="1"/>
  <c r="AA227" i="23"/>
  <c r="Z227" i="23" s="1"/>
  <c r="Y227" i="23" s="1"/>
  <c r="AA354" i="23"/>
  <c r="Z354" i="23" s="1"/>
  <c r="Y354" i="23" s="1"/>
  <c r="G354" i="23"/>
  <c r="CD354" i="6" s="1"/>
  <c r="H354" i="23"/>
  <c r="G344" i="23"/>
  <c r="CD344" i="6" s="1"/>
  <c r="H344" i="23"/>
  <c r="AA344" i="23"/>
  <c r="Z344" i="23" s="1"/>
  <c r="Y344" i="23" s="1"/>
  <c r="G338" i="23"/>
  <c r="CD338" i="6" s="1"/>
  <c r="H338" i="23"/>
  <c r="AA338" i="23"/>
  <c r="Z338" i="23" s="1"/>
  <c r="Y338" i="23" s="1"/>
  <c r="J330" i="23"/>
  <c r="I330" i="23"/>
  <c r="AA328" i="23"/>
  <c r="Z328" i="23" s="1"/>
  <c r="Y328" i="23" s="1"/>
  <c r="H328" i="23"/>
  <c r="G328" i="23"/>
  <c r="CD328" i="6" s="1"/>
  <c r="AA324" i="23"/>
  <c r="Z324" i="23" s="1"/>
  <c r="Y324" i="23" s="1"/>
  <c r="G324" i="23"/>
  <c r="CD324" i="6" s="1"/>
  <c r="H324" i="23"/>
  <c r="AA314" i="23"/>
  <c r="Z314" i="23" s="1"/>
  <c r="Y314" i="23" s="1"/>
  <c r="H314" i="23"/>
  <c r="G314" i="23"/>
  <c r="CD314" i="6" s="1"/>
  <c r="G310" i="23"/>
  <c r="CD310" i="6" s="1"/>
  <c r="H310" i="23"/>
  <c r="AA310" i="23"/>
  <c r="Z310" i="23" s="1"/>
  <c r="Y310" i="23" s="1"/>
  <c r="G290" i="23"/>
  <c r="CD290" i="6" s="1"/>
  <c r="AA290" i="23"/>
  <c r="Z290" i="23" s="1"/>
  <c r="Y290" i="23" s="1"/>
  <c r="H290" i="23"/>
  <c r="G284" i="23"/>
  <c r="CD284" i="6" s="1"/>
  <c r="AA284" i="23"/>
  <c r="Z284" i="23" s="1"/>
  <c r="Y284" i="23" s="1"/>
  <c r="H284" i="23"/>
  <c r="G254" i="23"/>
  <c r="CD254" i="6" s="1"/>
  <c r="AA254" i="23"/>
  <c r="Z254" i="23" s="1"/>
  <c r="Y254" i="23" s="1"/>
  <c r="H254" i="23"/>
  <c r="AA218" i="23"/>
  <c r="Z218" i="23" s="1"/>
  <c r="Y218" i="23" s="1"/>
  <c r="H218" i="23"/>
  <c r="G218" i="23"/>
  <c r="CD218" i="6" s="1"/>
  <c r="G206" i="23"/>
  <c r="CD206" i="6" s="1"/>
  <c r="AA206" i="23"/>
  <c r="Z206" i="23" s="1"/>
  <c r="Y206" i="23" s="1"/>
  <c r="H206" i="23"/>
  <c r="AA178" i="23"/>
  <c r="Z178" i="23" s="1"/>
  <c r="Y178" i="23" s="1"/>
  <c r="H178" i="23"/>
  <c r="G178" i="23"/>
  <c r="CD178" i="6" s="1"/>
  <c r="G158" i="23"/>
  <c r="CD158" i="6" s="1"/>
  <c r="AA158" i="23"/>
  <c r="Z158" i="23" s="1"/>
  <c r="Y158" i="23" s="1"/>
  <c r="H158" i="23"/>
  <c r="AA138" i="23"/>
  <c r="Z138" i="23" s="1"/>
  <c r="Y138" i="23" s="1"/>
  <c r="G138" i="23"/>
  <c r="CD138" i="6" s="1"/>
  <c r="H138" i="23"/>
  <c r="G120" i="23"/>
  <c r="CD120" i="6" s="1"/>
  <c r="H120" i="23"/>
  <c r="AA120" i="23"/>
  <c r="Z120" i="23" s="1"/>
  <c r="Y120" i="23" s="1"/>
  <c r="G114" i="23"/>
  <c r="CD114" i="6" s="1"/>
  <c r="AA114" i="23"/>
  <c r="Z114" i="23" s="1"/>
  <c r="Y114" i="23" s="1"/>
  <c r="H114" i="23"/>
  <c r="AA92" i="23"/>
  <c r="Z92" i="23" s="1"/>
  <c r="Y92" i="23" s="1"/>
  <c r="G92" i="23"/>
  <c r="CD92" i="6" s="1"/>
  <c r="H92" i="23"/>
  <c r="G72" i="23"/>
  <c r="CD72" i="6" s="1"/>
  <c r="AA72" i="23"/>
  <c r="Z72" i="23" s="1"/>
  <c r="Y72" i="23" s="1"/>
  <c r="H72" i="23"/>
  <c r="AA20" i="23"/>
  <c r="Z20" i="23" s="1"/>
  <c r="Y20" i="23" s="1"/>
  <c r="G20" i="23"/>
  <c r="CD20" i="6" s="1"/>
  <c r="H20" i="23"/>
  <c r="J105" i="22"/>
  <c r="I105" i="22"/>
  <c r="H105" i="23" s="1"/>
  <c r="F9" i="18"/>
  <c r="F383" i="18"/>
  <c r="AA15" i="18"/>
  <c r="AM10" i="18"/>
  <c r="H15" i="18"/>
  <c r="AK10" i="18"/>
  <c r="AK12" i="18" s="1"/>
  <c r="AK13" i="18" s="1"/>
  <c r="F382" i="18"/>
  <c r="G15" i="18"/>
  <c r="CA15" i="6" s="1"/>
  <c r="F381" i="18"/>
  <c r="I380" i="23"/>
  <c r="H380" i="24" s="1"/>
  <c r="J380" i="23"/>
  <c r="U12" i="25"/>
  <c r="AZ16" i="7"/>
  <c r="BF11" i="7" s="1"/>
  <c r="U11" i="25" s="1"/>
  <c r="T379" i="24"/>
  <c r="S379" i="24" s="1"/>
  <c r="R379" i="24" s="1"/>
  <c r="P379" i="24" s="1"/>
  <c r="D377" i="24"/>
  <c r="E377" i="24" s="1"/>
  <c r="F377" i="24" s="1"/>
  <c r="W377" i="24"/>
  <c r="W375" i="24"/>
  <c r="D375" i="24"/>
  <c r="E375" i="24" s="1"/>
  <c r="F375" i="24" s="1"/>
  <c r="W373" i="24"/>
  <c r="S371" i="24"/>
  <c r="R371" i="24" s="1"/>
  <c r="P371" i="24" s="1"/>
  <c r="V371" i="24" s="1"/>
  <c r="B371" i="24" s="1"/>
  <c r="D369" i="24"/>
  <c r="E369" i="24" s="1"/>
  <c r="F369" i="24" s="1"/>
  <c r="W369" i="24"/>
  <c r="S367" i="24"/>
  <c r="R367" i="24" s="1"/>
  <c r="P367" i="24" s="1"/>
  <c r="V367" i="24" s="1"/>
  <c r="B367" i="24" s="1"/>
  <c r="W365" i="24"/>
  <c r="S363" i="24"/>
  <c r="R363" i="24" s="1"/>
  <c r="P363" i="24" s="1"/>
  <c r="W361" i="24"/>
  <c r="D361" i="24"/>
  <c r="E361" i="24" s="1"/>
  <c r="F361" i="24" s="1"/>
  <c r="W359" i="24"/>
  <c r="D359" i="24"/>
  <c r="E359" i="24" s="1"/>
  <c r="F359" i="24" s="1"/>
  <c r="W357" i="24"/>
  <c r="D355" i="24"/>
  <c r="E355" i="24" s="1"/>
  <c r="F355" i="24" s="1"/>
  <c r="W355" i="24"/>
  <c r="S353" i="24"/>
  <c r="R353" i="24" s="1"/>
  <c r="P353" i="24" s="1"/>
  <c r="V353" i="24" s="1"/>
  <c r="B353" i="24" s="1"/>
  <c r="D351" i="24"/>
  <c r="E351" i="24" s="1"/>
  <c r="F351" i="24" s="1"/>
  <c r="W351" i="24"/>
  <c r="S347" i="24"/>
  <c r="R347" i="24" s="1"/>
  <c r="P347" i="24" s="1"/>
  <c r="V347" i="24" s="1"/>
  <c r="B347" i="24" s="1"/>
  <c r="D345" i="24"/>
  <c r="E345" i="24" s="1"/>
  <c r="F345" i="24" s="1"/>
  <c r="W345" i="24"/>
  <c r="W343" i="24"/>
  <c r="D343" i="24"/>
  <c r="E343" i="24" s="1"/>
  <c r="F343" i="24" s="1"/>
  <c r="W339" i="24"/>
  <c r="D339" i="24"/>
  <c r="E339" i="24" s="1"/>
  <c r="F339" i="24" s="1"/>
  <c r="W337" i="24"/>
  <c r="D337" i="24"/>
  <c r="E337" i="24" s="1"/>
  <c r="F337" i="24" s="1"/>
  <c r="S335" i="24"/>
  <c r="R335" i="24" s="1"/>
  <c r="P335" i="24" s="1"/>
  <c r="V335" i="24" s="1"/>
  <c r="B335" i="24" s="1"/>
  <c r="V333" i="24"/>
  <c r="B333" i="24" s="1"/>
  <c r="S331" i="24"/>
  <c r="R331" i="24" s="1"/>
  <c r="P331" i="24" s="1"/>
  <c r="V331" i="24" s="1"/>
  <c r="B331" i="24" s="1"/>
  <c r="D329" i="24"/>
  <c r="E329" i="24" s="1"/>
  <c r="F329" i="24" s="1"/>
  <c r="W329" i="24"/>
  <c r="D327" i="24"/>
  <c r="E327" i="24" s="1"/>
  <c r="F327" i="24" s="1"/>
  <c r="W327" i="24"/>
  <c r="W325" i="24"/>
  <c r="W323" i="24"/>
  <c r="D323" i="24"/>
  <c r="E323" i="24" s="1"/>
  <c r="F323" i="24" s="1"/>
  <c r="S321" i="24"/>
  <c r="R321" i="24" s="1"/>
  <c r="P321" i="24" s="1"/>
  <c r="V321" i="24" s="1"/>
  <c r="B321" i="24" s="1"/>
  <c r="S319" i="24"/>
  <c r="R319" i="24" s="1"/>
  <c r="P319" i="24" s="1"/>
  <c r="V319" i="24" s="1"/>
  <c r="D317" i="24"/>
  <c r="E317" i="24" s="1"/>
  <c r="F317" i="24" s="1"/>
  <c r="D315" i="24"/>
  <c r="E315" i="24" s="1"/>
  <c r="F315" i="24" s="1"/>
  <c r="W315" i="24"/>
  <c r="D313" i="24"/>
  <c r="E313" i="24" s="1"/>
  <c r="F313" i="24" s="1"/>
  <c r="W313" i="24"/>
  <c r="S311" i="24"/>
  <c r="R311" i="24" s="1"/>
  <c r="P311" i="24" s="1"/>
  <c r="V311" i="24" s="1"/>
  <c r="B311" i="24" s="1"/>
  <c r="D307" i="24"/>
  <c r="E307" i="24" s="1"/>
  <c r="F307" i="24" s="1"/>
  <c r="W307" i="24"/>
  <c r="S305" i="24"/>
  <c r="R305" i="24" s="1"/>
  <c r="P305" i="24" s="1"/>
  <c r="V305" i="24" s="1"/>
  <c r="B305" i="24" s="1"/>
  <c r="W303" i="24"/>
  <c r="D303" i="24"/>
  <c r="E303" i="24" s="1"/>
  <c r="F303" i="24" s="1"/>
  <c r="D301" i="24"/>
  <c r="E301" i="24" s="1"/>
  <c r="F301" i="24" s="1"/>
  <c r="S299" i="24"/>
  <c r="R299" i="24" s="1"/>
  <c r="P299" i="24" s="1"/>
  <c r="V299" i="24" s="1"/>
  <c r="B299" i="24" s="1"/>
  <c r="D297" i="24"/>
  <c r="E297" i="24" s="1"/>
  <c r="F297" i="24" s="1"/>
  <c r="W297" i="24"/>
  <c r="S295" i="24"/>
  <c r="R295" i="24" s="1"/>
  <c r="P295" i="24" s="1"/>
  <c r="V295" i="24" s="1"/>
  <c r="B295" i="24" s="1"/>
  <c r="D293" i="24"/>
  <c r="E293" i="24" s="1"/>
  <c r="F293" i="24" s="1"/>
  <c r="S291" i="24"/>
  <c r="R291" i="24" s="1"/>
  <c r="P291" i="24" s="1"/>
  <c r="V291" i="24" s="1"/>
  <c r="B291" i="24" s="1"/>
  <c r="S289" i="24"/>
  <c r="R289" i="24" s="1"/>
  <c r="P289" i="24" s="1"/>
  <c r="V289" i="24" s="1"/>
  <c r="B289" i="24" s="1"/>
  <c r="W287" i="24"/>
  <c r="D287" i="24"/>
  <c r="E287" i="24" s="1"/>
  <c r="F287" i="24" s="1"/>
  <c r="D283" i="24"/>
  <c r="E283" i="24" s="1"/>
  <c r="F283" i="24" s="1"/>
  <c r="W283" i="24"/>
  <c r="W281" i="24"/>
  <c r="D281" i="24"/>
  <c r="E281" i="24" s="1"/>
  <c r="F281" i="24" s="1"/>
  <c r="W279" i="24"/>
  <c r="D279" i="24"/>
  <c r="E279" i="24" s="1"/>
  <c r="F279" i="24" s="1"/>
  <c r="D277" i="24"/>
  <c r="E277" i="24" s="1"/>
  <c r="F277" i="24" s="1"/>
  <c r="W275" i="24"/>
  <c r="D275" i="24"/>
  <c r="E275" i="24" s="1"/>
  <c r="F275" i="24" s="1"/>
  <c r="W273" i="24"/>
  <c r="D273" i="24"/>
  <c r="E273" i="24" s="1"/>
  <c r="F273" i="24" s="1"/>
  <c r="D271" i="24"/>
  <c r="E271" i="24" s="1"/>
  <c r="F271" i="24" s="1"/>
  <c r="W271" i="24"/>
  <c r="D269" i="24"/>
  <c r="E269" i="24" s="1"/>
  <c r="F269" i="24" s="1"/>
  <c r="D267" i="24"/>
  <c r="E267" i="24" s="1"/>
  <c r="F267" i="24" s="1"/>
  <c r="W267" i="24"/>
  <c r="D265" i="24"/>
  <c r="E265" i="24" s="1"/>
  <c r="F265" i="24" s="1"/>
  <c r="W265" i="24"/>
  <c r="W263" i="24"/>
  <c r="D263" i="24"/>
  <c r="E263" i="24" s="1"/>
  <c r="F263" i="24" s="1"/>
  <c r="D261" i="24"/>
  <c r="E261" i="24" s="1"/>
  <c r="F261" i="24" s="1"/>
  <c r="S259" i="24"/>
  <c r="R259" i="24" s="1"/>
  <c r="P259" i="24" s="1"/>
  <c r="V259" i="24" s="1"/>
  <c r="B259" i="24" s="1"/>
  <c r="W257" i="24"/>
  <c r="D257" i="24"/>
  <c r="E257" i="24" s="1"/>
  <c r="F257" i="24" s="1"/>
  <c r="W255" i="24"/>
  <c r="D255" i="24"/>
  <c r="E255" i="24" s="1"/>
  <c r="F255" i="24" s="1"/>
  <c r="W253" i="24"/>
  <c r="S251" i="24"/>
  <c r="R251" i="24" s="1"/>
  <c r="P251" i="24" s="1"/>
  <c r="V251" i="24" s="1"/>
  <c r="B251" i="24" s="1"/>
  <c r="D249" i="24"/>
  <c r="E249" i="24" s="1"/>
  <c r="F249" i="24" s="1"/>
  <c r="W249" i="24"/>
  <c r="D247" i="24"/>
  <c r="E247" i="24" s="1"/>
  <c r="F247" i="24" s="1"/>
  <c r="W247" i="24"/>
  <c r="W245" i="24"/>
  <c r="D243" i="24"/>
  <c r="E243" i="24" s="1"/>
  <c r="F243" i="24" s="1"/>
  <c r="W243" i="24"/>
  <c r="AH63" i="7"/>
  <c r="V241" i="24"/>
  <c r="B241" i="24" s="1"/>
  <c r="D239" i="24"/>
  <c r="E239" i="24" s="1"/>
  <c r="F239" i="24" s="1"/>
  <c r="W239" i="24"/>
  <c r="S237" i="24"/>
  <c r="R237" i="24" s="1"/>
  <c r="P237" i="24" s="1"/>
  <c r="V237" i="24" s="1"/>
  <c r="B237" i="24" s="1"/>
  <c r="S235" i="24"/>
  <c r="R235" i="24" s="1"/>
  <c r="P235" i="24" s="1"/>
  <c r="V235" i="24" s="1"/>
  <c r="B235" i="24" s="1"/>
  <c r="W233" i="24"/>
  <c r="D233" i="24"/>
  <c r="E233" i="24" s="1"/>
  <c r="F233" i="24" s="1"/>
  <c r="D231" i="24"/>
  <c r="E231" i="24" s="1"/>
  <c r="F231" i="24" s="1"/>
  <c r="W231" i="24"/>
  <c r="S229" i="24"/>
  <c r="R229" i="24" s="1"/>
  <c r="P229" i="24" s="1"/>
  <c r="V229" i="24" s="1"/>
  <c r="B229" i="24" s="1"/>
  <c r="S225" i="24"/>
  <c r="R225" i="24" s="1"/>
  <c r="P225" i="24" s="1"/>
  <c r="V225" i="24" s="1"/>
  <c r="B225" i="24" s="1"/>
  <c r="D223" i="24"/>
  <c r="E223" i="24" s="1"/>
  <c r="F223" i="24" s="1"/>
  <c r="W223" i="24"/>
  <c r="S221" i="24"/>
  <c r="R221" i="24" s="1"/>
  <c r="P221" i="24" s="1"/>
  <c r="V221" i="24" s="1"/>
  <c r="B221" i="24" s="1"/>
  <c r="W219" i="24"/>
  <c r="D219" i="24"/>
  <c r="E219" i="24" s="1"/>
  <c r="F219" i="24" s="1"/>
  <c r="D217" i="24"/>
  <c r="E217" i="24" s="1"/>
  <c r="F217" i="24" s="1"/>
  <c r="W217" i="24"/>
  <c r="W215" i="24"/>
  <c r="D215" i="24"/>
  <c r="E215" i="24" s="1"/>
  <c r="F215" i="24" s="1"/>
  <c r="W211" i="24"/>
  <c r="D211" i="24"/>
  <c r="E211" i="24" s="1"/>
  <c r="F211" i="24" s="1"/>
  <c r="W209" i="24"/>
  <c r="D209" i="24"/>
  <c r="E209" i="24" s="1"/>
  <c r="F209" i="24" s="1"/>
  <c r="S207" i="24"/>
  <c r="R207" i="24" s="1"/>
  <c r="P207" i="24" s="1"/>
  <c r="V207" i="24" s="1"/>
  <c r="B207" i="24" s="1"/>
  <c r="D203" i="24"/>
  <c r="E203" i="24" s="1"/>
  <c r="F203" i="24" s="1"/>
  <c r="W203" i="24"/>
  <c r="W201" i="24"/>
  <c r="D201" i="24"/>
  <c r="E201" i="24" s="1"/>
  <c r="F201" i="24" s="1"/>
  <c r="W199" i="24"/>
  <c r="D199" i="24"/>
  <c r="E199" i="24" s="1"/>
  <c r="F199" i="24" s="1"/>
  <c r="W197" i="24"/>
  <c r="S195" i="24"/>
  <c r="R195" i="24" s="1"/>
  <c r="P195" i="24" s="1"/>
  <c r="V195" i="24" s="1"/>
  <c r="B195" i="24" s="1"/>
  <c r="D193" i="24"/>
  <c r="E193" i="24" s="1"/>
  <c r="F193" i="24" s="1"/>
  <c r="W193" i="24"/>
  <c r="D191" i="24"/>
  <c r="E191" i="24" s="1"/>
  <c r="F191" i="24" s="1"/>
  <c r="W191" i="24"/>
  <c r="W187" i="24"/>
  <c r="D187" i="24"/>
  <c r="E187" i="24" s="1"/>
  <c r="F187" i="24" s="1"/>
  <c r="D185" i="24"/>
  <c r="E185" i="24" s="1"/>
  <c r="F185" i="24" s="1"/>
  <c r="W185" i="24"/>
  <c r="D183" i="24"/>
  <c r="E183" i="24" s="1"/>
  <c r="F183" i="24" s="1"/>
  <c r="W183" i="24"/>
  <c r="S181" i="24"/>
  <c r="R181" i="24" s="1"/>
  <c r="P181" i="24" s="1"/>
  <c r="V181" i="24" s="1"/>
  <c r="B181" i="24" s="1"/>
  <c r="W179" i="24"/>
  <c r="D179" i="24"/>
  <c r="E179" i="24" s="1"/>
  <c r="F179" i="24" s="1"/>
  <c r="W177" i="24"/>
  <c r="D177" i="24"/>
  <c r="E177" i="24" s="1"/>
  <c r="F177" i="24" s="1"/>
  <c r="W175" i="24"/>
  <c r="D175" i="24"/>
  <c r="E175" i="24" s="1"/>
  <c r="F175" i="24" s="1"/>
  <c r="D173" i="24"/>
  <c r="E173" i="24" s="1"/>
  <c r="F173" i="24" s="1"/>
  <c r="D171" i="24"/>
  <c r="E171" i="24" s="1"/>
  <c r="F171" i="24" s="1"/>
  <c r="W171" i="24"/>
  <c r="D169" i="24"/>
  <c r="E169" i="24" s="1"/>
  <c r="F169" i="24" s="1"/>
  <c r="W169" i="24"/>
  <c r="D167" i="24"/>
  <c r="E167" i="24" s="1"/>
  <c r="F167" i="24" s="1"/>
  <c r="W167" i="24"/>
  <c r="W165" i="24"/>
  <c r="S163" i="24"/>
  <c r="R163" i="24" s="1"/>
  <c r="P163" i="24" s="1"/>
  <c r="V163" i="24" s="1"/>
  <c r="B163" i="24" s="1"/>
  <c r="W161" i="24"/>
  <c r="D161" i="24"/>
  <c r="E161" i="24" s="1"/>
  <c r="F161" i="24" s="1"/>
  <c r="W159" i="24"/>
  <c r="D159" i="24"/>
  <c r="E159" i="24" s="1"/>
  <c r="F159" i="24" s="1"/>
  <c r="S157" i="24"/>
  <c r="R157" i="24" s="1"/>
  <c r="P157" i="24" s="1"/>
  <c r="V157" i="24" s="1"/>
  <c r="B157" i="24" s="1"/>
  <c r="W155" i="24"/>
  <c r="D151" i="24"/>
  <c r="E151" i="24" s="1"/>
  <c r="F151" i="24" s="1"/>
  <c r="W151" i="24"/>
  <c r="AH60" i="7"/>
  <c r="V149" i="24"/>
  <c r="B149" i="24" s="1"/>
  <c r="W147" i="24"/>
  <c r="D147" i="24"/>
  <c r="E147" i="24" s="1"/>
  <c r="F147" i="24" s="1"/>
  <c r="D143" i="24"/>
  <c r="E143" i="24" s="1"/>
  <c r="F143" i="24" s="1"/>
  <c r="W143" i="24"/>
  <c r="W141" i="24"/>
  <c r="D141" i="24"/>
  <c r="E141" i="24" s="1"/>
  <c r="F141" i="24" s="1"/>
  <c r="D139" i="24"/>
  <c r="E139" i="24" s="1"/>
  <c r="F139" i="24" s="1"/>
  <c r="W133" i="24"/>
  <c r="D133" i="24"/>
  <c r="E133" i="24" s="1"/>
  <c r="F133" i="24" s="1"/>
  <c r="S131" i="24"/>
  <c r="R131" i="24" s="1"/>
  <c r="P131" i="24" s="1"/>
  <c r="V131" i="24" s="1"/>
  <c r="B131" i="24" s="1"/>
  <c r="S127" i="24"/>
  <c r="R127" i="24" s="1"/>
  <c r="P127" i="24" s="1"/>
  <c r="V127" i="24" s="1"/>
  <c r="B127" i="24" s="1"/>
  <c r="S125" i="24"/>
  <c r="R125" i="24" s="1"/>
  <c r="P125" i="24" s="1"/>
  <c r="V125" i="24" s="1"/>
  <c r="B125" i="24" s="1"/>
  <c r="S123" i="24"/>
  <c r="R123" i="24" s="1"/>
  <c r="P123" i="24" s="1"/>
  <c r="V123" i="24" s="1"/>
  <c r="B123" i="24" s="1"/>
  <c r="AH59" i="7"/>
  <c r="V119" i="24"/>
  <c r="B119" i="24" s="1"/>
  <c r="W117" i="24"/>
  <c r="D117" i="24"/>
  <c r="E117" i="24" s="1"/>
  <c r="F117" i="24" s="1"/>
  <c r="D115" i="24"/>
  <c r="E115" i="24" s="1"/>
  <c r="F115" i="24" s="1"/>
  <c r="W115" i="24"/>
  <c r="S111" i="24"/>
  <c r="R111" i="24" s="1"/>
  <c r="P111" i="24" s="1"/>
  <c r="V111" i="24" s="1"/>
  <c r="B111" i="24" s="1"/>
  <c r="D109" i="24"/>
  <c r="E109" i="24" s="1"/>
  <c r="F109" i="24" s="1"/>
  <c r="W109" i="24"/>
  <c r="W107" i="24"/>
  <c r="S103" i="24"/>
  <c r="R103" i="24" s="1"/>
  <c r="P103" i="24" s="1"/>
  <c r="V103" i="24" s="1"/>
  <c r="B103" i="24" s="1"/>
  <c r="D101" i="24"/>
  <c r="E101" i="24" s="1"/>
  <c r="F101" i="24" s="1"/>
  <c r="W101" i="24"/>
  <c r="W99" i="24"/>
  <c r="D99" i="24"/>
  <c r="E99" i="24" s="1"/>
  <c r="F99" i="24" s="1"/>
  <c r="D97" i="24"/>
  <c r="E97" i="24" s="1"/>
  <c r="F97" i="24" s="1"/>
  <c r="S95" i="24"/>
  <c r="R95" i="24" s="1"/>
  <c r="P95" i="24" s="1"/>
  <c r="V95" i="24" s="1"/>
  <c r="B95" i="24" s="1"/>
  <c r="D93" i="24"/>
  <c r="E93" i="24" s="1"/>
  <c r="F93" i="24" s="1"/>
  <c r="W93" i="24"/>
  <c r="S91" i="24"/>
  <c r="R91" i="24" s="1"/>
  <c r="P91" i="24" s="1"/>
  <c r="V91" i="24" s="1"/>
  <c r="B91" i="24" s="1"/>
  <c r="D87" i="24"/>
  <c r="E87" i="24" s="1"/>
  <c r="F87" i="24" s="1"/>
  <c r="W87" i="24"/>
  <c r="D85" i="24"/>
  <c r="E85" i="24" s="1"/>
  <c r="F85" i="24" s="1"/>
  <c r="W85" i="24"/>
  <c r="W83" i="24"/>
  <c r="D83" i="24"/>
  <c r="E83" i="24" s="1"/>
  <c r="F83" i="24" s="1"/>
  <c r="S81" i="24"/>
  <c r="R81" i="24" s="1"/>
  <c r="P81" i="24" s="1"/>
  <c r="V81" i="24" s="1"/>
  <c r="B81" i="24" s="1"/>
  <c r="D79" i="24"/>
  <c r="E79" i="24" s="1"/>
  <c r="F79" i="24" s="1"/>
  <c r="W79" i="24"/>
  <c r="W77" i="24"/>
  <c r="D77" i="24"/>
  <c r="E77" i="24" s="1"/>
  <c r="F77" i="24" s="1"/>
  <c r="S73" i="24"/>
  <c r="R73" i="24" s="1"/>
  <c r="P73" i="24" s="1"/>
  <c r="V73" i="24" s="1"/>
  <c r="B73" i="24" s="1"/>
  <c r="W71" i="24"/>
  <c r="D71" i="24"/>
  <c r="E71" i="24" s="1"/>
  <c r="F71" i="24" s="1"/>
  <c r="S69" i="24"/>
  <c r="R69" i="24" s="1"/>
  <c r="P69" i="24" s="1"/>
  <c r="V69" i="24" s="1"/>
  <c r="B69" i="24" s="1"/>
  <c r="D67" i="24"/>
  <c r="E67" i="24" s="1"/>
  <c r="F67" i="24" s="1"/>
  <c r="W67" i="24"/>
  <c r="D65" i="24"/>
  <c r="E65" i="24" s="1"/>
  <c r="F65" i="24" s="1"/>
  <c r="W63" i="24"/>
  <c r="D63" i="24"/>
  <c r="E63" i="24" s="1"/>
  <c r="F63" i="24" s="1"/>
  <c r="W61" i="24"/>
  <c r="D61" i="24"/>
  <c r="E61" i="24" s="1"/>
  <c r="F61" i="24" s="1"/>
  <c r="W59" i="24"/>
  <c r="W55" i="24"/>
  <c r="D55" i="24"/>
  <c r="E55" i="24" s="1"/>
  <c r="F55" i="24" s="1"/>
  <c r="W53" i="24"/>
  <c r="D53" i="24"/>
  <c r="E53" i="24" s="1"/>
  <c r="F53" i="24" s="1"/>
  <c r="W51" i="24"/>
  <c r="D51" i="24"/>
  <c r="E51" i="24" s="1"/>
  <c r="F51" i="24" s="1"/>
  <c r="W49" i="24"/>
  <c r="D47" i="24"/>
  <c r="E47" i="24" s="1"/>
  <c r="F47" i="24" s="1"/>
  <c r="W47" i="24"/>
  <c r="W45" i="24"/>
  <c r="D45" i="24"/>
  <c r="E45" i="24" s="1"/>
  <c r="F45" i="24" s="1"/>
  <c r="W43" i="24"/>
  <c r="D39" i="24"/>
  <c r="E39" i="24" s="1"/>
  <c r="F39" i="24" s="1"/>
  <c r="W39" i="24"/>
  <c r="W37" i="24"/>
  <c r="D37" i="24"/>
  <c r="E37" i="24" s="1"/>
  <c r="F37" i="24" s="1"/>
  <c r="W35" i="24"/>
  <c r="D35" i="24"/>
  <c r="E35" i="24" s="1"/>
  <c r="F35" i="24" s="1"/>
  <c r="S31" i="24"/>
  <c r="R31" i="24" s="1"/>
  <c r="P31" i="24" s="1"/>
  <c r="V31" i="24" s="1"/>
  <c r="B31" i="24" s="1"/>
  <c r="AH56" i="7"/>
  <c r="V29" i="24"/>
  <c r="B29" i="24" s="1"/>
  <c r="W27" i="24"/>
  <c r="D18" i="24"/>
  <c r="E18" i="24" s="1"/>
  <c r="F18" i="24" s="1"/>
  <c r="W18" i="24"/>
  <c r="S19" i="24"/>
  <c r="R19" i="24" s="1"/>
  <c r="P19" i="24" s="1"/>
  <c r="V19" i="24" s="1"/>
  <c r="B19" i="24" s="1"/>
  <c r="D16" i="24"/>
  <c r="E16" i="24" s="1"/>
  <c r="F16" i="24" s="1"/>
  <c r="W16" i="24"/>
  <c r="S24" i="24"/>
  <c r="R24" i="24" s="1"/>
  <c r="P24" i="24" s="1"/>
  <c r="V24" i="24" s="1"/>
  <c r="B24" i="24" s="1"/>
  <c r="I371" i="23"/>
  <c r="J371" i="23"/>
  <c r="J299" i="23"/>
  <c r="I299" i="23"/>
  <c r="J225" i="23"/>
  <c r="I225" i="23"/>
  <c r="S382" i="23"/>
  <c r="S383" i="23"/>
  <c r="S381" i="23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I149" i="22"/>
  <c r="J149" i="22"/>
  <c r="J210" i="22"/>
  <c r="I210" i="22"/>
  <c r="B135" i="24"/>
  <c r="I258" i="22"/>
  <c r="J258" i="22"/>
  <c r="I360" i="23"/>
  <c r="J360" i="23"/>
  <c r="J316" i="23"/>
  <c r="I316" i="23"/>
  <c r="I256" i="23"/>
  <c r="J256" i="23"/>
  <c r="J214" i="23"/>
  <c r="I214" i="23"/>
  <c r="I200" i="23"/>
  <c r="J200" i="23"/>
  <c r="I186" i="23"/>
  <c r="J186" i="23"/>
  <c r="D9" i="20"/>
  <c r="D11" i="20" s="1"/>
  <c r="D381" i="20"/>
  <c r="D383" i="20"/>
  <c r="D382" i="20"/>
  <c r="E15" i="20"/>
  <c r="AK7" i="20" s="1"/>
  <c r="G378" i="23"/>
  <c r="CD378" i="6" s="1"/>
  <c r="AA378" i="23"/>
  <c r="Z378" i="23" s="1"/>
  <c r="Y378" i="23" s="1"/>
  <c r="H378" i="23"/>
  <c r="I352" i="23"/>
  <c r="J352" i="23"/>
  <c r="G346" i="23"/>
  <c r="CD346" i="6" s="1"/>
  <c r="H346" i="23"/>
  <c r="AA346" i="23"/>
  <c r="Z346" i="23" s="1"/>
  <c r="Y346" i="23" s="1"/>
  <c r="AA340" i="23"/>
  <c r="Z340" i="23" s="1"/>
  <c r="Y340" i="23" s="1"/>
  <c r="G340" i="23"/>
  <c r="CD340" i="6" s="1"/>
  <c r="H340" i="23"/>
  <c r="G326" i="23"/>
  <c r="CD326" i="6" s="1"/>
  <c r="AA326" i="23"/>
  <c r="Z326" i="23" s="1"/>
  <c r="Y326" i="23" s="1"/>
  <c r="H326" i="23"/>
  <c r="G322" i="23"/>
  <c r="CD322" i="6" s="1"/>
  <c r="H322" i="23"/>
  <c r="AA322" i="23"/>
  <c r="Z322" i="23" s="1"/>
  <c r="Y322" i="23" s="1"/>
  <c r="G312" i="23"/>
  <c r="CD312" i="6" s="1"/>
  <c r="H312" i="23"/>
  <c r="AA312" i="23"/>
  <c r="Z312" i="23" s="1"/>
  <c r="Y312" i="23" s="1"/>
  <c r="G302" i="23"/>
  <c r="CD302" i="6" s="1"/>
  <c r="H302" i="23"/>
  <c r="AA302" i="23"/>
  <c r="Z302" i="23" s="1"/>
  <c r="Y302" i="23" s="1"/>
  <c r="AA300" i="23"/>
  <c r="Z300" i="23" s="1"/>
  <c r="Y300" i="23" s="1"/>
  <c r="G300" i="23"/>
  <c r="CD300" i="6" s="1"/>
  <c r="H300" i="23"/>
  <c r="AA292" i="23"/>
  <c r="Z292" i="23" s="1"/>
  <c r="Y292" i="23" s="1"/>
  <c r="H292" i="23"/>
  <c r="G292" i="23"/>
  <c r="CD292" i="6" s="1"/>
  <c r="AA276" i="23"/>
  <c r="Z276" i="23" s="1"/>
  <c r="Y276" i="23" s="1"/>
  <c r="H276" i="23"/>
  <c r="G276" i="23"/>
  <c r="CD276" i="6" s="1"/>
  <c r="AA232" i="23"/>
  <c r="Z232" i="23" s="1"/>
  <c r="Y232" i="23" s="1"/>
  <c r="H232" i="23"/>
  <c r="G232" i="23"/>
  <c r="CD232" i="6" s="1"/>
  <c r="G222" i="23"/>
  <c r="CD222" i="6" s="1"/>
  <c r="H222" i="23"/>
  <c r="AA222" i="23"/>
  <c r="Z222" i="23" s="1"/>
  <c r="Y222" i="23" s="1"/>
  <c r="G194" i="23"/>
  <c r="CD194" i="6" s="1"/>
  <c r="AA194" i="23"/>
  <c r="Z194" i="23" s="1"/>
  <c r="Y194" i="23" s="1"/>
  <c r="H194" i="23"/>
  <c r="I168" i="23"/>
  <c r="J168" i="23"/>
  <c r="G156" i="23"/>
  <c r="CD156" i="6" s="1"/>
  <c r="H156" i="23"/>
  <c r="AA156" i="23"/>
  <c r="Z156" i="23" s="1"/>
  <c r="Y156" i="23" s="1"/>
  <c r="G150" i="23"/>
  <c r="CD150" i="6" s="1"/>
  <c r="H150" i="23"/>
  <c r="AA150" i="23"/>
  <c r="Z150" i="23" s="1"/>
  <c r="Y150" i="23" s="1"/>
  <c r="G146" i="23"/>
  <c r="CD146" i="6" s="1"/>
  <c r="AA146" i="23"/>
  <c r="Z146" i="23" s="1"/>
  <c r="Y146" i="23" s="1"/>
  <c r="H146" i="23"/>
  <c r="AA140" i="23"/>
  <c r="Z140" i="23" s="1"/>
  <c r="Y140" i="23" s="1"/>
  <c r="H140" i="23"/>
  <c r="G140" i="23"/>
  <c r="CD140" i="6" s="1"/>
  <c r="G130" i="23"/>
  <c r="CD130" i="6" s="1"/>
  <c r="H130" i="23"/>
  <c r="AA130" i="23"/>
  <c r="Z130" i="23" s="1"/>
  <c r="Y130" i="23" s="1"/>
  <c r="I112" i="23"/>
  <c r="J112" i="23"/>
  <c r="I100" i="23"/>
  <c r="J100" i="23"/>
  <c r="G90" i="23"/>
  <c r="CD90" i="6" s="1"/>
  <c r="H90" i="23"/>
  <c r="AA90" i="23"/>
  <c r="Z90" i="23" s="1"/>
  <c r="Y90" i="23" s="1"/>
  <c r="G74" i="23"/>
  <c r="CD74" i="6" s="1"/>
  <c r="AA74" i="23"/>
  <c r="Z74" i="23" s="1"/>
  <c r="Y74" i="23" s="1"/>
  <c r="H74" i="23"/>
  <c r="AA50" i="23"/>
  <c r="Z50" i="23" s="1"/>
  <c r="Y50" i="23" s="1"/>
  <c r="H50" i="23"/>
  <c r="G50" i="23"/>
  <c r="CD50" i="6" s="1"/>
  <c r="AA36" i="23"/>
  <c r="Z36" i="23" s="1"/>
  <c r="Y36" i="23" s="1"/>
  <c r="H36" i="23"/>
  <c r="G36" i="23"/>
  <c r="CD36" i="6" s="1"/>
  <c r="G28" i="23"/>
  <c r="CD28" i="6" s="1"/>
  <c r="H28" i="23"/>
  <c r="AA28" i="23"/>
  <c r="Z28" i="23" s="1"/>
  <c r="Y28" i="23" s="1"/>
  <c r="G105" i="23"/>
  <c r="CD105" i="6" s="1"/>
  <c r="AA105" i="23"/>
  <c r="Z105" i="23" s="1"/>
  <c r="Y105" i="23" s="1"/>
  <c r="G353" i="23"/>
  <c r="CD353" i="6" s="1"/>
  <c r="AA353" i="23"/>
  <c r="Z353" i="23" s="1"/>
  <c r="Y353" i="23" s="1"/>
  <c r="H353" i="23"/>
  <c r="AA343" i="23"/>
  <c r="Z343" i="23" s="1"/>
  <c r="Y343" i="23" s="1"/>
  <c r="H343" i="23"/>
  <c r="G343" i="23"/>
  <c r="CD343" i="6" s="1"/>
  <c r="AA265" i="23"/>
  <c r="Z265" i="23" s="1"/>
  <c r="Y265" i="23" s="1"/>
  <c r="G265" i="23"/>
  <c r="CD265" i="6" s="1"/>
  <c r="H265" i="23"/>
  <c r="AA203" i="23"/>
  <c r="Z203" i="23" s="1"/>
  <c r="Y203" i="23" s="1"/>
  <c r="H203" i="23"/>
  <c r="G203" i="23"/>
  <c r="CD203" i="6" s="1"/>
  <c r="AA179" i="23"/>
  <c r="Z179" i="23" s="1"/>
  <c r="Y179" i="23" s="1"/>
  <c r="G179" i="23"/>
  <c r="CD179" i="6" s="1"/>
  <c r="H179" i="23"/>
  <c r="AA161" i="23"/>
  <c r="Z161" i="23" s="1"/>
  <c r="Y161" i="23" s="1"/>
  <c r="H161" i="23"/>
  <c r="G161" i="23"/>
  <c r="CD161" i="6" s="1"/>
  <c r="G131" i="23"/>
  <c r="CD131" i="6" s="1"/>
  <c r="AA131" i="23"/>
  <c r="Z131" i="23" s="1"/>
  <c r="Y131" i="23" s="1"/>
  <c r="H131" i="23"/>
  <c r="AA83" i="23"/>
  <c r="Z83" i="23" s="1"/>
  <c r="Y83" i="23" s="1"/>
  <c r="H83" i="23"/>
  <c r="G83" i="23"/>
  <c r="CD83" i="6" s="1"/>
  <c r="G31" i="23"/>
  <c r="CD31" i="6" s="1"/>
  <c r="AA31" i="23"/>
  <c r="Z31" i="23" s="1"/>
  <c r="Y31" i="23" s="1"/>
  <c r="H31" i="23"/>
  <c r="AA370" i="23"/>
  <c r="Z370" i="23" s="1"/>
  <c r="Y370" i="23" s="1"/>
  <c r="G370" i="23"/>
  <c r="CD370" i="6" s="1"/>
  <c r="H370" i="23"/>
  <c r="AA362" i="23"/>
  <c r="Z362" i="23" s="1"/>
  <c r="Y362" i="23" s="1"/>
  <c r="G362" i="23"/>
  <c r="CD362" i="6" s="1"/>
  <c r="H362" i="23"/>
  <c r="G348" i="23"/>
  <c r="CD348" i="6" s="1"/>
  <c r="H348" i="23"/>
  <c r="AA348" i="23"/>
  <c r="Z348" i="23" s="1"/>
  <c r="Y348" i="23" s="1"/>
  <c r="G274" i="23"/>
  <c r="CD274" i="6" s="1"/>
  <c r="AA274" i="23"/>
  <c r="Z274" i="23" s="1"/>
  <c r="Y274" i="23" s="1"/>
  <c r="H274" i="23"/>
  <c r="AA220" i="23"/>
  <c r="Z220" i="23" s="1"/>
  <c r="Y220" i="23" s="1"/>
  <c r="G220" i="23"/>
  <c r="CD220" i="6" s="1"/>
  <c r="H220" i="23"/>
  <c r="AA212" i="23"/>
  <c r="Z212" i="23" s="1"/>
  <c r="Y212" i="23" s="1"/>
  <c r="G212" i="23"/>
  <c r="CD212" i="6" s="1"/>
  <c r="H212" i="23"/>
  <c r="AA190" i="23"/>
  <c r="Z190" i="23" s="1"/>
  <c r="Y190" i="23" s="1"/>
  <c r="G190" i="23"/>
  <c r="CD190" i="6" s="1"/>
  <c r="H190" i="23"/>
  <c r="AA176" i="23"/>
  <c r="Z176" i="23" s="1"/>
  <c r="Y176" i="23" s="1"/>
  <c r="H176" i="23"/>
  <c r="G176" i="23"/>
  <c r="CD176" i="6" s="1"/>
  <c r="AA108" i="23"/>
  <c r="Z108" i="23" s="1"/>
  <c r="Y108" i="23" s="1"/>
  <c r="H108" i="23"/>
  <c r="G108" i="23"/>
  <c r="CD108" i="6" s="1"/>
  <c r="G104" i="23"/>
  <c r="CD104" i="6" s="1"/>
  <c r="H104" i="23"/>
  <c r="AA104" i="23"/>
  <c r="Z104" i="23" s="1"/>
  <c r="Y104" i="23" s="1"/>
  <c r="AA96" i="23"/>
  <c r="Z96" i="23" s="1"/>
  <c r="Y96" i="23" s="1"/>
  <c r="G96" i="23"/>
  <c r="CD96" i="6" s="1"/>
  <c r="H96" i="23"/>
  <c r="G70" i="23"/>
  <c r="CD70" i="6" s="1"/>
  <c r="H70" i="23"/>
  <c r="AA70" i="23"/>
  <c r="Z70" i="23" s="1"/>
  <c r="Y70" i="23" s="1"/>
  <c r="G48" i="23"/>
  <c r="CD48" i="6" s="1"/>
  <c r="H48" i="23"/>
  <c r="AA48" i="23"/>
  <c r="Z48" i="23" s="1"/>
  <c r="Y48" i="23" s="1"/>
  <c r="AA38" i="23"/>
  <c r="Z38" i="23" s="1"/>
  <c r="Y38" i="23" s="1"/>
  <c r="H38" i="23"/>
  <c r="G38" i="23"/>
  <c r="CD38" i="6" s="1"/>
  <c r="H23" i="23"/>
  <c r="G23" i="23"/>
  <c r="CD23" i="6" s="1"/>
  <c r="AA23" i="23"/>
  <c r="Z23" i="23" s="1"/>
  <c r="Y23" i="23" s="1"/>
  <c r="G289" i="23"/>
  <c r="CD289" i="6" s="1"/>
  <c r="AA289" i="23"/>
  <c r="Z289" i="23" s="1"/>
  <c r="Y289" i="23" s="1"/>
  <c r="H289" i="23"/>
  <c r="AA285" i="23"/>
  <c r="Z285" i="23" s="1"/>
  <c r="Y285" i="23" s="1"/>
  <c r="H285" i="23"/>
  <c r="G285" i="23"/>
  <c r="CD285" i="6" s="1"/>
  <c r="G269" i="23"/>
  <c r="CD269" i="6" s="1"/>
  <c r="AA269" i="23"/>
  <c r="Z269" i="23" s="1"/>
  <c r="Y269" i="23" s="1"/>
  <c r="H269" i="23"/>
  <c r="AA253" i="23"/>
  <c r="Z253" i="23" s="1"/>
  <c r="Y253" i="23" s="1"/>
  <c r="G253" i="23"/>
  <c r="CD253" i="6" s="1"/>
  <c r="H253" i="23"/>
  <c r="G173" i="23"/>
  <c r="CD173" i="6" s="1"/>
  <c r="AA173" i="23"/>
  <c r="Z173" i="23" s="1"/>
  <c r="Y173" i="23" s="1"/>
  <c r="H173" i="23"/>
  <c r="G163" i="23"/>
  <c r="CD163" i="6" s="1"/>
  <c r="H163" i="23"/>
  <c r="AA163" i="23"/>
  <c r="Z163" i="23" s="1"/>
  <c r="Y163" i="23" s="1"/>
  <c r="AA155" i="23"/>
  <c r="Z155" i="23" s="1"/>
  <c r="Y155" i="23" s="1"/>
  <c r="G155" i="23"/>
  <c r="CD155" i="6" s="1"/>
  <c r="H155" i="23"/>
  <c r="G39" i="23"/>
  <c r="CD39" i="6" s="1"/>
  <c r="H39" i="23"/>
  <c r="AA39" i="23"/>
  <c r="Z39" i="23" s="1"/>
  <c r="Y39" i="23" s="1"/>
  <c r="AA366" i="23"/>
  <c r="Z366" i="23" s="1"/>
  <c r="Y366" i="23" s="1"/>
  <c r="H366" i="23"/>
  <c r="G366" i="23"/>
  <c r="CD366" i="6" s="1"/>
  <c r="G356" i="23"/>
  <c r="CD356" i="6" s="1"/>
  <c r="AA356" i="23"/>
  <c r="Z356" i="23" s="1"/>
  <c r="Y356" i="23" s="1"/>
  <c r="H356" i="23"/>
  <c r="G304" i="23"/>
  <c r="CD304" i="6" s="1"/>
  <c r="AA304" i="23"/>
  <c r="Z304" i="23" s="1"/>
  <c r="Y304" i="23" s="1"/>
  <c r="H304" i="23"/>
  <c r="AA294" i="23"/>
  <c r="Z294" i="23" s="1"/>
  <c r="Y294" i="23" s="1"/>
  <c r="G294" i="23"/>
  <c r="CD294" i="6" s="1"/>
  <c r="H294" i="23"/>
  <c r="AA282" i="23"/>
  <c r="Z282" i="23" s="1"/>
  <c r="Y282" i="23" s="1"/>
  <c r="H282" i="23"/>
  <c r="G282" i="23"/>
  <c r="CD282" i="6" s="1"/>
  <c r="AA266" i="23"/>
  <c r="Z266" i="23" s="1"/>
  <c r="Y266" i="23" s="1"/>
  <c r="H266" i="23"/>
  <c r="G266" i="23"/>
  <c r="CD266" i="6" s="1"/>
  <c r="AA244" i="23"/>
  <c r="Z244" i="23" s="1"/>
  <c r="Y244" i="23" s="1"/>
  <c r="H244" i="23"/>
  <c r="G244" i="23"/>
  <c r="CD244" i="6" s="1"/>
  <c r="G224" i="23"/>
  <c r="CD224" i="6" s="1"/>
  <c r="AA224" i="23"/>
  <c r="Z224" i="23" s="1"/>
  <c r="Y224" i="23" s="1"/>
  <c r="H224" i="23"/>
  <c r="G216" i="23"/>
  <c r="CD216" i="6" s="1"/>
  <c r="H216" i="23"/>
  <c r="AA216" i="23"/>
  <c r="Z216" i="23" s="1"/>
  <c r="Y216" i="23" s="1"/>
  <c r="AA204" i="23"/>
  <c r="Z204" i="23" s="1"/>
  <c r="Y204" i="23" s="1"/>
  <c r="G204" i="23"/>
  <c r="CD204" i="6" s="1"/>
  <c r="H204" i="23"/>
  <c r="G172" i="23"/>
  <c r="CD172" i="6" s="1"/>
  <c r="AA172" i="23"/>
  <c r="Z172" i="23" s="1"/>
  <c r="Y172" i="23" s="1"/>
  <c r="H172" i="23"/>
  <c r="G148" i="23"/>
  <c r="CD148" i="6" s="1"/>
  <c r="H148" i="23"/>
  <c r="AA148" i="23"/>
  <c r="Z148" i="23" s="1"/>
  <c r="Y148" i="23" s="1"/>
  <c r="G106" i="23"/>
  <c r="CD106" i="6" s="1"/>
  <c r="H106" i="23"/>
  <c r="AA106" i="23"/>
  <c r="Z106" i="23" s="1"/>
  <c r="Y106" i="23" s="1"/>
  <c r="AA80" i="23"/>
  <c r="Z80" i="23" s="1"/>
  <c r="Y80" i="23" s="1"/>
  <c r="G80" i="23"/>
  <c r="CD80" i="6" s="1"/>
  <c r="H80" i="23"/>
  <c r="G76" i="23"/>
  <c r="CD76" i="6" s="1"/>
  <c r="H76" i="23"/>
  <c r="AA76" i="23"/>
  <c r="Z76" i="23" s="1"/>
  <c r="Y76" i="23" s="1"/>
  <c r="G68" i="23"/>
  <c r="CD68" i="6" s="1"/>
  <c r="H68" i="23"/>
  <c r="AA68" i="23"/>
  <c r="Z68" i="23" s="1"/>
  <c r="Y68" i="23" s="1"/>
  <c r="G52" i="23"/>
  <c r="CD52" i="6" s="1"/>
  <c r="H52" i="23"/>
  <c r="AA52" i="23"/>
  <c r="Z52" i="23" s="1"/>
  <c r="Y52" i="23" s="1"/>
  <c r="AA40" i="23"/>
  <c r="Z40" i="23" s="1"/>
  <c r="Y40" i="23" s="1"/>
  <c r="H40" i="23"/>
  <c r="G40" i="23"/>
  <c r="CD40" i="6" s="1"/>
  <c r="D21" i="24" l="1"/>
  <c r="E21" i="24" s="1"/>
  <c r="F21" i="24" s="1"/>
  <c r="D41" i="24"/>
  <c r="E41" i="24" s="1"/>
  <c r="F41" i="24" s="1"/>
  <c r="W89" i="24"/>
  <c r="W129" i="24"/>
  <c r="AI19" i="24"/>
  <c r="AH19" i="24" s="1"/>
  <c r="AG19" i="24" s="1"/>
  <c r="AF19" i="24" s="1"/>
  <c r="AD19" i="24" s="1"/>
  <c r="AI33" i="24"/>
  <c r="AH33" i="24" s="1"/>
  <c r="AG33" i="24" s="1"/>
  <c r="AF33" i="24" s="1"/>
  <c r="AD33" i="24" s="1"/>
  <c r="AI49" i="24"/>
  <c r="AH49" i="24" s="1"/>
  <c r="AG49" i="24" s="1"/>
  <c r="AF49" i="24" s="1"/>
  <c r="AD49" i="24" s="1"/>
  <c r="AI65" i="24"/>
  <c r="AH65" i="24" s="1"/>
  <c r="AG65" i="24" s="1"/>
  <c r="AF65" i="24" s="1"/>
  <c r="AD65" i="24" s="1"/>
  <c r="AI81" i="24"/>
  <c r="AH81" i="24" s="1"/>
  <c r="AG81" i="24" s="1"/>
  <c r="AF81" i="24" s="1"/>
  <c r="AD81" i="24" s="1"/>
  <c r="AI97" i="24"/>
  <c r="AH97" i="24" s="1"/>
  <c r="AG97" i="24" s="1"/>
  <c r="AF97" i="24" s="1"/>
  <c r="AD97" i="24" s="1"/>
  <c r="AI113" i="24"/>
  <c r="AH113" i="24" s="1"/>
  <c r="AG113" i="24" s="1"/>
  <c r="AF113" i="24" s="1"/>
  <c r="AD113" i="24" s="1"/>
  <c r="AI129" i="24"/>
  <c r="AH129" i="24" s="1"/>
  <c r="AG129" i="24" s="1"/>
  <c r="AF129" i="24" s="1"/>
  <c r="AD129" i="24" s="1"/>
  <c r="AI145" i="24"/>
  <c r="AH145" i="24" s="1"/>
  <c r="AG145" i="24" s="1"/>
  <c r="AF145" i="24" s="1"/>
  <c r="AD145" i="24" s="1"/>
  <c r="AI161" i="24"/>
  <c r="AH161" i="24" s="1"/>
  <c r="AG161" i="24" s="1"/>
  <c r="AF161" i="24" s="1"/>
  <c r="AD161" i="24" s="1"/>
  <c r="AI177" i="24"/>
  <c r="AH177" i="24" s="1"/>
  <c r="AG177" i="24" s="1"/>
  <c r="AF177" i="24" s="1"/>
  <c r="AD177" i="24" s="1"/>
  <c r="AI193" i="24"/>
  <c r="AH193" i="24" s="1"/>
  <c r="AG193" i="24" s="1"/>
  <c r="AF193" i="24" s="1"/>
  <c r="AD193" i="24" s="1"/>
  <c r="AI209" i="24"/>
  <c r="AH209" i="24" s="1"/>
  <c r="AG209" i="24" s="1"/>
  <c r="AF209" i="24" s="1"/>
  <c r="AD209" i="24" s="1"/>
  <c r="AI225" i="24"/>
  <c r="AH225" i="24" s="1"/>
  <c r="AG225" i="24" s="1"/>
  <c r="AF225" i="24" s="1"/>
  <c r="AD225" i="24" s="1"/>
  <c r="AI241" i="24"/>
  <c r="AH241" i="24" s="1"/>
  <c r="AG241" i="24" s="1"/>
  <c r="AF241" i="24" s="1"/>
  <c r="AD241" i="24" s="1"/>
  <c r="AI257" i="24"/>
  <c r="AH257" i="24" s="1"/>
  <c r="AG257" i="24" s="1"/>
  <c r="AF257" i="24" s="1"/>
  <c r="AD257" i="24" s="1"/>
  <c r="AI273" i="24"/>
  <c r="AH273" i="24" s="1"/>
  <c r="AG273" i="24" s="1"/>
  <c r="AF273" i="24" s="1"/>
  <c r="AD273" i="24" s="1"/>
  <c r="AI289" i="24"/>
  <c r="AH289" i="24" s="1"/>
  <c r="AG289" i="24" s="1"/>
  <c r="AF289" i="24" s="1"/>
  <c r="AD289" i="24" s="1"/>
  <c r="AI305" i="24"/>
  <c r="AH305" i="24" s="1"/>
  <c r="AG305" i="24" s="1"/>
  <c r="AF305" i="24" s="1"/>
  <c r="AD305" i="24" s="1"/>
  <c r="AI321" i="24"/>
  <c r="AH321" i="24" s="1"/>
  <c r="AG321" i="24" s="1"/>
  <c r="AF321" i="24" s="1"/>
  <c r="AD321" i="24" s="1"/>
  <c r="AI337" i="24"/>
  <c r="AH337" i="24" s="1"/>
  <c r="AG337" i="24" s="1"/>
  <c r="AF337" i="24" s="1"/>
  <c r="AD337" i="24" s="1"/>
  <c r="AI353" i="24"/>
  <c r="AH353" i="24" s="1"/>
  <c r="AG353" i="24" s="1"/>
  <c r="AF353" i="24" s="1"/>
  <c r="AD353" i="24" s="1"/>
  <c r="AI362" i="24"/>
  <c r="AH362" i="24" s="1"/>
  <c r="AG362" i="24" s="1"/>
  <c r="AF362" i="24" s="1"/>
  <c r="AD362" i="24" s="1"/>
  <c r="AI370" i="24"/>
  <c r="AH370" i="24" s="1"/>
  <c r="AG370" i="24" s="1"/>
  <c r="AF370" i="24" s="1"/>
  <c r="AD370" i="24" s="1"/>
  <c r="AI378" i="24"/>
  <c r="AH378" i="24" s="1"/>
  <c r="AG378" i="24" s="1"/>
  <c r="AF378" i="24" s="1"/>
  <c r="AD378" i="24" s="1"/>
  <c r="AI348" i="24"/>
  <c r="AH348" i="24" s="1"/>
  <c r="AG348" i="24" s="1"/>
  <c r="AF348" i="24" s="1"/>
  <c r="AD348" i="24" s="1"/>
  <c r="AI340" i="24"/>
  <c r="AH340" i="24" s="1"/>
  <c r="AG340" i="24" s="1"/>
  <c r="AF340" i="24" s="1"/>
  <c r="AD340" i="24" s="1"/>
  <c r="AI332" i="24"/>
  <c r="AH332" i="24" s="1"/>
  <c r="AG332" i="24" s="1"/>
  <c r="AF332" i="24" s="1"/>
  <c r="AD332" i="24" s="1"/>
  <c r="AI324" i="24"/>
  <c r="AH324" i="24" s="1"/>
  <c r="AG324" i="24" s="1"/>
  <c r="AF324" i="24" s="1"/>
  <c r="AD324" i="24" s="1"/>
  <c r="AI316" i="24"/>
  <c r="AH316" i="24" s="1"/>
  <c r="AG316" i="24" s="1"/>
  <c r="AF316" i="24" s="1"/>
  <c r="AD316" i="24" s="1"/>
  <c r="AI308" i="24"/>
  <c r="AH308" i="24" s="1"/>
  <c r="AG308" i="24" s="1"/>
  <c r="AF308" i="24" s="1"/>
  <c r="AD308" i="24" s="1"/>
  <c r="AI300" i="24"/>
  <c r="AH300" i="24" s="1"/>
  <c r="AG300" i="24" s="1"/>
  <c r="AF300" i="24" s="1"/>
  <c r="AD300" i="24" s="1"/>
  <c r="AI292" i="24"/>
  <c r="AH292" i="24" s="1"/>
  <c r="AG292" i="24" s="1"/>
  <c r="AF292" i="24" s="1"/>
  <c r="AD292" i="24" s="1"/>
  <c r="AI284" i="24"/>
  <c r="AH284" i="24" s="1"/>
  <c r="AG284" i="24" s="1"/>
  <c r="AF284" i="24" s="1"/>
  <c r="AD284" i="24" s="1"/>
  <c r="AI276" i="24"/>
  <c r="AH276" i="24" s="1"/>
  <c r="AG276" i="24" s="1"/>
  <c r="AF276" i="24" s="1"/>
  <c r="AD276" i="24" s="1"/>
  <c r="AI268" i="24"/>
  <c r="AH268" i="24" s="1"/>
  <c r="AG268" i="24" s="1"/>
  <c r="AF268" i="24" s="1"/>
  <c r="AD268" i="24" s="1"/>
  <c r="AI260" i="24"/>
  <c r="AH260" i="24" s="1"/>
  <c r="AG260" i="24" s="1"/>
  <c r="AF260" i="24" s="1"/>
  <c r="AD260" i="24" s="1"/>
  <c r="AI250" i="24"/>
  <c r="AH250" i="24" s="1"/>
  <c r="AG250" i="24" s="1"/>
  <c r="AF250" i="24" s="1"/>
  <c r="AD250" i="24" s="1"/>
  <c r="AI234" i="24"/>
  <c r="AH234" i="24" s="1"/>
  <c r="AG234" i="24" s="1"/>
  <c r="AF234" i="24" s="1"/>
  <c r="AD234" i="24" s="1"/>
  <c r="AI218" i="24"/>
  <c r="AH218" i="24" s="1"/>
  <c r="AG218" i="24" s="1"/>
  <c r="AF218" i="24" s="1"/>
  <c r="AD218" i="24" s="1"/>
  <c r="AI202" i="24"/>
  <c r="AH202" i="24" s="1"/>
  <c r="AG202" i="24" s="1"/>
  <c r="AF202" i="24" s="1"/>
  <c r="AD202" i="24" s="1"/>
  <c r="AI186" i="24"/>
  <c r="AH186" i="24" s="1"/>
  <c r="AG186" i="24" s="1"/>
  <c r="AF186" i="24" s="1"/>
  <c r="AD186" i="24" s="1"/>
  <c r="AI170" i="24"/>
  <c r="AH170" i="24" s="1"/>
  <c r="AG170" i="24" s="1"/>
  <c r="AF170" i="24" s="1"/>
  <c r="AD170" i="24" s="1"/>
  <c r="AI154" i="24"/>
  <c r="AH154" i="24" s="1"/>
  <c r="AG154" i="24" s="1"/>
  <c r="AF154" i="24" s="1"/>
  <c r="AD154" i="24" s="1"/>
  <c r="AI138" i="24"/>
  <c r="AH138" i="24" s="1"/>
  <c r="AG138" i="24" s="1"/>
  <c r="AF138" i="24" s="1"/>
  <c r="AD138" i="24" s="1"/>
  <c r="AI122" i="24"/>
  <c r="AH122" i="24" s="1"/>
  <c r="AG122" i="24" s="1"/>
  <c r="AF122" i="24" s="1"/>
  <c r="AD122" i="24" s="1"/>
  <c r="AI106" i="24"/>
  <c r="AH106" i="24" s="1"/>
  <c r="AG106" i="24" s="1"/>
  <c r="AF106" i="24" s="1"/>
  <c r="AD106" i="24" s="1"/>
  <c r="AI90" i="24"/>
  <c r="AH90" i="24" s="1"/>
  <c r="AG90" i="24" s="1"/>
  <c r="AF90" i="24" s="1"/>
  <c r="AD90" i="24" s="1"/>
  <c r="AI74" i="24"/>
  <c r="AH74" i="24" s="1"/>
  <c r="AG74" i="24" s="1"/>
  <c r="AF74" i="24" s="1"/>
  <c r="AD74" i="24" s="1"/>
  <c r="AI58" i="24"/>
  <c r="AH58" i="24" s="1"/>
  <c r="AG58" i="24" s="1"/>
  <c r="AF58" i="24" s="1"/>
  <c r="AD58" i="24" s="1"/>
  <c r="AI42" i="24"/>
  <c r="AH42" i="24" s="1"/>
  <c r="AG42" i="24" s="1"/>
  <c r="AF42" i="24" s="1"/>
  <c r="AD42" i="24" s="1"/>
  <c r="AI26" i="24"/>
  <c r="AH26" i="24" s="1"/>
  <c r="AG26" i="24" s="1"/>
  <c r="AF26" i="24" s="1"/>
  <c r="AD26" i="24" s="1"/>
  <c r="AI359" i="24"/>
  <c r="AH359" i="24" s="1"/>
  <c r="AG359" i="24" s="1"/>
  <c r="AF359" i="24" s="1"/>
  <c r="AD359" i="24" s="1"/>
  <c r="AI299" i="24"/>
  <c r="AH299" i="24" s="1"/>
  <c r="AG299" i="24" s="1"/>
  <c r="AF299" i="24" s="1"/>
  <c r="AD299" i="24" s="1"/>
  <c r="AI235" i="24"/>
  <c r="AH235" i="24" s="1"/>
  <c r="AG235" i="24" s="1"/>
  <c r="AF235" i="24" s="1"/>
  <c r="AD235" i="24" s="1"/>
  <c r="AI171" i="24"/>
  <c r="AH171" i="24" s="1"/>
  <c r="AG171" i="24" s="1"/>
  <c r="AF171" i="24" s="1"/>
  <c r="AD171" i="24" s="1"/>
  <c r="AI107" i="24"/>
  <c r="AH107" i="24" s="1"/>
  <c r="AG107" i="24" s="1"/>
  <c r="AF107" i="24" s="1"/>
  <c r="AD107" i="24" s="1"/>
  <c r="AI18" i="24"/>
  <c r="AH18" i="24" s="1"/>
  <c r="AG18" i="24" s="1"/>
  <c r="AF18" i="24" s="1"/>
  <c r="AD18" i="24" s="1"/>
  <c r="AI35" i="24"/>
  <c r="AH35" i="24" s="1"/>
  <c r="AG35" i="24" s="1"/>
  <c r="AF35" i="24" s="1"/>
  <c r="AD35" i="24" s="1"/>
  <c r="AI51" i="24"/>
  <c r="AH51" i="24" s="1"/>
  <c r="AG51" i="24" s="1"/>
  <c r="AF51" i="24" s="1"/>
  <c r="AD51" i="24" s="1"/>
  <c r="AI67" i="24"/>
  <c r="AH67" i="24" s="1"/>
  <c r="AG67" i="24" s="1"/>
  <c r="AF67" i="24" s="1"/>
  <c r="AD67" i="24" s="1"/>
  <c r="AI83" i="24"/>
  <c r="AH83" i="24" s="1"/>
  <c r="AG83" i="24" s="1"/>
  <c r="AF83" i="24" s="1"/>
  <c r="AD83" i="24" s="1"/>
  <c r="AI99" i="24"/>
  <c r="AH99" i="24" s="1"/>
  <c r="AG99" i="24" s="1"/>
  <c r="AF99" i="24" s="1"/>
  <c r="AD99" i="24" s="1"/>
  <c r="AI115" i="24"/>
  <c r="AH115" i="24" s="1"/>
  <c r="AG115" i="24" s="1"/>
  <c r="AF115" i="24" s="1"/>
  <c r="AD115" i="24" s="1"/>
  <c r="AI131" i="24"/>
  <c r="AH131" i="24" s="1"/>
  <c r="AG131" i="24" s="1"/>
  <c r="AF131" i="24" s="1"/>
  <c r="AD131" i="24" s="1"/>
  <c r="AI147" i="24"/>
  <c r="AH147" i="24" s="1"/>
  <c r="AG147" i="24" s="1"/>
  <c r="AF147" i="24" s="1"/>
  <c r="AD147" i="24" s="1"/>
  <c r="AI163" i="24"/>
  <c r="AH163" i="24" s="1"/>
  <c r="AG163" i="24" s="1"/>
  <c r="AF163" i="24" s="1"/>
  <c r="AD163" i="24" s="1"/>
  <c r="AI179" i="24"/>
  <c r="AH179" i="24" s="1"/>
  <c r="AG179" i="24" s="1"/>
  <c r="AF179" i="24" s="1"/>
  <c r="AD179" i="24" s="1"/>
  <c r="AI195" i="24"/>
  <c r="AH195" i="24" s="1"/>
  <c r="AG195" i="24" s="1"/>
  <c r="AF195" i="24" s="1"/>
  <c r="AD195" i="24" s="1"/>
  <c r="AI211" i="24"/>
  <c r="AH211" i="24" s="1"/>
  <c r="AG211" i="24" s="1"/>
  <c r="AF211" i="24" s="1"/>
  <c r="AD211" i="24" s="1"/>
  <c r="AI227" i="24"/>
  <c r="AH227" i="24" s="1"/>
  <c r="AG227" i="24" s="1"/>
  <c r="AF227" i="24" s="1"/>
  <c r="AD227" i="24" s="1"/>
  <c r="AI243" i="24"/>
  <c r="AH243" i="24" s="1"/>
  <c r="AG243" i="24" s="1"/>
  <c r="AF243" i="24" s="1"/>
  <c r="AD243" i="24" s="1"/>
  <c r="AI259" i="24"/>
  <c r="AH259" i="24" s="1"/>
  <c r="AG259" i="24" s="1"/>
  <c r="AF259" i="24" s="1"/>
  <c r="AD259" i="24" s="1"/>
  <c r="AI275" i="24"/>
  <c r="AH275" i="24" s="1"/>
  <c r="AG275" i="24" s="1"/>
  <c r="AF275" i="24" s="1"/>
  <c r="AD275" i="24" s="1"/>
  <c r="AI291" i="24"/>
  <c r="AH291" i="24" s="1"/>
  <c r="AG291" i="24" s="1"/>
  <c r="AF291" i="24" s="1"/>
  <c r="AD291" i="24" s="1"/>
  <c r="AI307" i="24"/>
  <c r="AH307" i="24" s="1"/>
  <c r="AG307" i="24" s="1"/>
  <c r="AF307" i="24" s="1"/>
  <c r="AD307" i="24" s="1"/>
  <c r="AI323" i="24"/>
  <c r="AH323" i="24" s="1"/>
  <c r="AG323" i="24" s="1"/>
  <c r="AF323" i="24" s="1"/>
  <c r="AD323" i="24" s="1"/>
  <c r="AI339" i="24"/>
  <c r="AH339" i="24" s="1"/>
  <c r="AG339" i="24" s="1"/>
  <c r="AF339" i="24" s="1"/>
  <c r="AD339" i="24" s="1"/>
  <c r="AI355" i="24"/>
  <c r="AH355" i="24" s="1"/>
  <c r="AG355" i="24" s="1"/>
  <c r="AF355" i="24" s="1"/>
  <c r="AD355" i="24" s="1"/>
  <c r="AI363" i="24"/>
  <c r="AH363" i="24" s="1"/>
  <c r="AG363" i="24" s="1"/>
  <c r="AF363" i="24" s="1"/>
  <c r="AD363" i="24" s="1"/>
  <c r="AI371" i="24"/>
  <c r="AH371" i="24" s="1"/>
  <c r="AG371" i="24" s="1"/>
  <c r="AF371" i="24" s="1"/>
  <c r="AD371" i="24" s="1"/>
  <c r="AI379" i="24"/>
  <c r="AI12" i="25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32" i="24"/>
  <c r="AH232" i="24" s="1"/>
  <c r="AG232" i="24" s="1"/>
  <c r="AF232" i="24" s="1"/>
  <c r="AD232" i="24" s="1"/>
  <c r="AI236" i="24"/>
  <c r="AH236" i="24" s="1"/>
  <c r="AG236" i="24" s="1"/>
  <c r="AF236" i="24" s="1"/>
  <c r="AD236" i="24" s="1"/>
  <c r="AI240" i="24"/>
  <c r="AH240" i="24" s="1"/>
  <c r="AG240" i="24" s="1"/>
  <c r="AF240" i="24" s="1"/>
  <c r="AD240" i="24" s="1"/>
  <c r="AI244" i="24"/>
  <c r="AH244" i="24" s="1"/>
  <c r="AG244" i="24" s="1"/>
  <c r="AF244" i="24" s="1"/>
  <c r="AD244" i="24" s="1"/>
  <c r="AI248" i="24"/>
  <c r="AH248" i="24" s="1"/>
  <c r="AG248" i="24" s="1"/>
  <c r="AF248" i="24" s="1"/>
  <c r="AD248" i="24" s="1"/>
  <c r="AI252" i="24"/>
  <c r="AH252" i="24" s="1"/>
  <c r="AG252" i="24" s="1"/>
  <c r="AF252" i="24" s="1"/>
  <c r="AD252" i="24" s="1"/>
  <c r="U382" i="24"/>
  <c r="AI21" i="24"/>
  <c r="AH21" i="24" s="1"/>
  <c r="AG21" i="24" s="1"/>
  <c r="AF21" i="24" s="1"/>
  <c r="AD21" i="24" s="1"/>
  <c r="AI29" i="24"/>
  <c r="AH29" i="24" s="1"/>
  <c r="AG29" i="24" s="1"/>
  <c r="AF29" i="24" s="1"/>
  <c r="AD29" i="24" s="1"/>
  <c r="AI37" i="24"/>
  <c r="AH37" i="24" s="1"/>
  <c r="AG37" i="24" s="1"/>
  <c r="AF37" i="24" s="1"/>
  <c r="AD37" i="24" s="1"/>
  <c r="AI45" i="24"/>
  <c r="AH45" i="24" s="1"/>
  <c r="AG45" i="24" s="1"/>
  <c r="AF45" i="24" s="1"/>
  <c r="AD45" i="24" s="1"/>
  <c r="AI53" i="24"/>
  <c r="AH53" i="24" s="1"/>
  <c r="AG53" i="24" s="1"/>
  <c r="AF53" i="24" s="1"/>
  <c r="AD53" i="24" s="1"/>
  <c r="AI61" i="24"/>
  <c r="AH61" i="24" s="1"/>
  <c r="AG61" i="24" s="1"/>
  <c r="AF61" i="24" s="1"/>
  <c r="AD61" i="24" s="1"/>
  <c r="AI69" i="24"/>
  <c r="AH69" i="24" s="1"/>
  <c r="AG69" i="24" s="1"/>
  <c r="AF69" i="24" s="1"/>
  <c r="AD69" i="24" s="1"/>
  <c r="AI77" i="24"/>
  <c r="AH77" i="24" s="1"/>
  <c r="AG77" i="24" s="1"/>
  <c r="AF77" i="24" s="1"/>
  <c r="AD77" i="24" s="1"/>
  <c r="AI85" i="24"/>
  <c r="AH85" i="24" s="1"/>
  <c r="AG85" i="24" s="1"/>
  <c r="AF85" i="24" s="1"/>
  <c r="AD85" i="24" s="1"/>
  <c r="AI93" i="24"/>
  <c r="AH93" i="24" s="1"/>
  <c r="AG93" i="24" s="1"/>
  <c r="AF93" i="24" s="1"/>
  <c r="AD93" i="24" s="1"/>
  <c r="AI101" i="24"/>
  <c r="AH101" i="24" s="1"/>
  <c r="AG101" i="24" s="1"/>
  <c r="AF101" i="24" s="1"/>
  <c r="AD101" i="24" s="1"/>
  <c r="AI109" i="24"/>
  <c r="AH109" i="24" s="1"/>
  <c r="AG109" i="24" s="1"/>
  <c r="AF109" i="24" s="1"/>
  <c r="AD109" i="24" s="1"/>
  <c r="AI117" i="24"/>
  <c r="AH117" i="24" s="1"/>
  <c r="AG117" i="24" s="1"/>
  <c r="AF117" i="24" s="1"/>
  <c r="AD117" i="24" s="1"/>
  <c r="AI125" i="24"/>
  <c r="AH125" i="24" s="1"/>
  <c r="AG125" i="24" s="1"/>
  <c r="AF125" i="24" s="1"/>
  <c r="AD125" i="24" s="1"/>
  <c r="AI133" i="24"/>
  <c r="AH133" i="24" s="1"/>
  <c r="AG133" i="24" s="1"/>
  <c r="AF133" i="24" s="1"/>
  <c r="AD133" i="24" s="1"/>
  <c r="AI141" i="24"/>
  <c r="AH141" i="24" s="1"/>
  <c r="AG141" i="24" s="1"/>
  <c r="AF141" i="24" s="1"/>
  <c r="AD141" i="24" s="1"/>
  <c r="AI149" i="24"/>
  <c r="AH149" i="24" s="1"/>
  <c r="AG149" i="24" s="1"/>
  <c r="AF149" i="24" s="1"/>
  <c r="AD149" i="24" s="1"/>
  <c r="AI157" i="24"/>
  <c r="AH157" i="24" s="1"/>
  <c r="AG157" i="24" s="1"/>
  <c r="AF157" i="24" s="1"/>
  <c r="AD157" i="24" s="1"/>
  <c r="AI165" i="24"/>
  <c r="AH165" i="24" s="1"/>
  <c r="AG165" i="24" s="1"/>
  <c r="AF165" i="24" s="1"/>
  <c r="AD165" i="24" s="1"/>
  <c r="AA165" i="24" s="1"/>
  <c r="Z165" i="24" s="1"/>
  <c r="Y165" i="24" s="1"/>
  <c r="AI173" i="24"/>
  <c r="AH173" i="24" s="1"/>
  <c r="AG173" i="24" s="1"/>
  <c r="AF173" i="24" s="1"/>
  <c r="AD173" i="24" s="1"/>
  <c r="AI181" i="24"/>
  <c r="AH181" i="24" s="1"/>
  <c r="AG181" i="24" s="1"/>
  <c r="AF181" i="24" s="1"/>
  <c r="AD181" i="24" s="1"/>
  <c r="AI189" i="24"/>
  <c r="AH189" i="24" s="1"/>
  <c r="AG189" i="24" s="1"/>
  <c r="AF189" i="24" s="1"/>
  <c r="AD189" i="24" s="1"/>
  <c r="AI197" i="24"/>
  <c r="AH197" i="24" s="1"/>
  <c r="AG197" i="24" s="1"/>
  <c r="AF197" i="24" s="1"/>
  <c r="AD197" i="24" s="1"/>
  <c r="AI205" i="24"/>
  <c r="AH205" i="24" s="1"/>
  <c r="AG205" i="24" s="1"/>
  <c r="AF205" i="24" s="1"/>
  <c r="AD205" i="24" s="1"/>
  <c r="AI213" i="24"/>
  <c r="AH213" i="24" s="1"/>
  <c r="AG213" i="24" s="1"/>
  <c r="AF213" i="24" s="1"/>
  <c r="AD213" i="24" s="1"/>
  <c r="AI221" i="24"/>
  <c r="AH221" i="24" s="1"/>
  <c r="AG221" i="24" s="1"/>
  <c r="AF221" i="24" s="1"/>
  <c r="AD221" i="24" s="1"/>
  <c r="AI229" i="24"/>
  <c r="AH229" i="24" s="1"/>
  <c r="AG229" i="24" s="1"/>
  <c r="AF229" i="24" s="1"/>
  <c r="AD229" i="24" s="1"/>
  <c r="AI237" i="24"/>
  <c r="AH237" i="24" s="1"/>
  <c r="AG237" i="24" s="1"/>
  <c r="AF237" i="24" s="1"/>
  <c r="AD237" i="24" s="1"/>
  <c r="AI245" i="24"/>
  <c r="AH245" i="24" s="1"/>
  <c r="AG245" i="24" s="1"/>
  <c r="AF245" i="24" s="1"/>
  <c r="AD245" i="24" s="1"/>
  <c r="AI253" i="24"/>
  <c r="AH253" i="24" s="1"/>
  <c r="AG253" i="24" s="1"/>
  <c r="AF253" i="24" s="1"/>
  <c r="AD253" i="24" s="1"/>
  <c r="AI261" i="24"/>
  <c r="AH261" i="24" s="1"/>
  <c r="AG261" i="24" s="1"/>
  <c r="AF261" i="24" s="1"/>
  <c r="AD261" i="24" s="1"/>
  <c r="AI269" i="24"/>
  <c r="AH269" i="24" s="1"/>
  <c r="AG269" i="24" s="1"/>
  <c r="AF269" i="24" s="1"/>
  <c r="AD269" i="24" s="1"/>
  <c r="AI277" i="24"/>
  <c r="AH277" i="24" s="1"/>
  <c r="AG277" i="24" s="1"/>
  <c r="AF277" i="24" s="1"/>
  <c r="AD277" i="24" s="1"/>
  <c r="AA277" i="24" s="1"/>
  <c r="Z277" i="24" s="1"/>
  <c r="Y277" i="24" s="1"/>
  <c r="AI285" i="24"/>
  <c r="AH285" i="24" s="1"/>
  <c r="AG285" i="24" s="1"/>
  <c r="AF285" i="24" s="1"/>
  <c r="AD285" i="24" s="1"/>
  <c r="AI293" i="24"/>
  <c r="AH293" i="24" s="1"/>
  <c r="AG293" i="24" s="1"/>
  <c r="AF293" i="24" s="1"/>
  <c r="AD293" i="24" s="1"/>
  <c r="AI301" i="24"/>
  <c r="AH301" i="24" s="1"/>
  <c r="AG301" i="24" s="1"/>
  <c r="AF301" i="24" s="1"/>
  <c r="AD301" i="24" s="1"/>
  <c r="AI309" i="24"/>
  <c r="AH309" i="24" s="1"/>
  <c r="AG309" i="24" s="1"/>
  <c r="AF309" i="24" s="1"/>
  <c r="AD309" i="24" s="1"/>
  <c r="AI317" i="24"/>
  <c r="AH317" i="24" s="1"/>
  <c r="AG317" i="24" s="1"/>
  <c r="AF317" i="24" s="1"/>
  <c r="AD317" i="24" s="1"/>
  <c r="AI325" i="24"/>
  <c r="AH325" i="24" s="1"/>
  <c r="AG325" i="24" s="1"/>
  <c r="AF325" i="24" s="1"/>
  <c r="AD325" i="24" s="1"/>
  <c r="AI333" i="24"/>
  <c r="AH333" i="24" s="1"/>
  <c r="AG333" i="24" s="1"/>
  <c r="AF333" i="24" s="1"/>
  <c r="AD333" i="24" s="1"/>
  <c r="AI341" i="24"/>
  <c r="AH341" i="24" s="1"/>
  <c r="AG341" i="24" s="1"/>
  <c r="AF341" i="24" s="1"/>
  <c r="AD341" i="24" s="1"/>
  <c r="AI349" i="24"/>
  <c r="AH349" i="24" s="1"/>
  <c r="AG349" i="24" s="1"/>
  <c r="AF349" i="24" s="1"/>
  <c r="AD349" i="24" s="1"/>
  <c r="AI356" i="24"/>
  <c r="AH356" i="24" s="1"/>
  <c r="AG356" i="24" s="1"/>
  <c r="AF356" i="24" s="1"/>
  <c r="AD356" i="24" s="1"/>
  <c r="AI360" i="24"/>
  <c r="AH360" i="24" s="1"/>
  <c r="AG360" i="24" s="1"/>
  <c r="AF360" i="24" s="1"/>
  <c r="AD360" i="24" s="1"/>
  <c r="AI364" i="24"/>
  <c r="AH364" i="24" s="1"/>
  <c r="AG364" i="24" s="1"/>
  <c r="AF364" i="24" s="1"/>
  <c r="AD364" i="24" s="1"/>
  <c r="AI368" i="24"/>
  <c r="AH368" i="24" s="1"/>
  <c r="AG368" i="24" s="1"/>
  <c r="AF368" i="24" s="1"/>
  <c r="AD368" i="24" s="1"/>
  <c r="AI372" i="24"/>
  <c r="AH372" i="24" s="1"/>
  <c r="AG372" i="24" s="1"/>
  <c r="AF372" i="24" s="1"/>
  <c r="AD372" i="24" s="1"/>
  <c r="AI376" i="24"/>
  <c r="AH376" i="24" s="1"/>
  <c r="AG376" i="24" s="1"/>
  <c r="AF376" i="24" s="1"/>
  <c r="AD376" i="24" s="1"/>
  <c r="AI354" i="24"/>
  <c r="AH354" i="24" s="1"/>
  <c r="AG354" i="24" s="1"/>
  <c r="AF354" i="24" s="1"/>
  <c r="AD354" i="24" s="1"/>
  <c r="AI350" i="24"/>
  <c r="AH350" i="24" s="1"/>
  <c r="AG350" i="24" s="1"/>
  <c r="AF350" i="24" s="1"/>
  <c r="AD350" i="24" s="1"/>
  <c r="AI346" i="24"/>
  <c r="AH346" i="24" s="1"/>
  <c r="AG346" i="24" s="1"/>
  <c r="AF346" i="24" s="1"/>
  <c r="AD346" i="24" s="1"/>
  <c r="AI342" i="24"/>
  <c r="AH342" i="24" s="1"/>
  <c r="AG342" i="24" s="1"/>
  <c r="AF342" i="24" s="1"/>
  <c r="AD342" i="24" s="1"/>
  <c r="AI338" i="24"/>
  <c r="AH338" i="24" s="1"/>
  <c r="AG338" i="24" s="1"/>
  <c r="AF338" i="24" s="1"/>
  <c r="AD338" i="24" s="1"/>
  <c r="AI334" i="24"/>
  <c r="AH334" i="24" s="1"/>
  <c r="AG334" i="24" s="1"/>
  <c r="AF334" i="24" s="1"/>
  <c r="AD334" i="24" s="1"/>
  <c r="AI330" i="24"/>
  <c r="AH330" i="24" s="1"/>
  <c r="AG330" i="24" s="1"/>
  <c r="AF330" i="24" s="1"/>
  <c r="AD330" i="24" s="1"/>
  <c r="AI326" i="24"/>
  <c r="AH326" i="24" s="1"/>
  <c r="AG326" i="24" s="1"/>
  <c r="AF326" i="24" s="1"/>
  <c r="AD326" i="24" s="1"/>
  <c r="AI322" i="24"/>
  <c r="AH322" i="24" s="1"/>
  <c r="AG322" i="24" s="1"/>
  <c r="AF322" i="24" s="1"/>
  <c r="AD322" i="24" s="1"/>
  <c r="AI318" i="24"/>
  <c r="AH318" i="24" s="1"/>
  <c r="AG318" i="24" s="1"/>
  <c r="AF318" i="24" s="1"/>
  <c r="AD318" i="24" s="1"/>
  <c r="AI314" i="24"/>
  <c r="AH314" i="24" s="1"/>
  <c r="AG314" i="24" s="1"/>
  <c r="AF314" i="24" s="1"/>
  <c r="AD314" i="24" s="1"/>
  <c r="AI310" i="24"/>
  <c r="AH310" i="24" s="1"/>
  <c r="AG310" i="24" s="1"/>
  <c r="AF310" i="24" s="1"/>
  <c r="AD310" i="24" s="1"/>
  <c r="AI306" i="24"/>
  <c r="AH306" i="24" s="1"/>
  <c r="AG306" i="24" s="1"/>
  <c r="AF306" i="24" s="1"/>
  <c r="AD306" i="24" s="1"/>
  <c r="AI302" i="24"/>
  <c r="AH302" i="24" s="1"/>
  <c r="AG302" i="24" s="1"/>
  <c r="AF302" i="24" s="1"/>
  <c r="AD302" i="24" s="1"/>
  <c r="AI298" i="24"/>
  <c r="AH298" i="24" s="1"/>
  <c r="AG298" i="24" s="1"/>
  <c r="AF298" i="24" s="1"/>
  <c r="AD298" i="24" s="1"/>
  <c r="AI294" i="24"/>
  <c r="AH294" i="24" s="1"/>
  <c r="AG294" i="24" s="1"/>
  <c r="AF294" i="24" s="1"/>
  <c r="AD294" i="24" s="1"/>
  <c r="AI290" i="24"/>
  <c r="AH290" i="24" s="1"/>
  <c r="AG290" i="24" s="1"/>
  <c r="AF290" i="24" s="1"/>
  <c r="AD290" i="24" s="1"/>
  <c r="AI286" i="24"/>
  <c r="AH286" i="24" s="1"/>
  <c r="AG286" i="24" s="1"/>
  <c r="AF286" i="24" s="1"/>
  <c r="AD286" i="24" s="1"/>
  <c r="AI282" i="24"/>
  <c r="AH282" i="24" s="1"/>
  <c r="AG282" i="24" s="1"/>
  <c r="AF282" i="24" s="1"/>
  <c r="AD282" i="24" s="1"/>
  <c r="AI278" i="24"/>
  <c r="AH278" i="24" s="1"/>
  <c r="AG278" i="24" s="1"/>
  <c r="AF278" i="24" s="1"/>
  <c r="AD278" i="24" s="1"/>
  <c r="AI274" i="24"/>
  <c r="AH274" i="24" s="1"/>
  <c r="AG274" i="24" s="1"/>
  <c r="AF274" i="24" s="1"/>
  <c r="AD274" i="24" s="1"/>
  <c r="AI270" i="24"/>
  <c r="AH270" i="24" s="1"/>
  <c r="AG270" i="24" s="1"/>
  <c r="AF270" i="24" s="1"/>
  <c r="AD270" i="24" s="1"/>
  <c r="AI266" i="24"/>
  <c r="AH266" i="24" s="1"/>
  <c r="AG266" i="24" s="1"/>
  <c r="AF266" i="24" s="1"/>
  <c r="AD266" i="24" s="1"/>
  <c r="AI262" i="24"/>
  <c r="AH262" i="24" s="1"/>
  <c r="AG262" i="24" s="1"/>
  <c r="AF262" i="24" s="1"/>
  <c r="AD262" i="24" s="1"/>
  <c r="AI258" i="24"/>
  <c r="AH258" i="24" s="1"/>
  <c r="AG258" i="24" s="1"/>
  <c r="AF258" i="24" s="1"/>
  <c r="AD258" i="24" s="1"/>
  <c r="AI254" i="24"/>
  <c r="AH254" i="24" s="1"/>
  <c r="AG254" i="24" s="1"/>
  <c r="AF254" i="24" s="1"/>
  <c r="AD254" i="24" s="1"/>
  <c r="AI246" i="24"/>
  <c r="AH246" i="24" s="1"/>
  <c r="AG246" i="24" s="1"/>
  <c r="AF246" i="24" s="1"/>
  <c r="AD246" i="24" s="1"/>
  <c r="AI238" i="24"/>
  <c r="AH238" i="24" s="1"/>
  <c r="AG238" i="24" s="1"/>
  <c r="AF238" i="24" s="1"/>
  <c r="AD238" i="24" s="1"/>
  <c r="AI230" i="24"/>
  <c r="AH230" i="24" s="1"/>
  <c r="AG230" i="24" s="1"/>
  <c r="AF230" i="24" s="1"/>
  <c r="AD230" i="24" s="1"/>
  <c r="AI222" i="24"/>
  <c r="AH222" i="24" s="1"/>
  <c r="AG222" i="24" s="1"/>
  <c r="AF222" i="24" s="1"/>
  <c r="AD222" i="24" s="1"/>
  <c r="AI214" i="24"/>
  <c r="AH214" i="24" s="1"/>
  <c r="AG214" i="24" s="1"/>
  <c r="AF214" i="24" s="1"/>
  <c r="AD214" i="24" s="1"/>
  <c r="AI206" i="24"/>
  <c r="AH206" i="24" s="1"/>
  <c r="AG206" i="24" s="1"/>
  <c r="AF206" i="24" s="1"/>
  <c r="AD206" i="24" s="1"/>
  <c r="AI198" i="24"/>
  <c r="AH198" i="24" s="1"/>
  <c r="AG198" i="24" s="1"/>
  <c r="AF198" i="24" s="1"/>
  <c r="AD198" i="24" s="1"/>
  <c r="AI190" i="24"/>
  <c r="AH190" i="24" s="1"/>
  <c r="AG190" i="24" s="1"/>
  <c r="AF190" i="24" s="1"/>
  <c r="AD190" i="24" s="1"/>
  <c r="AI182" i="24"/>
  <c r="AH182" i="24" s="1"/>
  <c r="AG182" i="24" s="1"/>
  <c r="AF182" i="24" s="1"/>
  <c r="AD182" i="24" s="1"/>
  <c r="AI174" i="24"/>
  <c r="AH174" i="24" s="1"/>
  <c r="AG174" i="24" s="1"/>
  <c r="AF174" i="24" s="1"/>
  <c r="AD174" i="24" s="1"/>
  <c r="AI166" i="24"/>
  <c r="AH166" i="24" s="1"/>
  <c r="AG166" i="24" s="1"/>
  <c r="AF166" i="24" s="1"/>
  <c r="AD166" i="24" s="1"/>
  <c r="AI158" i="24"/>
  <c r="AH158" i="24" s="1"/>
  <c r="AG158" i="24" s="1"/>
  <c r="AF158" i="24" s="1"/>
  <c r="AD158" i="24" s="1"/>
  <c r="AI150" i="24"/>
  <c r="AH150" i="24" s="1"/>
  <c r="AG150" i="24" s="1"/>
  <c r="AF150" i="24" s="1"/>
  <c r="AD150" i="24" s="1"/>
  <c r="AI142" i="24"/>
  <c r="AH142" i="24" s="1"/>
  <c r="AG142" i="24" s="1"/>
  <c r="AF142" i="24" s="1"/>
  <c r="AD142" i="24" s="1"/>
  <c r="AI134" i="24"/>
  <c r="AH134" i="24" s="1"/>
  <c r="AG134" i="24" s="1"/>
  <c r="AF134" i="24" s="1"/>
  <c r="AD134" i="24" s="1"/>
  <c r="AI126" i="24"/>
  <c r="AH126" i="24" s="1"/>
  <c r="AG126" i="24" s="1"/>
  <c r="AF126" i="24" s="1"/>
  <c r="AD126" i="24" s="1"/>
  <c r="AI118" i="24"/>
  <c r="AH118" i="24" s="1"/>
  <c r="AG118" i="24" s="1"/>
  <c r="AF118" i="24" s="1"/>
  <c r="AD118" i="24" s="1"/>
  <c r="AI110" i="24"/>
  <c r="AH110" i="24" s="1"/>
  <c r="AG110" i="24" s="1"/>
  <c r="AF110" i="24" s="1"/>
  <c r="AD110" i="24" s="1"/>
  <c r="AI102" i="24"/>
  <c r="AH102" i="24" s="1"/>
  <c r="AG102" i="24" s="1"/>
  <c r="AF102" i="24" s="1"/>
  <c r="AD102" i="24" s="1"/>
  <c r="AI94" i="24"/>
  <c r="AH94" i="24" s="1"/>
  <c r="AG94" i="24" s="1"/>
  <c r="AF94" i="24" s="1"/>
  <c r="AD94" i="24" s="1"/>
  <c r="AI86" i="24"/>
  <c r="AH86" i="24" s="1"/>
  <c r="AG86" i="24" s="1"/>
  <c r="AF86" i="24" s="1"/>
  <c r="AD86" i="24" s="1"/>
  <c r="AI78" i="24"/>
  <c r="AH78" i="24" s="1"/>
  <c r="AG78" i="24" s="1"/>
  <c r="AF78" i="24" s="1"/>
  <c r="AD78" i="24" s="1"/>
  <c r="AI70" i="24"/>
  <c r="AH70" i="24" s="1"/>
  <c r="AG70" i="24" s="1"/>
  <c r="AF70" i="24" s="1"/>
  <c r="AD70" i="24" s="1"/>
  <c r="AI62" i="24"/>
  <c r="AH62" i="24" s="1"/>
  <c r="AG62" i="24" s="1"/>
  <c r="AF62" i="24" s="1"/>
  <c r="AD62" i="24" s="1"/>
  <c r="AI54" i="24"/>
  <c r="AH54" i="24" s="1"/>
  <c r="AG54" i="24" s="1"/>
  <c r="AF54" i="24" s="1"/>
  <c r="AD54" i="24" s="1"/>
  <c r="AI46" i="24"/>
  <c r="AH46" i="24" s="1"/>
  <c r="AG46" i="24" s="1"/>
  <c r="AF46" i="24" s="1"/>
  <c r="AD46" i="24" s="1"/>
  <c r="AI38" i="24"/>
  <c r="AH38" i="24" s="1"/>
  <c r="AG38" i="24" s="1"/>
  <c r="AF38" i="24" s="1"/>
  <c r="AD38" i="24" s="1"/>
  <c r="AI30" i="24"/>
  <c r="AH30" i="24" s="1"/>
  <c r="AG30" i="24" s="1"/>
  <c r="AF30" i="24" s="1"/>
  <c r="AD30" i="24" s="1"/>
  <c r="AI20" i="24"/>
  <c r="AH20" i="24" s="1"/>
  <c r="AG20" i="24" s="1"/>
  <c r="AF20" i="24" s="1"/>
  <c r="AD20" i="24" s="1"/>
  <c r="AI367" i="24"/>
  <c r="AH367" i="24" s="1"/>
  <c r="AG367" i="24" s="1"/>
  <c r="AF367" i="24" s="1"/>
  <c r="AD367" i="24" s="1"/>
  <c r="AI347" i="24"/>
  <c r="AH347" i="24" s="1"/>
  <c r="AG347" i="24" s="1"/>
  <c r="AF347" i="24" s="1"/>
  <c r="AD347" i="24" s="1"/>
  <c r="AI315" i="24"/>
  <c r="AH315" i="24" s="1"/>
  <c r="AG315" i="24" s="1"/>
  <c r="AF315" i="24" s="1"/>
  <c r="AD315" i="24" s="1"/>
  <c r="AI283" i="24"/>
  <c r="AH283" i="24" s="1"/>
  <c r="AG283" i="24" s="1"/>
  <c r="AF283" i="24" s="1"/>
  <c r="AD283" i="24" s="1"/>
  <c r="AI251" i="24"/>
  <c r="AH251" i="24" s="1"/>
  <c r="AG251" i="24" s="1"/>
  <c r="AF251" i="24" s="1"/>
  <c r="AD251" i="24" s="1"/>
  <c r="AI219" i="24"/>
  <c r="AH219" i="24" s="1"/>
  <c r="AG219" i="24" s="1"/>
  <c r="AF219" i="24" s="1"/>
  <c r="AD219" i="24" s="1"/>
  <c r="AI187" i="24"/>
  <c r="AH187" i="24" s="1"/>
  <c r="AG187" i="24" s="1"/>
  <c r="AF187" i="24" s="1"/>
  <c r="AD187" i="24" s="1"/>
  <c r="AI155" i="24"/>
  <c r="AH155" i="24" s="1"/>
  <c r="AG155" i="24" s="1"/>
  <c r="AF155" i="24" s="1"/>
  <c r="AD155" i="24" s="1"/>
  <c r="AI123" i="24"/>
  <c r="AH123" i="24" s="1"/>
  <c r="AG123" i="24" s="1"/>
  <c r="AF123" i="24" s="1"/>
  <c r="AD123" i="24" s="1"/>
  <c r="AI91" i="24"/>
  <c r="AH91" i="24" s="1"/>
  <c r="AG91" i="24" s="1"/>
  <c r="AF91" i="24" s="1"/>
  <c r="AD91" i="24" s="1"/>
  <c r="AI59" i="24"/>
  <c r="AH59" i="24" s="1"/>
  <c r="AG59" i="24" s="1"/>
  <c r="AF59" i="24" s="1"/>
  <c r="AD59" i="24" s="1"/>
  <c r="AI27" i="24"/>
  <c r="AH27" i="24" s="1"/>
  <c r="AG27" i="24" s="1"/>
  <c r="AF27" i="24" s="1"/>
  <c r="AD27" i="24" s="1"/>
  <c r="AI17" i="24"/>
  <c r="AH17" i="24" s="1"/>
  <c r="AG17" i="24" s="1"/>
  <c r="AF17" i="24" s="1"/>
  <c r="AD17" i="24" s="1"/>
  <c r="AI39" i="24"/>
  <c r="AH39" i="24" s="1"/>
  <c r="AG39" i="24" s="1"/>
  <c r="AF39" i="24" s="1"/>
  <c r="AD39" i="24" s="1"/>
  <c r="AI55" i="24"/>
  <c r="AH55" i="24" s="1"/>
  <c r="AG55" i="24" s="1"/>
  <c r="AF55" i="24" s="1"/>
  <c r="AD55" i="24" s="1"/>
  <c r="AA55" i="24" s="1"/>
  <c r="Z55" i="24" s="1"/>
  <c r="Y55" i="24" s="1"/>
  <c r="AI71" i="24"/>
  <c r="AH71" i="24" s="1"/>
  <c r="AG71" i="24" s="1"/>
  <c r="AF71" i="24" s="1"/>
  <c r="AD71" i="24" s="1"/>
  <c r="AI87" i="24"/>
  <c r="AH87" i="24" s="1"/>
  <c r="AG87" i="24" s="1"/>
  <c r="AF87" i="24" s="1"/>
  <c r="AD87" i="24" s="1"/>
  <c r="AA87" i="24" s="1"/>
  <c r="Z87" i="24" s="1"/>
  <c r="Y87" i="24" s="1"/>
  <c r="AI103" i="24"/>
  <c r="AH103" i="24" s="1"/>
  <c r="AG103" i="24" s="1"/>
  <c r="AF103" i="24" s="1"/>
  <c r="AD103" i="24" s="1"/>
  <c r="AI119" i="24"/>
  <c r="AH119" i="24" s="1"/>
  <c r="AG119" i="24" s="1"/>
  <c r="AF119" i="24" s="1"/>
  <c r="AD119" i="24" s="1"/>
  <c r="AI135" i="24"/>
  <c r="AH135" i="24" s="1"/>
  <c r="AG135" i="24" s="1"/>
  <c r="AF135" i="24" s="1"/>
  <c r="AD135" i="24" s="1"/>
  <c r="AI151" i="24"/>
  <c r="AH151" i="24" s="1"/>
  <c r="AG151" i="24" s="1"/>
  <c r="AF151" i="24" s="1"/>
  <c r="AD151" i="24" s="1"/>
  <c r="AA151" i="24" s="1"/>
  <c r="Z151" i="24" s="1"/>
  <c r="Y151" i="24" s="1"/>
  <c r="AI167" i="24"/>
  <c r="AH167" i="24" s="1"/>
  <c r="AG167" i="24" s="1"/>
  <c r="AF167" i="24" s="1"/>
  <c r="AD167" i="24" s="1"/>
  <c r="AI183" i="24"/>
  <c r="AH183" i="24" s="1"/>
  <c r="AG183" i="24" s="1"/>
  <c r="AF183" i="24" s="1"/>
  <c r="AD183" i="24" s="1"/>
  <c r="AA183" i="24" s="1"/>
  <c r="Z183" i="24" s="1"/>
  <c r="Y183" i="24" s="1"/>
  <c r="AI199" i="24"/>
  <c r="AH199" i="24" s="1"/>
  <c r="AG199" i="24" s="1"/>
  <c r="AF199" i="24" s="1"/>
  <c r="AD199" i="24" s="1"/>
  <c r="AI215" i="24"/>
  <c r="AH215" i="24" s="1"/>
  <c r="AG215" i="24" s="1"/>
  <c r="AF215" i="24" s="1"/>
  <c r="AD215" i="24" s="1"/>
  <c r="AI231" i="24"/>
  <c r="AH231" i="24" s="1"/>
  <c r="AG231" i="24" s="1"/>
  <c r="AF231" i="24" s="1"/>
  <c r="AD231" i="24" s="1"/>
  <c r="AI247" i="24"/>
  <c r="AH247" i="24" s="1"/>
  <c r="AG247" i="24" s="1"/>
  <c r="AF247" i="24" s="1"/>
  <c r="AD247" i="24" s="1"/>
  <c r="AI263" i="24"/>
  <c r="AH263" i="24" s="1"/>
  <c r="AG263" i="24" s="1"/>
  <c r="AF263" i="24" s="1"/>
  <c r="AD263" i="24" s="1"/>
  <c r="AI279" i="24"/>
  <c r="AH279" i="24" s="1"/>
  <c r="AG279" i="24" s="1"/>
  <c r="AF279" i="24" s="1"/>
  <c r="AD279" i="24" s="1"/>
  <c r="AI295" i="24"/>
  <c r="AH295" i="24" s="1"/>
  <c r="AG295" i="24" s="1"/>
  <c r="AF295" i="24" s="1"/>
  <c r="AD295" i="24" s="1"/>
  <c r="AI311" i="24"/>
  <c r="AH311" i="24" s="1"/>
  <c r="AG311" i="24" s="1"/>
  <c r="AF311" i="24" s="1"/>
  <c r="AD311" i="24" s="1"/>
  <c r="AI327" i="24"/>
  <c r="AH327" i="24" s="1"/>
  <c r="AG327" i="24" s="1"/>
  <c r="AF327" i="24" s="1"/>
  <c r="AD327" i="24" s="1"/>
  <c r="AI343" i="24"/>
  <c r="AH343" i="24" s="1"/>
  <c r="AG343" i="24" s="1"/>
  <c r="AF343" i="24" s="1"/>
  <c r="AD343" i="24" s="1"/>
  <c r="AI357" i="24"/>
  <c r="AH357" i="24" s="1"/>
  <c r="AG357" i="24" s="1"/>
  <c r="AF357" i="24" s="1"/>
  <c r="AD357" i="24" s="1"/>
  <c r="AI365" i="24"/>
  <c r="AH365" i="24" s="1"/>
  <c r="AG365" i="24" s="1"/>
  <c r="AF365" i="24" s="1"/>
  <c r="AD365" i="24" s="1"/>
  <c r="AI373" i="24"/>
  <c r="AH373" i="24" s="1"/>
  <c r="AG373" i="24" s="1"/>
  <c r="AF373" i="24" s="1"/>
  <c r="AD373" i="24" s="1"/>
  <c r="AI15" i="24"/>
  <c r="AH15" i="24" s="1"/>
  <c r="AI31" i="24"/>
  <c r="AH31" i="24" s="1"/>
  <c r="AG31" i="24" s="1"/>
  <c r="AF31" i="24" s="1"/>
  <c r="AD31" i="24" s="1"/>
  <c r="AI47" i="24"/>
  <c r="AH47" i="24" s="1"/>
  <c r="AG47" i="24" s="1"/>
  <c r="AF47" i="24" s="1"/>
  <c r="AD47" i="24" s="1"/>
  <c r="AA47" i="24" s="1"/>
  <c r="Z47" i="24" s="1"/>
  <c r="Y47" i="24" s="1"/>
  <c r="AI63" i="24"/>
  <c r="AH63" i="24" s="1"/>
  <c r="AG63" i="24" s="1"/>
  <c r="AF63" i="24" s="1"/>
  <c r="AD63" i="24" s="1"/>
  <c r="AI79" i="24"/>
  <c r="AH79" i="24" s="1"/>
  <c r="AG79" i="24" s="1"/>
  <c r="AF79" i="24" s="1"/>
  <c r="AD79" i="24" s="1"/>
  <c r="AA79" i="24" s="1"/>
  <c r="Z79" i="24" s="1"/>
  <c r="Y79" i="24" s="1"/>
  <c r="AI95" i="24"/>
  <c r="AH95" i="24" s="1"/>
  <c r="AG95" i="24" s="1"/>
  <c r="AF95" i="24" s="1"/>
  <c r="AD95" i="24" s="1"/>
  <c r="AI111" i="24"/>
  <c r="AH111" i="24" s="1"/>
  <c r="AG111" i="24" s="1"/>
  <c r="AF111" i="24" s="1"/>
  <c r="AD111" i="24" s="1"/>
  <c r="AI127" i="24"/>
  <c r="AH127" i="24" s="1"/>
  <c r="AG127" i="24" s="1"/>
  <c r="AF127" i="24" s="1"/>
  <c r="AD127" i="24" s="1"/>
  <c r="AI143" i="24"/>
  <c r="AH143" i="24" s="1"/>
  <c r="AG143" i="24" s="1"/>
  <c r="AF143" i="24" s="1"/>
  <c r="AD143" i="24" s="1"/>
  <c r="AA143" i="24" s="1"/>
  <c r="Z143" i="24" s="1"/>
  <c r="Y143" i="24" s="1"/>
  <c r="AI159" i="24"/>
  <c r="AH159" i="24" s="1"/>
  <c r="AG159" i="24" s="1"/>
  <c r="AF159" i="24" s="1"/>
  <c r="AD159" i="24" s="1"/>
  <c r="AI175" i="24"/>
  <c r="AH175" i="24" s="1"/>
  <c r="AG175" i="24" s="1"/>
  <c r="AF175" i="24" s="1"/>
  <c r="AD175" i="24" s="1"/>
  <c r="AA175" i="24" s="1"/>
  <c r="Z175" i="24" s="1"/>
  <c r="Y175" i="24" s="1"/>
  <c r="AI191" i="24"/>
  <c r="AH191" i="24" s="1"/>
  <c r="AG191" i="24" s="1"/>
  <c r="AF191" i="24" s="1"/>
  <c r="AD191" i="24" s="1"/>
  <c r="AI207" i="24"/>
  <c r="AH207" i="24" s="1"/>
  <c r="AG207" i="24" s="1"/>
  <c r="AF207" i="24" s="1"/>
  <c r="AD207" i="24" s="1"/>
  <c r="AI223" i="24"/>
  <c r="AH223" i="24" s="1"/>
  <c r="AG223" i="24" s="1"/>
  <c r="AF223" i="24" s="1"/>
  <c r="AD223" i="24" s="1"/>
  <c r="AI239" i="24"/>
  <c r="AH239" i="24" s="1"/>
  <c r="AG239" i="24" s="1"/>
  <c r="AF239" i="24" s="1"/>
  <c r="AD239" i="24" s="1"/>
  <c r="AI255" i="24"/>
  <c r="AH255" i="24" s="1"/>
  <c r="AG255" i="24" s="1"/>
  <c r="AF255" i="24" s="1"/>
  <c r="AD255" i="24" s="1"/>
  <c r="AI271" i="24"/>
  <c r="AH271" i="24" s="1"/>
  <c r="AG271" i="24" s="1"/>
  <c r="AF271" i="24" s="1"/>
  <c r="AD271" i="24" s="1"/>
  <c r="AA271" i="24" s="1"/>
  <c r="Z271" i="24" s="1"/>
  <c r="Y271" i="24" s="1"/>
  <c r="AI287" i="24"/>
  <c r="AH287" i="24" s="1"/>
  <c r="AG287" i="24" s="1"/>
  <c r="AF287" i="24" s="1"/>
  <c r="AD287" i="24" s="1"/>
  <c r="AI303" i="24"/>
  <c r="AH303" i="24" s="1"/>
  <c r="AG303" i="24" s="1"/>
  <c r="AF303" i="24" s="1"/>
  <c r="AD303" i="24" s="1"/>
  <c r="AA303" i="24" s="1"/>
  <c r="Z303" i="24" s="1"/>
  <c r="Y303" i="24" s="1"/>
  <c r="AI319" i="24"/>
  <c r="AH319" i="24" s="1"/>
  <c r="AG319" i="24" s="1"/>
  <c r="AF319" i="24" s="1"/>
  <c r="AD319" i="24" s="1"/>
  <c r="AI335" i="24"/>
  <c r="AH335" i="24" s="1"/>
  <c r="AG335" i="24" s="1"/>
  <c r="AF335" i="24" s="1"/>
  <c r="AD335" i="24" s="1"/>
  <c r="AI351" i="24"/>
  <c r="AH351" i="24" s="1"/>
  <c r="AG351" i="24" s="1"/>
  <c r="AF351" i="24" s="1"/>
  <c r="AD351" i="24" s="1"/>
  <c r="AI361" i="24"/>
  <c r="AH361" i="24" s="1"/>
  <c r="AG361" i="24" s="1"/>
  <c r="AF361" i="24" s="1"/>
  <c r="AD361" i="24" s="1"/>
  <c r="AI369" i="24"/>
  <c r="AH369" i="24" s="1"/>
  <c r="AG369" i="24" s="1"/>
  <c r="AF369" i="24" s="1"/>
  <c r="AD369" i="24" s="1"/>
  <c r="AI377" i="24"/>
  <c r="AH377" i="24" s="1"/>
  <c r="AG377" i="24" s="1"/>
  <c r="AF377" i="24" s="1"/>
  <c r="AD377" i="24" s="1"/>
  <c r="AA377" i="24" s="1"/>
  <c r="Z377" i="24" s="1"/>
  <c r="Y377" i="24" s="1"/>
  <c r="Z11" i="17"/>
  <c r="Z5" i="17" s="1"/>
  <c r="H14" i="19" s="1"/>
  <c r="H38" i="19" s="1"/>
  <c r="Y11" i="17"/>
  <c r="J14" i="19"/>
  <c r="AA11" i="17"/>
  <c r="AA5" i="17" s="1"/>
  <c r="I14" i="19" s="1"/>
  <c r="I38" i="19" s="1"/>
  <c r="AK4" i="17"/>
  <c r="R14" i="19" s="1"/>
  <c r="N15" i="19" s="1"/>
  <c r="AM13" i="17"/>
  <c r="AJ3" i="17"/>
  <c r="O14" i="19" s="1"/>
  <c r="M14" i="19" s="1"/>
  <c r="AL13" i="17"/>
  <c r="AG159" i="23"/>
  <c r="AH381" i="23"/>
  <c r="AH383" i="23"/>
  <c r="AH382" i="23"/>
  <c r="W20" i="24"/>
  <c r="W190" i="24"/>
  <c r="W234" i="24"/>
  <c r="J355" i="23"/>
  <c r="W290" i="24"/>
  <c r="W330" i="24"/>
  <c r="D338" i="24"/>
  <c r="E338" i="24" s="1"/>
  <c r="F338" i="24" s="1"/>
  <c r="D346" i="24"/>
  <c r="E346" i="24" s="1"/>
  <c r="F346" i="24" s="1"/>
  <c r="G346" i="24" s="1"/>
  <c r="CE346" i="6" s="1"/>
  <c r="J257" i="23"/>
  <c r="D202" i="24"/>
  <c r="E202" i="24" s="1"/>
  <c r="F202" i="24" s="1"/>
  <c r="G202" i="24" s="1"/>
  <c r="CE202" i="6" s="1"/>
  <c r="D206" i="24"/>
  <c r="E206" i="24" s="1"/>
  <c r="F206" i="24" s="1"/>
  <c r="W238" i="24"/>
  <c r="W320" i="24"/>
  <c r="D324" i="24"/>
  <c r="E324" i="24" s="1"/>
  <c r="F324" i="24" s="1"/>
  <c r="AA324" i="24" s="1"/>
  <c r="Z324" i="24" s="1"/>
  <c r="Y324" i="24" s="1"/>
  <c r="D336" i="24"/>
  <c r="E336" i="24" s="1"/>
  <c r="F336" i="24" s="1"/>
  <c r="D364" i="24"/>
  <c r="E364" i="24" s="1"/>
  <c r="F364" i="24" s="1"/>
  <c r="AA364" i="24" s="1"/>
  <c r="Z364" i="24" s="1"/>
  <c r="Y364" i="24" s="1"/>
  <c r="W368" i="24"/>
  <c r="D196" i="24"/>
  <c r="E196" i="24" s="1"/>
  <c r="F196" i="24" s="1"/>
  <c r="AA196" i="24" s="1"/>
  <c r="Z196" i="24" s="1"/>
  <c r="Y196" i="24" s="1"/>
  <c r="Q383" i="25"/>
  <c r="J260" i="23"/>
  <c r="W26" i="24"/>
  <c r="W42" i="24"/>
  <c r="W58" i="24"/>
  <c r="W86" i="24"/>
  <c r="W114" i="24"/>
  <c r="D118" i="24"/>
  <c r="E118" i="24" s="1"/>
  <c r="F118" i="24" s="1"/>
  <c r="H118" i="24" s="1"/>
  <c r="W142" i="24"/>
  <c r="D162" i="24"/>
  <c r="E162" i="24" s="1"/>
  <c r="F162" i="24" s="1"/>
  <c r="AA162" i="24" s="1"/>
  <c r="Z162" i="24" s="1"/>
  <c r="Y162" i="24" s="1"/>
  <c r="D17" i="24"/>
  <c r="E17" i="24" s="1"/>
  <c r="F17" i="24" s="1"/>
  <c r="D94" i="24"/>
  <c r="E94" i="24" s="1"/>
  <c r="F94" i="24" s="1"/>
  <c r="AA94" i="24" s="1"/>
  <c r="Z94" i="24" s="1"/>
  <c r="Y94" i="24" s="1"/>
  <c r="W102" i="24"/>
  <c r="W130" i="24"/>
  <c r="W138" i="24"/>
  <c r="D194" i="24"/>
  <c r="E194" i="24" s="1"/>
  <c r="F194" i="24" s="1"/>
  <c r="AA194" i="24" s="1"/>
  <c r="Z194" i="24" s="1"/>
  <c r="Y194" i="24" s="1"/>
  <c r="D226" i="24"/>
  <c r="E226" i="24" s="1"/>
  <c r="F226" i="24" s="1"/>
  <c r="G226" i="24" s="1"/>
  <c r="CE226" i="6" s="1"/>
  <c r="W250" i="24"/>
  <c r="W266" i="24"/>
  <c r="W278" i="24"/>
  <c r="W282" i="24"/>
  <c r="D294" i="24"/>
  <c r="E294" i="24" s="1"/>
  <c r="F294" i="24" s="1"/>
  <c r="G294" i="24" s="1"/>
  <c r="CE294" i="6" s="1"/>
  <c r="J67" i="23"/>
  <c r="J376" i="23"/>
  <c r="V60" i="24"/>
  <c r="B60" i="24" s="1"/>
  <c r="W60" i="24" s="1"/>
  <c r="W68" i="24"/>
  <c r="W72" i="24"/>
  <c r="D80" i="24"/>
  <c r="E80" i="24" s="1"/>
  <c r="F80" i="24" s="1"/>
  <c r="G80" i="24" s="1"/>
  <c r="CE80" i="6" s="1"/>
  <c r="D92" i="24"/>
  <c r="E92" i="24" s="1"/>
  <c r="F92" i="24" s="1"/>
  <c r="G92" i="24" s="1"/>
  <c r="CE92" i="6" s="1"/>
  <c r="W108" i="24"/>
  <c r="D124" i="24"/>
  <c r="E124" i="24" s="1"/>
  <c r="F124" i="24" s="1"/>
  <c r="H124" i="24" s="1"/>
  <c r="W140" i="24"/>
  <c r="W244" i="24"/>
  <c r="W168" i="24"/>
  <c r="V180" i="24"/>
  <c r="B180" i="24" s="1"/>
  <c r="D180" i="24" s="1"/>
  <c r="E180" i="24" s="1"/>
  <c r="F180" i="24" s="1"/>
  <c r="W184" i="24"/>
  <c r="D192" i="24"/>
  <c r="E192" i="24" s="1"/>
  <c r="F192" i="24" s="1"/>
  <c r="H192" i="24" s="1"/>
  <c r="AH64" i="7"/>
  <c r="D25" i="24"/>
  <c r="E25" i="24" s="1"/>
  <c r="F25" i="24" s="1"/>
  <c r="G25" i="24" s="1"/>
  <c r="CE25" i="6" s="1"/>
  <c r="W44" i="24"/>
  <c r="W148" i="24"/>
  <c r="D156" i="24"/>
  <c r="E156" i="24" s="1"/>
  <c r="F156" i="24" s="1"/>
  <c r="G156" i="24" s="1"/>
  <c r="CE156" i="6" s="1"/>
  <c r="W160" i="24"/>
  <c r="W208" i="24"/>
  <c r="D212" i="24"/>
  <c r="E212" i="24" s="1"/>
  <c r="F212" i="24" s="1"/>
  <c r="G212" i="24" s="1"/>
  <c r="CE212" i="6" s="1"/>
  <c r="W216" i="24"/>
  <c r="D220" i="24"/>
  <c r="E220" i="24" s="1"/>
  <c r="F220" i="24" s="1"/>
  <c r="AA220" i="24" s="1"/>
  <c r="Z220" i="24" s="1"/>
  <c r="Y220" i="24" s="1"/>
  <c r="W224" i="24"/>
  <c r="D260" i="24"/>
  <c r="E260" i="24" s="1"/>
  <c r="F260" i="24" s="1"/>
  <c r="AA260" i="24" s="1"/>
  <c r="Z260" i="24" s="1"/>
  <c r="Y260" i="24" s="1"/>
  <c r="D292" i="24"/>
  <c r="E292" i="24" s="1"/>
  <c r="F292" i="24" s="1"/>
  <c r="G292" i="24" s="1"/>
  <c r="CE292" i="6" s="1"/>
  <c r="J325" i="23"/>
  <c r="G88" i="23"/>
  <c r="CD88" i="6" s="1"/>
  <c r="D23" i="24"/>
  <c r="E23" i="24" s="1"/>
  <c r="F23" i="24" s="1"/>
  <c r="G23" i="24" s="1"/>
  <c r="CE23" i="6" s="1"/>
  <c r="D54" i="24"/>
  <c r="E54" i="24" s="1"/>
  <c r="F54" i="24" s="1"/>
  <c r="G54" i="24" s="1"/>
  <c r="CE54" i="6" s="1"/>
  <c r="W66" i="24"/>
  <c r="W82" i="24"/>
  <c r="W106" i="24"/>
  <c r="W110" i="24"/>
  <c r="D122" i="24"/>
  <c r="E122" i="24" s="1"/>
  <c r="F122" i="24" s="1"/>
  <c r="G122" i="24" s="1"/>
  <c r="CE122" i="6" s="1"/>
  <c r="W126" i="24"/>
  <c r="W150" i="24"/>
  <c r="D170" i="24"/>
  <c r="E170" i="24" s="1"/>
  <c r="F170" i="24" s="1"/>
  <c r="G170" i="24" s="1"/>
  <c r="CE170" i="6" s="1"/>
  <c r="D178" i="24"/>
  <c r="E178" i="24" s="1"/>
  <c r="F178" i="24" s="1"/>
  <c r="G178" i="24" s="1"/>
  <c r="CE178" i="6" s="1"/>
  <c r="W186" i="24"/>
  <c r="D198" i="24"/>
  <c r="E198" i="24" s="1"/>
  <c r="F198" i="24" s="1"/>
  <c r="AA198" i="24" s="1"/>
  <c r="Z198" i="24" s="1"/>
  <c r="Y198" i="24" s="1"/>
  <c r="W230" i="24"/>
  <c r="D242" i="24"/>
  <c r="E242" i="24" s="1"/>
  <c r="F242" i="24" s="1"/>
  <c r="H242" i="24" s="1"/>
  <c r="W246" i="24"/>
  <c r="D262" i="24"/>
  <c r="E262" i="24" s="1"/>
  <c r="F262" i="24" s="1"/>
  <c r="AA262" i="24" s="1"/>
  <c r="Z262" i="24" s="1"/>
  <c r="Y262" i="24" s="1"/>
  <c r="D274" i="24"/>
  <c r="E274" i="24" s="1"/>
  <c r="F274" i="24" s="1"/>
  <c r="W286" i="24"/>
  <c r="W298" i="24"/>
  <c r="W318" i="24"/>
  <c r="D326" i="24"/>
  <c r="E326" i="24" s="1"/>
  <c r="F326" i="24" s="1"/>
  <c r="G326" i="24" s="1"/>
  <c r="CE326" i="6" s="1"/>
  <c r="D350" i="24"/>
  <c r="E350" i="24" s="1"/>
  <c r="F350" i="24" s="1"/>
  <c r="G350" i="24" s="1"/>
  <c r="CE350" i="6" s="1"/>
  <c r="W354" i="24"/>
  <c r="D362" i="24"/>
  <c r="E362" i="24" s="1"/>
  <c r="F362" i="24" s="1"/>
  <c r="AA362" i="24" s="1"/>
  <c r="Z362" i="24" s="1"/>
  <c r="Y362" i="24" s="1"/>
  <c r="W370" i="24"/>
  <c r="I286" i="23"/>
  <c r="H286" i="24" s="1"/>
  <c r="H88" i="23"/>
  <c r="J88" i="23" s="1"/>
  <c r="J86" i="23"/>
  <c r="W22" i="24"/>
  <c r="W36" i="24"/>
  <c r="D40" i="24"/>
  <c r="E40" i="24" s="1"/>
  <c r="F40" i="24" s="1"/>
  <c r="G40" i="24" s="1"/>
  <c r="CE40" i="6" s="1"/>
  <c r="W48" i="24"/>
  <c r="W56" i="24"/>
  <c r="W84" i="24"/>
  <c r="W96" i="24"/>
  <c r="D104" i="24"/>
  <c r="E104" i="24" s="1"/>
  <c r="F104" i="24" s="1"/>
  <c r="G104" i="24" s="1"/>
  <c r="CE104" i="6" s="1"/>
  <c r="W112" i="24"/>
  <c r="W120" i="24"/>
  <c r="D128" i="24"/>
  <c r="E128" i="24" s="1"/>
  <c r="F128" i="24" s="1"/>
  <c r="AA128" i="24" s="1"/>
  <c r="Z128" i="24" s="1"/>
  <c r="Y128" i="24" s="1"/>
  <c r="W136" i="24"/>
  <c r="W172" i="24"/>
  <c r="W176" i="24"/>
  <c r="D188" i="24"/>
  <c r="E188" i="24" s="1"/>
  <c r="F188" i="24" s="1"/>
  <c r="H188" i="24" s="1"/>
  <c r="W228" i="24"/>
  <c r="W240" i="24"/>
  <c r="W248" i="24"/>
  <c r="D256" i="24"/>
  <c r="E256" i="24" s="1"/>
  <c r="F256" i="24" s="1"/>
  <c r="H256" i="24" s="1"/>
  <c r="W268" i="24"/>
  <c r="D284" i="24"/>
  <c r="E284" i="24" s="1"/>
  <c r="F284" i="24" s="1"/>
  <c r="D304" i="24"/>
  <c r="E304" i="24" s="1"/>
  <c r="F304" i="24" s="1"/>
  <c r="AA304" i="24" s="1"/>
  <c r="Z304" i="24" s="1"/>
  <c r="Y304" i="24" s="1"/>
  <c r="W308" i="24"/>
  <c r="W312" i="24"/>
  <c r="W316" i="24"/>
  <c r="D328" i="24"/>
  <c r="E328" i="24" s="1"/>
  <c r="F328" i="24" s="1"/>
  <c r="G328" i="24" s="1"/>
  <c r="CE328" i="6" s="1"/>
  <c r="D340" i="24"/>
  <c r="E340" i="24" s="1"/>
  <c r="F340" i="24" s="1"/>
  <c r="AA340" i="24" s="1"/>
  <c r="Z340" i="24" s="1"/>
  <c r="Y340" i="24" s="1"/>
  <c r="D344" i="24"/>
  <c r="E344" i="24" s="1"/>
  <c r="F344" i="24" s="1"/>
  <c r="G344" i="24" s="1"/>
  <c r="CE344" i="6" s="1"/>
  <c r="W356" i="24"/>
  <c r="W360" i="24"/>
  <c r="W372" i="24"/>
  <c r="I26" i="23"/>
  <c r="H26" i="24" s="1"/>
  <c r="I84" i="23"/>
  <c r="H84" i="24" s="1"/>
  <c r="BF15" i="7"/>
  <c r="E40" i="19"/>
  <c r="C31" i="19"/>
  <c r="Q381" i="25"/>
  <c r="U383" i="24"/>
  <c r="U381" i="24"/>
  <c r="I153" i="23"/>
  <c r="J143" i="23"/>
  <c r="J337" i="23"/>
  <c r="J101" i="23"/>
  <c r="J113" i="23"/>
  <c r="J198" i="23"/>
  <c r="J270" i="23"/>
  <c r="J251" i="23"/>
  <c r="H258" i="23"/>
  <c r="J258" i="23" s="1"/>
  <c r="J51" i="23"/>
  <c r="J27" i="23"/>
  <c r="I295" i="23"/>
  <c r="D379" i="23"/>
  <c r="E379" i="23" s="1"/>
  <c r="F379" i="23" s="1"/>
  <c r="G379" i="23" s="1"/>
  <c r="CD379" i="6" s="1"/>
  <c r="M68" i="19"/>
  <c r="V379" i="24"/>
  <c r="B379" i="24" s="1"/>
  <c r="W379" i="24" s="1"/>
  <c r="D43" i="19"/>
  <c r="J66" i="23"/>
  <c r="J320" i="23"/>
  <c r="G135" i="23"/>
  <c r="CD135" i="6" s="1"/>
  <c r="AJ10" i="20"/>
  <c r="AJ12" i="20" s="1"/>
  <c r="AJ9" i="20"/>
  <c r="AJ11" i="20" s="1"/>
  <c r="AL10" i="18"/>
  <c r="AL9" i="18"/>
  <c r="Q382" i="25"/>
  <c r="H135" i="23"/>
  <c r="I135" i="23" s="1"/>
  <c r="B200" i="24"/>
  <c r="D200" i="24" s="1"/>
  <c r="E200" i="24" s="1"/>
  <c r="F200" i="24" s="1"/>
  <c r="E69" i="19"/>
  <c r="I69" i="19"/>
  <c r="F69" i="19"/>
  <c r="J69" i="19"/>
  <c r="W19" i="24"/>
  <c r="D19" i="24"/>
  <c r="E19" i="24" s="1"/>
  <c r="F19" i="24" s="1"/>
  <c r="W57" i="24"/>
  <c r="D57" i="24"/>
  <c r="E57" i="24" s="1"/>
  <c r="F57" i="24" s="1"/>
  <c r="W75" i="24"/>
  <c r="D75" i="24"/>
  <c r="E75" i="24" s="1"/>
  <c r="F75" i="24" s="1"/>
  <c r="W111" i="24"/>
  <c r="D111" i="24"/>
  <c r="E111" i="24" s="1"/>
  <c r="F111" i="24" s="1"/>
  <c r="D121" i="24"/>
  <c r="E121" i="24" s="1"/>
  <c r="F121" i="24" s="1"/>
  <c r="W121" i="24"/>
  <c r="D127" i="24"/>
  <c r="E127" i="24" s="1"/>
  <c r="F127" i="24" s="1"/>
  <c r="W127" i="24"/>
  <c r="W137" i="24"/>
  <c r="D137" i="24"/>
  <c r="E137" i="24" s="1"/>
  <c r="F137" i="24" s="1"/>
  <c r="D157" i="24"/>
  <c r="E157" i="24" s="1"/>
  <c r="F157" i="24" s="1"/>
  <c r="W157" i="24"/>
  <c r="D205" i="24"/>
  <c r="E205" i="24" s="1"/>
  <c r="F205" i="24" s="1"/>
  <c r="W205" i="24"/>
  <c r="D213" i="24"/>
  <c r="E213" i="24" s="1"/>
  <c r="F213" i="24" s="1"/>
  <c r="W213" i="24"/>
  <c r="D225" i="24"/>
  <c r="E225" i="24" s="1"/>
  <c r="F225" i="24" s="1"/>
  <c r="W225" i="24"/>
  <c r="W235" i="24"/>
  <c r="D235" i="24"/>
  <c r="E235" i="24" s="1"/>
  <c r="F235" i="24" s="1"/>
  <c r="D259" i="24"/>
  <c r="E259" i="24" s="1"/>
  <c r="F259" i="24" s="1"/>
  <c r="W259" i="24"/>
  <c r="D289" i="24"/>
  <c r="E289" i="24" s="1"/>
  <c r="F289" i="24" s="1"/>
  <c r="W289" i="24"/>
  <c r="D299" i="24"/>
  <c r="E299" i="24" s="1"/>
  <c r="F299" i="24" s="1"/>
  <c r="W299" i="24"/>
  <c r="D309" i="24"/>
  <c r="E309" i="24" s="1"/>
  <c r="F309" i="24" s="1"/>
  <c r="W309" i="24"/>
  <c r="L69" i="19"/>
  <c r="B319" i="24"/>
  <c r="D331" i="24"/>
  <c r="E331" i="24" s="1"/>
  <c r="F331" i="24" s="1"/>
  <c r="W331" i="24"/>
  <c r="W341" i="24"/>
  <c r="D341" i="24"/>
  <c r="E341" i="24" s="1"/>
  <c r="F341" i="24" s="1"/>
  <c r="D353" i="24"/>
  <c r="E353" i="24" s="1"/>
  <c r="F353" i="24" s="1"/>
  <c r="W353" i="24"/>
  <c r="I349" i="23"/>
  <c r="H349" i="24" s="1"/>
  <c r="J349" i="23"/>
  <c r="W90" i="24"/>
  <c r="D90" i="24"/>
  <c r="E90" i="24" s="1"/>
  <c r="F90" i="24" s="1"/>
  <c r="D116" i="24"/>
  <c r="E116" i="24" s="1"/>
  <c r="F116" i="24" s="1"/>
  <c r="W116" i="24"/>
  <c r="W144" i="24"/>
  <c r="D144" i="24"/>
  <c r="E144" i="24" s="1"/>
  <c r="F144" i="24" s="1"/>
  <c r="W164" i="24"/>
  <c r="D164" i="24"/>
  <c r="E164" i="24" s="1"/>
  <c r="F164" i="24" s="1"/>
  <c r="W204" i="24"/>
  <c r="D204" i="24"/>
  <c r="E204" i="24" s="1"/>
  <c r="F204" i="24" s="1"/>
  <c r="D236" i="24"/>
  <c r="E236" i="24" s="1"/>
  <c r="F236" i="24" s="1"/>
  <c r="W236" i="24"/>
  <c r="D264" i="24"/>
  <c r="E264" i="24" s="1"/>
  <c r="F264" i="24" s="1"/>
  <c r="W264" i="24"/>
  <c r="W280" i="24"/>
  <c r="D280" i="24"/>
  <c r="E280" i="24" s="1"/>
  <c r="F280" i="24" s="1"/>
  <c r="D300" i="24"/>
  <c r="E300" i="24" s="1"/>
  <c r="F300" i="24" s="1"/>
  <c r="W300" i="24"/>
  <c r="W314" i="24"/>
  <c r="D314" i="24"/>
  <c r="E314" i="24" s="1"/>
  <c r="F314" i="24" s="1"/>
  <c r="W342" i="24"/>
  <c r="D342" i="24"/>
  <c r="E342" i="24" s="1"/>
  <c r="F342" i="24" s="1"/>
  <c r="W358" i="24"/>
  <c r="D358" i="24"/>
  <c r="E358" i="24" s="1"/>
  <c r="F358" i="24" s="1"/>
  <c r="W378" i="24"/>
  <c r="D378" i="24"/>
  <c r="E378" i="24" s="1"/>
  <c r="F378" i="24" s="1"/>
  <c r="I196" i="23"/>
  <c r="J196" i="23"/>
  <c r="W31" i="24"/>
  <c r="D31" i="24"/>
  <c r="E31" i="24" s="1"/>
  <c r="F31" i="24" s="1"/>
  <c r="D73" i="24"/>
  <c r="E73" i="24" s="1"/>
  <c r="F73" i="24" s="1"/>
  <c r="W73" i="24"/>
  <c r="W95" i="24"/>
  <c r="D95" i="24"/>
  <c r="E95" i="24" s="1"/>
  <c r="F95" i="24" s="1"/>
  <c r="W113" i="24"/>
  <c r="D113" i="24"/>
  <c r="E113" i="24" s="1"/>
  <c r="F113" i="24" s="1"/>
  <c r="W123" i="24"/>
  <c r="D123" i="24"/>
  <c r="E123" i="24" s="1"/>
  <c r="F123" i="24" s="1"/>
  <c r="W131" i="24"/>
  <c r="D131" i="24"/>
  <c r="E131" i="24" s="1"/>
  <c r="F131" i="24" s="1"/>
  <c r="W145" i="24"/>
  <c r="D145" i="24"/>
  <c r="E145" i="24" s="1"/>
  <c r="F145" i="24" s="1"/>
  <c r="W195" i="24"/>
  <c r="D195" i="24"/>
  <c r="E195" i="24" s="1"/>
  <c r="F195" i="24" s="1"/>
  <c r="W207" i="24"/>
  <c r="D207" i="24"/>
  <c r="E207" i="24" s="1"/>
  <c r="F207" i="24" s="1"/>
  <c r="D221" i="24"/>
  <c r="E221" i="24" s="1"/>
  <c r="F221" i="24" s="1"/>
  <c r="W221" i="24"/>
  <c r="W229" i="24"/>
  <c r="D229" i="24"/>
  <c r="E229" i="24" s="1"/>
  <c r="F229" i="24" s="1"/>
  <c r="D251" i="24"/>
  <c r="E251" i="24" s="1"/>
  <c r="F251" i="24" s="1"/>
  <c r="W251" i="24"/>
  <c r="W285" i="24"/>
  <c r="D285" i="24"/>
  <c r="E285" i="24" s="1"/>
  <c r="F285" i="24" s="1"/>
  <c r="D291" i="24"/>
  <c r="E291" i="24" s="1"/>
  <c r="F291" i="24" s="1"/>
  <c r="W291" i="24"/>
  <c r="D305" i="24"/>
  <c r="E305" i="24" s="1"/>
  <c r="F305" i="24" s="1"/>
  <c r="W305" i="24"/>
  <c r="D311" i="24"/>
  <c r="E311" i="24" s="1"/>
  <c r="F311" i="24" s="1"/>
  <c r="W311" i="24"/>
  <c r="W321" i="24"/>
  <c r="D321" i="24"/>
  <c r="E321" i="24" s="1"/>
  <c r="F321" i="24" s="1"/>
  <c r="D335" i="24"/>
  <c r="E335" i="24" s="1"/>
  <c r="F335" i="24" s="1"/>
  <c r="W335" i="24"/>
  <c r="W347" i="24"/>
  <c r="D347" i="24"/>
  <c r="E347" i="24" s="1"/>
  <c r="F347" i="24" s="1"/>
  <c r="D367" i="24"/>
  <c r="E367" i="24" s="1"/>
  <c r="F367" i="24" s="1"/>
  <c r="W367" i="24"/>
  <c r="D62" i="24"/>
  <c r="E62" i="24" s="1"/>
  <c r="F62" i="24" s="1"/>
  <c r="W62" i="24"/>
  <c r="D100" i="24"/>
  <c r="E100" i="24" s="1"/>
  <c r="F100" i="24" s="1"/>
  <c r="W100" i="24"/>
  <c r="W134" i="24"/>
  <c r="D134" i="24"/>
  <c r="E134" i="24" s="1"/>
  <c r="F134" i="24" s="1"/>
  <c r="D154" i="24"/>
  <c r="E154" i="24" s="1"/>
  <c r="F154" i="24" s="1"/>
  <c r="W154" i="24"/>
  <c r="W182" i="24"/>
  <c r="D182" i="24"/>
  <c r="E182" i="24" s="1"/>
  <c r="F182" i="24" s="1"/>
  <c r="AH62" i="7"/>
  <c r="V210" i="24"/>
  <c r="B210" i="24" s="1"/>
  <c r="D254" i="24"/>
  <c r="E254" i="24" s="1"/>
  <c r="F254" i="24" s="1"/>
  <c r="W254" i="24"/>
  <c r="D276" i="24"/>
  <c r="E276" i="24" s="1"/>
  <c r="F276" i="24" s="1"/>
  <c r="W276" i="24"/>
  <c r="W296" i="24"/>
  <c r="D296" i="24"/>
  <c r="E296" i="24" s="1"/>
  <c r="F296" i="24" s="1"/>
  <c r="D306" i="24"/>
  <c r="E306" i="24" s="1"/>
  <c r="F306" i="24" s="1"/>
  <c r="W306" i="24"/>
  <c r="D334" i="24"/>
  <c r="E334" i="24" s="1"/>
  <c r="F334" i="24" s="1"/>
  <c r="W334" i="24"/>
  <c r="W352" i="24"/>
  <c r="D352" i="24"/>
  <c r="E352" i="24" s="1"/>
  <c r="F352" i="24" s="1"/>
  <c r="W366" i="24"/>
  <c r="D366" i="24"/>
  <c r="E366" i="24" s="1"/>
  <c r="F366" i="24" s="1"/>
  <c r="J40" i="23"/>
  <c r="I40" i="23"/>
  <c r="J68" i="23"/>
  <c r="I68" i="23"/>
  <c r="H68" i="24" s="1"/>
  <c r="I148" i="23"/>
  <c r="H148" i="24" s="1"/>
  <c r="J148" i="23"/>
  <c r="J266" i="23"/>
  <c r="I266" i="23"/>
  <c r="H266" i="24" s="1"/>
  <c r="I39" i="23"/>
  <c r="H39" i="24" s="1"/>
  <c r="J39" i="23"/>
  <c r="I155" i="23"/>
  <c r="H155" i="24" s="1"/>
  <c r="J155" i="23"/>
  <c r="I163" i="23"/>
  <c r="J163" i="23"/>
  <c r="J269" i="23"/>
  <c r="I269" i="23"/>
  <c r="H269" i="24" s="1"/>
  <c r="J285" i="23"/>
  <c r="I285" i="23"/>
  <c r="I108" i="23"/>
  <c r="H108" i="24" s="1"/>
  <c r="J108" i="23"/>
  <c r="J274" i="23"/>
  <c r="I274" i="23"/>
  <c r="J131" i="23"/>
  <c r="I131" i="23"/>
  <c r="J203" i="23"/>
  <c r="I203" i="23"/>
  <c r="H203" i="24" s="1"/>
  <c r="I265" i="23"/>
  <c r="H265" i="24" s="1"/>
  <c r="J265" i="23"/>
  <c r="J343" i="23"/>
  <c r="I343" i="23"/>
  <c r="H343" i="24" s="1"/>
  <c r="J105" i="23"/>
  <c r="I105" i="23"/>
  <c r="J74" i="23"/>
  <c r="I74" i="23"/>
  <c r="J90" i="23"/>
  <c r="I90" i="23"/>
  <c r="J140" i="23"/>
  <c r="I140" i="23"/>
  <c r="H140" i="24" s="1"/>
  <c r="J302" i="23"/>
  <c r="I302" i="23"/>
  <c r="J326" i="23"/>
  <c r="I326" i="23"/>
  <c r="J52" i="23"/>
  <c r="I52" i="23"/>
  <c r="I76" i="23"/>
  <c r="J76" i="23"/>
  <c r="I80" i="23"/>
  <c r="J80" i="23"/>
  <c r="J106" i="23"/>
  <c r="I106" i="23"/>
  <c r="H106" i="24" s="1"/>
  <c r="J204" i="23"/>
  <c r="I204" i="23"/>
  <c r="J216" i="23"/>
  <c r="I216" i="23"/>
  <c r="H216" i="24" s="1"/>
  <c r="J224" i="23"/>
  <c r="I224" i="23"/>
  <c r="H224" i="24" s="1"/>
  <c r="J244" i="23"/>
  <c r="I244" i="23"/>
  <c r="H244" i="24" s="1"/>
  <c r="I282" i="23"/>
  <c r="H282" i="24" s="1"/>
  <c r="J282" i="23"/>
  <c r="J294" i="23"/>
  <c r="I294" i="23"/>
  <c r="J356" i="23"/>
  <c r="I356" i="23"/>
  <c r="H356" i="24" s="1"/>
  <c r="J366" i="23"/>
  <c r="I366" i="23"/>
  <c r="J253" i="23"/>
  <c r="I253" i="23"/>
  <c r="H253" i="24" s="1"/>
  <c r="J23" i="23"/>
  <c r="I23" i="23"/>
  <c r="J38" i="23"/>
  <c r="I38" i="23"/>
  <c r="I70" i="23"/>
  <c r="J70" i="23"/>
  <c r="J96" i="23"/>
  <c r="I96" i="23"/>
  <c r="H96" i="24" s="1"/>
  <c r="J104" i="23"/>
  <c r="I104" i="23"/>
  <c r="I176" i="23"/>
  <c r="H176" i="24" s="1"/>
  <c r="J176" i="23"/>
  <c r="J190" i="23"/>
  <c r="I190" i="23"/>
  <c r="H190" i="24" s="1"/>
  <c r="I220" i="23"/>
  <c r="J220" i="23"/>
  <c r="I370" i="23"/>
  <c r="H370" i="24" s="1"/>
  <c r="J370" i="23"/>
  <c r="J36" i="23"/>
  <c r="I36" i="23"/>
  <c r="H36" i="24" s="1"/>
  <c r="J130" i="23"/>
  <c r="I130" i="23"/>
  <c r="H130" i="24" s="1"/>
  <c r="J156" i="23"/>
  <c r="I156" i="23"/>
  <c r="J194" i="23"/>
  <c r="I194" i="23"/>
  <c r="I222" i="23"/>
  <c r="J222" i="23"/>
  <c r="J276" i="23"/>
  <c r="I276" i="23"/>
  <c r="J312" i="23"/>
  <c r="I312" i="23"/>
  <c r="H312" i="24" s="1"/>
  <c r="J340" i="23"/>
  <c r="I340" i="23"/>
  <c r="I346" i="23"/>
  <c r="J346" i="23"/>
  <c r="I378" i="23"/>
  <c r="J378" i="23"/>
  <c r="E381" i="20"/>
  <c r="AK8" i="20"/>
  <c r="E382" i="20"/>
  <c r="E383" i="20"/>
  <c r="F15" i="20"/>
  <c r="E9" i="20"/>
  <c r="E11" i="20" s="1"/>
  <c r="AE381" i="25"/>
  <c r="AE382" i="25"/>
  <c r="AE383" i="25"/>
  <c r="R383" i="23"/>
  <c r="R381" i="23"/>
  <c r="R382" i="23"/>
  <c r="P15" i="23"/>
  <c r="AA21" i="24"/>
  <c r="Z21" i="24" s="1"/>
  <c r="Y21" i="24" s="1"/>
  <c r="G21" i="24"/>
  <c r="CE21" i="6" s="1"/>
  <c r="D29" i="24"/>
  <c r="E29" i="24" s="1"/>
  <c r="F29" i="24" s="1"/>
  <c r="W29" i="24"/>
  <c r="AA35" i="24"/>
  <c r="Z35" i="24" s="1"/>
  <c r="Y35" i="24" s="1"/>
  <c r="G35" i="24"/>
  <c r="CE35" i="6" s="1"/>
  <c r="AA37" i="24"/>
  <c r="Z37" i="24" s="1"/>
  <c r="Y37" i="24" s="1"/>
  <c r="G37" i="24"/>
  <c r="CE37" i="6" s="1"/>
  <c r="AA41" i="24"/>
  <c r="Z41" i="24" s="1"/>
  <c r="Y41" i="24" s="1"/>
  <c r="G41" i="24"/>
  <c r="CE41" i="6" s="1"/>
  <c r="AA45" i="24"/>
  <c r="Z45" i="24" s="1"/>
  <c r="Y45" i="24" s="1"/>
  <c r="G45" i="24"/>
  <c r="CE45" i="6" s="1"/>
  <c r="G47" i="24"/>
  <c r="CE47" i="6" s="1"/>
  <c r="AA49" i="24"/>
  <c r="Z49" i="24" s="1"/>
  <c r="Y49" i="24" s="1"/>
  <c r="G49" i="24"/>
  <c r="CE49" i="6" s="1"/>
  <c r="AA59" i="24"/>
  <c r="Z59" i="24" s="1"/>
  <c r="Y59" i="24" s="1"/>
  <c r="H59" i="24"/>
  <c r="G59" i="24"/>
  <c r="CE59" i="6" s="1"/>
  <c r="G65" i="24"/>
  <c r="CE65" i="6" s="1"/>
  <c r="AA65" i="24"/>
  <c r="Z65" i="24" s="1"/>
  <c r="Y65" i="24" s="1"/>
  <c r="AA67" i="24"/>
  <c r="Z67" i="24" s="1"/>
  <c r="Y67" i="24" s="1"/>
  <c r="H67" i="24"/>
  <c r="G67" i="24"/>
  <c r="CE67" i="6" s="1"/>
  <c r="G79" i="24"/>
  <c r="CE79" i="6" s="1"/>
  <c r="AA85" i="24"/>
  <c r="Z85" i="24" s="1"/>
  <c r="Y85" i="24" s="1"/>
  <c r="G85" i="24"/>
  <c r="CE85" i="6" s="1"/>
  <c r="G87" i="24"/>
  <c r="CE87" i="6" s="1"/>
  <c r="AA93" i="24"/>
  <c r="Z93" i="24" s="1"/>
  <c r="Y93" i="24" s="1"/>
  <c r="G93" i="24"/>
  <c r="CE93" i="6" s="1"/>
  <c r="G97" i="24"/>
  <c r="CE97" i="6" s="1"/>
  <c r="H97" i="24"/>
  <c r="AA97" i="24"/>
  <c r="Z97" i="24" s="1"/>
  <c r="Y97" i="24" s="1"/>
  <c r="G101" i="24"/>
  <c r="CE101" i="6" s="1"/>
  <c r="AA101" i="24"/>
  <c r="Z101" i="24" s="1"/>
  <c r="Y101" i="24" s="1"/>
  <c r="H101" i="24"/>
  <c r="AA107" i="24"/>
  <c r="Z107" i="24" s="1"/>
  <c r="Y107" i="24" s="1"/>
  <c r="G107" i="24"/>
  <c r="CE107" i="6" s="1"/>
  <c r="AA109" i="24"/>
  <c r="Z109" i="24" s="1"/>
  <c r="Y109" i="24" s="1"/>
  <c r="G109" i="24"/>
  <c r="CE109" i="6" s="1"/>
  <c r="G115" i="24"/>
  <c r="CE115" i="6" s="1"/>
  <c r="AA115" i="24"/>
  <c r="Z115" i="24" s="1"/>
  <c r="Y115" i="24" s="1"/>
  <c r="G129" i="24"/>
  <c r="CE129" i="6" s="1"/>
  <c r="AA129" i="24"/>
  <c r="Z129" i="24" s="1"/>
  <c r="Y129" i="24" s="1"/>
  <c r="G139" i="24"/>
  <c r="CE139" i="6" s="1"/>
  <c r="AA139" i="24"/>
  <c r="Z139" i="24" s="1"/>
  <c r="Y139" i="24" s="1"/>
  <c r="H143" i="24"/>
  <c r="G143" i="24"/>
  <c r="CE143" i="6" s="1"/>
  <c r="G151" i="24"/>
  <c r="CE151" i="6" s="1"/>
  <c r="G155" i="24"/>
  <c r="CE155" i="6" s="1"/>
  <c r="AA155" i="24"/>
  <c r="Z155" i="24" s="1"/>
  <c r="Y155" i="24" s="1"/>
  <c r="G165" i="24"/>
  <c r="CE165" i="6" s="1"/>
  <c r="G167" i="24"/>
  <c r="CE167" i="6" s="1"/>
  <c r="AA167" i="24"/>
  <c r="Z167" i="24" s="1"/>
  <c r="Y167" i="24" s="1"/>
  <c r="AA169" i="24"/>
  <c r="Z169" i="24" s="1"/>
  <c r="Y169" i="24" s="1"/>
  <c r="G169" i="24"/>
  <c r="CE169" i="6" s="1"/>
  <c r="G171" i="24"/>
  <c r="CE171" i="6" s="1"/>
  <c r="AA171" i="24"/>
  <c r="Z171" i="24" s="1"/>
  <c r="Y171" i="24" s="1"/>
  <c r="G183" i="24"/>
  <c r="CE183" i="6" s="1"/>
  <c r="H183" i="24"/>
  <c r="AA185" i="24"/>
  <c r="Z185" i="24" s="1"/>
  <c r="Y185" i="24" s="1"/>
  <c r="G185" i="24"/>
  <c r="CE185" i="6" s="1"/>
  <c r="AA191" i="24"/>
  <c r="Z191" i="24" s="1"/>
  <c r="Y191" i="24" s="1"/>
  <c r="G191" i="24"/>
  <c r="CE191" i="6" s="1"/>
  <c r="AA193" i="24"/>
  <c r="Z193" i="24" s="1"/>
  <c r="Y193" i="24" s="1"/>
  <c r="G193" i="24"/>
  <c r="CE193" i="6" s="1"/>
  <c r="AA203" i="24"/>
  <c r="Z203" i="24" s="1"/>
  <c r="Y203" i="24" s="1"/>
  <c r="G203" i="24"/>
  <c r="CE203" i="6" s="1"/>
  <c r="G217" i="24"/>
  <c r="CE217" i="6" s="1"/>
  <c r="AA217" i="24"/>
  <c r="Z217" i="24" s="1"/>
  <c r="Y217" i="24" s="1"/>
  <c r="G223" i="24"/>
  <c r="CE223" i="6" s="1"/>
  <c r="AA223" i="24"/>
  <c r="Z223" i="24" s="1"/>
  <c r="Y223" i="24" s="1"/>
  <c r="G231" i="24"/>
  <c r="CE231" i="6" s="1"/>
  <c r="AA231" i="24"/>
  <c r="Z231" i="24" s="1"/>
  <c r="Y231" i="24" s="1"/>
  <c r="G239" i="24"/>
  <c r="CE239" i="6" s="1"/>
  <c r="AA239" i="24"/>
  <c r="Z239" i="24" s="1"/>
  <c r="Y239" i="24" s="1"/>
  <c r="H239" i="24"/>
  <c r="G243" i="24"/>
  <c r="CE243" i="6" s="1"/>
  <c r="AA243" i="24"/>
  <c r="Z243" i="24" s="1"/>
  <c r="Y243" i="24" s="1"/>
  <c r="AA247" i="24"/>
  <c r="Z247" i="24" s="1"/>
  <c r="Y247" i="24" s="1"/>
  <c r="G247" i="24"/>
  <c r="CE247" i="6" s="1"/>
  <c r="G249" i="24"/>
  <c r="CE249" i="6" s="1"/>
  <c r="AA249" i="24"/>
  <c r="Z249" i="24" s="1"/>
  <c r="Y249" i="24" s="1"/>
  <c r="AA253" i="24"/>
  <c r="Z253" i="24" s="1"/>
  <c r="Y253" i="24" s="1"/>
  <c r="G253" i="24"/>
  <c r="CE253" i="6" s="1"/>
  <c r="AA261" i="24"/>
  <c r="Z261" i="24" s="1"/>
  <c r="Y261" i="24" s="1"/>
  <c r="G261" i="24"/>
  <c r="CE261" i="6" s="1"/>
  <c r="AA265" i="24"/>
  <c r="Z265" i="24" s="1"/>
  <c r="Y265" i="24" s="1"/>
  <c r="G265" i="24"/>
  <c r="CE265" i="6" s="1"/>
  <c r="AA267" i="24"/>
  <c r="Z267" i="24" s="1"/>
  <c r="Y267" i="24" s="1"/>
  <c r="G267" i="24"/>
  <c r="CE267" i="6" s="1"/>
  <c r="G269" i="24"/>
  <c r="CE269" i="6" s="1"/>
  <c r="AA269" i="24"/>
  <c r="Z269" i="24" s="1"/>
  <c r="Y269" i="24" s="1"/>
  <c r="G271" i="24"/>
  <c r="CE271" i="6" s="1"/>
  <c r="G277" i="24"/>
  <c r="CE277" i="6" s="1"/>
  <c r="G283" i="24"/>
  <c r="CE283" i="6" s="1"/>
  <c r="AA283" i="24"/>
  <c r="Z283" i="24" s="1"/>
  <c r="Y283" i="24" s="1"/>
  <c r="G297" i="24"/>
  <c r="CE297" i="6" s="1"/>
  <c r="AA297" i="24"/>
  <c r="Z297" i="24" s="1"/>
  <c r="Y297" i="24" s="1"/>
  <c r="H297" i="24"/>
  <c r="G307" i="24"/>
  <c r="CE307" i="6" s="1"/>
  <c r="AA307" i="24"/>
  <c r="Z307" i="24" s="1"/>
  <c r="Y307" i="24" s="1"/>
  <c r="G313" i="24"/>
  <c r="CE313" i="6" s="1"/>
  <c r="AA313" i="24"/>
  <c r="Z313" i="24" s="1"/>
  <c r="Y313" i="24" s="1"/>
  <c r="G315" i="24"/>
  <c r="CE315" i="6" s="1"/>
  <c r="AA315" i="24"/>
  <c r="Z315" i="24" s="1"/>
  <c r="Y315" i="24" s="1"/>
  <c r="AA317" i="24"/>
  <c r="Z317" i="24" s="1"/>
  <c r="Y317" i="24" s="1"/>
  <c r="G317" i="24"/>
  <c r="CE317" i="6" s="1"/>
  <c r="G327" i="24"/>
  <c r="CE327" i="6" s="1"/>
  <c r="AA327" i="24"/>
  <c r="Z327" i="24" s="1"/>
  <c r="Y327" i="24" s="1"/>
  <c r="AA329" i="24"/>
  <c r="Z329" i="24" s="1"/>
  <c r="Y329" i="24" s="1"/>
  <c r="G329" i="24"/>
  <c r="CE329" i="6" s="1"/>
  <c r="AA345" i="24"/>
  <c r="Z345" i="24" s="1"/>
  <c r="Y345" i="24" s="1"/>
  <c r="G345" i="24"/>
  <c r="CE345" i="6" s="1"/>
  <c r="G351" i="24"/>
  <c r="CE351" i="6" s="1"/>
  <c r="AA351" i="24"/>
  <c r="Z351" i="24" s="1"/>
  <c r="Y351" i="24" s="1"/>
  <c r="G355" i="24"/>
  <c r="CE355" i="6" s="1"/>
  <c r="AA355" i="24"/>
  <c r="Z355" i="24" s="1"/>
  <c r="Y355" i="24" s="1"/>
  <c r="H355" i="24"/>
  <c r="G357" i="24"/>
  <c r="CE357" i="6" s="1"/>
  <c r="AA357" i="24"/>
  <c r="Z357" i="24" s="1"/>
  <c r="Y357" i="24" s="1"/>
  <c r="G369" i="24"/>
  <c r="CE369" i="6" s="1"/>
  <c r="AA369" i="24"/>
  <c r="Z369" i="24" s="1"/>
  <c r="Y369" i="24" s="1"/>
  <c r="G377" i="24"/>
  <c r="CE377" i="6" s="1"/>
  <c r="U10" i="25"/>
  <c r="U78" i="25" s="1"/>
  <c r="T78" i="25" s="1"/>
  <c r="S78" i="25" s="1"/>
  <c r="R78" i="25" s="1"/>
  <c r="P78" i="25" s="1"/>
  <c r="V78" i="25" s="1"/>
  <c r="B78" i="25" s="1"/>
  <c r="J15" i="18"/>
  <c r="I15" i="18"/>
  <c r="AA382" i="18"/>
  <c r="AA9" i="18"/>
  <c r="AM8" i="18"/>
  <c r="AA381" i="18"/>
  <c r="AA383" i="18"/>
  <c r="Z15" i="18"/>
  <c r="G15" i="19"/>
  <c r="AB9" i="18"/>
  <c r="F11" i="18"/>
  <c r="J72" i="23"/>
  <c r="I72" i="23"/>
  <c r="H72" i="24" s="1"/>
  <c r="I92" i="23"/>
  <c r="J92" i="23"/>
  <c r="I158" i="23"/>
  <c r="J158" i="23"/>
  <c r="J178" i="23"/>
  <c r="I178" i="23"/>
  <c r="J206" i="23"/>
  <c r="I206" i="23"/>
  <c r="H206" i="24" s="1"/>
  <c r="J218" i="23"/>
  <c r="I218" i="23"/>
  <c r="J254" i="23"/>
  <c r="I254" i="23"/>
  <c r="J290" i="23"/>
  <c r="I290" i="23"/>
  <c r="H290" i="24" s="1"/>
  <c r="I310" i="23"/>
  <c r="J310" i="23"/>
  <c r="J338" i="23"/>
  <c r="I338" i="23"/>
  <c r="H338" i="24" s="1"/>
  <c r="I227" i="23"/>
  <c r="H227" i="24" s="1"/>
  <c r="J227" i="23"/>
  <c r="V383" i="22"/>
  <c r="V381" i="22"/>
  <c r="V382" i="22"/>
  <c r="B67" i="19"/>
  <c r="B15" i="22"/>
  <c r="I37" i="23"/>
  <c r="H37" i="24" s="1"/>
  <c r="J37" i="23"/>
  <c r="J41" i="23"/>
  <c r="I41" i="23"/>
  <c r="H41" i="24" s="1"/>
  <c r="I55" i="23"/>
  <c r="H55" i="24" s="1"/>
  <c r="J55" i="23"/>
  <c r="I69" i="23"/>
  <c r="J69" i="23"/>
  <c r="J79" i="23"/>
  <c r="I79" i="23"/>
  <c r="H79" i="24" s="1"/>
  <c r="J81" i="23"/>
  <c r="I81" i="23"/>
  <c r="J115" i="23"/>
  <c r="I115" i="23"/>
  <c r="H115" i="24" s="1"/>
  <c r="AA119" i="23"/>
  <c r="Z119" i="23" s="1"/>
  <c r="Y119" i="23" s="1"/>
  <c r="G119" i="23"/>
  <c r="CD119" i="6" s="1"/>
  <c r="H119" i="23"/>
  <c r="I123" i="23"/>
  <c r="J123" i="23"/>
  <c r="J141" i="23"/>
  <c r="I141" i="23"/>
  <c r="H141" i="24" s="1"/>
  <c r="J145" i="23"/>
  <c r="I145" i="23"/>
  <c r="J147" i="23"/>
  <c r="I147" i="23"/>
  <c r="H147" i="24" s="1"/>
  <c r="J157" i="23"/>
  <c r="I157" i="23"/>
  <c r="J165" i="23"/>
  <c r="I165" i="23"/>
  <c r="H165" i="24" s="1"/>
  <c r="J169" i="23"/>
  <c r="I169" i="23"/>
  <c r="H169" i="24" s="1"/>
  <c r="I185" i="23"/>
  <c r="H185" i="24" s="1"/>
  <c r="J185" i="23"/>
  <c r="J193" i="23"/>
  <c r="I193" i="23"/>
  <c r="H193" i="24" s="1"/>
  <c r="J207" i="23"/>
  <c r="I207" i="23"/>
  <c r="J211" i="23"/>
  <c r="I211" i="23"/>
  <c r="H211" i="24" s="1"/>
  <c r="J221" i="23"/>
  <c r="I221" i="23"/>
  <c r="I231" i="23"/>
  <c r="H231" i="24" s="1"/>
  <c r="J231" i="23"/>
  <c r="I245" i="23"/>
  <c r="H245" i="24" s="1"/>
  <c r="J245" i="23"/>
  <c r="J267" i="23"/>
  <c r="I267" i="23"/>
  <c r="H267" i="24" s="1"/>
  <c r="I271" i="23"/>
  <c r="H271" i="24" s="1"/>
  <c r="J271" i="23"/>
  <c r="J283" i="23"/>
  <c r="I283" i="23"/>
  <c r="H283" i="24" s="1"/>
  <c r="I291" i="23"/>
  <c r="J291" i="23"/>
  <c r="J293" i="23"/>
  <c r="I293" i="23"/>
  <c r="H293" i="24" s="1"/>
  <c r="I301" i="23"/>
  <c r="H301" i="24" s="1"/>
  <c r="J301" i="23"/>
  <c r="I313" i="23"/>
  <c r="H313" i="24" s="1"/>
  <c r="J313" i="23"/>
  <c r="I329" i="23"/>
  <c r="H329" i="24" s="1"/>
  <c r="J329" i="23"/>
  <c r="I34" i="23"/>
  <c r="J34" i="23"/>
  <c r="I122" i="23"/>
  <c r="J122" i="23"/>
  <c r="J134" i="23"/>
  <c r="I134" i="23"/>
  <c r="W166" i="24"/>
  <c r="D166" i="24"/>
  <c r="E166" i="24" s="1"/>
  <c r="F166" i="24" s="1"/>
  <c r="AA166" i="23"/>
  <c r="Z166" i="23" s="1"/>
  <c r="Y166" i="23" s="1"/>
  <c r="H166" i="23"/>
  <c r="G166" i="23"/>
  <c r="CD166" i="6" s="1"/>
  <c r="I49" i="23"/>
  <c r="H49" i="24" s="1"/>
  <c r="J49" i="23"/>
  <c r="J64" i="23"/>
  <c r="I64" i="23"/>
  <c r="I78" i="23"/>
  <c r="J78" i="23"/>
  <c r="I82" i="23"/>
  <c r="H82" i="24" s="1"/>
  <c r="J82" i="23"/>
  <c r="I164" i="23"/>
  <c r="J164" i="23"/>
  <c r="J170" i="23"/>
  <c r="I170" i="23"/>
  <c r="J250" i="23"/>
  <c r="I250" i="23"/>
  <c r="H250" i="24" s="1"/>
  <c r="G288" i="23"/>
  <c r="CD288" i="6" s="1"/>
  <c r="AA288" i="23"/>
  <c r="Z288" i="23" s="1"/>
  <c r="Y288" i="23" s="1"/>
  <c r="H288" i="23"/>
  <c r="I296" i="23"/>
  <c r="J296" i="23"/>
  <c r="I336" i="23"/>
  <c r="H336" i="24" s="1"/>
  <c r="J336" i="23"/>
  <c r="I71" i="23"/>
  <c r="H71" i="24" s="1"/>
  <c r="J71" i="23"/>
  <c r="J75" i="23"/>
  <c r="I75" i="23"/>
  <c r="J93" i="23"/>
  <c r="I93" i="23"/>
  <c r="H93" i="24" s="1"/>
  <c r="I167" i="23"/>
  <c r="H167" i="24" s="1"/>
  <c r="J167" i="23"/>
  <c r="I235" i="23"/>
  <c r="J235" i="23"/>
  <c r="I277" i="23"/>
  <c r="H277" i="24" s="1"/>
  <c r="J277" i="23"/>
  <c r="I307" i="23"/>
  <c r="H307" i="24" s="1"/>
  <c r="J307" i="23"/>
  <c r="J317" i="23"/>
  <c r="I317" i="23"/>
  <c r="H317" i="24" s="1"/>
  <c r="J19" i="23"/>
  <c r="I19" i="23"/>
  <c r="J24" i="23"/>
  <c r="I24" i="23"/>
  <c r="J110" i="23"/>
  <c r="I110" i="23"/>
  <c r="H110" i="24" s="1"/>
  <c r="J116" i="23"/>
  <c r="I116" i="23"/>
  <c r="I202" i="23"/>
  <c r="H202" i="24" s="1"/>
  <c r="J202" i="23"/>
  <c r="J236" i="23"/>
  <c r="I236" i="23"/>
  <c r="J246" i="23"/>
  <c r="I246" i="23"/>
  <c r="H246" i="24" s="1"/>
  <c r="I308" i="23"/>
  <c r="H308" i="24" s="1"/>
  <c r="J308" i="23"/>
  <c r="I332" i="23"/>
  <c r="J332" i="23"/>
  <c r="AI17" i="25"/>
  <c r="AH17" i="25" s="1"/>
  <c r="AG17" i="25" s="1"/>
  <c r="AF17" i="25" s="1"/>
  <c r="AD17" i="25" s="1"/>
  <c r="AA36" i="24"/>
  <c r="Z36" i="24" s="1"/>
  <c r="Y36" i="24" s="1"/>
  <c r="G36" i="24"/>
  <c r="CE36" i="6" s="1"/>
  <c r="AA42" i="24"/>
  <c r="Z42" i="24" s="1"/>
  <c r="Y42" i="24" s="1"/>
  <c r="G42" i="24"/>
  <c r="CE42" i="6" s="1"/>
  <c r="G58" i="24"/>
  <c r="CE58" i="6" s="1"/>
  <c r="AA58" i="24"/>
  <c r="Z58" i="24" s="1"/>
  <c r="Y58" i="24" s="1"/>
  <c r="AA66" i="24"/>
  <c r="Z66" i="24" s="1"/>
  <c r="Y66" i="24" s="1"/>
  <c r="G66" i="24"/>
  <c r="CE66" i="6" s="1"/>
  <c r="H66" i="24"/>
  <c r="AA72" i="24"/>
  <c r="Z72" i="24" s="1"/>
  <c r="Y72" i="24" s="1"/>
  <c r="G72" i="24"/>
  <c r="CE72" i="6" s="1"/>
  <c r="G110" i="24"/>
  <c r="CE110" i="6" s="1"/>
  <c r="AA110" i="24"/>
  <c r="Z110" i="24" s="1"/>
  <c r="Y110" i="24" s="1"/>
  <c r="AA114" i="24"/>
  <c r="Z114" i="24" s="1"/>
  <c r="Y114" i="24" s="1"/>
  <c r="G114" i="24"/>
  <c r="CE114" i="6" s="1"/>
  <c r="AA118" i="24"/>
  <c r="Z118" i="24" s="1"/>
  <c r="Y118" i="24" s="1"/>
  <c r="G120" i="24"/>
  <c r="CE120" i="6" s="1"/>
  <c r="AA120" i="24"/>
  <c r="Z120" i="24" s="1"/>
  <c r="Y120" i="24" s="1"/>
  <c r="G126" i="24"/>
  <c r="CE126" i="6" s="1"/>
  <c r="AA126" i="24"/>
  <c r="Z126" i="24" s="1"/>
  <c r="Y126" i="24" s="1"/>
  <c r="AA130" i="24"/>
  <c r="Z130" i="24" s="1"/>
  <c r="Y130" i="24" s="1"/>
  <c r="G130" i="24"/>
  <c r="CE130" i="6" s="1"/>
  <c r="G136" i="24"/>
  <c r="CE136" i="6" s="1"/>
  <c r="AA136" i="24"/>
  <c r="Z136" i="24" s="1"/>
  <c r="Y136" i="24" s="1"/>
  <c r="H136" i="24"/>
  <c r="G140" i="24"/>
  <c r="CE140" i="6" s="1"/>
  <c r="AA140" i="24"/>
  <c r="Z140" i="24" s="1"/>
  <c r="Y140" i="24" s="1"/>
  <c r="AA142" i="24"/>
  <c r="Z142" i="24" s="1"/>
  <c r="Y142" i="24" s="1"/>
  <c r="G142" i="24"/>
  <c r="CE142" i="6" s="1"/>
  <c r="G148" i="24"/>
  <c r="CE148" i="6" s="1"/>
  <c r="AA148" i="24"/>
  <c r="Z148" i="24" s="1"/>
  <c r="Y148" i="24" s="1"/>
  <c r="G150" i="24"/>
  <c r="CE150" i="6" s="1"/>
  <c r="AA150" i="24"/>
  <c r="Z150" i="24" s="1"/>
  <c r="Y150" i="24" s="1"/>
  <c r="G168" i="24"/>
  <c r="CE168" i="6" s="1"/>
  <c r="AA168" i="24"/>
  <c r="Z168" i="24" s="1"/>
  <c r="Y168" i="24" s="1"/>
  <c r="H168" i="24"/>
  <c r="G172" i="24"/>
  <c r="CE172" i="6" s="1"/>
  <c r="AA172" i="24"/>
  <c r="Z172" i="24" s="1"/>
  <c r="Y172" i="24" s="1"/>
  <c r="G184" i="24"/>
  <c r="CE184" i="6" s="1"/>
  <c r="AA184" i="24"/>
  <c r="Z184" i="24" s="1"/>
  <c r="Y184" i="24" s="1"/>
  <c r="AA186" i="24"/>
  <c r="Z186" i="24" s="1"/>
  <c r="Y186" i="24" s="1"/>
  <c r="H186" i="24"/>
  <c r="G186" i="24"/>
  <c r="CE186" i="6" s="1"/>
  <c r="AA190" i="24"/>
  <c r="Z190" i="24" s="1"/>
  <c r="Y190" i="24" s="1"/>
  <c r="G190" i="24"/>
  <c r="CE190" i="6" s="1"/>
  <c r="G208" i="24"/>
  <c r="CE208" i="6" s="1"/>
  <c r="AA208" i="24"/>
  <c r="Z208" i="24" s="1"/>
  <c r="Y208" i="24" s="1"/>
  <c r="H208" i="24"/>
  <c r="G216" i="24"/>
  <c r="CE216" i="6" s="1"/>
  <c r="AA216" i="24"/>
  <c r="Z216" i="24" s="1"/>
  <c r="Y216" i="24" s="1"/>
  <c r="AA224" i="24"/>
  <c r="Z224" i="24" s="1"/>
  <c r="Y224" i="24" s="1"/>
  <c r="G224" i="24"/>
  <c r="CE224" i="6" s="1"/>
  <c r="AA228" i="24"/>
  <c r="Z228" i="24" s="1"/>
  <c r="Y228" i="24" s="1"/>
  <c r="G228" i="24"/>
  <c r="CE228" i="6" s="1"/>
  <c r="AA230" i="24"/>
  <c r="Z230" i="24" s="1"/>
  <c r="Y230" i="24" s="1"/>
  <c r="G230" i="24"/>
  <c r="CE230" i="6" s="1"/>
  <c r="H230" i="24"/>
  <c r="AA234" i="24"/>
  <c r="Z234" i="24" s="1"/>
  <c r="Y234" i="24" s="1"/>
  <c r="G234" i="24"/>
  <c r="CE234" i="6" s="1"/>
  <c r="G246" i="24"/>
  <c r="CE246" i="6" s="1"/>
  <c r="AA246" i="24"/>
  <c r="Z246" i="24" s="1"/>
  <c r="Y246" i="24" s="1"/>
  <c r="G250" i="24"/>
  <c r="CE250" i="6" s="1"/>
  <c r="AA250" i="24"/>
  <c r="Z250" i="24" s="1"/>
  <c r="Y250" i="24" s="1"/>
  <c r="AA266" i="24"/>
  <c r="Z266" i="24" s="1"/>
  <c r="Y266" i="24" s="1"/>
  <c r="G266" i="24"/>
  <c r="CE266" i="6" s="1"/>
  <c r="AA268" i="24"/>
  <c r="Z268" i="24" s="1"/>
  <c r="Y268" i="24" s="1"/>
  <c r="G268" i="24"/>
  <c r="CE268" i="6" s="1"/>
  <c r="H268" i="24"/>
  <c r="G278" i="24"/>
  <c r="CE278" i="6" s="1"/>
  <c r="AA278" i="24"/>
  <c r="Z278" i="24" s="1"/>
  <c r="Y278" i="24" s="1"/>
  <c r="G298" i="24"/>
  <c r="CE298" i="6" s="1"/>
  <c r="AA298" i="24"/>
  <c r="Z298" i="24" s="1"/>
  <c r="Y298" i="24" s="1"/>
  <c r="G312" i="24"/>
  <c r="CE312" i="6" s="1"/>
  <c r="AA312" i="24"/>
  <c r="Z312" i="24" s="1"/>
  <c r="Y312" i="24" s="1"/>
  <c r="AA330" i="24"/>
  <c r="Z330" i="24" s="1"/>
  <c r="Y330" i="24" s="1"/>
  <c r="G330" i="24"/>
  <c r="CE330" i="6" s="1"/>
  <c r="H330" i="24"/>
  <c r="AA338" i="24"/>
  <c r="Z338" i="24" s="1"/>
  <c r="Y338" i="24" s="1"/>
  <c r="G338" i="24"/>
  <c r="CE338" i="6" s="1"/>
  <c r="G360" i="24"/>
  <c r="CE360" i="6" s="1"/>
  <c r="AA360" i="24"/>
  <c r="Z360" i="24" s="1"/>
  <c r="Y360" i="24" s="1"/>
  <c r="H360" i="24"/>
  <c r="I30" i="23"/>
  <c r="J30" i="23"/>
  <c r="D46" i="24"/>
  <c r="E46" i="24" s="1"/>
  <c r="F46" i="24" s="1"/>
  <c r="W46" i="24"/>
  <c r="AA46" i="23"/>
  <c r="Z46" i="23" s="1"/>
  <c r="Y46" i="23" s="1"/>
  <c r="G46" i="23"/>
  <c r="CD46" i="6" s="1"/>
  <c r="H46" i="23"/>
  <c r="I62" i="23"/>
  <c r="J62" i="23"/>
  <c r="J98" i="23"/>
  <c r="I98" i="23"/>
  <c r="J142" i="23"/>
  <c r="I142" i="23"/>
  <c r="H142" i="24" s="1"/>
  <c r="J248" i="23"/>
  <c r="I248" i="23"/>
  <c r="H248" i="24" s="1"/>
  <c r="I262" i="23"/>
  <c r="J262" i="23"/>
  <c r="J298" i="23"/>
  <c r="I298" i="23"/>
  <c r="H298" i="24" s="1"/>
  <c r="J306" i="23"/>
  <c r="I306" i="23"/>
  <c r="J350" i="23"/>
  <c r="I350" i="23"/>
  <c r="G227" i="24"/>
  <c r="CE227" i="6" s="1"/>
  <c r="AA227" i="24"/>
  <c r="Z227" i="24" s="1"/>
  <c r="Y227" i="24" s="1"/>
  <c r="J43" i="23"/>
  <c r="I43" i="23"/>
  <c r="H43" i="24" s="1"/>
  <c r="J57" i="23"/>
  <c r="I57" i="23"/>
  <c r="I125" i="23"/>
  <c r="J125" i="23"/>
  <c r="AA149" i="23"/>
  <c r="Z149" i="23" s="1"/>
  <c r="Y149" i="23" s="1"/>
  <c r="H149" i="23"/>
  <c r="G149" i="23"/>
  <c r="CD149" i="6" s="1"/>
  <c r="J181" i="23"/>
  <c r="I181" i="23"/>
  <c r="J191" i="23"/>
  <c r="I191" i="23"/>
  <c r="H191" i="24" s="1"/>
  <c r="I201" i="23"/>
  <c r="H201" i="24" s="1"/>
  <c r="J201" i="23"/>
  <c r="J213" i="23"/>
  <c r="I213" i="23"/>
  <c r="I219" i="23"/>
  <c r="H219" i="24" s="1"/>
  <c r="J219" i="23"/>
  <c r="J237" i="23"/>
  <c r="I237" i="23"/>
  <c r="I259" i="23"/>
  <c r="J259" i="23"/>
  <c r="J263" i="23"/>
  <c r="I263" i="23"/>
  <c r="H263" i="24" s="1"/>
  <c r="J273" i="23"/>
  <c r="I273" i="23"/>
  <c r="H273" i="24" s="1"/>
  <c r="I275" i="23"/>
  <c r="H275" i="24" s="1"/>
  <c r="J275" i="23"/>
  <c r="I305" i="23"/>
  <c r="J305" i="23"/>
  <c r="J309" i="23"/>
  <c r="I309" i="23"/>
  <c r="I323" i="23"/>
  <c r="H323" i="24" s="1"/>
  <c r="J323" i="23"/>
  <c r="I339" i="23"/>
  <c r="H339" i="24" s="1"/>
  <c r="J339" i="23"/>
  <c r="I347" i="23"/>
  <c r="J347" i="23"/>
  <c r="J359" i="23"/>
  <c r="I359" i="23"/>
  <c r="H359" i="24" s="1"/>
  <c r="J369" i="23"/>
  <c r="I369" i="23"/>
  <c r="H369" i="24" s="1"/>
  <c r="J172" i="23"/>
  <c r="I172" i="23"/>
  <c r="H172" i="24" s="1"/>
  <c r="I304" i="23"/>
  <c r="J304" i="23"/>
  <c r="I173" i="23"/>
  <c r="H173" i="24" s="1"/>
  <c r="J173" i="23"/>
  <c r="J289" i="23"/>
  <c r="I289" i="23"/>
  <c r="I48" i="23"/>
  <c r="H48" i="24" s="1"/>
  <c r="J48" i="23"/>
  <c r="J212" i="23"/>
  <c r="I212" i="23"/>
  <c r="I348" i="23"/>
  <c r="J348" i="23"/>
  <c r="I362" i="23"/>
  <c r="J362" i="23"/>
  <c r="I31" i="23"/>
  <c r="J31" i="23"/>
  <c r="J83" i="23"/>
  <c r="I83" i="23"/>
  <c r="H83" i="24" s="1"/>
  <c r="J161" i="23"/>
  <c r="I161" i="23"/>
  <c r="H161" i="24" s="1"/>
  <c r="I179" i="23"/>
  <c r="H179" i="24" s="1"/>
  <c r="J179" i="23"/>
  <c r="I353" i="23"/>
  <c r="J353" i="23"/>
  <c r="D105" i="24"/>
  <c r="E105" i="24" s="1"/>
  <c r="F105" i="24" s="1"/>
  <c r="W105" i="24"/>
  <c r="J28" i="23"/>
  <c r="I28" i="23"/>
  <c r="J50" i="23"/>
  <c r="I50" i="23"/>
  <c r="I146" i="23"/>
  <c r="J146" i="23"/>
  <c r="I150" i="23"/>
  <c r="H150" i="24" s="1"/>
  <c r="J150" i="23"/>
  <c r="I232" i="23"/>
  <c r="J232" i="23"/>
  <c r="J292" i="23"/>
  <c r="I292" i="23"/>
  <c r="J300" i="23"/>
  <c r="I300" i="23"/>
  <c r="J322" i="23"/>
  <c r="I322" i="23"/>
  <c r="W135" i="24"/>
  <c r="D135" i="24"/>
  <c r="E135" i="24" s="1"/>
  <c r="F135" i="24" s="1"/>
  <c r="W24" i="24"/>
  <c r="D24" i="24"/>
  <c r="E24" i="24" s="1"/>
  <c r="F24" i="24" s="1"/>
  <c r="G16" i="24"/>
  <c r="CE16" i="6" s="1"/>
  <c r="AA16" i="24"/>
  <c r="Z16" i="24" s="1"/>
  <c r="Y16" i="24" s="1"/>
  <c r="AA18" i="24"/>
  <c r="Z18" i="24" s="1"/>
  <c r="Y18" i="24" s="1"/>
  <c r="G18" i="24"/>
  <c r="CE18" i="6" s="1"/>
  <c r="AA27" i="24"/>
  <c r="Z27" i="24" s="1"/>
  <c r="Y27" i="24" s="1"/>
  <c r="H27" i="24"/>
  <c r="G27" i="24"/>
  <c r="CE27" i="6" s="1"/>
  <c r="D33" i="24"/>
  <c r="E33" i="24" s="1"/>
  <c r="F33" i="24" s="1"/>
  <c r="W33" i="24"/>
  <c r="G39" i="24"/>
  <c r="CE39" i="6" s="1"/>
  <c r="AA39" i="24"/>
  <c r="Z39" i="24" s="1"/>
  <c r="Y39" i="24" s="1"/>
  <c r="AA43" i="24"/>
  <c r="Z43" i="24" s="1"/>
  <c r="Y43" i="24" s="1"/>
  <c r="G43" i="24"/>
  <c r="CE43" i="6" s="1"/>
  <c r="AA51" i="24"/>
  <c r="Z51" i="24" s="1"/>
  <c r="Y51" i="24" s="1"/>
  <c r="G51" i="24"/>
  <c r="CE51" i="6" s="1"/>
  <c r="H51" i="24"/>
  <c r="AA53" i="24"/>
  <c r="Z53" i="24" s="1"/>
  <c r="Y53" i="24" s="1"/>
  <c r="H53" i="24"/>
  <c r="G53" i="24"/>
  <c r="CE53" i="6" s="1"/>
  <c r="G55" i="24"/>
  <c r="CE55" i="6" s="1"/>
  <c r="AA61" i="24"/>
  <c r="Z61" i="24" s="1"/>
  <c r="Y61" i="24" s="1"/>
  <c r="G61" i="24"/>
  <c r="CE61" i="6" s="1"/>
  <c r="AA63" i="24"/>
  <c r="Z63" i="24" s="1"/>
  <c r="Y63" i="24" s="1"/>
  <c r="G63" i="24"/>
  <c r="CE63" i="6" s="1"/>
  <c r="D69" i="24"/>
  <c r="E69" i="24" s="1"/>
  <c r="F69" i="24" s="1"/>
  <c r="W69" i="24"/>
  <c r="G71" i="24"/>
  <c r="CE71" i="6" s="1"/>
  <c r="AA71" i="24"/>
  <c r="Z71" i="24" s="1"/>
  <c r="Y71" i="24" s="1"/>
  <c r="G77" i="24"/>
  <c r="CE77" i="6" s="1"/>
  <c r="AA77" i="24"/>
  <c r="Z77" i="24" s="1"/>
  <c r="Y77" i="24" s="1"/>
  <c r="W81" i="24"/>
  <c r="D81" i="24"/>
  <c r="E81" i="24" s="1"/>
  <c r="F81" i="24" s="1"/>
  <c r="AA83" i="24"/>
  <c r="Z83" i="24" s="1"/>
  <c r="Y83" i="24" s="1"/>
  <c r="G83" i="24"/>
  <c r="CE83" i="6" s="1"/>
  <c r="AA89" i="24"/>
  <c r="Z89" i="24" s="1"/>
  <c r="Y89" i="24" s="1"/>
  <c r="G89" i="24"/>
  <c r="CE89" i="6" s="1"/>
  <c r="D91" i="24"/>
  <c r="E91" i="24" s="1"/>
  <c r="F91" i="24" s="1"/>
  <c r="W91" i="24"/>
  <c r="AA99" i="24"/>
  <c r="Z99" i="24" s="1"/>
  <c r="Y99" i="24" s="1"/>
  <c r="G99" i="24"/>
  <c r="CE99" i="6" s="1"/>
  <c r="W103" i="24"/>
  <c r="D103" i="24"/>
  <c r="E103" i="24" s="1"/>
  <c r="F103" i="24" s="1"/>
  <c r="AA117" i="24"/>
  <c r="Z117" i="24" s="1"/>
  <c r="Y117" i="24" s="1"/>
  <c r="G117" i="24"/>
  <c r="CE117" i="6" s="1"/>
  <c r="W119" i="24"/>
  <c r="D119" i="24"/>
  <c r="E119" i="24" s="1"/>
  <c r="F119" i="24" s="1"/>
  <c r="D125" i="24"/>
  <c r="E125" i="24" s="1"/>
  <c r="F125" i="24" s="1"/>
  <c r="W125" i="24"/>
  <c r="AA133" i="24"/>
  <c r="Z133" i="24" s="1"/>
  <c r="Y133" i="24" s="1"/>
  <c r="G133" i="24"/>
  <c r="CE133" i="6" s="1"/>
  <c r="G141" i="24"/>
  <c r="CE141" i="6" s="1"/>
  <c r="AA141" i="24"/>
  <c r="Z141" i="24" s="1"/>
  <c r="Y141" i="24" s="1"/>
  <c r="G147" i="24"/>
  <c r="CE147" i="6" s="1"/>
  <c r="AA147" i="24"/>
  <c r="Z147" i="24" s="1"/>
  <c r="Y147" i="24" s="1"/>
  <c r="W149" i="24"/>
  <c r="D149" i="24"/>
  <c r="E149" i="24" s="1"/>
  <c r="F149" i="24" s="1"/>
  <c r="D153" i="24"/>
  <c r="E153" i="24" s="1"/>
  <c r="F153" i="24" s="1"/>
  <c r="W153" i="24"/>
  <c r="G159" i="24"/>
  <c r="CE159" i="6" s="1"/>
  <c r="H159" i="24"/>
  <c r="AA159" i="24"/>
  <c r="Z159" i="24" s="1"/>
  <c r="Y159" i="24" s="1"/>
  <c r="G161" i="24"/>
  <c r="CE161" i="6" s="1"/>
  <c r="AA161" i="24"/>
  <c r="Z161" i="24" s="1"/>
  <c r="Y161" i="24" s="1"/>
  <c r="D163" i="24"/>
  <c r="E163" i="24" s="1"/>
  <c r="F163" i="24" s="1"/>
  <c r="W163" i="24"/>
  <c r="G173" i="24"/>
  <c r="CE173" i="6" s="1"/>
  <c r="AA173" i="24"/>
  <c r="Z173" i="24" s="1"/>
  <c r="Y173" i="24" s="1"/>
  <c r="G175" i="24"/>
  <c r="CE175" i="6" s="1"/>
  <c r="G177" i="24"/>
  <c r="CE177" i="6" s="1"/>
  <c r="AA177" i="24"/>
  <c r="Z177" i="24" s="1"/>
  <c r="Y177" i="24" s="1"/>
  <c r="AA179" i="24"/>
  <c r="Z179" i="24" s="1"/>
  <c r="Y179" i="24" s="1"/>
  <c r="G179" i="24"/>
  <c r="CE179" i="6" s="1"/>
  <c r="W181" i="24"/>
  <c r="D181" i="24"/>
  <c r="E181" i="24" s="1"/>
  <c r="F181" i="24" s="1"/>
  <c r="AA187" i="24"/>
  <c r="Z187" i="24" s="1"/>
  <c r="Y187" i="24" s="1"/>
  <c r="G187" i="24"/>
  <c r="CE187" i="6" s="1"/>
  <c r="D189" i="24"/>
  <c r="E189" i="24" s="1"/>
  <c r="F189" i="24" s="1"/>
  <c r="W189" i="24"/>
  <c r="AA197" i="24"/>
  <c r="Z197" i="24" s="1"/>
  <c r="Y197" i="24" s="1"/>
  <c r="G197" i="24"/>
  <c r="CE197" i="6" s="1"/>
  <c r="G199" i="24"/>
  <c r="CE199" i="6" s="1"/>
  <c r="AA199" i="24"/>
  <c r="Z199" i="24" s="1"/>
  <c r="Y199" i="24" s="1"/>
  <c r="G201" i="24"/>
  <c r="CE201" i="6" s="1"/>
  <c r="AA201" i="24"/>
  <c r="Z201" i="24" s="1"/>
  <c r="Y201" i="24" s="1"/>
  <c r="AA209" i="24"/>
  <c r="Z209" i="24" s="1"/>
  <c r="Y209" i="24" s="1"/>
  <c r="G209" i="24"/>
  <c r="CE209" i="6" s="1"/>
  <c r="AA211" i="24"/>
  <c r="Z211" i="24" s="1"/>
  <c r="Y211" i="24" s="1"/>
  <c r="G211" i="24"/>
  <c r="CE211" i="6" s="1"/>
  <c r="AA215" i="24"/>
  <c r="Z215" i="24" s="1"/>
  <c r="Y215" i="24" s="1"/>
  <c r="G215" i="24"/>
  <c r="CE215" i="6" s="1"/>
  <c r="G219" i="24"/>
  <c r="CE219" i="6" s="1"/>
  <c r="AA219" i="24"/>
  <c r="Z219" i="24" s="1"/>
  <c r="Y219" i="24" s="1"/>
  <c r="G233" i="24"/>
  <c r="CE233" i="6" s="1"/>
  <c r="AA233" i="24"/>
  <c r="Z233" i="24" s="1"/>
  <c r="Y233" i="24" s="1"/>
  <c r="D237" i="24"/>
  <c r="E237" i="24" s="1"/>
  <c r="F237" i="24" s="1"/>
  <c r="W237" i="24"/>
  <c r="W241" i="24"/>
  <c r="D241" i="24"/>
  <c r="E241" i="24" s="1"/>
  <c r="F241" i="24" s="1"/>
  <c r="G245" i="24"/>
  <c r="CE245" i="6" s="1"/>
  <c r="AA245" i="24"/>
  <c r="Z245" i="24" s="1"/>
  <c r="Y245" i="24" s="1"/>
  <c r="G255" i="24"/>
  <c r="CE255" i="6" s="1"/>
  <c r="AA255" i="24"/>
  <c r="Z255" i="24" s="1"/>
  <c r="Y255" i="24" s="1"/>
  <c r="G257" i="24"/>
  <c r="CE257" i="6" s="1"/>
  <c r="H257" i="24"/>
  <c r="AA257" i="24"/>
  <c r="Z257" i="24" s="1"/>
  <c r="Y257" i="24" s="1"/>
  <c r="G263" i="24"/>
  <c r="CE263" i="6" s="1"/>
  <c r="AA263" i="24"/>
  <c r="Z263" i="24" s="1"/>
  <c r="Y263" i="24" s="1"/>
  <c r="G273" i="24"/>
  <c r="CE273" i="6" s="1"/>
  <c r="AA273" i="24"/>
  <c r="Z273" i="24" s="1"/>
  <c r="Y273" i="24" s="1"/>
  <c r="G275" i="24"/>
  <c r="CE275" i="6" s="1"/>
  <c r="AA275" i="24"/>
  <c r="Z275" i="24" s="1"/>
  <c r="Y275" i="24" s="1"/>
  <c r="G279" i="24"/>
  <c r="CE279" i="6" s="1"/>
  <c r="AA279" i="24"/>
  <c r="Z279" i="24" s="1"/>
  <c r="Y279" i="24" s="1"/>
  <c r="AA281" i="24"/>
  <c r="Z281" i="24" s="1"/>
  <c r="Y281" i="24" s="1"/>
  <c r="G281" i="24"/>
  <c r="CE281" i="6" s="1"/>
  <c r="G287" i="24"/>
  <c r="CE287" i="6" s="1"/>
  <c r="AA287" i="24"/>
  <c r="Z287" i="24" s="1"/>
  <c r="Y287" i="24" s="1"/>
  <c r="G293" i="24"/>
  <c r="CE293" i="6" s="1"/>
  <c r="AA293" i="24"/>
  <c r="Z293" i="24" s="1"/>
  <c r="Y293" i="24" s="1"/>
  <c r="W295" i="24"/>
  <c r="D295" i="24"/>
  <c r="E295" i="24" s="1"/>
  <c r="F295" i="24" s="1"/>
  <c r="G301" i="24"/>
  <c r="CE301" i="6" s="1"/>
  <c r="AA301" i="24"/>
  <c r="Z301" i="24" s="1"/>
  <c r="Y301" i="24" s="1"/>
  <c r="G303" i="24"/>
  <c r="CE303" i="6" s="1"/>
  <c r="AA323" i="24"/>
  <c r="Z323" i="24" s="1"/>
  <c r="Y323" i="24" s="1"/>
  <c r="G323" i="24"/>
  <c r="CE323" i="6" s="1"/>
  <c r="AA325" i="24"/>
  <c r="Z325" i="24" s="1"/>
  <c r="Y325" i="24" s="1"/>
  <c r="G325" i="24"/>
  <c r="CE325" i="6" s="1"/>
  <c r="H325" i="24"/>
  <c r="W333" i="24"/>
  <c r="D333" i="24"/>
  <c r="E333" i="24" s="1"/>
  <c r="F333" i="24" s="1"/>
  <c r="AA337" i="24"/>
  <c r="Z337" i="24" s="1"/>
  <c r="Y337" i="24" s="1"/>
  <c r="G337" i="24"/>
  <c r="CE337" i="6" s="1"/>
  <c r="H337" i="24"/>
  <c r="G339" i="24"/>
  <c r="CE339" i="6" s="1"/>
  <c r="AA339" i="24"/>
  <c r="Z339" i="24" s="1"/>
  <c r="Y339" i="24" s="1"/>
  <c r="G343" i="24"/>
  <c r="CE343" i="6" s="1"/>
  <c r="AA343" i="24"/>
  <c r="Z343" i="24" s="1"/>
  <c r="Y343" i="24" s="1"/>
  <c r="AA359" i="24"/>
  <c r="Z359" i="24" s="1"/>
  <c r="Y359" i="24" s="1"/>
  <c r="G359" i="24"/>
  <c r="CE359" i="6" s="1"/>
  <c r="G361" i="24"/>
  <c r="CE361" i="6" s="1"/>
  <c r="AA361" i="24"/>
  <c r="Z361" i="24" s="1"/>
  <c r="Y361" i="24" s="1"/>
  <c r="AH67" i="7"/>
  <c r="V363" i="24"/>
  <c r="B363" i="24" s="1"/>
  <c r="G365" i="24"/>
  <c r="CE365" i="6" s="1"/>
  <c r="AA365" i="24"/>
  <c r="Z365" i="24" s="1"/>
  <c r="Y365" i="24" s="1"/>
  <c r="W371" i="24"/>
  <c r="D371" i="24"/>
  <c r="E371" i="24" s="1"/>
  <c r="F371" i="24" s="1"/>
  <c r="AA373" i="24"/>
  <c r="Z373" i="24" s="1"/>
  <c r="Y373" i="24" s="1"/>
  <c r="G373" i="24"/>
  <c r="CE373" i="6" s="1"/>
  <c r="AA375" i="24"/>
  <c r="Z375" i="24" s="1"/>
  <c r="Y375" i="24" s="1"/>
  <c r="G375" i="24"/>
  <c r="CE375" i="6" s="1"/>
  <c r="BE16" i="7"/>
  <c r="U185" i="25"/>
  <c r="T185" i="25" s="1"/>
  <c r="S185" i="25" s="1"/>
  <c r="R185" i="25" s="1"/>
  <c r="P185" i="25" s="1"/>
  <c r="V185" i="25" s="1"/>
  <c r="B185" i="25" s="1"/>
  <c r="U291" i="25"/>
  <c r="T291" i="25" s="1"/>
  <c r="S291" i="25" s="1"/>
  <c r="R291" i="25" s="1"/>
  <c r="P291" i="25" s="1"/>
  <c r="V291" i="25" s="1"/>
  <c r="B291" i="25" s="1"/>
  <c r="U350" i="25"/>
  <c r="T350" i="25" s="1"/>
  <c r="S350" i="25" s="1"/>
  <c r="R350" i="25" s="1"/>
  <c r="P350" i="25" s="1"/>
  <c r="V350" i="25" s="1"/>
  <c r="B350" i="25" s="1"/>
  <c r="J380" i="24"/>
  <c r="I380" i="24"/>
  <c r="H380" i="25" s="1"/>
  <c r="G381" i="18"/>
  <c r="G383" i="18"/>
  <c r="G12" i="18" s="1"/>
  <c r="G382" i="18"/>
  <c r="J20" i="23"/>
  <c r="I20" i="23"/>
  <c r="H20" i="24" s="1"/>
  <c r="I114" i="23"/>
  <c r="H114" i="24" s="1"/>
  <c r="J114" i="23"/>
  <c r="J120" i="23"/>
  <c r="I120" i="23"/>
  <c r="H120" i="24" s="1"/>
  <c r="I138" i="23"/>
  <c r="H138" i="24" s="1"/>
  <c r="J138" i="23"/>
  <c r="J284" i="23"/>
  <c r="I284" i="23"/>
  <c r="J314" i="23"/>
  <c r="I314" i="23"/>
  <c r="I324" i="23"/>
  <c r="J324" i="23"/>
  <c r="I328" i="23"/>
  <c r="J328" i="23"/>
  <c r="I344" i="23"/>
  <c r="J344" i="23"/>
  <c r="J354" i="23"/>
  <c r="I354" i="23"/>
  <c r="H354" i="24" s="1"/>
  <c r="AA349" i="24"/>
  <c r="Z349" i="24" s="1"/>
  <c r="Y349" i="24" s="1"/>
  <c r="G349" i="24"/>
  <c r="CE349" i="6" s="1"/>
  <c r="J17" i="23"/>
  <c r="I17" i="23"/>
  <c r="J16" i="23"/>
  <c r="I16" i="23"/>
  <c r="H16" i="24" s="1"/>
  <c r="J21" i="23"/>
  <c r="I21" i="23"/>
  <c r="H21" i="24" s="1"/>
  <c r="J25" i="23"/>
  <c r="I25" i="23"/>
  <c r="J45" i="23"/>
  <c r="I45" i="23"/>
  <c r="H45" i="24" s="1"/>
  <c r="J85" i="23"/>
  <c r="I85" i="23"/>
  <c r="H85" i="24" s="1"/>
  <c r="I91" i="23"/>
  <c r="J91" i="23"/>
  <c r="J95" i="23"/>
  <c r="I95" i="23"/>
  <c r="I103" i="23"/>
  <c r="J103" i="23"/>
  <c r="J107" i="23"/>
  <c r="I107" i="23"/>
  <c r="H107" i="24" s="1"/>
  <c r="I117" i="23"/>
  <c r="H117" i="24" s="1"/>
  <c r="J117" i="23"/>
  <c r="I139" i="23"/>
  <c r="H139" i="24" s="1"/>
  <c r="J139" i="23"/>
  <c r="I177" i="23"/>
  <c r="H177" i="24" s="1"/>
  <c r="J177" i="23"/>
  <c r="J187" i="23"/>
  <c r="I187" i="23"/>
  <c r="H187" i="24" s="1"/>
  <c r="I209" i="23"/>
  <c r="H209" i="24" s="1"/>
  <c r="J209" i="23"/>
  <c r="J215" i="23"/>
  <c r="I215" i="23"/>
  <c r="H215" i="24" s="1"/>
  <c r="J229" i="23"/>
  <c r="I229" i="23"/>
  <c r="J233" i="23"/>
  <c r="I233" i="23"/>
  <c r="H233" i="24" s="1"/>
  <c r="J247" i="23"/>
  <c r="I247" i="23"/>
  <c r="H247" i="24" s="1"/>
  <c r="I249" i="23"/>
  <c r="H249" i="24" s="1"/>
  <c r="J249" i="23"/>
  <c r="J261" i="23"/>
  <c r="I261" i="23"/>
  <c r="H261" i="24" s="1"/>
  <c r="J315" i="23"/>
  <c r="I315" i="23"/>
  <c r="H315" i="24" s="1"/>
  <c r="G363" i="23"/>
  <c r="CD363" i="6" s="1"/>
  <c r="H363" i="23"/>
  <c r="AA363" i="23"/>
  <c r="Z363" i="23" s="1"/>
  <c r="Y363" i="23" s="1"/>
  <c r="I365" i="23"/>
  <c r="H365" i="24" s="1"/>
  <c r="J365" i="23"/>
  <c r="J367" i="23"/>
  <c r="I367" i="23"/>
  <c r="J377" i="23"/>
  <c r="I377" i="23"/>
  <c r="H377" i="24" s="1"/>
  <c r="J18" i="23"/>
  <c r="I18" i="23"/>
  <c r="H18" i="24" s="1"/>
  <c r="I58" i="23"/>
  <c r="H58" i="24" s="1"/>
  <c r="J58" i="23"/>
  <c r="J94" i="23"/>
  <c r="I94" i="23"/>
  <c r="I102" i="23"/>
  <c r="H102" i="24" s="1"/>
  <c r="J102" i="23"/>
  <c r="J160" i="23"/>
  <c r="I160" i="23"/>
  <c r="H160" i="24" s="1"/>
  <c r="G180" i="23"/>
  <c r="CD180" i="6" s="1"/>
  <c r="AA180" i="23"/>
  <c r="Z180" i="23" s="1"/>
  <c r="Y180" i="23" s="1"/>
  <c r="H180" i="23"/>
  <c r="I334" i="23"/>
  <c r="J334" i="23"/>
  <c r="J342" i="23"/>
  <c r="I342" i="23"/>
  <c r="J372" i="23"/>
  <c r="I372" i="23"/>
  <c r="H372" i="24" s="1"/>
  <c r="I73" i="23"/>
  <c r="J73" i="23"/>
  <c r="J77" i="23"/>
  <c r="I77" i="23"/>
  <c r="H77" i="24" s="1"/>
  <c r="I89" i="23"/>
  <c r="H89" i="24" s="1"/>
  <c r="J89" i="23"/>
  <c r="I121" i="23"/>
  <c r="J121" i="23"/>
  <c r="I189" i="23"/>
  <c r="J189" i="23"/>
  <c r="I217" i="23"/>
  <c r="H217" i="24" s="1"/>
  <c r="J217" i="23"/>
  <c r="I279" i="23"/>
  <c r="H279" i="24" s="1"/>
  <c r="J279" i="23"/>
  <c r="I311" i="23"/>
  <c r="J311" i="23"/>
  <c r="AA333" i="23"/>
  <c r="Z333" i="23" s="1"/>
  <c r="Y333" i="23" s="1"/>
  <c r="H333" i="23"/>
  <c r="G333" i="23"/>
  <c r="CD333" i="6" s="1"/>
  <c r="J345" i="23"/>
  <c r="I345" i="23"/>
  <c r="H345" i="24" s="1"/>
  <c r="J375" i="23"/>
  <c r="I375" i="23"/>
  <c r="H375" i="24" s="1"/>
  <c r="I32" i="23"/>
  <c r="J32" i="23"/>
  <c r="I56" i="23"/>
  <c r="H56" i="24" s="1"/>
  <c r="J56" i="23"/>
  <c r="I126" i="23"/>
  <c r="H126" i="24" s="1"/>
  <c r="J126" i="23"/>
  <c r="I144" i="23"/>
  <c r="J144" i="23"/>
  <c r="J154" i="23"/>
  <c r="I154" i="23"/>
  <c r="I226" i="23"/>
  <c r="J226" i="23"/>
  <c r="D288" i="24"/>
  <c r="E288" i="24" s="1"/>
  <c r="F288" i="24" s="1"/>
  <c r="W288" i="24"/>
  <c r="I318" i="23"/>
  <c r="H318" i="24" s="1"/>
  <c r="J318" i="23"/>
  <c r="J47" i="23"/>
  <c r="I47" i="23"/>
  <c r="H47" i="24" s="1"/>
  <c r="J281" i="23"/>
  <c r="I281" i="23"/>
  <c r="H281" i="24" s="1"/>
  <c r="J287" i="23"/>
  <c r="I287" i="23"/>
  <c r="H287" i="24" s="1"/>
  <c r="J44" i="23"/>
  <c r="I44" i="23"/>
  <c r="H44" i="24" s="1"/>
  <c r="AA60" i="23"/>
  <c r="Z60" i="23" s="1"/>
  <c r="Y60" i="23" s="1"/>
  <c r="G60" i="23"/>
  <c r="CD60" i="6" s="1"/>
  <c r="H60" i="23"/>
  <c r="J162" i="23"/>
  <c r="I162" i="23"/>
  <c r="J174" i="23"/>
  <c r="I174" i="23"/>
  <c r="I182" i="23"/>
  <c r="J182" i="23"/>
  <c r="AA210" i="23"/>
  <c r="Z210" i="23" s="1"/>
  <c r="Y210" i="23" s="1"/>
  <c r="G210" i="23"/>
  <c r="CD210" i="6" s="1"/>
  <c r="H210" i="23"/>
  <c r="J252" i="23"/>
  <c r="I252" i="23"/>
  <c r="J264" i="23"/>
  <c r="I264" i="23"/>
  <c r="I280" i="23"/>
  <c r="J280" i="23"/>
  <c r="J358" i="23"/>
  <c r="I358" i="23"/>
  <c r="W258" i="24"/>
  <c r="D258" i="24"/>
  <c r="E258" i="24" s="1"/>
  <c r="F258" i="24" s="1"/>
  <c r="G258" i="23"/>
  <c r="CD258" i="6" s="1"/>
  <c r="AA258" i="23"/>
  <c r="Z258" i="23" s="1"/>
  <c r="Y258" i="23" s="1"/>
  <c r="AG15" i="24"/>
  <c r="G20" i="24"/>
  <c r="CE20" i="6" s="1"/>
  <c r="AA20" i="24"/>
  <c r="Z20" i="24" s="1"/>
  <c r="Y20" i="24" s="1"/>
  <c r="AA22" i="24"/>
  <c r="Z22" i="24" s="1"/>
  <c r="Y22" i="24" s="1"/>
  <c r="G22" i="24"/>
  <c r="CE22" i="6" s="1"/>
  <c r="T381" i="24"/>
  <c r="S15" i="24"/>
  <c r="T382" i="24"/>
  <c r="T383" i="24"/>
  <c r="G17" i="24"/>
  <c r="CE17" i="6" s="1"/>
  <c r="G26" i="24"/>
  <c r="CE26" i="6" s="1"/>
  <c r="AA26" i="24"/>
  <c r="Z26" i="24" s="1"/>
  <c r="Y26" i="24" s="1"/>
  <c r="W28" i="24"/>
  <c r="D28" i="24"/>
  <c r="E28" i="24" s="1"/>
  <c r="F28" i="24" s="1"/>
  <c r="W30" i="24"/>
  <c r="D30" i="24"/>
  <c r="E30" i="24" s="1"/>
  <c r="F30" i="24" s="1"/>
  <c r="W32" i="24"/>
  <c r="D32" i="24"/>
  <c r="E32" i="24" s="1"/>
  <c r="F32" i="24" s="1"/>
  <c r="W34" i="24"/>
  <c r="D34" i="24"/>
  <c r="E34" i="24" s="1"/>
  <c r="F34" i="24" s="1"/>
  <c r="D38" i="24"/>
  <c r="E38" i="24" s="1"/>
  <c r="F38" i="24" s="1"/>
  <c r="W38" i="24"/>
  <c r="AA44" i="24"/>
  <c r="Z44" i="24" s="1"/>
  <c r="Y44" i="24" s="1"/>
  <c r="G44" i="24"/>
  <c r="CE44" i="6" s="1"/>
  <c r="AA48" i="24"/>
  <c r="Z48" i="24" s="1"/>
  <c r="Y48" i="24" s="1"/>
  <c r="G48" i="24"/>
  <c r="CE48" i="6" s="1"/>
  <c r="W50" i="24"/>
  <c r="D50" i="24"/>
  <c r="E50" i="24" s="1"/>
  <c r="F50" i="24" s="1"/>
  <c r="D52" i="24"/>
  <c r="E52" i="24" s="1"/>
  <c r="F52" i="24" s="1"/>
  <c r="W52" i="24"/>
  <c r="AA56" i="24"/>
  <c r="Z56" i="24" s="1"/>
  <c r="Y56" i="24" s="1"/>
  <c r="G56" i="24"/>
  <c r="CE56" i="6" s="1"/>
  <c r="D64" i="24"/>
  <c r="E64" i="24" s="1"/>
  <c r="F64" i="24" s="1"/>
  <c r="W64" i="24"/>
  <c r="G68" i="24"/>
  <c r="CE68" i="6" s="1"/>
  <c r="AA68" i="24"/>
  <c r="Z68" i="24" s="1"/>
  <c r="Y68" i="24" s="1"/>
  <c r="D70" i="24"/>
  <c r="E70" i="24" s="1"/>
  <c r="F70" i="24" s="1"/>
  <c r="W70" i="24"/>
  <c r="B74" i="24"/>
  <c r="W76" i="24"/>
  <c r="D76" i="24"/>
  <c r="E76" i="24" s="1"/>
  <c r="F76" i="24" s="1"/>
  <c r="W78" i="24"/>
  <c r="D78" i="24"/>
  <c r="E78" i="24" s="1"/>
  <c r="F78" i="24" s="1"/>
  <c r="AA82" i="24"/>
  <c r="Z82" i="24" s="1"/>
  <c r="Y82" i="24" s="1"/>
  <c r="G82" i="24"/>
  <c r="CE82" i="6" s="1"/>
  <c r="G84" i="24"/>
  <c r="CE84" i="6" s="1"/>
  <c r="AA84" i="24"/>
  <c r="Z84" i="24" s="1"/>
  <c r="Y84" i="24" s="1"/>
  <c r="AA86" i="24"/>
  <c r="Z86" i="24" s="1"/>
  <c r="Y86" i="24" s="1"/>
  <c r="H86" i="24"/>
  <c r="G86" i="24"/>
  <c r="CE86" i="6" s="1"/>
  <c r="AH58" i="7"/>
  <c r="V88" i="24"/>
  <c r="B88" i="24" s="1"/>
  <c r="G96" i="24"/>
  <c r="CE96" i="6" s="1"/>
  <c r="AA96" i="24"/>
  <c r="Z96" i="24" s="1"/>
  <c r="Y96" i="24" s="1"/>
  <c r="D98" i="24"/>
  <c r="E98" i="24" s="1"/>
  <c r="F98" i="24" s="1"/>
  <c r="W98" i="24"/>
  <c r="AA102" i="24"/>
  <c r="Z102" i="24" s="1"/>
  <c r="Y102" i="24" s="1"/>
  <c r="G102" i="24"/>
  <c r="CE102" i="6" s="1"/>
  <c r="AA106" i="24"/>
  <c r="Z106" i="24" s="1"/>
  <c r="Y106" i="24" s="1"/>
  <c r="G106" i="24"/>
  <c r="CE106" i="6" s="1"/>
  <c r="G108" i="24"/>
  <c r="CE108" i="6" s="1"/>
  <c r="AA108" i="24"/>
  <c r="Z108" i="24" s="1"/>
  <c r="Y108" i="24" s="1"/>
  <c r="G112" i="24"/>
  <c r="CE112" i="6" s="1"/>
  <c r="AA112" i="24"/>
  <c r="Z112" i="24" s="1"/>
  <c r="Y112" i="24" s="1"/>
  <c r="H112" i="24"/>
  <c r="AA124" i="24"/>
  <c r="Z124" i="24" s="1"/>
  <c r="Y124" i="24" s="1"/>
  <c r="D132" i="24"/>
  <c r="E132" i="24" s="1"/>
  <c r="F132" i="24" s="1"/>
  <c r="W132" i="24"/>
  <c r="G138" i="24"/>
  <c r="CE138" i="6" s="1"/>
  <c r="AA138" i="24"/>
  <c r="Z138" i="24" s="1"/>
  <c r="Y138" i="24" s="1"/>
  <c r="W146" i="24"/>
  <c r="D146" i="24"/>
  <c r="E146" i="24" s="1"/>
  <c r="F146" i="24" s="1"/>
  <c r="W152" i="24"/>
  <c r="D152" i="24"/>
  <c r="E152" i="24" s="1"/>
  <c r="F152" i="24" s="1"/>
  <c r="W158" i="24"/>
  <c r="D158" i="24"/>
  <c r="E158" i="24" s="1"/>
  <c r="F158" i="24" s="1"/>
  <c r="AA160" i="24"/>
  <c r="Z160" i="24" s="1"/>
  <c r="Y160" i="24" s="1"/>
  <c r="G160" i="24"/>
  <c r="CE160" i="6" s="1"/>
  <c r="W174" i="24"/>
  <c r="D174" i="24"/>
  <c r="E174" i="24" s="1"/>
  <c r="F174" i="24" s="1"/>
  <c r="AA176" i="24"/>
  <c r="Z176" i="24" s="1"/>
  <c r="Y176" i="24" s="1"/>
  <c r="G176" i="24"/>
  <c r="CE176" i="6" s="1"/>
  <c r="G206" i="24"/>
  <c r="CE206" i="6" s="1"/>
  <c r="AA206" i="24"/>
  <c r="Z206" i="24" s="1"/>
  <c r="Y206" i="24" s="1"/>
  <c r="W214" i="24"/>
  <c r="D214" i="24"/>
  <c r="E214" i="24" s="1"/>
  <c r="F214" i="24" s="1"/>
  <c r="W218" i="24"/>
  <c r="D218" i="24"/>
  <c r="E218" i="24" s="1"/>
  <c r="F218" i="24" s="1"/>
  <c r="W222" i="24"/>
  <c r="D222" i="24"/>
  <c r="E222" i="24" s="1"/>
  <c r="F222" i="24" s="1"/>
  <c r="W232" i="24"/>
  <c r="D232" i="24"/>
  <c r="E232" i="24" s="1"/>
  <c r="F232" i="24" s="1"/>
  <c r="AA238" i="24"/>
  <c r="Z238" i="24" s="1"/>
  <c r="Y238" i="24" s="1"/>
  <c r="G238" i="24"/>
  <c r="CE238" i="6" s="1"/>
  <c r="H238" i="24"/>
  <c r="AA240" i="24"/>
  <c r="Z240" i="24" s="1"/>
  <c r="Y240" i="24" s="1"/>
  <c r="H240" i="24"/>
  <c r="G240" i="24"/>
  <c r="CE240" i="6" s="1"/>
  <c r="AA244" i="24"/>
  <c r="Z244" i="24" s="1"/>
  <c r="Y244" i="24" s="1"/>
  <c r="G244" i="24"/>
  <c r="CE244" i="6" s="1"/>
  <c r="AA248" i="24"/>
  <c r="Z248" i="24" s="1"/>
  <c r="Y248" i="24" s="1"/>
  <c r="G248" i="24"/>
  <c r="CE248" i="6" s="1"/>
  <c r="D252" i="24"/>
  <c r="E252" i="24" s="1"/>
  <c r="F252" i="24" s="1"/>
  <c r="W252" i="24"/>
  <c r="W270" i="24"/>
  <c r="D270" i="24"/>
  <c r="E270" i="24" s="1"/>
  <c r="F270" i="24" s="1"/>
  <c r="W272" i="24"/>
  <c r="D272" i="24"/>
  <c r="E272" i="24" s="1"/>
  <c r="F272" i="24" s="1"/>
  <c r="G282" i="24"/>
  <c r="CE282" i="6" s="1"/>
  <c r="AA282" i="24"/>
  <c r="Z282" i="24" s="1"/>
  <c r="Y282" i="24" s="1"/>
  <c r="AA286" i="24"/>
  <c r="Z286" i="24" s="1"/>
  <c r="Y286" i="24" s="1"/>
  <c r="G286" i="24"/>
  <c r="CE286" i="6" s="1"/>
  <c r="G290" i="24"/>
  <c r="CE290" i="6" s="1"/>
  <c r="AA290" i="24"/>
  <c r="Z290" i="24" s="1"/>
  <c r="Y290" i="24" s="1"/>
  <c r="AH65" i="7"/>
  <c r="V302" i="24"/>
  <c r="B302" i="24" s="1"/>
  <c r="G308" i="24"/>
  <c r="CE308" i="6" s="1"/>
  <c r="AA308" i="24"/>
  <c r="Z308" i="24" s="1"/>
  <c r="Y308" i="24" s="1"/>
  <c r="D310" i="24"/>
  <c r="E310" i="24" s="1"/>
  <c r="F310" i="24" s="1"/>
  <c r="W310" i="24"/>
  <c r="AA316" i="24"/>
  <c r="Z316" i="24" s="1"/>
  <c r="Y316" i="24" s="1"/>
  <c r="H316" i="24"/>
  <c r="G316" i="24"/>
  <c r="CE316" i="6" s="1"/>
  <c r="G318" i="24"/>
  <c r="CE318" i="6" s="1"/>
  <c r="AA318" i="24"/>
  <c r="Z318" i="24" s="1"/>
  <c r="Y318" i="24" s="1"/>
  <c r="G320" i="24"/>
  <c r="CE320" i="6" s="1"/>
  <c r="AA320" i="24"/>
  <c r="Z320" i="24" s="1"/>
  <c r="Y320" i="24" s="1"/>
  <c r="H320" i="24"/>
  <c r="W322" i="24"/>
  <c r="D322" i="24"/>
  <c r="E322" i="24" s="1"/>
  <c r="F322" i="24" s="1"/>
  <c r="D332" i="24"/>
  <c r="E332" i="24" s="1"/>
  <c r="F332" i="24" s="1"/>
  <c r="W332" i="24"/>
  <c r="G336" i="24"/>
  <c r="CE336" i="6" s="1"/>
  <c r="AA336" i="24"/>
  <c r="Z336" i="24" s="1"/>
  <c r="Y336" i="24" s="1"/>
  <c r="AA346" i="24"/>
  <c r="Z346" i="24" s="1"/>
  <c r="Y346" i="24" s="1"/>
  <c r="W348" i="24"/>
  <c r="D348" i="24"/>
  <c r="E348" i="24" s="1"/>
  <c r="F348" i="24" s="1"/>
  <c r="AA354" i="24"/>
  <c r="Z354" i="24" s="1"/>
  <c r="Y354" i="24" s="1"/>
  <c r="G354" i="24"/>
  <c r="CE354" i="6" s="1"/>
  <c r="AA356" i="24"/>
  <c r="Z356" i="24" s="1"/>
  <c r="Y356" i="24" s="1"/>
  <c r="G356" i="24"/>
  <c r="CE356" i="6" s="1"/>
  <c r="AA368" i="24"/>
  <c r="Z368" i="24" s="1"/>
  <c r="Y368" i="24" s="1"/>
  <c r="G368" i="24"/>
  <c r="CE368" i="6" s="1"/>
  <c r="H368" i="24"/>
  <c r="AA370" i="24"/>
  <c r="Z370" i="24" s="1"/>
  <c r="Y370" i="24" s="1"/>
  <c r="G370" i="24"/>
  <c r="CE370" i="6" s="1"/>
  <c r="AA372" i="24"/>
  <c r="Z372" i="24" s="1"/>
  <c r="Y372" i="24" s="1"/>
  <c r="G372" i="24"/>
  <c r="CE372" i="6" s="1"/>
  <c r="D374" i="24"/>
  <c r="E374" i="24" s="1"/>
  <c r="F374" i="24" s="1"/>
  <c r="W374" i="24"/>
  <c r="D376" i="24"/>
  <c r="E376" i="24" s="1"/>
  <c r="F376" i="24" s="1"/>
  <c r="W376" i="24"/>
  <c r="AD15" i="23"/>
  <c r="I42" i="23"/>
  <c r="H42" i="24" s="1"/>
  <c r="J42" i="23"/>
  <c r="J54" i="23"/>
  <c r="I54" i="23"/>
  <c r="I132" i="23"/>
  <c r="J132" i="23"/>
  <c r="J152" i="23"/>
  <c r="I152" i="23"/>
  <c r="J184" i="23"/>
  <c r="I184" i="23"/>
  <c r="H184" i="24" s="1"/>
  <c r="J228" i="23"/>
  <c r="I228" i="23"/>
  <c r="H228" i="24" s="1"/>
  <c r="I234" i="23"/>
  <c r="H234" i="24" s="1"/>
  <c r="J234" i="23"/>
  <c r="G272" i="23"/>
  <c r="CD272" i="6" s="1"/>
  <c r="H272" i="23"/>
  <c r="AA272" i="23"/>
  <c r="Z272" i="23" s="1"/>
  <c r="Y272" i="23" s="1"/>
  <c r="J278" i="23"/>
  <c r="I278" i="23"/>
  <c r="H278" i="24" s="1"/>
  <c r="J374" i="23"/>
  <c r="I374" i="23"/>
  <c r="I22" i="23"/>
  <c r="H22" i="24" s="1"/>
  <c r="J22" i="23"/>
  <c r="AA29" i="23"/>
  <c r="Z29" i="23" s="1"/>
  <c r="Y29" i="23" s="1"/>
  <c r="G29" i="23"/>
  <c r="CD29" i="6" s="1"/>
  <c r="H29" i="23"/>
  <c r="J33" i="23"/>
  <c r="I33" i="23"/>
  <c r="J35" i="23"/>
  <c r="I35" i="23"/>
  <c r="H35" i="24" s="1"/>
  <c r="I61" i="23"/>
  <c r="H61" i="24" s="1"/>
  <c r="J61" i="23"/>
  <c r="I63" i="23"/>
  <c r="H63" i="24" s="1"/>
  <c r="J63" i="23"/>
  <c r="J65" i="23"/>
  <c r="I65" i="23"/>
  <c r="H65" i="24" s="1"/>
  <c r="J87" i="23"/>
  <c r="I87" i="23"/>
  <c r="H87" i="24" s="1"/>
  <c r="J99" i="23"/>
  <c r="I99" i="23"/>
  <c r="H99" i="24" s="1"/>
  <c r="J109" i="23"/>
  <c r="I109" i="23"/>
  <c r="H109" i="24" s="1"/>
  <c r="J111" i="23"/>
  <c r="I111" i="23"/>
  <c r="J127" i="23"/>
  <c r="I127" i="23"/>
  <c r="I129" i="23"/>
  <c r="H129" i="24" s="1"/>
  <c r="J129" i="23"/>
  <c r="I133" i="23"/>
  <c r="H133" i="24" s="1"/>
  <c r="J133" i="23"/>
  <c r="J151" i="23"/>
  <c r="I151" i="23"/>
  <c r="H151" i="24" s="1"/>
  <c r="I171" i="23"/>
  <c r="H171" i="24" s="1"/>
  <c r="J171" i="23"/>
  <c r="I175" i="23"/>
  <c r="H175" i="24" s="1"/>
  <c r="J175" i="23"/>
  <c r="I197" i="23"/>
  <c r="H197" i="24" s="1"/>
  <c r="J197" i="23"/>
  <c r="J199" i="23"/>
  <c r="I199" i="23"/>
  <c r="H199" i="24" s="1"/>
  <c r="J205" i="23"/>
  <c r="I205" i="23"/>
  <c r="I223" i="23"/>
  <c r="H223" i="24" s="1"/>
  <c r="J223" i="23"/>
  <c r="AA241" i="23"/>
  <c r="Z241" i="23" s="1"/>
  <c r="Y241" i="23" s="1"/>
  <c r="G241" i="23"/>
  <c r="CD241" i="6" s="1"/>
  <c r="H241" i="23"/>
  <c r="J243" i="23"/>
  <c r="I243" i="23"/>
  <c r="H243" i="24" s="1"/>
  <c r="J255" i="23"/>
  <c r="I255" i="23"/>
  <c r="H255" i="24" s="1"/>
  <c r="J303" i="23"/>
  <c r="I303" i="23"/>
  <c r="H303" i="24" s="1"/>
  <c r="AA319" i="23"/>
  <c r="Z319" i="23" s="1"/>
  <c r="Y319" i="23" s="1"/>
  <c r="H319" i="23"/>
  <c r="G319" i="23"/>
  <c r="CD319" i="6" s="1"/>
  <c r="I327" i="23"/>
  <c r="H327" i="24" s="1"/>
  <c r="J327" i="23"/>
  <c r="J331" i="23"/>
  <c r="I331" i="23"/>
  <c r="I341" i="23"/>
  <c r="J341" i="23"/>
  <c r="J351" i="23"/>
  <c r="I351" i="23"/>
  <c r="H351" i="24" s="1"/>
  <c r="I357" i="23"/>
  <c r="H357" i="24" s="1"/>
  <c r="J357" i="23"/>
  <c r="J361" i="23"/>
  <c r="I361" i="23"/>
  <c r="H361" i="24" s="1"/>
  <c r="J373" i="23"/>
  <c r="I373" i="23"/>
  <c r="H373" i="24" s="1"/>
  <c r="U366" i="25" l="1"/>
  <c r="T366" i="25" s="1"/>
  <c r="S366" i="25" s="1"/>
  <c r="R366" i="25" s="1"/>
  <c r="P366" i="25" s="1"/>
  <c r="V366" i="25" s="1"/>
  <c r="B366" i="25" s="1"/>
  <c r="U323" i="25"/>
  <c r="T323" i="25" s="1"/>
  <c r="S323" i="25" s="1"/>
  <c r="R323" i="25" s="1"/>
  <c r="P323" i="25" s="1"/>
  <c r="V323" i="25" s="1"/>
  <c r="B323" i="25" s="1"/>
  <c r="U249" i="25"/>
  <c r="T249" i="25" s="1"/>
  <c r="S249" i="25" s="1"/>
  <c r="R249" i="25" s="1"/>
  <c r="P249" i="25" s="1"/>
  <c r="V249" i="25" s="1"/>
  <c r="B249" i="25" s="1"/>
  <c r="W180" i="24"/>
  <c r="AA92" i="24"/>
  <c r="Z92" i="24" s="1"/>
  <c r="Y92" i="24" s="1"/>
  <c r="D60" i="24"/>
  <c r="E60" i="24" s="1"/>
  <c r="F60" i="24" s="1"/>
  <c r="H346" i="24"/>
  <c r="H196" i="24"/>
  <c r="AI382" i="24"/>
  <c r="AA284" i="24"/>
  <c r="Z284" i="24" s="1"/>
  <c r="Y284" i="24" s="1"/>
  <c r="AA274" i="24"/>
  <c r="Z274" i="24" s="1"/>
  <c r="Y274" i="24" s="1"/>
  <c r="AI383" i="24"/>
  <c r="AH379" i="24"/>
  <c r="AH382" i="24" s="1"/>
  <c r="AH381" i="24"/>
  <c r="AA17" i="24"/>
  <c r="Z17" i="24" s="1"/>
  <c r="Y17" i="24" s="1"/>
  <c r="AI381" i="24"/>
  <c r="AF159" i="23"/>
  <c r="AG383" i="23"/>
  <c r="AG382" i="23"/>
  <c r="AG381" i="23"/>
  <c r="G324" i="24"/>
  <c r="CE324" i="6" s="1"/>
  <c r="AA202" i="24"/>
  <c r="Z202" i="24" s="1"/>
  <c r="Y202" i="24" s="1"/>
  <c r="G94" i="24"/>
  <c r="CE94" i="6" s="1"/>
  <c r="H94" i="24"/>
  <c r="H324" i="24"/>
  <c r="I324" i="24" s="1"/>
  <c r="G196" i="24"/>
  <c r="CE196" i="6" s="1"/>
  <c r="H364" i="24"/>
  <c r="I364" i="24" s="1"/>
  <c r="AA294" i="24"/>
  <c r="Z294" i="24" s="1"/>
  <c r="Y294" i="24" s="1"/>
  <c r="G194" i="24"/>
  <c r="CE194" i="6" s="1"/>
  <c r="G364" i="24"/>
  <c r="CE364" i="6" s="1"/>
  <c r="G162" i="24"/>
  <c r="CE162" i="6" s="1"/>
  <c r="G118" i="24"/>
  <c r="CE118" i="6" s="1"/>
  <c r="H162" i="24"/>
  <c r="I162" i="24" s="1"/>
  <c r="H194" i="24"/>
  <c r="I194" i="24" s="1"/>
  <c r="H294" i="24"/>
  <c r="J294" i="24" s="1"/>
  <c r="U142" i="25"/>
  <c r="T142" i="25" s="1"/>
  <c r="S142" i="25" s="1"/>
  <c r="R142" i="25" s="1"/>
  <c r="P142" i="25" s="1"/>
  <c r="V142" i="25" s="1"/>
  <c r="B142" i="25" s="1"/>
  <c r="D142" i="25" s="1"/>
  <c r="E142" i="25" s="1"/>
  <c r="F142" i="25" s="1"/>
  <c r="U374" i="25"/>
  <c r="T374" i="25" s="1"/>
  <c r="S374" i="25" s="1"/>
  <c r="R374" i="25" s="1"/>
  <c r="P374" i="25" s="1"/>
  <c r="V374" i="25" s="1"/>
  <c r="B374" i="25" s="1"/>
  <c r="D374" i="25" s="1"/>
  <c r="E374" i="25" s="1"/>
  <c r="F374" i="25" s="1"/>
  <c r="U358" i="25"/>
  <c r="T358" i="25" s="1"/>
  <c r="S358" i="25" s="1"/>
  <c r="R358" i="25" s="1"/>
  <c r="P358" i="25" s="1"/>
  <c r="V358" i="25" s="1"/>
  <c r="B358" i="25" s="1"/>
  <c r="W358" i="25" s="1"/>
  <c r="U339" i="25"/>
  <c r="T339" i="25" s="1"/>
  <c r="S339" i="25" s="1"/>
  <c r="R339" i="25" s="1"/>
  <c r="P339" i="25" s="1"/>
  <c r="V339" i="25" s="1"/>
  <c r="B339" i="25" s="1"/>
  <c r="W339" i="25" s="1"/>
  <c r="U307" i="25"/>
  <c r="T307" i="25" s="1"/>
  <c r="S307" i="25" s="1"/>
  <c r="R307" i="25" s="1"/>
  <c r="P307" i="25" s="1"/>
  <c r="V307" i="25" s="1"/>
  <c r="B307" i="25" s="1"/>
  <c r="W307" i="25" s="1"/>
  <c r="U275" i="25"/>
  <c r="T275" i="25" s="1"/>
  <c r="S275" i="25" s="1"/>
  <c r="R275" i="25" s="1"/>
  <c r="P275" i="25" s="1"/>
  <c r="V275" i="25" s="1"/>
  <c r="B275" i="25" s="1"/>
  <c r="D275" i="25" s="1"/>
  <c r="E275" i="25" s="1"/>
  <c r="F275" i="25" s="1"/>
  <c r="U217" i="25"/>
  <c r="T217" i="25" s="1"/>
  <c r="S217" i="25" s="1"/>
  <c r="R217" i="25" s="1"/>
  <c r="P217" i="25" s="1"/>
  <c r="V217" i="25" s="1"/>
  <c r="B217" i="25" s="1"/>
  <c r="W217" i="25" s="1"/>
  <c r="G124" i="24"/>
  <c r="CE124" i="6" s="1"/>
  <c r="AA226" i="24"/>
  <c r="Z226" i="24" s="1"/>
  <c r="Y226" i="24" s="1"/>
  <c r="G192" i="24"/>
  <c r="CE192" i="6" s="1"/>
  <c r="AA25" i="24"/>
  <c r="Z25" i="24" s="1"/>
  <c r="Y25" i="24" s="1"/>
  <c r="H226" i="24"/>
  <c r="J226" i="24" s="1"/>
  <c r="H17" i="24"/>
  <c r="I17" i="24" s="1"/>
  <c r="H92" i="24"/>
  <c r="J92" i="24" s="1"/>
  <c r="C69" i="19"/>
  <c r="AA54" i="24"/>
  <c r="Z54" i="24" s="1"/>
  <c r="Y54" i="24" s="1"/>
  <c r="AA379" i="23"/>
  <c r="Z379" i="23" s="1"/>
  <c r="Y379" i="23" s="1"/>
  <c r="AA156" i="24"/>
  <c r="Z156" i="24" s="1"/>
  <c r="Y156" i="24" s="1"/>
  <c r="AA80" i="24"/>
  <c r="Z80" i="24" s="1"/>
  <c r="Y80" i="24" s="1"/>
  <c r="G274" i="24"/>
  <c r="CE274" i="6" s="1"/>
  <c r="G188" i="24"/>
  <c r="CE188" i="6" s="1"/>
  <c r="G128" i="24"/>
  <c r="CE128" i="6" s="1"/>
  <c r="AA292" i="24"/>
  <c r="Z292" i="24" s="1"/>
  <c r="Y292" i="24" s="1"/>
  <c r="AA256" i="24"/>
  <c r="Z256" i="24" s="1"/>
  <c r="Y256" i="24" s="1"/>
  <c r="I258" i="23"/>
  <c r="H258" i="24" s="1"/>
  <c r="H80" i="24"/>
  <c r="I80" i="24" s="1"/>
  <c r="AA350" i="24"/>
  <c r="Z350" i="24" s="1"/>
  <c r="Y350" i="24" s="1"/>
  <c r="AA192" i="24"/>
  <c r="Z192" i="24" s="1"/>
  <c r="Y192" i="24" s="1"/>
  <c r="G260" i="24"/>
  <c r="CE260" i="6" s="1"/>
  <c r="AA242" i="24"/>
  <c r="Z242" i="24" s="1"/>
  <c r="Y242" i="24" s="1"/>
  <c r="G220" i="24"/>
  <c r="CE220" i="6" s="1"/>
  <c r="H122" i="24"/>
  <c r="J122" i="24" s="1"/>
  <c r="H104" i="24"/>
  <c r="J104" i="24" s="1"/>
  <c r="H23" i="24"/>
  <c r="I23" i="24" s="1"/>
  <c r="H344" i="24"/>
  <c r="I344" i="24" s="1"/>
  <c r="H328" i="24"/>
  <c r="I328" i="24" s="1"/>
  <c r="H212" i="24"/>
  <c r="I212" i="24" s="1"/>
  <c r="H262" i="24"/>
  <c r="I262" i="24" s="1"/>
  <c r="H260" i="24"/>
  <c r="J260" i="24" s="1"/>
  <c r="AA212" i="24"/>
  <c r="Z212" i="24" s="1"/>
  <c r="Y212" i="24" s="1"/>
  <c r="H198" i="24"/>
  <c r="J198" i="24" s="1"/>
  <c r="AA178" i="24"/>
  <c r="Z178" i="24" s="1"/>
  <c r="Y178" i="24" s="1"/>
  <c r="G69" i="19"/>
  <c r="G362" i="24"/>
  <c r="CE362" i="6" s="1"/>
  <c r="AA328" i="24"/>
  <c r="Z328" i="24" s="1"/>
  <c r="Y328" i="24" s="1"/>
  <c r="G262" i="24"/>
  <c r="CE262" i="6" s="1"/>
  <c r="H25" i="24"/>
  <c r="J25" i="24" s="1"/>
  <c r="G242" i="24"/>
  <c r="CE242" i="6" s="1"/>
  <c r="AA122" i="24"/>
  <c r="Z122" i="24" s="1"/>
  <c r="Y122" i="24" s="1"/>
  <c r="AA104" i="24"/>
  <c r="Z104" i="24" s="1"/>
  <c r="Y104" i="24" s="1"/>
  <c r="AA23" i="24"/>
  <c r="Z23" i="24" s="1"/>
  <c r="Y23" i="24" s="1"/>
  <c r="H220" i="24"/>
  <c r="I220" i="24" s="1"/>
  <c r="G340" i="24"/>
  <c r="CE340" i="6" s="1"/>
  <c r="AA326" i="24"/>
  <c r="Z326" i="24" s="1"/>
  <c r="Y326" i="24" s="1"/>
  <c r="AA188" i="24"/>
  <c r="Z188" i="24" s="1"/>
  <c r="Y188" i="24" s="1"/>
  <c r="AA170" i="24"/>
  <c r="Z170" i="24" s="1"/>
  <c r="Y170" i="24" s="1"/>
  <c r="I88" i="23"/>
  <c r="H292" i="24"/>
  <c r="J292" i="24" s="1"/>
  <c r="G284" i="24"/>
  <c r="CE284" i="6" s="1"/>
  <c r="G256" i="24"/>
  <c r="CE256" i="6" s="1"/>
  <c r="AA40" i="24"/>
  <c r="Z40" i="24" s="1"/>
  <c r="Y40" i="24" s="1"/>
  <c r="H156" i="24"/>
  <c r="J156" i="24" s="1"/>
  <c r="H54" i="24"/>
  <c r="I54" i="24" s="1"/>
  <c r="H128" i="24"/>
  <c r="J128" i="24" s="1"/>
  <c r="H284" i="24"/>
  <c r="I284" i="24" s="1"/>
  <c r="H170" i="24"/>
  <c r="J170" i="24" s="1"/>
  <c r="H340" i="24"/>
  <c r="J340" i="24" s="1"/>
  <c r="H326" i="24"/>
  <c r="I326" i="24" s="1"/>
  <c r="H274" i="24"/>
  <c r="I274" i="24" s="1"/>
  <c r="H40" i="24"/>
  <c r="J40" i="24" s="1"/>
  <c r="G304" i="24"/>
  <c r="CE304" i="6" s="1"/>
  <c r="H362" i="24"/>
  <c r="J362" i="24" s="1"/>
  <c r="H350" i="24"/>
  <c r="I350" i="24" s="1"/>
  <c r="AA344" i="24"/>
  <c r="Z344" i="24" s="1"/>
  <c r="Y344" i="24" s="1"/>
  <c r="G198" i="24"/>
  <c r="CE198" i="6" s="1"/>
  <c r="H178" i="24"/>
  <c r="J178" i="24" s="1"/>
  <c r="H304" i="24"/>
  <c r="I304" i="24" s="1"/>
  <c r="U30" i="25"/>
  <c r="T30" i="25" s="1"/>
  <c r="S30" i="25" s="1"/>
  <c r="R30" i="25" s="1"/>
  <c r="P30" i="25" s="1"/>
  <c r="V30" i="25" s="1"/>
  <c r="B30" i="25" s="1"/>
  <c r="D30" i="25" s="1"/>
  <c r="E30" i="25" s="1"/>
  <c r="F30" i="25" s="1"/>
  <c r="J39" i="19"/>
  <c r="G31" i="19"/>
  <c r="U378" i="25"/>
  <c r="T378" i="25" s="1"/>
  <c r="S378" i="25" s="1"/>
  <c r="R378" i="25" s="1"/>
  <c r="P378" i="25" s="1"/>
  <c r="V378" i="25" s="1"/>
  <c r="B378" i="25" s="1"/>
  <c r="D378" i="25" s="1"/>
  <c r="E378" i="25" s="1"/>
  <c r="F378" i="25" s="1"/>
  <c r="U370" i="25"/>
  <c r="T370" i="25" s="1"/>
  <c r="S370" i="25" s="1"/>
  <c r="R370" i="25" s="1"/>
  <c r="P370" i="25" s="1"/>
  <c r="V370" i="25" s="1"/>
  <c r="B370" i="25" s="1"/>
  <c r="W370" i="25" s="1"/>
  <c r="U362" i="25"/>
  <c r="T362" i="25" s="1"/>
  <c r="S362" i="25" s="1"/>
  <c r="R362" i="25" s="1"/>
  <c r="P362" i="25" s="1"/>
  <c r="V362" i="25" s="1"/>
  <c r="B362" i="25" s="1"/>
  <c r="D362" i="25" s="1"/>
  <c r="E362" i="25" s="1"/>
  <c r="F362" i="25" s="1"/>
  <c r="U354" i="25"/>
  <c r="T354" i="25" s="1"/>
  <c r="S354" i="25" s="1"/>
  <c r="R354" i="25" s="1"/>
  <c r="P354" i="25" s="1"/>
  <c r="V354" i="25" s="1"/>
  <c r="B354" i="25" s="1"/>
  <c r="U346" i="25"/>
  <c r="T346" i="25" s="1"/>
  <c r="S346" i="25" s="1"/>
  <c r="R346" i="25" s="1"/>
  <c r="P346" i="25" s="1"/>
  <c r="V346" i="25" s="1"/>
  <c r="B346" i="25" s="1"/>
  <c r="U331" i="25"/>
  <c r="T331" i="25" s="1"/>
  <c r="S331" i="25" s="1"/>
  <c r="R331" i="25" s="1"/>
  <c r="P331" i="25" s="1"/>
  <c r="V331" i="25" s="1"/>
  <c r="B331" i="25" s="1"/>
  <c r="D331" i="25" s="1"/>
  <c r="E331" i="25" s="1"/>
  <c r="F331" i="25" s="1"/>
  <c r="U315" i="25"/>
  <c r="T315" i="25" s="1"/>
  <c r="S315" i="25" s="1"/>
  <c r="R315" i="25" s="1"/>
  <c r="P315" i="25" s="1"/>
  <c r="V315" i="25" s="1"/>
  <c r="B315" i="25" s="1"/>
  <c r="D315" i="25" s="1"/>
  <c r="E315" i="25" s="1"/>
  <c r="F315" i="25" s="1"/>
  <c r="U299" i="25"/>
  <c r="T299" i="25" s="1"/>
  <c r="S299" i="25" s="1"/>
  <c r="R299" i="25" s="1"/>
  <c r="P299" i="25" s="1"/>
  <c r="V299" i="25" s="1"/>
  <c r="B299" i="25" s="1"/>
  <c r="W299" i="25" s="1"/>
  <c r="U283" i="25"/>
  <c r="T283" i="25" s="1"/>
  <c r="S283" i="25" s="1"/>
  <c r="R283" i="25" s="1"/>
  <c r="P283" i="25" s="1"/>
  <c r="V283" i="25" s="1"/>
  <c r="B283" i="25" s="1"/>
  <c r="U265" i="25"/>
  <c r="T265" i="25" s="1"/>
  <c r="S265" i="25" s="1"/>
  <c r="R265" i="25" s="1"/>
  <c r="P265" i="25" s="1"/>
  <c r="V265" i="25" s="1"/>
  <c r="B265" i="25" s="1"/>
  <c r="U233" i="25"/>
  <c r="T233" i="25" s="1"/>
  <c r="S233" i="25" s="1"/>
  <c r="R233" i="25" s="1"/>
  <c r="P233" i="25" s="1"/>
  <c r="V233" i="25" s="1"/>
  <c r="B233" i="25" s="1"/>
  <c r="D233" i="25" s="1"/>
  <c r="E233" i="25" s="1"/>
  <c r="F233" i="25" s="1"/>
  <c r="U201" i="25"/>
  <c r="T201" i="25" s="1"/>
  <c r="S201" i="25" s="1"/>
  <c r="R201" i="25" s="1"/>
  <c r="P201" i="25" s="1"/>
  <c r="V201" i="25" s="1"/>
  <c r="B201" i="25" s="1"/>
  <c r="W201" i="25" s="1"/>
  <c r="U169" i="25"/>
  <c r="T169" i="25" s="1"/>
  <c r="S169" i="25" s="1"/>
  <c r="R169" i="25" s="1"/>
  <c r="P169" i="25" s="1"/>
  <c r="V169" i="25" s="1"/>
  <c r="B169" i="25" s="1"/>
  <c r="W169" i="25" s="1"/>
  <c r="U110" i="25"/>
  <c r="T110" i="25" s="1"/>
  <c r="S110" i="25" s="1"/>
  <c r="R110" i="25" s="1"/>
  <c r="P110" i="25" s="1"/>
  <c r="V110" i="25" s="1"/>
  <c r="B110" i="25" s="1"/>
  <c r="W110" i="25" s="1"/>
  <c r="U46" i="25"/>
  <c r="T46" i="25" s="1"/>
  <c r="S46" i="25" s="1"/>
  <c r="R46" i="25" s="1"/>
  <c r="P46" i="25" s="1"/>
  <c r="V46" i="25" s="1"/>
  <c r="B46" i="25" s="1"/>
  <c r="U376" i="25"/>
  <c r="T376" i="25" s="1"/>
  <c r="U372" i="25"/>
  <c r="T372" i="25" s="1"/>
  <c r="S372" i="25" s="1"/>
  <c r="R372" i="25" s="1"/>
  <c r="P372" i="25" s="1"/>
  <c r="V372" i="25" s="1"/>
  <c r="B372" i="25" s="1"/>
  <c r="W372" i="25" s="1"/>
  <c r="U368" i="25"/>
  <c r="T368" i="25" s="1"/>
  <c r="S368" i="25" s="1"/>
  <c r="R368" i="25" s="1"/>
  <c r="P368" i="25" s="1"/>
  <c r="V368" i="25" s="1"/>
  <c r="B368" i="25" s="1"/>
  <c r="U364" i="25"/>
  <c r="T364" i="25" s="1"/>
  <c r="S364" i="25" s="1"/>
  <c r="R364" i="25" s="1"/>
  <c r="P364" i="25" s="1"/>
  <c r="V364" i="25" s="1"/>
  <c r="B364" i="25" s="1"/>
  <c r="W364" i="25" s="1"/>
  <c r="U360" i="25"/>
  <c r="T360" i="25" s="1"/>
  <c r="S360" i="25" s="1"/>
  <c r="R360" i="25" s="1"/>
  <c r="P360" i="25" s="1"/>
  <c r="V360" i="25" s="1"/>
  <c r="B360" i="25" s="1"/>
  <c r="W360" i="25" s="1"/>
  <c r="U356" i="25"/>
  <c r="T356" i="25" s="1"/>
  <c r="S356" i="25" s="1"/>
  <c r="R356" i="25" s="1"/>
  <c r="P356" i="25" s="1"/>
  <c r="V356" i="25" s="1"/>
  <c r="B356" i="25" s="1"/>
  <c r="D356" i="25" s="1"/>
  <c r="E356" i="25" s="1"/>
  <c r="F356" i="25" s="1"/>
  <c r="U352" i="25"/>
  <c r="T352" i="25" s="1"/>
  <c r="S352" i="25" s="1"/>
  <c r="R352" i="25" s="1"/>
  <c r="P352" i="25" s="1"/>
  <c r="V352" i="25" s="1"/>
  <c r="B352" i="25" s="1"/>
  <c r="W352" i="25" s="1"/>
  <c r="U348" i="25"/>
  <c r="T348" i="25" s="1"/>
  <c r="S348" i="25" s="1"/>
  <c r="R348" i="25" s="1"/>
  <c r="P348" i="25" s="1"/>
  <c r="V348" i="25" s="1"/>
  <c r="B348" i="25" s="1"/>
  <c r="W348" i="25" s="1"/>
  <c r="U343" i="25"/>
  <c r="T343" i="25" s="1"/>
  <c r="S343" i="25" s="1"/>
  <c r="R343" i="25" s="1"/>
  <c r="P343" i="25" s="1"/>
  <c r="V343" i="25" s="1"/>
  <c r="B343" i="25" s="1"/>
  <c r="W343" i="25" s="1"/>
  <c r="U335" i="25"/>
  <c r="T335" i="25" s="1"/>
  <c r="U327" i="25"/>
  <c r="T327" i="25" s="1"/>
  <c r="S327" i="25" s="1"/>
  <c r="R327" i="25" s="1"/>
  <c r="P327" i="25" s="1"/>
  <c r="V327" i="25" s="1"/>
  <c r="B327" i="25" s="1"/>
  <c r="D327" i="25" s="1"/>
  <c r="E327" i="25" s="1"/>
  <c r="F327" i="25" s="1"/>
  <c r="U319" i="25"/>
  <c r="T319" i="25" s="1"/>
  <c r="S319" i="25" s="1"/>
  <c r="R319" i="25" s="1"/>
  <c r="P319" i="25" s="1"/>
  <c r="V319" i="25" s="1"/>
  <c r="B319" i="25" s="1"/>
  <c r="U311" i="25"/>
  <c r="T311" i="25" s="1"/>
  <c r="S311" i="25" s="1"/>
  <c r="R311" i="25" s="1"/>
  <c r="P311" i="25" s="1"/>
  <c r="V311" i="25" s="1"/>
  <c r="B311" i="25" s="1"/>
  <c r="W311" i="25" s="1"/>
  <c r="U303" i="25"/>
  <c r="T303" i="25" s="1"/>
  <c r="S303" i="25" s="1"/>
  <c r="R303" i="25" s="1"/>
  <c r="P303" i="25" s="1"/>
  <c r="V303" i="25" s="1"/>
  <c r="B303" i="25" s="1"/>
  <c r="W303" i="25" s="1"/>
  <c r="U295" i="25"/>
  <c r="T295" i="25" s="1"/>
  <c r="S295" i="25" s="1"/>
  <c r="R295" i="25" s="1"/>
  <c r="P295" i="25" s="1"/>
  <c r="V295" i="25" s="1"/>
  <c r="B295" i="25" s="1"/>
  <c r="D295" i="25" s="1"/>
  <c r="E295" i="25" s="1"/>
  <c r="F295" i="25" s="1"/>
  <c r="U287" i="25"/>
  <c r="T287" i="25" s="1"/>
  <c r="U279" i="25"/>
  <c r="T279" i="25" s="1"/>
  <c r="S279" i="25" s="1"/>
  <c r="R279" i="25" s="1"/>
  <c r="P279" i="25" s="1"/>
  <c r="V279" i="25" s="1"/>
  <c r="B279" i="25" s="1"/>
  <c r="W279" i="25" s="1"/>
  <c r="U271" i="25"/>
  <c r="T271" i="25" s="1"/>
  <c r="S271" i="25" s="1"/>
  <c r="R271" i="25" s="1"/>
  <c r="P271" i="25" s="1"/>
  <c r="V271" i="25" s="1"/>
  <c r="B271" i="25" s="1"/>
  <c r="W271" i="25" s="1"/>
  <c r="U257" i="25"/>
  <c r="T257" i="25" s="1"/>
  <c r="S257" i="25" s="1"/>
  <c r="R257" i="25" s="1"/>
  <c r="P257" i="25" s="1"/>
  <c r="V257" i="25" s="1"/>
  <c r="B257" i="25" s="1"/>
  <c r="W257" i="25" s="1"/>
  <c r="U241" i="25"/>
  <c r="T241" i="25" s="1"/>
  <c r="S241" i="25" s="1"/>
  <c r="R241" i="25" s="1"/>
  <c r="P241" i="25" s="1"/>
  <c r="AH75" i="7" s="1"/>
  <c r="U225" i="25"/>
  <c r="T225" i="25" s="1"/>
  <c r="S225" i="25" s="1"/>
  <c r="R225" i="25" s="1"/>
  <c r="P225" i="25" s="1"/>
  <c r="V225" i="25" s="1"/>
  <c r="B225" i="25" s="1"/>
  <c r="W225" i="25" s="1"/>
  <c r="U209" i="25"/>
  <c r="T209" i="25" s="1"/>
  <c r="S209" i="25" s="1"/>
  <c r="R209" i="25" s="1"/>
  <c r="P209" i="25" s="1"/>
  <c r="V209" i="25" s="1"/>
  <c r="B209" i="25" s="1"/>
  <c r="D209" i="25" s="1"/>
  <c r="E209" i="25" s="1"/>
  <c r="F209" i="25" s="1"/>
  <c r="U193" i="25"/>
  <c r="T193" i="25" s="1"/>
  <c r="S193" i="25" s="1"/>
  <c r="R193" i="25" s="1"/>
  <c r="P193" i="25" s="1"/>
  <c r="V193" i="25" s="1"/>
  <c r="B193" i="25" s="1"/>
  <c r="D193" i="25" s="1"/>
  <c r="E193" i="25" s="1"/>
  <c r="F193" i="25" s="1"/>
  <c r="U177" i="25"/>
  <c r="T177" i="25" s="1"/>
  <c r="S177" i="25" s="1"/>
  <c r="R177" i="25" s="1"/>
  <c r="P177" i="25" s="1"/>
  <c r="V177" i="25" s="1"/>
  <c r="B177" i="25" s="1"/>
  <c r="U158" i="25"/>
  <c r="T158" i="25" s="1"/>
  <c r="S158" i="25" s="1"/>
  <c r="R158" i="25" s="1"/>
  <c r="P158" i="25" s="1"/>
  <c r="V158" i="25" s="1"/>
  <c r="B158" i="25" s="1"/>
  <c r="D158" i="25" s="1"/>
  <c r="E158" i="25" s="1"/>
  <c r="F158" i="25" s="1"/>
  <c r="U126" i="25"/>
  <c r="T126" i="25" s="1"/>
  <c r="S126" i="25" s="1"/>
  <c r="R126" i="25" s="1"/>
  <c r="P126" i="25" s="1"/>
  <c r="V126" i="25" s="1"/>
  <c r="B126" i="25" s="1"/>
  <c r="D126" i="25" s="1"/>
  <c r="E126" i="25" s="1"/>
  <c r="F126" i="25" s="1"/>
  <c r="U94" i="25"/>
  <c r="T94" i="25" s="1"/>
  <c r="S94" i="25" s="1"/>
  <c r="R94" i="25" s="1"/>
  <c r="P94" i="25" s="1"/>
  <c r="V94" i="25" s="1"/>
  <c r="B94" i="25" s="1"/>
  <c r="W94" i="25" s="1"/>
  <c r="U62" i="25"/>
  <c r="T62" i="25" s="1"/>
  <c r="S62" i="25" s="1"/>
  <c r="R62" i="25" s="1"/>
  <c r="P62" i="25" s="1"/>
  <c r="V62" i="25" s="1"/>
  <c r="B62" i="25" s="1"/>
  <c r="D62" i="25" s="1"/>
  <c r="E62" i="25" s="1"/>
  <c r="F62" i="25" s="1"/>
  <c r="AI16" i="25"/>
  <c r="AH16" i="25" s="1"/>
  <c r="AG16" i="25" s="1"/>
  <c r="AF16" i="25" s="1"/>
  <c r="AD16" i="25" s="1"/>
  <c r="AI79" i="25"/>
  <c r="AH79" i="25" s="1"/>
  <c r="AG79" i="25" s="1"/>
  <c r="AF79" i="25" s="1"/>
  <c r="AD79" i="25" s="1"/>
  <c r="U16" i="25"/>
  <c r="T16" i="25" s="1"/>
  <c r="U20" i="25"/>
  <c r="T20" i="25" s="1"/>
  <c r="S20" i="25" s="1"/>
  <c r="R20" i="25" s="1"/>
  <c r="P20" i="25" s="1"/>
  <c r="V20" i="25" s="1"/>
  <c r="B20" i="25" s="1"/>
  <c r="W20" i="25" s="1"/>
  <c r="U27" i="25"/>
  <c r="T27" i="25" s="1"/>
  <c r="S27" i="25" s="1"/>
  <c r="R27" i="25" s="1"/>
  <c r="P27" i="25" s="1"/>
  <c r="V27" i="25" s="1"/>
  <c r="B27" i="25" s="1"/>
  <c r="D27" i="25" s="1"/>
  <c r="E27" i="25" s="1"/>
  <c r="F27" i="25" s="1"/>
  <c r="U34" i="25"/>
  <c r="T34" i="25" s="1"/>
  <c r="S34" i="25" s="1"/>
  <c r="R34" i="25" s="1"/>
  <c r="P34" i="25" s="1"/>
  <c r="V34" i="25" s="1"/>
  <c r="B34" i="25" s="1"/>
  <c r="W34" i="25" s="1"/>
  <c r="U42" i="25"/>
  <c r="T42" i="25" s="1"/>
  <c r="S42" i="25" s="1"/>
  <c r="R42" i="25" s="1"/>
  <c r="P42" i="25" s="1"/>
  <c r="V42" i="25" s="1"/>
  <c r="B42" i="25" s="1"/>
  <c r="D42" i="25" s="1"/>
  <c r="E42" i="25" s="1"/>
  <c r="F42" i="25" s="1"/>
  <c r="U50" i="25"/>
  <c r="T50" i="25" s="1"/>
  <c r="S50" i="25" s="1"/>
  <c r="R50" i="25" s="1"/>
  <c r="P50" i="25" s="1"/>
  <c r="V50" i="25" s="1"/>
  <c r="B50" i="25" s="1"/>
  <c r="D50" i="25" s="1"/>
  <c r="E50" i="25" s="1"/>
  <c r="F50" i="25" s="1"/>
  <c r="U58" i="25"/>
  <c r="T58" i="25" s="1"/>
  <c r="S58" i="25" s="1"/>
  <c r="R58" i="25" s="1"/>
  <c r="P58" i="25" s="1"/>
  <c r="V58" i="25" s="1"/>
  <c r="B58" i="25" s="1"/>
  <c r="W58" i="25" s="1"/>
  <c r="U66" i="25"/>
  <c r="T66" i="25" s="1"/>
  <c r="U74" i="25"/>
  <c r="T74" i="25" s="1"/>
  <c r="S74" i="25" s="1"/>
  <c r="R74" i="25" s="1"/>
  <c r="P74" i="25" s="1"/>
  <c r="V74" i="25" s="1"/>
  <c r="B74" i="25" s="1"/>
  <c r="U82" i="25"/>
  <c r="T82" i="25" s="1"/>
  <c r="S82" i="25" s="1"/>
  <c r="R82" i="25" s="1"/>
  <c r="P82" i="25" s="1"/>
  <c r="V82" i="25" s="1"/>
  <c r="B82" i="25" s="1"/>
  <c r="W82" i="25" s="1"/>
  <c r="U90" i="25"/>
  <c r="T90" i="25" s="1"/>
  <c r="S90" i="25" s="1"/>
  <c r="R90" i="25" s="1"/>
  <c r="P90" i="25" s="1"/>
  <c r="V90" i="25" s="1"/>
  <c r="B90" i="25" s="1"/>
  <c r="D90" i="25" s="1"/>
  <c r="E90" i="25" s="1"/>
  <c r="F90" i="25" s="1"/>
  <c r="U98" i="25"/>
  <c r="T98" i="25" s="1"/>
  <c r="S98" i="25" s="1"/>
  <c r="R98" i="25" s="1"/>
  <c r="P98" i="25" s="1"/>
  <c r="V98" i="25" s="1"/>
  <c r="B98" i="25" s="1"/>
  <c r="W98" i="25" s="1"/>
  <c r="U106" i="25"/>
  <c r="T106" i="25" s="1"/>
  <c r="S106" i="25" s="1"/>
  <c r="R106" i="25" s="1"/>
  <c r="P106" i="25" s="1"/>
  <c r="V106" i="25" s="1"/>
  <c r="B106" i="25" s="1"/>
  <c r="W106" i="25" s="1"/>
  <c r="U114" i="25"/>
  <c r="T114" i="25" s="1"/>
  <c r="U122" i="25"/>
  <c r="T122" i="25" s="1"/>
  <c r="S122" i="25" s="1"/>
  <c r="R122" i="25" s="1"/>
  <c r="P122" i="25" s="1"/>
  <c r="V122" i="25" s="1"/>
  <c r="B122" i="25" s="1"/>
  <c r="W122" i="25" s="1"/>
  <c r="U130" i="25"/>
  <c r="T130" i="25" s="1"/>
  <c r="S130" i="25" s="1"/>
  <c r="R130" i="25" s="1"/>
  <c r="P130" i="25" s="1"/>
  <c r="V130" i="25" s="1"/>
  <c r="B130" i="25" s="1"/>
  <c r="U138" i="25"/>
  <c r="T138" i="25" s="1"/>
  <c r="S138" i="25" s="1"/>
  <c r="R138" i="25" s="1"/>
  <c r="P138" i="25" s="1"/>
  <c r="V138" i="25" s="1"/>
  <c r="B138" i="25" s="1"/>
  <c r="D138" i="25" s="1"/>
  <c r="E138" i="25" s="1"/>
  <c r="F138" i="25" s="1"/>
  <c r="U146" i="25"/>
  <c r="T146" i="25" s="1"/>
  <c r="S146" i="25" s="1"/>
  <c r="R146" i="25" s="1"/>
  <c r="P146" i="25" s="1"/>
  <c r="V146" i="25" s="1"/>
  <c r="B146" i="25" s="1"/>
  <c r="W146" i="25" s="1"/>
  <c r="U154" i="25"/>
  <c r="T154" i="25" s="1"/>
  <c r="U162" i="25"/>
  <c r="T162" i="25" s="1"/>
  <c r="S162" i="25" s="1"/>
  <c r="R162" i="25" s="1"/>
  <c r="P162" i="25" s="1"/>
  <c r="V162" i="25" s="1"/>
  <c r="B162" i="25" s="1"/>
  <c r="W162" i="25" s="1"/>
  <c r="U167" i="25"/>
  <c r="T167" i="25" s="1"/>
  <c r="S167" i="25" s="1"/>
  <c r="R167" i="25" s="1"/>
  <c r="P167" i="25" s="1"/>
  <c r="V167" i="25" s="1"/>
  <c r="B167" i="25" s="1"/>
  <c r="D167" i="25" s="1"/>
  <c r="E167" i="25" s="1"/>
  <c r="F167" i="25" s="1"/>
  <c r="U171" i="25"/>
  <c r="T171" i="25" s="1"/>
  <c r="S171" i="25" s="1"/>
  <c r="R171" i="25" s="1"/>
  <c r="P171" i="25" s="1"/>
  <c r="V171" i="25" s="1"/>
  <c r="B171" i="25" s="1"/>
  <c r="U175" i="25"/>
  <c r="T175" i="25" s="1"/>
  <c r="S175" i="25" s="1"/>
  <c r="R175" i="25" s="1"/>
  <c r="P175" i="25" s="1"/>
  <c r="V175" i="25" s="1"/>
  <c r="B175" i="25" s="1"/>
  <c r="U179" i="25"/>
  <c r="T179" i="25" s="1"/>
  <c r="S179" i="25" s="1"/>
  <c r="R179" i="25" s="1"/>
  <c r="P179" i="25" s="1"/>
  <c r="V179" i="25" s="1"/>
  <c r="B179" i="25" s="1"/>
  <c r="W179" i="25" s="1"/>
  <c r="U183" i="25"/>
  <c r="T183" i="25" s="1"/>
  <c r="S183" i="25" s="1"/>
  <c r="R183" i="25" s="1"/>
  <c r="P183" i="25" s="1"/>
  <c r="V183" i="25" s="1"/>
  <c r="B183" i="25" s="1"/>
  <c r="W183" i="25" s="1"/>
  <c r="U187" i="25"/>
  <c r="T187" i="25" s="1"/>
  <c r="S187" i="25" s="1"/>
  <c r="R187" i="25" s="1"/>
  <c r="P187" i="25" s="1"/>
  <c r="V187" i="25" s="1"/>
  <c r="B187" i="25" s="1"/>
  <c r="U191" i="25"/>
  <c r="T191" i="25" s="1"/>
  <c r="S191" i="25" s="1"/>
  <c r="R191" i="25" s="1"/>
  <c r="P191" i="25" s="1"/>
  <c r="V191" i="25" s="1"/>
  <c r="B191" i="25" s="1"/>
  <c r="W191" i="25" s="1"/>
  <c r="U195" i="25"/>
  <c r="T195" i="25" s="1"/>
  <c r="S195" i="25" s="1"/>
  <c r="R195" i="25" s="1"/>
  <c r="P195" i="25" s="1"/>
  <c r="V195" i="25" s="1"/>
  <c r="B195" i="25" s="1"/>
  <c r="W195" i="25" s="1"/>
  <c r="U199" i="25"/>
  <c r="T199" i="25" s="1"/>
  <c r="S199" i="25" s="1"/>
  <c r="R199" i="25" s="1"/>
  <c r="P199" i="25" s="1"/>
  <c r="V199" i="25" s="1"/>
  <c r="B199" i="25" s="1"/>
  <c r="D199" i="25" s="1"/>
  <c r="E199" i="25" s="1"/>
  <c r="F199" i="25" s="1"/>
  <c r="U203" i="25"/>
  <c r="T203" i="25" s="1"/>
  <c r="S203" i="25" s="1"/>
  <c r="R203" i="25" s="1"/>
  <c r="P203" i="25" s="1"/>
  <c r="V203" i="25" s="1"/>
  <c r="B203" i="25" s="1"/>
  <c r="D203" i="25" s="1"/>
  <c r="E203" i="25" s="1"/>
  <c r="F203" i="25" s="1"/>
  <c r="U207" i="25"/>
  <c r="T207" i="25" s="1"/>
  <c r="S207" i="25" s="1"/>
  <c r="R207" i="25" s="1"/>
  <c r="P207" i="25" s="1"/>
  <c r="V207" i="25" s="1"/>
  <c r="B207" i="25" s="1"/>
  <c r="W207" i="25" s="1"/>
  <c r="U211" i="25"/>
  <c r="T211" i="25" s="1"/>
  <c r="S211" i="25" s="1"/>
  <c r="R211" i="25" s="1"/>
  <c r="P211" i="25" s="1"/>
  <c r="V211" i="25" s="1"/>
  <c r="B211" i="25" s="1"/>
  <c r="W211" i="25" s="1"/>
  <c r="U215" i="25"/>
  <c r="T215" i="25" s="1"/>
  <c r="S215" i="25" s="1"/>
  <c r="R215" i="25" s="1"/>
  <c r="P215" i="25" s="1"/>
  <c r="V215" i="25" s="1"/>
  <c r="B215" i="25" s="1"/>
  <c r="D215" i="25" s="1"/>
  <c r="E215" i="25" s="1"/>
  <c r="F215" i="25" s="1"/>
  <c r="U219" i="25"/>
  <c r="T219" i="25" s="1"/>
  <c r="S219" i="25" s="1"/>
  <c r="R219" i="25" s="1"/>
  <c r="P219" i="25" s="1"/>
  <c r="V219" i="25" s="1"/>
  <c r="B219" i="25" s="1"/>
  <c r="D219" i="25" s="1"/>
  <c r="E219" i="25" s="1"/>
  <c r="F219" i="25" s="1"/>
  <c r="U223" i="25"/>
  <c r="T223" i="25" s="1"/>
  <c r="S223" i="25" s="1"/>
  <c r="R223" i="25" s="1"/>
  <c r="P223" i="25" s="1"/>
  <c r="V223" i="25" s="1"/>
  <c r="B223" i="25" s="1"/>
  <c r="W223" i="25" s="1"/>
  <c r="U227" i="25"/>
  <c r="T227" i="25" s="1"/>
  <c r="S227" i="25" s="1"/>
  <c r="R227" i="25" s="1"/>
  <c r="P227" i="25" s="1"/>
  <c r="V227" i="25" s="1"/>
  <c r="B227" i="25" s="1"/>
  <c r="U231" i="25"/>
  <c r="T231" i="25" s="1"/>
  <c r="S231" i="25" s="1"/>
  <c r="R231" i="25" s="1"/>
  <c r="P231" i="25" s="1"/>
  <c r="V231" i="25" s="1"/>
  <c r="B231" i="25" s="1"/>
  <c r="D231" i="25" s="1"/>
  <c r="E231" i="25" s="1"/>
  <c r="F231" i="25" s="1"/>
  <c r="U235" i="25"/>
  <c r="T235" i="25" s="1"/>
  <c r="S235" i="25" s="1"/>
  <c r="R235" i="25" s="1"/>
  <c r="P235" i="25" s="1"/>
  <c r="V235" i="25" s="1"/>
  <c r="B235" i="25" s="1"/>
  <c r="W235" i="25" s="1"/>
  <c r="U239" i="25"/>
  <c r="T239" i="25" s="1"/>
  <c r="S239" i="25" s="1"/>
  <c r="R239" i="25" s="1"/>
  <c r="P239" i="25" s="1"/>
  <c r="V239" i="25" s="1"/>
  <c r="B239" i="25" s="1"/>
  <c r="W239" i="25" s="1"/>
  <c r="U243" i="25"/>
  <c r="T243" i="25" s="1"/>
  <c r="S243" i="25" s="1"/>
  <c r="R243" i="25" s="1"/>
  <c r="P243" i="25" s="1"/>
  <c r="V243" i="25" s="1"/>
  <c r="B243" i="25" s="1"/>
  <c r="W243" i="25" s="1"/>
  <c r="U247" i="25"/>
  <c r="T247" i="25" s="1"/>
  <c r="S247" i="25" s="1"/>
  <c r="R247" i="25" s="1"/>
  <c r="P247" i="25" s="1"/>
  <c r="V247" i="25" s="1"/>
  <c r="B247" i="25" s="1"/>
  <c r="D247" i="25" s="1"/>
  <c r="E247" i="25" s="1"/>
  <c r="F247" i="25" s="1"/>
  <c r="U251" i="25"/>
  <c r="T251" i="25" s="1"/>
  <c r="S251" i="25" s="1"/>
  <c r="R251" i="25" s="1"/>
  <c r="P251" i="25" s="1"/>
  <c r="V251" i="25" s="1"/>
  <c r="B251" i="25" s="1"/>
  <c r="D251" i="25" s="1"/>
  <c r="E251" i="25" s="1"/>
  <c r="F251" i="25" s="1"/>
  <c r="U255" i="25"/>
  <c r="T255" i="25" s="1"/>
  <c r="S255" i="25" s="1"/>
  <c r="R255" i="25" s="1"/>
  <c r="P255" i="25" s="1"/>
  <c r="V255" i="25" s="1"/>
  <c r="B255" i="25" s="1"/>
  <c r="W255" i="25" s="1"/>
  <c r="U259" i="25"/>
  <c r="T259" i="25" s="1"/>
  <c r="S259" i="25" s="1"/>
  <c r="R259" i="25" s="1"/>
  <c r="P259" i="25" s="1"/>
  <c r="V259" i="25" s="1"/>
  <c r="B259" i="25" s="1"/>
  <c r="D259" i="25" s="1"/>
  <c r="E259" i="25" s="1"/>
  <c r="F259" i="25" s="1"/>
  <c r="U263" i="25"/>
  <c r="T263" i="25" s="1"/>
  <c r="S263" i="25" s="1"/>
  <c r="R263" i="25" s="1"/>
  <c r="P263" i="25" s="1"/>
  <c r="V263" i="25" s="1"/>
  <c r="B263" i="25" s="1"/>
  <c r="D263" i="25" s="1"/>
  <c r="E263" i="25" s="1"/>
  <c r="F263" i="25" s="1"/>
  <c r="U267" i="25"/>
  <c r="T267" i="25" s="1"/>
  <c r="S267" i="25" s="1"/>
  <c r="R267" i="25" s="1"/>
  <c r="P267" i="25" s="1"/>
  <c r="V267" i="25" s="1"/>
  <c r="B267" i="25" s="1"/>
  <c r="W267" i="25" s="1"/>
  <c r="U270" i="25"/>
  <c r="T270" i="25" s="1"/>
  <c r="S270" i="25" s="1"/>
  <c r="R270" i="25" s="1"/>
  <c r="P270" i="25" s="1"/>
  <c r="V270" i="25" s="1"/>
  <c r="B270" i="25" s="1"/>
  <c r="W270" i="25" s="1"/>
  <c r="U272" i="25"/>
  <c r="T272" i="25" s="1"/>
  <c r="S272" i="25" s="1"/>
  <c r="R272" i="25" s="1"/>
  <c r="P272" i="25" s="1"/>
  <c r="V272" i="25" s="1"/>
  <c r="B272" i="25" s="1"/>
  <c r="U274" i="25"/>
  <c r="T274" i="25" s="1"/>
  <c r="S274" i="25" s="1"/>
  <c r="R274" i="25" s="1"/>
  <c r="P274" i="25" s="1"/>
  <c r="V274" i="25" s="1"/>
  <c r="B274" i="25" s="1"/>
  <c r="W274" i="25" s="1"/>
  <c r="U276" i="25"/>
  <c r="T276" i="25" s="1"/>
  <c r="S276" i="25" s="1"/>
  <c r="R276" i="25" s="1"/>
  <c r="P276" i="25" s="1"/>
  <c r="V276" i="25" s="1"/>
  <c r="B276" i="25" s="1"/>
  <c r="W276" i="25" s="1"/>
  <c r="U278" i="25"/>
  <c r="T278" i="25" s="1"/>
  <c r="S278" i="25" s="1"/>
  <c r="R278" i="25" s="1"/>
  <c r="P278" i="25" s="1"/>
  <c r="V278" i="25" s="1"/>
  <c r="B278" i="25" s="1"/>
  <c r="U280" i="25"/>
  <c r="T280" i="25" s="1"/>
  <c r="S280" i="25" s="1"/>
  <c r="R280" i="25" s="1"/>
  <c r="P280" i="25" s="1"/>
  <c r="V280" i="25" s="1"/>
  <c r="B280" i="25" s="1"/>
  <c r="D280" i="25" s="1"/>
  <c r="E280" i="25" s="1"/>
  <c r="F280" i="25" s="1"/>
  <c r="U282" i="25"/>
  <c r="T282" i="25" s="1"/>
  <c r="S282" i="25" s="1"/>
  <c r="R282" i="25" s="1"/>
  <c r="P282" i="25" s="1"/>
  <c r="V282" i="25" s="1"/>
  <c r="B282" i="25" s="1"/>
  <c r="D282" i="25" s="1"/>
  <c r="E282" i="25" s="1"/>
  <c r="F282" i="25" s="1"/>
  <c r="U284" i="25"/>
  <c r="T284" i="25" s="1"/>
  <c r="U286" i="25"/>
  <c r="T286" i="25" s="1"/>
  <c r="S286" i="25" s="1"/>
  <c r="R286" i="25" s="1"/>
  <c r="P286" i="25" s="1"/>
  <c r="V286" i="25" s="1"/>
  <c r="B286" i="25" s="1"/>
  <c r="D286" i="25" s="1"/>
  <c r="E286" i="25" s="1"/>
  <c r="F286" i="25" s="1"/>
  <c r="U288" i="25"/>
  <c r="T288" i="25" s="1"/>
  <c r="S288" i="25" s="1"/>
  <c r="R288" i="25" s="1"/>
  <c r="P288" i="25" s="1"/>
  <c r="V288" i="25" s="1"/>
  <c r="B288" i="25" s="1"/>
  <c r="W288" i="25" s="1"/>
  <c r="U290" i="25"/>
  <c r="T290" i="25" s="1"/>
  <c r="S290" i="25" s="1"/>
  <c r="R290" i="25" s="1"/>
  <c r="P290" i="25" s="1"/>
  <c r="V290" i="25" s="1"/>
  <c r="B290" i="25" s="1"/>
  <c r="D290" i="25" s="1"/>
  <c r="E290" i="25" s="1"/>
  <c r="F290" i="25" s="1"/>
  <c r="U292" i="25"/>
  <c r="T292" i="25" s="1"/>
  <c r="S292" i="25" s="1"/>
  <c r="R292" i="25" s="1"/>
  <c r="P292" i="25" s="1"/>
  <c r="V292" i="25" s="1"/>
  <c r="B292" i="25" s="1"/>
  <c r="D292" i="25" s="1"/>
  <c r="E292" i="25" s="1"/>
  <c r="F292" i="25" s="1"/>
  <c r="U294" i="25"/>
  <c r="T294" i="25" s="1"/>
  <c r="S294" i="25" s="1"/>
  <c r="R294" i="25" s="1"/>
  <c r="P294" i="25" s="1"/>
  <c r="V294" i="25" s="1"/>
  <c r="B294" i="25" s="1"/>
  <c r="D294" i="25" s="1"/>
  <c r="E294" i="25" s="1"/>
  <c r="F294" i="25" s="1"/>
  <c r="U296" i="25"/>
  <c r="T296" i="25" s="1"/>
  <c r="S296" i="25" s="1"/>
  <c r="R296" i="25" s="1"/>
  <c r="P296" i="25" s="1"/>
  <c r="V296" i="25" s="1"/>
  <c r="B296" i="25" s="1"/>
  <c r="W296" i="25" s="1"/>
  <c r="U298" i="25"/>
  <c r="T298" i="25" s="1"/>
  <c r="S298" i="25" s="1"/>
  <c r="R298" i="25" s="1"/>
  <c r="P298" i="25" s="1"/>
  <c r="V298" i="25" s="1"/>
  <c r="B298" i="25" s="1"/>
  <c r="U300" i="25"/>
  <c r="T300" i="25" s="1"/>
  <c r="S300" i="25" s="1"/>
  <c r="R300" i="25" s="1"/>
  <c r="P300" i="25" s="1"/>
  <c r="V300" i="25" s="1"/>
  <c r="B300" i="25" s="1"/>
  <c r="D300" i="25" s="1"/>
  <c r="E300" i="25" s="1"/>
  <c r="F300" i="25" s="1"/>
  <c r="U302" i="25"/>
  <c r="T302" i="25" s="1"/>
  <c r="S302" i="25" s="1"/>
  <c r="R302" i="25" s="1"/>
  <c r="P302" i="25" s="1"/>
  <c r="AH77" i="7" s="1"/>
  <c r="U304" i="25"/>
  <c r="T304" i="25" s="1"/>
  <c r="S304" i="25" s="1"/>
  <c r="R304" i="25" s="1"/>
  <c r="P304" i="25" s="1"/>
  <c r="V304" i="25" s="1"/>
  <c r="B304" i="25" s="1"/>
  <c r="W304" i="25" s="1"/>
  <c r="U306" i="25"/>
  <c r="T306" i="25" s="1"/>
  <c r="S306" i="25" s="1"/>
  <c r="R306" i="25" s="1"/>
  <c r="P306" i="25" s="1"/>
  <c r="V306" i="25" s="1"/>
  <c r="B306" i="25" s="1"/>
  <c r="D306" i="25" s="1"/>
  <c r="E306" i="25" s="1"/>
  <c r="F306" i="25" s="1"/>
  <c r="U308" i="25"/>
  <c r="T308" i="25" s="1"/>
  <c r="S308" i="25" s="1"/>
  <c r="R308" i="25" s="1"/>
  <c r="P308" i="25" s="1"/>
  <c r="V308" i="25" s="1"/>
  <c r="B308" i="25" s="1"/>
  <c r="D308" i="25" s="1"/>
  <c r="E308" i="25" s="1"/>
  <c r="F308" i="25" s="1"/>
  <c r="U310" i="25"/>
  <c r="T310" i="25" s="1"/>
  <c r="S310" i="25" s="1"/>
  <c r="R310" i="25" s="1"/>
  <c r="P310" i="25" s="1"/>
  <c r="V310" i="25" s="1"/>
  <c r="B310" i="25" s="1"/>
  <c r="D310" i="25" s="1"/>
  <c r="E310" i="25" s="1"/>
  <c r="F310" i="25" s="1"/>
  <c r="U312" i="25"/>
  <c r="T312" i="25" s="1"/>
  <c r="S312" i="25" s="1"/>
  <c r="R312" i="25" s="1"/>
  <c r="P312" i="25" s="1"/>
  <c r="V312" i="25" s="1"/>
  <c r="B312" i="25" s="1"/>
  <c r="W312" i="25" s="1"/>
  <c r="U314" i="25"/>
  <c r="T314" i="25" s="1"/>
  <c r="S314" i="25" s="1"/>
  <c r="R314" i="25" s="1"/>
  <c r="P314" i="25" s="1"/>
  <c r="V314" i="25" s="1"/>
  <c r="B314" i="25" s="1"/>
  <c r="W314" i="25" s="1"/>
  <c r="U316" i="25"/>
  <c r="T316" i="25" s="1"/>
  <c r="S316" i="25" s="1"/>
  <c r="R316" i="25" s="1"/>
  <c r="P316" i="25" s="1"/>
  <c r="V316" i="25" s="1"/>
  <c r="B316" i="25" s="1"/>
  <c r="U318" i="25"/>
  <c r="T318" i="25" s="1"/>
  <c r="S318" i="25" s="1"/>
  <c r="R318" i="25" s="1"/>
  <c r="P318" i="25" s="1"/>
  <c r="V318" i="25" s="1"/>
  <c r="B318" i="25" s="1"/>
  <c r="W318" i="25" s="1"/>
  <c r="U320" i="25"/>
  <c r="T320" i="25" s="1"/>
  <c r="S320" i="25" s="1"/>
  <c r="R320" i="25" s="1"/>
  <c r="P320" i="25" s="1"/>
  <c r="V320" i="25" s="1"/>
  <c r="B320" i="25" s="1"/>
  <c r="W320" i="25" s="1"/>
  <c r="U322" i="25"/>
  <c r="T322" i="25" s="1"/>
  <c r="S322" i="25" s="1"/>
  <c r="R322" i="25" s="1"/>
  <c r="P322" i="25" s="1"/>
  <c r="V322" i="25" s="1"/>
  <c r="B322" i="25" s="1"/>
  <c r="W322" i="25" s="1"/>
  <c r="U324" i="25"/>
  <c r="T324" i="25" s="1"/>
  <c r="S324" i="25" s="1"/>
  <c r="R324" i="25" s="1"/>
  <c r="P324" i="25" s="1"/>
  <c r="V324" i="25" s="1"/>
  <c r="B324" i="25" s="1"/>
  <c r="W324" i="25" s="1"/>
  <c r="U326" i="25"/>
  <c r="T326" i="25" s="1"/>
  <c r="S326" i="25" s="1"/>
  <c r="R326" i="25" s="1"/>
  <c r="P326" i="25" s="1"/>
  <c r="V326" i="25" s="1"/>
  <c r="B326" i="25" s="1"/>
  <c r="D326" i="25" s="1"/>
  <c r="E326" i="25" s="1"/>
  <c r="F326" i="25" s="1"/>
  <c r="U328" i="25"/>
  <c r="T328" i="25" s="1"/>
  <c r="S328" i="25" s="1"/>
  <c r="R328" i="25" s="1"/>
  <c r="P328" i="25" s="1"/>
  <c r="V328" i="25" s="1"/>
  <c r="B328" i="25" s="1"/>
  <c r="D328" i="25" s="1"/>
  <c r="E328" i="25" s="1"/>
  <c r="F328" i="25" s="1"/>
  <c r="U330" i="25"/>
  <c r="T330" i="25" s="1"/>
  <c r="S330" i="25" s="1"/>
  <c r="R330" i="25" s="1"/>
  <c r="P330" i="25" s="1"/>
  <c r="V330" i="25" s="1"/>
  <c r="B330" i="25" s="1"/>
  <c r="W330" i="25" s="1"/>
  <c r="U332" i="25"/>
  <c r="T332" i="25" s="1"/>
  <c r="S332" i="25" s="1"/>
  <c r="R332" i="25" s="1"/>
  <c r="P332" i="25" s="1"/>
  <c r="V332" i="25" s="1"/>
  <c r="B332" i="25" s="1"/>
  <c r="D332" i="25" s="1"/>
  <c r="E332" i="25" s="1"/>
  <c r="F332" i="25" s="1"/>
  <c r="U334" i="25"/>
  <c r="T334" i="25" s="1"/>
  <c r="S334" i="25" s="1"/>
  <c r="R334" i="25" s="1"/>
  <c r="P334" i="25" s="1"/>
  <c r="V334" i="25" s="1"/>
  <c r="B334" i="25" s="1"/>
  <c r="D334" i="25" s="1"/>
  <c r="E334" i="25" s="1"/>
  <c r="F334" i="25" s="1"/>
  <c r="U336" i="25"/>
  <c r="T336" i="25" s="1"/>
  <c r="S336" i="25" s="1"/>
  <c r="R336" i="25" s="1"/>
  <c r="P336" i="25" s="1"/>
  <c r="V336" i="25" s="1"/>
  <c r="B336" i="25" s="1"/>
  <c r="W336" i="25" s="1"/>
  <c r="U338" i="25"/>
  <c r="T338" i="25" s="1"/>
  <c r="S338" i="25" s="1"/>
  <c r="R338" i="25" s="1"/>
  <c r="P338" i="25" s="1"/>
  <c r="V338" i="25" s="1"/>
  <c r="B338" i="25" s="1"/>
  <c r="D338" i="25" s="1"/>
  <c r="E338" i="25" s="1"/>
  <c r="F338" i="25" s="1"/>
  <c r="U340" i="25"/>
  <c r="T340" i="25" s="1"/>
  <c r="S340" i="25" s="1"/>
  <c r="R340" i="25" s="1"/>
  <c r="P340" i="25" s="1"/>
  <c r="V340" i="25" s="1"/>
  <c r="B340" i="25" s="1"/>
  <c r="D340" i="25" s="1"/>
  <c r="E340" i="25" s="1"/>
  <c r="F340" i="25" s="1"/>
  <c r="U342" i="25"/>
  <c r="T342" i="25" s="1"/>
  <c r="S342" i="25" s="1"/>
  <c r="R342" i="25" s="1"/>
  <c r="P342" i="25" s="1"/>
  <c r="V342" i="25" s="1"/>
  <c r="B342" i="25" s="1"/>
  <c r="D342" i="25" s="1"/>
  <c r="E342" i="25" s="1"/>
  <c r="F342" i="25" s="1"/>
  <c r="U344" i="25"/>
  <c r="T344" i="25" s="1"/>
  <c r="S344" i="25" s="1"/>
  <c r="R344" i="25" s="1"/>
  <c r="P344" i="25" s="1"/>
  <c r="V344" i="25" s="1"/>
  <c r="B344" i="25" s="1"/>
  <c r="D344" i="25" s="1"/>
  <c r="E344" i="25" s="1"/>
  <c r="F344" i="25" s="1"/>
  <c r="U379" i="25"/>
  <c r="T379" i="25" s="1"/>
  <c r="U377" i="25"/>
  <c r="T377" i="25" s="1"/>
  <c r="S377" i="25" s="1"/>
  <c r="R377" i="25" s="1"/>
  <c r="P377" i="25" s="1"/>
  <c r="V377" i="25" s="1"/>
  <c r="B377" i="25" s="1"/>
  <c r="W377" i="25" s="1"/>
  <c r="U375" i="25"/>
  <c r="T375" i="25" s="1"/>
  <c r="S375" i="25" s="1"/>
  <c r="R375" i="25" s="1"/>
  <c r="P375" i="25" s="1"/>
  <c r="V375" i="25" s="1"/>
  <c r="B375" i="25" s="1"/>
  <c r="D375" i="25" s="1"/>
  <c r="E375" i="25" s="1"/>
  <c r="F375" i="25" s="1"/>
  <c r="U373" i="25"/>
  <c r="T373" i="25" s="1"/>
  <c r="S373" i="25" s="1"/>
  <c r="R373" i="25" s="1"/>
  <c r="P373" i="25" s="1"/>
  <c r="V373" i="25" s="1"/>
  <c r="B373" i="25" s="1"/>
  <c r="W373" i="25" s="1"/>
  <c r="U371" i="25"/>
  <c r="T371" i="25" s="1"/>
  <c r="S371" i="25" s="1"/>
  <c r="R371" i="25" s="1"/>
  <c r="P371" i="25" s="1"/>
  <c r="V371" i="25" s="1"/>
  <c r="B371" i="25" s="1"/>
  <c r="W371" i="25" s="1"/>
  <c r="U369" i="25"/>
  <c r="T369" i="25" s="1"/>
  <c r="S369" i="25" s="1"/>
  <c r="R369" i="25" s="1"/>
  <c r="P369" i="25" s="1"/>
  <c r="V369" i="25" s="1"/>
  <c r="B369" i="25" s="1"/>
  <c r="U367" i="25"/>
  <c r="T367" i="25" s="1"/>
  <c r="S367" i="25" s="1"/>
  <c r="R367" i="25" s="1"/>
  <c r="P367" i="25" s="1"/>
  <c r="V367" i="25" s="1"/>
  <c r="B367" i="25" s="1"/>
  <c r="U365" i="25"/>
  <c r="T365" i="25" s="1"/>
  <c r="U363" i="25"/>
  <c r="T363" i="25" s="1"/>
  <c r="S363" i="25" s="1"/>
  <c r="R363" i="25" s="1"/>
  <c r="P363" i="25" s="1"/>
  <c r="U361" i="25"/>
  <c r="T361" i="25" s="1"/>
  <c r="S361" i="25" s="1"/>
  <c r="R361" i="25" s="1"/>
  <c r="P361" i="25" s="1"/>
  <c r="V361" i="25" s="1"/>
  <c r="B361" i="25" s="1"/>
  <c r="W361" i="25" s="1"/>
  <c r="U359" i="25"/>
  <c r="T359" i="25" s="1"/>
  <c r="S359" i="25" s="1"/>
  <c r="R359" i="25" s="1"/>
  <c r="P359" i="25" s="1"/>
  <c r="V359" i="25" s="1"/>
  <c r="B359" i="25" s="1"/>
  <c r="D359" i="25" s="1"/>
  <c r="E359" i="25" s="1"/>
  <c r="F359" i="25" s="1"/>
  <c r="U357" i="25"/>
  <c r="T357" i="25" s="1"/>
  <c r="S357" i="25" s="1"/>
  <c r="R357" i="25" s="1"/>
  <c r="P357" i="25" s="1"/>
  <c r="V357" i="25" s="1"/>
  <c r="B357" i="25" s="1"/>
  <c r="D357" i="25" s="1"/>
  <c r="E357" i="25" s="1"/>
  <c r="F357" i="25" s="1"/>
  <c r="U355" i="25"/>
  <c r="T355" i="25" s="1"/>
  <c r="S355" i="25" s="1"/>
  <c r="R355" i="25" s="1"/>
  <c r="P355" i="25" s="1"/>
  <c r="V355" i="25" s="1"/>
  <c r="B355" i="25" s="1"/>
  <c r="W355" i="25" s="1"/>
  <c r="U353" i="25"/>
  <c r="T353" i="25" s="1"/>
  <c r="S353" i="25" s="1"/>
  <c r="R353" i="25" s="1"/>
  <c r="P353" i="25" s="1"/>
  <c r="V353" i="25" s="1"/>
  <c r="B353" i="25" s="1"/>
  <c r="D353" i="25" s="1"/>
  <c r="E353" i="25" s="1"/>
  <c r="F353" i="25" s="1"/>
  <c r="U351" i="25"/>
  <c r="T351" i="25" s="1"/>
  <c r="S351" i="25" s="1"/>
  <c r="R351" i="25" s="1"/>
  <c r="P351" i="25" s="1"/>
  <c r="V351" i="25" s="1"/>
  <c r="B351" i="25" s="1"/>
  <c r="W351" i="25" s="1"/>
  <c r="U349" i="25"/>
  <c r="T349" i="25" s="1"/>
  <c r="S349" i="25" s="1"/>
  <c r="R349" i="25" s="1"/>
  <c r="P349" i="25" s="1"/>
  <c r="V349" i="25" s="1"/>
  <c r="B349" i="25" s="1"/>
  <c r="U347" i="25"/>
  <c r="T347" i="25" s="1"/>
  <c r="S347" i="25" s="1"/>
  <c r="R347" i="25" s="1"/>
  <c r="P347" i="25" s="1"/>
  <c r="V347" i="25" s="1"/>
  <c r="B347" i="25" s="1"/>
  <c r="U345" i="25"/>
  <c r="T345" i="25" s="1"/>
  <c r="S345" i="25" s="1"/>
  <c r="R345" i="25" s="1"/>
  <c r="P345" i="25" s="1"/>
  <c r="V345" i="25" s="1"/>
  <c r="B345" i="25" s="1"/>
  <c r="D345" i="25" s="1"/>
  <c r="E345" i="25" s="1"/>
  <c r="F345" i="25" s="1"/>
  <c r="U341" i="25"/>
  <c r="T341" i="25" s="1"/>
  <c r="S341" i="25" s="1"/>
  <c r="R341" i="25" s="1"/>
  <c r="P341" i="25" s="1"/>
  <c r="V341" i="25" s="1"/>
  <c r="B341" i="25" s="1"/>
  <c r="W341" i="25" s="1"/>
  <c r="U337" i="25"/>
  <c r="T337" i="25" s="1"/>
  <c r="S337" i="25" s="1"/>
  <c r="R337" i="25" s="1"/>
  <c r="P337" i="25" s="1"/>
  <c r="V337" i="25" s="1"/>
  <c r="B337" i="25" s="1"/>
  <c r="W337" i="25" s="1"/>
  <c r="U333" i="25"/>
  <c r="T333" i="25" s="1"/>
  <c r="S333" i="25" s="1"/>
  <c r="R333" i="25" s="1"/>
  <c r="P333" i="25" s="1"/>
  <c r="V333" i="25" s="1"/>
  <c r="B333" i="25" s="1"/>
  <c r="U329" i="25"/>
  <c r="T329" i="25" s="1"/>
  <c r="S329" i="25" s="1"/>
  <c r="R329" i="25" s="1"/>
  <c r="P329" i="25" s="1"/>
  <c r="V329" i="25" s="1"/>
  <c r="B329" i="25" s="1"/>
  <c r="W329" i="25" s="1"/>
  <c r="U325" i="25"/>
  <c r="T325" i="25" s="1"/>
  <c r="S325" i="25" s="1"/>
  <c r="R325" i="25" s="1"/>
  <c r="P325" i="25" s="1"/>
  <c r="V325" i="25" s="1"/>
  <c r="B325" i="25" s="1"/>
  <c r="W325" i="25" s="1"/>
  <c r="U321" i="25"/>
  <c r="T321" i="25" s="1"/>
  <c r="S321" i="25" s="1"/>
  <c r="R321" i="25" s="1"/>
  <c r="P321" i="25" s="1"/>
  <c r="V321" i="25" s="1"/>
  <c r="B321" i="25" s="1"/>
  <c r="W321" i="25" s="1"/>
  <c r="U317" i="25"/>
  <c r="T317" i="25" s="1"/>
  <c r="S317" i="25" s="1"/>
  <c r="R317" i="25" s="1"/>
  <c r="P317" i="25" s="1"/>
  <c r="V317" i="25" s="1"/>
  <c r="B317" i="25" s="1"/>
  <c r="W317" i="25" s="1"/>
  <c r="U313" i="25"/>
  <c r="T313" i="25" s="1"/>
  <c r="S313" i="25" s="1"/>
  <c r="R313" i="25" s="1"/>
  <c r="P313" i="25" s="1"/>
  <c r="V313" i="25" s="1"/>
  <c r="B313" i="25" s="1"/>
  <c r="W313" i="25" s="1"/>
  <c r="U309" i="25"/>
  <c r="T309" i="25" s="1"/>
  <c r="S309" i="25" s="1"/>
  <c r="R309" i="25" s="1"/>
  <c r="P309" i="25" s="1"/>
  <c r="V309" i="25" s="1"/>
  <c r="B309" i="25" s="1"/>
  <c r="D309" i="25" s="1"/>
  <c r="E309" i="25" s="1"/>
  <c r="F309" i="25" s="1"/>
  <c r="U305" i="25"/>
  <c r="T305" i="25" s="1"/>
  <c r="S305" i="25" s="1"/>
  <c r="R305" i="25" s="1"/>
  <c r="P305" i="25" s="1"/>
  <c r="V305" i="25" s="1"/>
  <c r="B305" i="25" s="1"/>
  <c r="D305" i="25" s="1"/>
  <c r="E305" i="25" s="1"/>
  <c r="F305" i="25" s="1"/>
  <c r="U301" i="25"/>
  <c r="T301" i="25" s="1"/>
  <c r="S301" i="25" s="1"/>
  <c r="R301" i="25" s="1"/>
  <c r="P301" i="25" s="1"/>
  <c r="V301" i="25" s="1"/>
  <c r="B301" i="25" s="1"/>
  <c r="W301" i="25" s="1"/>
  <c r="U297" i="25"/>
  <c r="T297" i="25" s="1"/>
  <c r="S297" i="25" s="1"/>
  <c r="R297" i="25" s="1"/>
  <c r="P297" i="25" s="1"/>
  <c r="V297" i="25" s="1"/>
  <c r="B297" i="25" s="1"/>
  <c r="W297" i="25" s="1"/>
  <c r="U293" i="25"/>
  <c r="T293" i="25" s="1"/>
  <c r="S293" i="25" s="1"/>
  <c r="R293" i="25" s="1"/>
  <c r="P293" i="25" s="1"/>
  <c r="V293" i="25" s="1"/>
  <c r="B293" i="25" s="1"/>
  <c r="D293" i="25" s="1"/>
  <c r="E293" i="25" s="1"/>
  <c r="F293" i="25" s="1"/>
  <c r="U289" i="25"/>
  <c r="T289" i="25" s="1"/>
  <c r="S289" i="25" s="1"/>
  <c r="R289" i="25" s="1"/>
  <c r="P289" i="25" s="1"/>
  <c r="V289" i="25" s="1"/>
  <c r="B289" i="25" s="1"/>
  <c r="W289" i="25" s="1"/>
  <c r="U285" i="25"/>
  <c r="T285" i="25" s="1"/>
  <c r="S285" i="25" s="1"/>
  <c r="R285" i="25" s="1"/>
  <c r="P285" i="25" s="1"/>
  <c r="V285" i="25" s="1"/>
  <c r="B285" i="25" s="1"/>
  <c r="W285" i="25" s="1"/>
  <c r="U281" i="25"/>
  <c r="T281" i="25" s="1"/>
  <c r="S281" i="25" s="1"/>
  <c r="R281" i="25" s="1"/>
  <c r="P281" i="25" s="1"/>
  <c r="V281" i="25" s="1"/>
  <c r="B281" i="25" s="1"/>
  <c r="D281" i="25" s="1"/>
  <c r="E281" i="25" s="1"/>
  <c r="F281" i="25" s="1"/>
  <c r="U277" i="25"/>
  <c r="T277" i="25" s="1"/>
  <c r="S277" i="25" s="1"/>
  <c r="R277" i="25" s="1"/>
  <c r="P277" i="25" s="1"/>
  <c r="V277" i="25" s="1"/>
  <c r="B277" i="25" s="1"/>
  <c r="W277" i="25" s="1"/>
  <c r="U273" i="25"/>
  <c r="T273" i="25" s="1"/>
  <c r="S273" i="25" s="1"/>
  <c r="R273" i="25" s="1"/>
  <c r="P273" i="25" s="1"/>
  <c r="V273" i="25" s="1"/>
  <c r="B273" i="25" s="1"/>
  <c r="W273" i="25" s="1"/>
  <c r="U269" i="25"/>
  <c r="T269" i="25" s="1"/>
  <c r="S269" i="25" s="1"/>
  <c r="R269" i="25" s="1"/>
  <c r="P269" i="25" s="1"/>
  <c r="V269" i="25" s="1"/>
  <c r="B269" i="25" s="1"/>
  <c r="W269" i="25" s="1"/>
  <c r="U261" i="25"/>
  <c r="T261" i="25" s="1"/>
  <c r="S261" i="25" s="1"/>
  <c r="R261" i="25" s="1"/>
  <c r="P261" i="25" s="1"/>
  <c r="V261" i="25" s="1"/>
  <c r="U253" i="25"/>
  <c r="T253" i="25" s="1"/>
  <c r="U245" i="25"/>
  <c r="T245" i="25" s="1"/>
  <c r="S245" i="25" s="1"/>
  <c r="R245" i="25" s="1"/>
  <c r="P245" i="25" s="1"/>
  <c r="V245" i="25" s="1"/>
  <c r="B245" i="25" s="1"/>
  <c r="D245" i="25" s="1"/>
  <c r="E245" i="25" s="1"/>
  <c r="F245" i="25" s="1"/>
  <c r="U237" i="25"/>
  <c r="T237" i="25" s="1"/>
  <c r="S237" i="25" s="1"/>
  <c r="R237" i="25" s="1"/>
  <c r="P237" i="25" s="1"/>
  <c r="V237" i="25" s="1"/>
  <c r="B237" i="25" s="1"/>
  <c r="W237" i="25" s="1"/>
  <c r="U229" i="25"/>
  <c r="T229" i="25" s="1"/>
  <c r="S229" i="25" s="1"/>
  <c r="R229" i="25" s="1"/>
  <c r="P229" i="25" s="1"/>
  <c r="V229" i="25" s="1"/>
  <c r="B229" i="25" s="1"/>
  <c r="D229" i="25" s="1"/>
  <c r="E229" i="25" s="1"/>
  <c r="F229" i="25" s="1"/>
  <c r="U221" i="25"/>
  <c r="T221" i="25" s="1"/>
  <c r="S221" i="25" s="1"/>
  <c r="R221" i="25" s="1"/>
  <c r="P221" i="25" s="1"/>
  <c r="V221" i="25" s="1"/>
  <c r="B221" i="25" s="1"/>
  <c r="D221" i="25" s="1"/>
  <c r="E221" i="25" s="1"/>
  <c r="F221" i="25" s="1"/>
  <c r="U213" i="25"/>
  <c r="T213" i="25" s="1"/>
  <c r="S213" i="25" s="1"/>
  <c r="R213" i="25" s="1"/>
  <c r="P213" i="25" s="1"/>
  <c r="V213" i="25" s="1"/>
  <c r="B213" i="25" s="1"/>
  <c r="D213" i="25" s="1"/>
  <c r="E213" i="25" s="1"/>
  <c r="F213" i="25" s="1"/>
  <c r="U205" i="25"/>
  <c r="T205" i="25" s="1"/>
  <c r="S205" i="25" s="1"/>
  <c r="R205" i="25" s="1"/>
  <c r="P205" i="25" s="1"/>
  <c r="V205" i="25" s="1"/>
  <c r="B205" i="25" s="1"/>
  <c r="W205" i="25" s="1"/>
  <c r="U197" i="25"/>
  <c r="T197" i="25" s="1"/>
  <c r="S197" i="25" s="1"/>
  <c r="R197" i="25" s="1"/>
  <c r="P197" i="25" s="1"/>
  <c r="V197" i="25" s="1"/>
  <c r="B197" i="25" s="1"/>
  <c r="D197" i="25" s="1"/>
  <c r="E197" i="25" s="1"/>
  <c r="F197" i="25" s="1"/>
  <c r="U189" i="25"/>
  <c r="T189" i="25" s="1"/>
  <c r="U181" i="25"/>
  <c r="T181" i="25" s="1"/>
  <c r="S181" i="25" s="1"/>
  <c r="R181" i="25" s="1"/>
  <c r="P181" i="25" s="1"/>
  <c r="V181" i="25" s="1"/>
  <c r="B181" i="25" s="1"/>
  <c r="D181" i="25" s="1"/>
  <c r="E181" i="25" s="1"/>
  <c r="F181" i="25" s="1"/>
  <c r="U173" i="25"/>
  <c r="T173" i="25" s="1"/>
  <c r="S173" i="25" s="1"/>
  <c r="R173" i="25" s="1"/>
  <c r="P173" i="25" s="1"/>
  <c r="V173" i="25" s="1"/>
  <c r="B173" i="25" s="1"/>
  <c r="W173" i="25" s="1"/>
  <c r="U165" i="25"/>
  <c r="T165" i="25" s="1"/>
  <c r="S165" i="25" s="1"/>
  <c r="R165" i="25" s="1"/>
  <c r="P165" i="25" s="1"/>
  <c r="V165" i="25" s="1"/>
  <c r="B165" i="25" s="1"/>
  <c r="W165" i="25" s="1"/>
  <c r="U150" i="25"/>
  <c r="T150" i="25" s="1"/>
  <c r="S150" i="25" s="1"/>
  <c r="R150" i="25" s="1"/>
  <c r="P150" i="25" s="1"/>
  <c r="V150" i="25" s="1"/>
  <c r="B150" i="25" s="1"/>
  <c r="U134" i="25"/>
  <c r="T134" i="25" s="1"/>
  <c r="S134" i="25" s="1"/>
  <c r="R134" i="25" s="1"/>
  <c r="P134" i="25" s="1"/>
  <c r="V134" i="25" s="1"/>
  <c r="B134" i="25" s="1"/>
  <c r="W134" i="25" s="1"/>
  <c r="U118" i="25"/>
  <c r="T118" i="25" s="1"/>
  <c r="S118" i="25" s="1"/>
  <c r="R118" i="25" s="1"/>
  <c r="P118" i="25" s="1"/>
  <c r="V118" i="25" s="1"/>
  <c r="B118" i="25" s="1"/>
  <c r="W118" i="25" s="1"/>
  <c r="U102" i="25"/>
  <c r="T102" i="25" s="1"/>
  <c r="S102" i="25" s="1"/>
  <c r="R102" i="25" s="1"/>
  <c r="P102" i="25" s="1"/>
  <c r="V102" i="25" s="1"/>
  <c r="B102" i="25" s="1"/>
  <c r="D102" i="25" s="1"/>
  <c r="E102" i="25" s="1"/>
  <c r="F102" i="25" s="1"/>
  <c r="U86" i="25"/>
  <c r="T86" i="25" s="1"/>
  <c r="S86" i="25" s="1"/>
  <c r="R86" i="25" s="1"/>
  <c r="P86" i="25" s="1"/>
  <c r="V86" i="25" s="1"/>
  <c r="B86" i="25" s="1"/>
  <c r="W86" i="25" s="1"/>
  <c r="U70" i="25"/>
  <c r="T70" i="25" s="1"/>
  <c r="S70" i="25" s="1"/>
  <c r="R70" i="25" s="1"/>
  <c r="P70" i="25" s="1"/>
  <c r="V70" i="25" s="1"/>
  <c r="B70" i="25" s="1"/>
  <c r="W70" i="25" s="1"/>
  <c r="U54" i="25"/>
  <c r="T54" i="25" s="1"/>
  <c r="S54" i="25" s="1"/>
  <c r="R54" i="25" s="1"/>
  <c r="P54" i="25" s="1"/>
  <c r="V54" i="25" s="1"/>
  <c r="B54" i="25" s="1"/>
  <c r="W54" i="25" s="1"/>
  <c r="U38" i="25"/>
  <c r="T38" i="25" s="1"/>
  <c r="S38" i="25" s="1"/>
  <c r="R38" i="25" s="1"/>
  <c r="P38" i="25" s="1"/>
  <c r="V38" i="25" s="1"/>
  <c r="B38" i="25" s="1"/>
  <c r="W38" i="25" s="1"/>
  <c r="U17" i="25"/>
  <c r="T17" i="25" s="1"/>
  <c r="S17" i="25" s="1"/>
  <c r="R17" i="25" s="1"/>
  <c r="P17" i="25" s="1"/>
  <c r="V17" i="25" s="1"/>
  <c r="B17" i="25" s="1"/>
  <c r="D379" i="24"/>
  <c r="E379" i="24" s="1"/>
  <c r="F379" i="24" s="1"/>
  <c r="H379" i="23"/>
  <c r="I379" i="23" s="1"/>
  <c r="AI47" i="25"/>
  <c r="AH47" i="25" s="1"/>
  <c r="AG47" i="25" s="1"/>
  <c r="AF47" i="25" s="1"/>
  <c r="AD47" i="25" s="1"/>
  <c r="AI95" i="25"/>
  <c r="AH95" i="25" s="1"/>
  <c r="AG95" i="25" s="1"/>
  <c r="AF95" i="25" s="1"/>
  <c r="AD95" i="25" s="1"/>
  <c r="AI63" i="25"/>
  <c r="AH63" i="25" s="1"/>
  <c r="AG63" i="25" s="1"/>
  <c r="AF63" i="25" s="1"/>
  <c r="AD63" i="25" s="1"/>
  <c r="AI31" i="25"/>
  <c r="AH31" i="25" s="1"/>
  <c r="AG31" i="25" s="1"/>
  <c r="AF31" i="25" s="1"/>
  <c r="AD31" i="25" s="1"/>
  <c r="AK9" i="20"/>
  <c r="AK11" i="20" s="1"/>
  <c r="AM9" i="20"/>
  <c r="D15" i="19"/>
  <c r="G39" i="19"/>
  <c r="C16" i="19"/>
  <c r="F40" i="19"/>
  <c r="U268" i="25"/>
  <c r="T268" i="25" s="1"/>
  <c r="S268" i="25" s="1"/>
  <c r="R268" i="25" s="1"/>
  <c r="P268" i="25" s="1"/>
  <c r="V268" i="25" s="1"/>
  <c r="B268" i="25" s="1"/>
  <c r="W268" i="25" s="1"/>
  <c r="U266" i="25"/>
  <c r="T266" i="25" s="1"/>
  <c r="S266" i="25" s="1"/>
  <c r="R266" i="25" s="1"/>
  <c r="P266" i="25" s="1"/>
  <c r="V266" i="25" s="1"/>
  <c r="B266" i="25" s="1"/>
  <c r="W266" i="25" s="1"/>
  <c r="U264" i="25"/>
  <c r="T264" i="25" s="1"/>
  <c r="S264" i="25" s="1"/>
  <c r="R264" i="25" s="1"/>
  <c r="P264" i="25" s="1"/>
  <c r="V264" i="25" s="1"/>
  <c r="B264" i="25" s="1"/>
  <c r="D264" i="25" s="1"/>
  <c r="E264" i="25" s="1"/>
  <c r="F264" i="25" s="1"/>
  <c r="U262" i="25"/>
  <c r="T262" i="25" s="1"/>
  <c r="S262" i="25" s="1"/>
  <c r="R262" i="25" s="1"/>
  <c r="P262" i="25" s="1"/>
  <c r="V262" i="25" s="1"/>
  <c r="B262" i="25" s="1"/>
  <c r="D262" i="25" s="1"/>
  <c r="E262" i="25" s="1"/>
  <c r="F262" i="25" s="1"/>
  <c r="U260" i="25"/>
  <c r="T260" i="25" s="1"/>
  <c r="S260" i="25" s="1"/>
  <c r="R260" i="25" s="1"/>
  <c r="P260" i="25" s="1"/>
  <c r="V260" i="25" s="1"/>
  <c r="B260" i="25" s="1"/>
  <c r="W260" i="25" s="1"/>
  <c r="U258" i="25"/>
  <c r="T258" i="25" s="1"/>
  <c r="S258" i="25" s="1"/>
  <c r="R258" i="25" s="1"/>
  <c r="P258" i="25" s="1"/>
  <c r="V258" i="25" s="1"/>
  <c r="B258" i="25" s="1"/>
  <c r="D258" i="25" s="1"/>
  <c r="E258" i="25" s="1"/>
  <c r="F258" i="25" s="1"/>
  <c r="U256" i="25"/>
  <c r="T256" i="25" s="1"/>
  <c r="S256" i="25" s="1"/>
  <c r="R256" i="25" s="1"/>
  <c r="P256" i="25" s="1"/>
  <c r="V256" i="25" s="1"/>
  <c r="B256" i="25" s="1"/>
  <c r="W256" i="25" s="1"/>
  <c r="U254" i="25"/>
  <c r="T254" i="25" s="1"/>
  <c r="S254" i="25" s="1"/>
  <c r="R254" i="25" s="1"/>
  <c r="P254" i="25" s="1"/>
  <c r="V254" i="25" s="1"/>
  <c r="B254" i="25" s="1"/>
  <c r="D254" i="25" s="1"/>
  <c r="E254" i="25" s="1"/>
  <c r="F254" i="25" s="1"/>
  <c r="U252" i="25"/>
  <c r="T252" i="25" s="1"/>
  <c r="S252" i="25" s="1"/>
  <c r="R252" i="25" s="1"/>
  <c r="P252" i="25" s="1"/>
  <c r="V252" i="25" s="1"/>
  <c r="B252" i="25" s="1"/>
  <c r="W252" i="25" s="1"/>
  <c r="U250" i="25"/>
  <c r="T250" i="25" s="1"/>
  <c r="S250" i="25" s="1"/>
  <c r="R250" i="25" s="1"/>
  <c r="P250" i="25" s="1"/>
  <c r="V250" i="25" s="1"/>
  <c r="B250" i="25" s="1"/>
  <c r="D250" i="25" s="1"/>
  <c r="E250" i="25" s="1"/>
  <c r="F250" i="25" s="1"/>
  <c r="U248" i="25"/>
  <c r="T248" i="25" s="1"/>
  <c r="S248" i="25" s="1"/>
  <c r="R248" i="25" s="1"/>
  <c r="P248" i="25" s="1"/>
  <c r="V248" i="25" s="1"/>
  <c r="U246" i="25"/>
  <c r="T246" i="25" s="1"/>
  <c r="S246" i="25" s="1"/>
  <c r="R246" i="25" s="1"/>
  <c r="P246" i="25" s="1"/>
  <c r="V246" i="25" s="1"/>
  <c r="B246" i="25" s="1"/>
  <c r="D246" i="25" s="1"/>
  <c r="E246" i="25" s="1"/>
  <c r="F246" i="25" s="1"/>
  <c r="U244" i="25"/>
  <c r="T244" i="25" s="1"/>
  <c r="S244" i="25" s="1"/>
  <c r="R244" i="25" s="1"/>
  <c r="P244" i="25" s="1"/>
  <c r="V244" i="25" s="1"/>
  <c r="B244" i="25" s="1"/>
  <c r="U242" i="25"/>
  <c r="T242" i="25" s="1"/>
  <c r="S242" i="25" s="1"/>
  <c r="R242" i="25" s="1"/>
  <c r="P242" i="25" s="1"/>
  <c r="V242" i="25" s="1"/>
  <c r="B242" i="25" s="1"/>
  <c r="D242" i="25" s="1"/>
  <c r="E242" i="25" s="1"/>
  <c r="F242" i="25" s="1"/>
  <c r="U240" i="25"/>
  <c r="T240" i="25" s="1"/>
  <c r="S240" i="25" s="1"/>
  <c r="R240" i="25" s="1"/>
  <c r="P240" i="25" s="1"/>
  <c r="V240" i="25" s="1"/>
  <c r="B240" i="25" s="1"/>
  <c r="D240" i="25" s="1"/>
  <c r="E240" i="25" s="1"/>
  <c r="F240" i="25" s="1"/>
  <c r="U238" i="25"/>
  <c r="T238" i="25" s="1"/>
  <c r="S238" i="25" s="1"/>
  <c r="R238" i="25" s="1"/>
  <c r="P238" i="25" s="1"/>
  <c r="V238" i="25" s="1"/>
  <c r="B238" i="25" s="1"/>
  <c r="D238" i="25" s="1"/>
  <c r="E238" i="25" s="1"/>
  <c r="F238" i="25" s="1"/>
  <c r="U236" i="25"/>
  <c r="T236" i="25" s="1"/>
  <c r="S236" i="25" s="1"/>
  <c r="R236" i="25" s="1"/>
  <c r="P236" i="25" s="1"/>
  <c r="V236" i="25" s="1"/>
  <c r="B236" i="25" s="1"/>
  <c r="W236" i="25" s="1"/>
  <c r="U234" i="25"/>
  <c r="T234" i="25" s="1"/>
  <c r="S234" i="25" s="1"/>
  <c r="R234" i="25" s="1"/>
  <c r="P234" i="25" s="1"/>
  <c r="V234" i="25" s="1"/>
  <c r="B234" i="25" s="1"/>
  <c r="W234" i="25" s="1"/>
  <c r="U232" i="25"/>
  <c r="T232" i="25" s="1"/>
  <c r="S232" i="25" s="1"/>
  <c r="R232" i="25" s="1"/>
  <c r="P232" i="25" s="1"/>
  <c r="V232" i="25" s="1"/>
  <c r="B232" i="25" s="1"/>
  <c r="D232" i="25" s="1"/>
  <c r="E232" i="25" s="1"/>
  <c r="F232" i="25" s="1"/>
  <c r="U230" i="25"/>
  <c r="T230" i="25" s="1"/>
  <c r="S230" i="25" s="1"/>
  <c r="R230" i="25" s="1"/>
  <c r="P230" i="25" s="1"/>
  <c r="V230" i="25" s="1"/>
  <c r="B230" i="25" s="1"/>
  <c r="D230" i="25" s="1"/>
  <c r="E230" i="25" s="1"/>
  <c r="F230" i="25" s="1"/>
  <c r="U228" i="25"/>
  <c r="T228" i="25" s="1"/>
  <c r="S228" i="25" s="1"/>
  <c r="R228" i="25" s="1"/>
  <c r="P228" i="25" s="1"/>
  <c r="V228" i="25" s="1"/>
  <c r="B228" i="25" s="1"/>
  <c r="D228" i="25" s="1"/>
  <c r="E228" i="25" s="1"/>
  <c r="F228" i="25" s="1"/>
  <c r="U226" i="25"/>
  <c r="T226" i="25" s="1"/>
  <c r="S226" i="25" s="1"/>
  <c r="R226" i="25" s="1"/>
  <c r="P226" i="25" s="1"/>
  <c r="V226" i="25" s="1"/>
  <c r="B226" i="25" s="1"/>
  <c r="U224" i="25"/>
  <c r="T224" i="25" s="1"/>
  <c r="S224" i="25" s="1"/>
  <c r="R224" i="25" s="1"/>
  <c r="P224" i="25" s="1"/>
  <c r="V224" i="25" s="1"/>
  <c r="B224" i="25" s="1"/>
  <c r="W224" i="25" s="1"/>
  <c r="U222" i="25"/>
  <c r="T222" i="25" s="1"/>
  <c r="S222" i="25" s="1"/>
  <c r="R222" i="25" s="1"/>
  <c r="P222" i="25" s="1"/>
  <c r="V222" i="25" s="1"/>
  <c r="B222" i="25" s="1"/>
  <c r="W222" i="25" s="1"/>
  <c r="U220" i="25"/>
  <c r="T220" i="25" s="1"/>
  <c r="S220" i="25" s="1"/>
  <c r="R220" i="25" s="1"/>
  <c r="P220" i="25" s="1"/>
  <c r="V220" i="25" s="1"/>
  <c r="B220" i="25" s="1"/>
  <c r="D220" i="25" s="1"/>
  <c r="E220" i="25" s="1"/>
  <c r="F220" i="25" s="1"/>
  <c r="U218" i="25"/>
  <c r="T218" i="25" s="1"/>
  <c r="S218" i="25" s="1"/>
  <c r="R218" i="25" s="1"/>
  <c r="P218" i="25" s="1"/>
  <c r="V218" i="25" s="1"/>
  <c r="B218" i="25" s="1"/>
  <c r="W218" i="25" s="1"/>
  <c r="U216" i="25"/>
  <c r="T216" i="25" s="1"/>
  <c r="U214" i="25"/>
  <c r="T214" i="25" s="1"/>
  <c r="S214" i="25" s="1"/>
  <c r="R214" i="25" s="1"/>
  <c r="P214" i="25" s="1"/>
  <c r="V214" i="25" s="1"/>
  <c r="B214" i="25" s="1"/>
  <c r="D214" i="25" s="1"/>
  <c r="E214" i="25" s="1"/>
  <c r="F214" i="25" s="1"/>
  <c r="U212" i="25"/>
  <c r="T212" i="25" s="1"/>
  <c r="S212" i="25" s="1"/>
  <c r="R212" i="25" s="1"/>
  <c r="P212" i="25" s="1"/>
  <c r="V212" i="25" s="1"/>
  <c r="B212" i="25" s="1"/>
  <c r="D212" i="25" s="1"/>
  <c r="E212" i="25" s="1"/>
  <c r="F212" i="25" s="1"/>
  <c r="U210" i="25"/>
  <c r="T210" i="25" s="1"/>
  <c r="S210" i="25" s="1"/>
  <c r="R210" i="25" s="1"/>
  <c r="P210" i="25" s="1"/>
  <c r="AH74" i="7" s="1"/>
  <c r="U208" i="25"/>
  <c r="T208" i="25" s="1"/>
  <c r="S208" i="25" s="1"/>
  <c r="R208" i="25" s="1"/>
  <c r="P208" i="25" s="1"/>
  <c r="V208" i="25" s="1"/>
  <c r="B208" i="25" s="1"/>
  <c r="U206" i="25"/>
  <c r="T206" i="25" s="1"/>
  <c r="S206" i="25" s="1"/>
  <c r="R206" i="25" s="1"/>
  <c r="P206" i="25" s="1"/>
  <c r="V206" i="25" s="1"/>
  <c r="B206" i="25" s="1"/>
  <c r="D206" i="25" s="1"/>
  <c r="E206" i="25" s="1"/>
  <c r="F206" i="25" s="1"/>
  <c r="U204" i="25"/>
  <c r="T204" i="25" s="1"/>
  <c r="S204" i="25" s="1"/>
  <c r="R204" i="25" s="1"/>
  <c r="P204" i="25" s="1"/>
  <c r="V204" i="25" s="1"/>
  <c r="B204" i="25" s="1"/>
  <c r="D204" i="25" s="1"/>
  <c r="E204" i="25" s="1"/>
  <c r="F204" i="25" s="1"/>
  <c r="U202" i="25"/>
  <c r="T202" i="25" s="1"/>
  <c r="S202" i="25" s="1"/>
  <c r="R202" i="25" s="1"/>
  <c r="P202" i="25" s="1"/>
  <c r="V202" i="25" s="1"/>
  <c r="B202" i="25" s="1"/>
  <c r="D202" i="25" s="1"/>
  <c r="E202" i="25" s="1"/>
  <c r="F202" i="25" s="1"/>
  <c r="U200" i="25"/>
  <c r="T200" i="25" s="1"/>
  <c r="S200" i="25" s="1"/>
  <c r="R200" i="25" s="1"/>
  <c r="P200" i="25" s="1"/>
  <c r="V200" i="25" s="1"/>
  <c r="B200" i="25" s="1"/>
  <c r="W200" i="25" s="1"/>
  <c r="U198" i="25"/>
  <c r="T198" i="25" s="1"/>
  <c r="S198" i="25" s="1"/>
  <c r="R198" i="25" s="1"/>
  <c r="P198" i="25" s="1"/>
  <c r="V198" i="25" s="1"/>
  <c r="B198" i="25" s="1"/>
  <c r="W198" i="25" s="1"/>
  <c r="U196" i="25"/>
  <c r="T196" i="25" s="1"/>
  <c r="S196" i="25" s="1"/>
  <c r="R196" i="25" s="1"/>
  <c r="P196" i="25" s="1"/>
  <c r="V196" i="25" s="1"/>
  <c r="B196" i="25" s="1"/>
  <c r="U194" i="25"/>
  <c r="T194" i="25" s="1"/>
  <c r="S194" i="25" s="1"/>
  <c r="R194" i="25" s="1"/>
  <c r="P194" i="25" s="1"/>
  <c r="V194" i="25" s="1"/>
  <c r="B194" i="25" s="1"/>
  <c r="U192" i="25"/>
  <c r="T192" i="25" s="1"/>
  <c r="S192" i="25" s="1"/>
  <c r="R192" i="25" s="1"/>
  <c r="P192" i="25" s="1"/>
  <c r="V192" i="25" s="1"/>
  <c r="B192" i="25" s="1"/>
  <c r="W192" i="25" s="1"/>
  <c r="U190" i="25"/>
  <c r="T190" i="25" s="1"/>
  <c r="S190" i="25" s="1"/>
  <c r="R190" i="25" s="1"/>
  <c r="P190" i="25" s="1"/>
  <c r="V190" i="25" s="1"/>
  <c r="B190" i="25" s="1"/>
  <c r="W190" i="25" s="1"/>
  <c r="U188" i="25"/>
  <c r="T188" i="25" s="1"/>
  <c r="S188" i="25" s="1"/>
  <c r="R188" i="25" s="1"/>
  <c r="P188" i="25" s="1"/>
  <c r="V188" i="25" s="1"/>
  <c r="B188" i="25" s="1"/>
  <c r="W188" i="25" s="1"/>
  <c r="U186" i="25"/>
  <c r="T186" i="25" s="1"/>
  <c r="S186" i="25" s="1"/>
  <c r="R186" i="25" s="1"/>
  <c r="P186" i="25" s="1"/>
  <c r="V186" i="25" s="1"/>
  <c r="B186" i="25" s="1"/>
  <c r="D186" i="25" s="1"/>
  <c r="E186" i="25" s="1"/>
  <c r="F186" i="25" s="1"/>
  <c r="U184" i="25"/>
  <c r="T184" i="25" s="1"/>
  <c r="S184" i="25" s="1"/>
  <c r="R184" i="25" s="1"/>
  <c r="P184" i="25" s="1"/>
  <c r="V184" i="25" s="1"/>
  <c r="B184" i="25" s="1"/>
  <c r="D184" i="25" s="1"/>
  <c r="E184" i="25" s="1"/>
  <c r="F184" i="25" s="1"/>
  <c r="U182" i="25"/>
  <c r="T182" i="25" s="1"/>
  <c r="S182" i="25" s="1"/>
  <c r="R182" i="25" s="1"/>
  <c r="P182" i="25" s="1"/>
  <c r="V182" i="25" s="1"/>
  <c r="B182" i="25" s="1"/>
  <c r="D182" i="25" s="1"/>
  <c r="E182" i="25" s="1"/>
  <c r="F182" i="25" s="1"/>
  <c r="U180" i="25"/>
  <c r="T180" i="25" s="1"/>
  <c r="S180" i="25" s="1"/>
  <c r="R180" i="25" s="1"/>
  <c r="P180" i="25" s="1"/>
  <c r="V180" i="25" s="1"/>
  <c r="B180" i="25" s="1"/>
  <c r="U178" i="25"/>
  <c r="T178" i="25" s="1"/>
  <c r="S178" i="25" s="1"/>
  <c r="R178" i="25" s="1"/>
  <c r="P178" i="25" s="1"/>
  <c r="V178" i="25" s="1"/>
  <c r="B178" i="25" s="1"/>
  <c r="D178" i="25" s="1"/>
  <c r="E178" i="25" s="1"/>
  <c r="F178" i="25" s="1"/>
  <c r="U176" i="25"/>
  <c r="T176" i="25" s="1"/>
  <c r="S176" i="25" s="1"/>
  <c r="R176" i="25" s="1"/>
  <c r="P176" i="25" s="1"/>
  <c r="V176" i="25" s="1"/>
  <c r="B176" i="25" s="1"/>
  <c r="D176" i="25" s="1"/>
  <c r="E176" i="25" s="1"/>
  <c r="F176" i="25" s="1"/>
  <c r="U174" i="25"/>
  <c r="T174" i="25" s="1"/>
  <c r="S174" i="25" s="1"/>
  <c r="R174" i="25" s="1"/>
  <c r="P174" i="25" s="1"/>
  <c r="V174" i="25" s="1"/>
  <c r="B174" i="25" s="1"/>
  <c r="D174" i="25" s="1"/>
  <c r="E174" i="25" s="1"/>
  <c r="F174" i="25" s="1"/>
  <c r="U172" i="25"/>
  <c r="T172" i="25" s="1"/>
  <c r="S172" i="25" s="1"/>
  <c r="R172" i="25" s="1"/>
  <c r="P172" i="25" s="1"/>
  <c r="V172" i="25" s="1"/>
  <c r="B172" i="25" s="1"/>
  <c r="D172" i="25" s="1"/>
  <c r="E172" i="25" s="1"/>
  <c r="F172" i="25" s="1"/>
  <c r="U170" i="25"/>
  <c r="T170" i="25" s="1"/>
  <c r="S170" i="25" s="1"/>
  <c r="R170" i="25" s="1"/>
  <c r="P170" i="25" s="1"/>
  <c r="V170" i="25" s="1"/>
  <c r="B170" i="25" s="1"/>
  <c r="D170" i="25" s="1"/>
  <c r="E170" i="25" s="1"/>
  <c r="F170" i="25" s="1"/>
  <c r="U168" i="25"/>
  <c r="T168" i="25" s="1"/>
  <c r="S168" i="25" s="1"/>
  <c r="R168" i="25" s="1"/>
  <c r="P168" i="25" s="1"/>
  <c r="V168" i="25" s="1"/>
  <c r="B168" i="25" s="1"/>
  <c r="W168" i="25" s="1"/>
  <c r="U166" i="25"/>
  <c r="T166" i="25" s="1"/>
  <c r="S166" i="25" s="1"/>
  <c r="R166" i="25" s="1"/>
  <c r="P166" i="25" s="1"/>
  <c r="V166" i="25" s="1"/>
  <c r="B166" i="25" s="1"/>
  <c r="U164" i="25"/>
  <c r="T164" i="25" s="1"/>
  <c r="S164" i="25" s="1"/>
  <c r="R164" i="25" s="1"/>
  <c r="P164" i="25" s="1"/>
  <c r="V164" i="25" s="1"/>
  <c r="B164" i="25" s="1"/>
  <c r="W164" i="25" s="1"/>
  <c r="U160" i="25"/>
  <c r="T160" i="25" s="1"/>
  <c r="S160" i="25" s="1"/>
  <c r="R160" i="25" s="1"/>
  <c r="P160" i="25" s="1"/>
  <c r="V160" i="25" s="1"/>
  <c r="B160" i="25" s="1"/>
  <c r="D160" i="25" s="1"/>
  <c r="E160" i="25" s="1"/>
  <c r="F160" i="25" s="1"/>
  <c r="U156" i="25"/>
  <c r="T156" i="25" s="1"/>
  <c r="S156" i="25" s="1"/>
  <c r="R156" i="25" s="1"/>
  <c r="P156" i="25" s="1"/>
  <c r="V156" i="25" s="1"/>
  <c r="B156" i="25" s="1"/>
  <c r="W156" i="25" s="1"/>
  <c r="U152" i="25"/>
  <c r="T152" i="25" s="1"/>
  <c r="S152" i="25" s="1"/>
  <c r="R152" i="25" s="1"/>
  <c r="P152" i="25" s="1"/>
  <c r="V152" i="25" s="1"/>
  <c r="B152" i="25" s="1"/>
  <c r="W152" i="25" s="1"/>
  <c r="U148" i="25"/>
  <c r="T148" i="25" s="1"/>
  <c r="S148" i="25" s="1"/>
  <c r="R148" i="25" s="1"/>
  <c r="P148" i="25" s="1"/>
  <c r="V148" i="25" s="1"/>
  <c r="B148" i="25" s="1"/>
  <c r="W148" i="25" s="1"/>
  <c r="U144" i="25"/>
  <c r="T144" i="25" s="1"/>
  <c r="S144" i="25" s="1"/>
  <c r="R144" i="25" s="1"/>
  <c r="P144" i="25" s="1"/>
  <c r="V144" i="25" s="1"/>
  <c r="B144" i="25" s="1"/>
  <c r="W144" i="25" s="1"/>
  <c r="U140" i="25"/>
  <c r="T140" i="25" s="1"/>
  <c r="S140" i="25" s="1"/>
  <c r="R140" i="25" s="1"/>
  <c r="P140" i="25" s="1"/>
  <c r="V140" i="25" s="1"/>
  <c r="B140" i="25" s="1"/>
  <c r="D140" i="25" s="1"/>
  <c r="E140" i="25" s="1"/>
  <c r="F140" i="25" s="1"/>
  <c r="U136" i="25"/>
  <c r="T136" i="25" s="1"/>
  <c r="S136" i="25" s="1"/>
  <c r="R136" i="25" s="1"/>
  <c r="P136" i="25" s="1"/>
  <c r="V136" i="25" s="1"/>
  <c r="B136" i="25" s="1"/>
  <c r="W136" i="25" s="1"/>
  <c r="U132" i="25"/>
  <c r="T132" i="25" s="1"/>
  <c r="S132" i="25" s="1"/>
  <c r="R132" i="25" s="1"/>
  <c r="P132" i="25" s="1"/>
  <c r="V132" i="25" s="1"/>
  <c r="B132" i="25" s="1"/>
  <c r="D132" i="25" s="1"/>
  <c r="E132" i="25" s="1"/>
  <c r="F132" i="25" s="1"/>
  <c r="U128" i="25"/>
  <c r="T128" i="25" s="1"/>
  <c r="S128" i="25" s="1"/>
  <c r="R128" i="25" s="1"/>
  <c r="P128" i="25" s="1"/>
  <c r="V128" i="25" s="1"/>
  <c r="B128" i="25" s="1"/>
  <c r="W128" i="25" s="1"/>
  <c r="U124" i="25"/>
  <c r="T124" i="25" s="1"/>
  <c r="S124" i="25" s="1"/>
  <c r="R124" i="25" s="1"/>
  <c r="P124" i="25" s="1"/>
  <c r="V124" i="25" s="1"/>
  <c r="B124" i="25" s="1"/>
  <c r="W124" i="25" s="1"/>
  <c r="U120" i="25"/>
  <c r="T120" i="25" s="1"/>
  <c r="S120" i="25" s="1"/>
  <c r="R120" i="25" s="1"/>
  <c r="P120" i="25" s="1"/>
  <c r="V120" i="25" s="1"/>
  <c r="B120" i="25" s="1"/>
  <c r="W120" i="25" s="1"/>
  <c r="U116" i="25"/>
  <c r="T116" i="25" s="1"/>
  <c r="S116" i="25" s="1"/>
  <c r="R116" i="25" s="1"/>
  <c r="P116" i="25" s="1"/>
  <c r="V116" i="25" s="1"/>
  <c r="B116" i="25" s="1"/>
  <c r="U112" i="25"/>
  <c r="T112" i="25" s="1"/>
  <c r="S112" i="25" s="1"/>
  <c r="R112" i="25" s="1"/>
  <c r="P112" i="25" s="1"/>
  <c r="V112" i="25" s="1"/>
  <c r="B112" i="25" s="1"/>
  <c r="W112" i="25" s="1"/>
  <c r="U108" i="25"/>
  <c r="T108" i="25" s="1"/>
  <c r="S108" i="25" s="1"/>
  <c r="R108" i="25" s="1"/>
  <c r="P108" i="25" s="1"/>
  <c r="V108" i="25" s="1"/>
  <c r="B108" i="25" s="1"/>
  <c r="D108" i="25" s="1"/>
  <c r="E108" i="25" s="1"/>
  <c r="F108" i="25" s="1"/>
  <c r="U104" i="25"/>
  <c r="T104" i="25" s="1"/>
  <c r="S104" i="25" s="1"/>
  <c r="R104" i="25" s="1"/>
  <c r="P104" i="25" s="1"/>
  <c r="V104" i="25" s="1"/>
  <c r="B104" i="25" s="1"/>
  <c r="W104" i="25" s="1"/>
  <c r="U100" i="25"/>
  <c r="T100" i="25" s="1"/>
  <c r="S100" i="25" s="1"/>
  <c r="R100" i="25" s="1"/>
  <c r="P100" i="25" s="1"/>
  <c r="V100" i="25" s="1"/>
  <c r="B100" i="25" s="1"/>
  <c r="W100" i="25" s="1"/>
  <c r="U96" i="25"/>
  <c r="T96" i="25" s="1"/>
  <c r="S96" i="25" s="1"/>
  <c r="R96" i="25" s="1"/>
  <c r="P96" i="25" s="1"/>
  <c r="V96" i="25" s="1"/>
  <c r="B96" i="25" s="1"/>
  <c r="W96" i="25" s="1"/>
  <c r="U92" i="25"/>
  <c r="T92" i="25" s="1"/>
  <c r="S92" i="25" s="1"/>
  <c r="R92" i="25" s="1"/>
  <c r="P92" i="25" s="1"/>
  <c r="V92" i="25" s="1"/>
  <c r="B92" i="25" s="1"/>
  <c r="W92" i="25" s="1"/>
  <c r="U88" i="25"/>
  <c r="T88" i="25" s="1"/>
  <c r="S88" i="25" s="1"/>
  <c r="R88" i="25" s="1"/>
  <c r="P88" i="25" s="1"/>
  <c r="AH70" i="7" s="1"/>
  <c r="U84" i="25"/>
  <c r="T84" i="25" s="1"/>
  <c r="S84" i="25" s="1"/>
  <c r="R84" i="25" s="1"/>
  <c r="P84" i="25" s="1"/>
  <c r="V84" i="25" s="1"/>
  <c r="B84" i="25" s="1"/>
  <c r="W84" i="25" s="1"/>
  <c r="U80" i="25"/>
  <c r="T80" i="25" s="1"/>
  <c r="S80" i="25" s="1"/>
  <c r="R80" i="25" s="1"/>
  <c r="P80" i="25" s="1"/>
  <c r="V80" i="25" s="1"/>
  <c r="B80" i="25" s="1"/>
  <c r="W80" i="25" s="1"/>
  <c r="U76" i="25"/>
  <c r="T76" i="25" s="1"/>
  <c r="S76" i="25" s="1"/>
  <c r="R76" i="25" s="1"/>
  <c r="P76" i="25" s="1"/>
  <c r="V76" i="25" s="1"/>
  <c r="B76" i="25" s="1"/>
  <c r="W76" i="25" s="1"/>
  <c r="U72" i="25"/>
  <c r="T72" i="25" s="1"/>
  <c r="S72" i="25" s="1"/>
  <c r="R72" i="25" s="1"/>
  <c r="P72" i="25" s="1"/>
  <c r="V72" i="25" s="1"/>
  <c r="B72" i="25" s="1"/>
  <c r="D72" i="25" s="1"/>
  <c r="E72" i="25" s="1"/>
  <c r="F72" i="25" s="1"/>
  <c r="U68" i="25"/>
  <c r="T68" i="25" s="1"/>
  <c r="S68" i="25" s="1"/>
  <c r="R68" i="25" s="1"/>
  <c r="P68" i="25" s="1"/>
  <c r="V68" i="25" s="1"/>
  <c r="B68" i="25" s="1"/>
  <c r="D68" i="25" s="1"/>
  <c r="E68" i="25" s="1"/>
  <c r="F68" i="25" s="1"/>
  <c r="U64" i="25"/>
  <c r="T64" i="25" s="1"/>
  <c r="S64" i="25" s="1"/>
  <c r="R64" i="25" s="1"/>
  <c r="P64" i="25" s="1"/>
  <c r="V64" i="25" s="1"/>
  <c r="B64" i="25" s="1"/>
  <c r="W64" i="25" s="1"/>
  <c r="U60" i="25"/>
  <c r="T60" i="25" s="1"/>
  <c r="S60" i="25" s="1"/>
  <c r="R60" i="25" s="1"/>
  <c r="P60" i="25" s="1"/>
  <c r="U56" i="25"/>
  <c r="T56" i="25" s="1"/>
  <c r="S56" i="25" s="1"/>
  <c r="R56" i="25" s="1"/>
  <c r="P56" i="25" s="1"/>
  <c r="V56" i="25" s="1"/>
  <c r="B56" i="25" s="1"/>
  <c r="D56" i="25" s="1"/>
  <c r="E56" i="25" s="1"/>
  <c r="F56" i="25" s="1"/>
  <c r="U52" i="25"/>
  <c r="T52" i="25" s="1"/>
  <c r="S52" i="25" s="1"/>
  <c r="R52" i="25" s="1"/>
  <c r="P52" i="25" s="1"/>
  <c r="V52" i="25" s="1"/>
  <c r="B52" i="25" s="1"/>
  <c r="W52" i="25" s="1"/>
  <c r="U48" i="25"/>
  <c r="T48" i="25" s="1"/>
  <c r="S48" i="25" s="1"/>
  <c r="R48" i="25" s="1"/>
  <c r="P48" i="25" s="1"/>
  <c r="V48" i="25" s="1"/>
  <c r="B48" i="25" s="1"/>
  <c r="W48" i="25" s="1"/>
  <c r="U44" i="25"/>
  <c r="T44" i="25" s="1"/>
  <c r="S44" i="25" s="1"/>
  <c r="R44" i="25" s="1"/>
  <c r="P44" i="25" s="1"/>
  <c r="V44" i="25" s="1"/>
  <c r="B44" i="25" s="1"/>
  <c r="D44" i="25" s="1"/>
  <c r="E44" i="25" s="1"/>
  <c r="F44" i="25" s="1"/>
  <c r="U40" i="25"/>
  <c r="T40" i="25" s="1"/>
  <c r="S40" i="25" s="1"/>
  <c r="R40" i="25" s="1"/>
  <c r="P40" i="25" s="1"/>
  <c r="V40" i="25" s="1"/>
  <c r="B40" i="25" s="1"/>
  <c r="W40" i="25" s="1"/>
  <c r="U36" i="25"/>
  <c r="T36" i="25" s="1"/>
  <c r="S36" i="25" s="1"/>
  <c r="R36" i="25" s="1"/>
  <c r="P36" i="25" s="1"/>
  <c r="V36" i="25" s="1"/>
  <c r="B36" i="25" s="1"/>
  <c r="D36" i="25" s="1"/>
  <c r="E36" i="25" s="1"/>
  <c r="F36" i="25" s="1"/>
  <c r="U32" i="25"/>
  <c r="T32" i="25" s="1"/>
  <c r="S32" i="25" s="1"/>
  <c r="R32" i="25" s="1"/>
  <c r="P32" i="25" s="1"/>
  <c r="V32" i="25" s="1"/>
  <c r="B32" i="25" s="1"/>
  <c r="W32" i="25" s="1"/>
  <c r="U28" i="25"/>
  <c r="T28" i="25" s="1"/>
  <c r="S28" i="25" s="1"/>
  <c r="R28" i="25" s="1"/>
  <c r="P28" i="25" s="1"/>
  <c r="V28" i="25" s="1"/>
  <c r="B28" i="25" s="1"/>
  <c r="W28" i="25" s="1"/>
  <c r="U24" i="25"/>
  <c r="T24" i="25" s="1"/>
  <c r="S24" i="25" s="1"/>
  <c r="R24" i="25" s="1"/>
  <c r="P24" i="25" s="1"/>
  <c r="V24" i="25" s="1"/>
  <c r="B24" i="25" s="1"/>
  <c r="W24" i="25" s="1"/>
  <c r="U18" i="25"/>
  <c r="T18" i="25" s="1"/>
  <c r="S18" i="25" s="1"/>
  <c r="R18" i="25" s="1"/>
  <c r="P18" i="25" s="1"/>
  <c r="V18" i="25" s="1"/>
  <c r="B18" i="25" s="1"/>
  <c r="D18" i="25" s="1"/>
  <c r="E18" i="25" s="1"/>
  <c r="F18" i="25" s="1"/>
  <c r="U15" i="25"/>
  <c r="T15" i="25" s="1"/>
  <c r="AI103" i="25"/>
  <c r="AH103" i="25" s="1"/>
  <c r="AG103" i="25" s="1"/>
  <c r="AF103" i="25" s="1"/>
  <c r="AD103" i="25" s="1"/>
  <c r="AI87" i="25"/>
  <c r="AH87" i="25" s="1"/>
  <c r="AG87" i="25" s="1"/>
  <c r="AF87" i="25" s="1"/>
  <c r="AD87" i="25" s="1"/>
  <c r="AI71" i="25"/>
  <c r="AH71" i="25" s="1"/>
  <c r="AG71" i="25" s="1"/>
  <c r="AF71" i="25" s="1"/>
  <c r="AD71" i="25" s="1"/>
  <c r="AI55" i="25"/>
  <c r="AH55" i="25" s="1"/>
  <c r="AG55" i="25" s="1"/>
  <c r="AF55" i="25" s="1"/>
  <c r="AD55" i="25" s="1"/>
  <c r="AI39" i="25"/>
  <c r="AH39" i="25" s="1"/>
  <c r="AG39" i="25" s="1"/>
  <c r="AF39" i="25" s="1"/>
  <c r="AD39" i="25" s="1"/>
  <c r="AI11" i="25"/>
  <c r="AI24" i="25"/>
  <c r="AH24" i="25" s="1"/>
  <c r="AG24" i="25" s="1"/>
  <c r="AF24" i="25" s="1"/>
  <c r="AD24" i="25" s="1"/>
  <c r="AI20" i="25"/>
  <c r="AH20" i="25" s="1"/>
  <c r="AG20" i="25" s="1"/>
  <c r="AF20" i="25" s="1"/>
  <c r="AD20" i="25" s="1"/>
  <c r="AI35" i="25"/>
  <c r="AH35" i="25" s="1"/>
  <c r="AG35" i="25" s="1"/>
  <c r="AF35" i="25" s="1"/>
  <c r="AD35" i="25" s="1"/>
  <c r="AI43" i="25"/>
  <c r="AH43" i="25" s="1"/>
  <c r="AG43" i="25" s="1"/>
  <c r="AF43" i="25" s="1"/>
  <c r="AD43" i="25" s="1"/>
  <c r="AI51" i="25"/>
  <c r="AH51" i="25" s="1"/>
  <c r="AG51" i="25" s="1"/>
  <c r="AF51" i="25" s="1"/>
  <c r="AD51" i="25" s="1"/>
  <c r="AI59" i="25"/>
  <c r="AH59" i="25" s="1"/>
  <c r="AG59" i="25" s="1"/>
  <c r="AF59" i="25" s="1"/>
  <c r="AD59" i="25" s="1"/>
  <c r="AI67" i="25"/>
  <c r="AH67" i="25" s="1"/>
  <c r="AG67" i="25" s="1"/>
  <c r="AF67" i="25" s="1"/>
  <c r="AD67" i="25" s="1"/>
  <c r="AI75" i="25"/>
  <c r="AH75" i="25" s="1"/>
  <c r="AG75" i="25" s="1"/>
  <c r="AF75" i="25" s="1"/>
  <c r="AD75" i="25" s="1"/>
  <c r="AI83" i="25"/>
  <c r="AH83" i="25" s="1"/>
  <c r="AG83" i="25" s="1"/>
  <c r="AF83" i="25" s="1"/>
  <c r="AD83" i="25" s="1"/>
  <c r="AI91" i="25"/>
  <c r="AH91" i="25" s="1"/>
  <c r="AG91" i="25" s="1"/>
  <c r="AF91" i="25" s="1"/>
  <c r="AD91" i="25" s="1"/>
  <c r="AI99" i="25"/>
  <c r="AH99" i="25" s="1"/>
  <c r="AG99" i="25" s="1"/>
  <c r="AF99" i="25" s="1"/>
  <c r="AD99" i="25" s="1"/>
  <c r="U19" i="25"/>
  <c r="T19" i="25" s="1"/>
  <c r="S19" i="25" s="1"/>
  <c r="R19" i="25" s="1"/>
  <c r="P19" i="25" s="1"/>
  <c r="V19" i="25" s="1"/>
  <c r="B19" i="25" s="1"/>
  <c r="U21" i="25"/>
  <c r="T21" i="25" s="1"/>
  <c r="S21" i="25" s="1"/>
  <c r="R21" i="25" s="1"/>
  <c r="P21" i="25" s="1"/>
  <c r="V21" i="25" s="1"/>
  <c r="B21" i="25" s="1"/>
  <c r="W21" i="25" s="1"/>
  <c r="U26" i="25"/>
  <c r="T26" i="25" s="1"/>
  <c r="S26" i="25" s="1"/>
  <c r="R26" i="25" s="1"/>
  <c r="P26" i="25" s="1"/>
  <c r="V26" i="25" s="1"/>
  <c r="B26" i="25" s="1"/>
  <c r="W26" i="25" s="1"/>
  <c r="U23" i="25"/>
  <c r="T23" i="25" s="1"/>
  <c r="S23" i="25" s="1"/>
  <c r="R23" i="25" s="1"/>
  <c r="P23" i="25" s="1"/>
  <c r="V23" i="25" s="1"/>
  <c r="B23" i="25" s="1"/>
  <c r="D23" i="25" s="1"/>
  <c r="E23" i="25" s="1"/>
  <c r="F23" i="25" s="1"/>
  <c r="U25" i="25"/>
  <c r="T25" i="25" s="1"/>
  <c r="S25" i="25" s="1"/>
  <c r="R25" i="25" s="1"/>
  <c r="P25" i="25" s="1"/>
  <c r="V25" i="25" s="1"/>
  <c r="B25" i="25" s="1"/>
  <c r="D25" i="25" s="1"/>
  <c r="E25" i="25" s="1"/>
  <c r="F25" i="25" s="1"/>
  <c r="U22" i="25"/>
  <c r="T22" i="25" s="1"/>
  <c r="S22" i="25" s="1"/>
  <c r="R22" i="25" s="1"/>
  <c r="P22" i="25" s="1"/>
  <c r="V22" i="25" s="1"/>
  <c r="B22" i="25" s="1"/>
  <c r="U29" i="25"/>
  <c r="T29" i="25" s="1"/>
  <c r="S29" i="25" s="1"/>
  <c r="R29" i="25" s="1"/>
  <c r="P29" i="25" s="1"/>
  <c r="V29" i="25" s="1"/>
  <c r="B29" i="25" s="1"/>
  <c r="U31" i="25"/>
  <c r="T31" i="25" s="1"/>
  <c r="S31" i="25" s="1"/>
  <c r="R31" i="25" s="1"/>
  <c r="P31" i="25" s="1"/>
  <c r="V31" i="25" s="1"/>
  <c r="B31" i="25" s="1"/>
  <c r="D31" i="25" s="1"/>
  <c r="E31" i="25" s="1"/>
  <c r="F31" i="25" s="1"/>
  <c r="U33" i="25"/>
  <c r="T33" i="25" s="1"/>
  <c r="S33" i="25" s="1"/>
  <c r="R33" i="25" s="1"/>
  <c r="P33" i="25" s="1"/>
  <c r="V33" i="25" s="1"/>
  <c r="B33" i="25" s="1"/>
  <c r="W33" i="25" s="1"/>
  <c r="U35" i="25"/>
  <c r="T35" i="25" s="1"/>
  <c r="S35" i="25" s="1"/>
  <c r="R35" i="25" s="1"/>
  <c r="P35" i="25" s="1"/>
  <c r="V35" i="25" s="1"/>
  <c r="B35" i="25" s="1"/>
  <c r="U37" i="25"/>
  <c r="T37" i="25" s="1"/>
  <c r="S37" i="25" s="1"/>
  <c r="R37" i="25" s="1"/>
  <c r="P37" i="25" s="1"/>
  <c r="V37" i="25" s="1"/>
  <c r="B37" i="25" s="1"/>
  <c r="W37" i="25" s="1"/>
  <c r="U39" i="25"/>
  <c r="T39" i="25" s="1"/>
  <c r="S39" i="25" s="1"/>
  <c r="R39" i="25" s="1"/>
  <c r="P39" i="25" s="1"/>
  <c r="V39" i="25" s="1"/>
  <c r="B39" i="25" s="1"/>
  <c r="D39" i="25" s="1"/>
  <c r="E39" i="25" s="1"/>
  <c r="F39" i="25" s="1"/>
  <c r="U41" i="25"/>
  <c r="T41" i="25" s="1"/>
  <c r="S41" i="25" s="1"/>
  <c r="R41" i="25" s="1"/>
  <c r="P41" i="25" s="1"/>
  <c r="V41" i="25" s="1"/>
  <c r="B41" i="25" s="1"/>
  <c r="W41" i="25" s="1"/>
  <c r="U43" i="25"/>
  <c r="T43" i="25" s="1"/>
  <c r="S43" i="25" s="1"/>
  <c r="R43" i="25" s="1"/>
  <c r="P43" i="25" s="1"/>
  <c r="V43" i="25" s="1"/>
  <c r="B43" i="25" s="1"/>
  <c r="U45" i="25"/>
  <c r="T45" i="25" s="1"/>
  <c r="S45" i="25" s="1"/>
  <c r="R45" i="25" s="1"/>
  <c r="P45" i="25" s="1"/>
  <c r="V45" i="25" s="1"/>
  <c r="B45" i="25" s="1"/>
  <c r="D45" i="25" s="1"/>
  <c r="E45" i="25" s="1"/>
  <c r="F45" i="25" s="1"/>
  <c r="U47" i="25"/>
  <c r="T47" i="25" s="1"/>
  <c r="S47" i="25" s="1"/>
  <c r="R47" i="25" s="1"/>
  <c r="P47" i="25" s="1"/>
  <c r="V47" i="25" s="1"/>
  <c r="B47" i="25" s="1"/>
  <c r="D47" i="25" s="1"/>
  <c r="E47" i="25" s="1"/>
  <c r="F47" i="25" s="1"/>
  <c r="U49" i="25"/>
  <c r="T49" i="25" s="1"/>
  <c r="S49" i="25" s="1"/>
  <c r="R49" i="25" s="1"/>
  <c r="P49" i="25" s="1"/>
  <c r="V49" i="25" s="1"/>
  <c r="B49" i="25" s="1"/>
  <c r="W49" i="25" s="1"/>
  <c r="U51" i="25"/>
  <c r="T51" i="25" s="1"/>
  <c r="S51" i="25" s="1"/>
  <c r="R51" i="25" s="1"/>
  <c r="P51" i="25" s="1"/>
  <c r="V51" i="25" s="1"/>
  <c r="B51" i="25" s="1"/>
  <c r="D51" i="25" s="1"/>
  <c r="E51" i="25" s="1"/>
  <c r="F51" i="25" s="1"/>
  <c r="U53" i="25"/>
  <c r="T53" i="25" s="1"/>
  <c r="S53" i="25" s="1"/>
  <c r="R53" i="25" s="1"/>
  <c r="P53" i="25" s="1"/>
  <c r="V53" i="25" s="1"/>
  <c r="B53" i="25" s="1"/>
  <c r="W53" i="25" s="1"/>
  <c r="U55" i="25"/>
  <c r="T55" i="25" s="1"/>
  <c r="S55" i="25" s="1"/>
  <c r="R55" i="25" s="1"/>
  <c r="P55" i="25" s="1"/>
  <c r="V55" i="25" s="1"/>
  <c r="B55" i="25" s="1"/>
  <c r="W55" i="25" s="1"/>
  <c r="U57" i="25"/>
  <c r="T57" i="25" s="1"/>
  <c r="S57" i="25" s="1"/>
  <c r="R57" i="25" s="1"/>
  <c r="P57" i="25" s="1"/>
  <c r="V57" i="25" s="1"/>
  <c r="B57" i="25" s="1"/>
  <c r="W57" i="25" s="1"/>
  <c r="U59" i="25"/>
  <c r="T59" i="25" s="1"/>
  <c r="S59" i="25" s="1"/>
  <c r="R59" i="25" s="1"/>
  <c r="P59" i="25" s="1"/>
  <c r="V59" i="25" s="1"/>
  <c r="B59" i="25" s="1"/>
  <c r="W59" i="25" s="1"/>
  <c r="U61" i="25"/>
  <c r="T61" i="25" s="1"/>
  <c r="S61" i="25" s="1"/>
  <c r="R61" i="25" s="1"/>
  <c r="P61" i="25" s="1"/>
  <c r="V61" i="25" s="1"/>
  <c r="B61" i="25" s="1"/>
  <c r="W61" i="25" s="1"/>
  <c r="U63" i="25"/>
  <c r="T63" i="25" s="1"/>
  <c r="S63" i="25" s="1"/>
  <c r="R63" i="25" s="1"/>
  <c r="P63" i="25" s="1"/>
  <c r="V63" i="25" s="1"/>
  <c r="B63" i="25" s="1"/>
  <c r="W63" i="25" s="1"/>
  <c r="U65" i="25"/>
  <c r="T65" i="25" s="1"/>
  <c r="S65" i="25" s="1"/>
  <c r="R65" i="25" s="1"/>
  <c r="P65" i="25" s="1"/>
  <c r="V65" i="25" s="1"/>
  <c r="B65" i="25" s="1"/>
  <c r="D65" i="25" s="1"/>
  <c r="E65" i="25" s="1"/>
  <c r="F65" i="25" s="1"/>
  <c r="U67" i="25"/>
  <c r="T67" i="25" s="1"/>
  <c r="U69" i="25"/>
  <c r="T69" i="25" s="1"/>
  <c r="S69" i="25" s="1"/>
  <c r="R69" i="25" s="1"/>
  <c r="P69" i="25" s="1"/>
  <c r="V69" i="25" s="1"/>
  <c r="B69" i="25" s="1"/>
  <c r="D69" i="25" s="1"/>
  <c r="E69" i="25" s="1"/>
  <c r="F69" i="25" s="1"/>
  <c r="U71" i="25"/>
  <c r="T71" i="25" s="1"/>
  <c r="S71" i="25" s="1"/>
  <c r="R71" i="25" s="1"/>
  <c r="P71" i="25" s="1"/>
  <c r="V71" i="25" s="1"/>
  <c r="B71" i="25" s="1"/>
  <c r="W71" i="25" s="1"/>
  <c r="U73" i="25"/>
  <c r="T73" i="25" s="1"/>
  <c r="S73" i="25" s="1"/>
  <c r="R73" i="25" s="1"/>
  <c r="P73" i="25" s="1"/>
  <c r="V73" i="25" s="1"/>
  <c r="B73" i="25" s="1"/>
  <c r="W73" i="25" s="1"/>
  <c r="U75" i="25"/>
  <c r="T75" i="25" s="1"/>
  <c r="S75" i="25" s="1"/>
  <c r="R75" i="25" s="1"/>
  <c r="P75" i="25" s="1"/>
  <c r="V75" i="25" s="1"/>
  <c r="B75" i="25" s="1"/>
  <c r="U77" i="25"/>
  <c r="T77" i="25" s="1"/>
  <c r="S77" i="25" s="1"/>
  <c r="R77" i="25" s="1"/>
  <c r="P77" i="25" s="1"/>
  <c r="V77" i="25" s="1"/>
  <c r="B77" i="25" s="1"/>
  <c r="W77" i="25" s="1"/>
  <c r="U79" i="25"/>
  <c r="T79" i="25" s="1"/>
  <c r="S79" i="25" s="1"/>
  <c r="R79" i="25" s="1"/>
  <c r="P79" i="25" s="1"/>
  <c r="V79" i="25" s="1"/>
  <c r="B79" i="25" s="1"/>
  <c r="D79" i="25" s="1"/>
  <c r="E79" i="25" s="1"/>
  <c r="F79" i="25" s="1"/>
  <c r="U81" i="25"/>
  <c r="T81" i="25" s="1"/>
  <c r="S81" i="25" s="1"/>
  <c r="R81" i="25" s="1"/>
  <c r="P81" i="25" s="1"/>
  <c r="V81" i="25" s="1"/>
  <c r="B81" i="25" s="1"/>
  <c r="D81" i="25" s="1"/>
  <c r="E81" i="25" s="1"/>
  <c r="F81" i="25" s="1"/>
  <c r="U83" i="25"/>
  <c r="T83" i="25" s="1"/>
  <c r="S83" i="25" s="1"/>
  <c r="R83" i="25" s="1"/>
  <c r="P83" i="25" s="1"/>
  <c r="V83" i="25" s="1"/>
  <c r="B83" i="25" s="1"/>
  <c r="W83" i="25" s="1"/>
  <c r="U85" i="25"/>
  <c r="T85" i="25" s="1"/>
  <c r="S85" i="25" s="1"/>
  <c r="R85" i="25" s="1"/>
  <c r="P85" i="25" s="1"/>
  <c r="V85" i="25" s="1"/>
  <c r="B85" i="25" s="1"/>
  <c r="D85" i="25" s="1"/>
  <c r="E85" i="25" s="1"/>
  <c r="F85" i="25" s="1"/>
  <c r="U87" i="25"/>
  <c r="T87" i="25" s="1"/>
  <c r="S87" i="25" s="1"/>
  <c r="R87" i="25" s="1"/>
  <c r="P87" i="25" s="1"/>
  <c r="V87" i="25" s="1"/>
  <c r="B87" i="25" s="1"/>
  <c r="D87" i="25" s="1"/>
  <c r="E87" i="25" s="1"/>
  <c r="F87" i="25" s="1"/>
  <c r="U89" i="25"/>
  <c r="T89" i="25" s="1"/>
  <c r="S89" i="25" s="1"/>
  <c r="R89" i="25" s="1"/>
  <c r="P89" i="25" s="1"/>
  <c r="V89" i="25" s="1"/>
  <c r="B89" i="25" s="1"/>
  <c r="D89" i="25" s="1"/>
  <c r="E89" i="25" s="1"/>
  <c r="F89" i="25" s="1"/>
  <c r="U91" i="25"/>
  <c r="T91" i="25" s="1"/>
  <c r="S91" i="25" s="1"/>
  <c r="R91" i="25" s="1"/>
  <c r="P91" i="25" s="1"/>
  <c r="V91" i="25" s="1"/>
  <c r="B91" i="25" s="1"/>
  <c r="D91" i="25" s="1"/>
  <c r="E91" i="25" s="1"/>
  <c r="F91" i="25" s="1"/>
  <c r="U93" i="25"/>
  <c r="T93" i="25" s="1"/>
  <c r="S93" i="25" s="1"/>
  <c r="R93" i="25" s="1"/>
  <c r="P93" i="25" s="1"/>
  <c r="V93" i="25" s="1"/>
  <c r="B93" i="25" s="1"/>
  <c r="D93" i="25" s="1"/>
  <c r="E93" i="25" s="1"/>
  <c r="F93" i="25" s="1"/>
  <c r="U95" i="25"/>
  <c r="T95" i="25" s="1"/>
  <c r="S95" i="25" s="1"/>
  <c r="R95" i="25" s="1"/>
  <c r="P95" i="25" s="1"/>
  <c r="V95" i="25" s="1"/>
  <c r="B95" i="25" s="1"/>
  <c r="U97" i="25"/>
  <c r="T97" i="25" s="1"/>
  <c r="S97" i="25" s="1"/>
  <c r="R97" i="25" s="1"/>
  <c r="P97" i="25" s="1"/>
  <c r="V97" i="25" s="1"/>
  <c r="B97" i="25" s="1"/>
  <c r="D97" i="25" s="1"/>
  <c r="E97" i="25" s="1"/>
  <c r="F97" i="25" s="1"/>
  <c r="U99" i="25"/>
  <c r="T99" i="25" s="1"/>
  <c r="S99" i="25" s="1"/>
  <c r="R99" i="25" s="1"/>
  <c r="P99" i="25" s="1"/>
  <c r="V99" i="25" s="1"/>
  <c r="B99" i="25" s="1"/>
  <c r="D99" i="25" s="1"/>
  <c r="E99" i="25" s="1"/>
  <c r="F99" i="25" s="1"/>
  <c r="U101" i="25"/>
  <c r="T101" i="25" s="1"/>
  <c r="S101" i="25" s="1"/>
  <c r="R101" i="25" s="1"/>
  <c r="P101" i="25" s="1"/>
  <c r="V101" i="25" s="1"/>
  <c r="B101" i="25" s="1"/>
  <c r="W101" i="25" s="1"/>
  <c r="U103" i="25"/>
  <c r="T103" i="25" s="1"/>
  <c r="S103" i="25" s="1"/>
  <c r="R103" i="25" s="1"/>
  <c r="P103" i="25" s="1"/>
  <c r="V103" i="25" s="1"/>
  <c r="B103" i="25" s="1"/>
  <c r="D103" i="25" s="1"/>
  <c r="E103" i="25" s="1"/>
  <c r="F103" i="25" s="1"/>
  <c r="U105" i="25"/>
  <c r="T105" i="25" s="1"/>
  <c r="S105" i="25" s="1"/>
  <c r="R105" i="25" s="1"/>
  <c r="P105" i="25" s="1"/>
  <c r="V105" i="25" s="1"/>
  <c r="B105" i="25" s="1"/>
  <c r="U107" i="25"/>
  <c r="T107" i="25" s="1"/>
  <c r="S107" i="25" s="1"/>
  <c r="R107" i="25" s="1"/>
  <c r="P107" i="25" s="1"/>
  <c r="V107" i="25" s="1"/>
  <c r="B107" i="25" s="1"/>
  <c r="D107" i="25" s="1"/>
  <c r="E107" i="25" s="1"/>
  <c r="F107" i="25" s="1"/>
  <c r="U109" i="25"/>
  <c r="T109" i="25" s="1"/>
  <c r="S109" i="25" s="1"/>
  <c r="R109" i="25" s="1"/>
  <c r="P109" i="25" s="1"/>
  <c r="V109" i="25" s="1"/>
  <c r="B109" i="25" s="1"/>
  <c r="D109" i="25" s="1"/>
  <c r="E109" i="25" s="1"/>
  <c r="F109" i="25" s="1"/>
  <c r="U111" i="25"/>
  <c r="T111" i="25" s="1"/>
  <c r="S111" i="25" s="1"/>
  <c r="R111" i="25" s="1"/>
  <c r="P111" i="25" s="1"/>
  <c r="V111" i="25" s="1"/>
  <c r="B111" i="25" s="1"/>
  <c r="U113" i="25"/>
  <c r="T113" i="25" s="1"/>
  <c r="S113" i="25" s="1"/>
  <c r="R113" i="25" s="1"/>
  <c r="P113" i="25" s="1"/>
  <c r="V113" i="25" s="1"/>
  <c r="B113" i="25" s="1"/>
  <c r="W113" i="25" s="1"/>
  <c r="U115" i="25"/>
  <c r="T115" i="25" s="1"/>
  <c r="S115" i="25" s="1"/>
  <c r="R115" i="25" s="1"/>
  <c r="P115" i="25" s="1"/>
  <c r="V115" i="25" s="1"/>
  <c r="B115" i="25" s="1"/>
  <c r="D115" i="25" s="1"/>
  <c r="E115" i="25" s="1"/>
  <c r="F115" i="25" s="1"/>
  <c r="U117" i="25"/>
  <c r="T117" i="25" s="1"/>
  <c r="S117" i="25" s="1"/>
  <c r="R117" i="25" s="1"/>
  <c r="P117" i="25" s="1"/>
  <c r="V117" i="25" s="1"/>
  <c r="B117" i="25" s="1"/>
  <c r="D117" i="25" s="1"/>
  <c r="E117" i="25" s="1"/>
  <c r="F117" i="25" s="1"/>
  <c r="U119" i="25"/>
  <c r="T119" i="25" s="1"/>
  <c r="S119" i="25" s="1"/>
  <c r="R119" i="25" s="1"/>
  <c r="P119" i="25" s="1"/>
  <c r="U121" i="25"/>
  <c r="T121" i="25" s="1"/>
  <c r="S121" i="25" s="1"/>
  <c r="R121" i="25" s="1"/>
  <c r="P121" i="25" s="1"/>
  <c r="V121" i="25" s="1"/>
  <c r="B121" i="25" s="1"/>
  <c r="W121" i="25" s="1"/>
  <c r="U123" i="25"/>
  <c r="T123" i="25" s="1"/>
  <c r="S123" i="25" s="1"/>
  <c r="R123" i="25" s="1"/>
  <c r="P123" i="25" s="1"/>
  <c r="V123" i="25" s="1"/>
  <c r="B123" i="25" s="1"/>
  <c r="W123" i="25" s="1"/>
  <c r="U125" i="25"/>
  <c r="T125" i="25" s="1"/>
  <c r="S125" i="25" s="1"/>
  <c r="R125" i="25" s="1"/>
  <c r="P125" i="25" s="1"/>
  <c r="V125" i="25" s="1"/>
  <c r="B125" i="25" s="1"/>
  <c r="W125" i="25" s="1"/>
  <c r="U127" i="25"/>
  <c r="T127" i="25" s="1"/>
  <c r="S127" i="25" s="1"/>
  <c r="R127" i="25" s="1"/>
  <c r="P127" i="25" s="1"/>
  <c r="V127" i="25" s="1"/>
  <c r="B127" i="25" s="1"/>
  <c r="D127" i="25" s="1"/>
  <c r="E127" i="25" s="1"/>
  <c r="F127" i="25" s="1"/>
  <c r="U129" i="25"/>
  <c r="T129" i="25" s="1"/>
  <c r="S129" i="25" s="1"/>
  <c r="R129" i="25" s="1"/>
  <c r="P129" i="25" s="1"/>
  <c r="V129" i="25" s="1"/>
  <c r="B129" i="25" s="1"/>
  <c r="W129" i="25" s="1"/>
  <c r="U131" i="25"/>
  <c r="T131" i="25" s="1"/>
  <c r="S131" i="25" s="1"/>
  <c r="R131" i="25" s="1"/>
  <c r="P131" i="25" s="1"/>
  <c r="V131" i="25" s="1"/>
  <c r="B131" i="25" s="1"/>
  <c r="W131" i="25" s="1"/>
  <c r="U133" i="25"/>
  <c r="T133" i="25" s="1"/>
  <c r="S133" i="25" s="1"/>
  <c r="R133" i="25" s="1"/>
  <c r="P133" i="25" s="1"/>
  <c r="V133" i="25" s="1"/>
  <c r="B133" i="25" s="1"/>
  <c r="D133" i="25" s="1"/>
  <c r="E133" i="25" s="1"/>
  <c r="F133" i="25" s="1"/>
  <c r="U135" i="25"/>
  <c r="T135" i="25" s="1"/>
  <c r="S135" i="25" s="1"/>
  <c r="R135" i="25" s="1"/>
  <c r="P135" i="25" s="1"/>
  <c r="V135" i="25" s="1"/>
  <c r="B135" i="25" s="1"/>
  <c r="U137" i="25"/>
  <c r="T137" i="25" s="1"/>
  <c r="S137" i="25" s="1"/>
  <c r="R137" i="25" s="1"/>
  <c r="P137" i="25" s="1"/>
  <c r="V137" i="25" s="1"/>
  <c r="B137" i="25" s="1"/>
  <c r="W137" i="25" s="1"/>
  <c r="U139" i="25"/>
  <c r="T139" i="25" s="1"/>
  <c r="S139" i="25" s="1"/>
  <c r="R139" i="25" s="1"/>
  <c r="P139" i="25" s="1"/>
  <c r="V139" i="25" s="1"/>
  <c r="B139" i="25" s="1"/>
  <c r="D139" i="25" s="1"/>
  <c r="E139" i="25" s="1"/>
  <c r="F139" i="25" s="1"/>
  <c r="U141" i="25"/>
  <c r="T141" i="25" s="1"/>
  <c r="S141" i="25" s="1"/>
  <c r="R141" i="25" s="1"/>
  <c r="P141" i="25" s="1"/>
  <c r="V141" i="25" s="1"/>
  <c r="B141" i="25" s="1"/>
  <c r="D141" i="25" s="1"/>
  <c r="E141" i="25" s="1"/>
  <c r="F141" i="25" s="1"/>
  <c r="U143" i="25"/>
  <c r="T143" i="25" s="1"/>
  <c r="S143" i="25" s="1"/>
  <c r="R143" i="25" s="1"/>
  <c r="P143" i="25" s="1"/>
  <c r="V143" i="25" s="1"/>
  <c r="B143" i="25" s="1"/>
  <c r="D143" i="25" s="1"/>
  <c r="E143" i="25" s="1"/>
  <c r="F143" i="25" s="1"/>
  <c r="U145" i="25"/>
  <c r="T145" i="25" s="1"/>
  <c r="S145" i="25" s="1"/>
  <c r="R145" i="25" s="1"/>
  <c r="P145" i="25" s="1"/>
  <c r="V145" i="25" s="1"/>
  <c r="B145" i="25" s="1"/>
  <c r="D145" i="25" s="1"/>
  <c r="E145" i="25" s="1"/>
  <c r="F145" i="25" s="1"/>
  <c r="U147" i="25"/>
  <c r="T147" i="25" s="1"/>
  <c r="S147" i="25" s="1"/>
  <c r="R147" i="25" s="1"/>
  <c r="P147" i="25" s="1"/>
  <c r="V147" i="25" s="1"/>
  <c r="B147" i="25" s="1"/>
  <c r="W147" i="25" s="1"/>
  <c r="U149" i="25"/>
  <c r="T149" i="25" s="1"/>
  <c r="S149" i="25" s="1"/>
  <c r="R149" i="25" s="1"/>
  <c r="P149" i="25" s="1"/>
  <c r="V149" i="25" s="1"/>
  <c r="B149" i="25" s="1"/>
  <c r="U151" i="25"/>
  <c r="T151" i="25" s="1"/>
  <c r="S151" i="25" s="1"/>
  <c r="R151" i="25" s="1"/>
  <c r="P151" i="25" s="1"/>
  <c r="V151" i="25" s="1"/>
  <c r="B151" i="25" s="1"/>
  <c r="D151" i="25" s="1"/>
  <c r="E151" i="25" s="1"/>
  <c r="F151" i="25" s="1"/>
  <c r="U153" i="25"/>
  <c r="T153" i="25" s="1"/>
  <c r="S153" i="25" s="1"/>
  <c r="R153" i="25" s="1"/>
  <c r="P153" i="25" s="1"/>
  <c r="V153" i="25" s="1"/>
  <c r="B153" i="25" s="1"/>
  <c r="D153" i="25" s="1"/>
  <c r="E153" i="25" s="1"/>
  <c r="F153" i="25" s="1"/>
  <c r="U155" i="25"/>
  <c r="T155" i="25" s="1"/>
  <c r="S155" i="25" s="1"/>
  <c r="R155" i="25" s="1"/>
  <c r="P155" i="25" s="1"/>
  <c r="V155" i="25" s="1"/>
  <c r="B155" i="25" s="1"/>
  <c r="D155" i="25" s="1"/>
  <c r="E155" i="25" s="1"/>
  <c r="F155" i="25" s="1"/>
  <c r="U157" i="25"/>
  <c r="T157" i="25" s="1"/>
  <c r="S157" i="25" s="1"/>
  <c r="R157" i="25" s="1"/>
  <c r="P157" i="25" s="1"/>
  <c r="V157" i="25" s="1"/>
  <c r="B157" i="25" s="1"/>
  <c r="D157" i="25" s="1"/>
  <c r="E157" i="25" s="1"/>
  <c r="F157" i="25" s="1"/>
  <c r="U159" i="25"/>
  <c r="T159" i="25" s="1"/>
  <c r="S159" i="25" s="1"/>
  <c r="R159" i="25" s="1"/>
  <c r="P159" i="25" s="1"/>
  <c r="V159" i="25" s="1"/>
  <c r="B159" i="25" s="1"/>
  <c r="D159" i="25" s="1"/>
  <c r="E159" i="25" s="1"/>
  <c r="F159" i="25" s="1"/>
  <c r="U161" i="25"/>
  <c r="T161" i="25" s="1"/>
  <c r="U163" i="25"/>
  <c r="T163" i="25" s="1"/>
  <c r="S163" i="25" s="1"/>
  <c r="R163" i="25" s="1"/>
  <c r="P163" i="25" s="1"/>
  <c r="V163" i="25" s="1"/>
  <c r="B163" i="25" s="1"/>
  <c r="W163" i="25" s="1"/>
  <c r="AI107" i="25"/>
  <c r="AH107" i="25" s="1"/>
  <c r="AG107" i="25" s="1"/>
  <c r="AF107" i="25" s="1"/>
  <c r="AD107" i="25" s="1"/>
  <c r="AI115" i="25"/>
  <c r="AH115" i="25" s="1"/>
  <c r="AG115" i="25" s="1"/>
  <c r="AF115" i="25" s="1"/>
  <c r="AD115" i="25" s="1"/>
  <c r="AI123" i="25"/>
  <c r="AH123" i="25" s="1"/>
  <c r="AG123" i="25" s="1"/>
  <c r="AF123" i="25" s="1"/>
  <c r="AD123" i="25" s="1"/>
  <c r="AI131" i="25"/>
  <c r="AH131" i="25" s="1"/>
  <c r="AG131" i="25" s="1"/>
  <c r="AF131" i="25" s="1"/>
  <c r="AD131" i="25" s="1"/>
  <c r="AI139" i="25"/>
  <c r="AH139" i="25" s="1"/>
  <c r="AG139" i="25" s="1"/>
  <c r="AF139" i="25" s="1"/>
  <c r="AD139" i="25" s="1"/>
  <c r="AI147" i="25"/>
  <c r="AH147" i="25" s="1"/>
  <c r="AG147" i="25" s="1"/>
  <c r="AF147" i="25" s="1"/>
  <c r="AD147" i="25" s="1"/>
  <c r="AI155" i="25"/>
  <c r="AH155" i="25" s="1"/>
  <c r="AG155" i="25" s="1"/>
  <c r="AF155" i="25" s="1"/>
  <c r="AD155" i="25" s="1"/>
  <c r="AI163" i="25"/>
  <c r="AH163" i="25" s="1"/>
  <c r="AG163" i="25" s="1"/>
  <c r="AF163" i="25" s="1"/>
  <c r="AD163" i="25" s="1"/>
  <c r="AI171" i="25"/>
  <c r="AH171" i="25" s="1"/>
  <c r="AG171" i="25" s="1"/>
  <c r="AF171" i="25" s="1"/>
  <c r="AD171" i="25" s="1"/>
  <c r="AI179" i="25"/>
  <c r="AH179" i="25" s="1"/>
  <c r="AG179" i="25" s="1"/>
  <c r="AF179" i="25" s="1"/>
  <c r="AD179" i="25" s="1"/>
  <c r="AI186" i="25"/>
  <c r="AH186" i="25" s="1"/>
  <c r="AG186" i="25" s="1"/>
  <c r="AF186" i="25" s="1"/>
  <c r="AD186" i="25" s="1"/>
  <c r="AI190" i="25"/>
  <c r="AH190" i="25" s="1"/>
  <c r="AG190" i="25" s="1"/>
  <c r="AF190" i="25" s="1"/>
  <c r="AD190" i="25" s="1"/>
  <c r="AI194" i="25"/>
  <c r="AH194" i="25" s="1"/>
  <c r="AG194" i="25" s="1"/>
  <c r="AF194" i="25" s="1"/>
  <c r="AD194" i="25" s="1"/>
  <c r="AI198" i="25"/>
  <c r="AH198" i="25" s="1"/>
  <c r="AG198" i="25" s="1"/>
  <c r="AF198" i="25" s="1"/>
  <c r="AD198" i="25" s="1"/>
  <c r="AI202" i="25"/>
  <c r="AH202" i="25" s="1"/>
  <c r="AG202" i="25" s="1"/>
  <c r="AF202" i="25" s="1"/>
  <c r="AD202" i="25" s="1"/>
  <c r="AI206" i="25"/>
  <c r="AH206" i="25" s="1"/>
  <c r="AG206" i="25" s="1"/>
  <c r="AF206" i="25" s="1"/>
  <c r="AD206" i="25" s="1"/>
  <c r="AI210" i="25"/>
  <c r="AH210" i="25" s="1"/>
  <c r="AG210" i="25" s="1"/>
  <c r="AF210" i="25" s="1"/>
  <c r="AD210" i="25" s="1"/>
  <c r="AI214" i="25"/>
  <c r="AH214" i="25" s="1"/>
  <c r="AG214" i="25" s="1"/>
  <c r="AF214" i="25" s="1"/>
  <c r="AD214" i="25" s="1"/>
  <c r="AI218" i="25"/>
  <c r="AH218" i="25" s="1"/>
  <c r="AG218" i="25" s="1"/>
  <c r="AF218" i="25" s="1"/>
  <c r="AD218" i="25" s="1"/>
  <c r="AI222" i="25"/>
  <c r="AH222" i="25" s="1"/>
  <c r="AG222" i="25" s="1"/>
  <c r="AF222" i="25" s="1"/>
  <c r="AD222" i="25" s="1"/>
  <c r="AI226" i="25"/>
  <c r="AH226" i="25" s="1"/>
  <c r="AG226" i="25" s="1"/>
  <c r="AF226" i="25" s="1"/>
  <c r="AD226" i="25" s="1"/>
  <c r="AI230" i="25"/>
  <c r="AH230" i="25" s="1"/>
  <c r="AG230" i="25" s="1"/>
  <c r="AF230" i="25" s="1"/>
  <c r="AD230" i="25" s="1"/>
  <c r="AI234" i="25"/>
  <c r="AH234" i="25" s="1"/>
  <c r="AG234" i="25" s="1"/>
  <c r="AF234" i="25" s="1"/>
  <c r="AD234" i="25" s="1"/>
  <c r="AI238" i="25"/>
  <c r="AH238" i="25" s="1"/>
  <c r="AG238" i="25" s="1"/>
  <c r="AF238" i="25" s="1"/>
  <c r="AD238" i="25" s="1"/>
  <c r="AI242" i="25"/>
  <c r="AH242" i="25" s="1"/>
  <c r="AG242" i="25" s="1"/>
  <c r="AF242" i="25" s="1"/>
  <c r="AD242" i="25" s="1"/>
  <c r="AI246" i="25"/>
  <c r="AH246" i="25" s="1"/>
  <c r="AG246" i="25" s="1"/>
  <c r="AF246" i="25" s="1"/>
  <c r="AD246" i="25" s="1"/>
  <c r="AI250" i="25"/>
  <c r="AH250" i="25" s="1"/>
  <c r="AG250" i="25" s="1"/>
  <c r="AF250" i="25" s="1"/>
  <c r="AD250" i="25" s="1"/>
  <c r="AI254" i="25"/>
  <c r="AH254" i="25" s="1"/>
  <c r="AI258" i="25"/>
  <c r="AH258" i="25" s="1"/>
  <c r="AG258" i="25" s="1"/>
  <c r="AF258" i="25" s="1"/>
  <c r="AD258" i="25" s="1"/>
  <c r="AI262" i="25"/>
  <c r="AH262" i="25" s="1"/>
  <c r="AG262" i="25" s="1"/>
  <c r="AF262" i="25" s="1"/>
  <c r="AD262" i="25" s="1"/>
  <c r="AI266" i="25"/>
  <c r="AH266" i="25" s="1"/>
  <c r="AG266" i="25" s="1"/>
  <c r="AF266" i="25" s="1"/>
  <c r="AD266" i="25" s="1"/>
  <c r="AI270" i="25"/>
  <c r="AH270" i="25" s="1"/>
  <c r="AG270" i="25" s="1"/>
  <c r="AF270" i="25" s="1"/>
  <c r="AD270" i="25" s="1"/>
  <c r="AI274" i="25"/>
  <c r="AH274" i="25" s="1"/>
  <c r="AG274" i="25" s="1"/>
  <c r="AF274" i="25" s="1"/>
  <c r="AD274" i="25" s="1"/>
  <c r="AI278" i="25"/>
  <c r="AH278" i="25" s="1"/>
  <c r="AG278" i="25" s="1"/>
  <c r="AF278" i="25" s="1"/>
  <c r="AD278" i="25" s="1"/>
  <c r="AI282" i="25"/>
  <c r="AH282" i="25" s="1"/>
  <c r="AG282" i="25" s="1"/>
  <c r="AF282" i="25" s="1"/>
  <c r="AD282" i="25" s="1"/>
  <c r="AI286" i="25"/>
  <c r="AH286" i="25" s="1"/>
  <c r="AG286" i="25" s="1"/>
  <c r="AF286" i="25" s="1"/>
  <c r="AD286" i="25" s="1"/>
  <c r="AI290" i="25"/>
  <c r="AH290" i="25" s="1"/>
  <c r="AG290" i="25" s="1"/>
  <c r="AF290" i="25" s="1"/>
  <c r="AD290" i="25" s="1"/>
  <c r="AI294" i="25"/>
  <c r="AH294" i="25" s="1"/>
  <c r="AG294" i="25" s="1"/>
  <c r="AF294" i="25" s="1"/>
  <c r="AD294" i="25" s="1"/>
  <c r="AI298" i="25"/>
  <c r="AH298" i="25" s="1"/>
  <c r="AG298" i="25" s="1"/>
  <c r="AF298" i="25" s="1"/>
  <c r="AD298" i="25" s="1"/>
  <c r="AI302" i="25"/>
  <c r="AH302" i="25" s="1"/>
  <c r="AG302" i="25" s="1"/>
  <c r="AF302" i="25" s="1"/>
  <c r="AD302" i="25" s="1"/>
  <c r="AI306" i="25"/>
  <c r="AH306" i="25" s="1"/>
  <c r="AG306" i="25" s="1"/>
  <c r="AF306" i="25" s="1"/>
  <c r="AD306" i="25" s="1"/>
  <c r="AI310" i="25"/>
  <c r="AH310" i="25" s="1"/>
  <c r="AG310" i="25" s="1"/>
  <c r="AF310" i="25" s="1"/>
  <c r="AD310" i="25" s="1"/>
  <c r="AI314" i="25"/>
  <c r="AH314" i="25" s="1"/>
  <c r="AG314" i="25" s="1"/>
  <c r="AF314" i="25" s="1"/>
  <c r="AD314" i="25" s="1"/>
  <c r="AI318" i="25"/>
  <c r="AH318" i="25" s="1"/>
  <c r="AG318" i="25" s="1"/>
  <c r="AF318" i="25" s="1"/>
  <c r="AD318" i="25" s="1"/>
  <c r="AI322" i="25"/>
  <c r="AH322" i="25" s="1"/>
  <c r="AG322" i="25" s="1"/>
  <c r="AF322" i="25" s="1"/>
  <c r="AD322" i="25" s="1"/>
  <c r="AI326" i="25"/>
  <c r="AH326" i="25" s="1"/>
  <c r="AG326" i="25" s="1"/>
  <c r="AF326" i="25" s="1"/>
  <c r="AD326" i="25" s="1"/>
  <c r="AI330" i="25"/>
  <c r="AH330" i="25" s="1"/>
  <c r="AG330" i="25" s="1"/>
  <c r="AF330" i="25" s="1"/>
  <c r="AD330" i="25" s="1"/>
  <c r="AI334" i="25"/>
  <c r="AH334" i="25" s="1"/>
  <c r="AG334" i="25" s="1"/>
  <c r="AF334" i="25" s="1"/>
  <c r="AD334" i="25" s="1"/>
  <c r="AI338" i="25"/>
  <c r="AH338" i="25" s="1"/>
  <c r="AG338" i="25" s="1"/>
  <c r="AF338" i="25" s="1"/>
  <c r="AD338" i="25" s="1"/>
  <c r="AI342" i="25"/>
  <c r="AH342" i="25" s="1"/>
  <c r="AG342" i="25" s="1"/>
  <c r="AF342" i="25" s="1"/>
  <c r="AD342" i="25" s="1"/>
  <c r="AI346" i="25"/>
  <c r="AH346" i="25" s="1"/>
  <c r="AG346" i="25" s="1"/>
  <c r="AF346" i="25" s="1"/>
  <c r="AD346" i="25" s="1"/>
  <c r="AI350" i="25"/>
  <c r="AH350" i="25" s="1"/>
  <c r="AG350" i="25" s="1"/>
  <c r="AF350" i="25" s="1"/>
  <c r="AD350" i="25" s="1"/>
  <c r="AI354" i="25"/>
  <c r="AH354" i="25" s="1"/>
  <c r="AG354" i="25" s="1"/>
  <c r="AF354" i="25" s="1"/>
  <c r="AD354" i="25" s="1"/>
  <c r="AI358" i="25"/>
  <c r="AH358" i="25" s="1"/>
  <c r="AG358" i="25" s="1"/>
  <c r="AF358" i="25" s="1"/>
  <c r="AD358" i="25" s="1"/>
  <c r="AI362" i="25"/>
  <c r="AH362" i="25" s="1"/>
  <c r="AG362" i="25" s="1"/>
  <c r="AF362" i="25" s="1"/>
  <c r="AD362" i="25" s="1"/>
  <c r="AI366" i="25"/>
  <c r="AH366" i="25" s="1"/>
  <c r="AG366" i="25" s="1"/>
  <c r="AF366" i="25" s="1"/>
  <c r="AD366" i="25" s="1"/>
  <c r="AI370" i="25"/>
  <c r="AH370" i="25" s="1"/>
  <c r="AG370" i="25" s="1"/>
  <c r="AF370" i="25" s="1"/>
  <c r="AD370" i="25" s="1"/>
  <c r="AI374" i="25"/>
  <c r="AH374" i="25" s="1"/>
  <c r="AG374" i="25" s="1"/>
  <c r="AF374" i="25" s="1"/>
  <c r="AD374" i="25" s="1"/>
  <c r="AI378" i="25"/>
  <c r="AH378" i="25" s="1"/>
  <c r="AG378" i="25" s="1"/>
  <c r="AF378" i="25" s="1"/>
  <c r="AD378" i="25" s="1"/>
  <c r="AI111" i="25"/>
  <c r="AH111" i="25" s="1"/>
  <c r="AG111" i="25" s="1"/>
  <c r="AF111" i="25" s="1"/>
  <c r="AD111" i="25" s="1"/>
  <c r="AI119" i="25"/>
  <c r="AH119" i="25" s="1"/>
  <c r="AG119" i="25" s="1"/>
  <c r="AF119" i="25" s="1"/>
  <c r="AD119" i="25" s="1"/>
  <c r="AI127" i="25"/>
  <c r="AH127" i="25" s="1"/>
  <c r="AG127" i="25" s="1"/>
  <c r="AF127" i="25" s="1"/>
  <c r="AD127" i="25" s="1"/>
  <c r="AI135" i="25"/>
  <c r="AH135" i="25" s="1"/>
  <c r="AG135" i="25" s="1"/>
  <c r="AF135" i="25" s="1"/>
  <c r="AD135" i="25" s="1"/>
  <c r="AI143" i="25"/>
  <c r="AH143" i="25" s="1"/>
  <c r="AG143" i="25" s="1"/>
  <c r="AF143" i="25" s="1"/>
  <c r="AD143" i="25" s="1"/>
  <c r="AI151" i="25"/>
  <c r="AH151" i="25" s="1"/>
  <c r="AG151" i="25" s="1"/>
  <c r="AF151" i="25" s="1"/>
  <c r="AD151" i="25" s="1"/>
  <c r="AI159" i="25"/>
  <c r="AH159" i="25" s="1"/>
  <c r="AG159" i="25" s="1"/>
  <c r="AF159" i="25" s="1"/>
  <c r="AD159" i="25" s="1"/>
  <c r="AI167" i="25"/>
  <c r="AH167" i="25" s="1"/>
  <c r="AG167" i="25" s="1"/>
  <c r="AF167" i="25" s="1"/>
  <c r="AD167" i="25" s="1"/>
  <c r="AI175" i="25"/>
  <c r="AH175" i="25" s="1"/>
  <c r="AG175" i="25" s="1"/>
  <c r="AF175" i="25" s="1"/>
  <c r="AD175" i="25" s="1"/>
  <c r="AI183" i="25"/>
  <c r="AH183" i="25" s="1"/>
  <c r="AG183" i="25" s="1"/>
  <c r="AF183" i="25" s="1"/>
  <c r="AD183" i="25" s="1"/>
  <c r="AI188" i="25"/>
  <c r="AH188" i="25" s="1"/>
  <c r="AG188" i="25" s="1"/>
  <c r="AF188" i="25" s="1"/>
  <c r="AD188" i="25" s="1"/>
  <c r="AI192" i="25"/>
  <c r="AH192" i="25" s="1"/>
  <c r="AG192" i="25" s="1"/>
  <c r="AF192" i="25" s="1"/>
  <c r="AD192" i="25" s="1"/>
  <c r="AI196" i="25"/>
  <c r="AH196" i="25" s="1"/>
  <c r="AG196" i="25" s="1"/>
  <c r="AF196" i="25" s="1"/>
  <c r="AD196" i="25" s="1"/>
  <c r="AI200" i="25"/>
  <c r="AH200" i="25" s="1"/>
  <c r="AG200" i="25" s="1"/>
  <c r="AF200" i="25" s="1"/>
  <c r="AD200" i="25" s="1"/>
  <c r="AI204" i="25"/>
  <c r="AH204" i="25" s="1"/>
  <c r="AG204" i="25" s="1"/>
  <c r="AF204" i="25" s="1"/>
  <c r="AD204" i="25" s="1"/>
  <c r="AI208" i="25"/>
  <c r="AH208" i="25" s="1"/>
  <c r="AG208" i="25" s="1"/>
  <c r="AF208" i="25" s="1"/>
  <c r="AD208" i="25" s="1"/>
  <c r="AI212" i="25"/>
  <c r="AH212" i="25" s="1"/>
  <c r="AG212" i="25" s="1"/>
  <c r="AF212" i="25" s="1"/>
  <c r="AD212" i="25" s="1"/>
  <c r="AI216" i="25"/>
  <c r="AH216" i="25" s="1"/>
  <c r="AG216" i="25" s="1"/>
  <c r="AF216" i="25" s="1"/>
  <c r="AD216" i="25" s="1"/>
  <c r="AI220" i="25"/>
  <c r="AH220" i="25" s="1"/>
  <c r="AG220" i="25" s="1"/>
  <c r="AF220" i="25" s="1"/>
  <c r="AD220" i="25" s="1"/>
  <c r="AI224" i="25"/>
  <c r="AH224" i="25" s="1"/>
  <c r="AG224" i="25" s="1"/>
  <c r="AF224" i="25" s="1"/>
  <c r="AD224" i="25" s="1"/>
  <c r="AI228" i="25"/>
  <c r="AH228" i="25" s="1"/>
  <c r="AG228" i="25" s="1"/>
  <c r="AF228" i="25" s="1"/>
  <c r="AD228" i="25" s="1"/>
  <c r="AI232" i="25"/>
  <c r="AH232" i="25" s="1"/>
  <c r="AG232" i="25" s="1"/>
  <c r="AF232" i="25" s="1"/>
  <c r="AD232" i="25" s="1"/>
  <c r="AI236" i="25"/>
  <c r="AH236" i="25" s="1"/>
  <c r="AG236" i="25" s="1"/>
  <c r="AF236" i="25" s="1"/>
  <c r="AD236" i="25" s="1"/>
  <c r="AI240" i="25"/>
  <c r="AH240" i="25" s="1"/>
  <c r="AG240" i="25" s="1"/>
  <c r="AF240" i="25" s="1"/>
  <c r="AD240" i="25" s="1"/>
  <c r="AI244" i="25"/>
  <c r="AH244" i="25" s="1"/>
  <c r="AG244" i="25" s="1"/>
  <c r="AF244" i="25" s="1"/>
  <c r="AD244" i="25" s="1"/>
  <c r="AI248" i="25"/>
  <c r="AH248" i="25" s="1"/>
  <c r="AG248" i="25" s="1"/>
  <c r="AF248" i="25" s="1"/>
  <c r="AD248" i="25" s="1"/>
  <c r="AI252" i="25"/>
  <c r="AH252" i="25" s="1"/>
  <c r="AG252" i="25" s="1"/>
  <c r="AF252" i="25" s="1"/>
  <c r="AD252" i="25" s="1"/>
  <c r="AI256" i="25"/>
  <c r="AH256" i="25" s="1"/>
  <c r="AG256" i="25" s="1"/>
  <c r="AF256" i="25" s="1"/>
  <c r="AD256" i="25" s="1"/>
  <c r="AI260" i="25"/>
  <c r="AH260" i="25" s="1"/>
  <c r="AG260" i="25" s="1"/>
  <c r="AF260" i="25" s="1"/>
  <c r="AD260" i="25" s="1"/>
  <c r="AI264" i="25"/>
  <c r="AH264" i="25" s="1"/>
  <c r="AG264" i="25" s="1"/>
  <c r="AF264" i="25" s="1"/>
  <c r="AD264" i="25" s="1"/>
  <c r="AI268" i="25"/>
  <c r="AH268" i="25" s="1"/>
  <c r="AG268" i="25" s="1"/>
  <c r="AF268" i="25" s="1"/>
  <c r="AD268" i="25" s="1"/>
  <c r="AI272" i="25"/>
  <c r="AH272" i="25" s="1"/>
  <c r="AG272" i="25" s="1"/>
  <c r="AF272" i="25" s="1"/>
  <c r="AD272" i="25" s="1"/>
  <c r="AI276" i="25"/>
  <c r="AH276" i="25" s="1"/>
  <c r="AG276" i="25" s="1"/>
  <c r="AF276" i="25" s="1"/>
  <c r="AD276" i="25" s="1"/>
  <c r="AI280" i="25"/>
  <c r="AH280" i="25" s="1"/>
  <c r="AG280" i="25" s="1"/>
  <c r="AF280" i="25" s="1"/>
  <c r="AD280" i="25" s="1"/>
  <c r="AI284" i="25"/>
  <c r="AH284" i="25" s="1"/>
  <c r="AG284" i="25" s="1"/>
  <c r="AF284" i="25" s="1"/>
  <c r="AD284" i="25" s="1"/>
  <c r="AI288" i="25"/>
  <c r="AH288" i="25" s="1"/>
  <c r="AG288" i="25" s="1"/>
  <c r="AF288" i="25" s="1"/>
  <c r="AD288" i="25" s="1"/>
  <c r="AI292" i="25"/>
  <c r="AH292" i="25" s="1"/>
  <c r="AG292" i="25" s="1"/>
  <c r="AF292" i="25" s="1"/>
  <c r="AD292" i="25" s="1"/>
  <c r="AI296" i="25"/>
  <c r="AH296" i="25" s="1"/>
  <c r="AG296" i="25" s="1"/>
  <c r="AF296" i="25" s="1"/>
  <c r="AD296" i="25" s="1"/>
  <c r="AI300" i="25"/>
  <c r="AH300" i="25" s="1"/>
  <c r="AG300" i="25" s="1"/>
  <c r="AF300" i="25" s="1"/>
  <c r="AD300" i="25" s="1"/>
  <c r="AI304" i="25"/>
  <c r="AH304" i="25" s="1"/>
  <c r="AG304" i="25" s="1"/>
  <c r="AF304" i="25" s="1"/>
  <c r="AD304" i="25" s="1"/>
  <c r="AI308" i="25"/>
  <c r="AH308" i="25" s="1"/>
  <c r="AG308" i="25" s="1"/>
  <c r="AF308" i="25" s="1"/>
  <c r="AD308" i="25" s="1"/>
  <c r="AI312" i="25"/>
  <c r="AH312" i="25" s="1"/>
  <c r="AG312" i="25" s="1"/>
  <c r="AF312" i="25" s="1"/>
  <c r="AD312" i="25" s="1"/>
  <c r="AI316" i="25"/>
  <c r="AH316" i="25" s="1"/>
  <c r="AG316" i="25" s="1"/>
  <c r="AF316" i="25" s="1"/>
  <c r="AD316" i="25" s="1"/>
  <c r="AI320" i="25"/>
  <c r="AH320" i="25" s="1"/>
  <c r="AG320" i="25" s="1"/>
  <c r="AF320" i="25" s="1"/>
  <c r="AD320" i="25" s="1"/>
  <c r="AI324" i="25"/>
  <c r="AH324" i="25" s="1"/>
  <c r="AG324" i="25" s="1"/>
  <c r="AF324" i="25" s="1"/>
  <c r="AD324" i="25" s="1"/>
  <c r="AI328" i="25"/>
  <c r="AH328" i="25" s="1"/>
  <c r="AG328" i="25" s="1"/>
  <c r="AF328" i="25" s="1"/>
  <c r="AD328" i="25" s="1"/>
  <c r="AI332" i="25"/>
  <c r="AH332" i="25" s="1"/>
  <c r="AG332" i="25" s="1"/>
  <c r="AF332" i="25" s="1"/>
  <c r="AD332" i="25" s="1"/>
  <c r="AI336" i="25"/>
  <c r="AH336" i="25" s="1"/>
  <c r="AG336" i="25" s="1"/>
  <c r="AF336" i="25" s="1"/>
  <c r="AD336" i="25" s="1"/>
  <c r="AI340" i="25"/>
  <c r="AH340" i="25" s="1"/>
  <c r="AG340" i="25" s="1"/>
  <c r="AF340" i="25" s="1"/>
  <c r="AD340" i="25" s="1"/>
  <c r="AI344" i="25"/>
  <c r="AH344" i="25" s="1"/>
  <c r="AG344" i="25" s="1"/>
  <c r="AF344" i="25" s="1"/>
  <c r="AD344" i="25" s="1"/>
  <c r="AI348" i="25"/>
  <c r="AH348" i="25" s="1"/>
  <c r="AG348" i="25" s="1"/>
  <c r="AF348" i="25" s="1"/>
  <c r="AD348" i="25" s="1"/>
  <c r="AI352" i="25"/>
  <c r="AH352" i="25" s="1"/>
  <c r="AG352" i="25" s="1"/>
  <c r="AF352" i="25" s="1"/>
  <c r="AD352" i="25" s="1"/>
  <c r="AI356" i="25"/>
  <c r="AH356" i="25" s="1"/>
  <c r="AG356" i="25" s="1"/>
  <c r="AF356" i="25" s="1"/>
  <c r="AD356" i="25" s="1"/>
  <c r="AI360" i="25"/>
  <c r="AH360" i="25" s="1"/>
  <c r="AG360" i="25" s="1"/>
  <c r="AF360" i="25" s="1"/>
  <c r="AD360" i="25" s="1"/>
  <c r="AI364" i="25"/>
  <c r="AH364" i="25" s="1"/>
  <c r="AG364" i="25" s="1"/>
  <c r="AF364" i="25" s="1"/>
  <c r="AD364" i="25" s="1"/>
  <c r="AI368" i="25"/>
  <c r="AH368" i="25" s="1"/>
  <c r="AG368" i="25" s="1"/>
  <c r="AF368" i="25" s="1"/>
  <c r="AD368" i="25" s="1"/>
  <c r="AI372" i="25"/>
  <c r="AH372" i="25" s="1"/>
  <c r="AG372" i="25" s="1"/>
  <c r="AF372" i="25" s="1"/>
  <c r="AD372" i="25" s="1"/>
  <c r="AI376" i="25"/>
  <c r="AH376" i="25" s="1"/>
  <c r="AG376" i="25" s="1"/>
  <c r="AF376" i="25" s="1"/>
  <c r="AD376" i="25" s="1"/>
  <c r="BG16" i="7"/>
  <c r="AI18" i="25"/>
  <c r="AH18" i="25" s="1"/>
  <c r="AG18" i="25" s="1"/>
  <c r="AF18" i="25" s="1"/>
  <c r="AD18" i="25" s="1"/>
  <c r="AI21" i="25"/>
  <c r="AH21" i="25" s="1"/>
  <c r="AG21" i="25" s="1"/>
  <c r="AF21" i="25" s="1"/>
  <c r="AD21" i="25" s="1"/>
  <c r="AI25" i="25"/>
  <c r="AH25" i="25" s="1"/>
  <c r="AG25" i="25" s="1"/>
  <c r="AF25" i="25" s="1"/>
  <c r="AD25" i="25" s="1"/>
  <c r="AI15" i="25"/>
  <c r="AI26" i="25"/>
  <c r="AH26" i="25" s="1"/>
  <c r="AG26" i="25" s="1"/>
  <c r="AF26" i="25" s="1"/>
  <c r="AD26" i="25" s="1"/>
  <c r="AI19" i="25"/>
  <c r="AH19" i="25" s="1"/>
  <c r="AG19" i="25" s="1"/>
  <c r="AF19" i="25" s="1"/>
  <c r="AD19" i="25" s="1"/>
  <c r="AI28" i="25"/>
  <c r="AH28" i="25" s="1"/>
  <c r="AG28" i="25" s="1"/>
  <c r="AF28" i="25" s="1"/>
  <c r="AD28" i="25" s="1"/>
  <c r="AI30" i="25"/>
  <c r="AH30" i="25" s="1"/>
  <c r="AG30" i="25" s="1"/>
  <c r="AF30" i="25" s="1"/>
  <c r="AD30" i="25" s="1"/>
  <c r="AI32" i="25"/>
  <c r="AH32" i="25" s="1"/>
  <c r="AG32" i="25" s="1"/>
  <c r="AF32" i="25" s="1"/>
  <c r="AD32" i="25" s="1"/>
  <c r="AI34" i="25"/>
  <c r="AH34" i="25" s="1"/>
  <c r="AG34" i="25" s="1"/>
  <c r="AF34" i="25" s="1"/>
  <c r="AD34" i="25" s="1"/>
  <c r="AI36" i="25"/>
  <c r="AH36" i="25" s="1"/>
  <c r="AG36" i="25" s="1"/>
  <c r="AF36" i="25" s="1"/>
  <c r="AD36" i="25" s="1"/>
  <c r="AI38" i="25"/>
  <c r="AH38" i="25" s="1"/>
  <c r="AG38" i="25" s="1"/>
  <c r="AF38" i="25" s="1"/>
  <c r="AD38" i="25" s="1"/>
  <c r="AI40" i="25"/>
  <c r="AH40" i="25" s="1"/>
  <c r="AG40" i="25" s="1"/>
  <c r="AF40" i="25" s="1"/>
  <c r="AD40" i="25" s="1"/>
  <c r="AI42" i="25"/>
  <c r="AH42" i="25" s="1"/>
  <c r="AG42" i="25" s="1"/>
  <c r="AF42" i="25" s="1"/>
  <c r="AD42" i="25" s="1"/>
  <c r="AI44" i="25"/>
  <c r="AH44" i="25" s="1"/>
  <c r="AG44" i="25" s="1"/>
  <c r="AF44" i="25" s="1"/>
  <c r="AD44" i="25" s="1"/>
  <c r="AI46" i="25"/>
  <c r="AH46" i="25" s="1"/>
  <c r="AG46" i="25" s="1"/>
  <c r="AF46" i="25" s="1"/>
  <c r="AD46" i="25" s="1"/>
  <c r="AI48" i="25"/>
  <c r="AH48" i="25" s="1"/>
  <c r="AG48" i="25" s="1"/>
  <c r="AF48" i="25" s="1"/>
  <c r="AD48" i="25" s="1"/>
  <c r="AI50" i="25"/>
  <c r="AH50" i="25" s="1"/>
  <c r="AG50" i="25" s="1"/>
  <c r="AF50" i="25" s="1"/>
  <c r="AD50" i="25" s="1"/>
  <c r="AI52" i="25"/>
  <c r="AH52" i="25" s="1"/>
  <c r="AG52" i="25" s="1"/>
  <c r="AF52" i="25" s="1"/>
  <c r="AD52" i="25" s="1"/>
  <c r="AI54" i="25"/>
  <c r="AH54" i="25" s="1"/>
  <c r="AG54" i="25" s="1"/>
  <c r="AF54" i="25" s="1"/>
  <c r="AD54" i="25" s="1"/>
  <c r="AI56" i="25"/>
  <c r="AH56" i="25" s="1"/>
  <c r="AG56" i="25" s="1"/>
  <c r="AF56" i="25" s="1"/>
  <c r="AD56" i="25" s="1"/>
  <c r="AI58" i="25"/>
  <c r="AH58" i="25" s="1"/>
  <c r="AG58" i="25" s="1"/>
  <c r="AF58" i="25" s="1"/>
  <c r="AD58" i="25" s="1"/>
  <c r="AI60" i="25"/>
  <c r="AH60" i="25" s="1"/>
  <c r="AG60" i="25" s="1"/>
  <c r="AF60" i="25" s="1"/>
  <c r="AD60" i="25" s="1"/>
  <c r="AI62" i="25"/>
  <c r="AH62" i="25" s="1"/>
  <c r="AG62" i="25" s="1"/>
  <c r="AF62" i="25" s="1"/>
  <c r="AD62" i="25" s="1"/>
  <c r="AI64" i="25"/>
  <c r="AH64" i="25" s="1"/>
  <c r="AG64" i="25" s="1"/>
  <c r="AF64" i="25" s="1"/>
  <c r="AD64" i="25" s="1"/>
  <c r="AI66" i="25"/>
  <c r="AH66" i="25" s="1"/>
  <c r="AG66" i="25" s="1"/>
  <c r="AF66" i="25" s="1"/>
  <c r="AD66" i="25" s="1"/>
  <c r="AI68" i="25"/>
  <c r="AH68" i="25" s="1"/>
  <c r="AG68" i="25" s="1"/>
  <c r="AF68" i="25" s="1"/>
  <c r="AD68" i="25" s="1"/>
  <c r="AI70" i="25"/>
  <c r="AH70" i="25" s="1"/>
  <c r="AG70" i="25" s="1"/>
  <c r="AF70" i="25" s="1"/>
  <c r="AD70" i="25" s="1"/>
  <c r="AI72" i="25"/>
  <c r="AH72" i="25" s="1"/>
  <c r="AG72" i="25" s="1"/>
  <c r="AF72" i="25" s="1"/>
  <c r="AD72" i="25" s="1"/>
  <c r="AI74" i="25"/>
  <c r="AH74" i="25" s="1"/>
  <c r="AG74" i="25" s="1"/>
  <c r="AF74" i="25" s="1"/>
  <c r="AD74" i="25" s="1"/>
  <c r="AI76" i="25"/>
  <c r="AH76" i="25" s="1"/>
  <c r="AG76" i="25" s="1"/>
  <c r="AF76" i="25" s="1"/>
  <c r="AD76" i="25" s="1"/>
  <c r="AI78" i="25"/>
  <c r="AH78" i="25" s="1"/>
  <c r="AG78" i="25" s="1"/>
  <c r="AF78" i="25" s="1"/>
  <c r="AD78" i="25" s="1"/>
  <c r="AI80" i="25"/>
  <c r="AH80" i="25" s="1"/>
  <c r="AG80" i="25" s="1"/>
  <c r="AF80" i="25" s="1"/>
  <c r="AD80" i="25" s="1"/>
  <c r="AI82" i="25"/>
  <c r="AH82" i="25" s="1"/>
  <c r="AG82" i="25" s="1"/>
  <c r="AF82" i="25" s="1"/>
  <c r="AD82" i="25" s="1"/>
  <c r="AI84" i="25"/>
  <c r="AH84" i="25" s="1"/>
  <c r="AG84" i="25" s="1"/>
  <c r="AF84" i="25" s="1"/>
  <c r="AD84" i="25" s="1"/>
  <c r="AI86" i="25"/>
  <c r="AH86" i="25" s="1"/>
  <c r="AG86" i="25" s="1"/>
  <c r="AF86" i="25" s="1"/>
  <c r="AD86" i="25" s="1"/>
  <c r="AI88" i="25"/>
  <c r="AH88" i="25" s="1"/>
  <c r="AG88" i="25" s="1"/>
  <c r="AF88" i="25" s="1"/>
  <c r="AD88" i="25" s="1"/>
  <c r="AI90" i="25"/>
  <c r="AH90" i="25" s="1"/>
  <c r="AG90" i="25" s="1"/>
  <c r="AF90" i="25" s="1"/>
  <c r="AD90" i="25" s="1"/>
  <c r="AI92" i="25"/>
  <c r="AH92" i="25" s="1"/>
  <c r="AG92" i="25" s="1"/>
  <c r="AF92" i="25" s="1"/>
  <c r="AD92" i="25" s="1"/>
  <c r="AI94" i="25"/>
  <c r="AH94" i="25" s="1"/>
  <c r="AG94" i="25" s="1"/>
  <c r="AF94" i="25" s="1"/>
  <c r="AD94" i="25" s="1"/>
  <c r="AI96" i="25"/>
  <c r="AH96" i="25" s="1"/>
  <c r="AG96" i="25" s="1"/>
  <c r="AF96" i="25" s="1"/>
  <c r="AD96" i="25" s="1"/>
  <c r="AI98" i="25"/>
  <c r="AH98" i="25" s="1"/>
  <c r="AG98" i="25" s="1"/>
  <c r="AF98" i="25" s="1"/>
  <c r="AD98" i="25" s="1"/>
  <c r="AI100" i="25"/>
  <c r="AH100" i="25" s="1"/>
  <c r="AG100" i="25" s="1"/>
  <c r="AF100" i="25" s="1"/>
  <c r="AD100" i="25" s="1"/>
  <c r="AI102" i="25"/>
  <c r="AH102" i="25" s="1"/>
  <c r="AG102" i="25" s="1"/>
  <c r="AF102" i="25" s="1"/>
  <c r="AD102" i="25" s="1"/>
  <c r="AI104" i="25"/>
  <c r="AH104" i="25" s="1"/>
  <c r="AG104" i="25" s="1"/>
  <c r="AF104" i="25" s="1"/>
  <c r="AD104" i="25" s="1"/>
  <c r="AI106" i="25"/>
  <c r="AH106" i="25" s="1"/>
  <c r="AG106" i="25" s="1"/>
  <c r="AF106" i="25" s="1"/>
  <c r="AD106" i="25" s="1"/>
  <c r="AI108" i="25"/>
  <c r="AH108" i="25" s="1"/>
  <c r="AG108" i="25" s="1"/>
  <c r="AF108" i="25" s="1"/>
  <c r="AD108" i="25" s="1"/>
  <c r="AI110" i="25"/>
  <c r="AH110" i="25" s="1"/>
  <c r="AG110" i="25" s="1"/>
  <c r="AF110" i="25" s="1"/>
  <c r="AD110" i="25" s="1"/>
  <c r="AI112" i="25"/>
  <c r="AH112" i="25" s="1"/>
  <c r="AG112" i="25" s="1"/>
  <c r="AF112" i="25" s="1"/>
  <c r="AD112" i="25" s="1"/>
  <c r="AI114" i="25"/>
  <c r="AH114" i="25" s="1"/>
  <c r="AG114" i="25" s="1"/>
  <c r="AF114" i="25" s="1"/>
  <c r="AD114" i="25" s="1"/>
  <c r="AI116" i="25"/>
  <c r="AH116" i="25" s="1"/>
  <c r="AG116" i="25" s="1"/>
  <c r="AF116" i="25" s="1"/>
  <c r="AD116" i="25" s="1"/>
  <c r="AI118" i="25"/>
  <c r="AH118" i="25" s="1"/>
  <c r="AG118" i="25" s="1"/>
  <c r="AF118" i="25" s="1"/>
  <c r="AD118" i="25" s="1"/>
  <c r="AI120" i="25"/>
  <c r="AH120" i="25" s="1"/>
  <c r="AG120" i="25" s="1"/>
  <c r="AF120" i="25" s="1"/>
  <c r="AD120" i="25" s="1"/>
  <c r="AI122" i="25"/>
  <c r="AH122" i="25" s="1"/>
  <c r="AG122" i="25" s="1"/>
  <c r="AF122" i="25" s="1"/>
  <c r="AD122" i="25" s="1"/>
  <c r="AI124" i="25"/>
  <c r="AH124" i="25" s="1"/>
  <c r="AG124" i="25" s="1"/>
  <c r="AF124" i="25" s="1"/>
  <c r="AD124" i="25" s="1"/>
  <c r="AI126" i="25"/>
  <c r="AH126" i="25" s="1"/>
  <c r="AG126" i="25" s="1"/>
  <c r="AF126" i="25" s="1"/>
  <c r="AD126" i="25" s="1"/>
  <c r="AI128" i="25"/>
  <c r="AH128" i="25" s="1"/>
  <c r="AG128" i="25" s="1"/>
  <c r="AF128" i="25" s="1"/>
  <c r="AD128" i="25" s="1"/>
  <c r="AI130" i="25"/>
  <c r="AH130" i="25" s="1"/>
  <c r="AG130" i="25" s="1"/>
  <c r="AF130" i="25" s="1"/>
  <c r="AD130" i="25" s="1"/>
  <c r="AI132" i="25"/>
  <c r="AH132" i="25" s="1"/>
  <c r="AG132" i="25" s="1"/>
  <c r="AF132" i="25" s="1"/>
  <c r="AD132" i="25" s="1"/>
  <c r="AI134" i="25"/>
  <c r="AH134" i="25" s="1"/>
  <c r="AG134" i="25" s="1"/>
  <c r="AF134" i="25" s="1"/>
  <c r="AD134" i="25" s="1"/>
  <c r="AI136" i="25"/>
  <c r="AH136" i="25" s="1"/>
  <c r="AG136" i="25" s="1"/>
  <c r="AF136" i="25" s="1"/>
  <c r="AD136" i="25" s="1"/>
  <c r="AI138" i="25"/>
  <c r="AH138" i="25" s="1"/>
  <c r="AG138" i="25" s="1"/>
  <c r="AF138" i="25" s="1"/>
  <c r="AD138" i="25" s="1"/>
  <c r="AI140" i="25"/>
  <c r="AH140" i="25" s="1"/>
  <c r="AG140" i="25" s="1"/>
  <c r="AF140" i="25" s="1"/>
  <c r="AD140" i="25" s="1"/>
  <c r="AI142" i="25"/>
  <c r="AH142" i="25" s="1"/>
  <c r="AG142" i="25" s="1"/>
  <c r="AF142" i="25" s="1"/>
  <c r="AD142" i="25" s="1"/>
  <c r="AI144" i="25"/>
  <c r="AH144" i="25" s="1"/>
  <c r="AG144" i="25" s="1"/>
  <c r="AF144" i="25" s="1"/>
  <c r="AD144" i="25" s="1"/>
  <c r="AI146" i="25"/>
  <c r="AH146" i="25" s="1"/>
  <c r="AG146" i="25" s="1"/>
  <c r="AF146" i="25" s="1"/>
  <c r="AD146" i="25" s="1"/>
  <c r="AI148" i="25"/>
  <c r="AH148" i="25" s="1"/>
  <c r="AG148" i="25" s="1"/>
  <c r="AF148" i="25" s="1"/>
  <c r="AD148" i="25" s="1"/>
  <c r="AI150" i="25"/>
  <c r="AH150" i="25" s="1"/>
  <c r="AG150" i="25" s="1"/>
  <c r="AF150" i="25" s="1"/>
  <c r="AD150" i="25" s="1"/>
  <c r="AI152" i="25"/>
  <c r="AH152" i="25" s="1"/>
  <c r="AG152" i="25" s="1"/>
  <c r="AF152" i="25" s="1"/>
  <c r="AD152" i="25" s="1"/>
  <c r="AI154" i="25"/>
  <c r="AH154" i="25" s="1"/>
  <c r="AG154" i="25" s="1"/>
  <c r="AF154" i="25" s="1"/>
  <c r="AD154" i="25" s="1"/>
  <c r="AI156" i="25"/>
  <c r="AH156" i="25" s="1"/>
  <c r="AG156" i="25" s="1"/>
  <c r="AF156" i="25" s="1"/>
  <c r="AD156" i="25" s="1"/>
  <c r="AI158" i="25"/>
  <c r="AH158" i="25" s="1"/>
  <c r="AG158" i="25" s="1"/>
  <c r="AF158" i="25" s="1"/>
  <c r="AD158" i="25" s="1"/>
  <c r="AI160" i="25"/>
  <c r="AH160" i="25" s="1"/>
  <c r="AG160" i="25" s="1"/>
  <c r="AF160" i="25" s="1"/>
  <c r="AD160" i="25" s="1"/>
  <c r="AI162" i="25"/>
  <c r="AH162" i="25" s="1"/>
  <c r="AG162" i="25" s="1"/>
  <c r="AF162" i="25" s="1"/>
  <c r="AD162" i="25" s="1"/>
  <c r="AI164" i="25"/>
  <c r="AH164" i="25" s="1"/>
  <c r="AG164" i="25" s="1"/>
  <c r="AF164" i="25" s="1"/>
  <c r="AD164" i="25" s="1"/>
  <c r="AI166" i="25"/>
  <c r="AH166" i="25" s="1"/>
  <c r="AG166" i="25" s="1"/>
  <c r="AF166" i="25" s="1"/>
  <c r="AD166" i="25" s="1"/>
  <c r="AI168" i="25"/>
  <c r="AH168" i="25" s="1"/>
  <c r="AG168" i="25" s="1"/>
  <c r="AF168" i="25" s="1"/>
  <c r="AD168" i="25" s="1"/>
  <c r="AI170" i="25"/>
  <c r="AH170" i="25" s="1"/>
  <c r="AG170" i="25" s="1"/>
  <c r="AF170" i="25" s="1"/>
  <c r="AD170" i="25" s="1"/>
  <c r="AI172" i="25"/>
  <c r="AH172" i="25" s="1"/>
  <c r="AG172" i="25" s="1"/>
  <c r="AF172" i="25" s="1"/>
  <c r="AD172" i="25" s="1"/>
  <c r="AI174" i="25"/>
  <c r="AH174" i="25" s="1"/>
  <c r="AG174" i="25" s="1"/>
  <c r="AF174" i="25" s="1"/>
  <c r="AD174" i="25" s="1"/>
  <c r="AI176" i="25"/>
  <c r="AH176" i="25" s="1"/>
  <c r="AG176" i="25" s="1"/>
  <c r="AF176" i="25" s="1"/>
  <c r="AD176" i="25" s="1"/>
  <c r="AI178" i="25"/>
  <c r="AH178" i="25" s="1"/>
  <c r="AG178" i="25" s="1"/>
  <c r="AF178" i="25" s="1"/>
  <c r="AD178" i="25" s="1"/>
  <c r="AI180" i="25"/>
  <c r="AH180" i="25" s="1"/>
  <c r="AG180" i="25" s="1"/>
  <c r="AF180" i="25" s="1"/>
  <c r="AD180" i="25" s="1"/>
  <c r="AI182" i="25"/>
  <c r="AH182" i="25" s="1"/>
  <c r="AG182" i="25" s="1"/>
  <c r="AF182" i="25" s="1"/>
  <c r="AD182" i="25" s="1"/>
  <c r="AI184" i="25"/>
  <c r="AH184" i="25" s="1"/>
  <c r="AG184" i="25" s="1"/>
  <c r="AF184" i="25" s="1"/>
  <c r="AD184" i="25" s="1"/>
  <c r="AI379" i="25"/>
  <c r="AH379" i="25" s="1"/>
  <c r="AG379" i="25" s="1"/>
  <c r="AF379" i="25" s="1"/>
  <c r="AD379" i="25" s="1"/>
  <c r="AI377" i="25"/>
  <c r="AH377" i="25" s="1"/>
  <c r="AG377" i="25" s="1"/>
  <c r="AF377" i="25" s="1"/>
  <c r="AD377" i="25" s="1"/>
  <c r="AI375" i="25"/>
  <c r="AH375" i="25" s="1"/>
  <c r="AG375" i="25" s="1"/>
  <c r="AF375" i="25" s="1"/>
  <c r="AD375" i="25" s="1"/>
  <c r="AI373" i="25"/>
  <c r="AH373" i="25" s="1"/>
  <c r="AG373" i="25" s="1"/>
  <c r="AF373" i="25" s="1"/>
  <c r="AD373" i="25" s="1"/>
  <c r="AI371" i="25"/>
  <c r="AH371" i="25" s="1"/>
  <c r="AG371" i="25" s="1"/>
  <c r="AF371" i="25" s="1"/>
  <c r="AD371" i="25" s="1"/>
  <c r="AI369" i="25"/>
  <c r="AH369" i="25" s="1"/>
  <c r="AG369" i="25" s="1"/>
  <c r="AF369" i="25" s="1"/>
  <c r="AD369" i="25" s="1"/>
  <c r="AI367" i="25"/>
  <c r="AH367" i="25" s="1"/>
  <c r="AG367" i="25" s="1"/>
  <c r="AF367" i="25" s="1"/>
  <c r="AD367" i="25" s="1"/>
  <c r="AI365" i="25"/>
  <c r="AH365" i="25" s="1"/>
  <c r="AG365" i="25" s="1"/>
  <c r="AF365" i="25" s="1"/>
  <c r="AD365" i="25" s="1"/>
  <c r="AI363" i="25"/>
  <c r="AH363" i="25" s="1"/>
  <c r="AG363" i="25" s="1"/>
  <c r="AF363" i="25" s="1"/>
  <c r="AD363" i="25" s="1"/>
  <c r="AI361" i="25"/>
  <c r="AH361" i="25" s="1"/>
  <c r="AG361" i="25" s="1"/>
  <c r="AF361" i="25" s="1"/>
  <c r="AD361" i="25" s="1"/>
  <c r="AI359" i="25"/>
  <c r="AH359" i="25" s="1"/>
  <c r="AG359" i="25" s="1"/>
  <c r="AF359" i="25" s="1"/>
  <c r="AD359" i="25" s="1"/>
  <c r="AI357" i="25"/>
  <c r="AH357" i="25" s="1"/>
  <c r="AG357" i="25" s="1"/>
  <c r="AF357" i="25" s="1"/>
  <c r="AD357" i="25" s="1"/>
  <c r="AI355" i="25"/>
  <c r="AH355" i="25" s="1"/>
  <c r="AG355" i="25" s="1"/>
  <c r="AF355" i="25" s="1"/>
  <c r="AD355" i="25" s="1"/>
  <c r="AI353" i="25"/>
  <c r="AH353" i="25" s="1"/>
  <c r="AG353" i="25" s="1"/>
  <c r="AF353" i="25" s="1"/>
  <c r="AD353" i="25" s="1"/>
  <c r="AI351" i="25"/>
  <c r="AH351" i="25" s="1"/>
  <c r="AG351" i="25" s="1"/>
  <c r="AF351" i="25" s="1"/>
  <c r="AD351" i="25" s="1"/>
  <c r="AI349" i="25"/>
  <c r="AH349" i="25" s="1"/>
  <c r="AG349" i="25" s="1"/>
  <c r="AF349" i="25" s="1"/>
  <c r="AD349" i="25" s="1"/>
  <c r="AI347" i="25"/>
  <c r="AH347" i="25" s="1"/>
  <c r="AG347" i="25" s="1"/>
  <c r="AF347" i="25" s="1"/>
  <c r="AD347" i="25" s="1"/>
  <c r="AI345" i="25"/>
  <c r="AH345" i="25" s="1"/>
  <c r="AG345" i="25" s="1"/>
  <c r="AF345" i="25" s="1"/>
  <c r="AD345" i="25" s="1"/>
  <c r="AI343" i="25"/>
  <c r="AH343" i="25" s="1"/>
  <c r="AG343" i="25" s="1"/>
  <c r="AF343" i="25" s="1"/>
  <c r="AD343" i="25" s="1"/>
  <c r="AI341" i="25"/>
  <c r="AH341" i="25" s="1"/>
  <c r="AG341" i="25" s="1"/>
  <c r="AF341" i="25" s="1"/>
  <c r="AD341" i="25" s="1"/>
  <c r="AI339" i="25"/>
  <c r="AH339" i="25" s="1"/>
  <c r="AG339" i="25" s="1"/>
  <c r="AF339" i="25" s="1"/>
  <c r="AD339" i="25" s="1"/>
  <c r="AI337" i="25"/>
  <c r="AH337" i="25" s="1"/>
  <c r="AG337" i="25" s="1"/>
  <c r="AF337" i="25" s="1"/>
  <c r="AD337" i="25" s="1"/>
  <c r="AI335" i="25"/>
  <c r="AH335" i="25" s="1"/>
  <c r="AG335" i="25" s="1"/>
  <c r="AF335" i="25" s="1"/>
  <c r="AD335" i="25" s="1"/>
  <c r="AI333" i="25"/>
  <c r="AH333" i="25" s="1"/>
  <c r="AG333" i="25" s="1"/>
  <c r="AF333" i="25" s="1"/>
  <c r="AD333" i="25" s="1"/>
  <c r="AI331" i="25"/>
  <c r="AH331" i="25" s="1"/>
  <c r="AG331" i="25" s="1"/>
  <c r="AF331" i="25" s="1"/>
  <c r="AD331" i="25" s="1"/>
  <c r="AI329" i="25"/>
  <c r="AH329" i="25" s="1"/>
  <c r="AG329" i="25" s="1"/>
  <c r="AF329" i="25" s="1"/>
  <c r="AD329" i="25" s="1"/>
  <c r="AI327" i="25"/>
  <c r="AH327" i="25" s="1"/>
  <c r="AG327" i="25" s="1"/>
  <c r="AF327" i="25" s="1"/>
  <c r="AD327" i="25" s="1"/>
  <c r="AI325" i="25"/>
  <c r="AH325" i="25" s="1"/>
  <c r="AG325" i="25" s="1"/>
  <c r="AF325" i="25" s="1"/>
  <c r="AD325" i="25" s="1"/>
  <c r="AI323" i="25"/>
  <c r="AH323" i="25" s="1"/>
  <c r="AG323" i="25" s="1"/>
  <c r="AF323" i="25" s="1"/>
  <c r="AD323" i="25" s="1"/>
  <c r="AI321" i="25"/>
  <c r="AH321" i="25" s="1"/>
  <c r="AG321" i="25" s="1"/>
  <c r="AF321" i="25" s="1"/>
  <c r="AD321" i="25" s="1"/>
  <c r="AI319" i="25"/>
  <c r="AH319" i="25" s="1"/>
  <c r="AG319" i="25" s="1"/>
  <c r="AF319" i="25" s="1"/>
  <c r="AD319" i="25" s="1"/>
  <c r="AI317" i="25"/>
  <c r="AH317" i="25" s="1"/>
  <c r="AG317" i="25" s="1"/>
  <c r="AF317" i="25" s="1"/>
  <c r="AD317" i="25" s="1"/>
  <c r="AI315" i="25"/>
  <c r="AH315" i="25" s="1"/>
  <c r="AG315" i="25" s="1"/>
  <c r="AF315" i="25" s="1"/>
  <c r="AD315" i="25" s="1"/>
  <c r="AI313" i="25"/>
  <c r="AH313" i="25" s="1"/>
  <c r="AG313" i="25" s="1"/>
  <c r="AF313" i="25" s="1"/>
  <c r="AD313" i="25" s="1"/>
  <c r="AI311" i="25"/>
  <c r="AH311" i="25" s="1"/>
  <c r="AG311" i="25" s="1"/>
  <c r="AF311" i="25" s="1"/>
  <c r="AD311" i="25" s="1"/>
  <c r="AI309" i="25"/>
  <c r="AH309" i="25" s="1"/>
  <c r="AG309" i="25" s="1"/>
  <c r="AF309" i="25" s="1"/>
  <c r="AD309" i="25" s="1"/>
  <c r="AI307" i="25"/>
  <c r="AH307" i="25" s="1"/>
  <c r="AG307" i="25" s="1"/>
  <c r="AF307" i="25" s="1"/>
  <c r="AD307" i="25" s="1"/>
  <c r="AI305" i="25"/>
  <c r="AH305" i="25" s="1"/>
  <c r="AG305" i="25" s="1"/>
  <c r="AF305" i="25" s="1"/>
  <c r="AD305" i="25" s="1"/>
  <c r="AI303" i="25"/>
  <c r="AH303" i="25" s="1"/>
  <c r="AG303" i="25" s="1"/>
  <c r="AF303" i="25" s="1"/>
  <c r="AD303" i="25" s="1"/>
  <c r="AI301" i="25"/>
  <c r="AH301" i="25" s="1"/>
  <c r="AG301" i="25" s="1"/>
  <c r="AF301" i="25" s="1"/>
  <c r="AD301" i="25" s="1"/>
  <c r="AI299" i="25"/>
  <c r="AH299" i="25" s="1"/>
  <c r="AG299" i="25" s="1"/>
  <c r="AF299" i="25" s="1"/>
  <c r="AD299" i="25" s="1"/>
  <c r="AI297" i="25"/>
  <c r="AH297" i="25" s="1"/>
  <c r="AG297" i="25" s="1"/>
  <c r="AF297" i="25" s="1"/>
  <c r="AD297" i="25" s="1"/>
  <c r="AI295" i="25"/>
  <c r="AH295" i="25" s="1"/>
  <c r="AG295" i="25" s="1"/>
  <c r="AF295" i="25" s="1"/>
  <c r="AD295" i="25" s="1"/>
  <c r="AI293" i="25"/>
  <c r="AH293" i="25" s="1"/>
  <c r="AG293" i="25" s="1"/>
  <c r="AF293" i="25" s="1"/>
  <c r="AD293" i="25" s="1"/>
  <c r="AI291" i="25"/>
  <c r="AH291" i="25" s="1"/>
  <c r="AG291" i="25" s="1"/>
  <c r="AF291" i="25" s="1"/>
  <c r="AD291" i="25" s="1"/>
  <c r="AI289" i="25"/>
  <c r="AH289" i="25" s="1"/>
  <c r="AG289" i="25" s="1"/>
  <c r="AF289" i="25" s="1"/>
  <c r="AD289" i="25" s="1"/>
  <c r="AI287" i="25"/>
  <c r="AH287" i="25" s="1"/>
  <c r="AG287" i="25" s="1"/>
  <c r="AF287" i="25" s="1"/>
  <c r="AD287" i="25" s="1"/>
  <c r="AI285" i="25"/>
  <c r="AH285" i="25" s="1"/>
  <c r="AG285" i="25" s="1"/>
  <c r="AF285" i="25" s="1"/>
  <c r="AD285" i="25" s="1"/>
  <c r="AI283" i="25"/>
  <c r="AH283" i="25" s="1"/>
  <c r="AG283" i="25" s="1"/>
  <c r="AF283" i="25" s="1"/>
  <c r="AD283" i="25" s="1"/>
  <c r="AI281" i="25"/>
  <c r="AH281" i="25" s="1"/>
  <c r="AG281" i="25" s="1"/>
  <c r="AF281" i="25" s="1"/>
  <c r="AD281" i="25" s="1"/>
  <c r="AI279" i="25"/>
  <c r="AH279" i="25" s="1"/>
  <c r="AG279" i="25" s="1"/>
  <c r="AF279" i="25" s="1"/>
  <c r="AD279" i="25" s="1"/>
  <c r="AI277" i="25"/>
  <c r="AH277" i="25" s="1"/>
  <c r="AG277" i="25" s="1"/>
  <c r="AF277" i="25" s="1"/>
  <c r="AD277" i="25" s="1"/>
  <c r="AI275" i="25"/>
  <c r="AH275" i="25" s="1"/>
  <c r="AG275" i="25" s="1"/>
  <c r="AF275" i="25" s="1"/>
  <c r="AD275" i="25" s="1"/>
  <c r="AI273" i="25"/>
  <c r="AH273" i="25" s="1"/>
  <c r="AG273" i="25" s="1"/>
  <c r="AF273" i="25" s="1"/>
  <c r="AD273" i="25" s="1"/>
  <c r="AI271" i="25"/>
  <c r="AH271" i="25" s="1"/>
  <c r="AG271" i="25" s="1"/>
  <c r="AF271" i="25" s="1"/>
  <c r="AD271" i="25" s="1"/>
  <c r="AI269" i="25"/>
  <c r="AH269" i="25" s="1"/>
  <c r="AG269" i="25" s="1"/>
  <c r="AF269" i="25" s="1"/>
  <c r="AD269" i="25" s="1"/>
  <c r="AI267" i="25"/>
  <c r="AH267" i="25" s="1"/>
  <c r="AG267" i="25" s="1"/>
  <c r="AF267" i="25" s="1"/>
  <c r="AD267" i="25" s="1"/>
  <c r="AI265" i="25"/>
  <c r="AH265" i="25" s="1"/>
  <c r="AG265" i="25" s="1"/>
  <c r="AF265" i="25" s="1"/>
  <c r="AD265" i="25" s="1"/>
  <c r="AI263" i="25"/>
  <c r="AH263" i="25" s="1"/>
  <c r="AG263" i="25" s="1"/>
  <c r="AF263" i="25" s="1"/>
  <c r="AD263" i="25" s="1"/>
  <c r="AI261" i="25"/>
  <c r="AH261" i="25" s="1"/>
  <c r="AG261" i="25" s="1"/>
  <c r="AF261" i="25" s="1"/>
  <c r="AD261" i="25" s="1"/>
  <c r="AI259" i="25"/>
  <c r="AH259" i="25" s="1"/>
  <c r="AG259" i="25" s="1"/>
  <c r="AF259" i="25" s="1"/>
  <c r="AD259" i="25" s="1"/>
  <c r="AI257" i="25"/>
  <c r="AH257" i="25" s="1"/>
  <c r="AG257" i="25" s="1"/>
  <c r="AF257" i="25" s="1"/>
  <c r="AD257" i="25" s="1"/>
  <c r="AI255" i="25"/>
  <c r="AH255" i="25" s="1"/>
  <c r="AG255" i="25" s="1"/>
  <c r="AF255" i="25" s="1"/>
  <c r="AD255" i="25" s="1"/>
  <c r="AI253" i="25"/>
  <c r="AH253" i="25" s="1"/>
  <c r="AG253" i="25" s="1"/>
  <c r="AF253" i="25" s="1"/>
  <c r="AD253" i="25" s="1"/>
  <c r="AI251" i="25"/>
  <c r="AH251" i="25" s="1"/>
  <c r="AG251" i="25" s="1"/>
  <c r="AF251" i="25" s="1"/>
  <c r="AD251" i="25" s="1"/>
  <c r="AI249" i="25"/>
  <c r="AH249" i="25" s="1"/>
  <c r="AG249" i="25" s="1"/>
  <c r="AF249" i="25" s="1"/>
  <c r="AD249" i="25" s="1"/>
  <c r="AI247" i="25"/>
  <c r="AH247" i="25" s="1"/>
  <c r="AI245" i="25"/>
  <c r="AH245" i="25" s="1"/>
  <c r="AG245" i="25" s="1"/>
  <c r="AF245" i="25" s="1"/>
  <c r="AD245" i="25" s="1"/>
  <c r="AI243" i="25"/>
  <c r="AH243" i="25" s="1"/>
  <c r="AG243" i="25" s="1"/>
  <c r="AF243" i="25" s="1"/>
  <c r="AD243" i="25" s="1"/>
  <c r="AI241" i="25"/>
  <c r="AH241" i="25" s="1"/>
  <c r="AG241" i="25" s="1"/>
  <c r="AF241" i="25" s="1"/>
  <c r="AD241" i="25" s="1"/>
  <c r="AI239" i="25"/>
  <c r="AH239" i="25" s="1"/>
  <c r="AG239" i="25" s="1"/>
  <c r="AF239" i="25" s="1"/>
  <c r="AD239" i="25" s="1"/>
  <c r="AI237" i="25"/>
  <c r="AH237" i="25" s="1"/>
  <c r="AG237" i="25" s="1"/>
  <c r="AF237" i="25" s="1"/>
  <c r="AD237" i="25" s="1"/>
  <c r="AI235" i="25"/>
  <c r="AH235" i="25" s="1"/>
  <c r="AG235" i="25" s="1"/>
  <c r="AF235" i="25" s="1"/>
  <c r="AD235" i="25" s="1"/>
  <c r="AI233" i="25"/>
  <c r="AH233" i="25" s="1"/>
  <c r="AG233" i="25" s="1"/>
  <c r="AF233" i="25" s="1"/>
  <c r="AD233" i="25" s="1"/>
  <c r="AI231" i="25"/>
  <c r="AH231" i="25" s="1"/>
  <c r="AG231" i="25" s="1"/>
  <c r="AF231" i="25" s="1"/>
  <c r="AD231" i="25" s="1"/>
  <c r="AI229" i="25"/>
  <c r="AH229" i="25" s="1"/>
  <c r="AG229" i="25" s="1"/>
  <c r="AF229" i="25" s="1"/>
  <c r="AD229" i="25" s="1"/>
  <c r="AI227" i="25"/>
  <c r="AH227" i="25" s="1"/>
  <c r="AG227" i="25" s="1"/>
  <c r="AF227" i="25" s="1"/>
  <c r="AD227" i="25" s="1"/>
  <c r="AI225" i="25"/>
  <c r="AH225" i="25" s="1"/>
  <c r="AG225" i="25" s="1"/>
  <c r="AF225" i="25" s="1"/>
  <c r="AD225" i="25" s="1"/>
  <c r="AI223" i="25"/>
  <c r="AH223" i="25" s="1"/>
  <c r="AG223" i="25" s="1"/>
  <c r="AF223" i="25" s="1"/>
  <c r="AD223" i="25" s="1"/>
  <c r="AI221" i="25"/>
  <c r="AH221" i="25" s="1"/>
  <c r="AG221" i="25" s="1"/>
  <c r="AF221" i="25" s="1"/>
  <c r="AD221" i="25" s="1"/>
  <c r="AI219" i="25"/>
  <c r="AH219" i="25" s="1"/>
  <c r="AG219" i="25" s="1"/>
  <c r="AF219" i="25" s="1"/>
  <c r="AD219" i="25" s="1"/>
  <c r="AI217" i="25"/>
  <c r="AH217" i="25" s="1"/>
  <c r="AG217" i="25" s="1"/>
  <c r="AF217" i="25" s="1"/>
  <c r="AD217" i="25" s="1"/>
  <c r="AI215" i="25"/>
  <c r="AH215" i="25" s="1"/>
  <c r="AG215" i="25" s="1"/>
  <c r="AF215" i="25" s="1"/>
  <c r="AD215" i="25" s="1"/>
  <c r="AI213" i="25"/>
  <c r="AH213" i="25" s="1"/>
  <c r="AG213" i="25" s="1"/>
  <c r="AF213" i="25" s="1"/>
  <c r="AD213" i="25" s="1"/>
  <c r="AI211" i="25"/>
  <c r="AH211" i="25" s="1"/>
  <c r="AG211" i="25" s="1"/>
  <c r="AF211" i="25" s="1"/>
  <c r="AD211" i="25" s="1"/>
  <c r="AI209" i="25"/>
  <c r="AH209" i="25" s="1"/>
  <c r="AG209" i="25" s="1"/>
  <c r="AF209" i="25" s="1"/>
  <c r="AD209" i="25" s="1"/>
  <c r="AI207" i="25"/>
  <c r="AH207" i="25" s="1"/>
  <c r="AG207" i="25" s="1"/>
  <c r="AF207" i="25" s="1"/>
  <c r="AD207" i="25" s="1"/>
  <c r="AI205" i="25"/>
  <c r="AH205" i="25" s="1"/>
  <c r="AG205" i="25" s="1"/>
  <c r="AF205" i="25" s="1"/>
  <c r="AD205" i="25" s="1"/>
  <c r="AI203" i="25"/>
  <c r="AH203" i="25" s="1"/>
  <c r="AG203" i="25" s="1"/>
  <c r="AF203" i="25" s="1"/>
  <c r="AD203" i="25" s="1"/>
  <c r="AI201" i="25"/>
  <c r="AH201" i="25" s="1"/>
  <c r="AG201" i="25" s="1"/>
  <c r="AF201" i="25" s="1"/>
  <c r="AD201" i="25" s="1"/>
  <c r="AI199" i="25"/>
  <c r="AH199" i="25" s="1"/>
  <c r="AG199" i="25" s="1"/>
  <c r="AF199" i="25" s="1"/>
  <c r="AD199" i="25" s="1"/>
  <c r="AI197" i="25"/>
  <c r="AH197" i="25" s="1"/>
  <c r="AG197" i="25" s="1"/>
  <c r="AF197" i="25" s="1"/>
  <c r="AD197" i="25" s="1"/>
  <c r="AI195" i="25"/>
  <c r="AH195" i="25" s="1"/>
  <c r="AG195" i="25" s="1"/>
  <c r="AF195" i="25" s="1"/>
  <c r="AD195" i="25" s="1"/>
  <c r="AI193" i="25"/>
  <c r="AH193" i="25" s="1"/>
  <c r="AG193" i="25" s="1"/>
  <c r="AF193" i="25" s="1"/>
  <c r="AD193" i="25" s="1"/>
  <c r="AI191" i="25"/>
  <c r="AH191" i="25" s="1"/>
  <c r="AG191" i="25" s="1"/>
  <c r="AF191" i="25" s="1"/>
  <c r="AD191" i="25" s="1"/>
  <c r="AI189" i="25"/>
  <c r="AH189" i="25" s="1"/>
  <c r="AG189" i="25" s="1"/>
  <c r="AF189" i="25" s="1"/>
  <c r="AD189" i="25" s="1"/>
  <c r="AI187" i="25"/>
  <c r="AH187" i="25" s="1"/>
  <c r="AG187" i="25" s="1"/>
  <c r="AF187" i="25" s="1"/>
  <c r="AD187" i="25" s="1"/>
  <c r="AI185" i="25"/>
  <c r="AH185" i="25" s="1"/>
  <c r="AG185" i="25" s="1"/>
  <c r="AF185" i="25" s="1"/>
  <c r="AD185" i="25" s="1"/>
  <c r="AI181" i="25"/>
  <c r="AH181" i="25" s="1"/>
  <c r="AG181" i="25" s="1"/>
  <c r="AF181" i="25" s="1"/>
  <c r="AD181" i="25" s="1"/>
  <c r="AI177" i="25"/>
  <c r="AH177" i="25" s="1"/>
  <c r="AG177" i="25" s="1"/>
  <c r="AF177" i="25" s="1"/>
  <c r="AD177" i="25" s="1"/>
  <c r="AI173" i="25"/>
  <c r="AH173" i="25" s="1"/>
  <c r="AG173" i="25" s="1"/>
  <c r="AF173" i="25" s="1"/>
  <c r="AD173" i="25" s="1"/>
  <c r="AI169" i="25"/>
  <c r="AH169" i="25" s="1"/>
  <c r="AG169" i="25" s="1"/>
  <c r="AF169" i="25" s="1"/>
  <c r="AD169" i="25" s="1"/>
  <c r="AI165" i="25"/>
  <c r="AH165" i="25" s="1"/>
  <c r="AG165" i="25" s="1"/>
  <c r="AF165" i="25" s="1"/>
  <c r="AD165" i="25" s="1"/>
  <c r="AI161" i="25"/>
  <c r="AH161" i="25" s="1"/>
  <c r="AG161" i="25" s="1"/>
  <c r="AF161" i="25" s="1"/>
  <c r="AD161" i="25" s="1"/>
  <c r="AI157" i="25"/>
  <c r="AH157" i="25" s="1"/>
  <c r="AG157" i="25" s="1"/>
  <c r="AF157" i="25" s="1"/>
  <c r="AD157" i="25" s="1"/>
  <c r="AI153" i="25"/>
  <c r="AH153" i="25" s="1"/>
  <c r="AG153" i="25" s="1"/>
  <c r="AF153" i="25" s="1"/>
  <c r="AD153" i="25" s="1"/>
  <c r="AI149" i="25"/>
  <c r="AH149" i="25" s="1"/>
  <c r="AG149" i="25" s="1"/>
  <c r="AF149" i="25" s="1"/>
  <c r="AD149" i="25" s="1"/>
  <c r="AI145" i="25"/>
  <c r="AH145" i="25" s="1"/>
  <c r="AG145" i="25" s="1"/>
  <c r="AF145" i="25" s="1"/>
  <c r="AD145" i="25" s="1"/>
  <c r="AI141" i="25"/>
  <c r="AH141" i="25" s="1"/>
  <c r="AG141" i="25" s="1"/>
  <c r="AF141" i="25" s="1"/>
  <c r="AD141" i="25" s="1"/>
  <c r="AI137" i="25"/>
  <c r="AH137" i="25" s="1"/>
  <c r="AG137" i="25" s="1"/>
  <c r="AF137" i="25" s="1"/>
  <c r="AD137" i="25" s="1"/>
  <c r="AI133" i="25"/>
  <c r="AH133" i="25" s="1"/>
  <c r="AG133" i="25" s="1"/>
  <c r="AF133" i="25" s="1"/>
  <c r="AD133" i="25" s="1"/>
  <c r="AI129" i="25"/>
  <c r="AH129" i="25" s="1"/>
  <c r="AG129" i="25" s="1"/>
  <c r="AF129" i="25" s="1"/>
  <c r="AD129" i="25" s="1"/>
  <c r="AI125" i="25"/>
  <c r="AH125" i="25" s="1"/>
  <c r="AG125" i="25" s="1"/>
  <c r="AF125" i="25" s="1"/>
  <c r="AD125" i="25" s="1"/>
  <c r="AI121" i="25"/>
  <c r="AH121" i="25" s="1"/>
  <c r="AG121" i="25" s="1"/>
  <c r="AF121" i="25" s="1"/>
  <c r="AD121" i="25" s="1"/>
  <c r="AI117" i="25"/>
  <c r="AH117" i="25" s="1"/>
  <c r="AG117" i="25" s="1"/>
  <c r="AF117" i="25" s="1"/>
  <c r="AD117" i="25" s="1"/>
  <c r="AI113" i="25"/>
  <c r="AH113" i="25" s="1"/>
  <c r="AG113" i="25" s="1"/>
  <c r="AF113" i="25" s="1"/>
  <c r="AD113" i="25" s="1"/>
  <c r="AI109" i="25"/>
  <c r="AH109" i="25" s="1"/>
  <c r="AG109" i="25" s="1"/>
  <c r="AF109" i="25" s="1"/>
  <c r="AD109" i="25" s="1"/>
  <c r="AI105" i="25"/>
  <c r="AH105" i="25" s="1"/>
  <c r="AG105" i="25" s="1"/>
  <c r="AF105" i="25" s="1"/>
  <c r="AD105" i="25" s="1"/>
  <c r="AI101" i="25"/>
  <c r="AH101" i="25" s="1"/>
  <c r="AG101" i="25" s="1"/>
  <c r="AF101" i="25" s="1"/>
  <c r="AD101" i="25" s="1"/>
  <c r="AI97" i="25"/>
  <c r="AH97" i="25" s="1"/>
  <c r="AG97" i="25" s="1"/>
  <c r="AF97" i="25" s="1"/>
  <c r="AD97" i="25" s="1"/>
  <c r="AI93" i="25"/>
  <c r="AH93" i="25" s="1"/>
  <c r="AG93" i="25" s="1"/>
  <c r="AF93" i="25" s="1"/>
  <c r="AD93" i="25" s="1"/>
  <c r="AI89" i="25"/>
  <c r="AH89" i="25" s="1"/>
  <c r="AG89" i="25" s="1"/>
  <c r="AF89" i="25" s="1"/>
  <c r="AD89" i="25" s="1"/>
  <c r="AI85" i="25"/>
  <c r="AH85" i="25" s="1"/>
  <c r="AG85" i="25" s="1"/>
  <c r="AF85" i="25" s="1"/>
  <c r="AD85" i="25" s="1"/>
  <c r="AI81" i="25"/>
  <c r="AH81" i="25" s="1"/>
  <c r="AG81" i="25" s="1"/>
  <c r="AF81" i="25" s="1"/>
  <c r="AD81" i="25" s="1"/>
  <c r="AI77" i="25"/>
  <c r="AH77" i="25" s="1"/>
  <c r="AG77" i="25" s="1"/>
  <c r="AF77" i="25" s="1"/>
  <c r="AD77" i="25" s="1"/>
  <c r="AI73" i="25"/>
  <c r="AH73" i="25" s="1"/>
  <c r="AG73" i="25" s="1"/>
  <c r="AF73" i="25" s="1"/>
  <c r="AD73" i="25" s="1"/>
  <c r="AI69" i="25"/>
  <c r="AH69" i="25" s="1"/>
  <c r="AG69" i="25" s="1"/>
  <c r="AF69" i="25" s="1"/>
  <c r="AD69" i="25" s="1"/>
  <c r="AI65" i="25"/>
  <c r="AH65" i="25" s="1"/>
  <c r="AG65" i="25" s="1"/>
  <c r="AF65" i="25" s="1"/>
  <c r="AD65" i="25" s="1"/>
  <c r="AI61" i="25"/>
  <c r="AH61" i="25" s="1"/>
  <c r="AG61" i="25" s="1"/>
  <c r="AF61" i="25" s="1"/>
  <c r="AD61" i="25" s="1"/>
  <c r="AI57" i="25"/>
  <c r="AH57" i="25" s="1"/>
  <c r="AG57" i="25" s="1"/>
  <c r="AF57" i="25" s="1"/>
  <c r="AD57" i="25" s="1"/>
  <c r="AI53" i="25"/>
  <c r="AH53" i="25" s="1"/>
  <c r="AG53" i="25" s="1"/>
  <c r="AF53" i="25" s="1"/>
  <c r="AD53" i="25" s="1"/>
  <c r="AI49" i="25"/>
  <c r="AH49" i="25" s="1"/>
  <c r="AG49" i="25" s="1"/>
  <c r="AF49" i="25" s="1"/>
  <c r="AD49" i="25" s="1"/>
  <c r="AI45" i="25"/>
  <c r="AH45" i="25" s="1"/>
  <c r="AG45" i="25" s="1"/>
  <c r="AF45" i="25" s="1"/>
  <c r="AD45" i="25" s="1"/>
  <c r="AI41" i="25"/>
  <c r="AH41" i="25" s="1"/>
  <c r="AG41" i="25" s="1"/>
  <c r="AF41" i="25" s="1"/>
  <c r="AD41" i="25" s="1"/>
  <c r="AI37" i="25"/>
  <c r="AH37" i="25" s="1"/>
  <c r="AG37" i="25" s="1"/>
  <c r="AF37" i="25" s="1"/>
  <c r="AD37" i="25" s="1"/>
  <c r="AI33" i="25"/>
  <c r="AH33" i="25" s="1"/>
  <c r="AG33" i="25" s="1"/>
  <c r="AF33" i="25" s="1"/>
  <c r="AD33" i="25" s="1"/>
  <c r="AI29" i="25"/>
  <c r="AH29" i="25" s="1"/>
  <c r="AG29" i="25" s="1"/>
  <c r="AF29" i="25" s="1"/>
  <c r="AD29" i="25" s="1"/>
  <c r="AI22" i="25"/>
  <c r="AH22" i="25" s="1"/>
  <c r="AG22" i="25" s="1"/>
  <c r="AF22" i="25" s="1"/>
  <c r="AD22" i="25" s="1"/>
  <c r="AI23" i="25"/>
  <c r="AH23" i="25" s="1"/>
  <c r="AG23" i="25" s="1"/>
  <c r="AF23" i="25" s="1"/>
  <c r="AD23" i="25" s="1"/>
  <c r="AI27" i="25"/>
  <c r="AH27" i="25" s="1"/>
  <c r="AG27" i="25" s="1"/>
  <c r="AF27" i="25" s="1"/>
  <c r="AD27" i="25" s="1"/>
  <c r="J135" i="23"/>
  <c r="AJ13" i="20"/>
  <c r="AJ6" i="22"/>
  <c r="AJ5" i="22"/>
  <c r="AL8" i="18"/>
  <c r="AL7" i="18"/>
  <c r="W200" i="24"/>
  <c r="D69" i="19"/>
  <c r="M69" i="19"/>
  <c r="K69" i="19"/>
  <c r="H69" i="19"/>
  <c r="N67" i="19"/>
  <c r="E15" i="19"/>
  <c r="E31" i="19" s="1"/>
  <c r="I373" i="24"/>
  <c r="J373" i="24"/>
  <c r="J351" i="24"/>
  <c r="I351" i="24"/>
  <c r="I151" i="24"/>
  <c r="J151" i="24"/>
  <c r="I109" i="24"/>
  <c r="J109" i="24"/>
  <c r="I99" i="24"/>
  <c r="J99" i="24"/>
  <c r="J87" i="24"/>
  <c r="I87" i="24"/>
  <c r="I65" i="24"/>
  <c r="J65" i="24"/>
  <c r="I35" i="24"/>
  <c r="J35" i="24"/>
  <c r="J22" i="24"/>
  <c r="I22" i="24"/>
  <c r="I228" i="24"/>
  <c r="J228" i="24"/>
  <c r="J184" i="24"/>
  <c r="I184" i="24"/>
  <c r="I287" i="24"/>
  <c r="J287" i="24"/>
  <c r="J281" i="24"/>
  <c r="I281" i="24"/>
  <c r="I47" i="24"/>
  <c r="J47" i="24"/>
  <c r="I226" i="24"/>
  <c r="J126" i="24"/>
  <c r="I126" i="24"/>
  <c r="I77" i="24"/>
  <c r="J77" i="24"/>
  <c r="I58" i="24"/>
  <c r="J58" i="24"/>
  <c r="J365" i="24"/>
  <c r="I365" i="24"/>
  <c r="J315" i="24"/>
  <c r="I315" i="24"/>
  <c r="I261" i="24"/>
  <c r="J261" i="24"/>
  <c r="I247" i="24"/>
  <c r="J247" i="24"/>
  <c r="I233" i="24"/>
  <c r="J233" i="24"/>
  <c r="J215" i="24"/>
  <c r="I215" i="24"/>
  <c r="I187" i="24"/>
  <c r="J187" i="24"/>
  <c r="J107" i="24"/>
  <c r="I107" i="24"/>
  <c r="J85" i="24"/>
  <c r="I85" i="24"/>
  <c r="I45" i="24"/>
  <c r="J45" i="24"/>
  <c r="I21" i="24"/>
  <c r="J21" i="24"/>
  <c r="J16" i="24"/>
  <c r="I16" i="24"/>
  <c r="I114" i="24"/>
  <c r="J114" i="24"/>
  <c r="J172" i="24"/>
  <c r="I172" i="24"/>
  <c r="J369" i="24"/>
  <c r="I369" i="24"/>
  <c r="J191" i="24"/>
  <c r="I191" i="24"/>
  <c r="I307" i="24"/>
  <c r="J307" i="24"/>
  <c r="J277" i="24"/>
  <c r="I277" i="24"/>
  <c r="J167" i="24"/>
  <c r="I167" i="24"/>
  <c r="J329" i="24"/>
  <c r="I329" i="24"/>
  <c r="I313" i="24"/>
  <c r="J313" i="24"/>
  <c r="J271" i="24"/>
  <c r="I271" i="24"/>
  <c r="I231" i="24"/>
  <c r="J231" i="24"/>
  <c r="I185" i="24"/>
  <c r="J185" i="24"/>
  <c r="J115" i="24"/>
  <c r="I115" i="24"/>
  <c r="I79" i="24"/>
  <c r="J79" i="24"/>
  <c r="I41" i="24"/>
  <c r="J41" i="24"/>
  <c r="I361" i="24"/>
  <c r="J361" i="24"/>
  <c r="I199" i="24"/>
  <c r="J199" i="24"/>
  <c r="J357" i="24"/>
  <c r="I357" i="24"/>
  <c r="I327" i="24"/>
  <c r="J327" i="24"/>
  <c r="J303" i="24"/>
  <c r="I303" i="24"/>
  <c r="J255" i="24"/>
  <c r="I255" i="24"/>
  <c r="J243" i="24"/>
  <c r="I243" i="24"/>
  <c r="I223" i="24"/>
  <c r="J223" i="24"/>
  <c r="I197" i="24"/>
  <c r="J197" i="24"/>
  <c r="J175" i="24"/>
  <c r="I175" i="24"/>
  <c r="J171" i="24"/>
  <c r="I171" i="24"/>
  <c r="J133" i="24"/>
  <c r="I133" i="24"/>
  <c r="I129" i="24"/>
  <c r="J129" i="24"/>
  <c r="I63" i="24"/>
  <c r="J63" i="24"/>
  <c r="J61" i="24"/>
  <c r="I61" i="24"/>
  <c r="J278" i="24"/>
  <c r="I278" i="24"/>
  <c r="I234" i="24"/>
  <c r="J234" i="24"/>
  <c r="J42" i="24"/>
  <c r="I42" i="24"/>
  <c r="J375" i="24"/>
  <c r="I375" i="24"/>
  <c r="I345" i="24"/>
  <c r="J345" i="24"/>
  <c r="I279" i="24"/>
  <c r="J279" i="24"/>
  <c r="I217" i="24"/>
  <c r="J217" i="24"/>
  <c r="I89" i="24"/>
  <c r="J89" i="24"/>
  <c r="I18" i="24"/>
  <c r="J18" i="24"/>
  <c r="I377" i="24"/>
  <c r="J377" i="24"/>
  <c r="J249" i="24"/>
  <c r="I249" i="24"/>
  <c r="J209" i="24"/>
  <c r="I209" i="24"/>
  <c r="J177" i="24"/>
  <c r="I177" i="24"/>
  <c r="J139" i="24"/>
  <c r="I139" i="24"/>
  <c r="J117" i="24"/>
  <c r="I117" i="24"/>
  <c r="J120" i="24"/>
  <c r="I120" i="24"/>
  <c r="I150" i="24"/>
  <c r="J150" i="24"/>
  <c r="I298" i="24"/>
  <c r="J298" i="24"/>
  <c r="I142" i="24"/>
  <c r="J142" i="24"/>
  <c r="J317" i="24"/>
  <c r="I317" i="24"/>
  <c r="J93" i="24"/>
  <c r="I93" i="24"/>
  <c r="J49" i="24"/>
  <c r="I49" i="24"/>
  <c r="I283" i="24"/>
  <c r="J283" i="24"/>
  <c r="J267" i="24"/>
  <c r="I267" i="24"/>
  <c r="I193" i="24"/>
  <c r="J193" i="24"/>
  <c r="J169" i="24"/>
  <c r="I169" i="24"/>
  <c r="J165" i="24"/>
  <c r="I165" i="24"/>
  <c r="J37" i="24"/>
  <c r="I37" i="24"/>
  <c r="J319" i="23"/>
  <c r="I319" i="23"/>
  <c r="I241" i="23"/>
  <c r="H241" i="24" s="1"/>
  <c r="J241" i="23"/>
  <c r="AA376" i="24"/>
  <c r="Z376" i="24" s="1"/>
  <c r="Y376" i="24" s="1"/>
  <c r="G376" i="24"/>
  <c r="CE376" i="6" s="1"/>
  <c r="H376" i="24"/>
  <c r="AA374" i="24"/>
  <c r="Z374" i="24" s="1"/>
  <c r="Y374" i="24" s="1"/>
  <c r="H374" i="24"/>
  <c r="G374" i="24"/>
  <c r="CE374" i="6" s="1"/>
  <c r="I346" i="24"/>
  <c r="J346" i="24"/>
  <c r="I340" i="24"/>
  <c r="J324" i="24"/>
  <c r="I316" i="24"/>
  <c r="J316" i="24"/>
  <c r="J308" i="24"/>
  <c r="I308" i="24"/>
  <c r="D302" i="24"/>
  <c r="E302" i="24" s="1"/>
  <c r="F302" i="24" s="1"/>
  <c r="W302" i="24"/>
  <c r="I290" i="24"/>
  <c r="J290" i="24"/>
  <c r="J248" i="24"/>
  <c r="I248" i="24"/>
  <c r="AA232" i="24"/>
  <c r="Z232" i="24" s="1"/>
  <c r="Y232" i="24" s="1"/>
  <c r="G232" i="24"/>
  <c r="CE232" i="6" s="1"/>
  <c r="H232" i="24"/>
  <c r="G222" i="24"/>
  <c r="CE222" i="6" s="1"/>
  <c r="AA222" i="24"/>
  <c r="Z222" i="24" s="1"/>
  <c r="Y222" i="24" s="1"/>
  <c r="H222" i="24"/>
  <c r="AA218" i="24"/>
  <c r="Z218" i="24" s="1"/>
  <c r="Y218" i="24" s="1"/>
  <c r="H218" i="24"/>
  <c r="G218" i="24"/>
  <c r="CE218" i="6" s="1"/>
  <c r="AA214" i="24"/>
  <c r="Z214" i="24" s="1"/>
  <c r="Y214" i="24" s="1"/>
  <c r="G214" i="24"/>
  <c r="CE214" i="6" s="1"/>
  <c r="H214" i="24"/>
  <c r="I192" i="24"/>
  <c r="J192" i="24"/>
  <c r="G174" i="24"/>
  <c r="CE174" i="6" s="1"/>
  <c r="AA174" i="24"/>
  <c r="Z174" i="24" s="1"/>
  <c r="Y174" i="24" s="1"/>
  <c r="H174" i="24"/>
  <c r="J160" i="24"/>
  <c r="I160" i="24"/>
  <c r="G152" i="24"/>
  <c r="CE152" i="6" s="1"/>
  <c r="H152" i="24"/>
  <c r="AA152" i="24"/>
  <c r="Z152" i="24" s="1"/>
  <c r="Y152" i="24" s="1"/>
  <c r="G146" i="24"/>
  <c r="CE146" i="6" s="1"/>
  <c r="H146" i="24"/>
  <c r="AA146" i="24"/>
  <c r="Z146" i="24" s="1"/>
  <c r="Y146" i="24" s="1"/>
  <c r="G132" i="24"/>
  <c r="CE132" i="6" s="1"/>
  <c r="H132" i="24"/>
  <c r="AA132" i="24"/>
  <c r="Z132" i="24" s="1"/>
  <c r="Y132" i="24" s="1"/>
  <c r="J108" i="24"/>
  <c r="I108" i="24"/>
  <c r="I106" i="24"/>
  <c r="J106" i="24"/>
  <c r="G98" i="24"/>
  <c r="CE98" i="6" s="1"/>
  <c r="AA98" i="24"/>
  <c r="Z98" i="24" s="1"/>
  <c r="Y98" i="24" s="1"/>
  <c r="H98" i="24"/>
  <c r="I86" i="24"/>
  <c r="J86" i="24"/>
  <c r="AA78" i="24"/>
  <c r="Z78" i="24" s="1"/>
  <c r="Y78" i="24" s="1"/>
  <c r="G78" i="24"/>
  <c r="CE78" i="6" s="1"/>
  <c r="H78" i="24"/>
  <c r="G76" i="24"/>
  <c r="CE76" i="6" s="1"/>
  <c r="AA76" i="24"/>
  <c r="Z76" i="24" s="1"/>
  <c r="Y76" i="24" s="1"/>
  <c r="H76" i="24"/>
  <c r="W74" i="24"/>
  <c r="D74" i="24"/>
  <c r="E74" i="24" s="1"/>
  <c r="F74" i="24" s="1"/>
  <c r="G64" i="24"/>
  <c r="CE64" i="6" s="1"/>
  <c r="H64" i="24"/>
  <c r="AA64" i="24"/>
  <c r="Z64" i="24" s="1"/>
  <c r="Y64" i="24" s="1"/>
  <c r="G52" i="24"/>
  <c r="CE52" i="6" s="1"/>
  <c r="AA52" i="24"/>
  <c r="Z52" i="24" s="1"/>
  <c r="Y52" i="24" s="1"/>
  <c r="H52" i="24"/>
  <c r="I44" i="24"/>
  <c r="J44" i="24"/>
  <c r="G38" i="24"/>
  <c r="CE38" i="6" s="1"/>
  <c r="AA38" i="24"/>
  <c r="Z38" i="24" s="1"/>
  <c r="Y38" i="24" s="1"/>
  <c r="H38" i="24"/>
  <c r="J26" i="24"/>
  <c r="I26" i="24"/>
  <c r="J17" i="24"/>
  <c r="I20" i="24"/>
  <c r="J20" i="24"/>
  <c r="AF15" i="24"/>
  <c r="I60" i="23"/>
  <c r="H60" i="24" s="1"/>
  <c r="J60" i="23"/>
  <c r="S376" i="25"/>
  <c r="R376" i="25" s="1"/>
  <c r="P376" i="25" s="1"/>
  <c r="V376" i="25" s="1"/>
  <c r="B376" i="25" s="1"/>
  <c r="W366" i="25"/>
  <c r="D366" i="25"/>
  <c r="E366" i="25" s="1"/>
  <c r="F366" i="25" s="1"/>
  <c r="D358" i="25"/>
  <c r="E358" i="25" s="1"/>
  <c r="F358" i="25" s="1"/>
  <c r="D350" i="25"/>
  <c r="E350" i="25" s="1"/>
  <c r="F350" i="25" s="1"/>
  <c r="W350" i="25"/>
  <c r="S284" i="25"/>
  <c r="R284" i="25" s="1"/>
  <c r="P284" i="25" s="1"/>
  <c r="V284" i="25" s="1"/>
  <c r="B284" i="25" s="1"/>
  <c r="S216" i="25"/>
  <c r="R216" i="25" s="1"/>
  <c r="P216" i="25" s="1"/>
  <c r="V216" i="25" s="1"/>
  <c r="B216" i="25" s="1"/>
  <c r="S154" i="25"/>
  <c r="R154" i="25" s="1"/>
  <c r="P154" i="25" s="1"/>
  <c r="V154" i="25" s="1"/>
  <c r="B154" i="25" s="1"/>
  <c r="W142" i="25"/>
  <c r="S114" i="25"/>
  <c r="R114" i="25" s="1"/>
  <c r="P114" i="25" s="1"/>
  <c r="V114" i="25" s="1"/>
  <c r="B114" i="25" s="1"/>
  <c r="D78" i="25"/>
  <c r="E78" i="25" s="1"/>
  <c r="F78" i="25" s="1"/>
  <c r="W78" i="25"/>
  <c r="S66" i="25"/>
  <c r="R66" i="25" s="1"/>
  <c r="P66" i="25" s="1"/>
  <c r="V66" i="25" s="1"/>
  <c r="B66" i="25" s="1"/>
  <c r="S16" i="25"/>
  <c r="R16" i="25" s="1"/>
  <c r="P16" i="25" s="1"/>
  <c r="V16" i="25" s="1"/>
  <c r="B16" i="25" s="1"/>
  <c r="G371" i="24"/>
  <c r="CE371" i="6" s="1"/>
  <c r="AA371" i="24"/>
  <c r="Z371" i="24" s="1"/>
  <c r="Y371" i="24" s="1"/>
  <c r="H371" i="24"/>
  <c r="I359" i="24"/>
  <c r="J359" i="24"/>
  <c r="I343" i="24"/>
  <c r="J343" i="24"/>
  <c r="G333" i="24"/>
  <c r="CE333" i="6" s="1"/>
  <c r="AA333" i="24"/>
  <c r="Z333" i="24" s="1"/>
  <c r="Y333" i="24" s="1"/>
  <c r="I325" i="24"/>
  <c r="J325" i="24"/>
  <c r="J323" i="24"/>
  <c r="I323" i="24"/>
  <c r="AA295" i="24"/>
  <c r="Z295" i="24" s="1"/>
  <c r="Y295" i="24" s="1"/>
  <c r="H295" i="24"/>
  <c r="G295" i="24"/>
  <c r="CE295" i="6" s="1"/>
  <c r="I293" i="24"/>
  <c r="J293" i="24"/>
  <c r="J275" i="24"/>
  <c r="I275" i="24"/>
  <c r="I257" i="24"/>
  <c r="J257" i="24"/>
  <c r="I245" i="24"/>
  <c r="J245" i="24"/>
  <c r="G241" i="24"/>
  <c r="CE241" i="6" s="1"/>
  <c r="AA241" i="24"/>
  <c r="Z241" i="24" s="1"/>
  <c r="Y241" i="24" s="1"/>
  <c r="J211" i="24"/>
  <c r="I211" i="24"/>
  <c r="I179" i="24"/>
  <c r="J179" i="24"/>
  <c r="I173" i="24"/>
  <c r="J173" i="24"/>
  <c r="AA163" i="24"/>
  <c r="Z163" i="24" s="1"/>
  <c r="Y163" i="24" s="1"/>
  <c r="G163" i="24"/>
  <c r="CE163" i="6" s="1"/>
  <c r="H163" i="24"/>
  <c r="I161" i="24"/>
  <c r="J161" i="24"/>
  <c r="G153" i="24"/>
  <c r="CE153" i="6" s="1"/>
  <c r="AA153" i="24"/>
  <c r="Z153" i="24" s="1"/>
  <c r="Y153" i="24" s="1"/>
  <c r="H153" i="24"/>
  <c r="I141" i="24"/>
  <c r="J141" i="24"/>
  <c r="G119" i="24"/>
  <c r="CE119" i="6" s="1"/>
  <c r="AA119" i="24"/>
  <c r="Z119" i="24" s="1"/>
  <c r="Y119" i="24" s="1"/>
  <c r="AA81" i="24"/>
  <c r="Z81" i="24" s="1"/>
  <c r="Y81" i="24" s="1"/>
  <c r="G81" i="24"/>
  <c r="CE81" i="6" s="1"/>
  <c r="H81" i="24"/>
  <c r="I55" i="24"/>
  <c r="J55" i="24"/>
  <c r="J53" i="24"/>
  <c r="I53" i="24"/>
  <c r="I51" i="24"/>
  <c r="J51" i="24"/>
  <c r="J43" i="24"/>
  <c r="I43" i="24"/>
  <c r="AA33" i="24"/>
  <c r="Z33" i="24" s="1"/>
  <c r="Y33" i="24" s="1"/>
  <c r="G33" i="24"/>
  <c r="CE33" i="6" s="1"/>
  <c r="H33" i="24"/>
  <c r="J27" i="24"/>
  <c r="I27" i="24"/>
  <c r="G24" i="24"/>
  <c r="CE24" i="6" s="1"/>
  <c r="H24" i="24"/>
  <c r="AA24" i="24"/>
  <c r="Z24" i="24" s="1"/>
  <c r="Y24" i="24" s="1"/>
  <c r="I227" i="24"/>
  <c r="J227" i="24"/>
  <c r="G46" i="24"/>
  <c r="CE46" i="6" s="1"/>
  <c r="AA46" i="24"/>
  <c r="Z46" i="24" s="1"/>
  <c r="Y46" i="24" s="1"/>
  <c r="J338" i="24"/>
  <c r="I338" i="24"/>
  <c r="J330" i="24"/>
  <c r="I330" i="24"/>
  <c r="I312" i="24"/>
  <c r="J312" i="24"/>
  <c r="J268" i="24"/>
  <c r="I268" i="24"/>
  <c r="I256" i="24"/>
  <c r="J256" i="24"/>
  <c r="I246" i="24"/>
  <c r="J246" i="24"/>
  <c r="J230" i="24"/>
  <c r="I230" i="24"/>
  <c r="J190" i="24"/>
  <c r="I190" i="24"/>
  <c r="G180" i="24"/>
  <c r="CE180" i="6" s="1"/>
  <c r="AA180" i="24"/>
  <c r="Z180" i="24" s="1"/>
  <c r="Y180" i="24" s="1"/>
  <c r="J168" i="24"/>
  <c r="I168" i="24"/>
  <c r="J148" i="24"/>
  <c r="I148" i="24"/>
  <c r="I140" i="24"/>
  <c r="J140" i="24"/>
  <c r="J130" i="24"/>
  <c r="I130" i="24"/>
  <c r="AG254" i="25"/>
  <c r="AF254" i="25" s="1"/>
  <c r="AD254" i="25" s="1"/>
  <c r="I288" i="23"/>
  <c r="H288" i="24" s="1"/>
  <c r="J288" i="23"/>
  <c r="J166" i="23"/>
  <c r="I166" i="23"/>
  <c r="H166" i="24" s="1"/>
  <c r="AK6" i="22"/>
  <c r="W15" i="22"/>
  <c r="B381" i="22"/>
  <c r="H9" i="22"/>
  <c r="B17" i="19" s="1"/>
  <c r="B383" i="22"/>
  <c r="D15" i="22"/>
  <c r="B382" i="22"/>
  <c r="Z9" i="18"/>
  <c r="Z381" i="18"/>
  <c r="Z382" i="18"/>
  <c r="Y15" i="18"/>
  <c r="Z383" i="18"/>
  <c r="I383" i="18"/>
  <c r="I381" i="18"/>
  <c r="B15" i="6"/>
  <c r="I382" i="18"/>
  <c r="I355" i="24"/>
  <c r="J355" i="24"/>
  <c r="I265" i="24"/>
  <c r="J265" i="24"/>
  <c r="I253" i="24"/>
  <c r="J253" i="24"/>
  <c r="I203" i="24"/>
  <c r="J203" i="24"/>
  <c r="J155" i="24"/>
  <c r="I155" i="24"/>
  <c r="I101" i="24"/>
  <c r="J101" i="24"/>
  <c r="J97" i="24"/>
  <c r="I97" i="24"/>
  <c r="G29" i="24"/>
  <c r="CE29" i="6" s="1"/>
  <c r="AA29" i="24"/>
  <c r="Z29" i="24" s="1"/>
  <c r="Y29" i="24" s="1"/>
  <c r="P382" i="23"/>
  <c r="P381" i="23"/>
  <c r="V15" i="23"/>
  <c r="P383" i="23"/>
  <c r="G15" i="20"/>
  <c r="CB15" i="6" s="1"/>
  <c r="F9" i="20"/>
  <c r="F381" i="20"/>
  <c r="AM10" i="20"/>
  <c r="H15" i="20"/>
  <c r="F382" i="20"/>
  <c r="F383" i="20"/>
  <c r="AA15" i="20"/>
  <c r="AM7" i="20" s="1"/>
  <c r="AK10" i="20"/>
  <c r="AK12" i="20" s="1"/>
  <c r="G334" i="24"/>
  <c r="CE334" i="6" s="1"/>
  <c r="AA334" i="24"/>
  <c r="Z334" i="24" s="1"/>
  <c r="Y334" i="24" s="1"/>
  <c r="H334" i="24"/>
  <c r="AA306" i="24"/>
  <c r="Z306" i="24" s="1"/>
  <c r="Y306" i="24" s="1"/>
  <c r="H306" i="24"/>
  <c r="G306" i="24"/>
  <c r="CE306" i="6" s="1"/>
  <c r="G276" i="24"/>
  <c r="CE276" i="6" s="1"/>
  <c r="H276" i="24"/>
  <c r="AA276" i="24"/>
  <c r="Z276" i="24" s="1"/>
  <c r="Y276" i="24" s="1"/>
  <c r="AA254" i="24"/>
  <c r="Z254" i="24" s="1"/>
  <c r="Y254" i="24" s="1"/>
  <c r="G254" i="24"/>
  <c r="CE254" i="6" s="1"/>
  <c r="H254" i="24"/>
  <c r="AA154" i="24"/>
  <c r="Z154" i="24" s="1"/>
  <c r="Y154" i="24" s="1"/>
  <c r="G154" i="24"/>
  <c r="CE154" i="6" s="1"/>
  <c r="H154" i="24"/>
  <c r="G100" i="24"/>
  <c r="CE100" i="6" s="1"/>
  <c r="H100" i="24"/>
  <c r="AA100" i="24"/>
  <c r="Z100" i="24" s="1"/>
  <c r="Y100" i="24" s="1"/>
  <c r="AA62" i="24"/>
  <c r="Z62" i="24" s="1"/>
  <c r="Y62" i="24" s="1"/>
  <c r="G62" i="24"/>
  <c r="CE62" i="6" s="1"/>
  <c r="H62" i="24"/>
  <c r="AA367" i="24"/>
  <c r="Z367" i="24" s="1"/>
  <c r="Y367" i="24" s="1"/>
  <c r="H367" i="24"/>
  <c r="G367" i="24"/>
  <c r="CE367" i="6" s="1"/>
  <c r="AA335" i="24"/>
  <c r="Z335" i="24" s="1"/>
  <c r="Y335" i="24" s="1"/>
  <c r="G335" i="24"/>
  <c r="CE335" i="6" s="1"/>
  <c r="H335" i="24"/>
  <c r="G311" i="24"/>
  <c r="CE311" i="6" s="1"/>
  <c r="H311" i="24"/>
  <c r="AA311" i="24"/>
  <c r="Z311" i="24" s="1"/>
  <c r="Y311" i="24" s="1"/>
  <c r="G305" i="24"/>
  <c r="CE305" i="6" s="1"/>
  <c r="AA305" i="24"/>
  <c r="Z305" i="24" s="1"/>
  <c r="Y305" i="24" s="1"/>
  <c r="H305" i="24"/>
  <c r="AA291" i="24"/>
  <c r="Z291" i="24" s="1"/>
  <c r="Y291" i="24" s="1"/>
  <c r="G291" i="24"/>
  <c r="CE291" i="6" s="1"/>
  <c r="H291" i="24"/>
  <c r="AA251" i="24"/>
  <c r="Z251" i="24" s="1"/>
  <c r="Y251" i="24" s="1"/>
  <c r="G251" i="24"/>
  <c r="CE251" i="6" s="1"/>
  <c r="H251" i="24"/>
  <c r="AA221" i="24"/>
  <c r="Z221" i="24" s="1"/>
  <c r="Y221" i="24" s="1"/>
  <c r="G221" i="24"/>
  <c r="CE221" i="6" s="1"/>
  <c r="H221" i="24"/>
  <c r="AA73" i="24"/>
  <c r="Z73" i="24" s="1"/>
  <c r="Y73" i="24" s="1"/>
  <c r="G73" i="24"/>
  <c r="CE73" i="6" s="1"/>
  <c r="H73" i="24"/>
  <c r="AA300" i="24"/>
  <c r="Z300" i="24" s="1"/>
  <c r="Y300" i="24" s="1"/>
  <c r="H300" i="24"/>
  <c r="G300" i="24"/>
  <c r="CE300" i="6" s="1"/>
  <c r="G264" i="24"/>
  <c r="CE264" i="6" s="1"/>
  <c r="H264" i="24"/>
  <c r="AA264" i="24"/>
  <c r="Z264" i="24" s="1"/>
  <c r="Y264" i="24" s="1"/>
  <c r="G236" i="24"/>
  <c r="CE236" i="6" s="1"/>
  <c r="H236" i="24"/>
  <c r="AA236" i="24"/>
  <c r="Z236" i="24" s="1"/>
  <c r="Y236" i="24" s="1"/>
  <c r="G116" i="24"/>
  <c r="CE116" i="6" s="1"/>
  <c r="H116" i="24"/>
  <c r="AA116" i="24"/>
  <c r="Z116" i="24" s="1"/>
  <c r="Y116" i="24" s="1"/>
  <c r="AA353" i="24"/>
  <c r="Z353" i="24" s="1"/>
  <c r="Y353" i="24" s="1"/>
  <c r="G353" i="24"/>
  <c r="CE353" i="6" s="1"/>
  <c r="H353" i="24"/>
  <c r="G331" i="24"/>
  <c r="CE331" i="6" s="1"/>
  <c r="AA331" i="24"/>
  <c r="Z331" i="24" s="1"/>
  <c r="Y331" i="24" s="1"/>
  <c r="H331" i="24"/>
  <c r="AA309" i="24"/>
  <c r="Z309" i="24" s="1"/>
  <c r="Y309" i="24" s="1"/>
  <c r="H309" i="24"/>
  <c r="G309" i="24"/>
  <c r="CE309" i="6" s="1"/>
  <c r="G299" i="24"/>
  <c r="CE299" i="6" s="1"/>
  <c r="AA299" i="24"/>
  <c r="Z299" i="24" s="1"/>
  <c r="Y299" i="24" s="1"/>
  <c r="H299" i="24"/>
  <c r="G235" i="24"/>
  <c r="CE235" i="6" s="1"/>
  <c r="H235" i="24"/>
  <c r="AA235" i="24"/>
  <c r="Z235" i="24" s="1"/>
  <c r="Y235" i="24" s="1"/>
  <c r="AA137" i="24"/>
  <c r="Z137" i="24" s="1"/>
  <c r="Y137" i="24" s="1"/>
  <c r="H137" i="24"/>
  <c r="G137" i="24"/>
  <c r="CE137" i="6" s="1"/>
  <c r="AA111" i="24"/>
  <c r="Z111" i="24" s="1"/>
  <c r="Y111" i="24" s="1"/>
  <c r="H111" i="24"/>
  <c r="G111" i="24"/>
  <c r="CE111" i="6" s="1"/>
  <c r="H75" i="24"/>
  <c r="AA75" i="24"/>
  <c r="Z75" i="24" s="1"/>
  <c r="Y75" i="24" s="1"/>
  <c r="G75" i="24"/>
  <c r="CE75" i="6" s="1"/>
  <c r="AA57" i="24"/>
  <c r="Z57" i="24" s="1"/>
  <c r="Y57" i="24" s="1"/>
  <c r="G57" i="24"/>
  <c r="CE57" i="6" s="1"/>
  <c r="H57" i="24"/>
  <c r="G19" i="24"/>
  <c r="CE19" i="6" s="1"/>
  <c r="AA19" i="24"/>
  <c r="Z19" i="24" s="1"/>
  <c r="Y19" i="24" s="1"/>
  <c r="H19" i="24"/>
  <c r="I29" i="23"/>
  <c r="H29" i="24" s="1"/>
  <c r="J29" i="23"/>
  <c r="J272" i="23"/>
  <c r="I272" i="23"/>
  <c r="H272" i="24" s="1"/>
  <c r="J372" i="24"/>
  <c r="I372" i="24"/>
  <c r="J370" i="24"/>
  <c r="I370" i="24"/>
  <c r="J368" i="24"/>
  <c r="I368" i="24"/>
  <c r="I356" i="24"/>
  <c r="J356" i="24"/>
  <c r="I354" i="24"/>
  <c r="J354" i="24"/>
  <c r="AA348" i="24"/>
  <c r="Z348" i="24" s="1"/>
  <c r="Y348" i="24" s="1"/>
  <c r="H348" i="24"/>
  <c r="G348" i="24"/>
  <c r="CE348" i="6" s="1"/>
  <c r="I336" i="24"/>
  <c r="J336" i="24"/>
  <c r="AA332" i="24"/>
  <c r="Z332" i="24" s="1"/>
  <c r="Y332" i="24" s="1"/>
  <c r="H332" i="24"/>
  <c r="G332" i="24"/>
  <c r="CE332" i="6" s="1"/>
  <c r="AA322" i="24"/>
  <c r="Z322" i="24" s="1"/>
  <c r="Y322" i="24" s="1"/>
  <c r="H322" i="24"/>
  <c r="G322" i="24"/>
  <c r="CE322" i="6" s="1"/>
  <c r="I320" i="24"/>
  <c r="J320" i="24"/>
  <c r="I318" i="24"/>
  <c r="J318" i="24"/>
  <c r="AA310" i="24"/>
  <c r="Z310" i="24" s="1"/>
  <c r="Y310" i="24" s="1"/>
  <c r="H310" i="24"/>
  <c r="G310" i="24"/>
  <c r="CE310" i="6" s="1"/>
  <c r="I286" i="24"/>
  <c r="J286" i="24"/>
  <c r="I282" i="24"/>
  <c r="J282" i="24"/>
  <c r="AA272" i="24"/>
  <c r="Z272" i="24" s="1"/>
  <c r="Y272" i="24" s="1"/>
  <c r="G272" i="24"/>
  <c r="CE272" i="6" s="1"/>
  <c r="G270" i="24"/>
  <c r="CE270" i="6" s="1"/>
  <c r="AA270" i="24"/>
  <c r="Z270" i="24" s="1"/>
  <c r="Y270" i="24" s="1"/>
  <c r="H270" i="24"/>
  <c r="H252" i="24"/>
  <c r="G252" i="24"/>
  <c r="CE252" i="6" s="1"/>
  <c r="AA252" i="24"/>
  <c r="Z252" i="24" s="1"/>
  <c r="Y252" i="24" s="1"/>
  <c r="J244" i="24"/>
  <c r="I244" i="24"/>
  <c r="I240" i="24"/>
  <c r="J240" i="24"/>
  <c r="J238" i="24"/>
  <c r="I238" i="24"/>
  <c r="I206" i="24"/>
  <c r="J206" i="24"/>
  <c r="AA200" i="24"/>
  <c r="Z200" i="24" s="1"/>
  <c r="Y200" i="24" s="1"/>
  <c r="G200" i="24"/>
  <c r="CE200" i="6" s="1"/>
  <c r="H200" i="24"/>
  <c r="I188" i="24"/>
  <c r="J188" i="24"/>
  <c r="J176" i="24"/>
  <c r="I176" i="24"/>
  <c r="G158" i="24"/>
  <c r="CE158" i="6" s="1"/>
  <c r="AA158" i="24"/>
  <c r="Z158" i="24" s="1"/>
  <c r="Y158" i="24" s="1"/>
  <c r="H158" i="24"/>
  <c r="I138" i="24"/>
  <c r="J138" i="24"/>
  <c r="J124" i="24"/>
  <c r="I124" i="24"/>
  <c r="I112" i="24"/>
  <c r="J112" i="24"/>
  <c r="I102" i="24"/>
  <c r="J102" i="24"/>
  <c r="J96" i="24"/>
  <c r="I96" i="24"/>
  <c r="I94" i="24"/>
  <c r="J94" i="24"/>
  <c r="D88" i="24"/>
  <c r="E88" i="24" s="1"/>
  <c r="F88" i="24" s="1"/>
  <c r="W88" i="24"/>
  <c r="J84" i="24"/>
  <c r="I84" i="24"/>
  <c r="J82" i="24"/>
  <c r="I82" i="24"/>
  <c r="AA70" i="24"/>
  <c r="Z70" i="24" s="1"/>
  <c r="Y70" i="24" s="1"/>
  <c r="G70" i="24"/>
  <c r="CE70" i="6" s="1"/>
  <c r="H70" i="24"/>
  <c r="J68" i="24"/>
  <c r="I68" i="24"/>
  <c r="I56" i="24"/>
  <c r="J56" i="24"/>
  <c r="G50" i="24"/>
  <c r="CE50" i="6" s="1"/>
  <c r="H50" i="24"/>
  <c r="AA50" i="24"/>
  <c r="Z50" i="24" s="1"/>
  <c r="Y50" i="24" s="1"/>
  <c r="J48" i="24"/>
  <c r="I48" i="24"/>
  <c r="G34" i="24"/>
  <c r="CE34" i="6" s="1"/>
  <c r="AA34" i="24"/>
  <c r="Z34" i="24" s="1"/>
  <c r="Y34" i="24" s="1"/>
  <c r="H34" i="24"/>
  <c r="G32" i="24"/>
  <c r="CE32" i="6" s="1"/>
  <c r="AA32" i="24"/>
  <c r="Z32" i="24" s="1"/>
  <c r="Y32" i="24" s="1"/>
  <c r="H32" i="24"/>
  <c r="AA30" i="24"/>
  <c r="Z30" i="24" s="1"/>
  <c r="Y30" i="24" s="1"/>
  <c r="G30" i="24"/>
  <c r="CE30" i="6" s="1"/>
  <c r="H30" i="24"/>
  <c r="G28" i="24"/>
  <c r="CE28" i="6" s="1"/>
  <c r="H28" i="24"/>
  <c r="AA28" i="24"/>
  <c r="Z28" i="24" s="1"/>
  <c r="Y28" i="24" s="1"/>
  <c r="S381" i="24"/>
  <c r="S382" i="24"/>
  <c r="S383" i="24"/>
  <c r="R15" i="24"/>
  <c r="G258" i="24"/>
  <c r="CE258" i="6" s="1"/>
  <c r="AA258" i="24"/>
  <c r="Z258" i="24" s="1"/>
  <c r="Y258" i="24" s="1"/>
  <c r="J210" i="23"/>
  <c r="I210" i="23"/>
  <c r="G288" i="24"/>
  <c r="CE288" i="6" s="1"/>
  <c r="AA288" i="24"/>
  <c r="Z288" i="24" s="1"/>
  <c r="Y288" i="24" s="1"/>
  <c r="I333" i="23"/>
  <c r="H333" i="24" s="1"/>
  <c r="J333" i="23"/>
  <c r="J180" i="23"/>
  <c r="I180" i="23"/>
  <c r="H180" i="24" s="1"/>
  <c r="I363" i="23"/>
  <c r="J363" i="23"/>
  <c r="J349" i="24"/>
  <c r="I349" i="24"/>
  <c r="E7" i="6"/>
  <c r="AC7" i="7"/>
  <c r="J380" i="25"/>
  <c r="I380" i="25"/>
  <c r="S365" i="25"/>
  <c r="R365" i="25" s="1"/>
  <c r="P365" i="25" s="1"/>
  <c r="V365" i="25" s="1"/>
  <c r="B365" i="25" s="1"/>
  <c r="S335" i="25"/>
  <c r="R335" i="25" s="1"/>
  <c r="P335" i="25" s="1"/>
  <c r="V335" i="25" s="1"/>
  <c r="B335" i="25" s="1"/>
  <c r="D323" i="25"/>
  <c r="E323" i="25" s="1"/>
  <c r="F323" i="25" s="1"/>
  <c r="W323" i="25"/>
  <c r="D307" i="25"/>
  <c r="E307" i="25" s="1"/>
  <c r="F307" i="25" s="1"/>
  <c r="W291" i="25"/>
  <c r="D291" i="25"/>
  <c r="E291" i="25" s="1"/>
  <c r="F291" i="25" s="1"/>
  <c r="S287" i="25"/>
  <c r="R287" i="25" s="1"/>
  <c r="P287" i="25" s="1"/>
  <c r="V287" i="25" s="1"/>
  <c r="B287" i="25" s="1"/>
  <c r="S253" i="25"/>
  <c r="R253" i="25" s="1"/>
  <c r="P253" i="25" s="1"/>
  <c r="V253" i="25" s="1"/>
  <c r="B253" i="25" s="1"/>
  <c r="D249" i="25"/>
  <c r="E249" i="25" s="1"/>
  <c r="F249" i="25" s="1"/>
  <c r="W249" i="25"/>
  <c r="D217" i="25"/>
  <c r="E217" i="25" s="1"/>
  <c r="F217" i="25" s="1"/>
  <c r="S189" i="25"/>
  <c r="R189" i="25" s="1"/>
  <c r="P189" i="25" s="1"/>
  <c r="V189" i="25" s="1"/>
  <c r="B189" i="25" s="1"/>
  <c r="D185" i="25"/>
  <c r="E185" i="25" s="1"/>
  <c r="F185" i="25" s="1"/>
  <c r="W185" i="25"/>
  <c r="S161" i="25"/>
  <c r="R161" i="25" s="1"/>
  <c r="P161" i="25" s="1"/>
  <c r="V161" i="25" s="1"/>
  <c r="B161" i="25" s="1"/>
  <c r="S67" i="25"/>
  <c r="R67" i="25" s="1"/>
  <c r="P67" i="25" s="1"/>
  <c r="V67" i="25" s="1"/>
  <c r="B67" i="25" s="1"/>
  <c r="W363" i="24"/>
  <c r="D363" i="24"/>
  <c r="E363" i="24" s="1"/>
  <c r="F363" i="24" s="1"/>
  <c r="I339" i="24"/>
  <c r="J339" i="24"/>
  <c r="J337" i="24"/>
  <c r="I337" i="24"/>
  <c r="I301" i="24"/>
  <c r="J301" i="24"/>
  <c r="I273" i="24"/>
  <c r="J273" i="24"/>
  <c r="J263" i="24"/>
  <c r="I263" i="24"/>
  <c r="AA237" i="24"/>
  <c r="Z237" i="24" s="1"/>
  <c r="Y237" i="24" s="1"/>
  <c r="H237" i="24"/>
  <c r="G237" i="24"/>
  <c r="CE237" i="6" s="1"/>
  <c r="I219" i="24"/>
  <c r="J219" i="24"/>
  <c r="I201" i="24"/>
  <c r="J201" i="24"/>
  <c r="G189" i="24"/>
  <c r="CE189" i="6" s="1"/>
  <c r="H189" i="24"/>
  <c r="AA189" i="24"/>
  <c r="Z189" i="24" s="1"/>
  <c r="Y189" i="24" s="1"/>
  <c r="AA181" i="24"/>
  <c r="Z181" i="24" s="1"/>
  <c r="Y181" i="24" s="1"/>
  <c r="G181" i="24"/>
  <c r="CE181" i="6" s="1"/>
  <c r="H181" i="24"/>
  <c r="J159" i="24"/>
  <c r="I159" i="24"/>
  <c r="AA149" i="24"/>
  <c r="Z149" i="24" s="1"/>
  <c r="Y149" i="24" s="1"/>
  <c r="G149" i="24"/>
  <c r="CE149" i="6" s="1"/>
  <c r="J147" i="24"/>
  <c r="I147" i="24"/>
  <c r="AA125" i="24"/>
  <c r="Z125" i="24" s="1"/>
  <c r="Y125" i="24" s="1"/>
  <c r="H125" i="24"/>
  <c r="G125" i="24"/>
  <c r="CE125" i="6" s="1"/>
  <c r="AA103" i="24"/>
  <c r="Z103" i="24" s="1"/>
  <c r="Y103" i="24" s="1"/>
  <c r="G103" i="24"/>
  <c r="CE103" i="6" s="1"/>
  <c r="H103" i="24"/>
  <c r="G91" i="24"/>
  <c r="CE91" i="6" s="1"/>
  <c r="H91" i="24"/>
  <c r="AA91" i="24"/>
  <c r="Z91" i="24" s="1"/>
  <c r="Y91" i="24" s="1"/>
  <c r="I83" i="24"/>
  <c r="J83" i="24"/>
  <c r="J71" i="24"/>
  <c r="I71" i="24"/>
  <c r="G69" i="24"/>
  <c r="CE69" i="6" s="1"/>
  <c r="AA69" i="24"/>
  <c r="Z69" i="24" s="1"/>
  <c r="Y69" i="24" s="1"/>
  <c r="H69" i="24"/>
  <c r="I39" i="24"/>
  <c r="J39" i="24"/>
  <c r="G135" i="24"/>
  <c r="CE135" i="6" s="1"/>
  <c r="H135" i="24"/>
  <c r="AA135" i="24"/>
  <c r="Z135" i="24" s="1"/>
  <c r="Y135" i="24" s="1"/>
  <c r="AA105" i="24"/>
  <c r="Z105" i="24" s="1"/>
  <c r="Y105" i="24" s="1"/>
  <c r="G105" i="24"/>
  <c r="CE105" i="6" s="1"/>
  <c r="H105" i="24"/>
  <c r="I149" i="23"/>
  <c r="H149" i="24" s="1"/>
  <c r="J149" i="23"/>
  <c r="I196" i="24"/>
  <c r="J196" i="24"/>
  <c r="I46" i="23"/>
  <c r="H46" i="24" s="1"/>
  <c r="J46" i="23"/>
  <c r="I360" i="24"/>
  <c r="J360" i="24"/>
  <c r="I266" i="24"/>
  <c r="J266" i="24"/>
  <c r="J250" i="24"/>
  <c r="I250" i="24"/>
  <c r="J242" i="24"/>
  <c r="I242" i="24"/>
  <c r="I224" i="24"/>
  <c r="J224" i="24"/>
  <c r="J216" i="24"/>
  <c r="I216" i="24"/>
  <c r="I208" i="24"/>
  <c r="J208" i="24"/>
  <c r="I202" i="24"/>
  <c r="J202" i="24"/>
  <c r="J194" i="24"/>
  <c r="I186" i="24"/>
  <c r="J186" i="24"/>
  <c r="J136" i="24"/>
  <c r="I136" i="24"/>
  <c r="I118" i="24"/>
  <c r="J118" i="24"/>
  <c r="I110" i="24"/>
  <c r="J110" i="24"/>
  <c r="J72" i="24"/>
  <c r="I72" i="24"/>
  <c r="J66" i="24"/>
  <c r="I66" i="24"/>
  <c r="AA60" i="24"/>
  <c r="Z60" i="24" s="1"/>
  <c r="Y60" i="24" s="1"/>
  <c r="G60" i="24"/>
  <c r="CE60" i="6" s="1"/>
  <c r="I36" i="24"/>
  <c r="J36" i="24"/>
  <c r="AG247" i="25"/>
  <c r="AF247" i="25" s="1"/>
  <c r="AD247" i="25" s="1"/>
  <c r="AA166" i="24"/>
  <c r="Z166" i="24" s="1"/>
  <c r="Y166" i="24" s="1"/>
  <c r="G166" i="24"/>
  <c r="CE166" i="6" s="1"/>
  <c r="J119" i="23"/>
  <c r="I119" i="23"/>
  <c r="H119" i="24" s="1"/>
  <c r="J382" i="18"/>
  <c r="C15" i="6"/>
  <c r="J383" i="18"/>
  <c r="J381" i="18"/>
  <c r="I297" i="24"/>
  <c r="J297" i="24"/>
  <c r="J269" i="24"/>
  <c r="I269" i="24"/>
  <c r="I239" i="24"/>
  <c r="J239" i="24"/>
  <c r="I183" i="24"/>
  <c r="J183" i="24"/>
  <c r="I143" i="24"/>
  <c r="J143" i="24"/>
  <c r="I67" i="24"/>
  <c r="J67" i="24"/>
  <c r="I59" i="24"/>
  <c r="J59" i="24"/>
  <c r="AA366" i="24"/>
  <c r="Z366" i="24" s="1"/>
  <c r="Y366" i="24" s="1"/>
  <c r="G366" i="24"/>
  <c r="CE366" i="6" s="1"/>
  <c r="H366" i="24"/>
  <c r="AA352" i="24"/>
  <c r="Z352" i="24" s="1"/>
  <c r="Y352" i="24" s="1"/>
  <c r="H352" i="24"/>
  <c r="G352" i="24"/>
  <c r="CE352" i="6" s="1"/>
  <c r="G296" i="24"/>
  <c r="CE296" i="6" s="1"/>
  <c r="H296" i="24"/>
  <c r="AA296" i="24"/>
  <c r="Z296" i="24" s="1"/>
  <c r="Y296" i="24" s="1"/>
  <c r="D210" i="24"/>
  <c r="E210" i="24" s="1"/>
  <c r="F210" i="24" s="1"/>
  <c r="W210" i="24"/>
  <c r="G182" i="24"/>
  <c r="CE182" i="6" s="1"/>
  <c r="AA182" i="24"/>
  <c r="Z182" i="24" s="1"/>
  <c r="Y182" i="24" s="1"/>
  <c r="H182" i="24"/>
  <c r="G134" i="24"/>
  <c r="CE134" i="6" s="1"/>
  <c r="AA134" i="24"/>
  <c r="Z134" i="24" s="1"/>
  <c r="Y134" i="24" s="1"/>
  <c r="H134" i="24"/>
  <c r="G347" i="24"/>
  <c r="CE347" i="6" s="1"/>
  <c r="H347" i="24"/>
  <c r="AA347" i="24"/>
  <c r="Z347" i="24" s="1"/>
  <c r="Y347" i="24" s="1"/>
  <c r="AA321" i="24"/>
  <c r="Z321" i="24" s="1"/>
  <c r="Y321" i="24" s="1"/>
  <c r="G321" i="24"/>
  <c r="CE321" i="6" s="1"/>
  <c r="H321" i="24"/>
  <c r="G285" i="24"/>
  <c r="CE285" i="6" s="1"/>
  <c r="H285" i="24"/>
  <c r="AA285" i="24"/>
  <c r="Z285" i="24" s="1"/>
  <c r="Y285" i="24" s="1"/>
  <c r="G229" i="24"/>
  <c r="CE229" i="6" s="1"/>
  <c r="AA229" i="24"/>
  <c r="Z229" i="24" s="1"/>
  <c r="Y229" i="24" s="1"/>
  <c r="H229" i="24"/>
  <c r="G207" i="24"/>
  <c r="CE207" i="6" s="1"/>
  <c r="AA207" i="24"/>
  <c r="Z207" i="24" s="1"/>
  <c r="Y207" i="24" s="1"/>
  <c r="H207" i="24"/>
  <c r="AA195" i="24"/>
  <c r="Z195" i="24" s="1"/>
  <c r="Y195" i="24" s="1"/>
  <c r="G195" i="24"/>
  <c r="CE195" i="6" s="1"/>
  <c r="H195" i="24"/>
  <c r="AA145" i="24"/>
  <c r="Z145" i="24" s="1"/>
  <c r="Y145" i="24" s="1"/>
  <c r="H145" i="24"/>
  <c r="G145" i="24"/>
  <c r="CE145" i="6" s="1"/>
  <c r="G131" i="24"/>
  <c r="CE131" i="6" s="1"/>
  <c r="H131" i="24"/>
  <c r="AA131" i="24"/>
  <c r="Z131" i="24" s="1"/>
  <c r="Y131" i="24" s="1"/>
  <c r="G123" i="24"/>
  <c r="CE123" i="6" s="1"/>
  <c r="AA123" i="24"/>
  <c r="Z123" i="24" s="1"/>
  <c r="Y123" i="24" s="1"/>
  <c r="H123" i="24"/>
  <c r="G113" i="24"/>
  <c r="CE113" i="6" s="1"/>
  <c r="H113" i="24"/>
  <c r="AA113" i="24"/>
  <c r="Z113" i="24" s="1"/>
  <c r="Y113" i="24" s="1"/>
  <c r="AA95" i="24"/>
  <c r="Z95" i="24" s="1"/>
  <c r="Y95" i="24" s="1"/>
  <c r="G95" i="24"/>
  <c r="CE95" i="6" s="1"/>
  <c r="H95" i="24"/>
  <c r="AA31" i="24"/>
  <c r="Z31" i="24" s="1"/>
  <c r="Y31" i="24" s="1"/>
  <c r="H31" i="24"/>
  <c r="G31" i="24"/>
  <c r="CE31" i="6" s="1"/>
  <c r="G378" i="24"/>
  <c r="CE378" i="6" s="1"/>
  <c r="AA378" i="24"/>
  <c r="Z378" i="24" s="1"/>
  <c r="Y378" i="24" s="1"/>
  <c r="H378" i="24"/>
  <c r="AA358" i="24"/>
  <c r="Z358" i="24" s="1"/>
  <c r="Y358" i="24" s="1"/>
  <c r="H358" i="24"/>
  <c r="G358" i="24"/>
  <c r="CE358" i="6" s="1"/>
  <c r="G342" i="24"/>
  <c r="CE342" i="6" s="1"/>
  <c r="AA342" i="24"/>
  <c r="Z342" i="24" s="1"/>
  <c r="Y342" i="24" s="1"/>
  <c r="H342" i="24"/>
  <c r="G314" i="24"/>
  <c r="CE314" i="6" s="1"/>
  <c r="H314" i="24"/>
  <c r="AA314" i="24"/>
  <c r="Z314" i="24" s="1"/>
  <c r="Y314" i="24" s="1"/>
  <c r="AA280" i="24"/>
  <c r="Z280" i="24" s="1"/>
  <c r="Y280" i="24" s="1"/>
  <c r="H280" i="24"/>
  <c r="G280" i="24"/>
  <c r="CE280" i="6" s="1"/>
  <c r="G204" i="24"/>
  <c r="CE204" i="6" s="1"/>
  <c r="H204" i="24"/>
  <c r="AA204" i="24"/>
  <c r="Z204" i="24" s="1"/>
  <c r="Y204" i="24" s="1"/>
  <c r="AA164" i="24"/>
  <c r="Z164" i="24" s="1"/>
  <c r="Y164" i="24" s="1"/>
  <c r="G164" i="24"/>
  <c r="CE164" i="6" s="1"/>
  <c r="H164" i="24"/>
  <c r="AA144" i="24"/>
  <c r="Z144" i="24" s="1"/>
  <c r="Y144" i="24" s="1"/>
  <c r="H144" i="24"/>
  <c r="G144" i="24"/>
  <c r="CE144" i="6" s="1"/>
  <c r="AA90" i="24"/>
  <c r="Z90" i="24" s="1"/>
  <c r="Y90" i="24" s="1"/>
  <c r="H90" i="24"/>
  <c r="G90" i="24"/>
  <c r="CE90" i="6" s="1"/>
  <c r="G341" i="24"/>
  <c r="CE341" i="6" s="1"/>
  <c r="AA341" i="24"/>
  <c r="Z341" i="24" s="1"/>
  <c r="Y341" i="24" s="1"/>
  <c r="H341" i="24"/>
  <c r="D319" i="24"/>
  <c r="E319" i="24" s="1"/>
  <c r="F319" i="24" s="1"/>
  <c r="W319" i="24"/>
  <c r="G289" i="24"/>
  <c r="CE289" i="6" s="1"/>
  <c r="H289" i="24"/>
  <c r="AA289" i="24"/>
  <c r="Z289" i="24" s="1"/>
  <c r="Y289" i="24" s="1"/>
  <c r="AA259" i="24"/>
  <c r="Z259" i="24" s="1"/>
  <c r="Y259" i="24" s="1"/>
  <c r="H259" i="24"/>
  <c r="G259" i="24"/>
  <c r="CE259" i="6" s="1"/>
  <c r="AA225" i="24"/>
  <c r="Z225" i="24" s="1"/>
  <c r="Y225" i="24" s="1"/>
  <c r="H225" i="24"/>
  <c r="G225" i="24"/>
  <c r="CE225" i="6" s="1"/>
  <c r="AA213" i="24"/>
  <c r="Z213" i="24" s="1"/>
  <c r="Y213" i="24" s="1"/>
  <c r="G213" i="24"/>
  <c r="CE213" i="6" s="1"/>
  <c r="H213" i="24"/>
  <c r="G205" i="24"/>
  <c r="CE205" i="6" s="1"/>
  <c r="H205" i="24"/>
  <c r="AA205" i="24"/>
  <c r="Z205" i="24" s="1"/>
  <c r="Y205" i="24" s="1"/>
  <c r="AA157" i="24"/>
  <c r="Z157" i="24" s="1"/>
  <c r="Y157" i="24" s="1"/>
  <c r="H157" i="24"/>
  <c r="G157" i="24"/>
  <c r="CE157" i="6" s="1"/>
  <c r="AA127" i="24"/>
  <c r="Z127" i="24" s="1"/>
  <c r="Y127" i="24" s="1"/>
  <c r="G127" i="24"/>
  <c r="CE127" i="6" s="1"/>
  <c r="H127" i="24"/>
  <c r="G121" i="24"/>
  <c r="CE121" i="6" s="1"/>
  <c r="AA121" i="24"/>
  <c r="Z121" i="24" s="1"/>
  <c r="Y121" i="24" s="1"/>
  <c r="H121" i="24"/>
  <c r="AG379" i="24" l="1"/>
  <c r="AH383" i="24"/>
  <c r="BF16" i="7"/>
  <c r="AD159" i="23"/>
  <c r="AF382" i="23"/>
  <c r="AF381" i="23"/>
  <c r="AF383" i="23"/>
  <c r="I294" i="24"/>
  <c r="J364" i="24"/>
  <c r="J80" i="24"/>
  <c r="J162" i="24"/>
  <c r="W374" i="25"/>
  <c r="W275" i="25"/>
  <c r="W331" i="25"/>
  <c r="D339" i="25"/>
  <c r="E339" i="25" s="1"/>
  <c r="F339" i="25" s="1"/>
  <c r="I92" i="24"/>
  <c r="J326" i="24"/>
  <c r="I292" i="24"/>
  <c r="H292" i="25" s="1"/>
  <c r="I260" i="24"/>
  <c r="D20" i="25"/>
  <c r="E20" i="25" s="1"/>
  <c r="F20" i="25" s="1"/>
  <c r="H20" i="25" s="1"/>
  <c r="D38" i="25"/>
  <c r="E38" i="25" s="1"/>
  <c r="F38" i="25" s="1"/>
  <c r="AA38" i="25" s="1"/>
  <c r="Z38" i="25" s="1"/>
  <c r="Y38" i="25" s="1"/>
  <c r="W102" i="25"/>
  <c r="D134" i="25"/>
  <c r="E134" i="25" s="1"/>
  <c r="F134" i="25" s="1"/>
  <c r="AA134" i="25" s="1"/>
  <c r="Z134" i="25" s="1"/>
  <c r="Y134" i="25" s="1"/>
  <c r="W356" i="25"/>
  <c r="D273" i="25"/>
  <c r="E273" i="25" s="1"/>
  <c r="F273" i="25" s="1"/>
  <c r="AA273" i="25" s="1"/>
  <c r="Z273" i="25" s="1"/>
  <c r="Y273" i="25" s="1"/>
  <c r="W181" i="25"/>
  <c r="W197" i="25"/>
  <c r="J274" i="24"/>
  <c r="W229" i="25"/>
  <c r="D313" i="25"/>
  <c r="E313" i="25" s="1"/>
  <c r="F313" i="25" s="1"/>
  <c r="H313" i="25" s="1"/>
  <c r="D377" i="25"/>
  <c r="E377" i="25" s="1"/>
  <c r="F377" i="25" s="1"/>
  <c r="G377" i="25" s="1"/>
  <c r="CF377" i="6" s="1"/>
  <c r="I104" i="24"/>
  <c r="W280" i="25"/>
  <c r="W292" i="25"/>
  <c r="J212" i="24"/>
  <c r="J344" i="24"/>
  <c r="D211" i="25"/>
  <c r="E211" i="25" s="1"/>
  <c r="F211" i="25" s="1"/>
  <c r="H211" i="25" s="1"/>
  <c r="V241" i="25"/>
  <c r="B241" i="25" s="1"/>
  <c r="W241" i="25" s="1"/>
  <c r="D297" i="25"/>
  <c r="E297" i="25" s="1"/>
  <c r="F297" i="25" s="1"/>
  <c r="G297" i="25" s="1"/>
  <c r="CF297" i="6" s="1"/>
  <c r="D337" i="25"/>
  <c r="E337" i="25" s="1"/>
  <c r="F337" i="25" s="1"/>
  <c r="G337" i="25" s="1"/>
  <c r="CF337" i="6" s="1"/>
  <c r="W357" i="25"/>
  <c r="I25" i="24"/>
  <c r="H25" i="25" s="1"/>
  <c r="J350" i="24"/>
  <c r="I198" i="24"/>
  <c r="AH76" i="7"/>
  <c r="D324" i="25"/>
  <c r="E324" i="25" s="1"/>
  <c r="F324" i="25" s="1"/>
  <c r="G324" i="25" s="1"/>
  <c r="CF324" i="6" s="1"/>
  <c r="J284" i="24"/>
  <c r="J54" i="24"/>
  <c r="J23" i="24"/>
  <c r="I122" i="24"/>
  <c r="D169" i="25"/>
  <c r="E169" i="25" s="1"/>
  <c r="F169" i="25" s="1"/>
  <c r="AA169" i="25" s="1"/>
  <c r="Z169" i="25" s="1"/>
  <c r="Y169" i="25" s="1"/>
  <c r="W203" i="25"/>
  <c r="W219" i="25"/>
  <c r="W233" i="25"/>
  <c r="W245" i="25"/>
  <c r="W259" i="25"/>
  <c r="D267" i="25"/>
  <c r="E267" i="25" s="1"/>
  <c r="F267" i="25" s="1"/>
  <c r="AA267" i="25" s="1"/>
  <c r="Z267" i="25" s="1"/>
  <c r="Y267" i="25" s="1"/>
  <c r="W281" i="25"/>
  <c r="D303" i="25"/>
  <c r="E303" i="25" s="1"/>
  <c r="F303" i="25" s="1"/>
  <c r="G303" i="25" s="1"/>
  <c r="CF303" i="6" s="1"/>
  <c r="W315" i="25"/>
  <c r="W345" i="25"/>
  <c r="D373" i="25"/>
  <c r="E373" i="25" s="1"/>
  <c r="F373" i="25" s="1"/>
  <c r="G373" i="25" s="1"/>
  <c r="CF373" i="6" s="1"/>
  <c r="J304" i="24"/>
  <c r="W62" i="25"/>
  <c r="D82" i="25"/>
  <c r="E82" i="25" s="1"/>
  <c r="F82" i="25" s="1"/>
  <c r="G82" i="25" s="1"/>
  <c r="CF82" i="6" s="1"/>
  <c r="D162" i="25"/>
  <c r="E162" i="25" s="1"/>
  <c r="F162" i="25" s="1"/>
  <c r="G162" i="25" s="1"/>
  <c r="CF162" i="6" s="1"/>
  <c r="D276" i="25"/>
  <c r="E276" i="25" s="1"/>
  <c r="F276" i="25" s="1"/>
  <c r="G276" i="25" s="1"/>
  <c r="CF276" i="6" s="1"/>
  <c r="D304" i="25"/>
  <c r="E304" i="25" s="1"/>
  <c r="F304" i="25" s="1"/>
  <c r="H304" i="25" s="1"/>
  <c r="W340" i="25"/>
  <c r="W362" i="25"/>
  <c r="D372" i="25"/>
  <c r="E372" i="25" s="1"/>
  <c r="F372" i="25" s="1"/>
  <c r="H372" i="25" s="1"/>
  <c r="W378" i="25"/>
  <c r="J262" i="24"/>
  <c r="J328" i="24"/>
  <c r="J220" i="24"/>
  <c r="I156" i="24"/>
  <c r="I40" i="24"/>
  <c r="J379" i="23"/>
  <c r="I178" i="24"/>
  <c r="H178" i="25" s="1"/>
  <c r="W167" i="25"/>
  <c r="W193" i="25"/>
  <c r="D201" i="25"/>
  <c r="E201" i="25" s="1"/>
  <c r="F201" i="25" s="1"/>
  <c r="AA201" i="25" s="1"/>
  <c r="Z201" i="25" s="1"/>
  <c r="Y201" i="25" s="1"/>
  <c r="D225" i="25"/>
  <c r="E225" i="25" s="1"/>
  <c r="F225" i="25" s="1"/>
  <c r="G225" i="25" s="1"/>
  <c r="CF225" i="6" s="1"/>
  <c r="D257" i="25"/>
  <c r="E257" i="25" s="1"/>
  <c r="F257" i="25" s="1"/>
  <c r="AA257" i="25" s="1"/>
  <c r="Z257" i="25" s="1"/>
  <c r="Y257" i="25" s="1"/>
  <c r="D311" i="25"/>
  <c r="E311" i="25" s="1"/>
  <c r="F311" i="25" s="1"/>
  <c r="G311" i="25" s="1"/>
  <c r="CF311" i="6" s="1"/>
  <c r="I128" i="24"/>
  <c r="I170" i="24"/>
  <c r="H170" i="25" s="1"/>
  <c r="D352" i="25"/>
  <c r="E352" i="25" s="1"/>
  <c r="F352" i="25" s="1"/>
  <c r="G352" i="25" s="1"/>
  <c r="CF352" i="6" s="1"/>
  <c r="I362" i="24"/>
  <c r="H362" i="25" s="1"/>
  <c r="D279" i="25"/>
  <c r="E279" i="25" s="1"/>
  <c r="F279" i="25" s="1"/>
  <c r="AA279" i="25" s="1"/>
  <c r="Z279" i="25" s="1"/>
  <c r="Y279" i="25" s="1"/>
  <c r="W295" i="25"/>
  <c r="D299" i="25"/>
  <c r="E299" i="25" s="1"/>
  <c r="F299" i="25" s="1"/>
  <c r="G299" i="25" s="1"/>
  <c r="CF299" i="6" s="1"/>
  <c r="W309" i="25"/>
  <c r="W327" i="25"/>
  <c r="D343" i="25"/>
  <c r="E343" i="25" s="1"/>
  <c r="F343" i="25" s="1"/>
  <c r="AA343" i="25" s="1"/>
  <c r="Z343" i="25" s="1"/>
  <c r="Y343" i="25" s="1"/>
  <c r="W375" i="25"/>
  <c r="W30" i="25"/>
  <c r="D106" i="25"/>
  <c r="E106" i="25" s="1"/>
  <c r="F106" i="25" s="1"/>
  <c r="G106" i="25" s="1"/>
  <c r="CF106" i="6" s="1"/>
  <c r="D370" i="25"/>
  <c r="E370" i="25" s="1"/>
  <c r="F370" i="25" s="1"/>
  <c r="H370" i="25" s="1"/>
  <c r="U381" i="25"/>
  <c r="T383" i="25"/>
  <c r="D285" i="25"/>
  <c r="E285" i="25" s="1"/>
  <c r="F285" i="25" s="1"/>
  <c r="AA285" i="25" s="1"/>
  <c r="Z285" i="25" s="1"/>
  <c r="Y285" i="25" s="1"/>
  <c r="W293" i="25"/>
  <c r="AI383" i="25"/>
  <c r="D165" i="25"/>
  <c r="E165" i="25" s="1"/>
  <c r="F165" i="25" s="1"/>
  <c r="AA165" i="25" s="1"/>
  <c r="Z165" i="25" s="1"/>
  <c r="Y165" i="25" s="1"/>
  <c r="D179" i="25"/>
  <c r="E179" i="25" s="1"/>
  <c r="F179" i="25" s="1"/>
  <c r="AA179" i="25" s="1"/>
  <c r="Z179" i="25" s="1"/>
  <c r="Y179" i="25" s="1"/>
  <c r="D195" i="25"/>
  <c r="E195" i="25" s="1"/>
  <c r="F195" i="25" s="1"/>
  <c r="G195" i="25" s="1"/>
  <c r="CF195" i="6" s="1"/>
  <c r="W209" i="25"/>
  <c r="W213" i="25"/>
  <c r="D235" i="25"/>
  <c r="E235" i="25" s="1"/>
  <c r="F235" i="25" s="1"/>
  <c r="AA235" i="25" s="1"/>
  <c r="Z235" i="25" s="1"/>
  <c r="Y235" i="25" s="1"/>
  <c r="D243" i="25"/>
  <c r="E243" i="25" s="1"/>
  <c r="F243" i="25" s="1"/>
  <c r="G243" i="25" s="1"/>
  <c r="CF243" i="6" s="1"/>
  <c r="W251" i="25"/>
  <c r="D271" i="25"/>
  <c r="E271" i="25" s="1"/>
  <c r="F271" i="25" s="1"/>
  <c r="H271" i="25" s="1"/>
  <c r="W305" i="25"/>
  <c r="D321" i="25"/>
  <c r="E321" i="25" s="1"/>
  <c r="F321" i="25" s="1"/>
  <c r="AA321" i="25" s="1"/>
  <c r="Z321" i="25" s="1"/>
  <c r="Y321" i="25" s="1"/>
  <c r="D329" i="25"/>
  <c r="E329" i="25" s="1"/>
  <c r="F329" i="25" s="1"/>
  <c r="AA329" i="25" s="1"/>
  <c r="Z329" i="25" s="1"/>
  <c r="Y329" i="25" s="1"/>
  <c r="W353" i="25"/>
  <c r="D361" i="25"/>
  <c r="E361" i="25" s="1"/>
  <c r="F361" i="25" s="1"/>
  <c r="G361" i="25" s="1"/>
  <c r="CF361" i="6" s="1"/>
  <c r="D288" i="25"/>
  <c r="E288" i="25" s="1"/>
  <c r="F288" i="25" s="1"/>
  <c r="G288" i="25" s="1"/>
  <c r="CF288" i="6" s="1"/>
  <c r="D34" i="25"/>
  <c r="E34" i="25" s="1"/>
  <c r="F34" i="25" s="1"/>
  <c r="G34" i="25" s="1"/>
  <c r="CF34" i="6" s="1"/>
  <c r="W50" i="25"/>
  <c r="D98" i="25"/>
  <c r="E98" i="25" s="1"/>
  <c r="F98" i="25" s="1"/>
  <c r="G98" i="25" s="1"/>
  <c r="CF98" i="6" s="1"/>
  <c r="W126" i="25"/>
  <c r="D146" i="25"/>
  <c r="E146" i="25" s="1"/>
  <c r="F146" i="25" s="1"/>
  <c r="AA146" i="25" s="1"/>
  <c r="Z146" i="25" s="1"/>
  <c r="Y146" i="25" s="1"/>
  <c r="W308" i="25"/>
  <c r="W328" i="25"/>
  <c r="W344" i="25"/>
  <c r="D348" i="25"/>
  <c r="E348" i="25" s="1"/>
  <c r="F348" i="25" s="1"/>
  <c r="AA348" i="25" s="1"/>
  <c r="Z348" i="25" s="1"/>
  <c r="Y348" i="25" s="1"/>
  <c r="D364" i="25"/>
  <c r="E364" i="25" s="1"/>
  <c r="F364" i="25" s="1"/>
  <c r="AA364" i="25" s="1"/>
  <c r="Z364" i="25" s="1"/>
  <c r="Y364" i="25" s="1"/>
  <c r="D173" i="25"/>
  <c r="E173" i="25" s="1"/>
  <c r="F173" i="25" s="1"/>
  <c r="AA173" i="25" s="1"/>
  <c r="Z173" i="25" s="1"/>
  <c r="Y173" i="25" s="1"/>
  <c r="D191" i="25"/>
  <c r="E191" i="25" s="1"/>
  <c r="F191" i="25" s="1"/>
  <c r="AA191" i="25" s="1"/>
  <c r="Z191" i="25" s="1"/>
  <c r="Y191" i="25" s="1"/>
  <c r="D205" i="25"/>
  <c r="E205" i="25" s="1"/>
  <c r="F205" i="25" s="1"/>
  <c r="G205" i="25" s="1"/>
  <c r="CF205" i="6" s="1"/>
  <c r="W215" i="25"/>
  <c r="D223" i="25"/>
  <c r="E223" i="25" s="1"/>
  <c r="F223" i="25" s="1"/>
  <c r="AA223" i="25" s="1"/>
  <c r="Z223" i="25" s="1"/>
  <c r="Y223" i="25" s="1"/>
  <c r="W231" i="25"/>
  <c r="D239" i="25"/>
  <c r="E239" i="25" s="1"/>
  <c r="F239" i="25" s="1"/>
  <c r="AA239" i="25" s="1"/>
  <c r="Z239" i="25" s="1"/>
  <c r="Y239" i="25" s="1"/>
  <c r="D351" i="25"/>
  <c r="E351" i="25" s="1"/>
  <c r="F351" i="25" s="1"/>
  <c r="AA351" i="25" s="1"/>
  <c r="Z351" i="25" s="1"/>
  <c r="Y351" i="25" s="1"/>
  <c r="D94" i="25"/>
  <c r="E94" i="25" s="1"/>
  <c r="F94" i="25" s="1"/>
  <c r="H94" i="25" s="1"/>
  <c r="D110" i="25"/>
  <c r="E110" i="25" s="1"/>
  <c r="F110" i="25" s="1"/>
  <c r="G110" i="25" s="1"/>
  <c r="CF110" i="6" s="1"/>
  <c r="D122" i="25"/>
  <c r="E122" i="25" s="1"/>
  <c r="F122" i="25" s="1"/>
  <c r="H122" i="25" s="1"/>
  <c r="W158" i="25"/>
  <c r="D270" i="25"/>
  <c r="E270" i="25" s="1"/>
  <c r="F270" i="25" s="1"/>
  <c r="G270" i="25" s="1"/>
  <c r="CF270" i="6" s="1"/>
  <c r="W290" i="25"/>
  <c r="W306" i="25"/>
  <c r="D314" i="25"/>
  <c r="E314" i="25" s="1"/>
  <c r="F314" i="25" s="1"/>
  <c r="AA314" i="25" s="1"/>
  <c r="Z314" i="25" s="1"/>
  <c r="Y314" i="25" s="1"/>
  <c r="D360" i="25"/>
  <c r="E360" i="25" s="1"/>
  <c r="F360" i="25" s="1"/>
  <c r="G360" i="25" s="1"/>
  <c r="CF360" i="6" s="1"/>
  <c r="D31" i="19"/>
  <c r="D277" i="25"/>
  <c r="E277" i="25" s="1"/>
  <c r="F277" i="25" s="1"/>
  <c r="G277" i="25" s="1"/>
  <c r="CF277" i="6" s="1"/>
  <c r="D325" i="25"/>
  <c r="E325" i="25" s="1"/>
  <c r="F325" i="25" s="1"/>
  <c r="AA325" i="25" s="1"/>
  <c r="Z325" i="25" s="1"/>
  <c r="Y325" i="25" s="1"/>
  <c r="W359" i="25"/>
  <c r="W42" i="25"/>
  <c r="D58" i="25"/>
  <c r="E58" i="25" s="1"/>
  <c r="F58" i="25" s="1"/>
  <c r="G58" i="25" s="1"/>
  <c r="CF58" i="6" s="1"/>
  <c r="W90" i="25"/>
  <c r="W138" i="25"/>
  <c r="D318" i="25"/>
  <c r="E318" i="25" s="1"/>
  <c r="F318" i="25" s="1"/>
  <c r="AA318" i="25" s="1"/>
  <c r="Z318" i="25" s="1"/>
  <c r="Y318" i="25" s="1"/>
  <c r="W326" i="25"/>
  <c r="W334" i="25"/>
  <c r="W342" i="25"/>
  <c r="AI381" i="25"/>
  <c r="W31" i="25"/>
  <c r="W39" i="25"/>
  <c r="W47" i="25"/>
  <c r="AH15" i="25"/>
  <c r="AG15" i="25" s="1"/>
  <c r="G379" i="24"/>
  <c r="CE379" i="6" s="1"/>
  <c r="U383" i="25"/>
  <c r="U382" i="25"/>
  <c r="D70" i="25"/>
  <c r="E70" i="25" s="1"/>
  <c r="F70" i="25" s="1"/>
  <c r="G70" i="25" s="1"/>
  <c r="CF70" i="6" s="1"/>
  <c r="D92" i="25"/>
  <c r="E92" i="25" s="1"/>
  <c r="F92" i="25" s="1"/>
  <c r="G92" i="25" s="1"/>
  <c r="CF92" i="6" s="1"/>
  <c r="D224" i="25"/>
  <c r="E224" i="25" s="1"/>
  <c r="F224" i="25" s="1"/>
  <c r="AA224" i="25" s="1"/>
  <c r="Z224" i="25" s="1"/>
  <c r="Y224" i="25" s="1"/>
  <c r="W228" i="25"/>
  <c r="D296" i="25"/>
  <c r="E296" i="25" s="1"/>
  <c r="F296" i="25" s="1"/>
  <c r="G296" i="25" s="1"/>
  <c r="CF296" i="6" s="1"/>
  <c r="W300" i="25"/>
  <c r="D312" i="25"/>
  <c r="E312" i="25" s="1"/>
  <c r="F312" i="25" s="1"/>
  <c r="G312" i="25" s="1"/>
  <c r="CF312" i="6" s="1"/>
  <c r="D320" i="25"/>
  <c r="E320" i="25" s="1"/>
  <c r="F320" i="25" s="1"/>
  <c r="AA320" i="25" s="1"/>
  <c r="Z320" i="25" s="1"/>
  <c r="Y320" i="25" s="1"/>
  <c r="W332" i="25"/>
  <c r="D336" i="25"/>
  <c r="E336" i="25" s="1"/>
  <c r="F336" i="25" s="1"/>
  <c r="AA336" i="25" s="1"/>
  <c r="Z336" i="25" s="1"/>
  <c r="Y336" i="25" s="1"/>
  <c r="D289" i="25"/>
  <c r="E289" i="25" s="1"/>
  <c r="F289" i="25" s="1"/>
  <c r="AA289" i="25" s="1"/>
  <c r="Z289" i="25" s="1"/>
  <c r="Y289" i="25" s="1"/>
  <c r="D188" i="25"/>
  <c r="E188" i="25" s="1"/>
  <c r="F188" i="25" s="1"/>
  <c r="AA188" i="25" s="1"/>
  <c r="Z188" i="25" s="1"/>
  <c r="Y188" i="25" s="1"/>
  <c r="D147" i="25"/>
  <c r="E147" i="25" s="1"/>
  <c r="F147" i="25" s="1"/>
  <c r="G147" i="25" s="1"/>
  <c r="CF147" i="6" s="1"/>
  <c r="D156" i="25"/>
  <c r="E156" i="25" s="1"/>
  <c r="F156" i="25" s="1"/>
  <c r="G156" i="25" s="1"/>
  <c r="CF156" i="6" s="1"/>
  <c r="D268" i="25"/>
  <c r="E268" i="25" s="1"/>
  <c r="F268" i="25" s="1"/>
  <c r="H268" i="25" s="1"/>
  <c r="D183" i="25"/>
  <c r="E183" i="25" s="1"/>
  <c r="F183" i="25" s="1"/>
  <c r="AA183" i="25" s="1"/>
  <c r="Z183" i="25" s="1"/>
  <c r="Y183" i="25" s="1"/>
  <c r="W199" i="25"/>
  <c r="D207" i="25"/>
  <c r="E207" i="25" s="1"/>
  <c r="F207" i="25" s="1"/>
  <c r="AA207" i="25" s="1"/>
  <c r="Z207" i="25" s="1"/>
  <c r="Y207" i="25" s="1"/>
  <c r="W221" i="25"/>
  <c r="D237" i="25"/>
  <c r="E237" i="25" s="1"/>
  <c r="F237" i="25" s="1"/>
  <c r="AA237" i="25" s="1"/>
  <c r="Z237" i="25" s="1"/>
  <c r="Y237" i="25" s="1"/>
  <c r="W247" i="25"/>
  <c r="D255" i="25"/>
  <c r="E255" i="25" s="1"/>
  <c r="F255" i="25" s="1"/>
  <c r="AA255" i="25" s="1"/>
  <c r="Z255" i="25" s="1"/>
  <c r="Y255" i="25" s="1"/>
  <c r="W263" i="25"/>
  <c r="D269" i="25"/>
  <c r="E269" i="25" s="1"/>
  <c r="F269" i="25" s="1"/>
  <c r="G269" i="25" s="1"/>
  <c r="CF269" i="6" s="1"/>
  <c r="D301" i="25"/>
  <c r="E301" i="25" s="1"/>
  <c r="F301" i="25" s="1"/>
  <c r="AA301" i="25" s="1"/>
  <c r="Z301" i="25" s="1"/>
  <c r="Y301" i="25" s="1"/>
  <c r="D317" i="25"/>
  <c r="E317" i="25" s="1"/>
  <c r="F317" i="25" s="1"/>
  <c r="AA317" i="25" s="1"/>
  <c r="Z317" i="25" s="1"/>
  <c r="Y317" i="25" s="1"/>
  <c r="AH78" i="7"/>
  <c r="D341" i="25"/>
  <c r="E341" i="25" s="1"/>
  <c r="F341" i="25" s="1"/>
  <c r="AA341" i="25" s="1"/>
  <c r="Z341" i="25" s="1"/>
  <c r="Y341" i="25" s="1"/>
  <c r="D355" i="25"/>
  <c r="E355" i="25" s="1"/>
  <c r="F355" i="25" s="1"/>
  <c r="AA355" i="25" s="1"/>
  <c r="Z355" i="25" s="1"/>
  <c r="Y355" i="25" s="1"/>
  <c r="D371" i="25"/>
  <c r="E371" i="25" s="1"/>
  <c r="F371" i="25" s="1"/>
  <c r="G371" i="25" s="1"/>
  <c r="CF371" i="6" s="1"/>
  <c r="W27" i="25"/>
  <c r="D54" i="25"/>
  <c r="E54" i="25" s="1"/>
  <c r="F54" i="25" s="1"/>
  <c r="G54" i="25" s="1"/>
  <c r="CF54" i="6" s="1"/>
  <c r="D86" i="25"/>
  <c r="E86" i="25" s="1"/>
  <c r="F86" i="25" s="1"/>
  <c r="G86" i="25" s="1"/>
  <c r="CF86" i="6" s="1"/>
  <c r="D118" i="25"/>
  <c r="E118" i="25" s="1"/>
  <c r="F118" i="25" s="1"/>
  <c r="G118" i="25" s="1"/>
  <c r="CF118" i="6" s="1"/>
  <c r="D274" i="25"/>
  <c r="E274" i="25" s="1"/>
  <c r="F274" i="25" s="1"/>
  <c r="H274" i="25" s="1"/>
  <c r="W282" i="25"/>
  <c r="W286" i="25"/>
  <c r="W294" i="25"/>
  <c r="V302" i="25"/>
  <c r="B302" i="25" s="1"/>
  <c r="D302" i="25" s="1"/>
  <c r="E302" i="25" s="1"/>
  <c r="F302" i="25" s="1"/>
  <c r="W310" i="25"/>
  <c r="D322" i="25"/>
  <c r="E322" i="25" s="1"/>
  <c r="F322" i="25" s="1"/>
  <c r="AA322" i="25" s="1"/>
  <c r="Z322" i="25" s="1"/>
  <c r="Y322" i="25" s="1"/>
  <c r="D330" i="25"/>
  <c r="E330" i="25" s="1"/>
  <c r="F330" i="25" s="1"/>
  <c r="G330" i="25" s="1"/>
  <c r="CF330" i="6" s="1"/>
  <c r="W338" i="25"/>
  <c r="H379" i="24"/>
  <c r="J379" i="24" s="1"/>
  <c r="D63" i="25"/>
  <c r="E63" i="25" s="1"/>
  <c r="F63" i="25" s="1"/>
  <c r="H63" i="25" s="1"/>
  <c r="D71" i="25"/>
  <c r="E71" i="25" s="1"/>
  <c r="F71" i="25" s="1"/>
  <c r="AA71" i="25" s="1"/>
  <c r="Z71" i="25" s="1"/>
  <c r="Y71" i="25" s="1"/>
  <c r="W79" i="25"/>
  <c r="W127" i="25"/>
  <c r="D52" i="25"/>
  <c r="E52" i="25" s="1"/>
  <c r="F52" i="25" s="1"/>
  <c r="AA52" i="25" s="1"/>
  <c r="Z52" i="25" s="1"/>
  <c r="Y52" i="25" s="1"/>
  <c r="W176" i="25"/>
  <c r="D252" i="25"/>
  <c r="E252" i="25" s="1"/>
  <c r="F252" i="25" s="1"/>
  <c r="G252" i="25" s="1"/>
  <c r="CF252" i="6" s="1"/>
  <c r="D21" i="25"/>
  <c r="E21" i="25" s="1"/>
  <c r="F21" i="25" s="1"/>
  <c r="AA21" i="25" s="1"/>
  <c r="Z21" i="25" s="1"/>
  <c r="Y21" i="25" s="1"/>
  <c r="D55" i="25"/>
  <c r="E55" i="25" s="1"/>
  <c r="F55" i="25" s="1"/>
  <c r="AA55" i="25" s="1"/>
  <c r="Z55" i="25" s="1"/>
  <c r="Y55" i="25" s="1"/>
  <c r="W87" i="25"/>
  <c r="W103" i="25"/>
  <c r="W139" i="25"/>
  <c r="W155" i="25"/>
  <c r="W36" i="25"/>
  <c r="D76" i="25"/>
  <c r="E76" i="25" s="1"/>
  <c r="F76" i="25" s="1"/>
  <c r="AA76" i="25" s="1"/>
  <c r="Z76" i="25" s="1"/>
  <c r="Y76" i="25" s="1"/>
  <c r="W108" i="25"/>
  <c r="W140" i="25"/>
  <c r="D168" i="25"/>
  <c r="E168" i="25" s="1"/>
  <c r="F168" i="25" s="1"/>
  <c r="G168" i="25" s="1"/>
  <c r="CF168" i="6" s="1"/>
  <c r="AH73" i="7"/>
  <c r="D236" i="25"/>
  <c r="E236" i="25" s="1"/>
  <c r="F236" i="25" s="1"/>
  <c r="AA236" i="25" s="1"/>
  <c r="Z236" i="25" s="1"/>
  <c r="Y236" i="25" s="1"/>
  <c r="D260" i="25"/>
  <c r="E260" i="25" s="1"/>
  <c r="F260" i="25" s="1"/>
  <c r="G260" i="25" s="1"/>
  <c r="CF260" i="6" s="1"/>
  <c r="W23" i="25"/>
  <c r="W51" i="25"/>
  <c r="D59" i="25"/>
  <c r="E59" i="25" s="1"/>
  <c r="F59" i="25" s="1"/>
  <c r="AA59" i="25" s="1"/>
  <c r="Z59" i="25" s="1"/>
  <c r="Y59" i="25" s="1"/>
  <c r="D83" i="25"/>
  <c r="E83" i="25" s="1"/>
  <c r="F83" i="25" s="1"/>
  <c r="AA83" i="25" s="1"/>
  <c r="Z83" i="25" s="1"/>
  <c r="Y83" i="25" s="1"/>
  <c r="W91" i="25"/>
  <c r="W99" i="25"/>
  <c r="W107" i="25"/>
  <c r="W115" i="25"/>
  <c r="D123" i="25"/>
  <c r="E123" i="25" s="1"/>
  <c r="F123" i="25" s="1"/>
  <c r="AA123" i="25" s="1"/>
  <c r="Z123" i="25" s="1"/>
  <c r="Y123" i="25" s="1"/>
  <c r="D131" i="25"/>
  <c r="E131" i="25" s="1"/>
  <c r="F131" i="25" s="1"/>
  <c r="AA131" i="25" s="1"/>
  <c r="Z131" i="25" s="1"/>
  <c r="Y131" i="25" s="1"/>
  <c r="W143" i="25"/>
  <c r="W151" i="25"/>
  <c r="W159" i="25"/>
  <c r="D163" i="25"/>
  <c r="E163" i="25" s="1"/>
  <c r="F163" i="25" s="1"/>
  <c r="AA163" i="25" s="1"/>
  <c r="Z163" i="25" s="1"/>
  <c r="Y163" i="25" s="1"/>
  <c r="AK13" i="20"/>
  <c r="W18" i="25"/>
  <c r="D28" i="25"/>
  <c r="E28" i="25" s="1"/>
  <c r="F28" i="25" s="1"/>
  <c r="AA28" i="25" s="1"/>
  <c r="Z28" i="25" s="1"/>
  <c r="Y28" i="25" s="1"/>
  <c r="W44" i="25"/>
  <c r="W68" i="25"/>
  <c r="D84" i="25"/>
  <c r="E84" i="25" s="1"/>
  <c r="F84" i="25" s="1"/>
  <c r="AA84" i="25" s="1"/>
  <c r="Z84" i="25" s="1"/>
  <c r="Y84" i="25" s="1"/>
  <c r="D100" i="25"/>
  <c r="E100" i="25" s="1"/>
  <c r="F100" i="25" s="1"/>
  <c r="G100" i="25" s="1"/>
  <c r="CF100" i="6" s="1"/>
  <c r="D124" i="25"/>
  <c r="E124" i="25" s="1"/>
  <c r="F124" i="25" s="1"/>
  <c r="H124" i="25" s="1"/>
  <c r="W132" i="25"/>
  <c r="D148" i="25"/>
  <c r="E148" i="25" s="1"/>
  <c r="F148" i="25" s="1"/>
  <c r="G148" i="25" s="1"/>
  <c r="CF148" i="6" s="1"/>
  <c r="D164" i="25"/>
  <c r="E164" i="25" s="1"/>
  <c r="F164" i="25" s="1"/>
  <c r="G164" i="25" s="1"/>
  <c r="CF164" i="6" s="1"/>
  <c r="W172" i="25"/>
  <c r="W184" i="25"/>
  <c r="D192" i="25"/>
  <c r="E192" i="25" s="1"/>
  <c r="F192" i="25" s="1"/>
  <c r="G192" i="25" s="1"/>
  <c r="CF192" i="6" s="1"/>
  <c r="W204" i="25"/>
  <c r="W212" i="25"/>
  <c r="W220" i="25"/>
  <c r="W232" i="25"/>
  <c r="W240" i="25"/>
  <c r="D256" i="25"/>
  <c r="E256" i="25" s="1"/>
  <c r="F256" i="25" s="1"/>
  <c r="AA256" i="25" s="1"/>
  <c r="Z256" i="25" s="1"/>
  <c r="Y256" i="25" s="1"/>
  <c r="W264" i="25"/>
  <c r="AH68" i="7"/>
  <c r="AH72" i="7"/>
  <c r="W153" i="25"/>
  <c r="W157" i="25"/>
  <c r="W72" i="25"/>
  <c r="D80" i="25"/>
  <c r="E80" i="25" s="1"/>
  <c r="F80" i="25" s="1"/>
  <c r="AA80" i="25" s="1"/>
  <c r="Z80" i="25" s="1"/>
  <c r="Y80" i="25" s="1"/>
  <c r="V88" i="25"/>
  <c r="B88" i="25" s="1"/>
  <c r="W88" i="25" s="1"/>
  <c r="W170" i="25"/>
  <c r="W174" i="25"/>
  <c r="W178" i="25"/>
  <c r="V210" i="25"/>
  <c r="B210" i="25" s="1"/>
  <c r="W210" i="25" s="1"/>
  <c r="W109" i="25"/>
  <c r="D113" i="25"/>
  <c r="E113" i="25" s="1"/>
  <c r="F113" i="25" s="1"/>
  <c r="AA113" i="25" s="1"/>
  <c r="Z113" i="25" s="1"/>
  <c r="Y113" i="25" s="1"/>
  <c r="W117" i="25"/>
  <c r="D121" i="25"/>
  <c r="E121" i="25" s="1"/>
  <c r="F121" i="25" s="1"/>
  <c r="AA121" i="25" s="1"/>
  <c r="Z121" i="25" s="1"/>
  <c r="Y121" i="25" s="1"/>
  <c r="D125" i="25"/>
  <c r="E125" i="25" s="1"/>
  <c r="F125" i="25" s="1"/>
  <c r="AA125" i="25" s="1"/>
  <c r="Z125" i="25" s="1"/>
  <c r="Y125" i="25" s="1"/>
  <c r="D129" i="25"/>
  <c r="E129" i="25" s="1"/>
  <c r="F129" i="25" s="1"/>
  <c r="AA129" i="25" s="1"/>
  <c r="Z129" i="25" s="1"/>
  <c r="Y129" i="25" s="1"/>
  <c r="W133" i="25"/>
  <c r="D120" i="25"/>
  <c r="E120" i="25" s="1"/>
  <c r="F120" i="25" s="1"/>
  <c r="H120" i="25" s="1"/>
  <c r="D128" i="25"/>
  <c r="E128" i="25" s="1"/>
  <c r="F128" i="25" s="1"/>
  <c r="G128" i="25" s="1"/>
  <c r="CF128" i="6" s="1"/>
  <c r="D152" i="25"/>
  <c r="E152" i="25" s="1"/>
  <c r="F152" i="25" s="1"/>
  <c r="AA152" i="25" s="1"/>
  <c r="Z152" i="25" s="1"/>
  <c r="Y152" i="25" s="1"/>
  <c r="D198" i="25"/>
  <c r="E198" i="25" s="1"/>
  <c r="F198" i="25" s="1"/>
  <c r="G198" i="25" s="1"/>
  <c r="CF198" i="6" s="1"/>
  <c r="W214" i="25"/>
  <c r="D218" i="25"/>
  <c r="E218" i="25" s="1"/>
  <c r="F218" i="25" s="1"/>
  <c r="G218" i="25" s="1"/>
  <c r="CF218" i="6" s="1"/>
  <c r="D222" i="25"/>
  <c r="E222" i="25" s="1"/>
  <c r="F222" i="25" s="1"/>
  <c r="AA222" i="25" s="1"/>
  <c r="Z222" i="25" s="1"/>
  <c r="Y222" i="25" s="1"/>
  <c r="W230" i="25"/>
  <c r="D234" i="25"/>
  <c r="E234" i="25" s="1"/>
  <c r="F234" i="25" s="1"/>
  <c r="AA234" i="25" s="1"/>
  <c r="Z234" i="25" s="1"/>
  <c r="Y234" i="25" s="1"/>
  <c r="W238" i="25"/>
  <c r="W242" i="25"/>
  <c r="W246" i="25"/>
  <c r="W250" i="25"/>
  <c r="W254" i="25"/>
  <c r="D26" i="25"/>
  <c r="E26" i="25" s="1"/>
  <c r="F26" i="25" s="1"/>
  <c r="H26" i="25" s="1"/>
  <c r="W25" i="25"/>
  <c r="D33" i="25"/>
  <c r="E33" i="25" s="1"/>
  <c r="F33" i="25" s="1"/>
  <c r="G33" i="25" s="1"/>
  <c r="CF33" i="6" s="1"/>
  <c r="D37" i="25"/>
  <c r="E37" i="25" s="1"/>
  <c r="F37" i="25" s="1"/>
  <c r="G37" i="25" s="1"/>
  <c r="CF37" i="6" s="1"/>
  <c r="D41" i="25"/>
  <c r="E41" i="25" s="1"/>
  <c r="F41" i="25" s="1"/>
  <c r="AA41" i="25" s="1"/>
  <c r="Z41" i="25" s="1"/>
  <c r="Y41" i="25" s="1"/>
  <c r="W45" i="25"/>
  <c r="D49" i="25"/>
  <c r="E49" i="25" s="1"/>
  <c r="F49" i="25" s="1"/>
  <c r="G49" i="25" s="1"/>
  <c r="CF49" i="6" s="1"/>
  <c r="D53" i="25"/>
  <c r="E53" i="25" s="1"/>
  <c r="F53" i="25" s="1"/>
  <c r="G53" i="25" s="1"/>
  <c r="CF53" i="6" s="1"/>
  <c r="D57" i="25"/>
  <c r="E57" i="25" s="1"/>
  <c r="F57" i="25" s="1"/>
  <c r="AA57" i="25" s="1"/>
  <c r="Z57" i="25" s="1"/>
  <c r="Y57" i="25" s="1"/>
  <c r="D61" i="25"/>
  <c r="E61" i="25" s="1"/>
  <c r="F61" i="25" s="1"/>
  <c r="H61" i="25" s="1"/>
  <c r="W65" i="25"/>
  <c r="W69" i="25"/>
  <c r="D73" i="25"/>
  <c r="E73" i="25" s="1"/>
  <c r="F73" i="25" s="1"/>
  <c r="AA73" i="25" s="1"/>
  <c r="Z73" i="25" s="1"/>
  <c r="Y73" i="25" s="1"/>
  <c r="D77" i="25"/>
  <c r="E77" i="25" s="1"/>
  <c r="F77" i="25" s="1"/>
  <c r="AA77" i="25" s="1"/>
  <c r="Z77" i="25" s="1"/>
  <c r="Y77" i="25" s="1"/>
  <c r="W81" i="25"/>
  <c r="W85" i="25"/>
  <c r="W89" i="25"/>
  <c r="W93" i="25"/>
  <c r="W97" i="25"/>
  <c r="D101" i="25"/>
  <c r="E101" i="25" s="1"/>
  <c r="F101" i="25" s="1"/>
  <c r="AA101" i="25" s="1"/>
  <c r="Z101" i="25" s="1"/>
  <c r="Y101" i="25" s="1"/>
  <c r="D137" i="25"/>
  <c r="E137" i="25" s="1"/>
  <c r="F137" i="25" s="1"/>
  <c r="G137" i="25" s="1"/>
  <c r="CF137" i="6" s="1"/>
  <c r="W141" i="25"/>
  <c r="W145" i="25"/>
  <c r="D24" i="25"/>
  <c r="E24" i="25" s="1"/>
  <c r="F24" i="25" s="1"/>
  <c r="G24" i="25" s="1"/>
  <c r="CF24" i="6" s="1"/>
  <c r="D32" i="25"/>
  <c r="E32" i="25" s="1"/>
  <c r="F32" i="25" s="1"/>
  <c r="AA32" i="25" s="1"/>
  <c r="Z32" i="25" s="1"/>
  <c r="Y32" i="25" s="1"/>
  <c r="D40" i="25"/>
  <c r="E40" i="25" s="1"/>
  <c r="F40" i="25" s="1"/>
  <c r="D48" i="25"/>
  <c r="E48" i="25" s="1"/>
  <c r="F48" i="25" s="1"/>
  <c r="AA48" i="25" s="1"/>
  <c r="Z48" i="25" s="1"/>
  <c r="Y48" i="25" s="1"/>
  <c r="W56" i="25"/>
  <c r="D64" i="25"/>
  <c r="E64" i="25" s="1"/>
  <c r="F64" i="25" s="1"/>
  <c r="AA64" i="25" s="1"/>
  <c r="Z64" i="25" s="1"/>
  <c r="Y64" i="25" s="1"/>
  <c r="D96" i="25"/>
  <c r="E96" i="25" s="1"/>
  <c r="F96" i="25" s="1"/>
  <c r="G96" i="25" s="1"/>
  <c r="CF96" i="6" s="1"/>
  <c r="D104" i="25"/>
  <c r="E104" i="25" s="1"/>
  <c r="F104" i="25" s="1"/>
  <c r="G104" i="25" s="1"/>
  <c r="CF104" i="6" s="1"/>
  <c r="D112" i="25"/>
  <c r="E112" i="25" s="1"/>
  <c r="F112" i="25" s="1"/>
  <c r="G112" i="25" s="1"/>
  <c r="CF112" i="6" s="1"/>
  <c r="D136" i="25"/>
  <c r="E136" i="25" s="1"/>
  <c r="F136" i="25" s="1"/>
  <c r="AA136" i="25" s="1"/>
  <c r="Z136" i="25" s="1"/>
  <c r="Y136" i="25" s="1"/>
  <c r="D144" i="25"/>
  <c r="E144" i="25" s="1"/>
  <c r="F144" i="25" s="1"/>
  <c r="AA144" i="25" s="1"/>
  <c r="Z144" i="25" s="1"/>
  <c r="Y144" i="25" s="1"/>
  <c r="W160" i="25"/>
  <c r="W182" i="25"/>
  <c r="W186" i="25"/>
  <c r="D190" i="25"/>
  <c r="E190" i="25" s="1"/>
  <c r="F190" i="25" s="1"/>
  <c r="AA190" i="25" s="1"/>
  <c r="Z190" i="25" s="1"/>
  <c r="Y190" i="25" s="1"/>
  <c r="W202" i="25"/>
  <c r="W206" i="25"/>
  <c r="W262" i="25"/>
  <c r="D266" i="25"/>
  <c r="E266" i="25" s="1"/>
  <c r="F266" i="25" s="1"/>
  <c r="AA266" i="25" s="1"/>
  <c r="Z266" i="25" s="1"/>
  <c r="Y266" i="25" s="1"/>
  <c r="W258" i="25"/>
  <c r="AI382" i="25"/>
  <c r="D200" i="25"/>
  <c r="E200" i="25" s="1"/>
  <c r="F200" i="25" s="1"/>
  <c r="G200" i="25" s="1"/>
  <c r="CF200" i="6" s="1"/>
  <c r="AL10" i="20"/>
  <c r="AL9" i="20"/>
  <c r="AJ8" i="22"/>
  <c r="AJ7" i="22"/>
  <c r="AL6" i="18"/>
  <c r="AL12" i="18" s="1"/>
  <c r="AJ4" i="18" s="1"/>
  <c r="P15" i="19" s="1"/>
  <c r="AL5" i="18"/>
  <c r="AL11" i="18" s="1"/>
  <c r="B261" i="25"/>
  <c r="W261" i="25" s="1"/>
  <c r="J70" i="19"/>
  <c r="B248" i="25"/>
  <c r="W248" i="25" s="1"/>
  <c r="G70" i="19"/>
  <c r="L70" i="19"/>
  <c r="F15" i="19"/>
  <c r="F31" i="19" s="1"/>
  <c r="F70" i="19"/>
  <c r="J119" i="24"/>
  <c r="I119" i="24"/>
  <c r="W35" i="25"/>
  <c r="D35" i="25"/>
  <c r="E35" i="25" s="1"/>
  <c r="F35" i="25" s="1"/>
  <c r="W67" i="25"/>
  <c r="D67" i="25"/>
  <c r="E67" i="25" s="1"/>
  <c r="F67" i="25" s="1"/>
  <c r="D95" i="25"/>
  <c r="E95" i="25" s="1"/>
  <c r="F95" i="25" s="1"/>
  <c r="W95" i="25"/>
  <c r="AH71" i="7"/>
  <c r="V119" i="25"/>
  <c r="B119" i="25" s="1"/>
  <c r="D171" i="25"/>
  <c r="E171" i="25" s="1"/>
  <c r="F171" i="25" s="1"/>
  <c r="W171" i="25"/>
  <c r="W177" i="25"/>
  <c r="D177" i="25"/>
  <c r="E177" i="25" s="1"/>
  <c r="F177" i="25" s="1"/>
  <c r="W189" i="25"/>
  <c r="D189" i="25"/>
  <c r="E189" i="25" s="1"/>
  <c r="F189" i="25" s="1"/>
  <c r="D265" i="25"/>
  <c r="E265" i="25" s="1"/>
  <c r="F265" i="25" s="1"/>
  <c r="W265" i="25"/>
  <c r="D287" i="25"/>
  <c r="E287" i="25" s="1"/>
  <c r="F287" i="25" s="1"/>
  <c r="W287" i="25"/>
  <c r="W347" i="25"/>
  <c r="D347" i="25"/>
  <c r="E347" i="25" s="1"/>
  <c r="F347" i="25" s="1"/>
  <c r="W367" i="25"/>
  <c r="D367" i="25"/>
  <c r="E367" i="25" s="1"/>
  <c r="F367" i="25" s="1"/>
  <c r="J333" i="24"/>
  <c r="I333" i="24"/>
  <c r="J29" i="24"/>
  <c r="I29" i="24"/>
  <c r="AH69" i="7"/>
  <c r="V60" i="25"/>
  <c r="W114" i="25"/>
  <c r="D114" i="25"/>
  <c r="E114" i="25" s="1"/>
  <c r="F114" i="25" s="1"/>
  <c r="D130" i="25"/>
  <c r="E130" i="25" s="1"/>
  <c r="F130" i="25" s="1"/>
  <c r="W130" i="25"/>
  <c r="W154" i="25"/>
  <c r="D154" i="25"/>
  <c r="E154" i="25" s="1"/>
  <c r="F154" i="25" s="1"/>
  <c r="W208" i="25"/>
  <c r="D208" i="25"/>
  <c r="E208" i="25" s="1"/>
  <c r="F208" i="25" s="1"/>
  <c r="W226" i="25"/>
  <c r="D226" i="25"/>
  <c r="E226" i="25" s="1"/>
  <c r="F226" i="25" s="1"/>
  <c r="D278" i="25"/>
  <c r="E278" i="25" s="1"/>
  <c r="F278" i="25" s="1"/>
  <c r="W278" i="25"/>
  <c r="W298" i="25"/>
  <c r="D298" i="25"/>
  <c r="E298" i="25" s="1"/>
  <c r="F298" i="25" s="1"/>
  <c r="D346" i="25"/>
  <c r="E346" i="25" s="1"/>
  <c r="F346" i="25" s="1"/>
  <c r="W346" i="25"/>
  <c r="W376" i="25"/>
  <c r="D376" i="25"/>
  <c r="E376" i="25" s="1"/>
  <c r="F376" i="25" s="1"/>
  <c r="J46" i="24"/>
  <c r="I46" i="24"/>
  <c r="D19" i="25"/>
  <c r="E19" i="25" s="1"/>
  <c r="F19" i="25" s="1"/>
  <c r="W19" i="25"/>
  <c r="D43" i="25"/>
  <c r="E43" i="25" s="1"/>
  <c r="F43" i="25" s="1"/>
  <c r="W43" i="25"/>
  <c r="D75" i="25"/>
  <c r="E75" i="25" s="1"/>
  <c r="F75" i="25" s="1"/>
  <c r="W75" i="25"/>
  <c r="D111" i="25"/>
  <c r="E111" i="25" s="1"/>
  <c r="F111" i="25" s="1"/>
  <c r="W111" i="25"/>
  <c r="D161" i="25"/>
  <c r="E161" i="25" s="1"/>
  <c r="F161" i="25" s="1"/>
  <c r="W161" i="25"/>
  <c r="D175" i="25"/>
  <c r="E175" i="25" s="1"/>
  <c r="F175" i="25" s="1"/>
  <c r="W175" i="25"/>
  <c r="W187" i="25"/>
  <c r="D187" i="25"/>
  <c r="E187" i="25" s="1"/>
  <c r="F187" i="25" s="1"/>
  <c r="D253" i="25"/>
  <c r="E253" i="25" s="1"/>
  <c r="F253" i="25" s="1"/>
  <c r="W253" i="25"/>
  <c r="D283" i="25"/>
  <c r="E283" i="25" s="1"/>
  <c r="F283" i="25" s="1"/>
  <c r="W283" i="25"/>
  <c r="W335" i="25"/>
  <c r="D335" i="25"/>
  <c r="E335" i="25" s="1"/>
  <c r="F335" i="25" s="1"/>
  <c r="AH79" i="7"/>
  <c r="V363" i="25"/>
  <c r="J180" i="24"/>
  <c r="I180" i="24"/>
  <c r="W16" i="25"/>
  <c r="D16" i="25"/>
  <c r="E16" i="25" s="1"/>
  <c r="F16" i="25" s="1"/>
  <c r="W66" i="25"/>
  <c r="D66" i="25"/>
  <c r="E66" i="25" s="1"/>
  <c r="F66" i="25" s="1"/>
  <c r="D116" i="25"/>
  <c r="E116" i="25" s="1"/>
  <c r="F116" i="25" s="1"/>
  <c r="W116" i="25"/>
  <c r="W150" i="25"/>
  <c r="D150" i="25"/>
  <c r="E150" i="25" s="1"/>
  <c r="F150" i="25" s="1"/>
  <c r="W194" i="25"/>
  <c r="D194" i="25"/>
  <c r="E194" i="25" s="1"/>
  <c r="F194" i="25" s="1"/>
  <c r="D216" i="25"/>
  <c r="E216" i="25" s="1"/>
  <c r="F216" i="25" s="1"/>
  <c r="W216" i="25"/>
  <c r="D244" i="25"/>
  <c r="E244" i="25" s="1"/>
  <c r="F244" i="25" s="1"/>
  <c r="W244" i="25"/>
  <c r="D284" i="25"/>
  <c r="E284" i="25" s="1"/>
  <c r="F284" i="25" s="1"/>
  <c r="W284" i="25"/>
  <c r="W316" i="25"/>
  <c r="D316" i="25"/>
  <c r="E316" i="25" s="1"/>
  <c r="F316" i="25" s="1"/>
  <c r="W368" i="25"/>
  <c r="D368" i="25"/>
  <c r="E368" i="25" s="1"/>
  <c r="F368" i="25" s="1"/>
  <c r="I127" i="24"/>
  <c r="H127" i="25" s="1"/>
  <c r="J127" i="24"/>
  <c r="J259" i="24"/>
  <c r="I259" i="24"/>
  <c r="H259" i="25" s="1"/>
  <c r="J341" i="24"/>
  <c r="I341" i="24"/>
  <c r="J280" i="24"/>
  <c r="I280" i="24"/>
  <c r="H280" i="25" s="1"/>
  <c r="I195" i="24"/>
  <c r="J195" i="24"/>
  <c r="I134" i="24"/>
  <c r="H134" i="25" s="1"/>
  <c r="J134" i="24"/>
  <c r="I352" i="24"/>
  <c r="J352" i="24"/>
  <c r="I366" i="24"/>
  <c r="H366" i="25" s="1"/>
  <c r="J366" i="24"/>
  <c r="J105" i="24"/>
  <c r="I105" i="24"/>
  <c r="I149" i="24"/>
  <c r="J149" i="24"/>
  <c r="J181" i="24"/>
  <c r="I181" i="24"/>
  <c r="H181" i="25" s="1"/>
  <c r="G39" i="25"/>
  <c r="CF39" i="6" s="1"/>
  <c r="AA39" i="25"/>
  <c r="Z39" i="25" s="1"/>
  <c r="Y39" i="25" s="1"/>
  <c r="H39" i="25"/>
  <c r="G65" i="25"/>
  <c r="CF65" i="6" s="1"/>
  <c r="AA65" i="25"/>
  <c r="Z65" i="25" s="1"/>
  <c r="Y65" i="25" s="1"/>
  <c r="H65" i="25"/>
  <c r="G81" i="25"/>
  <c r="CF81" i="6" s="1"/>
  <c r="AA81" i="25"/>
  <c r="Z81" i="25" s="1"/>
  <c r="Y81" i="25" s="1"/>
  <c r="G89" i="25"/>
  <c r="CF89" i="6" s="1"/>
  <c r="H89" i="25"/>
  <c r="AA89" i="25"/>
  <c r="Z89" i="25" s="1"/>
  <c r="Y89" i="25" s="1"/>
  <c r="G97" i="25"/>
  <c r="CF97" i="6" s="1"/>
  <c r="AA97" i="25"/>
  <c r="Z97" i="25" s="1"/>
  <c r="Y97" i="25" s="1"/>
  <c r="H97" i="25"/>
  <c r="G99" i="25"/>
  <c r="CF99" i="6" s="1"/>
  <c r="H99" i="25"/>
  <c r="AA99" i="25"/>
  <c r="Z99" i="25" s="1"/>
  <c r="Y99" i="25" s="1"/>
  <c r="G103" i="25"/>
  <c r="CF103" i="6" s="1"/>
  <c r="AA103" i="25"/>
  <c r="Z103" i="25" s="1"/>
  <c r="Y103" i="25" s="1"/>
  <c r="G107" i="25"/>
  <c r="CF107" i="6" s="1"/>
  <c r="H107" i="25"/>
  <c r="AA107" i="25"/>
  <c r="Z107" i="25" s="1"/>
  <c r="Y107" i="25" s="1"/>
  <c r="AA127" i="25"/>
  <c r="Z127" i="25" s="1"/>
  <c r="Y127" i="25" s="1"/>
  <c r="G127" i="25"/>
  <c r="CF127" i="6" s="1"/>
  <c r="G139" i="25"/>
  <c r="CF139" i="6" s="1"/>
  <c r="H139" i="25"/>
  <c r="AA139" i="25"/>
  <c r="Z139" i="25" s="1"/>
  <c r="Y139" i="25" s="1"/>
  <c r="G141" i="25"/>
  <c r="CF141" i="6" s="1"/>
  <c r="AA141" i="25"/>
  <c r="Z141" i="25" s="1"/>
  <c r="Y141" i="25" s="1"/>
  <c r="H141" i="25"/>
  <c r="AA143" i="25"/>
  <c r="Z143" i="25" s="1"/>
  <c r="Y143" i="25" s="1"/>
  <c r="H143" i="25"/>
  <c r="G143" i="25"/>
  <c r="CF143" i="6" s="1"/>
  <c r="G151" i="25"/>
  <c r="CF151" i="6" s="1"/>
  <c r="AA151" i="25"/>
  <c r="Z151" i="25" s="1"/>
  <c r="Y151" i="25" s="1"/>
  <c r="H151" i="25"/>
  <c r="G155" i="25"/>
  <c r="CF155" i="6" s="1"/>
  <c r="AA155" i="25"/>
  <c r="Z155" i="25" s="1"/>
  <c r="Y155" i="25" s="1"/>
  <c r="H155" i="25"/>
  <c r="G157" i="25"/>
  <c r="CF157" i="6" s="1"/>
  <c r="AA157" i="25"/>
  <c r="Z157" i="25" s="1"/>
  <c r="Y157" i="25" s="1"/>
  <c r="AA159" i="25"/>
  <c r="Z159" i="25" s="1"/>
  <c r="Y159" i="25" s="1"/>
  <c r="G159" i="25"/>
  <c r="CF159" i="6" s="1"/>
  <c r="H159" i="25"/>
  <c r="G167" i="25"/>
  <c r="CF167" i="6" s="1"/>
  <c r="AA167" i="25"/>
  <c r="Z167" i="25" s="1"/>
  <c r="Y167" i="25" s="1"/>
  <c r="H167" i="25"/>
  <c r="G169" i="25"/>
  <c r="CF169" i="6" s="1"/>
  <c r="AA185" i="25"/>
  <c r="Z185" i="25" s="1"/>
  <c r="Y185" i="25" s="1"/>
  <c r="H185" i="25"/>
  <c r="G185" i="25"/>
  <c r="CF185" i="6" s="1"/>
  <c r="G193" i="25"/>
  <c r="CF193" i="6" s="1"/>
  <c r="AA193" i="25"/>
  <c r="Z193" i="25" s="1"/>
  <c r="Y193" i="25" s="1"/>
  <c r="H193" i="25"/>
  <c r="H197" i="25"/>
  <c r="AA197" i="25"/>
  <c r="Z197" i="25" s="1"/>
  <c r="Y197" i="25" s="1"/>
  <c r="G197" i="25"/>
  <c r="CF197" i="6" s="1"/>
  <c r="G203" i="25"/>
  <c r="CF203" i="6" s="1"/>
  <c r="AA203" i="25"/>
  <c r="Z203" i="25" s="1"/>
  <c r="Y203" i="25" s="1"/>
  <c r="H203" i="25"/>
  <c r="AA211" i="25"/>
  <c r="Z211" i="25" s="1"/>
  <c r="Y211" i="25" s="1"/>
  <c r="G219" i="25"/>
  <c r="CF219" i="6" s="1"/>
  <c r="H219" i="25"/>
  <c r="AA219" i="25"/>
  <c r="Z219" i="25" s="1"/>
  <c r="Y219" i="25" s="1"/>
  <c r="AA229" i="25"/>
  <c r="Z229" i="25" s="1"/>
  <c r="Y229" i="25" s="1"/>
  <c r="G229" i="25"/>
  <c r="CF229" i="6" s="1"/>
  <c r="AA231" i="25"/>
  <c r="Z231" i="25" s="1"/>
  <c r="Y231" i="25" s="1"/>
  <c r="H231" i="25"/>
  <c r="G231" i="25"/>
  <c r="CF231" i="6" s="1"/>
  <c r="AA245" i="25"/>
  <c r="Z245" i="25" s="1"/>
  <c r="Y245" i="25" s="1"/>
  <c r="H245" i="25"/>
  <c r="G245" i="25"/>
  <c r="CF245" i="6" s="1"/>
  <c r="G247" i="25"/>
  <c r="CF247" i="6" s="1"/>
  <c r="H247" i="25"/>
  <c r="AA247" i="25"/>
  <c r="Z247" i="25" s="1"/>
  <c r="Y247" i="25" s="1"/>
  <c r="AA249" i="25"/>
  <c r="Z249" i="25" s="1"/>
  <c r="Y249" i="25" s="1"/>
  <c r="G249" i="25"/>
  <c r="CF249" i="6" s="1"/>
  <c r="H249" i="25"/>
  <c r="G251" i="25"/>
  <c r="CF251" i="6" s="1"/>
  <c r="AA251" i="25"/>
  <c r="Z251" i="25" s="1"/>
  <c r="Y251" i="25" s="1"/>
  <c r="AA263" i="25"/>
  <c r="Z263" i="25" s="1"/>
  <c r="Y263" i="25" s="1"/>
  <c r="G263" i="25"/>
  <c r="CF263" i="6" s="1"/>
  <c r="H263" i="25"/>
  <c r="G267" i="25"/>
  <c r="CF267" i="6" s="1"/>
  <c r="G273" i="25"/>
  <c r="CF273" i="6" s="1"/>
  <c r="H273" i="25"/>
  <c r="G281" i="25"/>
  <c r="CF281" i="6" s="1"/>
  <c r="AA281" i="25"/>
  <c r="Z281" i="25" s="1"/>
  <c r="Y281" i="25" s="1"/>
  <c r="H281" i="25"/>
  <c r="G305" i="25"/>
  <c r="CF305" i="6" s="1"/>
  <c r="AA305" i="25"/>
  <c r="Z305" i="25" s="1"/>
  <c r="Y305" i="25" s="1"/>
  <c r="G307" i="25"/>
  <c r="CF307" i="6" s="1"/>
  <c r="AA307" i="25"/>
  <c r="Z307" i="25" s="1"/>
  <c r="Y307" i="25" s="1"/>
  <c r="H307" i="25"/>
  <c r="G323" i="25"/>
  <c r="CF323" i="6" s="1"/>
  <c r="AA323" i="25"/>
  <c r="Z323" i="25" s="1"/>
  <c r="Y323" i="25" s="1"/>
  <c r="H323" i="25"/>
  <c r="G331" i="25"/>
  <c r="CF331" i="6" s="1"/>
  <c r="AA331" i="25"/>
  <c r="Z331" i="25" s="1"/>
  <c r="Y331" i="25" s="1"/>
  <c r="G353" i="25"/>
  <c r="CF353" i="6" s="1"/>
  <c r="AA353" i="25"/>
  <c r="Z353" i="25" s="1"/>
  <c r="Y353" i="25" s="1"/>
  <c r="G357" i="25"/>
  <c r="CF357" i="6" s="1"/>
  <c r="AA357" i="25"/>
  <c r="Z357" i="25" s="1"/>
  <c r="Y357" i="25" s="1"/>
  <c r="H357" i="25"/>
  <c r="G359" i="25"/>
  <c r="CF359" i="6" s="1"/>
  <c r="H359" i="25"/>
  <c r="AA359" i="25"/>
  <c r="Z359" i="25" s="1"/>
  <c r="Y359" i="25" s="1"/>
  <c r="W365" i="25"/>
  <c r="D365" i="25"/>
  <c r="E365" i="25" s="1"/>
  <c r="F365" i="25" s="1"/>
  <c r="D369" i="25"/>
  <c r="E369" i="25" s="1"/>
  <c r="F369" i="25" s="1"/>
  <c r="W369" i="25"/>
  <c r="G375" i="25"/>
  <c r="CF375" i="6" s="1"/>
  <c r="AA375" i="25"/>
  <c r="Z375" i="25" s="1"/>
  <c r="Y375" i="25" s="1"/>
  <c r="H375" i="25"/>
  <c r="S379" i="25"/>
  <c r="R379" i="25" s="1"/>
  <c r="P379" i="25" s="1"/>
  <c r="J288" i="24"/>
  <c r="I288" i="24"/>
  <c r="I258" i="24"/>
  <c r="H258" i="25" s="1"/>
  <c r="J258" i="24"/>
  <c r="J28" i="24"/>
  <c r="I28" i="24"/>
  <c r="J30" i="24"/>
  <c r="I30" i="24"/>
  <c r="H30" i="25" s="1"/>
  <c r="J34" i="24"/>
  <c r="I34" i="24"/>
  <c r="I50" i="24"/>
  <c r="H50" i="25" s="1"/>
  <c r="J50" i="24"/>
  <c r="I70" i="24"/>
  <c r="J70" i="24"/>
  <c r="AA88" i="24"/>
  <c r="Z88" i="24" s="1"/>
  <c r="Y88" i="24" s="1"/>
  <c r="G88" i="24"/>
  <c r="CE88" i="6" s="1"/>
  <c r="H88" i="24"/>
  <c r="I200" i="24"/>
  <c r="J200" i="24"/>
  <c r="J270" i="24"/>
  <c r="I270" i="24"/>
  <c r="J272" i="24"/>
  <c r="I272" i="24"/>
  <c r="I322" i="24"/>
  <c r="J322" i="24"/>
  <c r="J348" i="24"/>
  <c r="I348" i="24"/>
  <c r="I57" i="24"/>
  <c r="J57" i="24"/>
  <c r="J137" i="24"/>
  <c r="I137" i="24"/>
  <c r="I353" i="24"/>
  <c r="H353" i="25" s="1"/>
  <c r="J353" i="24"/>
  <c r="I116" i="24"/>
  <c r="J116" i="24"/>
  <c r="I264" i="24"/>
  <c r="H264" i="25" s="1"/>
  <c r="J264" i="24"/>
  <c r="J221" i="24"/>
  <c r="I221" i="24"/>
  <c r="H221" i="25" s="1"/>
  <c r="J291" i="24"/>
  <c r="I291" i="24"/>
  <c r="H291" i="25" s="1"/>
  <c r="I254" i="24"/>
  <c r="H254" i="25" s="1"/>
  <c r="J254" i="24"/>
  <c r="I276" i="24"/>
  <c r="J276" i="24"/>
  <c r="J15" i="20"/>
  <c r="I15" i="20"/>
  <c r="G382" i="20"/>
  <c r="G383" i="20"/>
  <c r="G12" i="20" s="1"/>
  <c r="G381" i="20"/>
  <c r="V381" i="23"/>
  <c r="V383" i="23"/>
  <c r="B68" i="19"/>
  <c r="N68" i="19" s="1"/>
  <c r="V382" i="23"/>
  <c r="Y382" i="18"/>
  <c r="Y381" i="18"/>
  <c r="X9" i="18"/>
  <c r="Y11" i="18" s="1"/>
  <c r="AM6" i="18"/>
  <c r="AM12" i="18" s="1"/>
  <c r="Y383" i="18"/>
  <c r="W135" i="25"/>
  <c r="D135" i="25"/>
  <c r="E135" i="25" s="1"/>
  <c r="F135" i="25" s="1"/>
  <c r="I24" i="24"/>
  <c r="J24" i="24"/>
  <c r="I33" i="24"/>
  <c r="J33" i="24"/>
  <c r="I163" i="24"/>
  <c r="J163" i="24"/>
  <c r="I241" i="24"/>
  <c r="J241" i="24"/>
  <c r="J371" i="24"/>
  <c r="I371" i="24"/>
  <c r="AA18" i="25"/>
  <c r="Z18" i="25" s="1"/>
  <c r="Y18" i="25" s="1"/>
  <c r="G18" i="25"/>
  <c r="CF18" i="6" s="1"/>
  <c r="H18" i="25"/>
  <c r="D17" i="25"/>
  <c r="E17" i="25" s="1"/>
  <c r="F17" i="25" s="1"/>
  <c r="W17" i="25"/>
  <c r="AA27" i="25"/>
  <c r="Z27" i="25" s="1"/>
  <c r="Y27" i="25" s="1"/>
  <c r="H27" i="25"/>
  <c r="G27" i="25"/>
  <c r="CF27" i="6" s="1"/>
  <c r="G38" i="25"/>
  <c r="CF38" i="6" s="1"/>
  <c r="G42" i="25"/>
  <c r="CF42" i="6" s="1"/>
  <c r="AA42" i="25"/>
  <c r="Z42" i="25" s="1"/>
  <c r="Y42" i="25" s="1"/>
  <c r="H42" i="25"/>
  <c r="G50" i="25"/>
  <c r="CF50" i="6" s="1"/>
  <c r="AA50" i="25"/>
  <c r="Z50" i="25" s="1"/>
  <c r="Y50" i="25" s="1"/>
  <c r="AA56" i="25"/>
  <c r="Z56" i="25" s="1"/>
  <c r="Y56" i="25" s="1"/>
  <c r="G56" i="25"/>
  <c r="CF56" i="6" s="1"/>
  <c r="H56" i="25"/>
  <c r="AA62" i="25"/>
  <c r="Z62" i="25" s="1"/>
  <c r="Y62" i="25" s="1"/>
  <c r="G62" i="25"/>
  <c r="CF62" i="6" s="1"/>
  <c r="G78" i="25"/>
  <c r="CF78" i="6" s="1"/>
  <c r="AA78" i="25"/>
  <c r="Z78" i="25" s="1"/>
  <c r="Y78" i="25" s="1"/>
  <c r="AA90" i="25"/>
  <c r="Z90" i="25" s="1"/>
  <c r="Y90" i="25" s="1"/>
  <c r="G90" i="25"/>
  <c r="CF90" i="6" s="1"/>
  <c r="G132" i="25"/>
  <c r="CF132" i="6" s="1"/>
  <c r="AA132" i="25"/>
  <c r="Z132" i="25" s="1"/>
  <c r="Y132" i="25" s="1"/>
  <c r="G138" i="25"/>
  <c r="CF138" i="6" s="1"/>
  <c r="AA138" i="25"/>
  <c r="Z138" i="25" s="1"/>
  <c r="Y138" i="25" s="1"/>
  <c r="H138" i="25"/>
  <c r="H140" i="25"/>
  <c r="G140" i="25"/>
  <c r="CF140" i="6" s="1"/>
  <c r="AA140" i="25"/>
  <c r="Z140" i="25" s="1"/>
  <c r="Y140" i="25" s="1"/>
  <c r="AA160" i="25"/>
  <c r="Z160" i="25" s="1"/>
  <c r="Y160" i="25" s="1"/>
  <c r="G160" i="25"/>
  <c r="CF160" i="6" s="1"/>
  <c r="H160" i="25"/>
  <c r="AA170" i="25"/>
  <c r="Z170" i="25" s="1"/>
  <c r="Y170" i="25" s="1"/>
  <c r="G170" i="25"/>
  <c r="CF170" i="6" s="1"/>
  <c r="AA172" i="25"/>
  <c r="Z172" i="25" s="1"/>
  <c r="Y172" i="25" s="1"/>
  <c r="G172" i="25"/>
  <c r="CF172" i="6" s="1"/>
  <c r="H172" i="25"/>
  <c r="H176" i="25"/>
  <c r="AA176" i="25"/>
  <c r="Z176" i="25" s="1"/>
  <c r="Y176" i="25" s="1"/>
  <c r="G176" i="25"/>
  <c r="CF176" i="6" s="1"/>
  <c r="G178" i="25"/>
  <c r="CF178" i="6" s="1"/>
  <c r="AA178" i="25"/>
  <c r="Z178" i="25" s="1"/>
  <c r="Y178" i="25" s="1"/>
  <c r="AA182" i="25"/>
  <c r="Z182" i="25" s="1"/>
  <c r="Y182" i="25" s="1"/>
  <c r="G182" i="25"/>
  <c r="CF182" i="6" s="1"/>
  <c r="AA184" i="25"/>
  <c r="Z184" i="25" s="1"/>
  <c r="Y184" i="25" s="1"/>
  <c r="G184" i="25"/>
  <c r="CF184" i="6" s="1"/>
  <c r="H184" i="25"/>
  <c r="G202" i="25"/>
  <c r="CF202" i="6" s="1"/>
  <c r="H202" i="25"/>
  <c r="AA202" i="25"/>
  <c r="Z202" i="25" s="1"/>
  <c r="Y202" i="25" s="1"/>
  <c r="G204" i="25"/>
  <c r="CF204" i="6" s="1"/>
  <c r="AA204" i="25"/>
  <c r="Z204" i="25" s="1"/>
  <c r="Y204" i="25" s="1"/>
  <c r="G220" i="25"/>
  <c r="CF220" i="6" s="1"/>
  <c r="AA220" i="25"/>
  <c r="Z220" i="25" s="1"/>
  <c r="Y220" i="25" s="1"/>
  <c r="H220" i="25"/>
  <c r="AA230" i="25"/>
  <c r="Z230" i="25" s="1"/>
  <c r="Y230" i="25" s="1"/>
  <c r="G230" i="25"/>
  <c r="CF230" i="6" s="1"/>
  <c r="H230" i="25"/>
  <c r="H238" i="25"/>
  <c r="AA238" i="25"/>
  <c r="Z238" i="25" s="1"/>
  <c r="Y238" i="25" s="1"/>
  <c r="G238" i="25"/>
  <c r="CF238" i="6" s="1"/>
  <c r="G246" i="25"/>
  <c r="CF246" i="6" s="1"/>
  <c r="AA246" i="25"/>
  <c r="Z246" i="25" s="1"/>
  <c r="Y246" i="25" s="1"/>
  <c r="H246" i="25"/>
  <c r="AA254" i="25"/>
  <c r="Z254" i="25" s="1"/>
  <c r="Y254" i="25" s="1"/>
  <c r="G254" i="25"/>
  <c r="CF254" i="6" s="1"/>
  <c r="G262" i="25"/>
  <c r="CF262" i="6" s="1"/>
  <c r="AA262" i="25"/>
  <c r="Z262" i="25" s="1"/>
  <c r="Y262" i="25" s="1"/>
  <c r="H262" i="25"/>
  <c r="G280" i="25"/>
  <c r="CF280" i="6" s="1"/>
  <c r="AA280" i="25"/>
  <c r="Z280" i="25" s="1"/>
  <c r="Y280" i="25" s="1"/>
  <c r="H282" i="25"/>
  <c r="AA282" i="25"/>
  <c r="Z282" i="25" s="1"/>
  <c r="Y282" i="25" s="1"/>
  <c r="G282" i="25"/>
  <c r="CF282" i="6" s="1"/>
  <c r="G292" i="25"/>
  <c r="CF292" i="6" s="1"/>
  <c r="AA292" i="25"/>
  <c r="Z292" i="25" s="1"/>
  <c r="Y292" i="25" s="1"/>
  <c r="G306" i="25"/>
  <c r="CF306" i="6" s="1"/>
  <c r="AA306" i="25"/>
  <c r="Z306" i="25" s="1"/>
  <c r="Y306" i="25" s="1"/>
  <c r="AA308" i="25"/>
  <c r="Z308" i="25" s="1"/>
  <c r="Y308" i="25" s="1"/>
  <c r="G308" i="25"/>
  <c r="CF308" i="6" s="1"/>
  <c r="H308" i="25"/>
  <c r="AA310" i="25"/>
  <c r="Z310" i="25" s="1"/>
  <c r="Y310" i="25" s="1"/>
  <c r="G310" i="25"/>
  <c r="CF310" i="6" s="1"/>
  <c r="AA328" i="25"/>
  <c r="Z328" i="25" s="1"/>
  <c r="Y328" i="25" s="1"/>
  <c r="G328" i="25"/>
  <c r="CF328" i="6" s="1"/>
  <c r="H328" i="25"/>
  <c r="AA332" i="25"/>
  <c r="Z332" i="25" s="1"/>
  <c r="Y332" i="25" s="1"/>
  <c r="G332" i="25"/>
  <c r="CF332" i="6" s="1"/>
  <c r="G344" i="25"/>
  <c r="CF344" i="6" s="1"/>
  <c r="H344" i="25"/>
  <c r="AA344" i="25"/>
  <c r="Z344" i="25" s="1"/>
  <c r="Y344" i="25" s="1"/>
  <c r="G350" i="25"/>
  <c r="CF350" i="6" s="1"/>
  <c r="AA350" i="25"/>
  <c r="Z350" i="25" s="1"/>
  <c r="Y350" i="25" s="1"/>
  <c r="H350" i="25"/>
  <c r="W354" i="25"/>
  <c r="D354" i="25"/>
  <c r="E354" i="25" s="1"/>
  <c r="F354" i="25" s="1"/>
  <c r="AA370" i="25"/>
  <c r="Z370" i="25" s="1"/>
  <c r="Y370" i="25" s="1"/>
  <c r="G374" i="25"/>
  <c r="CF374" i="6" s="1"/>
  <c r="AA374" i="25"/>
  <c r="Z374" i="25" s="1"/>
  <c r="Y374" i="25" s="1"/>
  <c r="AA378" i="25"/>
  <c r="Z378" i="25" s="1"/>
  <c r="Y378" i="25" s="1"/>
  <c r="G378" i="25"/>
  <c r="CF378" i="6" s="1"/>
  <c r="AA258" i="25"/>
  <c r="Z258" i="25" s="1"/>
  <c r="Y258" i="25" s="1"/>
  <c r="G258" i="25"/>
  <c r="CF258" i="6" s="1"/>
  <c r="J52" i="24"/>
  <c r="I52" i="24"/>
  <c r="I64" i="24"/>
  <c r="J64" i="24"/>
  <c r="W74" i="25"/>
  <c r="D74" i="25"/>
  <c r="E74" i="25" s="1"/>
  <c r="F74" i="25" s="1"/>
  <c r="I78" i="24"/>
  <c r="H78" i="25" s="1"/>
  <c r="J78" i="24"/>
  <c r="J146" i="24"/>
  <c r="I146" i="24"/>
  <c r="I214" i="24"/>
  <c r="H214" i="25" s="1"/>
  <c r="J214" i="24"/>
  <c r="J218" i="24"/>
  <c r="I218" i="24"/>
  <c r="I222" i="24"/>
  <c r="J222" i="24"/>
  <c r="H319" i="24"/>
  <c r="I157" i="24"/>
  <c r="H157" i="25" s="1"/>
  <c r="J157" i="24"/>
  <c r="J90" i="24"/>
  <c r="I90" i="24"/>
  <c r="H90" i="25" s="1"/>
  <c r="J145" i="24"/>
  <c r="I145" i="24"/>
  <c r="H145" i="25" s="1"/>
  <c r="I229" i="24"/>
  <c r="H229" i="25" s="1"/>
  <c r="J229" i="24"/>
  <c r="J285" i="24"/>
  <c r="I285" i="24"/>
  <c r="I321" i="24"/>
  <c r="J321" i="24"/>
  <c r="I347" i="24"/>
  <c r="J347" i="24"/>
  <c r="C13" i="6"/>
  <c r="C12" i="6"/>
  <c r="J189" i="24"/>
  <c r="I189" i="24"/>
  <c r="I121" i="24"/>
  <c r="J121" i="24"/>
  <c r="I205" i="24"/>
  <c r="J205" i="24"/>
  <c r="I213" i="24"/>
  <c r="H213" i="25" s="1"/>
  <c r="J213" i="24"/>
  <c r="J225" i="24"/>
  <c r="I225" i="24"/>
  <c r="I289" i="24"/>
  <c r="J289" i="24"/>
  <c r="D319" i="25"/>
  <c r="E319" i="25" s="1"/>
  <c r="F319" i="25" s="1"/>
  <c r="W319" i="25"/>
  <c r="G319" i="24"/>
  <c r="CE319" i="6" s="1"/>
  <c r="AA319" i="24"/>
  <c r="Z319" i="24" s="1"/>
  <c r="Y319" i="24" s="1"/>
  <c r="J144" i="24"/>
  <c r="I144" i="24"/>
  <c r="I164" i="24"/>
  <c r="J164" i="24"/>
  <c r="I204" i="24"/>
  <c r="H204" i="25" s="1"/>
  <c r="J204" i="24"/>
  <c r="I314" i="24"/>
  <c r="J314" i="24"/>
  <c r="J342" i="24"/>
  <c r="I342" i="24"/>
  <c r="H342" i="25" s="1"/>
  <c r="I358" i="24"/>
  <c r="H358" i="25" s="1"/>
  <c r="J358" i="24"/>
  <c r="I378" i="24"/>
  <c r="H378" i="25" s="1"/>
  <c r="J378" i="24"/>
  <c r="J31" i="24"/>
  <c r="I31" i="24"/>
  <c r="H31" i="25" s="1"/>
  <c r="I95" i="24"/>
  <c r="J95" i="24"/>
  <c r="I113" i="24"/>
  <c r="J113" i="24"/>
  <c r="J123" i="24"/>
  <c r="I123" i="24"/>
  <c r="J131" i="24"/>
  <c r="I131" i="24"/>
  <c r="I207" i="24"/>
  <c r="J207" i="24"/>
  <c r="I182" i="24"/>
  <c r="H182" i="25" s="1"/>
  <c r="J182" i="24"/>
  <c r="G210" i="24"/>
  <c r="CE210" i="6" s="1"/>
  <c r="H210" i="24"/>
  <c r="AA210" i="24"/>
  <c r="Z210" i="24" s="1"/>
  <c r="Y210" i="24" s="1"/>
  <c r="I296" i="24"/>
  <c r="J296" i="24"/>
  <c r="I166" i="24"/>
  <c r="J166" i="24"/>
  <c r="J60" i="24"/>
  <c r="I60" i="24"/>
  <c r="D105" i="25"/>
  <c r="E105" i="25" s="1"/>
  <c r="F105" i="25" s="1"/>
  <c r="W105" i="25"/>
  <c r="I135" i="24"/>
  <c r="J135" i="24"/>
  <c r="J69" i="24"/>
  <c r="I69" i="24"/>
  <c r="H69" i="25" s="1"/>
  <c r="J91" i="24"/>
  <c r="I91" i="24"/>
  <c r="H91" i="25" s="1"/>
  <c r="I103" i="24"/>
  <c r="H103" i="25" s="1"/>
  <c r="J103" i="24"/>
  <c r="I125" i="24"/>
  <c r="J125" i="24"/>
  <c r="J237" i="24"/>
  <c r="I237" i="24"/>
  <c r="G363" i="24"/>
  <c r="CE363" i="6" s="1"/>
  <c r="H363" i="24"/>
  <c r="AA363" i="24"/>
  <c r="Z363" i="24" s="1"/>
  <c r="Y363" i="24" s="1"/>
  <c r="AA23" i="25"/>
  <c r="Z23" i="25" s="1"/>
  <c r="Y23" i="25" s="1"/>
  <c r="H23" i="25"/>
  <c r="G23" i="25"/>
  <c r="CF23" i="6" s="1"/>
  <c r="G25" i="25"/>
  <c r="CF25" i="6" s="1"/>
  <c r="AA25" i="25"/>
  <c r="Z25" i="25" s="1"/>
  <c r="Y25" i="25" s="1"/>
  <c r="W22" i="25"/>
  <c r="D22" i="25"/>
  <c r="E22" i="25" s="1"/>
  <c r="F22" i="25" s="1"/>
  <c r="D29" i="25"/>
  <c r="E29" i="25" s="1"/>
  <c r="F29" i="25" s="1"/>
  <c r="W29" i="25"/>
  <c r="AA31" i="25"/>
  <c r="Z31" i="25" s="1"/>
  <c r="Y31" i="25" s="1"/>
  <c r="G31" i="25"/>
  <c r="CF31" i="6" s="1"/>
  <c r="G45" i="25"/>
  <c r="CF45" i="6" s="1"/>
  <c r="AA45" i="25"/>
  <c r="Z45" i="25" s="1"/>
  <c r="Y45" i="25" s="1"/>
  <c r="H45" i="25"/>
  <c r="G47" i="25"/>
  <c r="CF47" i="6" s="1"/>
  <c r="H47" i="25"/>
  <c r="AA47" i="25"/>
  <c r="Z47" i="25" s="1"/>
  <c r="Y47" i="25" s="1"/>
  <c r="G51" i="25"/>
  <c r="CF51" i="6" s="1"/>
  <c r="AA51" i="25"/>
  <c r="Z51" i="25" s="1"/>
  <c r="Y51" i="25" s="1"/>
  <c r="H51" i="25"/>
  <c r="AA69" i="25"/>
  <c r="Z69" i="25" s="1"/>
  <c r="Y69" i="25" s="1"/>
  <c r="G69" i="25"/>
  <c r="CF69" i="6" s="1"/>
  <c r="H79" i="25"/>
  <c r="G79" i="25"/>
  <c r="CF79" i="6" s="1"/>
  <c r="AA79" i="25"/>
  <c r="Z79" i="25" s="1"/>
  <c r="Y79" i="25" s="1"/>
  <c r="G85" i="25"/>
  <c r="CF85" i="6" s="1"/>
  <c r="AA85" i="25"/>
  <c r="Z85" i="25" s="1"/>
  <c r="Y85" i="25" s="1"/>
  <c r="H85" i="25"/>
  <c r="G87" i="25"/>
  <c r="CF87" i="6" s="1"/>
  <c r="AA87" i="25"/>
  <c r="Z87" i="25" s="1"/>
  <c r="Y87" i="25" s="1"/>
  <c r="H87" i="25"/>
  <c r="AA91" i="25"/>
  <c r="Z91" i="25" s="1"/>
  <c r="Y91" i="25" s="1"/>
  <c r="G91" i="25"/>
  <c r="CF91" i="6" s="1"/>
  <c r="G93" i="25"/>
  <c r="CF93" i="6" s="1"/>
  <c r="AA93" i="25"/>
  <c r="Z93" i="25" s="1"/>
  <c r="Y93" i="25" s="1"/>
  <c r="H93" i="25"/>
  <c r="G109" i="25"/>
  <c r="CF109" i="6" s="1"/>
  <c r="AA109" i="25"/>
  <c r="Z109" i="25" s="1"/>
  <c r="Y109" i="25" s="1"/>
  <c r="H109" i="25"/>
  <c r="H115" i="25"/>
  <c r="AA115" i="25"/>
  <c r="Z115" i="25" s="1"/>
  <c r="Y115" i="25" s="1"/>
  <c r="G115" i="25"/>
  <c r="CF115" i="6" s="1"/>
  <c r="G117" i="25"/>
  <c r="CF117" i="6" s="1"/>
  <c r="H117" i="25"/>
  <c r="AA117" i="25"/>
  <c r="Z117" i="25" s="1"/>
  <c r="Y117" i="25" s="1"/>
  <c r="G133" i="25"/>
  <c r="CF133" i="6" s="1"/>
  <c r="AA133" i="25"/>
  <c r="Z133" i="25" s="1"/>
  <c r="Y133" i="25" s="1"/>
  <c r="H133" i="25"/>
  <c r="G145" i="25"/>
  <c r="CF145" i="6" s="1"/>
  <c r="AA145" i="25"/>
  <c r="Z145" i="25" s="1"/>
  <c r="Y145" i="25" s="1"/>
  <c r="W149" i="25"/>
  <c r="D149" i="25"/>
  <c r="E149" i="25" s="1"/>
  <c r="F149" i="25" s="1"/>
  <c r="G153" i="25"/>
  <c r="CF153" i="6" s="1"/>
  <c r="AA153" i="25"/>
  <c r="Z153" i="25" s="1"/>
  <c r="Y153" i="25" s="1"/>
  <c r="AA181" i="25"/>
  <c r="Z181" i="25" s="1"/>
  <c r="Y181" i="25" s="1"/>
  <c r="G181" i="25"/>
  <c r="CF181" i="6" s="1"/>
  <c r="AA199" i="25"/>
  <c r="Z199" i="25" s="1"/>
  <c r="Y199" i="25" s="1"/>
  <c r="H199" i="25"/>
  <c r="G199" i="25"/>
  <c r="CF199" i="6" s="1"/>
  <c r="AA209" i="25"/>
  <c r="Z209" i="25" s="1"/>
  <c r="Y209" i="25" s="1"/>
  <c r="G209" i="25"/>
  <c r="CF209" i="6" s="1"/>
  <c r="H209" i="25"/>
  <c r="G213" i="25"/>
  <c r="CF213" i="6" s="1"/>
  <c r="AA213" i="25"/>
  <c r="Z213" i="25" s="1"/>
  <c r="Y213" i="25" s="1"/>
  <c r="G215" i="25"/>
  <c r="CF215" i="6" s="1"/>
  <c r="AA215" i="25"/>
  <c r="Z215" i="25" s="1"/>
  <c r="Y215" i="25" s="1"/>
  <c r="H215" i="25"/>
  <c r="G217" i="25"/>
  <c r="CF217" i="6" s="1"/>
  <c r="AA217" i="25"/>
  <c r="Z217" i="25" s="1"/>
  <c r="Y217" i="25" s="1"/>
  <c r="H217" i="25"/>
  <c r="G221" i="25"/>
  <c r="CF221" i="6" s="1"/>
  <c r="AA221" i="25"/>
  <c r="Z221" i="25" s="1"/>
  <c r="Y221" i="25" s="1"/>
  <c r="AA225" i="25"/>
  <c r="Z225" i="25" s="1"/>
  <c r="Y225" i="25" s="1"/>
  <c r="D227" i="25"/>
  <c r="E227" i="25" s="1"/>
  <c r="F227" i="25" s="1"/>
  <c r="W227" i="25"/>
  <c r="G233" i="25"/>
  <c r="CF233" i="6" s="1"/>
  <c r="AA233" i="25"/>
  <c r="Z233" i="25" s="1"/>
  <c r="Y233" i="25" s="1"/>
  <c r="H233" i="25"/>
  <c r="G259" i="25"/>
  <c r="CF259" i="6" s="1"/>
  <c r="AA259" i="25"/>
  <c r="Z259" i="25" s="1"/>
  <c r="Y259" i="25" s="1"/>
  <c r="AA275" i="25"/>
  <c r="Z275" i="25" s="1"/>
  <c r="Y275" i="25" s="1"/>
  <c r="H275" i="25"/>
  <c r="G275" i="25"/>
  <c r="CF275" i="6" s="1"/>
  <c r="G291" i="25"/>
  <c r="CF291" i="6" s="1"/>
  <c r="AA291" i="25"/>
  <c r="Z291" i="25" s="1"/>
  <c r="Y291" i="25" s="1"/>
  <c r="AA293" i="25"/>
  <c r="Z293" i="25" s="1"/>
  <c r="Y293" i="25" s="1"/>
  <c r="H293" i="25"/>
  <c r="G293" i="25"/>
  <c r="CF293" i="6" s="1"/>
  <c r="AA295" i="25"/>
  <c r="Z295" i="25" s="1"/>
  <c r="Y295" i="25" s="1"/>
  <c r="G295" i="25"/>
  <c r="CF295" i="6" s="1"/>
  <c r="AA297" i="25"/>
  <c r="Z297" i="25" s="1"/>
  <c r="Y297" i="25" s="1"/>
  <c r="H303" i="25"/>
  <c r="G309" i="25"/>
  <c r="CF309" i="6" s="1"/>
  <c r="AA309" i="25"/>
  <c r="Z309" i="25" s="1"/>
  <c r="Y309" i="25" s="1"/>
  <c r="AA315" i="25"/>
  <c r="Z315" i="25" s="1"/>
  <c r="Y315" i="25" s="1"/>
  <c r="G315" i="25"/>
  <c r="CF315" i="6" s="1"/>
  <c r="H315" i="25"/>
  <c r="G327" i="25"/>
  <c r="CF327" i="6" s="1"/>
  <c r="AA327" i="25"/>
  <c r="Z327" i="25" s="1"/>
  <c r="Y327" i="25" s="1"/>
  <c r="H327" i="25"/>
  <c r="W333" i="25"/>
  <c r="D333" i="25"/>
  <c r="E333" i="25" s="1"/>
  <c r="F333" i="25" s="1"/>
  <c r="H339" i="25"/>
  <c r="G339" i="25"/>
  <c r="CF339" i="6" s="1"/>
  <c r="AA339" i="25"/>
  <c r="Z339" i="25" s="1"/>
  <c r="Y339" i="25" s="1"/>
  <c r="G345" i="25"/>
  <c r="CF345" i="6" s="1"/>
  <c r="AA345" i="25"/>
  <c r="Z345" i="25" s="1"/>
  <c r="Y345" i="25" s="1"/>
  <c r="H345" i="25"/>
  <c r="D349" i="25"/>
  <c r="E349" i="25" s="1"/>
  <c r="F349" i="25" s="1"/>
  <c r="W349" i="25"/>
  <c r="R381" i="24"/>
  <c r="R382" i="24"/>
  <c r="R383" i="24"/>
  <c r="P15" i="24"/>
  <c r="I32" i="24"/>
  <c r="J32" i="24"/>
  <c r="I158" i="24"/>
  <c r="H158" i="25" s="1"/>
  <c r="J158" i="24"/>
  <c r="J252" i="24"/>
  <c r="I252" i="24"/>
  <c r="J310" i="24"/>
  <c r="I310" i="24"/>
  <c r="H310" i="25" s="1"/>
  <c r="I332" i="24"/>
  <c r="H332" i="25" s="1"/>
  <c r="J332" i="24"/>
  <c r="J19" i="24"/>
  <c r="I19" i="24"/>
  <c r="I75" i="24"/>
  <c r="J75" i="24"/>
  <c r="J111" i="24"/>
  <c r="I111" i="24"/>
  <c r="I235" i="24"/>
  <c r="J235" i="24"/>
  <c r="J299" i="24"/>
  <c r="I299" i="24"/>
  <c r="I309" i="24"/>
  <c r="H309" i="25" s="1"/>
  <c r="J309" i="24"/>
  <c r="I331" i="24"/>
  <c r="H331" i="25" s="1"/>
  <c r="J331" i="24"/>
  <c r="J236" i="24"/>
  <c r="I236" i="24"/>
  <c r="J300" i="24"/>
  <c r="I300" i="24"/>
  <c r="H300" i="25" s="1"/>
  <c r="I73" i="24"/>
  <c r="J73" i="24"/>
  <c r="I251" i="24"/>
  <c r="H251" i="25" s="1"/>
  <c r="J251" i="24"/>
  <c r="J305" i="24"/>
  <c r="I305" i="24"/>
  <c r="H305" i="25" s="1"/>
  <c r="J311" i="24"/>
  <c r="I311" i="24"/>
  <c r="I335" i="24"/>
  <c r="J335" i="24"/>
  <c r="J367" i="24"/>
  <c r="I367" i="24"/>
  <c r="I62" i="24"/>
  <c r="H62" i="25" s="1"/>
  <c r="J62" i="24"/>
  <c r="I100" i="24"/>
  <c r="J100" i="24"/>
  <c r="J154" i="24"/>
  <c r="I154" i="24"/>
  <c r="J306" i="24"/>
  <c r="I306" i="24"/>
  <c r="H306" i="25" s="1"/>
  <c r="I334" i="24"/>
  <c r="H334" i="25" s="1"/>
  <c r="J334" i="24"/>
  <c r="AA9" i="20"/>
  <c r="AA382" i="20"/>
  <c r="Z15" i="20"/>
  <c r="AA383" i="20"/>
  <c r="AM8" i="20"/>
  <c r="AA381" i="20"/>
  <c r="AB9" i="20"/>
  <c r="G16" i="19"/>
  <c r="J40" i="19" s="1"/>
  <c r="F11" i="20"/>
  <c r="B12" i="6"/>
  <c r="BA15" i="6"/>
  <c r="B13" i="6"/>
  <c r="B15" i="23"/>
  <c r="AK5" i="23" s="1"/>
  <c r="D9" i="22"/>
  <c r="D11" i="22" s="1"/>
  <c r="D382" i="22"/>
  <c r="E15" i="22"/>
  <c r="D381" i="22"/>
  <c r="D383" i="22"/>
  <c r="W166" i="25"/>
  <c r="D166" i="25"/>
  <c r="E166" i="25" s="1"/>
  <c r="F166" i="25" s="1"/>
  <c r="AH381" i="25"/>
  <c r="D46" i="25"/>
  <c r="E46" i="25" s="1"/>
  <c r="F46" i="25" s="1"/>
  <c r="W46" i="25"/>
  <c r="J81" i="24"/>
  <c r="I81" i="24"/>
  <c r="H81" i="25" s="1"/>
  <c r="J153" i="24"/>
  <c r="I153" i="24"/>
  <c r="H153" i="25" s="1"/>
  <c r="J295" i="24"/>
  <c r="I295" i="24"/>
  <c r="H295" i="25" s="1"/>
  <c r="S15" i="25"/>
  <c r="T381" i="25"/>
  <c r="T382" i="25"/>
  <c r="G30" i="25"/>
  <c r="CF30" i="6" s="1"/>
  <c r="AA30" i="25"/>
  <c r="Z30" i="25" s="1"/>
  <c r="Y30" i="25" s="1"/>
  <c r="AA36" i="25"/>
  <c r="Z36" i="25" s="1"/>
  <c r="Y36" i="25" s="1"/>
  <c r="G36" i="25"/>
  <c r="CF36" i="6" s="1"/>
  <c r="H36" i="25"/>
  <c r="AA44" i="25"/>
  <c r="Z44" i="25" s="1"/>
  <c r="Y44" i="25" s="1"/>
  <c r="G44" i="25"/>
  <c r="CF44" i="6" s="1"/>
  <c r="H44" i="25"/>
  <c r="AA68" i="25"/>
  <c r="Z68" i="25" s="1"/>
  <c r="Y68" i="25" s="1"/>
  <c r="H68" i="25"/>
  <c r="G68" i="25"/>
  <c r="CF68" i="6" s="1"/>
  <c r="AA72" i="25"/>
  <c r="Z72" i="25" s="1"/>
  <c r="Y72" i="25" s="1"/>
  <c r="G72" i="25"/>
  <c r="CF72" i="6" s="1"/>
  <c r="H72" i="25"/>
  <c r="AA102" i="25"/>
  <c r="Z102" i="25" s="1"/>
  <c r="Y102" i="25" s="1"/>
  <c r="H102" i="25"/>
  <c r="G102" i="25"/>
  <c r="CF102" i="6" s="1"/>
  <c r="AA108" i="25"/>
  <c r="Z108" i="25" s="1"/>
  <c r="Y108" i="25" s="1"/>
  <c r="H108" i="25"/>
  <c r="G108" i="25"/>
  <c r="CF108" i="6" s="1"/>
  <c r="G126" i="25"/>
  <c r="CF126" i="6" s="1"/>
  <c r="AA126" i="25"/>
  <c r="Z126" i="25" s="1"/>
  <c r="Y126" i="25" s="1"/>
  <c r="H126" i="25"/>
  <c r="G134" i="25"/>
  <c r="CF134" i="6" s="1"/>
  <c r="G142" i="25"/>
  <c r="CF142" i="6" s="1"/>
  <c r="AA142" i="25"/>
  <c r="Z142" i="25" s="1"/>
  <c r="Y142" i="25" s="1"/>
  <c r="H142" i="25"/>
  <c r="AA158" i="25"/>
  <c r="Z158" i="25" s="1"/>
  <c r="Y158" i="25" s="1"/>
  <c r="G158" i="25"/>
  <c r="CF158" i="6" s="1"/>
  <c r="AA174" i="25"/>
  <c r="Z174" i="25" s="1"/>
  <c r="Y174" i="25" s="1"/>
  <c r="G174" i="25"/>
  <c r="CF174" i="6" s="1"/>
  <c r="D180" i="25"/>
  <c r="E180" i="25" s="1"/>
  <c r="F180" i="25" s="1"/>
  <c r="W180" i="25"/>
  <c r="AA186" i="25"/>
  <c r="Z186" i="25" s="1"/>
  <c r="Y186" i="25" s="1"/>
  <c r="G186" i="25"/>
  <c r="CF186" i="6" s="1"/>
  <c r="H186" i="25"/>
  <c r="D196" i="25"/>
  <c r="E196" i="25" s="1"/>
  <c r="F196" i="25" s="1"/>
  <c r="W196" i="25"/>
  <c r="AA206" i="25"/>
  <c r="Z206" i="25" s="1"/>
  <c r="Y206" i="25" s="1"/>
  <c r="G206" i="25"/>
  <c r="CF206" i="6" s="1"/>
  <c r="H206" i="25"/>
  <c r="G212" i="25"/>
  <c r="CF212" i="6" s="1"/>
  <c r="H212" i="25"/>
  <c r="AA212" i="25"/>
  <c r="Z212" i="25" s="1"/>
  <c r="Y212" i="25" s="1"/>
  <c r="AA214" i="25"/>
  <c r="Z214" i="25" s="1"/>
  <c r="Y214" i="25" s="1"/>
  <c r="G214" i="25"/>
  <c r="CF214" i="6" s="1"/>
  <c r="AA228" i="25"/>
  <c r="Z228" i="25" s="1"/>
  <c r="Y228" i="25" s="1"/>
  <c r="G228" i="25"/>
  <c r="CF228" i="6" s="1"/>
  <c r="H228" i="25"/>
  <c r="AA232" i="25"/>
  <c r="Z232" i="25" s="1"/>
  <c r="Y232" i="25" s="1"/>
  <c r="G232" i="25"/>
  <c r="CF232" i="6" s="1"/>
  <c r="AA240" i="25"/>
  <c r="Z240" i="25" s="1"/>
  <c r="Y240" i="25" s="1"/>
  <c r="H240" i="25"/>
  <c r="G240" i="25"/>
  <c r="CF240" i="6" s="1"/>
  <c r="G242" i="25"/>
  <c r="CF242" i="6" s="1"/>
  <c r="AA242" i="25"/>
  <c r="Z242" i="25" s="1"/>
  <c r="Y242" i="25" s="1"/>
  <c r="H242" i="25"/>
  <c r="AA250" i="25"/>
  <c r="Z250" i="25" s="1"/>
  <c r="Y250" i="25" s="1"/>
  <c r="G250" i="25"/>
  <c r="CF250" i="6" s="1"/>
  <c r="H250" i="25"/>
  <c r="G264" i="25"/>
  <c r="CF264" i="6" s="1"/>
  <c r="AA264" i="25"/>
  <c r="Z264" i="25" s="1"/>
  <c r="Y264" i="25" s="1"/>
  <c r="W272" i="25"/>
  <c r="D272" i="25"/>
  <c r="E272" i="25" s="1"/>
  <c r="F272" i="25" s="1"/>
  <c r="AA286" i="25"/>
  <c r="Z286" i="25" s="1"/>
  <c r="Y286" i="25" s="1"/>
  <c r="H286" i="25"/>
  <c r="G286" i="25"/>
  <c r="CF286" i="6" s="1"/>
  <c r="AA290" i="25"/>
  <c r="Z290" i="25" s="1"/>
  <c r="Y290" i="25" s="1"/>
  <c r="G290" i="25"/>
  <c r="CF290" i="6" s="1"/>
  <c r="H290" i="25"/>
  <c r="AA294" i="25"/>
  <c r="Z294" i="25" s="1"/>
  <c r="Y294" i="25" s="1"/>
  <c r="G294" i="25"/>
  <c r="CF294" i="6" s="1"/>
  <c r="H294" i="25"/>
  <c r="G300" i="25"/>
  <c r="CF300" i="6" s="1"/>
  <c r="AA300" i="25"/>
  <c r="Z300" i="25" s="1"/>
  <c r="Y300" i="25" s="1"/>
  <c r="AA326" i="25"/>
  <c r="Z326" i="25" s="1"/>
  <c r="Y326" i="25" s="1"/>
  <c r="H326" i="25"/>
  <c r="G326" i="25"/>
  <c r="CF326" i="6" s="1"/>
  <c r="G334" i="25"/>
  <c r="CF334" i="6" s="1"/>
  <c r="AA334" i="25"/>
  <c r="Z334" i="25" s="1"/>
  <c r="Y334" i="25" s="1"/>
  <c r="H338" i="25"/>
  <c r="AA338" i="25"/>
  <c r="Z338" i="25" s="1"/>
  <c r="Y338" i="25" s="1"/>
  <c r="G338" i="25"/>
  <c r="CF338" i="6" s="1"/>
  <c r="G340" i="25"/>
  <c r="CF340" i="6" s="1"/>
  <c r="H340" i="25"/>
  <c r="AA340" i="25"/>
  <c r="Z340" i="25" s="1"/>
  <c r="Y340" i="25" s="1"/>
  <c r="G342" i="25"/>
  <c r="CF342" i="6" s="1"/>
  <c r="AA342" i="25"/>
  <c r="Z342" i="25" s="1"/>
  <c r="Y342" i="25" s="1"/>
  <c r="H356" i="25"/>
  <c r="AA356" i="25"/>
  <c r="Z356" i="25" s="1"/>
  <c r="Y356" i="25" s="1"/>
  <c r="G356" i="25"/>
  <c r="CF356" i="6" s="1"/>
  <c r="G358" i="25"/>
  <c r="CF358" i="6" s="1"/>
  <c r="AA358" i="25"/>
  <c r="Z358" i="25" s="1"/>
  <c r="Y358" i="25" s="1"/>
  <c r="G362" i="25"/>
  <c r="CF362" i="6" s="1"/>
  <c r="AA362" i="25"/>
  <c r="Z362" i="25" s="1"/>
  <c r="Y362" i="25" s="1"/>
  <c r="G366" i="25"/>
  <c r="CF366" i="6" s="1"/>
  <c r="AA366" i="25"/>
  <c r="Z366" i="25" s="1"/>
  <c r="Y366" i="25" s="1"/>
  <c r="G372" i="25"/>
  <c r="CF372" i="6" s="1"/>
  <c r="AD15" i="24"/>
  <c r="I38" i="24"/>
  <c r="H38" i="25" s="1"/>
  <c r="J38" i="24"/>
  <c r="AA74" i="24"/>
  <c r="Z74" i="24" s="1"/>
  <c r="Y74" i="24" s="1"/>
  <c r="H74" i="24"/>
  <c r="G74" i="24"/>
  <c r="CE74" i="6" s="1"/>
  <c r="J76" i="24"/>
  <c r="I76" i="24"/>
  <c r="I98" i="24"/>
  <c r="J98" i="24"/>
  <c r="J132" i="24"/>
  <c r="I132" i="24"/>
  <c r="H132" i="25" s="1"/>
  <c r="I152" i="24"/>
  <c r="J152" i="24"/>
  <c r="I174" i="24"/>
  <c r="H174" i="25" s="1"/>
  <c r="J174" i="24"/>
  <c r="J232" i="24"/>
  <c r="I232" i="24"/>
  <c r="H232" i="25" s="1"/>
  <c r="AA302" i="24"/>
  <c r="Z302" i="24" s="1"/>
  <c r="Y302" i="24" s="1"/>
  <c r="G302" i="24"/>
  <c r="CE302" i="6" s="1"/>
  <c r="H302" i="24"/>
  <c r="J374" i="24"/>
  <c r="I374" i="24"/>
  <c r="H374" i="25" s="1"/>
  <c r="I376" i="24"/>
  <c r="J376" i="24"/>
  <c r="AF379" i="24" l="1"/>
  <c r="AG381" i="24"/>
  <c r="AG383" i="24"/>
  <c r="AG382" i="24"/>
  <c r="AH383" i="25"/>
  <c r="AA159" i="23"/>
  <c r="Z159" i="23" s="1"/>
  <c r="Y159" i="23" s="1"/>
  <c r="AD381" i="23"/>
  <c r="AD382" i="23"/>
  <c r="AD383" i="23"/>
  <c r="AA352" i="25"/>
  <c r="Z352" i="25" s="1"/>
  <c r="Y352" i="25" s="1"/>
  <c r="H324" i="25"/>
  <c r="J324" i="25" s="1"/>
  <c r="AA20" i="25"/>
  <c r="Z20" i="25" s="1"/>
  <c r="Y20" i="25" s="1"/>
  <c r="AA337" i="25"/>
  <c r="Z337" i="25" s="1"/>
  <c r="Y337" i="25" s="1"/>
  <c r="G313" i="25"/>
  <c r="CF313" i="6" s="1"/>
  <c r="G20" i="25"/>
  <c r="CF20" i="6" s="1"/>
  <c r="AA205" i="25"/>
  <c r="Z205" i="25" s="1"/>
  <c r="Y205" i="25" s="1"/>
  <c r="AA372" i="25"/>
  <c r="Z372" i="25" s="1"/>
  <c r="Y372" i="25" s="1"/>
  <c r="AA82" i="25"/>
  <c r="Z82" i="25" s="1"/>
  <c r="Y82" i="25" s="1"/>
  <c r="AA377" i="25"/>
  <c r="Z377" i="25" s="1"/>
  <c r="Y377" i="25" s="1"/>
  <c r="H297" i="25"/>
  <c r="I297" i="25" s="1"/>
  <c r="AA276" i="25"/>
  <c r="Z276" i="25" s="1"/>
  <c r="Y276" i="25" s="1"/>
  <c r="H276" i="25"/>
  <c r="I276" i="25" s="1"/>
  <c r="G271" i="25"/>
  <c r="CF271" i="6" s="1"/>
  <c r="G211" i="25"/>
  <c r="CF211" i="6" s="1"/>
  <c r="H169" i="25"/>
  <c r="J169" i="25" s="1"/>
  <c r="AA98" i="25"/>
  <c r="Z98" i="25" s="1"/>
  <c r="Y98" i="25" s="1"/>
  <c r="H235" i="25"/>
  <c r="I235" i="25" s="1"/>
  <c r="G285" i="25"/>
  <c r="CF285" i="6" s="1"/>
  <c r="D241" i="25"/>
  <c r="E241" i="25" s="1"/>
  <c r="F241" i="25" s="1"/>
  <c r="G241" i="25" s="1"/>
  <c r="CF241" i="6" s="1"/>
  <c r="G122" i="25"/>
  <c r="CF122" i="6" s="1"/>
  <c r="AA312" i="25"/>
  <c r="Z312" i="25" s="1"/>
  <c r="Y312" i="25" s="1"/>
  <c r="H82" i="25"/>
  <c r="J82" i="25" s="1"/>
  <c r="H311" i="25"/>
  <c r="J311" i="25" s="1"/>
  <c r="H377" i="25"/>
  <c r="J377" i="25" s="1"/>
  <c r="H343" i="25"/>
  <c r="J343" i="25" s="1"/>
  <c r="AA303" i="25"/>
  <c r="Z303" i="25" s="1"/>
  <c r="Y303" i="25" s="1"/>
  <c r="H267" i="25"/>
  <c r="J267" i="25" s="1"/>
  <c r="K70" i="19"/>
  <c r="K59" i="19" s="1"/>
  <c r="H40" i="25"/>
  <c r="J40" i="25" s="1"/>
  <c r="H162" i="25"/>
  <c r="I162" i="25" s="1"/>
  <c r="AA324" i="25"/>
  <c r="Z324" i="25" s="1"/>
  <c r="Y324" i="25" s="1"/>
  <c r="AA304" i="25"/>
  <c r="Z304" i="25" s="1"/>
  <c r="Y304" i="25" s="1"/>
  <c r="H373" i="25"/>
  <c r="J373" i="25" s="1"/>
  <c r="H337" i="25"/>
  <c r="J337" i="25" s="1"/>
  <c r="AA313" i="25"/>
  <c r="Z313" i="25" s="1"/>
  <c r="Y313" i="25" s="1"/>
  <c r="G173" i="25"/>
  <c r="CF173" i="6" s="1"/>
  <c r="H59" i="25"/>
  <c r="I59" i="25" s="1"/>
  <c r="H341" i="25"/>
  <c r="I341" i="25" s="1"/>
  <c r="AA162" i="25"/>
  <c r="Z162" i="25" s="1"/>
  <c r="Y162" i="25" s="1"/>
  <c r="G94" i="25"/>
  <c r="CF94" i="6" s="1"/>
  <c r="H58" i="25"/>
  <c r="I58" i="25" s="1"/>
  <c r="H285" i="25"/>
  <c r="I285" i="25" s="1"/>
  <c r="H360" i="25"/>
  <c r="I360" i="25" s="1"/>
  <c r="G304" i="25"/>
  <c r="CF304" i="6" s="1"/>
  <c r="H106" i="25"/>
  <c r="I106" i="25" s="1"/>
  <c r="H361" i="25"/>
  <c r="I361" i="25" s="1"/>
  <c r="G257" i="25"/>
  <c r="CF257" i="6" s="1"/>
  <c r="G179" i="25"/>
  <c r="CF179" i="6" s="1"/>
  <c r="I70" i="19"/>
  <c r="I57" i="19" s="1"/>
  <c r="H98" i="25"/>
  <c r="I98" i="25" s="1"/>
  <c r="G348" i="25"/>
  <c r="CF348" i="6" s="1"/>
  <c r="G146" i="25"/>
  <c r="CF146" i="6" s="1"/>
  <c r="AA94" i="25"/>
  <c r="Z94" i="25" s="1"/>
  <c r="Y94" i="25" s="1"/>
  <c r="AA34" i="25"/>
  <c r="Z34" i="25" s="1"/>
  <c r="Y34" i="25" s="1"/>
  <c r="G329" i="25"/>
  <c r="CF329" i="6" s="1"/>
  <c r="AA299" i="25"/>
  <c r="Z299" i="25" s="1"/>
  <c r="Y299" i="25" s="1"/>
  <c r="H279" i="25"/>
  <c r="J279" i="25" s="1"/>
  <c r="H239" i="25"/>
  <c r="J239" i="25" s="1"/>
  <c r="H201" i="25"/>
  <c r="I201" i="25" s="1"/>
  <c r="AA360" i="25"/>
  <c r="Z360" i="25" s="1"/>
  <c r="Y360" i="25" s="1"/>
  <c r="AA270" i="25"/>
  <c r="Z270" i="25" s="1"/>
  <c r="Y270" i="25" s="1"/>
  <c r="AA122" i="25"/>
  <c r="Z122" i="25" s="1"/>
  <c r="Y122" i="25" s="1"/>
  <c r="H34" i="25"/>
  <c r="J34" i="25" s="1"/>
  <c r="AA373" i="25"/>
  <c r="Z373" i="25" s="1"/>
  <c r="Y373" i="25" s="1"/>
  <c r="H257" i="25"/>
  <c r="J257" i="25" s="1"/>
  <c r="G235" i="25"/>
  <c r="CF235" i="6" s="1"/>
  <c r="H223" i="25"/>
  <c r="J223" i="25" s="1"/>
  <c r="G183" i="25"/>
  <c r="CF183" i="6" s="1"/>
  <c r="H173" i="25"/>
  <c r="J173" i="25" s="1"/>
  <c r="G188" i="25"/>
  <c r="CF188" i="6" s="1"/>
  <c r="H54" i="25"/>
  <c r="J54" i="25" s="1"/>
  <c r="H299" i="25"/>
  <c r="J299" i="25" s="1"/>
  <c r="H329" i="25"/>
  <c r="J329" i="25" s="1"/>
  <c r="G279" i="25"/>
  <c r="CF279" i="6" s="1"/>
  <c r="G239" i="25"/>
  <c r="CF239" i="6" s="1"/>
  <c r="G201" i="25"/>
  <c r="CF201" i="6" s="1"/>
  <c r="H205" i="25"/>
  <c r="I205" i="25" s="1"/>
  <c r="H146" i="25"/>
  <c r="I146" i="25" s="1"/>
  <c r="H330" i="25"/>
  <c r="I330" i="25" s="1"/>
  <c r="AA106" i="25"/>
  <c r="Z106" i="25" s="1"/>
  <c r="Y106" i="25" s="1"/>
  <c r="H348" i="25"/>
  <c r="I348" i="25" s="1"/>
  <c r="H270" i="25"/>
  <c r="I270" i="25" s="1"/>
  <c r="AA361" i="25"/>
  <c r="Z361" i="25" s="1"/>
  <c r="Y361" i="25" s="1"/>
  <c r="AA277" i="25"/>
  <c r="Z277" i="25" s="1"/>
  <c r="Y277" i="25" s="1"/>
  <c r="G223" i="25"/>
  <c r="CF223" i="6" s="1"/>
  <c r="H179" i="25"/>
  <c r="I179" i="25" s="1"/>
  <c r="H352" i="25"/>
  <c r="J352" i="25" s="1"/>
  <c r="G268" i="25"/>
  <c r="CF268" i="6" s="1"/>
  <c r="H110" i="25"/>
  <c r="I110" i="25" s="1"/>
  <c r="AA288" i="25"/>
  <c r="Z288" i="25" s="1"/>
  <c r="Y288" i="25" s="1"/>
  <c r="G325" i="25"/>
  <c r="CF325" i="6" s="1"/>
  <c r="G321" i="25"/>
  <c r="CF321" i="6" s="1"/>
  <c r="AA311" i="25"/>
  <c r="Z311" i="25" s="1"/>
  <c r="Y311" i="25" s="1"/>
  <c r="H165" i="25"/>
  <c r="J165" i="25" s="1"/>
  <c r="H225" i="25"/>
  <c r="I225" i="25" s="1"/>
  <c r="H364" i="25"/>
  <c r="J364" i="25" s="1"/>
  <c r="G314" i="25"/>
  <c r="CF314" i="6" s="1"/>
  <c r="AA296" i="25"/>
  <c r="Z296" i="25" s="1"/>
  <c r="Y296" i="25" s="1"/>
  <c r="H224" i="25"/>
  <c r="J224" i="25" s="1"/>
  <c r="H351" i="25"/>
  <c r="J351" i="25" s="1"/>
  <c r="G343" i="25"/>
  <c r="CF343" i="6" s="1"/>
  <c r="AA243" i="25"/>
  <c r="Z243" i="25" s="1"/>
  <c r="Y243" i="25" s="1"/>
  <c r="AA195" i="25"/>
  <c r="Z195" i="25" s="1"/>
  <c r="Y195" i="25" s="1"/>
  <c r="G165" i="25"/>
  <c r="CF165" i="6" s="1"/>
  <c r="G289" i="25"/>
  <c r="CF289" i="6" s="1"/>
  <c r="G370" i="25"/>
  <c r="CF370" i="6" s="1"/>
  <c r="G318" i="25"/>
  <c r="CF318" i="6" s="1"/>
  <c r="H325" i="25"/>
  <c r="J325" i="25" s="1"/>
  <c r="AA271" i="25"/>
  <c r="Z271" i="25" s="1"/>
  <c r="Y271" i="25" s="1"/>
  <c r="H191" i="25"/>
  <c r="J191" i="25" s="1"/>
  <c r="H288" i="25"/>
  <c r="J288" i="25" s="1"/>
  <c r="H188" i="25"/>
  <c r="I188" i="25" s="1"/>
  <c r="AA156" i="25"/>
  <c r="Z156" i="25" s="1"/>
  <c r="Y156" i="25" s="1"/>
  <c r="AA58" i="25"/>
  <c r="Z58" i="25" s="1"/>
  <c r="Y58" i="25" s="1"/>
  <c r="AA371" i="25"/>
  <c r="Z371" i="25" s="1"/>
  <c r="Y371" i="25" s="1"/>
  <c r="G341" i="25"/>
  <c r="CF341" i="6" s="1"/>
  <c r="H243" i="25"/>
  <c r="I243" i="25" s="1"/>
  <c r="G237" i="25"/>
  <c r="CF237" i="6" s="1"/>
  <c r="H314" i="25"/>
  <c r="J314" i="25" s="1"/>
  <c r="H321" i="25"/>
  <c r="I321" i="25" s="1"/>
  <c r="G364" i="25"/>
  <c r="CF364" i="6" s="1"/>
  <c r="H336" i="25"/>
  <c r="I336" i="25" s="1"/>
  <c r="AA110" i="25"/>
  <c r="Z110" i="25" s="1"/>
  <c r="Y110" i="25" s="1"/>
  <c r="H92" i="25"/>
  <c r="I92" i="25" s="1"/>
  <c r="H317" i="25"/>
  <c r="I317" i="25" s="1"/>
  <c r="H277" i="25"/>
  <c r="J277" i="25" s="1"/>
  <c r="H195" i="25"/>
  <c r="I195" i="25" s="1"/>
  <c r="AA218" i="25"/>
  <c r="Z218" i="25" s="1"/>
  <c r="Y218" i="25" s="1"/>
  <c r="H156" i="25"/>
  <c r="I156" i="25" s="1"/>
  <c r="AA54" i="25"/>
  <c r="Z54" i="25" s="1"/>
  <c r="Y54" i="25" s="1"/>
  <c r="G351" i="25"/>
  <c r="CF351" i="6" s="1"/>
  <c r="AA330" i="25"/>
  <c r="Z330" i="25" s="1"/>
  <c r="Y330" i="25" s="1"/>
  <c r="H320" i="25"/>
  <c r="J320" i="25" s="1"/>
  <c r="H118" i="25"/>
  <c r="I118" i="25" s="1"/>
  <c r="AA92" i="25"/>
  <c r="Z92" i="25" s="1"/>
  <c r="Y92" i="25" s="1"/>
  <c r="G317" i="25"/>
  <c r="CF317" i="6" s="1"/>
  <c r="H269" i="25"/>
  <c r="I269" i="25" s="1"/>
  <c r="G255" i="25"/>
  <c r="CF255" i="6" s="1"/>
  <c r="G207" i="25"/>
  <c r="CF207" i="6" s="1"/>
  <c r="G191" i="25"/>
  <c r="CF191" i="6" s="1"/>
  <c r="H183" i="25"/>
  <c r="I183" i="25" s="1"/>
  <c r="E41" i="19"/>
  <c r="W302" i="25"/>
  <c r="G224" i="25"/>
  <c r="CF224" i="6" s="1"/>
  <c r="H289" i="25"/>
  <c r="J289" i="25" s="1"/>
  <c r="H318" i="25"/>
  <c r="J318" i="25" s="1"/>
  <c r="AA70" i="25"/>
  <c r="Z70" i="25" s="1"/>
  <c r="Y70" i="25" s="1"/>
  <c r="H70" i="25"/>
  <c r="I70" i="25" s="1"/>
  <c r="H237" i="25"/>
  <c r="I237" i="25" s="1"/>
  <c r="H207" i="25"/>
  <c r="I207" i="25" s="1"/>
  <c r="G336" i="25"/>
  <c r="CF336" i="6" s="1"/>
  <c r="G320" i="25"/>
  <c r="CF320" i="6" s="1"/>
  <c r="AA118" i="25"/>
  <c r="Z118" i="25" s="1"/>
  <c r="Y118" i="25" s="1"/>
  <c r="H371" i="25"/>
  <c r="I371" i="25" s="1"/>
  <c r="AA269" i="25"/>
  <c r="Z269" i="25" s="1"/>
  <c r="Y269" i="25" s="1"/>
  <c r="H255" i="25"/>
  <c r="J255" i="25" s="1"/>
  <c r="H312" i="25"/>
  <c r="I312" i="25" s="1"/>
  <c r="AA86" i="25"/>
  <c r="Z86" i="25" s="1"/>
  <c r="Y86" i="25" s="1"/>
  <c r="AH382" i="25"/>
  <c r="G355" i="25"/>
  <c r="CF355" i="6" s="1"/>
  <c r="H147" i="25"/>
  <c r="I147" i="25" s="1"/>
  <c r="H296" i="25"/>
  <c r="J296" i="25" s="1"/>
  <c r="G274" i="25"/>
  <c r="CF274" i="6" s="1"/>
  <c r="AA268" i="25"/>
  <c r="Z268" i="25" s="1"/>
  <c r="Y268" i="25" s="1"/>
  <c r="H322" i="25"/>
  <c r="J322" i="25" s="1"/>
  <c r="H86" i="25"/>
  <c r="J86" i="25" s="1"/>
  <c r="H355" i="25"/>
  <c r="I355" i="25" s="1"/>
  <c r="AA147" i="25"/>
  <c r="Z147" i="25" s="1"/>
  <c r="Y147" i="25" s="1"/>
  <c r="G322" i="25"/>
  <c r="CF322" i="6" s="1"/>
  <c r="AA274" i="25"/>
  <c r="Z274" i="25" s="1"/>
  <c r="Y274" i="25" s="1"/>
  <c r="G301" i="25"/>
  <c r="CF301" i="6" s="1"/>
  <c r="AA164" i="25"/>
  <c r="Z164" i="25" s="1"/>
  <c r="Y164" i="25" s="1"/>
  <c r="AA100" i="25"/>
  <c r="Z100" i="25" s="1"/>
  <c r="Y100" i="25" s="1"/>
  <c r="H301" i="25"/>
  <c r="J301" i="25" s="1"/>
  <c r="H168" i="25"/>
  <c r="I168" i="25" s="1"/>
  <c r="AA96" i="25"/>
  <c r="Z96" i="25" s="1"/>
  <c r="Y96" i="25" s="1"/>
  <c r="H80" i="25"/>
  <c r="I80" i="25" s="1"/>
  <c r="G71" i="25"/>
  <c r="CF71" i="6" s="1"/>
  <c r="H21" i="25"/>
  <c r="J21" i="25" s="1"/>
  <c r="I379" i="24"/>
  <c r="G125" i="25"/>
  <c r="CF125" i="6" s="1"/>
  <c r="H101" i="25"/>
  <c r="J101" i="25" s="1"/>
  <c r="H48" i="25"/>
  <c r="J48" i="25" s="1"/>
  <c r="AA198" i="25"/>
  <c r="Z198" i="25" s="1"/>
  <c r="Y198" i="25" s="1"/>
  <c r="AA168" i="25"/>
  <c r="Z168" i="25" s="1"/>
  <c r="Y168" i="25" s="1"/>
  <c r="G144" i="25"/>
  <c r="CF144" i="6" s="1"/>
  <c r="G80" i="25"/>
  <c r="CF80" i="6" s="1"/>
  <c r="AA40" i="25"/>
  <c r="Z40" i="25" s="1"/>
  <c r="Y40" i="25" s="1"/>
  <c r="H100" i="25"/>
  <c r="I100" i="25" s="1"/>
  <c r="G123" i="25"/>
  <c r="CF123" i="6" s="1"/>
  <c r="H71" i="25"/>
  <c r="I71" i="25" s="1"/>
  <c r="H164" i="25"/>
  <c r="I164" i="25" s="1"/>
  <c r="H266" i="25"/>
  <c r="J266" i="25" s="1"/>
  <c r="G236" i="25"/>
  <c r="CF236" i="6" s="1"/>
  <c r="AA128" i="25"/>
  <c r="Z128" i="25" s="1"/>
  <c r="Y128" i="25" s="1"/>
  <c r="G28" i="25"/>
  <c r="CF28" i="6" s="1"/>
  <c r="G61" i="25"/>
  <c r="CF61" i="6" s="1"/>
  <c r="D210" i="25"/>
  <c r="E210" i="25" s="1"/>
  <c r="F210" i="25" s="1"/>
  <c r="G210" i="25" s="1"/>
  <c r="CF210" i="6" s="1"/>
  <c r="G152" i="25"/>
  <c r="CF152" i="6" s="1"/>
  <c r="D88" i="25"/>
  <c r="E88" i="25" s="1"/>
  <c r="F88" i="25" s="1"/>
  <c r="G88" i="25" s="1"/>
  <c r="CF88" i="6" s="1"/>
  <c r="G129" i="25"/>
  <c r="CF129" i="6" s="1"/>
  <c r="G41" i="25"/>
  <c r="CF41" i="6" s="1"/>
  <c r="G256" i="25"/>
  <c r="CF256" i="6" s="1"/>
  <c r="G84" i="25"/>
  <c r="CF84" i="6" s="1"/>
  <c r="G52" i="25"/>
  <c r="CF52" i="6" s="1"/>
  <c r="G83" i="25"/>
  <c r="CF83" i="6" s="1"/>
  <c r="G63" i="25"/>
  <c r="CF63" i="6" s="1"/>
  <c r="H252" i="25"/>
  <c r="I252" i="25" s="1"/>
  <c r="H131" i="25"/>
  <c r="I131" i="25" s="1"/>
  <c r="H52" i="25"/>
  <c r="I52" i="25" s="1"/>
  <c r="AA252" i="25"/>
  <c r="Z252" i="25" s="1"/>
  <c r="Y252" i="25" s="1"/>
  <c r="G234" i="25"/>
  <c r="CF234" i="6" s="1"/>
  <c r="G222" i="25"/>
  <c r="CF222" i="6" s="1"/>
  <c r="AA124" i="25"/>
  <c r="Z124" i="25" s="1"/>
  <c r="Y124" i="25" s="1"/>
  <c r="H163" i="25"/>
  <c r="I163" i="25" s="1"/>
  <c r="H33" i="25"/>
  <c r="I33" i="25" s="1"/>
  <c r="H57" i="25"/>
  <c r="I57" i="25" s="1"/>
  <c r="H200" i="25"/>
  <c r="I200" i="25" s="1"/>
  <c r="G163" i="25"/>
  <c r="CF163" i="6" s="1"/>
  <c r="H55" i="25"/>
  <c r="I55" i="25" s="1"/>
  <c r="G190" i="25"/>
  <c r="CF190" i="6" s="1"/>
  <c r="AA112" i="25"/>
  <c r="Z112" i="25" s="1"/>
  <c r="Y112" i="25" s="1"/>
  <c r="H96" i="25"/>
  <c r="I96" i="25" s="1"/>
  <c r="G40" i="25"/>
  <c r="CF40" i="6" s="1"/>
  <c r="AA24" i="25"/>
  <c r="Z24" i="25" s="1"/>
  <c r="Y24" i="25" s="1"/>
  <c r="H236" i="25"/>
  <c r="J236" i="25" s="1"/>
  <c r="H123" i="25"/>
  <c r="J123" i="25" s="1"/>
  <c r="G21" i="25"/>
  <c r="CF21" i="6" s="1"/>
  <c r="H128" i="25"/>
  <c r="I128" i="25" s="1"/>
  <c r="H28" i="25"/>
  <c r="I28" i="25" s="1"/>
  <c r="G77" i="25"/>
  <c r="CF77" i="6" s="1"/>
  <c r="G59" i="25"/>
  <c r="CF59" i="6" s="1"/>
  <c r="H152" i="25"/>
  <c r="J152" i="25" s="1"/>
  <c r="AA192" i="25"/>
  <c r="Z192" i="25" s="1"/>
  <c r="Y192" i="25" s="1"/>
  <c r="H148" i="25"/>
  <c r="I148" i="25" s="1"/>
  <c r="G120" i="25"/>
  <c r="CF120" i="6" s="1"/>
  <c r="G131" i="25"/>
  <c r="CF131" i="6" s="1"/>
  <c r="G113" i="25"/>
  <c r="CF113" i="6" s="1"/>
  <c r="G73" i="25"/>
  <c r="CF73" i="6" s="1"/>
  <c r="G57" i="25"/>
  <c r="CF57" i="6" s="1"/>
  <c r="AA49" i="25"/>
  <c r="Z49" i="25" s="1"/>
  <c r="Y49" i="25" s="1"/>
  <c r="G26" i="25"/>
  <c r="CF26" i="6" s="1"/>
  <c r="AA260" i="25"/>
  <c r="Z260" i="25" s="1"/>
  <c r="Y260" i="25" s="1"/>
  <c r="H256" i="25"/>
  <c r="I256" i="25" s="1"/>
  <c r="G136" i="25"/>
  <c r="CF136" i="6" s="1"/>
  <c r="AA104" i="25"/>
  <c r="Z104" i="25" s="1"/>
  <c r="Y104" i="25" s="1"/>
  <c r="H84" i="25"/>
  <c r="J84" i="25" s="1"/>
  <c r="G76" i="25"/>
  <c r="CF76" i="6" s="1"/>
  <c r="AA137" i="25"/>
  <c r="Z137" i="25" s="1"/>
  <c r="Y137" i="25" s="1"/>
  <c r="AA63" i="25"/>
  <c r="Z63" i="25" s="1"/>
  <c r="Y63" i="25" s="1"/>
  <c r="D70" i="19"/>
  <c r="D57" i="19" s="1"/>
  <c r="H76" i="25"/>
  <c r="J76" i="25" s="1"/>
  <c r="H192" i="25"/>
  <c r="I192" i="25" s="1"/>
  <c r="AA148" i="25"/>
  <c r="Z148" i="25" s="1"/>
  <c r="Y148" i="25" s="1"/>
  <c r="AA120" i="25"/>
  <c r="Z120" i="25" s="1"/>
  <c r="Y120" i="25" s="1"/>
  <c r="H73" i="25"/>
  <c r="I73" i="25" s="1"/>
  <c r="H32" i="25"/>
  <c r="J32" i="25" s="1"/>
  <c r="H129" i="25"/>
  <c r="J129" i="25" s="1"/>
  <c r="G121" i="25"/>
  <c r="CF121" i="6" s="1"/>
  <c r="H49" i="25"/>
  <c r="J49" i="25" s="1"/>
  <c r="AA33" i="25"/>
  <c r="Z33" i="25" s="1"/>
  <c r="Y33" i="25" s="1"/>
  <c r="AA26" i="25"/>
  <c r="Z26" i="25" s="1"/>
  <c r="Y26" i="25" s="1"/>
  <c r="H113" i="25"/>
  <c r="J113" i="25" s="1"/>
  <c r="H121" i="25"/>
  <c r="I121" i="25" s="1"/>
  <c r="H222" i="25"/>
  <c r="I222" i="25" s="1"/>
  <c r="H64" i="25"/>
  <c r="J64" i="25" s="1"/>
  <c r="H260" i="25"/>
  <c r="J260" i="25" s="1"/>
  <c r="H234" i="25"/>
  <c r="J234" i="25" s="1"/>
  <c r="H136" i="25"/>
  <c r="J136" i="25" s="1"/>
  <c r="G124" i="25"/>
  <c r="CF124" i="6" s="1"/>
  <c r="G64" i="25"/>
  <c r="CF64" i="6" s="1"/>
  <c r="G48" i="25"/>
  <c r="CF48" i="6" s="1"/>
  <c r="G32" i="25"/>
  <c r="CF32" i="6" s="1"/>
  <c r="H83" i="25"/>
  <c r="I83" i="25" s="1"/>
  <c r="G55" i="25"/>
  <c r="CF55" i="6" s="1"/>
  <c r="H70" i="19"/>
  <c r="H57" i="19" s="1"/>
  <c r="H198" i="25"/>
  <c r="I198" i="25" s="1"/>
  <c r="H190" i="25"/>
  <c r="I190" i="25" s="1"/>
  <c r="H112" i="25"/>
  <c r="I112" i="25" s="1"/>
  <c r="H125" i="25"/>
  <c r="J125" i="25" s="1"/>
  <c r="H144" i="25"/>
  <c r="J144" i="25" s="1"/>
  <c r="H218" i="25"/>
  <c r="I218" i="25" s="1"/>
  <c r="G101" i="25"/>
  <c r="CF101" i="6" s="1"/>
  <c r="AA61" i="25"/>
  <c r="Z61" i="25" s="1"/>
  <c r="Y61" i="25" s="1"/>
  <c r="H53" i="25"/>
  <c r="I53" i="25" s="1"/>
  <c r="AA37" i="25"/>
  <c r="Z37" i="25" s="1"/>
  <c r="Y37" i="25" s="1"/>
  <c r="H41" i="25"/>
  <c r="J41" i="25" s="1"/>
  <c r="H104" i="25"/>
  <c r="I104" i="25" s="1"/>
  <c r="H137" i="25"/>
  <c r="J137" i="25" s="1"/>
  <c r="G266" i="25"/>
  <c r="CF266" i="6" s="1"/>
  <c r="H24" i="25"/>
  <c r="J24" i="25" s="1"/>
  <c r="H77" i="25"/>
  <c r="I77" i="25" s="1"/>
  <c r="AA53" i="25"/>
  <c r="Z53" i="25" s="1"/>
  <c r="Y53" i="25" s="1"/>
  <c r="H37" i="25"/>
  <c r="I37" i="25" s="1"/>
  <c r="D16" i="19"/>
  <c r="G40" i="19"/>
  <c r="V379" i="25"/>
  <c r="M70" i="19" s="1"/>
  <c r="D44" i="19"/>
  <c r="D33" i="19" s="1"/>
  <c r="AA200" i="25"/>
  <c r="Z200" i="25" s="1"/>
  <c r="Y200" i="25" s="1"/>
  <c r="D248" i="25"/>
  <c r="E248" i="25" s="1"/>
  <c r="F248" i="25" s="1"/>
  <c r="H248" i="25" s="1"/>
  <c r="AJ3" i="18"/>
  <c r="O15" i="19" s="1"/>
  <c r="M15" i="19" s="1"/>
  <c r="AL13" i="18"/>
  <c r="AJ10" i="22"/>
  <c r="AJ12" i="22" s="1"/>
  <c r="AJ9" i="22"/>
  <c r="AJ11" i="22" s="1"/>
  <c r="AJ6" i="23"/>
  <c r="AJ5" i="23"/>
  <c r="AL8" i="20"/>
  <c r="AL7" i="20"/>
  <c r="D261" i="25"/>
  <c r="E261" i="25" s="1"/>
  <c r="F261" i="25" s="1"/>
  <c r="H261" i="25" s="1"/>
  <c r="H59" i="19"/>
  <c r="D59" i="19"/>
  <c r="L57" i="19"/>
  <c r="L58" i="19"/>
  <c r="L59" i="19"/>
  <c r="J57" i="19"/>
  <c r="J58" i="19"/>
  <c r="J59" i="19"/>
  <c r="B363" i="25"/>
  <c r="D363" i="25" s="1"/>
  <c r="E363" i="25" s="1"/>
  <c r="F363" i="25" s="1"/>
  <c r="B60" i="25"/>
  <c r="W60" i="25" s="1"/>
  <c r="C70" i="19"/>
  <c r="F59" i="19"/>
  <c r="F57" i="19"/>
  <c r="F58" i="19"/>
  <c r="E70" i="19"/>
  <c r="G58" i="19"/>
  <c r="G59" i="19"/>
  <c r="G57" i="19"/>
  <c r="J174" i="25"/>
  <c r="I174" i="25"/>
  <c r="I232" i="25"/>
  <c r="J232" i="25"/>
  <c r="I132" i="25"/>
  <c r="J132" i="25"/>
  <c r="I38" i="25"/>
  <c r="J38" i="25"/>
  <c r="J295" i="25"/>
  <c r="I295" i="25"/>
  <c r="I153" i="25"/>
  <c r="J153" i="25"/>
  <c r="I81" i="25"/>
  <c r="J81" i="25"/>
  <c r="I62" i="25"/>
  <c r="J62" i="25"/>
  <c r="I251" i="25"/>
  <c r="J251" i="25"/>
  <c r="J331" i="25"/>
  <c r="I331" i="25"/>
  <c r="J309" i="25"/>
  <c r="I309" i="25"/>
  <c r="J332" i="25"/>
  <c r="I332" i="25"/>
  <c r="I103" i="25"/>
  <c r="J103" i="25"/>
  <c r="J321" i="25"/>
  <c r="I229" i="25"/>
  <c r="J229" i="25"/>
  <c r="I157" i="25"/>
  <c r="J157" i="25"/>
  <c r="J353" i="25"/>
  <c r="I353" i="25"/>
  <c r="J374" i="25"/>
  <c r="I374" i="25"/>
  <c r="J306" i="25"/>
  <c r="I306" i="25"/>
  <c r="I311" i="25"/>
  <c r="I305" i="25"/>
  <c r="J305" i="25"/>
  <c r="J310" i="25"/>
  <c r="I310" i="25"/>
  <c r="I182" i="25"/>
  <c r="J182" i="25"/>
  <c r="J378" i="25"/>
  <c r="I378" i="25"/>
  <c r="J204" i="25"/>
  <c r="I204" i="25"/>
  <c r="J90" i="25"/>
  <c r="I90" i="25"/>
  <c r="J78" i="25"/>
  <c r="I78" i="25"/>
  <c r="J302" i="24"/>
  <c r="I302" i="24"/>
  <c r="H302" i="25" s="1"/>
  <c r="J74" i="24"/>
  <c r="I74" i="24"/>
  <c r="H74" i="25" s="1"/>
  <c r="J366" i="25"/>
  <c r="I366" i="25"/>
  <c r="J362" i="25"/>
  <c r="I362" i="25"/>
  <c r="J358" i="25"/>
  <c r="I358" i="25"/>
  <c r="I356" i="25"/>
  <c r="J356" i="25"/>
  <c r="I342" i="25"/>
  <c r="J342" i="25"/>
  <c r="I340" i="25"/>
  <c r="J340" i="25"/>
  <c r="J338" i="25"/>
  <c r="I338" i="25"/>
  <c r="J290" i="25"/>
  <c r="I290" i="25"/>
  <c r="J286" i="25"/>
  <c r="I286" i="25"/>
  <c r="G272" i="25"/>
  <c r="CF272" i="6" s="1"/>
  <c r="AA272" i="25"/>
  <c r="Z272" i="25" s="1"/>
  <c r="Y272" i="25" s="1"/>
  <c r="H272" i="25"/>
  <c r="J264" i="25"/>
  <c r="I264" i="25"/>
  <c r="J242" i="25"/>
  <c r="I242" i="25"/>
  <c r="J240" i="25"/>
  <c r="I240" i="25"/>
  <c r="J214" i="25"/>
  <c r="I214" i="25"/>
  <c r="I212" i="25"/>
  <c r="J212" i="25"/>
  <c r="I206" i="25"/>
  <c r="J206" i="25"/>
  <c r="G196" i="25"/>
  <c r="CF196" i="6" s="1"/>
  <c r="AA196" i="25"/>
  <c r="Z196" i="25" s="1"/>
  <c r="Y196" i="25" s="1"/>
  <c r="H196" i="25"/>
  <c r="I186" i="25"/>
  <c r="J186" i="25"/>
  <c r="AA180" i="25"/>
  <c r="Z180" i="25" s="1"/>
  <c r="Y180" i="25" s="1"/>
  <c r="H180" i="25"/>
  <c r="G180" i="25"/>
  <c r="CF180" i="6" s="1"/>
  <c r="I158" i="25"/>
  <c r="J158" i="25"/>
  <c r="I134" i="25"/>
  <c r="J134" i="25"/>
  <c r="I102" i="25"/>
  <c r="J102" i="25"/>
  <c r="I82" i="25"/>
  <c r="I72" i="25"/>
  <c r="J72" i="25"/>
  <c r="I68" i="25"/>
  <c r="J68" i="25"/>
  <c r="I44" i="25"/>
  <c r="J44" i="25"/>
  <c r="I36" i="25"/>
  <c r="J36" i="25"/>
  <c r="I30" i="25"/>
  <c r="J30" i="25"/>
  <c r="AG383" i="25"/>
  <c r="AG381" i="25"/>
  <c r="AG382" i="25"/>
  <c r="AF15" i="25"/>
  <c r="D15" i="23"/>
  <c r="AK6" i="23"/>
  <c r="H9" i="23"/>
  <c r="B18" i="19" s="1"/>
  <c r="B381" i="23"/>
  <c r="W15" i="23"/>
  <c r="B383" i="23"/>
  <c r="B382" i="23"/>
  <c r="V15" i="24"/>
  <c r="B15" i="24" s="1"/>
  <c r="P382" i="24"/>
  <c r="P381" i="24"/>
  <c r="P383" i="24"/>
  <c r="I377" i="25"/>
  <c r="I345" i="25"/>
  <c r="J345" i="25"/>
  <c r="AA333" i="25"/>
  <c r="Z333" i="25" s="1"/>
  <c r="Y333" i="25" s="1"/>
  <c r="H333" i="25"/>
  <c r="G333" i="25"/>
  <c r="CF333" i="6" s="1"/>
  <c r="J315" i="25"/>
  <c r="I315" i="25"/>
  <c r="J297" i="25"/>
  <c r="I239" i="25"/>
  <c r="I217" i="25"/>
  <c r="J217" i="25"/>
  <c r="I213" i="25"/>
  <c r="J213" i="25"/>
  <c r="J199" i="25"/>
  <c r="I199" i="25"/>
  <c r="H149" i="25"/>
  <c r="AA149" i="25"/>
  <c r="Z149" i="25" s="1"/>
  <c r="Y149" i="25" s="1"/>
  <c r="G149" i="25"/>
  <c r="CF149" i="6" s="1"/>
  <c r="J133" i="25"/>
  <c r="I133" i="25"/>
  <c r="I117" i="25"/>
  <c r="J117" i="25"/>
  <c r="J115" i="25"/>
  <c r="I115" i="25"/>
  <c r="I109" i="25"/>
  <c r="J109" i="25"/>
  <c r="I91" i="25"/>
  <c r="J91" i="25"/>
  <c r="J85" i="25"/>
  <c r="I85" i="25"/>
  <c r="J51" i="25"/>
  <c r="I51" i="25"/>
  <c r="G29" i="25"/>
  <c r="CF29" i="6" s="1"/>
  <c r="H29" i="25"/>
  <c r="AA29" i="25"/>
  <c r="Z29" i="25" s="1"/>
  <c r="Y29" i="25" s="1"/>
  <c r="I25" i="25"/>
  <c r="J25" i="25"/>
  <c r="J26" i="25"/>
  <c r="I26" i="25"/>
  <c r="G105" i="25"/>
  <c r="CF105" i="6" s="1"/>
  <c r="AA105" i="25"/>
  <c r="Z105" i="25" s="1"/>
  <c r="Y105" i="25" s="1"/>
  <c r="H105" i="25"/>
  <c r="I210" i="24"/>
  <c r="J210" i="24"/>
  <c r="J319" i="24"/>
  <c r="I319" i="24"/>
  <c r="H319" i="25" s="1"/>
  <c r="I370" i="25"/>
  <c r="J370" i="25"/>
  <c r="J350" i="25"/>
  <c r="I350" i="25"/>
  <c r="I344" i="25"/>
  <c r="J344" i="25"/>
  <c r="I324" i="25"/>
  <c r="J304" i="25"/>
  <c r="I304" i="25"/>
  <c r="J292" i="25"/>
  <c r="I292" i="25"/>
  <c r="J280" i="25"/>
  <c r="I280" i="25"/>
  <c r="J262" i="25"/>
  <c r="I262" i="25"/>
  <c r="J238" i="25"/>
  <c r="I238" i="25"/>
  <c r="J202" i="25"/>
  <c r="I202" i="25"/>
  <c r="I184" i="25"/>
  <c r="J184" i="25"/>
  <c r="I172" i="25"/>
  <c r="J172" i="25"/>
  <c r="I160" i="25"/>
  <c r="J160" i="25"/>
  <c r="J138" i="25"/>
  <c r="I138" i="25"/>
  <c r="J124" i="25"/>
  <c r="I124" i="25"/>
  <c r="J122" i="25"/>
  <c r="I122" i="25"/>
  <c r="J27" i="25"/>
  <c r="I27" i="25"/>
  <c r="J18" i="25"/>
  <c r="I18" i="25"/>
  <c r="I20" i="25"/>
  <c r="J20" i="25"/>
  <c r="G135" i="25"/>
  <c r="CF135" i="6" s="1"/>
  <c r="AA135" i="25"/>
  <c r="Z135" i="25" s="1"/>
  <c r="Y135" i="25" s="1"/>
  <c r="H135" i="25"/>
  <c r="J15" i="19"/>
  <c r="J31" i="19" s="1"/>
  <c r="AA11" i="18"/>
  <c r="AA5" i="18" s="1"/>
  <c r="I15" i="19" s="1"/>
  <c r="Z11" i="18"/>
  <c r="Z5" i="18" s="1"/>
  <c r="H15" i="19" s="1"/>
  <c r="AI7" i="7"/>
  <c r="F7" i="6"/>
  <c r="I382" i="20"/>
  <c r="I381" i="20"/>
  <c r="I383" i="20"/>
  <c r="J88" i="24"/>
  <c r="I88" i="24"/>
  <c r="J375" i="25"/>
  <c r="I375" i="25"/>
  <c r="G365" i="25"/>
  <c r="CF365" i="6" s="1"/>
  <c r="AA365" i="25"/>
  <c r="Z365" i="25" s="1"/>
  <c r="Y365" i="25" s="1"/>
  <c r="H365" i="25"/>
  <c r="J359" i="25"/>
  <c r="I359" i="25"/>
  <c r="J357" i="25"/>
  <c r="I357" i="25"/>
  <c r="I337" i="25"/>
  <c r="I313" i="25"/>
  <c r="J313" i="25"/>
  <c r="I307" i="25"/>
  <c r="J307" i="25"/>
  <c r="J245" i="25"/>
  <c r="I245" i="25"/>
  <c r="I231" i="25"/>
  <c r="J231" i="25"/>
  <c r="J211" i="25"/>
  <c r="I211" i="25"/>
  <c r="I203" i="25"/>
  <c r="J203" i="25"/>
  <c r="J193" i="25"/>
  <c r="I193" i="25"/>
  <c r="J179" i="25"/>
  <c r="J151" i="25"/>
  <c r="I151" i="25"/>
  <c r="J143" i="25"/>
  <c r="I143" i="25"/>
  <c r="J141" i="25"/>
  <c r="I141" i="25"/>
  <c r="J139" i="25"/>
  <c r="I139" i="25"/>
  <c r="J107" i="25"/>
  <c r="I107" i="25"/>
  <c r="J65" i="25"/>
  <c r="I65" i="25"/>
  <c r="I39" i="25"/>
  <c r="J39" i="25"/>
  <c r="G368" i="25"/>
  <c r="CF368" i="6" s="1"/>
  <c r="AA368" i="25"/>
  <c r="Z368" i="25" s="1"/>
  <c r="Y368" i="25" s="1"/>
  <c r="H368" i="25"/>
  <c r="AA316" i="25"/>
  <c r="Z316" i="25" s="1"/>
  <c r="Y316" i="25" s="1"/>
  <c r="G316" i="25"/>
  <c r="CF316" i="6" s="1"/>
  <c r="H316" i="25"/>
  <c r="AA194" i="25"/>
  <c r="Z194" i="25" s="1"/>
  <c r="Y194" i="25" s="1"/>
  <c r="G194" i="25"/>
  <c r="CF194" i="6" s="1"/>
  <c r="H194" i="25"/>
  <c r="AA150" i="25"/>
  <c r="Z150" i="25" s="1"/>
  <c r="Y150" i="25" s="1"/>
  <c r="G150" i="25"/>
  <c r="CF150" i="6" s="1"/>
  <c r="H150" i="25"/>
  <c r="G66" i="25"/>
  <c r="CF66" i="6" s="1"/>
  <c r="AA66" i="25"/>
  <c r="Z66" i="25" s="1"/>
  <c r="Y66" i="25" s="1"/>
  <c r="H66" i="25"/>
  <c r="AA16" i="25"/>
  <c r="Z16" i="25" s="1"/>
  <c r="Y16" i="25" s="1"/>
  <c r="G16" i="25"/>
  <c r="CF16" i="6" s="1"/>
  <c r="H16" i="25"/>
  <c r="G335" i="25"/>
  <c r="CF335" i="6" s="1"/>
  <c r="AA335" i="25"/>
  <c r="Z335" i="25" s="1"/>
  <c r="Y335" i="25" s="1"/>
  <c r="H335" i="25"/>
  <c r="AA187" i="25"/>
  <c r="Z187" i="25" s="1"/>
  <c r="Y187" i="25" s="1"/>
  <c r="G187" i="25"/>
  <c r="CF187" i="6" s="1"/>
  <c r="H187" i="25"/>
  <c r="AA376" i="25"/>
  <c r="Z376" i="25" s="1"/>
  <c r="Y376" i="25" s="1"/>
  <c r="G376" i="25"/>
  <c r="CF376" i="6" s="1"/>
  <c r="H376" i="25"/>
  <c r="G298" i="25"/>
  <c r="CF298" i="6" s="1"/>
  <c r="AA298" i="25"/>
  <c r="Z298" i="25" s="1"/>
  <c r="Y298" i="25" s="1"/>
  <c r="H298" i="25"/>
  <c r="AA226" i="25"/>
  <c r="Z226" i="25" s="1"/>
  <c r="Y226" i="25" s="1"/>
  <c r="H226" i="25"/>
  <c r="G226" i="25"/>
  <c r="CF226" i="6" s="1"/>
  <c r="G208" i="25"/>
  <c r="CF208" i="6" s="1"/>
  <c r="AA208" i="25"/>
  <c r="Z208" i="25" s="1"/>
  <c r="Y208" i="25" s="1"/>
  <c r="H208" i="25"/>
  <c r="G154" i="25"/>
  <c r="CF154" i="6" s="1"/>
  <c r="AA154" i="25"/>
  <c r="Z154" i="25" s="1"/>
  <c r="Y154" i="25" s="1"/>
  <c r="H154" i="25"/>
  <c r="AA114" i="25"/>
  <c r="Z114" i="25" s="1"/>
  <c r="Y114" i="25" s="1"/>
  <c r="H114" i="25"/>
  <c r="G114" i="25"/>
  <c r="CF114" i="6" s="1"/>
  <c r="AA367" i="25"/>
  <c r="Z367" i="25" s="1"/>
  <c r="Y367" i="25" s="1"/>
  <c r="G367" i="25"/>
  <c r="CF367" i="6" s="1"/>
  <c r="H367" i="25"/>
  <c r="AA347" i="25"/>
  <c r="Z347" i="25" s="1"/>
  <c r="Y347" i="25" s="1"/>
  <c r="H347" i="25"/>
  <c r="G347" i="25"/>
  <c r="CF347" i="6" s="1"/>
  <c r="G189" i="25"/>
  <c r="CF189" i="6" s="1"/>
  <c r="AA189" i="25"/>
  <c r="Z189" i="25" s="1"/>
  <c r="Y189" i="25" s="1"/>
  <c r="H189" i="25"/>
  <c r="AA177" i="25"/>
  <c r="Z177" i="25" s="1"/>
  <c r="Y177" i="25" s="1"/>
  <c r="G177" i="25"/>
  <c r="CF177" i="6" s="1"/>
  <c r="H177" i="25"/>
  <c r="D119" i="25"/>
  <c r="E119" i="25" s="1"/>
  <c r="F119" i="25" s="1"/>
  <c r="W119" i="25"/>
  <c r="G67" i="25"/>
  <c r="CF67" i="6" s="1"/>
  <c r="H67" i="25"/>
  <c r="AA67" i="25"/>
  <c r="Z67" i="25" s="1"/>
  <c r="Y67" i="25" s="1"/>
  <c r="H35" i="25"/>
  <c r="AA35" i="25"/>
  <c r="Z35" i="25" s="1"/>
  <c r="Y35" i="25" s="1"/>
  <c r="G35" i="25"/>
  <c r="CF35" i="6" s="1"/>
  <c r="J372" i="25"/>
  <c r="I372" i="25"/>
  <c r="J334" i="25"/>
  <c r="I334" i="25"/>
  <c r="J326" i="25"/>
  <c r="I326" i="25"/>
  <c r="AA302" i="25"/>
  <c r="Z302" i="25" s="1"/>
  <c r="Y302" i="25" s="1"/>
  <c r="G302" i="25"/>
  <c r="CF302" i="6" s="1"/>
  <c r="I300" i="25"/>
  <c r="J300" i="25"/>
  <c r="I296" i="25"/>
  <c r="J294" i="25"/>
  <c r="I294" i="25"/>
  <c r="I250" i="25"/>
  <c r="J250" i="25"/>
  <c r="I228" i="25"/>
  <c r="J228" i="25"/>
  <c r="I142" i="25"/>
  <c r="J142" i="25"/>
  <c r="J126" i="25"/>
  <c r="I126" i="25"/>
  <c r="I120" i="25"/>
  <c r="J120" i="25"/>
  <c r="I108" i="25"/>
  <c r="J108" i="25"/>
  <c r="J94" i="25"/>
  <c r="I94" i="25"/>
  <c r="S382" i="25"/>
  <c r="S383" i="25"/>
  <c r="S381" i="25"/>
  <c r="R15" i="25"/>
  <c r="AA46" i="25"/>
  <c r="Z46" i="25" s="1"/>
  <c r="Y46" i="25" s="1"/>
  <c r="H46" i="25"/>
  <c r="G46" i="25"/>
  <c r="CF46" i="6" s="1"/>
  <c r="AA166" i="25"/>
  <c r="Z166" i="25" s="1"/>
  <c r="Y166" i="25" s="1"/>
  <c r="G166" i="25"/>
  <c r="CF166" i="6" s="1"/>
  <c r="H166" i="25"/>
  <c r="E9" i="22"/>
  <c r="E11" i="22" s="1"/>
  <c r="AK8" i="22"/>
  <c r="F15" i="22"/>
  <c r="E382" i="22"/>
  <c r="E383" i="22"/>
  <c r="E381" i="22"/>
  <c r="N4" i="6"/>
  <c r="D15" i="6"/>
  <c r="Z382" i="20"/>
  <c r="Z381" i="20"/>
  <c r="Y15" i="20"/>
  <c r="AM5" i="20" s="1"/>
  <c r="AM11" i="20" s="1"/>
  <c r="AK3" i="20" s="1"/>
  <c r="Q16" i="19" s="1"/>
  <c r="Z383" i="20"/>
  <c r="Z9" i="20"/>
  <c r="AA349" i="25"/>
  <c r="Z349" i="25" s="1"/>
  <c r="Y349" i="25" s="1"/>
  <c r="G349" i="25"/>
  <c r="CF349" i="6" s="1"/>
  <c r="H349" i="25"/>
  <c r="J341" i="25"/>
  <c r="J339" i="25"/>
  <c r="I339" i="25"/>
  <c r="J327" i="25"/>
  <c r="I327" i="25"/>
  <c r="J303" i="25"/>
  <c r="I303" i="25"/>
  <c r="J293" i="25"/>
  <c r="I293" i="25"/>
  <c r="I291" i="25"/>
  <c r="J291" i="25"/>
  <c r="I275" i="25"/>
  <c r="J275" i="25"/>
  <c r="I259" i="25"/>
  <c r="J259" i="25"/>
  <c r="I233" i="25"/>
  <c r="J233" i="25"/>
  <c r="H227" i="25"/>
  <c r="G227" i="25"/>
  <c r="CF227" i="6" s="1"/>
  <c r="AA227" i="25"/>
  <c r="Z227" i="25" s="1"/>
  <c r="Y227" i="25" s="1"/>
  <c r="J221" i="25"/>
  <c r="I221" i="25"/>
  <c r="I215" i="25"/>
  <c r="J215" i="25"/>
  <c r="J209" i="25"/>
  <c r="I209" i="25"/>
  <c r="I181" i="25"/>
  <c r="J181" i="25"/>
  <c r="J145" i="25"/>
  <c r="I145" i="25"/>
  <c r="I93" i="25"/>
  <c r="J93" i="25"/>
  <c r="J87" i="25"/>
  <c r="I87" i="25"/>
  <c r="I79" i="25"/>
  <c r="J79" i="25"/>
  <c r="J69" i="25"/>
  <c r="I69" i="25"/>
  <c r="I47" i="25"/>
  <c r="J47" i="25"/>
  <c r="I45" i="25"/>
  <c r="J45" i="25"/>
  <c r="I31" i="25"/>
  <c r="J31" i="25"/>
  <c r="G22" i="25"/>
  <c r="CF22" i="6" s="1"/>
  <c r="H22" i="25"/>
  <c r="AA22" i="25"/>
  <c r="Z22" i="25" s="1"/>
  <c r="Y22" i="25" s="1"/>
  <c r="I23" i="25"/>
  <c r="J23" i="25"/>
  <c r="J363" i="24"/>
  <c r="I363" i="24"/>
  <c r="AA319" i="25"/>
  <c r="Z319" i="25" s="1"/>
  <c r="Y319" i="25" s="1"/>
  <c r="G319" i="25"/>
  <c r="CF319" i="6" s="1"/>
  <c r="G74" i="25"/>
  <c r="CF74" i="6" s="1"/>
  <c r="AA74" i="25"/>
  <c r="Z74" i="25" s="1"/>
  <c r="Y74" i="25" s="1"/>
  <c r="J258" i="25"/>
  <c r="I258" i="25"/>
  <c r="G354" i="25"/>
  <c r="CF354" i="6" s="1"/>
  <c r="AA354" i="25"/>
  <c r="Z354" i="25" s="1"/>
  <c r="Y354" i="25" s="1"/>
  <c r="H354" i="25"/>
  <c r="I328" i="25"/>
  <c r="J328" i="25"/>
  <c r="J308" i="25"/>
  <c r="I308" i="25"/>
  <c r="J282" i="25"/>
  <c r="I282" i="25"/>
  <c r="J276" i="25"/>
  <c r="J274" i="25"/>
  <c r="I274" i="25"/>
  <c r="I268" i="25"/>
  <c r="J268" i="25"/>
  <c r="J254" i="25"/>
  <c r="I254" i="25"/>
  <c r="I246" i="25"/>
  <c r="J246" i="25"/>
  <c r="I230" i="25"/>
  <c r="J230" i="25"/>
  <c r="J220" i="25"/>
  <c r="I220" i="25"/>
  <c r="J178" i="25"/>
  <c r="I178" i="25"/>
  <c r="J176" i="25"/>
  <c r="I176" i="25"/>
  <c r="I170" i="25"/>
  <c r="J170" i="25"/>
  <c r="J140" i="25"/>
  <c r="I140" i="25"/>
  <c r="I56" i="25"/>
  <c r="J56" i="25"/>
  <c r="I50" i="25"/>
  <c r="J50" i="25"/>
  <c r="J42" i="25"/>
  <c r="I42" i="25"/>
  <c r="AA17" i="25"/>
  <c r="Z17" i="25" s="1"/>
  <c r="Y17" i="25" s="1"/>
  <c r="G17" i="25"/>
  <c r="CF17" i="6" s="1"/>
  <c r="H17" i="25"/>
  <c r="AK4" i="18"/>
  <c r="R15" i="19" s="1"/>
  <c r="AM13" i="18"/>
  <c r="J381" i="20"/>
  <c r="J382" i="20"/>
  <c r="J383" i="20"/>
  <c r="AA369" i="25"/>
  <c r="Z369" i="25" s="1"/>
  <c r="Y369" i="25" s="1"/>
  <c r="H369" i="25"/>
  <c r="G369" i="25"/>
  <c r="CF369" i="6" s="1"/>
  <c r="I323" i="25"/>
  <c r="J323" i="25"/>
  <c r="I281" i="25"/>
  <c r="J281" i="25"/>
  <c r="J273" i="25"/>
  <c r="I273" i="25"/>
  <c r="I271" i="25"/>
  <c r="J271" i="25"/>
  <c r="I263" i="25"/>
  <c r="J263" i="25"/>
  <c r="J249" i="25"/>
  <c r="I249" i="25"/>
  <c r="I247" i="25"/>
  <c r="J247" i="25"/>
  <c r="I219" i="25"/>
  <c r="J219" i="25"/>
  <c r="I197" i="25"/>
  <c r="J197" i="25"/>
  <c r="J185" i="25"/>
  <c r="I185" i="25"/>
  <c r="I167" i="25"/>
  <c r="J167" i="25"/>
  <c r="I159" i="25"/>
  <c r="J159" i="25"/>
  <c r="J155" i="25"/>
  <c r="I155" i="25"/>
  <c r="J127" i="25"/>
  <c r="I127" i="25"/>
  <c r="I99" i="25"/>
  <c r="J99" i="25"/>
  <c r="I97" i="25"/>
  <c r="J97" i="25"/>
  <c r="J89" i="25"/>
  <c r="I89" i="25"/>
  <c r="J63" i="25"/>
  <c r="I63" i="25"/>
  <c r="I61" i="25"/>
  <c r="J61" i="25"/>
  <c r="AA284" i="25"/>
  <c r="Z284" i="25" s="1"/>
  <c r="Y284" i="25" s="1"/>
  <c r="H284" i="25"/>
  <c r="G284" i="25"/>
  <c r="CF284" i="6" s="1"/>
  <c r="H244" i="25"/>
  <c r="G244" i="25"/>
  <c r="CF244" i="6" s="1"/>
  <c r="AA244" i="25"/>
  <c r="Z244" i="25" s="1"/>
  <c r="Y244" i="25" s="1"/>
  <c r="AA216" i="25"/>
  <c r="Z216" i="25" s="1"/>
  <c r="Y216" i="25" s="1"/>
  <c r="G216" i="25"/>
  <c r="CF216" i="6" s="1"/>
  <c r="H216" i="25"/>
  <c r="AA116" i="25"/>
  <c r="Z116" i="25" s="1"/>
  <c r="Y116" i="25" s="1"/>
  <c r="G116" i="25"/>
  <c r="CF116" i="6" s="1"/>
  <c r="H116" i="25"/>
  <c r="H283" i="25"/>
  <c r="AA283" i="25"/>
  <c r="Z283" i="25" s="1"/>
  <c r="Y283" i="25" s="1"/>
  <c r="G283" i="25"/>
  <c r="CF283" i="6" s="1"/>
  <c r="AA253" i="25"/>
  <c r="Z253" i="25" s="1"/>
  <c r="Y253" i="25" s="1"/>
  <c r="G253" i="25"/>
  <c r="CF253" i="6" s="1"/>
  <c r="H253" i="25"/>
  <c r="AA175" i="25"/>
  <c r="Z175" i="25" s="1"/>
  <c r="Y175" i="25" s="1"/>
  <c r="H175" i="25"/>
  <c r="G175" i="25"/>
  <c r="CF175" i="6" s="1"/>
  <c r="G161" i="25"/>
  <c r="CF161" i="6" s="1"/>
  <c r="AA161" i="25"/>
  <c r="Z161" i="25" s="1"/>
  <c r="Y161" i="25" s="1"/>
  <c r="H161" i="25"/>
  <c r="AA111" i="25"/>
  <c r="Z111" i="25" s="1"/>
  <c r="Y111" i="25" s="1"/>
  <c r="G111" i="25"/>
  <c r="CF111" i="6" s="1"/>
  <c r="H111" i="25"/>
  <c r="AA75" i="25"/>
  <c r="Z75" i="25" s="1"/>
  <c r="Y75" i="25" s="1"/>
  <c r="H75" i="25"/>
  <c r="G75" i="25"/>
  <c r="CF75" i="6" s="1"/>
  <c r="AA43" i="25"/>
  <c r="Z43" i="25" s="1"/>
  <c r="Y43" i="25" s="1"/>
  <c r="G43" i="25"/>
  <c r="CF43" i="6" s="1"/>
  <c r="H43" i="25"/>
  <c r="G19" i="25"/>
  <c r="CF19" i="6" s="1"/>
  <c r="AA19" i="25"/>
  <c r="Z19" i="25" s="1"/>
  <c r="Y19" i="25" s="1"/>
  <c r="H19" i="25"/>
  <c r="H346" i="25"/>
  <c r="AA346" i="25"/>
  <c r="Z346" i="25" s="1"/>
  <c r="Y346" i="25" s="1"/>
  <c r="G346" i="25"/>
  <c r="CF346" i="6" s="1"/>
  <c r="AA278" i="25"/>
  <c r="Z278" i="25" s="1"/>
  <c r="Y278" i="25" s="1"/>
  <c r="H278" i="25"/>
  <c r="G278" i="25"/>
  <c r="CF278" i="6" s="1"/>
  <c r="G130" i="25"/>
  <c r="CF130" i="6" s="1"/>
  <c r="H130" i="25"/>
  <c r="AA130" i="25"/>
  <c r="Z130" i="25" s="1"/>
  <c r="Y130" i="25" s="1"/>
  <c r="AA287" i="25"/>
  <c r="Z287" i="25" s="1"/>
  <c r="Y287" i="25" s="1"/>
  <c r="G287" i="25"/>
  <c r="CF287" i="6" s="1"/>
  <c r="H287" i="25"/>
  <c r="AA265" i="25"/>
  <c r="Z265" i="25" s="1"/>
  <c r="Y265" i="25" s="1"/>
  <c r="H265" i="25"/>
  <c r="G265" i="25"/>
  <c r="CF265" i="6" s="1"/>
  <c r="G171" i="25"/>
  <c r="CF171" i="6" s="1"/>
  <c r="H171" i="25"/>
  <c r="AA171" i="25"/>
  <c r="Z171" i="25" s="1"/>
  <c r="Y171" i="25" s="1"/>
  <c r="AA95" i="25"/>
  <c r="Z95" i="25" s="1"/>
  <c r="Y95" i="25" s="1"/>
  <c r="G95" i="25"/>
  <c r="CF95" i="6" s="1"/>
  <c r="H95" i="25"/>
  <c r="AD379" i="24" l="1"/>
  <c r="AF381" i="24"/>
  <c r="AF383" i="24"/>
  <c r="AF382" i="24"/>
  <c r="I169" i="25"/>
  <c r="I173" i="25"/>
  <c r="J110" i="25"/>
  <c r="I352" i="25"/>
  <c r="H241" i="25"/>
  <c r="I241" i="25" s="1"/>
  <c r="J361" i="25"/>
  <c r="J92" i="25"/>
  <c r="J270" i="25"/>
  <c r="J285" i="25"/>
  <c r="J146" i="25"/>
  <c r="I325" i="25"/>
  <c r="J162" i="25"/>
  <c r="J98" i="25"/>
  <c r="I76" i="25"/>
  <c r="K58" i="19"/>
  <c r="AA241" i="25"/>
  <c r="Z241" i="25" s="1"/>
  <c r="Y241" i="25" s="1"/>
  <c r="I267" i="25"/>
  <c r="I288" i="25"/>
  <c r="I322" i="25"/>
  <c r="I40" i="25"/>
  <c r="J235" i="25"/>
  <c r="I34" i="25"/>
  <c r="I257" i="25"/>
  <c r="I279" i="25"/>
  <c r="I343" i="25"/>
  <c r="J58" i="25"/>
  <c r="J100" i="25"/>
  <c r="J317" i="25"/>
  <c r="J106" i="25"/>
  <c r="J201" i="25"/>
  <c r="J59" i="25"/>
  <c r="I223" i="25"/>
  <c r="J269" i="25"/>
  <c r="I373" i="25"/>
  <c r="J360" i="25"/>
  <c r="I224" i="25"/>
  <c r="I314" i="25"/>
  <c r="J205" i="25"/>
  <c r="I58" i="19"/>
  <c r="J118" i="25"/>
  <c r="J336" i="25"/>
  <c r="J188" i="25"/>
  <c r="I191" i="25"/>
  <c r="I277" i="25"/>
  <c r="I364" i="25"/>
  <c r="I165" i="25"/>
  <c r="I351" i="25"/>
  <c r="I299" i="25"/>
  <c r="J52" i="25"/>
  <c r="K57" i="19"/>
  <c r="J147" i="25"/>
  <c r="J96" i="25"/>
  <c r="J348" i="25"/>
  <c r="J330" i="25"/>
  <c r="J225" i="25"/>
  <c r="I329" i="25"/>
  <c r="I54" i="25"/>
  <c r="I289" i="25"/>
  <c r="I59" i="19"/>
  <c r="J183" i="25"/>
  <c r="I320" i="25"/>
  <c r="J195" i="25"/>
  <c r="J243" i="25"/>
  <c r="J355" i="25"/>
  <c r="J156" i="25"/>
  <c r="J237" i="25"/>
  <c r="J312" i="25"/>
  <c r="I123" i="25"/>
  <c r="I101" i="25"/>
  <c r="I318" i="25"/>
  <c r="J121" i="25"/>
  <c r="AA88" i="25"/>
  <c r="Z88" i="25" s="1"/>
  <c r="Y88" i="25" s="1"/>
  <c r="E16" i="19"/>
  <c r="F16" i="19" s="1"/>
  <c r="I255" i="25"/>
  <c r="J70" i="25"/>
  <c r="J371" i="25"/>
  <c r="I86" i="25"/>
  <c r="AA210" i="25"/>
  <c r="Z210" i="25" s="1"/>
  <c r="Y210" i="25" s="1"/>
  <c r="I301" i="25"/>
  <c r="J207" i="25"/>
  <c r="H39" i="19"/>
  <c r="H31" i="19"/>
  <c r="I39" i="19"/>
  <c r="I31" i="19"/>
  <c r="J37" i="25"/>
  <c r="J164" i="25"/>
  <c r="J256" i="25"/>
  <c r="H210" i="25"/>
  <c r="I210" i="25" s="1"/>
  <c r="J252" i="25"/>
  <c r="I84" i="25"/>
  <c r="I21" i="25"/>
  <c r="J71" i="25"/>
  <c r="J80" i="25"/>
  <c r="I48" i="25"/>
  <c r="I266" i="25"/>
  <c r="J168" i="25"/>
  <c r="J163" i="25"/>
  <c r="I32" i="25"/>
  <c r="J128" i="25"/>
  <c r="J131" i="25"/>
  <c r="J112" i="25"/>
  <c r="J57" i="25"/>
  <c r="J55" i="25"/>
  <c r="J33" i="25"/>
  <c r="J28" i="25"/>
  <c r="J200" i="25"/>
  <c r="J83" i="25"/>
  <c r="I49" i="25"/>
  <c r="H88" i="25"/>
  <c r="I88" i="25" s="1"/>
  <c r="I234" i="25"/>
  <c r="I129" i="25"/>
  <c r="I236" i="25"/>
  <c r="J148" i="25"/>
  <c r="I113" i="25"/>
  <c r="I24" i="25"/>
  <c r="I152" i="25"/>
  <c r="I64" i="25"/>
  <c r="J73" i="25"/>
  <c r="J218" i="25"/>
  <c r="H58" i="19"/>
  <c r="I136" i="25"/>
  <c r="J192" i="25"/>
  <c r="J53" i="25"/>
  <c r="I137" i="25"/>
  <c r="D58" i="19"/>
  <c r="I260" i="25"/>
  <c r="I144" i="25"/>
  <c r="I41" i="25"/>
  <c r="J198" i="25"/>
  <c r="J222" i="25"/>
  <c r="J190" i="25"/>
  <c r="I125" i="25"/>
  <c r="N16" i="19"/>
  <c r="J77" i="25"/>
  <c r="J104" i="25"/>
  <c r="AA248" i="25"/>
  <c r="Z248" i="25" s="1"/>
  <c r="Y248" i="25" s="1"/>
  <c r="B379" i="25"/>
  <c r="W379" i="25" s="1"/>
  <c r="C17" i="19"/>
  <c r="F41" i="19"/>
  <c r="AA261" i="25"/>
  <c r="Z261" i="25" s="1"/>
  <c r="Y261" i="25" s="1"/>
  <c r="G248" i="25"/>
  <c r="CF248" i="6" s="1"/>
  <c r="AL6" i="20"/>
  <c r="AL12" i="20" s="1"/>
  <c r="AJ4" i="20" s="1"/>
  <c r="P16" i="19" s="1"/>
  <c r="AL5" i="20"/>
  <c r="AL11" i="20" s="1"/>
  <c r="AJ3" i="20" s="1"/>
  <c r="O16" i="19" s="1"/>
  <c r="M16" i="19" s="1"/>
  <c r="AJ6" i="24"/>
  <c r="AJ5" i="24"/>
  <c r="G261" i="25"/>
  <c r="CF261" i="6" s="1"/>
  <c r="AJ8" i="23"/>
  <c r="AJ7" i="23"/>
  <c r="AJ13" i="22"/>
  <c r="D60" i="25"/>
  <c r="E60" i="25" s="1"/>
  <c r="F60" i="25" s="1"/>
  <c r="H60" i="25" s="1"/>
  <c r="W363" i="25"/>
  <c r="E58" i="19"/>
  <c r="E57" i="19"/>
  <c r="E59" i="19"/>
  <c r="C57" i="19"/>
  <c r="C59" i="19"/>
  <c r="C58" i="19"/>
  <c r="M58" i="19"/>
  <c r="M57" i="19"/>
  <c r="M59" i="19"/>
  <c r="J88" i="25"/>
  <c r="I265" i="25"/>
  <c r="J265" i="25"/>
  <c r="I287" i="25"/>
  <c r="J287" i="25"/>
  <c r="I130" i="25"/>
  <c r="J130" i="25"/>
  <c r="I19" i="25"/>
  <c r="J19" i="25"/>
  <c r="I161" i="25"/>
  <c r="J161" i="25"/>
  <c r="I175" i="25"/>
  <c r="J175" i="25"/>
  <c r="I253" i="25"/>
  <c r="J253" i="25"/>
  <c r="I116" i="25"/>
  <c r="J116" i="25"/>
  <c r="I244" i="25"/>
  <c r="J244" i="25"/>
  <c r="J284" i="25"/>
  <c r="I284" i="25"/>
  <c r="J369" i="25"/>
  <c r="I369" i="25"/>
  <c r="J241" i="25"/>
  <c r="F9" i="22"/>
  <c r="AM10" i="22"/>
  <c r="H15" i="22"/>
  <c r="AK10" i="22"/>
  <c r="AK12" i="22" s="1"/>
  <c r="AK13" i="22" s="1"/>
  <c r="G15" i="22"/>
  <c r="CC15" i="6" s="1"/>
  <c r="F381" i="22"/>
  <c r="F383" i="22"/>
  <c r="F382" i="22"/>
  <c r="AA15" i="22"/>
  <c r="J302" i="25"/>
  <c r="I302" i="25"/>
  <c r="AA119" i="25"/>
  <c r="Z119" i="25" s="1"/>
  <c r="Y119" i="25" s="1"/>
  <c r="G119" i="25"/>
  <c r="CF119" i="6" s="1"/>
  <c r="H119" i="25"/>
  <c r="J189" i="25"/>
  <c r="I189" i="25"/>
  <c r="I347" i="25"/>
  <c r="J347" i="25"/>
  <c r="I367" i="25"/>
  <c r="J367" i="25"/>
  <c r="J114" i="25"/>
  <c r="I114" i="25"/>
  <c r="I154" i="25"/>
  <c r="J154" i="25"/>
  <c r="I376" i="25"/>
  <c r="J376" i="25"/>
  <c r="I335" i="25"/>
  <c r="J335" i="25"/>
  <c r="H363" i="25"/>
  <c r="AA363" i="25"/>
  <c r="Z363" i="25" s="1"/>
  <c r="Y363" i="25" s="1"/>
  <c r="G363" i="25"/>
  <c r="CF363" i="6" s="1"/>
  <c r="J66" i="25"/>
  <c r="I66" i="25"/>
  <c r="J194" i="25"/>
  <c r="I194" i="25"/>
  <c r="I368" i="25"/>
  <c r="J368" i="25"/>
  <c r="J135" i="25"/>
  <c r="I135" i="25"/>
  <c r="V382" i="24"/>
  <c r="V381" i="24"/>
  <c r="B69" i="19"/>
  <c r="N69" i="19" s="1"/>
  <c r="V383" i="24"/>
  <c r="D9" i="23"/>
  <c r="D11" i="23" s="1"/>
  <c r="E15" i="23"/>
  <c r="AK7" i="23" s="1"/>
  <c r="D381" i="23"/>
  <c r="D383" i="23"/>
  <c r="D382" i="23"/>
  <c r="J272" i="25"/>
  <c r="I272" i="25"/>
  <c r="I95" i="25"/>
  <c r="J95" i="25"/>
  <c r="J171" i="25"/>
  <c r="I171" i="25"/>
  <c r="J278" i="25"/>
  <c r="I278" i="25"/>
  <c r="J346" i="25"/>
  <c r="I346" i="25"/>
  <c r="I43" i="25"/>
  <c r="J43" i="25"/>
  <c r="I75" i="25"/>
  <c r="J75" i="25"/>
  <c r="J111" i="25"/>
  <c r="I111" i="25"/>
  <c r="J283" i="25"/>
  <c r="I283" i="25"/>
  <c r="J216" i="25"/>
  <c r="I216" i="25"/>
  <c r="J261" i="25"/>
  <c r="I261" i="25"/>
  <c r="I17" i="25"/>
  <c r="J17" i="25"/>
  <c r="I248" i="25"/>
  <c r="J248" i="25"/>
  <c r="J354" i="25"/>
  <c r="I354" i="25"/>
  <c r="I74" i="25"/>
  <c r="J74" i="25"/>
  <c r="J319" i="25"/>
  <c r="I319" i="25"/>
  <c r="J22" i="25"/>
  <c r="I22" i="25"/>
  <c r="I227" i="25"/>
  <c r="J227" i="25"/>
  <c r="J349" i="25"/>
  <c r="I349" i="25"/>
  <c r="Y381" i="20"/>
  <c r="X9" i="20"/>
  <c r="Y383" i="20"/>
  <c r="AM6" i="20"/>
  <c r="AM12" i="20" s="1"/>
  <c r="Y382" i="20"/>
  <c r="D12" i="6"/>
  <c r="D13" i="6"/>
  <c r="I166" i="25"/>
  <c r="J166" i="25"/>
  <c r="I46" i="25"/>
  <c r="J46" i="25"/>
  <c r="R381" i="25"/>
  <c r="R382" i="25"/>
  <c r="R383" i="25"/>
  <c r="P15" i="25"/>
  <c r="I35" i="25"/>
  <c r="J35" i="25"/>
  <c r="I67" i="25"/>
  <c r="J67" i="25"/>
  <c r="I177" i="25"/>
  <c r="J177" i="25"/>
  <c r="J208" i="25"/>
  <c r="I208" i="25"/>
  <c r="J226" i="25"/>
  <c r="I226" i="25"/>
  <c r="J298" i="25"/>
  <c r="I298" i="25"/>
  <c r="J187" i="25"/>
  <c r="I187" i="25"/>
  <c r="I16" i="25"/>
  <c r="J16" i="25"/>
  <c r="J150" i="25"/>
  <c r="I150" i="25"/>
  <c r="I316" i="25"/>
  <c r="J316" i="25"/>
  <c r="I365" i="25"/>
  <c r="J365" i="25"/>
  <c r="J105" i="25"/>
  <c r="I105" i="25"/>
  <c r="J29" i="25"/>
  <c r="I29" i="25"/>
  <c r="J149" i="25"/>
  <c r="I149" i="25"/>
  <c r="I333" i="25"/>
  <c r="J333" i="25"/>
  <c r="B382" i="24"/>
  <c r="B381" i="24"/>
  <c r="B383" i="24"/>
  <c r="AK6" i="24"/>
  <c r="H9" i="24"/>
  <c r="B19" i="19" s="1"/>
  <c r="W15" i="24"/>
  <c r="D15" i="24"/>
  <c r="AF381" i="25"/>
  <c r="AF382" i="25"/>
  <c r="AF383" i="25"/>
  <c r="AD15" i="25"/>
  <c r="I180" i="25"/>
  <c r="J180" i="25"/>
  <c r="J196" i="25"/>
  <c r="I196" i="25"/>
  <c r="AA379" i="24" l="1"/>
  <c r="Z379" i="24" s="1"/>
  <c r="Y379" i="24" s="1"/>
  <c r="AD383" i="24"/>
  <c r="AD382" i="24"/>
  <c r="AD381" i="24"/>
  <c r="J210" i="25"/>
  <c r="E42" i="19"/>
  <c r="D379" i="25"/>
  <c r="E379" i="25" s="1"/>
  <c r="F379" i="25" s="1"/>
  <c r="AA379" i="25" s="1"/>
  <c r="Z379" i="25" s="1"/>
  <c r="Y379" i="25" s="1"/>
  <c r="G60" i="25"/>
  <c r="CF60" i="6" s="1"/>
  <c r="AA60" i="25"/>
  <c r="Z60" i="25" s="1"/>
  <c r="Y60" i="25" s="1"/>
  <c r="AJ10" i="23"/>
  <c r="AJ12" i="23" s="1"/>
  <c r="AJ9" i="23"/>
  <c r="AJ11" i="23" s="1"/>
  <c r="AL10" i="22"/>
  <c r="AL9" i="22"/>
  <c r="AJ8" i="24"/>
  <c r="AJ7" i="24"/>
  <c r="AL13" i="20"/>
  <c r="AD383" i="25"/>
  <c r="AD382" i="25"/>
  <c r="AD381" i="25"/>
  <c r="D383" i="24"/>
  <c r="D9" i="24"/>
  <c r="D11" i="24" s="1"/>
  <c r="E15" i="24"/>
  <c r="D381" i="24"/>
  <c r="D382" i="24"/>
  <c r="I60" i="25"/>
  <c r="J60" i="25"/>
  <c r="P382" i="25"/>
  <c r="P383" i="25"/>
  <c r="V15" i="25"/>
  <c r="P381" i="25"/>
  <c r="AK4" i="20"/>
  <c r="R16" i="19" s="1"/>
  <c r="N17" i="19" s="1"/>
  <c r="AM13" i="20"/>
  <c r="J16" i="19"/>
  <c r="AA11" i="20"/>
  <c r="AA5" i="20" s="1"/>
  <c r="I16" i="19" s="1"/>
  <c r="Y11" i="20"/>
  <c r="AK8" i="23"/>
  <c r="E381" i="23"/>
  <c r="E383" i="23"/>
  <c r="E9" i="23"/>
  <c r="E11" i="23" s="1"/>
  <c r="F15" i="23"/>
  <c r="E382" i="23"/>
  <c r="J363" i="25"/>
  <c r="I363" i="25"/>
  <c r="AA381" i="22"/>
  <c r="AA383" i="22"/>
  <c r="AA382" i="22"/>
  <c r="AA9" i="22"/>
  <c r="Z15" i="22"/>
  <c r="AM8" i="22"/>
  <c r="G383" i="22"/>
  <c r="G12" i="22" s="1"/>
  <c r="G381" i="22"/>
  <c r="G382" i="22"/>
  <c r="J15" i="22"/>
  <c r="I15" i="22"/>
  <c r="G17" i="19"/>
  <c r="J41" i="19" s="1"/>
  <c r="AB9" i="22"/>
  <c r="F11" i="22"/>
  <c r="I119" i="25"/>
  <c r="J119" i="25"/>
  <c r="Z11" i="20"/>
  <c r="Z5" i="20" s="1"/>
  <c r="H16" i="19" s="1"/>
  <c r="AK9" i="23" l="1"/>
  <c r="AK11" i="23" s="1"/>
  <c r="AM9" i="23"/>
  <c r="H379" i="25"/>
  <c r="J379" i="25" s="1"/>
  <c r="I40" i="19"/>
  <c r="H40" i="19"/>
  <c r="E43" i="19"/>
  <c r="G379" i="25"/>
  <c r="CF379" i="6" s="1"/>
  <c r="D17" i="19"/>
  <c r="G41" i="19"/>
  <c r="C18" i="19"/>
  <c r="F42" i="19"/>
  <c r="AL8" i="22"/>
  <c r="AL7" i="22"/>
  <c r="AJ10" i="24"/>
  <c r="AJ12" i="24" s="1"/>
  <c r="AJ9" i="24"/>
  <c r="AJ11" i="24" s="1"/>
  <c r="AJ13" i="23"/>
  <c r="J382" i="22"/>
  <c r="J381" i="22"/>
  <c r="J383" i="22"/>
  <c r="E9" i="24"/>
  <c r="E11" i="24" s="1"/>
  <c r="AK8" i="24"/>
  <c r="E382" i="24"/>
  <c r="F15" i="24"/>
  <c r="E381" i="24"/>
  <c r="E383" i="24"/>
  <c r="I383" i="22"/>
  <c r="I381" i="22"/>
  <c r="I382" i="22"/>
  <c r="G7" i="6"/>
  <c r="AO7" i="7"/>
  <c r="Z381" i="22"/>
  <c r="Z9" i="22"/>
  <c r="Z382" i="22"/>
  <c r="Z383" i="22"/>
  <c r="Y15" i="22"/>
  <c r="AA15" i="23"/>
  <c r="AM7" i="23" s="1"/>
  <c r="G15" i="23"/>
  <c r="CD15" i="6" s="1"/>
  <c r="F383" i="23"/>
  <c r="F381" i="23"/>
  <c r="F9" i="23"/>
  <c r="AM10" i="23"/>
  <c r="H15" i="23"/>
  <c r="F382" i="23"/>
  <c r="AK10" i="23"/>
  <c r="AK12" i="23" s="1"/>
  <c r="I379" i="25"/>
  <c r="B70" i="19"/>
  <c r="V380" i="25"/>
  <c r="V381" i="25" s="1"/>
  <c r="B15" i="25"/>
  <c r="AK5" i="25" s="1"/>
  <c r="AK13" i="23" l="1"/>
  <c r="E17" i="19"/>
  <c r="F17" i="19" s="1"/>
  <c r="C19" i="19"/>
  <c r="F43" i="19"/>
  <c r="AL10" i="23"/>
  <c r="AL9" i="23"/>
  <c r="AJ6" i="25"/>
  <c r="AJ5" i="25"/>
  <c r="AL6" i="22"/>
  <c r="AL12" i="22" s="1"/>
  <c r="AJ4" i="22" s="1"/>
  <c r="P17" i="19" s="1"/>
  <c r="AL5" i="22"/>
  <c r="AL11" i="22" s="1"/>
  <c r="AJ13" i="24"/>
  <c r="V382" i="25"/>
  <c r="V383" i="25"/>
  <c r="N70" i="19"/>
  <c r="B58" i="19"/>
  <c r="B59" i="19"/>
  <c r="B57" i="19"/>
  <c r="J15" i="23"/>
  <c r="I15" i="23"/>
  <c r="AB9" i="23"/>
  <c r="F11" i="23"/>
  <c r="G18" i="19"/>
  <c r="J42" i="19" s="1"/>
  <c r="AA383" i="23"/>
  <c r="AA382" i="23"/>
  <c r="AM8" i="23"/>
  <c r="AA381" i="23"/>
  <c r="Z15" i="23"/>
  <c r="AA9" i="23"/>
  <c r="AK10" i="24"/>
  <c r="AK12" i="24" s="1"/>
  <c r="AK13" i="24" s="1"/>
  <c r="AM10" i="24"/>
  <c r="F383" i="24"/>
  <c r="G15" i="24"/>
  <c r="CE15" i="6" s="1"/>
  <c r="F382" i="24"/>
  <c r="F381" i="24"/>
  <c r="AA15" i="24"/>
  <c r="F9" i="24"/>
  <c r="H15" i="24"/>
  <c r="D15" i="25"/>
  <c r="AK6" i="25"/>
  <c r="B382" i="25"/>
  <c r="B381" i="25"/>
  <c r="W15" i="25"/>
  <c r="H9" i="25"/>
  <c r="B20" i="19" s="1"/>
  <c r="B383" i="25"/>
  <c r="G383" i="23"/>
  <c r="G12" i="23" s="1"/>
  <c r="G381" i="23"/>
  <c r="G382" i="23"/>
  <c r="AM6" i="22"/>
  <c r="AM12" i="22" s="1"/>
  <c r="Y383" i="22"/>
  <c r="Y382" i="22"/>
  <c r="X9" i="22"/>
  <c r="Y381" i="22"/>
  <c r="D18" i="19" l="1"/>
  <c r="G42" i="19"/>
  <c r="AJ3" i="22"/>
  <c r="O17" i="19" s="1"/>
  <c r="M17" i="19" s="1"/>
  <c r="AL13" i="22"/>
  <c r="AL10" i="24"/>
  <c r="AL9" i="24"/>
  <c r="AL8" i="23"/>
  <c r="AL7" i="23"/>
  <c r="AJ8" i="25"/>
  <c r="AJ7" i="25"/>
  <c r="B9" i="19"/>
  <c r="N57" i="19"/>
  <c r="N58" i="19"/>
  <c r="N59" i="19"/>
  <c r="J17" i="19"/>
  <c r="AA11" i="22"/>
  <c r="AA5" i="22" s="1"/>
  <c r="I17" i="19" s="1"/>
  <c r="AU7" i="7"/>
  <c r="H7" i="6"/>
  <c r="Z11" i="22"/>
  <c r="Z5" i="22" s="1"/>
  <c r="H17" i="19" s="1"/>
  <c r="AB9" i="24"/>
  <c r="F11" i="24"/>
  <c r="G19" i="19"/>
  <c r="J43" i="19" s="1"/>
  <c r="G383" i="24"/>
  <c r="G12" i="24" s="1"/>
  <c r="G382" i="24"/>
  <c r="G381" i="24"/>
  <c r="Y11" i="22"/>
  <c r="Z9" i="23"/>
  <c r="Z381" i="23"/>
  <c r="Z382" i="23"/>
  <c r="Z383" i="23"/>
  <c r="Y15" i="23"/>
  <c r="AM5" i="23" s="1"/>
  <c r="AM11" i="23" s="1"/>
  <c r="AK3" i="23" s="1"/>
  <c r="Q18" i="19" s="1"/>
  <c r="I381" i="23"/>
  <c r="I382" i="23"/>
  <c r="I383" i="23"/>
  <c r="AK4" i="22"/>
  <c r="R17" i="19" s="1"/>
  <c r="AM13" i="22"/>
  <c r="D381" i="25"/>
  <c r="E15" i="25"/>
  <c r="AK7" i="25" s="1"/>
  <c r="D383" i="25"/>
  <c r="D9" i="25"/>
  <c r="D11" i="25" s="1"/>
  <c r="D382" i="25"/>
  <c r="J15" i="24"/>
  <c r="I15" i="24"/>
  <c r="AA383" i="24"/>
  <c r="AM8" i="24"/>
  <c r="AA9" i="24"/>
  <c r="AA382" i="24"/>
  <c r="AA381" i="24"/>
  <c r="Z15" i="24"/>
  <c r="J382" i="23"/>
  <c r="J381" i="23"/>
  <c r="J383" i="23"/>
  <c r="N18" i="19" l="1"/>
  <c r="E44" i="19"/>
  <c r="I41" i="19"/>
  <c r="H41" i="19"/>
  <c r="E18" i="19"/>
  <c r="F18" i="19" s="1"/>
  <c r="D19" i="19"/>
  <c r="G43" i="19"/>
  <c r="AJ10" i="25"/>
  <c r="AJ12" i="25" s="1"/>
  <c r="AJ9" i="25"/>
  <c r="AJ11" i="25" s="1"/>
  <c r="AL8" i="24"/>
  <c r="AL7" i="24"/>
  <c r="AL6" i="23"/>
  <c r="AL12" i="23" s="1"/>
  <c r="AJ4" i="23" s="1"/>
  <c r="P18" i="19" s="1"/>
  <c r="AL5" i="23"/>
  <c r="AL11" i="23" s="1"/>
  <c r="AJ3" i="23" s="1"/>
  <c r="O18" i="19" s="1"/>
  <c r="M18" i="19" s="1"/>
  <c r="Z9" i="24"/>
  <c r="Y15" i="24"/>
  <c r="Z383" i="24"/>
  <c r="Z381" i="24"/>
  <c r="Z382" i="24"/>
  <c r="Y383" i="23"/>
  <c r="X9" i="23"/>
  <c r="Y382" i="23"/>
  <c r="AM6" i="23"/>
  <c r="AM12" i="23" s="1"/>
  <c r="Y381" i="23"/>
  <c r="Y11" i="23"/>
  <c r="I7" i="6"/>
  <c r="BA7" i="7"/>
  <c r="I381" i="24"/>
  <c r="I382" i="24"/>
  <c r="I383" i="24"/>
  <c r="J382" i="24"/>
  <c r="J383" i="24"/>
  <c r="J381" i="24"/>
  <c r="E383" i="25"/>
  <c r="E382" i="25"/>
  <c r="AK8" i="25"/>
  <c r="F15" i="25"/>
  <c r="E381" i="25"/>
  <c r="E9" i="25"/>
  <c r="E11" i="25" s="1"/>
  <c r="E19" i="19" l="1"/>
  <c r="F19" i="19" s="1"/>
  <c r="E33" i="19"/>
  <c r="C20" i="19"/>
  <c r="F44" i="19"/>
  <c r="AK9" i="25"/>
  <c r="AK11" i="25" s="1"/>
  <c r="AM9" i="25"/>
  <c r="AL13" i="23"/>
  <c r="AL6" i="24"/>
  <c r="AL12" i="24" s="1"/>
  <c r="AJ4" i="24" s="1"/>
  <c r="P19" i="19" s="1"/>
  <c r="AL5" i="24"/>
  <c r="AL11" i="24" s="1"/>
  <c r="AJ13" i="25"/>
  <c r="G15" i="25"/>
  <c r="CF15" i="6" s="1"/>
  <c r="J2" i="6" s="1"/>
  <c r="F9" i="25"/>
  <c r="F382" i="25"/>
  <c r="AM10" i="25"/>
  <c r="AA15" i="25"/>
  <c r="AM7" i="25" s="1"/>
  <c r="AK10" i="25"/>
  <c r="AK12" i="25" s="1"/>
  <c r="F381" i="25"/>
  <c r="F383" i="25"/>
  <c r="H15" i="25"/>
  <c r="X9" i="24"/>
  <c r="Y11" i="24" s="1"/>
  <c r="Y382" i="24"/>
  <c r="AM6" i="24"/>
  <c r="AM12" i="24" s="1"/>
  <c r="Y381" i="24"/>
  <c r="Y383" i="24"/>
  <c r="AK4" i="23"/>
  <c r="R18" i="19" s="1"/>
  <c r="N19" i="19" s="1"/>
  <c r="AM13" i="23"/>
  <c r="J18" i="19"/>
  <c r="Z11" i="23"/>
  <c r="Z5" i="23" s="1"/>
  <c r="H18" i="19" s="1"/>
  <c r="AA11" i="23"/>
  <c r="AA5" i="23" s="1"/>
  <c r="I18" i="19" s="1"/>
  <c r="I42" i="19" l="1"/>
  <c r="H42" i="19"/>
  <c r="F33" i="19"/>
  <c r="C9" i="19"/>
  <c r="AK13" i="25"/>
  <c r="AJ3" i="24"/>
  <c r="O19" i="19" s="1"/>
  <c r="M19" i="19" s="1"/>
  <c r="AL13" i="24"/>
  <c r="AL10" i="25"/>
  <c r="AL9" i="25"/>
  <c r="J15" i="25"/>
  <c r="I15" i="25"/>
  <c r="AA383" i="25"/>
  <c r="AM8" i="25"/>
  <c r="AA9" i="25"/>
  <c r="AA382" i="25"/>
  <c r="AA381" i="25"/>
  <c r="Z15" i="25"/>
  <c r="G382" i="25"/>
  <c r="G381" i="25"/>
  <c r="G383" i="25"/>
  <c r="G12" i="25" s="1"/>
  <c r="AK4" i="24"/>
  <c r="R19" i="19" s="1"/>
  <c r="AM13" i="24"/>
  <c r="J19" i="19"/>
  <c r="Z11" i="24"/>
  <c r="Z5" i="24" s="1"/>
  <c r="H19" i="19" s="1"/>
  <c r="AA11" i="24"/>
  <c r="AA5" i="24" s="1"/>
  <c r="I19" i="19" s="1"/>
  <c r="F11" i="25"/>
  <c r="G20" i="19"/>
  <c r="J44" i="19" s="1"/>
  <c r="J33" i="19" s="1"/>
  <c r="AB9" i="25"/>
  <c r="H43" i="19" l="1"/>
  <c r="I43" i="19"/>
  <c r="D20" i="19"/>
  <c r="G44" i="19"/>
  <c r="AL8" i="25"/>
  <c r="AL7" i="25"/>
  <c r="G9" i="19"/>
  <c r="Y15" i="25"/>
  <c r="AM5" i="25" s="1"/>
  <c r="AM11" i="25" s="1"/>
  <c r="AK3" i="25" s="1"/>
  <c r="Q20" i="19" s="1"/>
  <c r="N20" i="19" s="1"/>
  <c r="Z382" i="25"/>
  <c r="Z383" i="25"/>
  <c r="Z381" i="25"/>
  <c r="Z9" i="25"/>
  <c r="I382" i="25"/>
  <c r="I381" i="25"/>
  <c r="I383" i="25"/>
  <c r="BG7" i="7"/>
  <c r="J7" i="6"/>
  <c r="J381" i="25"/>
  <c r="J383" i="25"/>
  <c r="J382" i="25"/>
  <c r="E20" i="19" l="1"/>
  <c r="F20" i="19" s="1"/>
  <c r="D9" i="19"/>
  <c r="G33" i="19"/>
  <c r="AL6" i="25"/>
  <c r="AL12" i="25" s="1"/>
  <c r="AJ4" i="25" s="1"/>
  <c r="P20" i="19" s="1"/>
  <c r="AL5" i="25"/>
  <c r="AL11" i="25" s="1"/>
  <c r="X9" i="25"/>
  <c r="Y11" i="25" s="1"/>
  <c r="Y382" i="25"/>
  <c r="AM6" i="25"/>
  <c r="AM12" i="25" s="1"/>
  <c r="Y383" i="25"/>
  <c r="Y381" i="25"/>
  <c r="E9" i="19" l="1"/>
  <c r="AJ3" i="25"/>
  <c r="O20" i="19" s="1"/>
  <c r="M20" i="19" s="1"/>
  <c r="AL13" i="25"/>
  <c r="F9" i="19"/>
  <c r="AK4" i="25"/>
  <c r="R20" i="19" s="1"/>
  <c r="AM13" i="25"/>
  <c r="J20" i="19"/>
  <c r="AA11" i="25"/>
  <c r="AA5" i="25" s="1"/>
  <c r="I20" i="19" s="1"/>
  <c r="Z11" i="25"/>
  <c r="Z5" i="25" s="1"/>
  <c r="H20" i="19" s="1"/>
  <c r="O34" i="19" l="1"/>
  <c r="O36" i="19"/>
  <c r="N36" i="19" s="1"/>
  <c r="O33" i="19"/>
  <c r="O35" i="19"/>
  <c r="N35" i="19" s="1"/>
  <c r="N33" i="19"/>
  <c r="H44" i="19"/>
  <c r="H33" i="19" s="1"/>
  <c r="I44" i="19"/>
  <c r="I33" i="19" s="1"/>
  <c r="I9" i="19"/>
  <c r="H9" i="19"/>
  <c r="J9" i="19"/>
  <c r="N34" i="19" l="1"/>
  <c r="N32" i="19" s="1"/>
  <c r="O32" i="19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6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73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15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1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20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sharedStrings.xml><?xml version="1.0" encoding="utf-8"?>
<sst xmlns="http://schemas.openxmlformats.org/spreadsheetml/2006/main" count="2118" uniqueCount="377">
  <si>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</si>
  <si>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</si>
  <si>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</si>
  <si>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</si>
  <si>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</si>
  <si>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</si>
  <si>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</si>
  <si>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</si>
  <si>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</si>
  <si>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</si>
  <si>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</si>
  <si>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</si>
  <si>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</si>
  <si>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</si>
  <si>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</si>
  <si>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</si>
  <si>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</si>
  <si>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</si>
  <si>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</si>
  <si>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</si>
  <si>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</si>
  <si>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</si>
  <si>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</si>
  <si>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</si>
  <si>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</si>
  <si>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</si>
  <si>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</si>
  <si>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</si>
  <si>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</si>
  <si>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</si>
  <si>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</si>
  <si>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</si>
  <si>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</si>
  <si>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</si>
  <si>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</si>
  <si>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</si>
  <si>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</si>
  <si>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</si>
  <si>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</si>
  <si>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</si>
  <si>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</si>
  <si>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</si>
  <si>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</si>
  <si>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</si>
  <si>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</si>
  <si>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</si>
  <si>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</si>
  <si>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</si>
  <si>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</si>
  <si>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</si>
  <si>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</si>
  <si>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</si>
  <si>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</si>
  <si>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</si>
  <si>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</si>
  <si>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</si>
  <si>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</si>
  <si>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</si>
  <si>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</si>
  <si>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</si>
  <si>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</si>
  <si>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</si>
  <si>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</si>
  <si>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</si>
  <si>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</si>
  <si>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</si>
  <si>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</si>
  <si>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</si>
  <si>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</si>
  <si>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</si>
  <si>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</si>
  <si>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</si>
  <si>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</si>
  <si>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</si>
  <si>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</si>
  <si>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</si>
  <si>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</si>
  <si>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</si>
  <si>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</si>
  <si>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</si>
  <si>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</si>
  <si>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</si>
  <si>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</si>
  <si>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</si>
  <si>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</si>
  <si>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</si>
  <si>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</si>
  <si>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</si>
  <si>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</si>
  <si>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</si>
  <si>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</si>
  <si>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</si>
  <si>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</si>
  <si>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</si>
  <si>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</si>
  <si>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</si>
  <si>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</si>
  <si>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</si>
  <si>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</si>
  <si>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</si>
  <si>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</si>
  <si>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</si>
  <si>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</si>
  <si>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</si>
  <si>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</si>
  <si>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</si>
  <si>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</si>
  <si>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</si>
  <si>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</si>
  <si>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</si>
  <si>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</si>
  <si>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</si>
  <si>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</si>
  <si>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</si>
  <si>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</si>
  <si>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</si>
  <si>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</si>
  <si>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</si>
  <si>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</si>
  <si>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</si>
  <si>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</si>
  <si>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</si>
  <si>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</si>
  <si>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</si>
  <si>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</si>
  <si>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</si>
  <si>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</si>
  <si>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</si>
  <si>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</si>
  <si>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</si>
  <si>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</si>
  <si>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</si>
  <si>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</si>
  <si>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</si>
  <si>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</si>
  <si>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</si>
  <si>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</si>
  <si>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</si>
  <si>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</si>
  <si>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</si>
  <si>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</si>
  <si>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</si>
  <si>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</si>
  <si>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</si>
  <si>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</si>
  <si>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</si>
  <si>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</si>
  <si>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</si>
  <si>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</si>
  <si>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</si>
  <si>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</si>
  <si>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</si>
  <si>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</si>
  <si>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</si>
  <si>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</si>
  <si>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</si>
  <si>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</si>
  <si>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</si>
  <si>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</si>
  <si>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</si>
  <si>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</si>
  <si>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</si>
  <si>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</si>
  <si>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</si>
  <si>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</si>
  <si>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</si>
  <si>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</si>
  <si>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</si>
  <si>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</si>
  <si>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</si>
  <si>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</si>
  <si>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</si>
  <si>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</si>
  <si>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</si>
  <si>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</si>
  <si>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</si>
  <si>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</si>
  <si>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</si>
  <si>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</si>
  <si>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</si>
  <si>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</si>
  <si>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</si>
  <si>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</si>
  <si>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</si>
  <si>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</si>
  <si>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</si>
  <si>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</si>
  <si>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</si>
  <si>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</si>
  <si>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</si>
  <si>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</si>
  <si>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</si>
  <si>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</si>
  <si>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</si>
  <si>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</si>
  <si>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</si>
  <si>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</si>
  <si>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</si>
  <si>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</si>
  <si>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</si>
  <si>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</si>
  <si>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</si>
  <si>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</si>
  <si>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</si>
  <si>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</si>
  <si>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</si>
  <si>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</si>
  <si>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</si>
  <si>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</si>
  <si>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</si>
  <si>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</si>
  <si>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</si>
  <si>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</si>
  <si>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</si>
  <si>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</si>
  <si>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</si>
  <si>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</si>
  <si>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</si>
  <si>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</si>
  <si>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</si>
  <si>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</si>
  <si>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</si>
  <si>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</si>
  <si>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</si>
  <si>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</si>
  <si>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</si>
  <si>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</si>
  <si>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</si>
  <si>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</si>
  <si>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</si>
  <si>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</si>
  <si>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</si>
  <si>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</si>
  <si>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</si>
  <si>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</si>
  <si>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</si>
  <si>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</si>
  <si>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</si>
  <si>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</si>
  <si>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</si>
  <si>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</si>
  <si>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</si>
  <si>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</si>
  <si>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</si>
  <si>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</si>
  <si>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</si>
  <si>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</si>
  <si>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</si>
  <si>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</si>
  <si>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</si>
  <si>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</si>
  <si>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</si>
  <si>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</si>
  <si>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</si>
  <si>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</si>
  <si>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</si>
  <si>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</si>
  <si>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</si>
  <si>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</si>
  <si>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</si>
  <si>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</si>
  <si>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</si>
  <si>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</si>
  <si>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</si>
  <si>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</si>
  <si>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</si>
  <si>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</si>
  <si>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</si>
  <si>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</si>
  <si>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</si>
  <si>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</si>
  <si>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</si>
  <si>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</si>
  <si>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</si>
  <si>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</si>
  <si>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</si>
  <si>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</si>
  <si>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</si>
  <si>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</si>
  <si>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</si>
  <si>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</si>
  <si>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</si>
  <si>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</si>
  <si>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</si>
  <si>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</si>
  <si>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</si>
  <si>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</si>
  <si>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</si>
  <si>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</si>
  <si>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</si>
  <si>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</si>
  <si>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</si>
  <si>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</si>
  <si>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</si>
  <si>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</si>
  <si>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</si>
  <si>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</si>
  <si>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</si>
  <si>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</si>
  <si>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</si>
  <si>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</si>
  <si>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</si>
  <si>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</si>
  <si>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</si>
  <si>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</si>
  <si>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</si>
  <si>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</si>
  <si>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</si>
  <si>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</si>
  <si>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</si>
  <si>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</si>
  <si>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</si>
  <si>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</si>
  <si>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</si>
  <si>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</si>
  <si>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</si>
  <si>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</si>
  <si>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</si>
  <si>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</si>
  <si>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</si>
  <si>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</si>
  <si>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</si>
  <si>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</si>
  <si>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</si>
  <si>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</si>
  <si>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</si>
  <si>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</si>
  <si>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</si>
  <si>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</si>
  <si>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</si>
  <si>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</si>
  <si>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</si>
  <si>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</si>
  <si>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</si>
  <si>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</si>
  <si>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Garderie Labège</t>
  </si>
  <si>
    <t>Arbre 0</t>
  </si>
  <si>
    <t>Creux 0</t>
  </si>
  <si>
    <t>Creux 1</t>
  </si>
  <si>
    <t>Arbre 7</t>
  </si>
  <si>
    <t>Arbre 8</t>
  </si>
  <si>
    <t>Arbre 9</t>
  </si>
  <si>
    <t>Arbre 10</t>
  </si>
  <si>
    <t>Arbre 12</t>
  </si>
  <si>
    <t>Arbre 11</t>
  </si>
  <si>
    <t>Arbre 13</t>
  </si>
  <si>
    <t>2022-02 Garderie Pano NO.JPG</t>
  </si>
  <si>
    <t>2021-12 Garderie Sud Ouest</t>
  </si>
  <si>
    <t>2022-02-08 Garderie Proche SE</t>
  </si>
  <si>
    <t>Boulangerie Nord garderie</t>
  </si>
  <si>
    <t>Angle Ouest Préfabriqué blanc</t>
  </si>
  <si>
    <t>Hauteur 0 = sol trottoir Obs 1</t>
  </si>
  <si>
    <t>Trottoir angle parking Est</t>
  </si>
  <si>
    <t>Toit préfabriqué blanc</t>
  </si>
  <si>
    <t>poteau gauche box poubelle</t>
  </si>
  <si>
    <t>Panneau sans issue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</si>
  <si>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</si>
  <si>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</si>
  <si>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</si>
  <si>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</si>
  <si>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</si>
  <si>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</si>
  <si>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</si>
  <si>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</si>
  <si>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</si>
  <si>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</si>
  <si>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</si>
  <si>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</si>
  <si>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</si>
  <si>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</si>
  <si>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</si>
  <si>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</si>
  <si>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</si>
  <si>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</si>
  <si>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action</t>
  </si>
  <si>
    <t>23 hors net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</si>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</sst>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3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9" fontId="117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2" fontId="95" fillId="0" borderId="0" xfId="0" applyNumberFormat="1" applyFont="1" applyBorder="1" applyProtection="1">
      <protection locked="0"/>
    </xf>
    <xf numFmtId="2" fontId="38" fillId="0" borderId="5" xfId="0" applyNumberFormat="1" applyFont="1" applyBorder="1" applyProtection="1">
      <protection locked="0"/>
    </xf>
    <xf numFmtId="186" fontId="42" fillId="0" borderId="3" xfId="0" applyNumberFormat="1" applyFont="1" applyBorder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3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2" fontId="100" fillId="0" borderId="0" xfId="0" applyNumberFormat="1" applyFont="1" applyFill="1" applyBorder="1" applyProtection="1"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6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7.0264124983319203</c:v>
                </c:pt>
                <c:pt idx="6">
                  <c:v>6.7120770747523029</c:v>
                </c:pt>
                <c:pt idx="7">
                  <c:v>6.2070220397434914</c:v>
                </c:pt>
                <c:pt idx="8">
                  <c:v>5.4410464310588829</c:v>
                </c:pt>
                <c:pt idx="9">
                  <c:v>4.344779462671827</c:v>
                </c:pt>
                <c:pt idx="10">
                  <c:v>3.3171428138457184</c:v>
                </c:pt>
                <c:pt idx="11">
                  <c:v>2.7491435021879473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3.2058810057460327</c:v>
                </c:pt>
                <c:pt idx="1">
                  <c:v>4.2291671342628208</c:v>
                </c:pt>
                <c:pt idx="2">
                  <c:v>5.3761974557443795</c:v>
                </c:pt>
                <c:pt idx="3">
                  <c:v>6.3812797715987744</c:v>
                </c:pt>
                <c:pt idx="4">
                  <c:v>6.8251242975419215</c:v>
                </c:pt>
                <c:pt idx="5">
                  <c:v>6.827926158487557</c:v>
                </c:pt>
                <c:pt idx="6">
                  <c:v>6.5241830969432337</c:v>
                </c:pt>
                <c:pt idx="7">
                  <c:v>6.036544927435866</c:v>
                </c:pt>
                <c:pt idx="8">
                  <c:v>5.2947452653488911</c:v>
                </c:pt>
                <c:pt idx="9">
                  <c:v>4.2308503683821232</c:v>
                </c:pt>
                <c:pt idx="10">
                  <c:v>3.2328135292468474</c:v>
                </c:pt>
                <c:pt idx="11">
                  <c:v>2.6809904799391102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3.1280262734348994</c:v>
                </c:pt>
                <c:pt idx="1">
                  <c:v>4.1470848385924173</c:v>
                </c:pt>
                <c:pt idx="2">
                  <c:v>5.2880684964225146</c:v>
                </c:pt>
                <c:pt idx="3">
                  <c:v>6.2528235488822128</c:v>
                </c:pt>
                <c:pt idx="4">
                  <c:v>6.6616116429832459</c:v>
                </c:pt>
                <c:pt idx="5">
                  <c:v>6.6443759804551892</c:v>
                </c:pt>
                <c:pt idx="6">
                  <c:v>6.3349571065224017</c:v>
                </c:pt>
                <c:pt idx="7">
                  <c:v>5.8505807682425601</c:v>
                </c:pt>
                <c:pt idx="8">
                  <c:v>5.1123990540654507</c:v>
                </c:pt>
                <c:pt idx="9">
                  <c:v>4.0733095836626756</c:v>
                </c:pt>
                <c:pt idx="10">
                  <c:v>3.1105402436263212</c:v>
                </c:pt>
                <c:pt idx="11">
                  <c:v>2.5980543812747752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3.0321011925013504</c:v>
                </c:pt>
                <c:pt idx="1">
                  <c:v>3.9991750791051879</c:v>
                </c:pt>
                <c:pt idx="2">
                  <c:v>5.0826477535360715</c:v>
                </c:pt>
                <c:pt idx="3">
                  <c:v>6.1445219476095509</c:v>
                </c:pt>
                <c:pt idx="4">
                  <c:v>6.7976395001703667</c:v>
                </c:pt>
                <c:pt idx="5">
                  <c:v>6.7942048819750021</c:v>
                </c:pt>
                <c:pt idx="6">
                  <c:v>6.4847653213103786</c:v>
                </c:pt>
                <c:pt idx="7">
                  <c:v>5.9933954929760027</c:v>
                </c:pt>
                <c:pt idx="8">
                  <c:v>5.2510766362708416</c:v>
                </c:pt>
                <c:pt idx="9">
                  <c:v>4.1906385289355335</c:v>
                </c:pt>
                <c:pt idx="10">
                  <c:v>3.1983603717104638</c:v>
                </c:pt>
                <c:pt idx="11">
                  <c:v>2.6493793760439606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3.0882074638636552</c:v>
                </c:pt>
                <c:pt idx="1">
                  <c:v>4.07130271201921</c:v>
                </c:pt>
                <c:pt idx="2">
                  <c:v>5.1705037458256795</c:v>
                </c:pt>
                <c:pt idx="3">
                  <c:v>6.1306319960608553</c:v>
                </c:pt>
                <c:pt idx="4">
                  <c:v>6.548139796121383</c:v>
                </c:pt>
                <c:pt idx="5">
                  <c:v>6.5422308297331124</c:v>
                </c:pt>
                <c:pt idx="6">
                  <c:v>6.2434844563550627</c:v>
                </c:pt>
                <c:pt idx="7">
                  <c:v>5.7714315155631439</c:v>
                </c:pt>
                <c:pt idx="8">
                  <c:v>5.0579189648137914</c:v>
                </c:pt>
                <c:pt idx="9">
                  <c:v>4.0381800399162255</c:v>
                </c:pt>
                <c:pt idx="10">
                  <c:v>3.0841924847732702</c:v>
                </c:pt>
                <c:pt idx="11">
                  <c:v>2.5559110167439218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2.980406294613493</c:v>
                </c:pt>
                <c:pt idx="1">
                  <c:v>3.9320011646473603</c:v>
                </c:pt>
                <c:pt idx="2">
                  <c:v>4.9982627153001609</c:v>
                </c:pt>
                <c:pt idx="3">
                  <c:v>5.9313906768279558</c:v>
                </c:pt>
                <c:pt idx="4">
                  <c:v>6.3384934680403653</c:v>
                </c:pt>
                <c:pt idx="5">
                  <c:v>6.3356835395515487</c:v>
                </c:pt>
                <c:pt idx="6">
                  <c:v>6.0504903286833489</c:v>
                </c:pt>
                <c:pt idx="7">
                  <c:v>5.5982880324319</c:v>
                </c:pt>
                <c:pt idx="8">
                  <c:v>4.9108811822380618</c:v>
                </c:pt>
                <c:pt idx="9">
                  <c:v>3.924816251667234</c:v>
                </c:pt>
                <c:pt idx="10">
                  <c:v>3.0012678309935543</c:v>
                </c:pt>
                <c:pt idx="11">
                  <c:v>2.489641493018703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2.9052207511221924</c:v>
                </c:pt>
                <c:pt idx="1">
                  <c:v>3.8346917363365085</c:v>
                </c:pt>
                <c:pt idx="2">
                  <c:v>4.8766797615410962</c:v>
                </c:pt>
                <c:pt idx="3">
                  <c:v>5.7892891358899607</c:v>
                </c:pt>
                <c:pt idx="4">
                  <c:v>6.6406361749313056</c:v>
                </c:pt>
                <c:pt idx="5">
                  <c:v>6.6356418192777573</c:v>
                </c:pt>
                <c:pt idx="6">
                  <c:v>6.3308945882494676</c:v>
                </c:pt>
                <c:pt idx="7">
                  <c:v>5.8500632724945376</c:v>
                </c:pt>
                <c:pt idx="8">
                  <c:v>5.1238838916774467</c:v>
                </c:pt>
                <c:pt idx="9">
                  <c:v>4.0870641720293115</c:v>
                </c:pt>
                <c:pt idx="10">
                  <c:v>3.118506966036799</c:v>
                </c:pt>
                <c:pt idx="11">
                  <c:v>2.5822895296052457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3.0092227945194212</c:v>
                </c:pt>
                <c:pt idx="1">
                  <c:v>3.9679307449908672</c:v>
                </c:pt>
                <c:pt idx="2">
                  <c:v>5.0409253705508643</c:v>
                </c:pt>
                <c:pt idx="3">
                  <c:v>5.9798439765249496</c:v>
                </c:pt>
                <c:pt idx="4">
                  <c:v>6.3896879046639068</c:v>
                </c:pt>
                <c:pt idx="5">
                  <c:v>6.3854650280562639</c:v>
                </c:pt>
                <c:pt idx="6">
                  <c:v>6.0962681619477834</c:v>
                </c:pt>
                <c:pt idx="7">
                  <c:v>5.6366266923873898</c:v>
                </c:pt>
                <c:pt idx="8">
                  <c:v>4.9410062199641622</c:v>
                </c:pt>
                <c:pt idx="9">
                  <c:v>3.9467765975653708</c:v>
                </c:pt>
                <c:pt idx="10">
                  <c:v>3.0152530530536805</c:v>
                </c:pt>
                <c:pt idx="11">
                  <c:v>2.4997841892780097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2.9149457864272557</c:v>
                </c:pt>
                <c:pt idx="1">
                  <c:v>3.8449006979287494</c:v>
                </c:pt>
                <c:pt idx="2">
                  <c:v>4.886997635075125</c:v>
                </c:pt>
                <c:pt idx="3">
                  <c:v>5.8098567179659968</c:v>
                </c:pt>
                <c:pt idx="4">
                  <c:v>6.5357009501063699</c:v>
                </c:pt>
                <c:pt idx="5">
                  <c:v>6.5303035892441521</c:v>
                </c:pt>
                <c:pt idx="6">
                  <c:v>6.2313080651727013</c:v>
                </c:pt>
                <c:pt idx="7">
                  <c:v>5.7572037261958418</c:v>
                </c:pt>
                <c:pt idx="8">
                  <c:v>5.0425931247208675</c:v>
                </c:pt>
                <c:pt idx="9">
                  <c:v>4.0236609116412545</c:v>
                </c:pt>
                <c:pt idx="10">
                  <c:v>3.0701905777352092</c:v>
                </c:pt>
                <c:pt idx="11">
                  <c:v>2.5427771310723069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2.9630023919568256</c:v>
                </c:pt>
                <c:pt idx="1">
                  <c:v>3.906041991576104</c:v>
                </c:pt>
                <c:pt idx="2">
                  <c:v>4.9619689613367193</c:v>
                </c:pt>
                <c:pt idx="3">
                  <c:v>5.8849622695275041</c:v>
                </c:pt>
                <c:pt idx="4">
                  <c:v>6.2880012043365774</c:v>
                </c:pt>
                <c:pt idx="5">
                  <c:v>6.284013544833579</c:v>
                </c:pt>
                <c:pt idx="6">
                  <c:v>5.9991859000523586</c:v>
                </c:pt>
                <c:pt idx="7">
                  <c:v>5.547034992899885</c:v>
                </c:pt>
                <c:pt idx="8">
                  <c:v>4.8625991835144156</c:v>
                </c:pt>
                <c:pt idx="9">
                  <c:v>3.8838192719073032</c:v>
                </c:pt>
                <c:pt idx="10">
                  <c:v>2.9670909306422057</c:v>
                </c:pt>
                <c:pt idx="11">
                  <c:v>2.4597011976859937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676696"/>
        <c:axId val="489677088"/>
      </c:lineChart>
      <c:dateAx>
        <c:axId val="489676696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708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8967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66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24.436202250475688</c:v>
                </c:pt>
                <c:pt idx="1">
                  <c:v>24.608499657389565</c:v>
                </c:pt>
                <c:pt idx="2">
                  <c:v>24.788196883380866</c:v>
                </c:pt>
                <c:pt idx="3">
                  <c:v>24.974130878525884</c:v>
                </c:pt>
                <c:pt idx="4">
                  <c:v>25.165138995428993</c:v>
                </c:pt>
                <c:pt idx="5">
                  <c:v>25.360058998732395</c:v>
                </c:pt>
                <c:pt idx="6">
                  <c:v>25.557729057753239</c:v>
                </c:pt>
                <c:pt idx="7">
                  <c:v>25.756987754182258</c:v>
                </c:pt>
                <c:pt idx="8">
                  <c:v>25.960252897600672</c:v>
                </c:pt>
                <c:pt idx="9">
                  <c:v>26.170576546895731</c:v>
                </c:pt>
                <c:pt idx="10">
                  <c:v>26.387737286049511</c:v>
                </c:pt>
                <c:pt idx="11">
                  <c:v>26.611510131063454</c:v>
                </c:pt>
                <c:pt idx="12">
                  <c:v>26.84167016148939</c:v>
                </c:pt>
                <c:pt idx="13">
                  <c:v>27.077992530734114</c:v>
                </c:pt>
                <c:pt idx="14">
                  <c:v>27.320252459112979</c:v>
                </c:pt>
                <c:pt idx="15">
                  <c:v>27.568223467349831</c:v>
                </c:pt>
                <c:pt idx="16">
                  <c:v>27.821671961362554</c:v>
                </c:pt>
                <c:pt idx="17">
                  <c:v>28.080373377405834</c:v>
                </c:pt>
                <c:pt idx="18">
                  <c:v>28.344103230780775</c:v>
                </c:pt>
                <c:pt idx="19">
                  <c:v>28.612637070937968</c:v>
                </c:pt>
                <c:pt idx="20">
                  <c:v>28.885750512092507</c:v>
                </c:pt>
                <c:pt idx="21">
                  <c:v>29.163219285866511</c:v>
                </c:pt>
                <c:pt idx="22">
                  <c:v>29.447576936016695</c:v>
                </c:pt>
                <c:pt idx="23">
                  <c:v>29.740821503416456</c:v>
                </c:pt>
                <c:pt idx="24">
                  <c:v>30.041924929246214</c:v>
                </c:pt>
                <c:pt idx="25">
                  <c:v>30.349869770352651</c:v>
                </c:pt>
                <c:pt idx="26">
                  <c:v>30.663638966500756</c:v>
                </c:pt>
                <c:pt idx="27">
                  <c:v>30.982215828139786</c:v>
                </c:pt>
                <c:pt idx="28">
                  <c:v>31.304584050118429</c:v>
                </c:pt>
                <c:pt idx="29">
                  <c:v>31.629721285646429</c:v>
                </c:pt>
                <c:pt idx="30">
                  <c:v>31.956613753911693</c:v>
                </c:pt>
                <c:pt idx="31">
                  <c:v>32.284246286892675</c:v>
                </c:pt>
                <c:pt idx="32">
                  <c:v>32.610992253240724</c:v>
                </c:pt>
                <c:pt idx="33">
                  <c:v>32.936437319754461</c:v>
                </c:pt>
                <c:pt idx="34">
                  <c:v>33.259567595003361</c:v>
                </c:pt>
                <c:pt idx="35">
                  <c:v>33.579369642701813</c:v>
                </c:pt>
                <c:pt idx="36">
                  <c:v>33.896926414856893</c:v>
                </c:pt>
                <c:pt idx="37">
                  <c:v>34.214119276250244</c:v>
                </c:pt>
                <c:pt idx="38">
                  <c:v>34.531157475787609</c:v>
                </c:pt>
                <c:pt idx="39">
                  <c:v>34.848243855426631</c:v>
                </c:pt>
                <c:pt idx="40">
                  <c:v>35.165581357459203</c:v>
                </c:pt>
                <c:pt idx="41">
                  <c:v>35.483372749644978</c:v>
                </c:pt>
                <c:pt idx="42">
                  <c:v>35.801820716183109</c:v>
                </c:pt>
                <c:pt idx="43">
                  <c:v>36.121119688156583</c:v>
                </c:pt>
                <c:pt idx="44">
                  <c:v>36.441478587506801</c:v>
                </c:pt>
                <c:pt idx="45">
                  <c:v>36.763099831572696</c:v>
                </c:pt>
                <c:pt idx="46">
                  <c:v>37.0861857472702</c:v>
                </c:pt>
                <c:pt idx="47">
                  <c:v>37.41093857052185</c:v>
                </c:pt>
                <c:pt idx="48">
                  <c:v>37.737560442698665</c:v>
                </c:pt>
                <c:pt idx="49">
                  <c:v>38.066253408695808</c:v>
                </c:pt>
                <c:pt idx="50">
                  <c:v>38.397371308006441</c:v>
                </c:pt>
                <c:pt idx="51">
                  <c:v>38.730955508759976</c:v>
                </c:pt>
                <c:pt idx="52">
                  <c:v>39.066713998656745</c:v>
                </c:pt>
                <c:pt idx="53">
                  <c:v>39.404342510630087</c:v>
                </c:pt>
                <c:pt idx="54">
                  <c:v>39.743536865514734</c:v>
                </c:pt>
                <c:pt idx="55">
                  <c:v>40.083992995609201</c:v>
                </c:pt>
                <c:pt idx="56">
                  <c:v>40.425406940513135</c:v>
                </c:pt>
                <c:pt idx="57">
                  <c:v>40.767503842507075</c:v>
                </c:pt>
                <c:pt idx="58">
                  <c:v>41.109988239019508</c:v>
                </c:pt>
                <c:pt idx="59">
                  <c:v>41.452556544520235</c:v>
                </c:pt>
                <c:pt idx="60">
                  <c:v>41.794905276881465</c:v>
                </c:pt>
                <c:pt idx="61">
                  <c:v>42.136731056016423</c:v>
                </c:pt>
                <c:pt idx="62">
                  <c:v>42.477730603274942</c:v>
                </c:pt>
                <c:pt idx="63">
                  <c:v>42.817600740668922</c:v>
                </c:pt>
                <c:pt idx="64">
                  <c:v>43.157234846017644</c:v>
                </c:pt>
                <c:pt idx="65">
                  <c:v>43.497579146491972</c:v>
                </c:pt>
                <c:pt idx="66">
                  <c:v>43.838405792549885</c:v>
                </c:pt>
                <c:pt idx="67">
                  <c:v>44.179512243461019</c:v>
                </c:pt>
                <c:pt idx="68">
                  <c:v>44.520696016343578</c:v>
                </c:pt>
                <c:pt idx="69">
                  <c:v>44.861754687197276</c:v>
                </c:pt>
                <c:pt idx="70">
                  <c:v>45.202485892000773</c:v>
                </c:pt>
                <c:pt idx="71">
                  <c:v>45.542668195016162</c:v>
                </c:pt>
                <c:pt idx="72">
                  <c:v>45.882070021847021</c:v>
                </c:pt>
                <c:pt idx="73">
                  <c:v>46.220489058440712</c:v>
                </c:pt>
                <c:pt idx="74">
                  <c:v>46.55772303809551</c:v>
                </c:pt>
                <c:pt idx="75">
                  <c:v>46.893569740643265</c:v>
                </c:pt>
                <c:pt idx="76">
                  <c:v>47.227826993451487</c:v>
                </c:pt>
                <c:pt idx="77">
                  <c:v>47.560292669682411</c:v>
                </c:pt>
                <c:pt idx="78">
                  <c:v>47.893456875826864</c:v>
                </c:pt>
                <c:pt idx="79">
                  <c:v>48.229268958587213</c:v>
                </c:pt>
                <c:pt idx="80">
                  <c:v>48.566732063258023</c:v>
                </c:pt>
                <c:pt idx="81">
                  <c:v>48.90483556302609</c:v>
                </c:pt>
                <c:pt idx="82">
                  <c:v>49.242569229526673</c:v>
                </c:pt>
                <c:pt idx="83">
                  <c:v>49.578923231590743</c:v>
                </c:pt>
                <c:pt idx="84">
                  <c:v>49.912888139311583</c:v>
                </c:pt>
                <c:pt idx="85">
                  <c:v>50.243453780775589</c:v>
                </c:pt>
                <c:pt idx="86">
                  <c:v>50.569631028682863</c:v>
                </c:pt>
                <c:pt idx="87">
                  <c:v>50.890411779594906</c:v>
                </c:pt>
                <c:pt idx="88">
                  <c:v>51.204788357745358</c:v>
                </c:pt>
                <c:pt idx="89">
                  <c:v>51.51175351483792</c:v>
                </c:pt>
                <c:pt idx="90">
                  <c:v>51.81030043791727</c:v>
                </c:pt>
                <c:pt idx="91">
                  <c:v>52.099422757690967</c:v>
                </c:pt>
                <c:pt idx="92">
                  <c:v>52.380853032790071</c:v>
                </c:pt>
                <c:pt idx="93">
                  <c:v>52.656926410290367</c:v>
                </c:pt>
                <c:pt idx="94">
                  <c:v>52.927544197217159</c:v>
                </c:pt>
                <c:pt idx="95">
                  <c:v>53.192606427951212</c:v>
                </c:pt>
                <c:pt idx="96">
                  <c:v>53.452013185011303</c:v>
                </c:pt>
                <c:pt idx="97">
                  <c:v>53.705664607759445</c:v>
                </c:pt>
                <c:pt idx="98">
                  <c:v>53.953460886453932</c:v>
                </c:pt>
                <c:pt idx="99">
                  <c:v>54.195298585178648</c:v>
                </c:pt>
                <c:pt idx="100">
                  <c:v>54.431079220948099</c:v>
                </c:pt>
                <c:pt idx="101">
                  <c:v>54.660703154209287</c:v>
                </c:pt>
                <c:pt idx="102">
                  <c:v>54.884070809371387</c:v>
                </c:pt>
                <c:pt idx="103">
                  <c:v>55.101082677999607</c:v>
                </c:pt>
                <c:pt idx="104">
                  <c:v>55.311639322884055</c:v>
                </c:pt>
                <c:pt idx="105">
                  <c:v>55.51564138089276</c:v>
                </c:pt>
                <c:pt idx="106">
                  <c:v>55.712586989567981</c:v>
                </c:pt>
                <c:pt idx="107">
                  <c:v>55.902236394705398</c:v>
                </c:pt>
                <c:pt idx="108">
                  <c:v>56.084894573433196</c:v>
                </c:pt>
                <c:pt idx="109">
                  <c:v>56.260864900894738</c:v>
                </c:pt>
                <c:pt idx="110">
                  <c:v>56.430450646850403</c:v>
                </c:pt>
                <c:pt idx="111">
                  <c:v>56.593954978983511</c:v>
                </c:pt>
                <c:pt idx="112">
                  <c:v>56.751680961625304</c:v>
                </c:pt>
                <c:pt idx="113">
                  <c:v>56.903921400289292</c:v>
                </c:pt>
                <c:pt idx="114">
                  <c:v>57.050982954890976</c:v>
                </c:pt>
                <c:pt idx="115">
                  <c:v>57.193168289904428</c:v>
                </c:pt>
                <c:pt idx="116">
                  <c:v>57.330779967720396</c:v>
                </c:pt>
                <c:pt idx="117">
                  <c:v>57.464120452486043</c:v>
                </c:pt>
                <c:pt idx="118">
                  <c:v>57.593492112019838</c:v>
                </c:pt>
                <c:pt idx="119">
                  <c:v>57.71919721849401</c:v>
                </c:pt>
                <c:pt idx="120">
                  <c:v>57.840566680247832</c:v>
                </c:pt>
                <c:pt idx="121">
                  <c:v>57.956783453642238</c:v>
                </c:pt>
                <c:pt idx="122">
                  <c:v>58.067956163999604</c:v>
                </c:pt>
                <c:pt idx="123">
                  <c:v>58.17418646282799</c:v>
                </c:pt>
                <c:pt idx="124">
                  <c:v>58.275576010731903</c:v>
                </c:pt>
                <c:pt idx="125">
                  <c:v>58.372226482107529</c:v>
                </c:pt>
                <c:pt idx="126">
                  <c:v>58.464239563968228</c:v>
                </c:pt>
                <c:pt idx="127">
                  <c:v>58.55174558579597</c:v>
                </c:pt>
                <c:pt idx="128">
                  <c:v>58.634858129753425</c:v>
                </c:pt>
                <c:pt idx="129">
                  <c:v>58.713679854629987</c:v>
                </c:pt>
                <c:pt idx="130">
                  <c:v>58.788313471923686</c:v>
                </c:pt>
                <c:pt idx="131">
                  <c:v>58.858861756976054</c:v>
                </c:pt>
                <c:pt idx="132">
                  <c:v>58.925427538230778</c:v>
                </c:pt>
                <c:pt idx="133">
                  <c:v>58.988113703944649</c:v>
                </c:pt>
                <c:pt idx="134">
                  <c:v>59.046337815226842</c:v>
                </c:pt>
                <c:pt idx="135">
                  <c:v>59.099640193991874</c:v>
                </c:pt>
                <c:pt idx="136">
                  <c:v>59.148242862743217</c:v>
                </c:pt>
                <c:pt idx="137">
                  <c:v>59.192351801568918</c:v>
                </c:pt>
                <c:pt idx="138">
                  <c:v>59.232173046614022</c:v>
                </c:pt>
                <c:pt idx="139">
                  <c:v>59.267912672477472</c:v>
                </c:pt>
                <c:pt idx="140">
                  <c:v>59.299776786574036</c:v>
                </c:pt>
                <c:pt idx="141">
                  <c:v>59.327961789701064</c:v>
                </c:pt>
                <c:pt idx="142">
                  <c:v>59.352641627625843</c:v>
                </c:pt>
                <c:pt idx="143">
                  <c:v>59.374021574977391</c:v>
                </c:pt>
                <c:pt idx="144">
                  <c:v>59.392306817771711</c:v>
                </c:pt>
                <c:pt idx="145">
                  <c:v>59.407702505608704</c:v>
                </c:pt>
                <c:pt idx="146">
                  <c:v>59.420413737844086</c:v>
                </c:pt>
                <c:pt idx="147">
                  <c:v>59.430645550726069</c:v>
                </c:pt>
                <c:pt idx="148">
                  <c:v>59.43831924263965</c:v>
                </c:pt>
                <c:pt idx="149">
                  <c:v>59.443123131520508</c:v>
                </c:pt>
                <c:pt idx="150">
                  <c:v>59.444897101474893</c:v>
                </c:pt>
                <c:pt idx="151">
                  <c:v>59.443543339346441</c:v>
                </c:pt>
                <c:pt idx="152">
                  <c:v>59.438964067545996</c:v>
                </c:pt>
                <c:pt idx="153">
                  <c:v>59.431061537015502</c:v>
                </c:pt>
                <c:pt idx="154">
                  <c:v>59.419738024065843</c:v>
                </c:pt>
                <c:pt idx="155">
                  <c:v>59.404890010906584</c:v>
                </c:pt>
                <c:pt idx="156">
                  <c:v>59.386429995785981</c:v>
                </c:pt>
                <c:pt idx="157">
                  <c:v>59.364260223662676</c:v>
                </c:pt>
                <c:pt idx="158">
                  <c:v>59.338282933413446</c:v>
                </c:pt>
                <c:pt idx="159">
                  <c:v>59.308400351936442</c:v>
                </c:pt>
                <c:pt idx="160">
                  <c:v>59.274514689232831</c:v>
                </c:pt>
                <c:pt idx="161">
                  <c:v>59.236528138659708</c:v>
                </c:pt>
                <c:pt idx="162">
                  <c:v>59.193726588328374</c:v>
                </c:pt>
                <c:pt idx="163">
                  <c:v>59.145729176649844</c:v>
                </c:pt>
                <c:pt idx="164">
                  <c:v>59.092974959614104</c:v>
                </c:pt>
                <c:pt idx="165">
                  <c:v>59.035866388305124</c:v>
                </c:pt>
                <c:pt idx="166">
                  <c:v>58.974805596468045</c:v>
                </c:pt>
                <c:pt idx="167">
                  <c:v>58.910194397914502</c:v>
                </c:pt>
                <c:pt idx="168">
                  <c:v>58.84243428675645</c:v>
                </c:pt>
                <c:pt idx="169">
                  <c:v>58.77192627033746</c:v>
                </c:pt>
                <c:pt idx="170">
                  <c:v>58.699077773016455</c:v>
                </c:pt>
                <c:pt idx="171">
                  <c:v>58.624289441804287</c:v>
                </c:pt>
                <c:pt idx="172">
                  <c:v>58.547961601043951</c:v>
                </c:pt>
                <c:pt idx="173">
                  <c:v>58.470494291825261</c:v>
                </c:pt>
                <c:pt idx="174">
                  <c:v>58.392287244703027</c:v>
                </c:pt>
                <c:pt idx="175">
                  <c:v>58.313739841742574</c:v>
                </c:pt>
                <c:pt idx="176">
                  <c:v>58.234253495512007</c:v>
                </c:pt>
                <c:pt idx="177">
                  <c:v>58.152956862971763</c:v>
                </c:pt>
                <c:pt idx="178">
                  <c:v>58.069850364223633</c:v>
                </c:pt>
                <c:pt idx="179">
                  <c:v>57.984934092885283</c:v>
                </c:pt>
                <c:pt idx="180">
                  <c:v>57.898208042267271</c:v>
                </c:pt>
                <c:pt idx="181">
                  <c:v>57.809672110816571</c:v>
                </c:pt>
                <c:pt idx="182">
                  <c:v>57.71932610432129</c:v>
                </c:pt>
                <c:pt idx="183">
                  <c:v>57.627128696546301</c:v>
                </c:pt>
                <c:pt idx="184">
                  <c:v>57.533079387317493</c:v>
                </c:pt>
                <c:pt idx="185">
                  <c:v>57.437177375457175</c:v>
                </c:pt>
                <c:pt idx="186">
                  <c:v>57.339421832029537</c:v>
                </c:pt>
                <c:pt idx="187">
                  <c:v>57.239811904249116</c:v>
                </c:pt>
                <c:pt idx="188">
                  <c:v>57.13834672569913</c:v>
                </c:pt>
                <c:pt idx="189">
                  <c:v>57.035025416577952</c:v>
                </c:pt>
                <c:pt idx="190">
                  <c:v>56.929631273784359</c:v>
                </c:pt>
                <c:pt idx="191">
                  <c:v>56.822003376937673</c:v>
                </c:pt>
                <c:pt idx="192">
                  <c:v>56.712247947797728</c:v>
                </c:pt>
                <c:pt idx="193">
                  <c:v>56.600463881076806</c:v>
                </c:pt>
                <c:pt idx="194">
                  <c:v>56.486750041729373</c:v>
                </c:pt>
                <c:pt idx="195">
                  <c:v>56.371205272272007</c:v>
                </c:pt>
                <c:pt idx="196">
                  <c:v>56.253928394888675</c:v>
                </c:pt>
                <c:pt idx="197">
                  <c:v>56.135101350982801</c:v>
                </c:pt>
                <c:pt idx="198">
                  <c:v>56.014866016122951</c:v>
                </c:pt>
                <c:pt idx="199">
                  <c:v>55.89332178755371</c:v>
                </c:pt>
                <c:pt idx="200">
                  <c:v>55.770567996146127</c:v>
                </c:pt>
                <c:pt idx="201">
                  <c:v>55.646703915349995</c:v>
                </c:pt>
                <c:pt idx="202">
                  <c:v>55.521828770447961</c:v>
                </c:pt>
                <c:pt idx="203">
                  <c:v>55.396041747532756</c:v>
                </c:pt>
                <c:pt idx="204">
                  <c:v>55.269193363924948</c:v>
                </c:pt>
                <c:pt idx="205">
                  <c:v>55.141108905914912</c:v>
                </c:pt>
                <c:pt idx="206">
                  <c:v>55.011798800564534</c:v>
                </c:pt>
                <c:pt idx="207">
                  <c:v>54.881262921263094</c:v>
                </c:pt>
                <c:pt idx="208">
                  <c:v>54.749501161535491</c:v>
                </c:pt>
                <c:pt idx="209">
                  <c:v>54.616513440626463</c:v>
                </c:pt>
                <c:pt idx="210">
                  <c:v>54.482299706256043</c:v>
                </c:pt>
                <c:pt idx="211">
                  <c:v>54.346833697339534</c:v>
                </c:pt>
                <c:pt idx="212">
                  <c:v>54.210030633086312</c:v>
                </c:pt>
                <c:pt idx="213">
                  <c:v>54.071890292870677</c:v>
                </c:pt>
                <c:pt idx="214">
                  <c:v>53.932412521589342</c:v>
                </c:pt>
                <c:pt idx="215">
                  <c:v>53.791597228248513</c:v>
                </c:pt>
                <c:pt idx="216">
                  <c:v>53.649444382523782</c:v>
                </c:pt>
                <c:pt idx="217">
                  <c:v>53.505954012361087</c:v>
                </c:pt>
                <c:pt idx="218">
                  <c:v>53.361341401191744</c:v>
                </c:pt>
                <c:pt idx="219">
                  <c:v>53.215739295282134</c:v>
                </c:pt>
                <c:pt idx="220">
                  <c:v>53.069007399876632</c:v>
                </c:pt>
                <c:pt idx="221">
                  <c:v>52.921046577492547</c:v>
                </c:pt>
                <c:pt idx="222">
                  <c:v>52.771757779321526</c:v>
                </c:pt>
                <c:pt idx="223">
                  <c:v>52.6210420394331</c:v>
                </c:pt>
                <c:pt idx="224">
                  <c:v>52.46880047163971</c:v>
                </c:pt>
                <c:pt idx="225">
                  <c:v>52.31492303738117</c:v>
                </c:pt>
                <c:pt idx="226">
                  <c:v>52.159337510531039</c:v>
                </c:pt>
                <c:pt idx="227">
                  <c:v>52.001945252686362</c:v>
                </c:pt>
                <c:pt idx="228">
                  <c:v>51.84264768679008</c:v>
                </c:pt>
                <c:pt idx="229">
                  <c:v>51.681346295860251</c:v>
                </c:pt>
                <c:pt idx="230">
                  <c:v>51.517942620799168</c:v>
                </c:pt>
                <c:pt idx="231">
                  <c:v>51.352338255143906</c:v>
                </c:pt>
                <c:pt idx="232">
                  <c:v>51.186402062519271</c:v>
                </c:pt>
                <c:pt idx="233">
                  <c:v>51.021532668552638</c:v>
                </c:pt>
                <c:pt idx="234">
                  <c:v>50.856952905311296</c:v>
                </c:pt>
                <c:pt idx="235">
                  <c:v>50.691869650698756</c:v>
                </c:pt>
                <c:pt idx="236">
                  <c:v>50.525490101232187</c:v>
                </c:pt>
                <c:pt idx="237">
                  <c:v>50.357021768798909</c:v>
                </c:pt>
                <c:pt idx="238">
                  <c:v>50.185672478489664</c:v>
                </c:pt>
                <c:pt idx="239">
                  <c:v>50.010646647295893</c:v>
                </c:pt>
                <c:pt idx="240">
                  <c:v>49.831163909062184</c:v>
                </c:pt>
                <c:pt idx="241">
                  <c:v>49.646432998986619</c:v>
                </c:pt>
                <c:pt idx="242">
                  <c:v>49.455662957060696</c:v>
                </c:pt>
                <c:pt idx="243">
                  <c:v>49.258063122936974</c:v>
                </c:pt>
                <c:pt idx="244">
                  <c:v>49.052843137591005</c:v>
                </c:pt>
                <c:pt idx="245">
                  <c:v>48.839212934195864</c:v>
                </c:pt>
                <c:pt idx="246">
                  <c:v>48.617505378092517</c:v>
                </c:pt>
                <c:pt idx="247">
                  <c:v>48.388841183571181</c:v>
                </c:pt>
                <c:pt idx="248">
                  <c:v>48.153625423217761</c:v>
                </c:pt>
                <c:pt idx="249">
                  <c:v>47.912256357309879</c:v>
                </c:pt>
                <c:pt idx="250">
                  <c:v>47.665132107208386</c:v>
                </c:pt>
                <c:pt idx="251">
                  <c:v>47.412650647611777</c:v>
                </c:pt>
                <c:pt idx="252">
                  <c:v>47.155209816097177</c:v>
                </c:pt>
                <c:pt idx="253">
                  <c:v>46.893202727053477</c:v>
                </c:pt>
                <c:pt idx="254">
                  <c:v>46.627030638919052</c:v>
                </c:pt>
                <c:pt idx="255">
                  <c:v>46.357090967801113</c:v>
                </c:pt>
                <c:pt idx="256">
                  <c:v>46.083780991351631</c:v>
                </c:pt>
                <c:pt idx="257">
                  <c:v>45.807497847976066</c:v>
                </c:pt>
                <c:pt idx="258">
                  <c:v>45.528638536610018</c:v>
                </c:pt>
                <c:pt idx="259">
                  <c:v>45.247599916378753</c:v>
                </c:pt>
                <c:pt idx="260">
                  <c:v>44.962074597592142</c:v>
                </c:pt>
                <c:pt idx="261">
                  <c:v>44.66997733272165</c:v>
                </c:pt>
                <c:pt idx="262">
                  <c:v>44.372106075744718</c:v>
                </c:pt>
                <c:pt idx="263">
                  <c:v>44.069254150383735</c:v>
                </c:pt>
                <c:pt idx="264">
                  <c:v>43.762214606419995</c:v>
                </c:pt>
                <c:pt idx="265">
                  <c:v>43.451780206083875</c:v>
                </c:pt>
                <c:pt idx="266">
                  <c:v>43.138743434701773</c:v>
                </c:pt>
                <c:pt idx="267">
                  <c:v>42.823876526197857</c:v>
                </c:pt>
                <c:pt idx="268">
                  <c:v>42.507976051264102</c:v>
                </c:pt>
                <c:pt idx="269">
                  <c:v>42.191833811953551</c:v>
                </c:pt>
                <c:pt idx="270">
                  <c:v>41.876241351286296</c:v>
                </c:pt>
                <c:pt idx="271">
                  <c:v>41.561989957015562</c:v>
                </c:pt>
                <c:pt idx="272">
                  <c:v>41.249870664436081</c:v>
                </c:pt>
                <c:pt idx="273">
                  <c:v>40.940674259568347</c:v>
                </c:pt>
                <c:pt idx="274">
                  <c:v>40.633214942543006</c:v>
                </c:pt>
                <c:pt idx="275">
                  <c:v>40.325851206802831</c:v>
                </c:pt>
                <c:pt idx="276">
                  <c:v>40.018624032143364</c:v>
                </c:pt>
                <c:pt idx="277">
                  <c:v>39.711532943503357</c:v>
                </c:pt>
                <c:pt idx="278">
                  <c:v>39.404577355685966</c:v>
                </c:pt>
                <c:pt idx="279">
                  <c:v>39.097756567832839</c:v>
                </c:pt>
                <c:pt idx="280">
                  <c:v>38.791069758448295</c:v>
                </c:pt>
                <c:pt idx="281">
                  <c:v>38.484557862382346</c:v>
                </c:pt>
                <c:pt idx="282">
                  <c:v>38.178238351282928</c:v>
                </c:pt>
                <c:pt idx="283">
                  <c:v>37.872109235471825</c:v>
                </c:pt>
                <c:pt idx="284">
                  <c:v>37.566168343297676</c:v>
                </c:pt>
                <c:pt idx="285">
                  <c:v>37.260413320329121</c:v>
                </c:pt>
                <c:pt idx="286">
                  <c:v>36.95484162991265</c:v>
                </c:pt>
                <c:pt idx="287">
                  <c:v>36.649450555169167</c:v>
                </c:pt>
                <c:pt idx="288">
                  <c:v>36.343381644642363</c:v>
                </c:pt>
                <c:pt idx="289">
                  <c:v>36.03601478183483</c:v>
                </c:pt>
                <c:pt idx="290">
                  <c:v>35.727675583759421</c:v>
                </c:pt>
                <c:pt idx="291">
                  <c:v>35.418757135906439</c:v>
                </c:pt>
                <c:pt idx="292">
                  <c:v>35.109652339403816</c:v>
                </c:pt>
                <c:pt idx="293">
                  <c:v>34.800753921825056</c:v>
                </c:pt>
                <c:pt idx="294">
                  <c:v>34.492454445220822</c:v>
                </c:pt>
                <c:pt idx="295">
                  <c:v>34.185124956378594</c:v>
                </c:pt>
                <c:pt idx="296">
                  <c:v>33.87911922583266</c:v>
                </c:pt>
                <c:pt idx="297">
                  <c:v>33.574830470683324</c:v>
                </c:pt>
                <c:pt idx="298">
                  <c:v>33.272651890132792</c:v>
                </c:pt>
                <c:pt idx="299">
                  <c:v>32.972976596081622</c:v>
                </c:pt>
                <c:pt idx="300">
                  <c:v>32.676197619773973</c:v>
                </c:pt>
                <c:pt idx="301">
                  <c:v>32.382707915935498</c:v>
                </c:pt>
                <c:pt idx="302">
                  <c:v>32.091059205730609</c:v>
                </c:pt>
                <c:pt idx="303">
                  <c:v>31.799793039111538</c:v>
                </c:pt>
                <c:pt idx="304">
                  <c:v>31.509325777120331</c:v>
                </c:pt>
                <c:pt idx="305">
                  <c:v>31.220050497162315</c:v>
                </c:pt>
                <c:pt idx="306">
                  <c:v>30.932360217691407</c:v>
                </c:pt>
                <c:pt idx="307">
                  <c:v>30.646647909493506</c:v>
                </c:pt>
                <c:pt idx="308">
                  <c:v>30.363306492804579</c:v>
                </c:pt>
                <c:pt idx="309">
                  <c:v>30.082718914817086</c:v>
                </c:pt>
                <c:pt idx="310">
                  <c:v>29.805297529005454</c:v>
                </c:pt>
                <c:pt idx="311">
                  <c:v>29.531434940586852</c:v>
                </c:pt>
                <c:pt idx="312">
                  <c:v>29.261523720573859</c:v>
                </c:pt>
                <c:pt idx="313">
                  <c:v>28.995956413274619</c:v>
                </c:pt>
                <c:pt idx="314">
                  <c:v>28.735125534715412</c:v>
                </c:pt>
                <c:pt idx="315">
                  <c:v>28.479423577556645</c:v>
                </c:pt>
                <c:pt idx="316">
                  <c:v>28.228043919961433</c:v>
                </c:pt>
                <c:pt idx="317">
                  <c:v>27.979983633488672</c:v>
                </c:pt>
                <c:pt idx="318">
                  <c:v>27.735349425310336</c:v>
                </c:pt>
                <c:pt idx="319">
                  <c:v>27.49423839144098</c:v>
                </c:pt>
                <c:pt idx="320">
                  <c:v>27.256747681244001</c:v>
                </c:pt>
                <c:pt idx="321">
                  <c:v>27.022974507033538</c:v>
                </c:pt>
                <c:pt idx="322">
                  <c:v>26.793016134770649</c:v>
                </c:pt>
                <c:pt idx="323">
                  <c:v>26.566984436761551</c:v>
                </c:pt>
                <c:pt idx="324">
                  <c:v>26.344985497064474</c:v>
                </c:pt>
                <c:pt idx="325">
                  <c:v>26.127116341616151</c:v>
                </c:pt>
                <c:pt idx="326">
                  <c:v>25.913474139784171</c:v>
                </c:pt>
                <c:pt idx="327">
                  <c:v>25.704156098729893</c:v>
                </c:pt>
                <c:pt idx="328">
                  <c:v>25.499259446698961</c:v>
                </c:pt>
                <c:pt idx="329">
                  <c:v>25.298881483270137</c:v>
                </c:pt>
                <c:pt idx="330">
                  <c:v>25.099886547748682</c:v>
                </c:pt>
                <c:pt idx="331">
                  <c:v>24.900003787398457</c:v>
                </c:pt>
                <c:pt idx="332">
                  <c:v>24.700611136850412</c:v>
                </c:pt>
                <c:pt idx="333">
                  <c:v>24.503086754808432</c:v>
                </c:pt>
                <c:pt idx="334">
                  <c:v>24.308808527571092</c:v>
                </c:pt>
                <c:pt idx="335">
                  <c:v>24.119154038463449</c:v>
                </c:pt>
                <c:pt idx="336">
                  <c:v>23.935500562766318</c:v>
                </c:pt>
                <c:pt idx="337">
                  <c:v>23.759220815826346</c:v>
                </c:pt>
                <c:pt idx="338">
                  <c:v>23.59167795901568</c:v>
                </c:pt>
                <c:pt idx="339">
                  <c:v>23.4342484250318</c:v>
                </c:pt>
                <c:pt idx="340">
                  <c:v>23.288308239358415</c:v>
                </c:pt>
                <c:pt idx="341">
                  <c:v>23.155233015460215</c:v>
                </c:pt>
                <c:pt idx="342">
                  <c:v>23.036397936941558</c:v>
                </c:pt>
                <c:pt idx="343">
                  <c:v>22.933177744195042</c:v>
                </c:pt>
                <c:pt idx="344">
                  <c:v>22.842987023882539</c:v>
                </c:pt>
                <c:pt idx="345">
                  <c:v>22.762482172145084</c:v>
                </c:pt>
                <c:pt idx="346">
                  <c:v>22.691891087758044</c:v>
                </c:pt>
                <c:pt idx="347">
                  <c:v>22.631450797065803</c:v>
                </c:pt>
                <c:pt idx="348">
                  <c:v>22.581398216565141</c:v>
                </c:pt>
                <c:pt idx="349">
                  <c:v>22.541970162145088</c:v>
                </c:pt>
                <c:pt idx="350">
                  <c:v>22.513403335413024</c:v>
                </c:pt>
                <c:pt idx="351">
                  <c:v>22.49593512960962</c:v>
                </c:pt>
                <c:pt idx="352">
                  <c:v>22.489806094020572</c:v>
                </c:pt>
                <c:pt idx="353">
                  <c:v>22.495252557257061</c:v>
                </c:pt>
                <c:pt idx="354">
                  <c:v>22.512510743185317</c:v>
                </c:pt>
                <c:pt idx="355">
                  <c:v>22.541816756790102</c:v>
                </c:pt>
                <c:pt idx="356">
                  <c:v>22.58340660769748</c:v>
                </c:pt>
                <c:pt idx="357">
                  <c:v>22.63751614415321</c:v>
                </c:pt>
                <c:pt idx="358">
                  <c:v>22.706402288009226</c:v>
                </c:pt>
                <c:pt idx="359">
                  <c:v>22.79141469434197</c:v>
                </c:pt>
                <c:pt idx="360">
                  <c:v>22.891424492322752</c:v>
                </c:pt>
                <c:pt idx="361">
                  <c:v>23.005306403346285</c:v>
                </c:pt>
                <c:pt idx="362">
                  <c:v>23.131936280675621</c:v>
                </c:pt>
                <c:pt idx="363">
                  <c:v>23.27019032991744</c:v>
                </c:pt>
                <c:pt idx="364">
                  <c:v>23.418945090622767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23.241</c:v>
                </c:pt>
                <c:pt idx="1">
                  <c:v>16.711000000000002</c:v>
                </c:pt>
                <c:pt idx="2">
                  <c:v>17.983000000000001</c:v>
                </c:pt>
                <c:pt idx="3">
                  <c:v>19.001000000000001</c:v>
                </c:pt>
                <c:pt idx="4">
                  <c:v>15.128</c:v>
                </c:pt>
                <c:pt idx="5">
                  <c:v>21.815000000000001</c:v>
                </c:pt>
                <c:pt idx="6">
                  <c:v>11.156000000000001</c:v>
                </c:pt>
                <c:pt idx="7">
                  <c:v>7.8260000000000005</c:v>
                </c:pt>
                <c:pt idx="8">
                  <c:v>2.31</c:v>
                </c:pt>
                <c:pt idx="9">
                  <c:v>1.7929999999999999</c:v>
                </c:pt>
                <c:pt idx="10">
                  <c:v>25.839000000000002</c:v>
                </c:pt>
                <c:pt idx="11">
                  <c:v>22.045999999999999</c:v>
                </c:pt>
                <c:pt idx="12">
                  <c:v>5.3090000000000002</c:v>
                </c:pt>
                <c:pt idx="13">
                  <c:v>26.247</c:v>
                </c:pt>
                <c:pt idx="14">
                  <c:v>27.891000000000002</c:v>
                </c:pt>
                <c:pt idx="15">
                  <c:v>27.393000000000001</c:v>
                </c:pt>
                <c:pt idx="16">
                  <c:v>14.022</c:v>
                </c:pt>
                <c:pt idx="17">
                  <c:v>3.702</c:v>
                </c:pt>
                <c:pt idx="18">
                  <c:v>10.708</c:v>
                </c:pt>
                <c:pt idx="19">
                  <c:v>6.7359999999999998</c:v>
                </c:pt>
                <c:pt idx="20">
                  <c:v>21.516000000000002</c:v>
                </c:pt>
                <c:pt idx="21">
                  <c:v>29.031000000000002</c:v>
                </c:pt>
                <c:pt idx="22">
                  <c:v>29.097999999999999</c:v>
                </c:pt>
                <c:pt idx="23">
                  <c:v>29.751999999999999</c:v>
                </c:pt>
                <c:pt idx="24">
                  <c:v>28.335000000000001</c:v>
                </c:pt>
                <c:pt idx="25">
                  <c:v>29.346</c:v>
                </c:pt>
                <c:pt idx="26">
                  <c:v>27.342000000000002</c:v>
                </c:pt>
                <c:pt idx="27">
                  <c:v>4.4660000000000002</c:v>
                </c:pt>
                <c:pt idx="28">
                  <c:v>9.793000000000001</c:v>
                </c:pt>
                <c:pt idx="29">
                  <c:v>4.6580000000000004</c:v>
                </c:pt>
                <c:pt idx="30">
                  <c:v>9.527000000000001</c:v>
                </c:pt>
                <c:pt idx="31">
                  <c:v>13.831</c:v>
                </c:pt>
                <c:pt idx="32">
                  <c:v>5.556</c:v>
                </c:pt>
                <c:pt idx="33">
                  <c:v>10.472</c:v>
                </c:pt>
                <c:pt idx="34">
                  <c:v>10.369</c:v>
                </c:pt>
                <c:pt idx="35">
                  <c:v>10.032</c:v>
                </c:pt>
                <c:pt idx="36">
                  <c:v>22.951000000000001</c:v>
                </c:pt>
                <c:pt idx="37">
                  <c:v>9.8480000000000008</c:v>
                </c:pt>
                <c:pt idx="38">
                  <c:v>34.517000000000003</c:v>
                </c:pt>
                <c:pt idx="39">
                  <c:v>34.743000000000002</c:v>
                </c:pt>
                <c:pt idx="40">
                  <c:v>32.297000000000004</c:v>
                </c:pt>
                <c:pt idx="41">
                  <c:v>18.029</c:v>
                </c:pt>
                <c:pt idx="42">
                  <c:v>27.39</c:v>
                </c:pt>
                <c:pt idx="43">
                  <c:v>32.377000000000002</c:v>
                </c:pt>
                <c:pt idx="44">
                  <c:v>15.857000000000001</c:v>
                </c:pt>
                <c:pt idx="45">
                  <c:v>19.936</c:v>
                </c:pt>
                <c:pt idx="46">
                  <c:v>10.443</c:v>
                </c:pt>
                <c:pt idx="47">
                  <c:v>11.298</c:v>
                </c:pt>
                <c:pt idx="48">
                  <c:v>28.771000000000001</c:v>
                </c:pt>
                <c:pt idx="49">
                  <c:v>20.85</c:v>
                </c:pt>
                <c:pt idx="50">
                  <c:v>19.887</c:v>
                </c:pt>
                <c:pt idx="51">
                  <c:v>21.984000000000002</c:v>
                </c:pt>
                <c:pt idx="52">
                  <c:v>33.978000000000002</c:v>
                </c:pt>
                <c:pt idx="53">
                  <c:v>35.155999999999999</c:v>
                </c:pt>
                <c:pt idx="54">
                  <c:v>21.613</c:v>
                </c:pt>
                <c:pt idx="55">
                  <c:v>31.478000000000002</c:v>
                </c:pt>
                <c:pt idx="56">
                  <c:v>40.536499999999997</c:v>
                </c:pt>
                <c:pt idx="57">
                  <c:v>28.249000000000002</c:v>
                </c:pt>
                <c:pt idx="58">
                  <c:v>34.905999999999999</c:v>
                </c:pt>
                <c:pt idx="59">
                  <c:v>40.518999999999998</c:v>
                </c:pt>
                <c:pt idx="60">
                  <c:v>11.157999999999999</c:v>
                </c:pt>
                <c:pt idx="61">
                  <c:v>35.96</c:v>
                </c:pt>
                <c:pt idx="62">
                  <c:v>4.1360000000000001</c:v>
                </c:pt>
                <c:pt idx="63">
                  <c:v>13.692</c:v>
                </c:pt>
                <c:pt idx="64">
                  <c:v>16.359000000000002</c:v>
                </c:pt>
                <c:pt idx="65">
                  <c:v>38.209000000000003</c:v>
                </c:pt>
                <c:pt idx="66">
                  <c:v>33.020000000000003</c:v>
                </c:pt>
                <c:pt idx="67">
                  <c:v>29.463000000000001</c:v>
                </c:pt>
                <c:pt idx="68">
                  <c:v>25.594000000000001</c:v>
                </c:pt>
                <c:pt idx="69">
                  <c:v>16.240000000000002</c:v>
                </c:pt>
                <c:pt idx="70">
                  <c:v>15.089</c:v>
                </c:pt>
                <c:pt idx="71">
                  <c:v>10.242000000000001</c:v>
                </c:pt>
                <c:pt idx="72">
                  <c:v>14.759</c:v>
                </c:pt>
                <c:pt idx="73">
                  <c:v>14.782999999999999</c:v>
                </c:pt>
                <c:pt idx="74">
                  <c:v>13.324</c:v>
                </c:pt>
                <c:pt idx="75">
                  <c:v>11.115</c:v>
                </c:pt>
                <c:pt idx="76">
                  <c:v>14.819000000000001</c:v>
                </c:pt>
                <c:pt idx="77">
                  <c:v>30.073</c:v>
                </c:pt>
                <c:pt idx="78">
                  <c:v>31.060000000000002</c:v>
                </c:pt>
                <c:pt idx="79">
                  <c:v>45.286000000000001</c:v>
                </c:pt>
                <c:pt idx="80">
                  <c:v>42.612000000000002</c:v>
                </c:pt>
                <c:pt idx="81">
                  <c:v>48.892000000000003</c:v>
                </c:pt>
                <c:pt idx="82">
                  <c:v>47.844000000000001</c:v>
                </c:pt>
                <c:pt idx="83">
                  <c:v>41.908000000000001</c:v>
                </c:pt>
                <c:pt idx="84">
                  <c:v>47.164000000000001</c:v>
                </c:pt>
                <c:pt idx="85">
                  <c:v>45.939</c:v>
                </c:pt>
                <c:pt idx="86">
                  <c:v>35.966999999999999</c:v>
                </c:pt>
                <c:pt idx="87">
                  <c:v>28.327000000000002</c:v>
                </c:pt>
                <c:pt idx="88">
                  <c:v>7.9660000000000002</c:v>
                </c:pt>
                <c:pt idx="89">
                  <c:v>29.029</c:v>
                </c:pt>
                <c:pt idx="90">
                  <c:v>31.766999999999999</c:v>
                </c:pt>
                <c:pt idx="91">
                  <c:v>21.655999999999999</c:v>
                </c:pt>
                <c:pt idx="92">
                  <c:v>23.461000000000002</c:v>
                </c:pt>
                <c:pt idx="93">
                  <c:v>49.338000000000001</c:v>
                </c:pt>
                <c:pt idx="94">
                  <c:v>52.441000000000003</c:v>
                </c:pt>
                <c:pt idx="95">
                  <c:v>11.488</c:v>
                </c:pt>
                <c:pt idx="96">
                  <c:v>39.268999999999998</c:v>
                </c:pt>
                <c:pt idx="97">
                  <c:v>32.346000000000004</c:v>
                </c:pt>
                <c:pt idx="98">
                  <c:v>36.015000000000001</c:v>
                </c:pt>
                <c:pt idx="99">
                  <c:v>54.231000000000002</c:v>
                </c:pt>
                <c:pt idx="100">
                  <c:v>45.539000000000001</c:v>
                </c:pt>
                <c:pt idx="101">
                  <c:v>36.93</c:v>
                </c:pt>
                <c:pt idx="102">
                  <c:v>7.4050000000000002</c:v>
                </c:pt>
                <c:pt idx="103">
                  <c:v>40.027000000000001</c:v>
                </c:pt>
                <c:pt idx="104">
                  <c:v>45.87</c:v>
                </c:pt>
                <c:pt idx="105">
                  <c:v>44.261000000000003</c:v>
                </c:pt>
                <c:pt idx="106">
                  <c:v>54.061</c:v>
                </c:pt>
                <c:pt idx="107">
                  <c:v>37.393999999999998</c:v>
                </c:pt>
                <c:pt idx="108">
                  <c:v>8.9390000000000001</c:v>
                </c:pt>
                <c:pt idx="109">
                  <c:v>10.229000000000001</c:v>
                </c:pt>
                <c:pt idx="110">
                  <c:v>9.4550000000000001</c:v>
                </c:pt>
                <c:pt idx="111">
                  <c:v>27.67</c:v>
                </c:pt>
                <c:pt idx="112">
                  <c:v>9.5739999999999998</c:v>
                </c:pt>
                <c:pt idx="113">
                  <c:v>30.378</c:v>
                </c:pt>
                <c:pt idx="114">
                  <c:v>46.747</c:v>
                </c:pt>
                <c:pt idx="115">
                  <c:v>54.419000000000004</c:v>
                </c:pt>
                <c:pt idx="116">
                  <c:v>40.991</c:v>
                </c:pt>
                <c:pt idx="117">
                  <c:v>20.402999999999999</c:v>
                </c:pt>
                <c:pt idx="118">
                  <c:v>41.057000000000002</c:v>
                </c:pt>
                <c:pt idx="119">
                  <c:v>43.640999999999998</c:v>
                </c:pt>
                <c:pt idx="120">
                  <c:v>47.298000000000002</c:v>
                </c:pt>
                <c:pt idx="121">
                  <c:v>30.405000000000001</c:v>
                </c:pt>
                <c:pt idx="122">
                  <c:v>36.227000000000004</c:v>
                </c:pt>
                <c:pt idx="123">
                  <c:v>20.094999999999999</c:v>
                </c:pt>
                <c:pt idx="124">
                  <c:v>42.119</c:v>
                </c:pt>
                <c:pt idx="125">
                  <c:v>38.53</c:v>
                </c:pt>
                <c:pt idx="126">
                  <c:v>52.39</c:v>
                </c:pt>
                <c:pt idx="127">
                  <c:v>49.856999999999999</c:v>
                </c:pt>
                <c:pt idx="128">
                  <c:v>52.170999999999999</c:v>
                </c:pt>
                <c:pt idx="129">
                  <c:v>51.835999999999999</c:v>
                </c:pt>
                <c:pt idx="130">
                  <c:v>55.953000000000003</c:v>
                </c:pt>
                <c:pt idx="131">
                  <c:v>40.797000000000004</c:v>
                </c:pt>
                <c:pt idx="132">
                  <c:v>41.497</c:v>
                </c:pt>
                <c:pt idx="133">
                  <c:v>50.204999999999998</c:v>
                </c:pt>
                <c:pt idx="134">
                  <c:v>53.114000000000004</c:v>
                </c:pt>
                <c:pt idx="135">
                  <c:v>50.628</c:v>
                </c:pt>
                <c:pt idx="136">
                  <c:v>53.911999999999999</c:v>
                </c:pt>
                <c:pt idx="137">
                  <c:v>51.861000000000004</c:v>
                </c:pt>
                <c:pt idx="138">
                  <c:v>54.736000000000004</c:v>
                </c:pt>
                <c:pt idx="139">
                  <c:v>49.588000000000001</c:v>
                </c:pt>
                <c:pt idx="140">
                  <c:v>49.503999999999998</c:v>
                </c:pt>
                <c:pt idx="141">
                  <c:v>37.466000000000001</c:v>
                </c:pt>
                <c:pt idx="142">
                  <c:v>19.533000000000001</c:v>
                </c:pt>
                <c:pt idx="143">
                  <c:v>16.936</c:v>
                </c:pt>
                <c:pt idx="144">
                  <c:v>39.722000000000001</c:v>
                </c:pt>
                <c:pt idx="145">
                  <c:v>24.085000000000001</c:v>
                </c:pt>
                <c:pt idx="146">
                  <c:v>44.800000000000004</c:v>
                </c:pt>
                <c:pt idx="147">
                  <c:v>53.978999999999999</c:v>
                </c:pt>
                <c:pt idx="148">
                  <c:v>58.178000000000004</c:v>
                </c:pt>
                <c:pt idx="149">
                  <c:v>49.542000000000002</c:v>
                </c:pt>
                <c:pt idx="150">
                  <c:v>52.612000000000002</c:v>
                </c:pt>
                <c:pt idx="151">
                  <c:v>54.963999999999999</c:v>
                </c:pt>
                <c:pt idx="152">
                  <c:v>44.152999999999999</c:v>
                </c:pt>
                <c:pt idx="153">
                  <c:v>53.808</c:v>
                </c:pt>
                <c:pt idx="154">
                  <c:v>24.298000000000002</c:v>
                </c:pt>
                <c:pt idx="155">
                  <c:v>33.518000000000001</c:v>
                </c:pt>
                <c:pt idx="156">
                  <c:v>47.204999999999998</c:v>
                </c:pt>
                <c:pt idx="157">
                  <c:v>24.609000000000002</c:v>
                </c:pt>
                <c:pt idx="158">
                  <c:v>20.119</c:v>
                </c:pt>
                <c:pt idx="159">
                  <c:v>45.975000000000001</c:v>
                </c:pt>
                <c:pt idx="160">
                  <c:v>56.106000000000002</c:v>
                </c:pt>
                <c:pt idx="161">
                  <c:v>54.858000000000004</c:v>
                </c:pt>
                <c:pt idx="162">
                  <c:v>41.975000000000001</c:v>
                </c:pt>
                <c:pt idx="163">
                  <c:v>53.146999999999998</c:v>
                </c:pt>
                <c:pt idx="164">
                  <c:v>48.472000000000001</c:v>
                </c:pt>
                <c:pt idx="165">
                  <c:v>52.874000000000002</c:v>
                </c:pt>
                <c:pt idx="166">
                  <c:v>50.814</c:v>
                </c:pt>
                <c:pt idx="167">
                  <c:v>50.883000000000003</c:v>
                </c:pt>
                <c:pt idx="168">
                  <c:v>54.216000000000001</c:v>
                </c:pt>
                <c:pt idx="169">
                  <c:v>55.322000000000003</c:v>
                </c:pt>
                <c:pt idx="170">
                  <c:v>30.809000000000001</c:v>
                </c:pt>
                <c:pt idx="171">
                  <c:v>23.007999999999999</c:v>
                </c:pt>
                <c:pt idx="172">
                  <c:v>38.484000000000002</c:v>
                </c:pt>
                <c:pt idx="173">
                  <c:v>41.103000000000002</c:v>
                </c:pt>
                <c:pt idx="174">
                  <c:v>39.283000000000001</c:v>
                </c:pt>
                <c:pt idx="175">
                  <c:v>34.57</c:v>
                </c:pt>
                <c:pt idx="176">
                  <c:v>11.599</c:v>
                </c:pt>
                <c:pt idx="177">
                  <c:v>12.661</c:v>
                </c:pt>
                <c:pt idx="178">
                  <c:v>57.475999999999999</c:v>
                </c:pt>
                <c:pt idx="179">
                  <c:v>54.567</c:v>
                </c:pt>
                <c:pt idx="180">
                  <c:v>13.567</c:v>
                </c:pt>
                <c:pt idx="181">
                  <c:v>48.838999999999999</c:v>
                </c:pt>
                <c:pt idx="182">
                  <c:v>54.405000000000001</c:v>
                </c:pt>
                <c:pt idx="183">
                  <c:v>45.334000000000003</c:v>
                </c:pt>
                <c:pt idx="184">
                  <c:v>43.021000000000001</c:v>
                </c:pt>
                <c:pt idx="185">
                  <c:v>53.902000000000001</c:v>
                </c:pt>
                <c:pt idx="186">
                  <c:v>46.289000000000001</c:v>
                </c:pt>
                <c:pt idx="187">
                  <c:v>53.164000000000001</c:v>
                </c:pt>
                <c:pt idx="188">
                  <c:v>55.911000000000001</c:v>
                </c:pt>
                <c:pt idx="189">
                  <c:v>55.19</c:v>
                </c:pt>
                <c:pt idx="190">
                  <c:v>54.487000000000002</c:v>
                </c:pt>
                <c:pt idx="191">
                  <c:v>53.045000000000002</c:v>
                </c:pt>
                <c:pt idx="192">
                  <c:v>53.140999999999998</c:v>
                </c:pt>
                <c:pt idx="193">
                  <c:v>52.514000000000003</c:v>
                </c:pt>
                <c:pt idx="194">
                  <c:v>51.951999999999998</c:v>
                </c:pt>
                <c:pt idx="195">
                  <c:v>50.213999999999999</c:v>
                </c:pt>
                <c:pt idx="196">
                  <c:v>51.599000000000004</c:v>
                </c:pt>
                <c:pt idx="197">
                  <c:v>51.189</c:v>
                </c:pt>
                <c:pt idx="198">
                  <c:v>53.048999999999999</c:v>
                </c:pt>
                <c:pt idx="199">
                  <c:v>42.558999999999997</c:v>
                </c:pt>
                <c:pt idx="200">
                  <c:v>42.986000000000004</c:v>
                </c:pt>
                <c:pt idx="201">
                  <c:v>50.554000000000002</c:v>
                </c:pt>
                <c:pt idx="202">
                  <c:v>40.298999999999999</c:v>
                </c:pt>
                <c:pt idx="203">
                  <c:v>45.035000000000004</c:v>
                </c:pt>
                <c:pt idx="204">
                  <c:v>50.509</c:v>
                </c:pt>
                <c:pt idx="205">
                  <c:v>25.812000000000001</c:v>
                </c:pt>
                <c:pt idx="206">
                  <c:v>54.258000000000003</c:v>
                </c:pt>
                <c:pt idx="207">
                  <c:v>54.265999999999998</c:v>
                </c:pt>
                <c:pt idx="208">
                  <c:v>43.548999999999999</c:v>
                </c:pt>
                <c:pt idx="209">
                  <c:v>29.459</c:v>
                </c:pt>
                <c:pt idx="210">
                  <c:v>49.578000000000003</c:v>
                </c:pt>
                <c:pt idx="211">
                  <c:v>52.250999999999998</c:v>
                </c:pt>
                <c:pt idx="212">
                  <c:v>51.338999999999999</c:v>
                </c:pt>
                <c:pt idx="213">
                  <c:v>51.542999999999999</c:v>
                </c:pt>
                <c:pt idx="214">
                  <c:v>49.386000000000003</c:v>
                </c:pt>
                <c:pt idx="215">
                  <c:v>46.343000000000004</c:v>
                </c:pt>
                <c:pt idx="216">
                  <c:v>43.117000000000004</c:v>
                </c:pt>
                <c:pt idx="217">
                  <c:v>47.247</c:v>
                </c:pt>
                <c:pt idx="218">
                  <c:v>50.218000000000004</c:v>
                </c:pt>
                <c:pt idx="219">
                  <c:v>51.024000000000001</c:v>
                </c:pt>
                <c:pt idx="220">
                  <c:v>49.317</c:v>
                </c:pt>
                <c:pt idx="221">
                  <c:v>47.286000000000001</c:v>
                </c:pt>
                <c:pt idx="222">
                  <c:v>43.514000000000003</c:v>
                </c:pt>
                <c:pt idx="223">
                  <c:v>45.667000000000002</c:v>
                </c:pt>
                <c:pt idx="224">
                  <c:v>31.811</c:v>
                </c:pt>
                <c:pt idx="225">
                  <c:v>33.073</c:v>
                </c:pt>
                <c:pt idx="226">
                  <c:v>37.922000000000004</c:v>
                </c:pt>
                <c:pt idx="227">
                  <c:v>31.855</c:v>
                </c:pt>
                <c:pt idx="228">
                  <c:v>21.897000000000002</c:v>
                </c:pt>
                <c:pt idx="229">
                  <c:v>38.102000000000004</c:v>
                </c:pt>
                <c:pt idx="230">
                  <c:v>39.451000000000001</c:v>
                </c:pt>
                <c:pt idx="231">
                  <c:v>46.983000000000004</c:v>
                </c:pt>
                <c:pt idx="232">
                  <c:v>31.673000000000002</c:v>
                </c:pt>
                <c:pt idx="233">
                  <c:v>24.677</c:v>
                </c:pt>
                <c:pt idx="234">
                  <c:v>44.140999999999998</c:v>
                </c:pt>
                <c:pt idx="235">
                  <c:v>45.606000000000002</c:v>
                </c:pt>
                <c:pt idx="236">
                  <c:v>32.542000000000002</c:v>
                </c:pt>
                <c:pt idx="237">
                  <c:v>40.881999999999998</c:v>
                </c:pt>
                <c:pt idx="238">
                  <c:v>48.167000000000002</c:v>
                </c:pt>
                <c:pt idx="239">
                  <c:v>47.271000000000001</c:v>
                </c:pt>
                <c:pt idx="240">
                  <c:v>31.871000000000002</c:v>
                </c:pt>
                <c:pt idx="241">
                  <c:v>46.277000000000001</c:v>
                </c:pt>
                <c:pt idx="242">
                  <c:v>21.78</c:v>
                </c:pt>
                <c:pt idx="243">
                  <c:v>41.984999999999999</c:v>
                </c:pt>
                <c:pt idx="244">
                  <c:v>38.511000000000003</c:v>
                </c:pt>
                <c:pt idx="245">
                  <c:v>32.155000000000001</c:v>
                </c:pt>
                <c:pt idx="246">
                  <c:v>46.637</c:v>
                </c:pt>
                <c:pt idx="247">
                  <c:v>39.426000000000002</c:v>
                </c:pt>
                <c:pt idx="248">
                  <c:v>44.713000000000001</c:v>
                </c:pt>
                <c:pt idx="249">
                  <c:v>34.789000000000001</c:v>
                </c:pt>
                <c:pt idx="250">
                  <c:v>38.096000000000004</c:v>
                </c:pt>
                <c:pt idx="251">
                  <c:v>21.208000000000002</c:v>
                </c:pt>
                <c:pt idx="252">
                  <c:v>44.803000000000004</c:v>
                </c:pt>
                <c:pt idx="253">
                  <c:v>45.33</c:v>
                </c:pt>
                <c:pt idx="254">
                  <c:v>31.747</c:v>
                </c:pt>
                <c:pt idx="255">
                  <c:v>11.257</c:v>
                </c:pt>
                <c:pt idx="256">
                  <c:v>37.356000000000002</c:v>
                </c:pt>
                <c:pt idx="257">
                  <c:v>41.033000000000001</c:v>
                </c:pt>
                <c:pt idx="258">
                  <c:v>27.32</c:v>
                </c:pt>
                <c:pt idx="259">
                  <c:v>47.246000000000002</c:v>
                </c:pt>
                <c:pt idx="260">
                  <c:v>45.68</c:v>
                </c:pt>
                <c:pt idx="261">
                  <c:v>44.503</c:v>
                </c:pt>
                <c:pt idx="262">
                  <c:v>45.844999999999999</c:v>
                </c:pt>
                <c:pt idx="263">
                  <c:v>44.728000000000002</c:v>
                </c:pt>
                <c:pt idx="264">
                  <c:v>43.563000000000002</c:v>
                </c:pt>
                <c:pt idx="265">
                  <c:v>27.524000000000001</c:v>
                </c:pt>
                <c:pt idx="266">
                  <c:v>17.254000000000001</c:v>
                </c:pt>
                <c:pt idx="267">
                  <c:v>30.542999999999999</c:v>
                </c:pt>
                <c:pt idx="268">
                  <c:v>32.939</c:v>
                </c:pt>
                <c:pt idx="269">
                  <c:v>14.888</c:v>
                </c:pt>
                <c:pt idx="270">
                  <c:v>17.106999999999999</c:v>
                </c:pt>
                <c:pt idx="271">
                  <c:v>23.462</c:v>
                </c:pt>
                <c:pt idx="272">
                  <c:v>28.67</c:v>
                </c:pt>
                <c:pt idx="273">
                  <c:v>34.383000000000003</c:v>
                </c:pt>
                <c:pt idx="274">
                  <c:v>38.326999999999998</c:v>
                </c:pt>
                <c:pt idx="275">
                  <c:v>34.86</c:v>
                </c:pt>
                <c:pt idx="276">
                  <c:v>39.225000000000001</c:v>
                </c:pt>
                <c:pt idx="277">
                  <c:v>40.456000000000003</c:v>
                </c:pt>
                <c:pt idx="278">
                  <c:v>11.81</c:v>
                </c:pt>
                <c:pt idx="279">
                  <c:v>28.866</c:v>
                </c:pt>
                <c:pt idx="280">
                  <c:v>15.733000000000001</c:v>
                </c:pt>
                <c:pt idx="281">
                  <c:v>37.003</c:v>
                </c:pt>
                <c:pt idx="282">
                  <c:v>30.497</c:v>
                </c:pt>
                <c:pt idx="283">
                  <c:v>22.177</c:v>
                </c:pt>
                <c:pt idx="284">
                  <c:v>27.699000000000002</c:v>
                </c:pt>
                <c:pt idx="285">
                  <c:v>22.859000000000002</c:v>
                </c:pt>
                <c:pt idx="286">
                  <c:v>19.402999999999999</c:v>
                </c:pt>
                <c:pt idx="287">
                  <c:v>35.932000000000002</c:v>
                </c:pt>
                <c:pt idx="288">
                  <c:v>32.270000000000003</c:v>
                </c:pt>
                <c:pt idx="289">
                  <c:v>19.582000000000001</c:v>
                </c:pt>
                <c:pt idx="290">
                  <c:v>33.24</c:v>
                </c:pt>
                <c:pt idx="291">
                  <c:v>15.311</c:v>
                </c:pt>
                <c:pt idx="292">
                  <c:v>6.343</c:v>
                </c:pt>
                <c:pt idx="293">
                  <c:v>16.065000000000001</c:v>
                </c:pt>
                <c:pt idx="294">
                  <c:v>32.070999999999998</c:v>
                </c:pt>
                <c:pt idx="295">
                  <c:v>16.713000000000001</c:v>
                </c:pt>
                <c:pt idx="296">
                  <c:v>24.773</c:v>
                </c:pt>
                <c:pt idx="297">
                  <c:v>21.365000000000002</c:v>
                </c:pt>
                <c:pt idx="298">
                  <c:v>13.391999999999999</c:v>
                </c:pt>
                <c:pt idx="299">
                  <c:v>14.304</c:v>
                </c:pt>
                <c:pt idx="300">
                  <c:v>16.891000000000002</c:v>
                </c:pt>
                <c:pt idx="301">
                  <c:v>26.524000000000001</c:v>
                </c:pt>
                <c:pt idx="302">
                  <c:v>21.940999999999999</c:v>
                </c:pt>
                <c:pt idx="303">
                  <c:v>21.42</c:v>
                </c:pt>
                <c:pt idx="304">
                  <c:v>22.785</c:v>
                </c:pt>
                <c:pt idx="305">
                  <c:v>27.384</c:v>
                </c:pt>
                <c:pt idx="306">
                  <c:v>9.4030000000000005</c:v>
                </c:pt>
                <c:pt idx="307">
                  <c:v>16.491</c:v>
                </c:pt>
                <c:pt idx="308">
                  <c:v>28.716000000000001</c:v>
                </c:pt>
                <c:pt idx="309">
                  <c:v>29.584</c:v>
                </c:pt>
                <c:pt idx="310">
                  <c:v>27.34</c:v>
                </c:pt>
                <c:pt idx="311">
                  <c:v>20.584</c:v>
                </c:pt>
                <c:pt idx="312">
                  <c:v>9.625</c:v>
                </c:pt>
                <c:pt idx="313">
                  <c:v>19.988</c:v>
                </c:pt>
                <c:pt idx="314">
                  <c:v>27.071000000000002</c:v>
                </c:pt>
                <c:pt idx="315">
                  <c:v>27.116</c:v>
                </c:pt>
                <c:pt idx="316">
                  <c:v>26.193000000000001</c:v>
                </c:pt>
                <c:pt idx="317">
                  <c:v>9.2230000000000008</c:v>
                </c:pt>
                <c:pt idx="318">
                  <c:v>11.993</c:v>
                </c:pt>
                <c:pt idx="319">
                  <c:v>26.626000000000001</c:v>
                </c:pt>
                <c:pt idx="320">
                  <c:v>12.463000000000001</c:v>
                </c:pt>
                <c:pt idx="321">
                  <c:v>14.793000000000001</c:v>
                </c:pt>
                <c:pt idx="322">
                  <c:v>7.5760000000000005</c:v>
                </c:pt>
                <c:pt idx="323">
                  <c:v>15.141999999999999</c:v>
                </c:pt>
                <c:pt idx="324">
                  <c:v>3.2</c:v>
                </c:pt>
                <c:pt idx="325">
                  <c:v>7.9550000000000001</c:v>
                </c:pt>
                <c:pt idx="326">
                  <c:v>11.922000000000001</c:v>
                </c:pt>
                <c:pt idx="327">
                  <c:v>13.122</c:v>
                </c:pt>
                <c:pt idx="328">
                  <c:v>5.0810000000000004</c:v>
                </c:pt>
                <c:pt idx="329">
                  <c:v>10.185</c:v>
                </c:pt>
                <c:pt idx="330">
                  <c:v>14.488</c:v>
                </c:pt>
                <c:pt idx="331">
                  <c:v>10.502000000000001</c:v>
                </c:pt>
                <c:pt idx="332">
                  <c:v>14.612</c:v>
                </c:pt>
                <c:pt idx="333">
                  <c:v>4.0709999999999997</c:v>
                </c:pt>
                <c:pt idx="334">
                  <c:v>3.5030000000000001</c:v>
                </c:pt>
                <c:pt idx="335">
                  <c:v>5.8090000000000002</c:v>
                </c:pt>
                <c:pt idx="336">
                  <c:v>8.6769999999999996</c:v>
                </c:pt>
                <c:pt idx="337">
                  <c:v>17.228000000000002</c:v>
                </c:pt>
                <c:pt idx="338">
                  <c:v>23.449000000000002</c:v>
                </c:pt>
                <c:pt idx="339">
                  <c:v>10.86</c:v>
                </c:pt>
                <c:pt idx="340">
                  <c:v>19.705000000000002</c:v>
                </c:pt>
                <c:pt idx="341">
                  <c:v>4.0680000000000005</c:v>
                </c:pt>
                <c:pt idx="342">
                  <c:v>4.9219999999999997</c:v>
                </c:pt>
                <c:pt idx="343">
                  <c:v>11.586</c:v>
                </c:pt>
                <c:pt idx="344">
                  <c:v>16.186</c:v>
                </c:pt>
                <c:pt idx="345">
                  <c:v>5.6370000000000005</c:v>
                </c:pt>
                <c:pt idx="346">
                  <c:v>5.351</c:v>
                </c:pt>
                <c:pt idx="347">
                  <c:v>16.978999999999999</c:v>
                </c:pt>
                <c:pt idx="348">
                  <c:v>5.6319999999999997</c:v>
                </c:pt>
                <c:pt idx="349">
                  <c:v>4.7990000000000004</c:v>
                </c:pt>
                <c:pt idx="350">
                  <c:v>3.5070000000000001</c:v>
                </c:pt>
                <c:pt idx="351">
                  <c:v>21.059000000000001</c:v>
                </c:pt>
                <c:pt idx="352">
                  <c:v>17.042000000000002</c:v>
                </c:pt>
                <c:pt idx="353">
                  <c:v>4.4800000000000004</c:v>
                </c:pt>
                <c:pt idx="354">
                  <c:v>20.205000000000002</c:v>
                </c:pt>
                <c:pt idx="355">
                  <c:v>16.698</c:v>
                </c:pt>
                <c:pt idx="356">
                  <c:v>17.244</c:v>
                </c:pt>
                <c:pt idx="357">
                  <c:v>20.722999999999999</c:v>
                </c:pt>
                <c:pt idx="358">
                  <c:v>12.33</c:v>
                </c:pt>
                <c:pt idx="359">
                  <c:v>21.010999999999999</c:v>
                </c:pt>
                <c:pt idx="360">
                  <c:v>7.5720000000000001</c:v>
                </c:pt>
                <c:pt idx="361">
                  <c:v>20.182000000000002</c:v>
                </c:pt>
                <c:pt idx="362">
                  <c:v>9.9209999999999994</c:v>
                </c:pt>
                <c:pt idx="363">
                  <c:v>13.063000000000001</c:v>
                </c:pt>
                <c:pt idx="364">
                  <c:v>12.122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679440"/>
        <c:axId val="489679048"/>
      </c:lineChart>
      <c:dateAx>
        <c:axId val="489679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9048"/>
        <c:crosses val="autoZero"/>
        <c:auto val="1"/>
        <c:lblOffset val="100"/>
        <c:baseTimeUnit val="days"/>
        <c:majorUnit val="1"/>
        <c:majorTimeUnit val="months"/>
      </c:dateAx>
      <c:valAx>
        <c:axId val="4896790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94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23.989525785936827</c:v>
                </c:pt>
                <c:pt idx="1">
                  <c:v>24.158881186778128</c:v>
                </c:pt>
                <c:pt idx="2">
                  <c:v>24.335500752664974</c:v>
                </c:pt>
                <c:pt idx="3">
                  <c:v>24.518243093218643</c:v>
                </c:pt>
                <c:pt idx="4">
                  <c:v>24.705967153480461</c:v>
                </c:pt>
                <c:pt idx="5">
                  <c:v>24.897532224227344</c:v>
                </c:pt>
                <c:pt idx="6">
                  <c:v>25.091797935711043</c:v>
                </c:pt>
                <c:pt idx="7">
                  <c:v>25.287624266198915</c:v>
                </c:pt>
                <c:pt idx="8">
                  <c:v>25.487384825980314</c:v>
                </c:pt>
                <c:pt idx="9">
                  <c:v>25.694073349760902</c:v>
                </c:pt>
                <c:pt idx="10">
                  <c:v>25.90747155693823</c:v>
                </c:pt>
                <c:pt idx="11">
                  <c:v>26.127358747309721</c:v>
                </c:pt>
                <c:pt idx="12">
                  <c:v>26.353514262788909</c:v>
                </c:pt>
                <c:pt idx="13">
                  <c:v>26.585717498726808</c:v>
                </c:pt>
                <c:pt idx="14">
                  <c:v>26.823747898351602</c:v>
                </c:pt>
                <c:pt idx="15">
                  <c:v>27.067383210709242</c:v>
                </c:pt>
                <c:pt idx="16">
                  <c:v>27.31639662842597</c:v>
                </c:pt>
                <c:pt idx="17">
                  <c:v>27.570567760659756</c:v>
                </c:pt>
                <c:pt idx="18">
                  <c:v>27.829676281627748</c:v>
                </c:pt>
                <c:pt idx="19">
                  <c:v>28.09350189966419</c:v>
                </c:pt>
                <c:pt idx="20">
                  <c:v>28.36182438090599</c:v>
                </c:pt>
                <c:pt idx="21">
                  <c:v>28.634423587986486</c:v>
                </c:pt>
                <c:pt idx="22">
                  <c:v>28.913787017537409</c:v>
                </c:pt>
                <c:pt idx="23">
                  <c:v>29.201878254174076</c:v>
                </c:pt>
                <c:pt idx="24">
                  <c:v>29.497690665771973</c:v>
                </c:pt>
                <c:pt idx="25">
                  <c:v>29.800225425577857</c:v>
                </c:pt>
                <c:pt idx="26">
                  <c:v>30.108484053321781</c:v>
                </c:pt>
                <c:pt idx="27">
                  <c:v>30.421468404794535</c:v>
                </c:pt>
                <c:pt idx="28">
                  <c:v>30.73818068681846</c:v>
                </c:pt>
                <c:pt idx="29">
                  <c:v>31.057618230538139</c:v>
                </c:pt>
                <c:pt idx="30">
                  <c:v>31.378785681290307</c:v>
                </c:pt>
                <c:pt idx="31">
                  <c:v>31.700686290733479</c:v>
                </c:pt>
                <c:pt idx="32">
                  <c:v>32.02232365938179</c:v>
                </c:pt>
                <c:pt idx="33">
                  <c:v>32.34270174006506</c:v>
                </c:pt>
                <c:pt idx="34">
                  <c:v>32.660824837069917</c:v>
                </c:pt>
                <c:pt idx="35">
                  <c:v>32.975697607155951</c:v>
                </c:pt>
                <c:pt idx="36">
                  <c:v>33.288383288016369</c:v>
                </c:pt>
                <c:pt idx="37">
                  <c:v>33.600732480277969</c:v>
                </c:pt>
                <c:pt idx="38">
                  <c:v>33.912948930206909</c:v>
                </c:pt>
                <c:pt idx="39">
                  <c:v>34.225231977204118</c:v>
                </c:pt>
                <c:pt idx="40">
                  <c:v>34.537780909541482</c:v>
                </c:pt>
                <c:pt idx="41">
                  <c:v>34.850794962734994</c:v>
                </c:pt>
                <c:pt idx="42">
                  <c:v>35.16447331640741</c:v>
                </c:pt>
                <c:pt idx="43">
                  <c:v>35.479014771590855</c:v>
                </c:pt>
                <c:pt idx="44">
                  <c:v>35.794623602295218</c:v>
                </c:pt>
                <c:pt idx="45">
                  <c:v>36.111498797617884</c:v>
                </c:pt>
                <c:pt idx="46">
                  <c:v>36.429839277984293</c:v>
                </c:pt>
                <c:pt idx="47">
                  <c:v>36.749843892867602</c:v>
                </c:pt>
                <c:pt idx="48">
                  <c:v>37.071711415554155</c:v>
                </c:pt>
                <c:pt idx="49">
                  <c:v>37.39564053951338</c:v>
                </c:pt>
                <c:pt idx="50">
                  <c:v>37.721979089965672</c:v>
                </c:pt>
                <c:pt idx="51">
                  <c:v>38.050761815200843</c:v>
                </c:pt>
                <c:pt idx="52">
                  <c:v>38.381698886258583</c:v>
                </c:pt>
                <c:pt idx="53">
                  <c:v>38.714491561177283</c:v>
                </c:pt>
                <c:pt idx="54">
                  <c:v>39.048841145980568</c:v>
                </c:pt>
                <c:pt idx="55">
                  <c:v>39.384449008740958</c:v>
                </c:pt>
                <c:pt idx="56">
                  <c:v>39.721016574122928</c:v>
                </c:pt>
                <c:pt idx="57">
                  <c:v>40.058257083764801</c:v>
                </c:pt>
                <c:pt idx="58">
                  <c:v>40.395872473076942</c:v>
                </c:pt>
                <c:pt idx="59">
                  <c:v>40.733564366411649</c:v>
                </c:pt>
                <c:pt idx="60">
                  <c:v>41.071034435657431</c:v>
                </c:pt>
                <c:pt idx="61">
                  <c:v>41.407984397833069</c:v>
                </c:pt>
                <c:pt idx="62">
                  <c:v>41.744116013498015</c:v>
                </c:pt>
                <c:pt idx="63">
                  <c:v>42.079131085078679</c:v>
                </c:pt>
                <c:pt idx="64">
                  <c:v>42.413907244774258</c:v>
                </c:pt>
                <c:pt idx="65">
                  <c:v>42.749377241084588</c:v>
                </c:pt>
                <c:pt idx="66">
                  <c:v>43.085323035588694</c:v>
                </c:pt>
                <c:pt idx="67">
                  <c:v>43.421545281686313</c:v>
                </c:pt>
                <c:pt idx="68">
                  <c:v>43.75784463850988</c:v>
                </c:pt>
                <c:pt idx="69">
                  <c:v>44.09402177166762</c:v>
                </c:pt>
                <c:pt idx="70">
                  <c:v>44.42987735417708</c:v>
                </c:pt>
                <c:pt idx="71">
                  <c:v>44.765202661338151</c:v>
                </c:pt>
                <c:pt idx="72">
                  <c:v>45.099786361586936</c:v>
                </c:pt>
                <c:pt idx="73">
                  <c:v>45.433429054505019</c:v>
                </c:pt>
                <c:pt idx="74">
                  <c:v>45.765931342419911</c:v>
                </c:pt>
                <c:pt idx="75">
                  <c:v>46.097093831233117</c:v>
                </c:pt>
                <c:pt idx="76">
                  <c:v>46.426717133199325</c:v>
                </c:pt>
                <c:pt idx="77">
                  <c:v>46.754601867157049</c:v>
                </c:pt>
                <c:pt idx="78">
                  <c:v>47.083195282358588</c:v>
                </c:pt>
                <c:pt idx="79">
                  <c:v>47.414413768213208</c:v>
                </c:pt>
                <c:pt idx="80">
                  <c:v>47.747273808757647</c:v>
                </c:pt>
                <c:pt idx="81">
                  <c:v>48.080781317835019</c:v>
                </c:pt>
                <c:pt idx="82">
                  <c:v>48.413942494421214</c:v>
                </c:pt>
                <c:pt idx="83">
                  <c:v>48.745763825061886</c:v>
                </c:pt>
                <c:pt idx="84">
                  <c:v>49.075252091743621</c:v>
                </c:pt>
                <c:pt idx="85">
                  <c:v>49.401413693117888</c:v>
                </c:pt>
                <c:pt idx="86">
                  <c:v>49.723265705342477</c:v>
                </c:pt>
                <c:pt idx="87">
                  <c:v>50.039815917036073</c:v>
                </c:pt>
                <c:pt idx="88">
                  <c:v>50.350072450315707</c:v>
                </c:pt>
                <c:pt idx="89">
                  <c:v>50.653043764953971</c:v>
                </c:pt>
                <c:pt idx="90">
                  <c:v>50.94773867061803</c:v>
                </c:pt>
                <c:pt idx="91">
                  <c:v>51.233166339686328</c:v>
                </c:pt>
                <c:pt idx="92">
                  <c:v>51.51102932036779</c:v>
                </c:pt>
                <c:pt idx="93">
                  <c:v>51.783623345345177</c:v>
                </c:pt>
                <c:pt idx="94">
                  <c:v>52.050849837144973</c:v>
                </c:pt>
                <c:pt idx="95">
                  <c:v>52.312609546686893</c:v>
                </c:pt>
                <c:pt idx="96">
                  <c:v>52.568803283421325</c:v>
                </c:pt>
                <c:pt idx="97">
                  <c:v>52.819331925890133</c:v>
                </c:pt>
                <c:pt idx="98">
                  <c:v>53.064096417867368</c:v>
                </c:pt>
                <c:pt idx="99">
                  <c:v>53.302995048730658</c:v>
                </c:pt>
                <c:pt idx="100">
                  <c:v>53.535929604162618</c:v>
                </c:pt>
                <c:pt idx="101">
                  <c:v>53.762801242936582</c:v>
                </c:pt>
                <c:pt idx="102">
                  <c:v>53.983511209079346</c:v>
                </c:pt>
                <c:pt idx="103">
                  <c:v>54.19796083693619</c:v>
                </c:pt>
                <c:pt idx="104">
                  <c:v>54.406051557103211</c:v>
                </c:pt>
                <c:pt idx="105">
                  <c:v>54.607684901172547</c:v>
                </c:pt>
                <c:pt idx="106">
                  <c:v>54.802366508163679</c:v>
                </c:pt>
                <c:pt idx="107">
                  <c:v>54.989861447685932</c:v>
                </c:pt>
                <c:pt idx="108">
                  <c:v>55.17046860448702</c:v>
                </c:pt>
                <c:pt idx="109">
                  <c:v>55.344485816814974</c:v>
                </c:pt>
                <c:pt idx="110">
                  <c:v>58.56225573730476</c:v>
                </c:pt>
                <c:pt idx="111">
                  <c:v>58.732333678135042</c:v>
                </c:pt>
                <c:pt idx="112">
                  <c:v>58.896444797325096</c:v>
                </c:pt>
                <c:pt idx="113">
                  <c:v>59.054895679366311</c:v>
                </c:pt>
                <c:pt idx="114">
                  <c:v>59.208003734923196</c:v>
                </c:pt>
                <c:pt idx="115">
                  <c:v>59.356083172005022</c:v>
                </c:pt>
                <c:pt idx="116">
                  <c:v>59.499448047758008</c:v>
                </c:pt>
                <c:pt idx="117">
                  <c:v>59.638412271503306</c:v>
                </c:pt>
                <c:pt idx="118">
                  <c:v>59.773289605786999</c:v>
                </c:pt>
                <c:pt idx="119">
                  <c:v>59.904393666170179</c:v>
                </c:pt>
                <c:pt idx="120">
                  <c:v>60.031029881492138</c:v>
                </c:pt>
                <c:pt idx="121">
                  <c:v>60.15235490624562</c:v>
                </c:pt>
                <c:pt idx="122">
                  <c:v>60.268479484049955</c:v>
                </c:pt>
                <c:pt idx="123">
                  <c:v>60.379508833886625</c:v>
                </c:pt>
                <c:pt idx="124">
                  <c:v>60.485548124001163</c:v>
                </c:pt>
                <c:pt idx="125">
                  <c:v>60.586702475738747</c:v>
                </c:pt>
                <c:pt idx="126">
                  <c:v>60.683076961449714</c:v>
                </c:pt>
                <c:pt idx="127">
                  <c:v>60.774800058493078</c:v>
                </c:pt>
                <c:pt idx="128">
                  <c:v>60.861986328877748</c:v>
                </c:pt>
                <c:pt idx="129">
                  <c:v>60.94474157489983</c:v>
                </c:pt>
                <c:pt idx="130">
                  <c:v>61.023171591058883</c:v>
                </c:pt>
                <c:pt idx="131">
                  <c:v>61.097382176576403</c:v>
                </c:pt>
                <c:pt idx="132">
                  <c:v>61.167479125499</c:v>
                </c:pt>
                <c:pt idx="133">
                  <c:v>61.233568235217007</c:v>
                </c:pt>
                <c:pt idx="134">
                  <c:v>61.295043847534579</c:v>
                </c:pt>
                <c:pt idx="135">
                  <c:v>61.351410970906699</c:v>
                </c:pt>
                <c:pt idx="136">
                  <c:v>61.402892746891709</c:v>
                </c:pt>
                <c:pt idx="137">
                  <c:v>61.449701071738261</c:v>
                </c:pt>
                <c:pt idx="138">
                  <c:v>61.492047842232559</c:v>
                </c:pt>
                <c:pt idx="139">
                  <c:v>61.530144943081929</c:v>
                </c:pt>
                <c:pt idx="140">
                  <c:v>61.564204247131137</c:v>
                </c:pt>
                <c:pt idx="141">
                  <c:v>61.594428149203594</c:v>
                </c:pt>
                <c:pt idx="142">
                  <c:v>61.621001493363245</c:v>
                </c:pt>
                <c:pt idx="143">
                  <c:v>61.644135129001121</c:v>
                </c:pt>
                <c:pt idx="144">
                  <c:v>61.664039803032267</c:v>
                </c:pt>
                <c:pt idx="145">
                  <c:v>61.680926203922965</c:v>
                </c:pt>
                <c:pt idx="146">
                  <c:v>61.695004954746246</c:v>
                </c:pt>
                <c:pt idx="147">
                  <c:v>61.706486607481558</c:v>
                </c:pt>
                <c:pt idx="148">
                  <c:v>61.715287120195264</c:v>
                </c:pt>
                <c:pt idx="149">
                  <c:v>61.721089918905825</c:v>
                </c:pt>
                <c:pt idx="150">
                  <c:v>61.723745740677536</c:v>
                </c:pt>
                <c:pt idx="151">
                  <c:v>61.723151409505469</c:v>
                </c:pt>
                <c:pt idx="152">
                  <c:v>61.719203798289598</c:v>
                </c:pt>
                <c:pt idx="153">
                  <c:v>61.71179982803492</c:v>
                </c:pt>
                <c:pt idx="154">
                  <c:v>61.70083647111754</c:v>
                </c:pt>
                <c:pt idx="155">
                  <c:v>61.686206816438954</c:v>
                </c:pt>
                <c:pt idx="156">
                  <c:v>61.667818438766822</c:v>
                </c:pt>
                <c:pt idx="157">
                  <c:v>61.645568569498877</c:v>
                </c:pt>
                <c:pt idx="158">
                  <c:v>61.619354486753018</c:v>
                </c:pt>
                <c:pt idx="159">
                  <c:v>61.589073514679711</c:v>
                </c:pt>
                <c:pt idx="160">
                  <c:v>61.554623023545204</c:v>
                </c:pt>
                <c:pt idx="161">
                  <c:v>61.515900434901923</c:v>
                </c:pt>
                <c:pt idx="162">
                  <c:v>61.47216322699181</c:v>
                </c:pt>
                <c:pt idx="163">
                  <c:v>61.423015454147844</c:v>
                </c:pt>
                <c:pt idx="164">
                  <c:v>61.368901867381204</c:v>
                </c:pt>
                <c:pt idx="165">
                  <c:v>61.310239560470016</c:v>
                </c:pt>
                <c:pt idx="166">
                  <c:v>61.24744541529536</c:v>
                </c:pt>
                <c:pt idx="167">
                  <c:v>61.180936099544311</c:v>
                </c:pt>
                <c:pt idx="168">
                  <c:v>61.111128066696217</c:v>
                </c:pt>
                <c:pt idx="169">
                  <c:v>61.038437898220657</c:v>
                </c:pt>
                <c:pt idx="170">
                  <c:v>60.963286078310027</c:v>
                </c:pt>
                <c:pt idx="171">
                  <c:v>60.88608850559428</c:v>
                </c:pt>
                <c:pt idx="172">
                  <c:v>60.807260855553253</c:v>
                </c:pt>
                <c:pt idx="173">
                  <c:v>60.727218607391904</c:v>
                </c:pt>
                <c:pt idx="174">
                  <c:v>60.64637702174992</c:v>
                </c:pt>
                <c:pt idx="175">
                  <c:v>60.56515110800909</c:v>
                </c:pt>
                <c:pt idx="176">
                  <c:v>60.482919484255859</c:v>
                </c:pt>
                <c:pt idx="177">
                  <c:v>60.39878005923714</c:v>
                </c:pt>
                <c:pt idx="178">
                  <c:v>60.312733157405304</c:v>
                </c:pt>
                <c:pt idx="179">
                  <c:v>60.224779419598661</c:v>
                </c:pt>
                <c:pt idx="180">
                  <c:v>60.13491945586518</c:v>
                </c:pt>
                <c:pt idx="181">
                  <c:v>60.043153846390204</c:v>
                </c:pt>
                <c:pt idx="182">
                  <c:v>59.949483138756612</c:v>
                </c:pt>
                <c:pt idx="183">
                  <c:v>59.853876579849093</c:v>
                </c:pt>
                <c:pt idx="184">
                  <c:v>59.756333947151425</c:v>
                </c:pt>
                <c:pt idx="185">
                  <c:v>59.65685537777744</c:v>
                </c:pt>
                <c:pt idx="186">
                  <c:v>59.555441013264875</c:v>
                </c:pt>
                <c:pt idx="187">
                  <c:v>59.452090998138793</c:v>
                </c:pt>
                <c:pt idx="188">
                  <c:v>59.346805485007465</c:v>
                </c:pt>
                <c:pt idx="189">
                  <c:v>59.239584629317676</c:v>
                </c:pt>
                <c:pt idx="190">
                  <c:v>59.130204439451838</c:v>
                </c:pt>
                <c:pt idx="191">
                  <c:v>59.018497668854906</c:v>
                </c:pt>
                <c:pt idx="192">
                  <c:v>58.904572969353822</c:v>
                </c:pt>
                <c:pt idx="193">
                  <c:v>58.788534031107311</c:v>
                </c:pt>
                <c:pt idx="194">
                  <c:v>58.670484510270001</c:v>
                </c:pt>
                <c:pt idx="195">
                  <c:v>58.550528031435995</c:v>
                </c:pt>
                <c:pt idx="196">
                  <c:v>58.428768184913707</c:v>
                </c:pt>
                <c:pt idx="197">
                  <c:v>58.305370508192233</c:v>
                </c:pt>
                <c:pt idx="198">
                  <c:v>58.180471460220133</c:v>
                </c:pt>
                <c:pt idx="199">
                  <c:v>58.054175021075679</c:v>
                </c:pt>
                <c:pt idx="200">
                  <c:v>57.926585088711178</c:v>
                </c:pt>
                <c:pt idx="201">
                  <c:v>57.797805483290666</c:v>
                </c:pt>
                <c:pt idx="202">
                  <c:v>57.667939952264689</c:v>
                </c:pt>
                <c:pt idx="203">
                  <c:v>57.537092175602133</c:v>
                </c:pt>
                <c:pt idx="204">
                  <c:v>57.405107535481221</c:v>
                </c:pt>
                <c:pt idx="205">
                  <c:v>57.271799478241022</c:v>
                </c:pt>
                <c:pt idx="206">
                  <c:v>57.137181033099338</c:v>
                </c:pt>
                <c:pt idx="207">
                  <c:v>57.001252720398746</c:v>
                </c:pt>
                <c:pt idx="208">
                  <c:v>56.864015038353536</c:v>
                </c:pt>
                <c:pt idx="209">
                  <c:v>56.725468468010327</c:v>
                </c:pt>
                <c:pt idx="210">
                  <c:v>56.585613475732352</c:v>
                </c:pt>
                <c:pt idx="211">
                  <c:v>56.444432355881233</c:v>
                </c:pt>
                <c:pt idx="212">
                  <c:v>56.301862279348278</c:v>
                </c:pt>
                <c:pt idx="213">
                  <c:v>56.15790348184678</c:v>
                </c:pt>
                <c:pt idx="214">
                  <c:v>56.01255621621533</c:v>
                </c:pt>
                <c:pt idx="215">
                  <c:v>55.865820753000946</c:v>
                </c:pt>
                <c:pt idx="216">
                  <c:v>55.717697379132396</c:v>
                </c:pt>
                <c:pt idx="217">
                  <c:v>55.568186397835518</c:v>
                </c:pt>
                <c:pt idx="218">
                  <c:v>55.417511612883914</c:v>
                </c:pt>
                <c:pt idx="219">
                  <c:v>55.26581362637129</c:v>
                </c:pt>
                <c:pt idx="220">
                  <c:v>55.112952329012238</c:v>
                </c:pt>
                <c:pt idx="221">
                  <c:v>54.958824833010361</c:v>
                </c:pt>
                <c:pt idx="222">
                  <c:v>54.803328316803949</c:v>
                </c:pt>
                <c:pt idx="223">
                  <c:v>54.646360021584997</c:v>
                </c:pt>
                <c:pt idx="224">
                  <c:v>54.487817250508549</c:v>
                </c:pt>
                <c:pt idx="225">
                  <c:v>54.327587925571436</c:v>
                </c:pt>
                <c:pt idx="226">
                  <c:v>54.165587801472952</c:v>
                </c:pt>
                <c:pt idx="227">
                  <c:v>54.001714374344402</c:v>
                </c:pt>
                <c:pt idx="228">
                  <c:v>53.835865194358583</c:v>
                </c:pt>
                <c:pt idx="229">
                  <c:v>53.667937866198322</c:v>
                </c:pt>
                <c:pt idx="230">
                  <c:v>53.49783004840539</c:v>
                </c:pt>
                <c:pt idx="231">
                  <c:v>53.325439449380831</c:v>
                </c:pt>
                <c:pt idx="232">
                  <c:v>53.152706596855616</c:v>
                </c:pt>
                <c:pt idx="233">
                  <c:v>52.981085096966062</c:v>
                </c:pt>
                <c:pt idx="234">
                  <c:v>52.809765261152648</c:v>
                </c:pt>
                <c:pt idx="235">
                  <c:v>52.637923354212333</c:v>
                </c:pt>
                <c:pt idx="236">
                  <c:v>52.464735990178667</c:v>
                </c:pt>
                <c:pt idx="237">
                  <c:v>52.28938012975371</c:v>
                </c:pt>
                <c:pt idx="238">
                  <c:v>52.111033079366962</c:v>
                </c:pt>
                <c:pt idx="239">
                  <c:v>51.928870422286863</c:v>
                </c:pt>
                <c:pt idx="240">
                  <c:v>51.742079581361608</c:v>
                </c:pt>
                <c:pt idx="241">
                  <c:v>51.549838881830055</c:v>
                </c:pt>
                <c:pt idx="242">
                  <c:v>51.351326989053703</c:v>
                </c:pt>
                <c:pt idx="243">
                  <c:v>51.145722904096473</c:v>
                </c:pt>
                <c:pt idx="244">
                  <c:v>50.932205966408404</c:v>
                </c:pt>
                <c:pt idx="245">
                  <c:v>50.709955845388158</c:v>
                </c:pt>
                <c:pt idx="246">
                  <c:v>50.47931817071477</c:v>
                </c:pt>
                <c:pt idx="247">
                  <c:v>50.241459463340966</c:v>
                </c:pt>
                <c:pt idx="248">
                  <c:v>49.996798861809118</c:v>
                </c:pt>
                <c:pt idx="249">
                  <c:v>49.745749833468793</c:v>
                </c:pt>
                <c:pt idx="250">
                  <c:v>49.488725684024729</c:v>
                </c:pt>
                <c:pt idx="251">
                  <c:v>49.226139549066069</c:v>
                </c:pt>
                <c:pt idx="252">
                  <c:v>48.958404403640053</c:v>
                </c:pt>
                <c:pt idx="253">
                  <c:v>48.685931179852226</c:v>
                </c:pt>
                <c:pt idx="254">
                  <c:v>48.40913457428001</c:v>
                </c:pt>
                <c:pt idx="255">
                  <c:v>48.128427066003624</c:v>
                </c:pt>
                <c:pt idx="256">
                  <c:v>47.844220971476616</c:v>
                </c:pt>
                <c:pt idx="257">
                  <c:v>47.556928443990273</c:v>
                </c:pt>
                <c:pt idx="258">
                  <c:v>47.266961473864619</c:v>
                </c:pt>
                <c:pt idx="259">
                  <c:v>46.974731888651519</c:v>
                </c:pt>
                <c:pt idx="260">
                  <c:v>46.67784409024312</c:v>
                </c:pt>
                <c:pt idx="261">
                  <c:v>46.374148196974502</c:v>
                </c:pt>
                <c:pt idx="262">
                  <c:v>46.064469628178493</c:v>
                </c:pt>
                <c:pt idx="263">
                  <c:v>45.749631836381859</c:v>
                </c:pt>
                <c:pt idx="264">
                  <c:v>45.430457959660878</c:v>
                </c:pt>
                <c:pt idx="265">
                  <c:v>45.107770813997796</c:v>
                </c:pt>
                <c:pt idx="266">
                  <c:v>44.782392897919742</c:v>
                </c:pt>
                <c:pt idx="267">
                  <c:v>44.455124812446179</c:v>
                </c:pt>
                <c:pt idx="268">
                  <c:v>44.126790408549439</c:v>
                </c:pt>
                <c:pt idx="269">
                  <c:v>43.798211396829927</c:v>
                </c:pt>
                <c:pt idx="270">
                  <c:v>43.470209190226456</c:v>
                </c:pt>
                <c:pt idx="271">
                  <c:v>43.143604907292875</c:v>
                </c:pt>
                <c:pt idx="272">
                  <c:v>42.819219374350055</c:v>
                </c:pt>
                <c:pt idx="273">
                  <c:v>42.497873127889065</c:v>
                </c:pt>
                <c:pt idx="274">
                  <c:v>42.178335084650065</c:v>
                </c:pt>
                <c:pt idx="275">
                  <c:v>41.858870574523685</c:v>
                </c:pt>
                <c:pt idx="276">
                  <c:v>41.539507901165038</c:v>
                </c:pt>
                <c:pt idx="277">
                  <c:v>41.220246975095186</c:v>
                </c:pt>
                <c:pt idx="278">
                  <c:v>40.901087660879391</c:v>
                </c:pt>
                <c:pt idx="279">
                  <c:v>40.582029774063159</c:v>
                </c:pt>
                <c:pt idx="280">
                  <c:v>40.263073078276285</c:v>
                </c:pt>
                <c:pt idx="281">
                  <c:v>39.944254141060682</c:v>
                </c:pt>
                <c:pt idx="282">
                  <c:v>39.625592776351183</c:v>
                </c:pt>
                <c:pt idx="283">
                  <c:v>39.307087842660678</c:v>
                </c:pt>
                <c:pt idx="284">
                  <c:v>38.988738091054444</c:v>
                </c:pt>
                <c:pt idx="285">
                  <c:v>38.670542164037116</c:v>
                </c:pt>
                <c:pt idx="286">
                  <c:v>38.352498595223103</c:v>
                </c:pt>
                <c:pt idx="287">
                  <c:v>38.034605809851342</c:v>
                </c:pt>
                <c:pt idx="288">
                  <c:v>37.715974344932221</c:v>
                </c:pt>
                <c:pt idx="289">
                  <c:v>37.39597665314016</c:v>
                </c:pt>
                <c:pt idx="290">
                  <c:v>37.074980754009459</c:v>
                </c:pt>
                <c:pt idx="291">
                  <c:v>36.753395414991964</c:v>
                </c:pt>
                <c:pt idx="292">
                  <c:v>36.431629205565663</c:v>
                </c:pt>
                <c:pt idx="293">
                  <c:v>36.110090503546111</c:v>
                </c:pt>
                <c:pt idx="294">
                  <c:v>35.789187498398036</c:v>
                </c:pt>
                <c:pt idx="295">
                  <c:v>35.469311326756852</c:v>
                </c:pt>
                <c:pt idx="296">
                  <c:v>35.150835921844028</c:v>
                </c:pt>
                <c:pt idx="297">
                  <c:v>34.834169873060318</c:v>
                </c:pt>
                <c:pt idx="298">
                  <c:v>34.519721689272316</c:v>
                </c:pt>
                <c:pt idx="299">
                  <c:v>34.207899744286053</c:v>
                </c:pt>
                <c:pt idx="300">
                  <c:v>33.899112279878089</c:v>
                </c:pt>
                <c:pt idx="301">
                  <c:v>33.593767406493647</c:v>
                </c:pt>
                <c:pt idx="302">
                  <c:v>33.290363245869116</c:v>
                </c:pt>
                <c:pt idx="303">
                  <c:v>32.98739011418936</c:v>
                </c:pt>
                <c:pt idx="304">
                  <c:v>32.685267296372423</c:v>
                </c:pt>
                <c:pt idx="305">
                  <c:v>32.384403305928394</c:v>
                </c:pt>
                <c:pt idx="306">
                  <c:v>32.085206529259018</c:v>
                </c:pt>
                <c:pt idx="307">
                  <c:v>31.788085233732456</c:v>
                </c:pt>
                <c:pt idx="308">
                  <c:v>31.493447561472699</c:v>
                </c:pt>
                <c:pt idx="309">
                  <c:v>31.201693796903577</c:v>
                </c:pt>
                <c:pt idx="310">
                  <c:v>30.913247250380977</c:v>
                </c:pt>
                <c:pt idx="311">
                  <c:v>30.628515551361755</c:v>
                </c:pt>
                <c:pt idx="312">
                  <c:v>30.347906211945425</c:v>
                </c:pt>
                <c:pt idx="313">
                  <c:v>30.071826633511062</c:v>
                </c:pt>
                <c:pt idx="314">
                  <c:v>29.800684104425631</c:v>
                </c:pt>
                <c:pt idx="315">
                  <c:v>29.534885804968194</c:v>
                </c:pt>
                <c:pt idx="316">
                  <c:v>29.273595411105887</c:v>
                </c:pt>
                <c:pt idx="317">
                  <c:v>29.015770453406933</c:v>
                </c:pt>
                <c:pt idx="318">
                  <c:v>28.761519422862396</c:v>
                </c:pt>
                <c:pt idx="319">
                  <c:v>28.510943177535388</c:v>
                </c:pt>
                <c:pt idx="320">
                  <c:v>28.264142568015941</c:v>
                </c:pt>
                <c:pt idx="321">
                  <c:v>28.021218447500402</c:v>
                </c:pt>
                <c:pt idx="322">
                  <c:v>27.782271662608014</c:v>
                </c:pt>
                <c:pt idx="323">
                  <c:v>27.547414602396277</c:v>
                </c:pt>
                <c:pt idx="324">
                  <c:v>27.316754887084461</c:v>
                </c:pt>
                <c:pt idx="325">
                  <c:v>27.090393036054991</c:v>
                </c:pt>
                <c:pt idx="326">
                  <c:v>26.868429633862512</c:v>
                </c:pt>
                <c:pt idx="327">
                  <c:v>26.650965255065081</c:v>
                </c:pt>
                <c:pt idx="328">
                  <c:v>26.43810045334973</c:v>
                </c:pt>
                <c:pt idx="329">
                  <c:v>26.229935799802515</c:v>
                </c:pt>
                <c:pt idx="330">
                  <c:v>26.023220354727446</c:v>
                </c:pt>
                <c:pt idx="331">
                  <c:v>25.815598576286984</c:v>
                </c:pt>
                <c:pt idx="332">
                  <c:v>25.60850110544666</c:v>
                </c:pt>
                <c:pt idx="333">
                  <c:v>25.403356234451895</c:v>
                </c:pt>
                <c:pt idx="334">
                  <c:v>25.20159183851711</c:v>
                </c:pt>
                <c:pt idx="335">
                  <c:v>25.004635354862831</c:v>
                </c:pt>
                <c:pt idx="336">
                  <c:v>24.813913788196881</c:v>
                </c:pt>
                <c:pt idx="337">
                  <c:v>24.63084988868583</c:v>
                </c:pt>
                <c:pt idx="338">
                  <c:v>24.456859110899199</c:v>
                </c:pt>
                <c:pt idx="339">
                  <c:v>24.293367268803657</c:v>
                </c:pt>
                <c:pt idx="340">
                  <c:v>24.14179968671683</c:v>
                </c:pt>
                <c:pt idx="341">
                  <c:v>24.00358120351283</c:v>
                </c:pt>
                <c:pt idx="342">
                  <c:v>23.88013616276918</c:v>
                </c:pt>
                <c:pt idx="343">
                  <c:v>23.772888406969102</c:v>
                </c:pt>
                <c:pt idx="344">
                  <c:v>23.679157209366256</c:v>
                </c:pt>
                <c:pt idx="345">
                  <c:v>23.595476153742531</c:v>
                </c:pt>
                <c:pt idx="346">
                  <c:v>23.52208146678905</c:v>
                </c:pt>
                <c:pt idx="347">
                  <c:v>23.459217993296242</c:v>
                </c:pt>
                <c:pt idx="348">
                  <c:v>23.407130475222946</c:v>
                </c:pt>
                <c:pt idx="349">
                  <c:v>23.366063563222561</c:v>
                </c:pt>
                <c:pt idx="350">
                  <c:v>23.336261804195736</c:v>
                </c:pt>
                <c:pt idx="351">
                  <c:v>23.317970128738057</c:v>
                </c:pt>
                <c:pt idx="352">
                  <c:v>23.311436553695401</c:v>
                </c:pt>
                <c:pt idx="353">
                  <c:v>23.316905294871887</c:v>
                </c:pt>
                <c:pt idx="354">
                  <c:v>23.334620478298291</c:v>
                </c:pt>
                <c:pt idx="355">
                  <c:v>23.364826126352455</c:v>
                </c:pt>
                <c:pt idx="356">
                  <c:v>23.407766175592073</c:v>
                </c:pt>
                <c:pt idx="357">
                  <c:v>23.463684425528324</c:v>
                </c:pt>
                <c:pt idx="358">
                  <c:v>23.534919204472008</c:v>
                </c:pt>
                <c:pt idx="359">
                  <c:v>23.622868575673234</c:v>
                </c:pt>
                <c:pt idx="360">
                  <c:v>23.726362574812889</c:v>
                </c:pt>
                <c:pt idx="361">
                  <c:v>23.844234814288232</c:v>
                </c:pt>
                <c:pt idx="362">
                  <c:v>23.975319788306521</c:v>
                </c:pt>
                <c:pt idx="363">
                  <c:v>24.118452409868716</c:v>
                </c:pt>
                <c:pt idx="364">
                  <c:v>24.272467989997935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7.375</c:v>
                </c:pt>
                <c:pt idx="1">
                  <c:v>4.149</c:v>
                </c:pt>
                <c:pt idx="2">
                  <c:v>24.178000000000001</c:v>
                </c:pt>
                <c:pt idx="3">
                  <c:v>20.634</c:v>
                </c:pt>
                <c:pt idx="4">
                  <c:v>3.173</c:v>
                </c:pt>
                <c:pt idx="5">
                  <c:v>6.9020000000000001</c:v>
                </c:pt>
                <c:pt idx="6">
                  <c:v>13.885</c:v>
                </c:pt>
                <c:pt idx="7">
                  <c:v>18.895</c:v>
                </c:pt>
                <c:pt idx="8">
                  <c:v>6.1150000000000002</c:v>
                </c:pt>
                <c:pt idx="9">
                  <c:v>5.4080000000000004</c:v>
                </c:pt>
                <c:pt idx="10">
                  <c:v>5.1980000000000004</c:v>
                </c:pt>
                <c:pt idx="11">
                  <c:v>11.788</c:v>
                </c:pt>
                <c:pt idx="12">
                  <c:v>9.4710000000000001</c:v>
                </c:pt>
                <c:pt idx="13">
                  <c:v>11.904</c:v>
                </c:pt>
                <c:pt idx="14">
                  <c:v>18.346</c:v>
                </c:pt>
                <c:pt idx="15">
                  <c:v>17.856999999999999</c:v>
                </c:pt>
                <c:pt idx="16">
                  <c:v>8.2430000000000003</c:v>
                </c:pt>
                <c:pt idx="17">
                  <c:v>26.446000000000002</c:v>
                </c:pt>
                <c:pt idx="18">
                  <c:v>28.306000000000001</c:v>
                </c:pt>
                <c:pt idx="19">
                  <c:v>6.5120000000000005</c:v>
                </c:pt>
                <c:pt idx="20">
                  <c:v>12.609</c:v>
                </c:pt>
                <c:pt idx="21">
                  <c:v>6.01</c:v>
                </c:pt>
                <c:pt idx="22">
                  <c:v>7.8609999999999998</c:v>
                </c:pt>
                <c:pt idx="23">
                  <c:v>14.950000000000001</c:v>
                </c:pt>
                <c:pt idx="24">
                  <c:v>7.7990000000000004</c:v>
                </c:pt>
                <c:pt idx="25">
                  <c:v>18.222000000000001</c:v>
                </c:pt>
                <c:pt idx="26">
                  <c:v>5.64</c:v>
                </c:pt>
                <c:pt idx="27">
                  <c:v>17.189</c:v>
                </c:pt>
                <c:pt idx="28">
                  <c:v>14.926</c:v>
                </c:pt>
                <c:pt idx="29">
                  <c:v>8.6739999999999995</c:v>
                </c:pt>
                <c:pt idx="30">
                  <c:v>8.3119999999999994</c:v>
                </c:pt>
                <c:pt idx="31">
                  <c:v>7.59</c:v>
                </c:pt>
                <c:pt idx="32">
                  <c:v>27.341000000000001</c:v>
                </c:pt>
                <c:pt idx="33">
                  <c:v>21.579000000000001</c:v>
                </c:pt>
                <c:pt idx="34">
                  <c:v>15.777000000000001</c:v>
                </c:pt>
                <c:pt idx="35">
                  <c:v>13.525</c:v>
                </c:pt>
                <c:pt idx="36">
                  <c:v>9.7729999999999997</c:v>
                </c:pt>
                <c:pt idx="37">
                  <c:v>18.451000000000001</c:v>
                </c:pt>
                <c:pt idx="38">
                  <c:v>4.6349999999999998</c:v>
                </c:pt>
                <c:pt idx="39">
                  <c:v>12.448</c:v>
                </c:pt>
                <c:pt idx="40">
                  <c:v>14.445</c:v>
                </c:pt>
                <c:pt idx="41">
                  <c:v>28.396000000000001</c:v>
                </c:pt>
                <c:pt idx="42">
                  <c:v>5.2620000000000005</c:v>
                </c:pt>
                <c:pt idx="43">
                  <c:v>7.2910000000000004</c:v>
                </c:pt>
                <c:pt idx="44">
                  <c:v>33.611000000000004</c:v>
                </c:pt>
                <c:pt idx="45">
                  <c:v>32.603999999999999</c:v>
                </c:pt>
                <c:pt idx="46">
                  <c:v>29.586000000000002</c:v>
                </c:pt>
                <c:pt idx="47">
                  <c:v>33.11</c:v>
                </c:pt>
                <c:pt idx="48">
                  <c:v>14.417</c:v>
                </c:pt>
                <c:pt idx="49">
                  <c:v>35.652999999999999</c:v>
                </c:pt>
                <c:pt idx="50">
                  <c:v>29.635999999999999</c:v>
                </c:pt>
                <c:pt idx="51">
                  <c:v>13.153</c:v>
                </c:pt>
                <c:pt idx="52">
                  <c:v>8.3970000000000002</c:v>
                </c:pt>
                <c:pt idx="53">
                  <c:v>28.798999999999999</c:v>
                </c:pt>
                <c:pt idx="54">
                  <c:v>36.563000000000002</c:v>
                </c:pt>
                <c:pt idx="55">
                  <c:v>33.036000000000001</c:v>
                </c:pt>
                <c:pt idx="56">
                  <c:v>8.0909999999999993</c:v>
                </c:pt>
                <c:pt idx="57">
                  <c:v>38.503999999999998</c:v>
                </c:pt>
                <c:pt idx="58">
                  <c:v>31.478999999999999</c:v>
                </c:pt>
                <c:pt idx="59">
                  <c:v>35.913000000000004</c:v>
                </c:pt>
                <c:pt idx="60">
                  <c:v>16.882000000000001</c:v>
                </c:pt>
                <c:pt idx="61">
                  <c:v>14.919</c:v>
                </c:pt>
                <c:pt idx="62">
                  <c:v>28.033000000000001</c:v>
                </c:pt>
                <c:pt idx="63">
                  <c:v>34.116999999999997</c:v>
                </c:pt>
                <c:pt idx="64">
                  <c:v>10.725</c:v>
                </c:pt>
                <c:pt idx="65">
                  <c:v>10.541</c:v>
                </c:pt>
                <c:pt idx="66">
                  <c:v>23.202000000000002</c:v>
                </c:pt>
                <c:pt idx="67">
                  <c:v>40.719000000000001</c:v>
                </c:pt>
                <c:pt idx="68">
                  <c:v>40.215000000000003</c:v>
                </c:pt>
                <c:pt idx="69">
                  <c:v>31.580000000000002</c:v>
                </c:pt>
                <c:pt idx="70">
                  <c:v>30.57</c:v>
                </c:pt>
                <c:pt idx="71">
                  <c:v>38.521000000000001</c:v>
                </c:pt>
                <c:pt idx="72">
                  <c:v>25.875</c:v>
                </c:pt>
                <c:pt idx="73">
                  <c:v>18.036999999999999</c:v>
                </c:pt>
                <c:pt idx="74">
                  <c:v>30.634</c:v>
                </c:pt>
                <c:pt idx="75">
                  <c:v>25.091999999999999</c:v>
                </c:pt>
                <c:pt idx="76">
                  <c:v>22.963000000000001</c:v>
                </c:pt>
                <c:pt idx="77">
                  <c:v>9.016</c:v>
                </c:pt>
                <c:pt idx="78">
                  <c:v>43.27</c:v>
                </c:pt>
                <c:pt idx="79">
                  <c:v>39.664999999999999</c:v>
                </c:pt>
                <c:pt idx="80">
                  <c:v>37.989000000000004</c:v>
                </c:pt>
                <c:pt idx="81">
                  <c:v>47.634999999999998</c:v>
                </c:pt>
                <c:pt idx="82">
                  <c:v>46.719000000000001</c:v>
                </c:pt>
                <c:pt idx="83">
                  <c:v>33.268000000000001</c:v>
                </c:pt>
                <c:pt idx="84">
                  <c:v>38.213000000000001</c:v>
                </c:pt>
                <c:pt idx="85">
                  <c:v>43.256999999999998</c:v>
                </c:pt>
                <c:pt idx="86">
                  <c:v>47.786999999999999</c:v>
                </c:pt>
                <c:pt idx="87">
                  <c:v>50.268000000000001</c:v>
                </c:pt>
                <c:pt idx="88">
                  <c:v>46.975000000000001</c:v>
                </c:pt>
                <c:pt idx="89">
                  <c:v>45.486000000000004</c:v>
                </c:pt>
                <c:pt idx="90">
                  <c:v>46.548999999999999</c:v>
                </c:pt>
                <c:pt idx="91">
                  <c:v>42.253999999999998</c:v>
                </c:pt>
                <c:pt idx="92">
                  <c:v>49.268000000000001</c:v>
                </c:pt>
                <c:pt idx="93">
                  <c:v>49.407000000000004</c:v>
                </c:pt>
                <c:pt idx="94">
                  <c:v>47.556000000000004</c:v>
                </c:pt>
                <c:pt idx="95">
                  <c:v>31.48</c:v>
                </c:pt>
                <c:pt idx="96">
                  <c:v>52.012</c:v>
                </c:pt>
                <c:pt idx="97">
                  <c:v>51.492000000000004</c:v>
                </c:pt>
                <c:pt idx="98">
                  <c:v>31.905000000000001</c:v>
                </c:pt>
                <c:pt idx="99">
                  <c:v>33.112000000000002</c:v>
                </c:pt>
                <c:pt idx="100">
                  <c:v>8.1579999999999995</c:v>
                </c:pt>
                <c:pt idx="101">
                  <c:v>41.771999999999998</c:v>
                </c:pt>
                <c:pt idx="102">
                  <c:v>48.021000000000001</c:v>
                </c:pt>
                <c:pt idx="103">
                  <c:v>53.050000000000004</c:v>
                </c:pt>
                <c:pt idx="104">
                  <c:v>53.493000000000002</c:v>
                </c:pt>
                <c:pt idx="105">
                  <c:v>47.536999999999999</c:v>
                </c:pt>
                <c:pt idx="106">
                  <c:v>48.442999999999998</c:v>
                </c:pt>
                <c:pt idx="107">
                  <c:v>39.246000000000002</c:v>
                </c:pt>
                <c:pt idx="108">
                  <c:v>53.222999999999999</c:v>
                </c:pt>
                <c:pt idx="109">
                  <c:v>38.866999999999997</c:v>
                </c:pt>
                <c:pt idx="110">
                  <c:v>54.122</c:v>
                </c:pt>
                <c:pt idx="111">
                  <c:v>59.911000000000001</c:v>
                </c:pt>
                <c:pt idx="112">
                  <c:v>60.234999999999999</c:v>
                </c:pt>
                <c:pt idx="113">
                  <c:v>57.785000000000004</c:v>
                </c:pt>
                <c:pt idx="114">
                  <c:v>27.974</c:v>
                </c:pt>
                <c:pt idx="115">
                  <c:v>7.9630000000000001</c:v>
                </c:pt>
                <c:pt idx="116">
                  <c:v>20.779</c:v>
                </c:pt>
                <c:pt idx="117">
                  <c:v>18.234999999999999</c:v>
                </c:pt>
                <c:pt idx="118">
                  <c:v>27.175000000000001</c:v>
                </c:pt>
                <c:pt idx="119">
                  <c:v>16.522000000000002</c:v>
                </c:pt>
                <c:pt idx="120">
                  <c:v>19.568000000000001</c:v>
                </c:pt>
                <c:pt idx="121">
                  <c:v>49.381</c:v>
                </c:pt>
                <c:pt idx="122">
                  <c:v>58.762</c:v>
                </c:pt>
                <c:pt idx="123">
                  <c:v>52.176000000000002</c:v>
                </c:pt>
                <c:pt idx="124">
                  <c:v>35.033999999999999</c:v>
                </c:pt>
                <c:pt idx="125">
                  <c:v>36.173000000000002</c:v>
                </c:pt>
                <c:pt idx="126">
                  <c:v>27.507999999999999</c:v>
                </c:pt>
                <c:pt idx="127">
                  <c:v>58.951000000000001</c:v>
                </c:pt>
                <c:pt idx="128">
                  <c:v>21.608000000000001</c:v>
                </c:pt>
                <c:pt idx="129">
                  <c:v>43.303000000000004</c:v>
                </c:pt>
                <c:pt idx="130">
                  <c:v>36.262999999999998</c:v>
                </c:pt>
                <c:pt idx="131">
                  <c:v>43.480000000000004</c:v>
                </c:pt>
                <c:pt idx="132">
                  <c:v>47.378</c:v>
                </c:pt>
                <c:pt idx="133">
                  <c:v>44.363</c:v>
                </c:pt>
                <c:pt idx="134">
                  <c:v>21.309000000000001</c:v>
                </c:pt>
                <c:pt idx="135">
                  <c:v>13.769</c:v>
                </c:pt>
                <c:pt idx="136">
                  <c:v>57.335999999999999</c:v>
                </c:pt>
                <c:pt idx="137">
                  <c:v>36.573</c:v>
                </c:pt>
                <c:pt idx="138">
                  <c:v>44.811</c:v>
                </c:pt>
                <c:pt idx="139">
                  <c:v>60.862000000000002</c:v>
                </c:pt>
                <c:pt idx="140">
                  <c:v>39.972000000000001</c:v>
                </c:pt>
                <c:pt idx="141">
                  <c:v>30.442</c:v>
                </c:pt>
                <c:pt idx="142">
                  <c:v>39.006999999999998</c:v>
                </c:pt>
                <c:pt idx="143">
                  <c:v>29.599</c:v>
                </c:pt>
                <c:pt idx="144">
                  <c:v>50.2</c:v>
                </c:pt>
                <c:pt idx="145">
                  <c:v>54.006</c:v>
                </c:pt>
                <c:pt idx="146">
                  <c:v>60.13</c:v>
                </c:pt>
                <c:pt idx="147">
                  <c:v>54.009</c:v>
                </c:pt>
                <c:pt idx="148">
                  <c:v>36.794000000000004</c:v>
                </c:pt>
                <c:pt idx="149">
                  <c:v>54.913000000000004</c:v>
                </c:pt>
                <c:pt idx="150">
                  <c:v>59.878</c:v>
                </c:pt>
                <c:pt idx="151">
                  <c:v>38.319000000000003</c:v>
                </c:pt>
                <c:pt idx="152">
                  <c:v>48.304000000000002</c:v>
                </c:pt>
                <c:pt idx="153">
                  <c:v>54.484000000000002</c:v>
                </c:pt>
                <c:pt idx="154">
                  <c:v>8.5410000000000004</c:v>
                </c:pt>
                <c:pt idx="155">
                  <c:v>41.773000000000003</c:v>
                </c:pt>
                <c:pt idx="156">
                  <c:v>46.800000000000004</c:v>
                </c:pt>
                <c:pt idx="157">
                  <c:v>53.014000000000003</c:v>
                </c:pt>
                <c:pt idx="158">
                  <c:v>60.515999999999998</c:v>
                </c:pt>
                <c:pt idx="159">
                  <c:v>58.597999999999999</c:v>
                </c:pt>
                <c:pt idx="160">
                  <c:v>59.17</c:v>
                </c:pt>
                <c:pt idx="161">
                  <c:v>52.573999999999998</c:v>
                </c:pt>
                <c:pt idx="162">
                  <c:v>46.997999999999998</c:v>
                </c:pt>
                <c:pt idx="163">
                  <c:v>58.410000000000004</c:v>
                </c:pt>
                <c:pt idx="164">
                  <c:v>55.582000000000001</c:v>
                </c:pt>
                <c:pt idx="165">
                  <c:v>53.889000000000003</c:v>
                </c:pt>
                <c:pt idx="166">
                  <c:v>50.783000000000001</c:v>
                </c:pt>
                <c:pt idx="167">
                  <c:v>15.753</c:v>
                </c:pt>
                <c:pt idx="168">
                  <c:v>46.02</c:v>
                </c:pt>
                <c:pt idx="169">
                  <c:v>34.194000000000003</c:v>
                </c:pt>
                <c:pt idx="170">
                  <c:v>35.020000000000003</c:v>
                </c:pt>
                <c:pt idx="171">
                  <c:v>36.430999999999997</c:v>
                </c:pt>
                <c:pt idx="172">
                  <c:v>40.643999999999998</c:v>
                </c:pt>
                <c:pt idx="173">
                  <c:v>23.205000000000002</c:v>
                </c:pt>
                <c:pt idx="174">
                  <c:v>37.544000000000004</c:v>
                </c:pt>
                <c:pt idx="175">
                  <c:v>57.445999999999998</c:v>
                </c:pt>
                <c:pt idx="176">
                  <c:v>58.489000000000004</c:v>
                </c:pt>
                <c:pt idx="177">
                  <c:v>9.2089999999999996</c:v>
                </c:pt>
                <c:pt idx="178">
                  <c:v>36.768000000000001</c:v>
                </c:pt>
                <c:pt idx="179">
                  <c:v>42.7</c:v>
                </c:pt>
                <c:pt idx="180">
                  <c:v>49.454000000000001</c:v>
                </c:pt>
                <c:pt idx="181">
                  <c:v>54.103000000000002</c:v>
                </c:pt>
                <c:pt idx="182">
                  <c:v>54.433</c:v>
                </c:pt>
                <c:pt idx="183">
                  <c:v>34.125999999999998</c:v>
                </c:pt>
                <c:pt idx="184">
                  <c:v>37.585999999999999</c:v>
                </c:pt>
                <c:pt idx="185">
                  <c:v>58.768999999999998</c:v>
                </c:pt>
                <c:pt idx="186">
                  <c:v>21.312999999999999</c:v>
                </c:pt>
                <c:pt idx="187">
                  <c:v>42.344000000000001</c:v>
                </c:pt>
                <c:pt idx="188">
                  <c:v>49.887</c:v>
                </c:pt>
                <c:pt idx="189">
                  <c:v>58.228000000000002</c:v>
                </c:pt>
                <c:pt idx="190">
                  <c:v>53.105000000000004</c:v>
                </c:pt>
                <c:pt idx="191">
                  <c:v>53.292999999999999</c:v>
                </c:pt>
                <c:pt idx="192">
                  <c:v>13.843</c:v>
                </c:pt>
                <c:pt idx="193">
                  <c:v>25.238</c:v>
                </c:pt>
                <c:pt idx="194">
                  <c:v>28.137</c:v>
                </c:pt>
                <c:pt idx="195">
                  <c:v>36.529000000000003</c:v>
                </c:pt>
                <c:pt idx="196">
                  <c:v>41.581000000000003</c:v>
                </c:pt>
                <c:pt idx="197">
                  <c:v>57.947000000000003</c:v>
                </c:pt>
                <c:pt idx="198">
                  <c:v>52.209000000000003</c:v>
                </c:pt>
                <c:pt idx="199">
                  <c:v>57.319000000000003</c:v>
                </c:pt>
                <c:pt idx="200">
                  <c:v>48.777000000000001</c:v>
                </c:pt>
                <c:pt idx="201">
                  <c:v>43.472000000000001</c:v>
                </c:pt>
                <c:pt idx="202">
                  <c:v>53.465000000000003</c:v>
                </c:pt>
                <c:pt idx="203">
                  <c:v>45.417999999999999</c:v>
                </c:pt>
                <c:pt idx="204">
                  <c:v>29.144000000000002</c:v>
                </c:pt>
                <c:pt idx="205">
                  <c:v>37.225999999999999</c:v>
                </c:pt>
                <c:pt idx="206">
                  <c:v>32.491</c:v>
                </c:pt>
                <c:pt idx="207">
                  <c:v>48.600999999999999</c:v>
                </c:pt>
                <c:pt idx="208">
                  <c:v>24.85</c:v>
                </c:pt>
                <c:pt idx="209">
                  <c:v>53.957000000000001</c:v>
                </c:pt>
                <c:pt idx="210">
                  <c:v>18.815999999999999</c:v>
                </c:pt>
                <c:pt idx="211">
                  <c:v>13.038</c:v>
                </c:pt>
                <c:pt idx="212">
                  <c:v>45.890999999999998</c:v>
                </c:pt>
                <c:pt idx="213">
                  <c:v>49.125999999999998</c:v>
                </c:pt>
                <c:pt idx="214">
                  <c:v>38.658000000000001</c:v>
                </c:pt>
                <c:pt idx="215">
                  <c:v>33.75</c:v>
                </c:pt>
                <c:pt idx="216">
                  <c:v>48.259</c:v>
                </c:pt>
                <c:pt idx="217">
                  <c:v>20.518000000000001</c:v>
                </c:pt>
                <c:pt idx="218">
                  <c:v>24.888000000000002</c:v>
                </c:pt>
                <c:pt idx="219">
                  <c:v>39.097999999999999</c:v>
                </c:pt>
                <c:pt idx="220">
                  <c:v>53.727000000000004</c:v>
                </c:pt>
                <c:pt idx="221">
                  <c:v>50.920999999999999</c:v>
                </c:pt>
                <c:pt idx="222">
                  <c:v>49.878999999999998</c:v>
                </c:pt>
                <c:pt idx="223">
                  <c:v>47.673999999999999</c:v>
                </c:pt>
                <c:pt idx="224">
                  <c:v>31.435000000000002</c:v>
                </c:pt>
                <c:pt idx="225">
                  <c:v>48.795000000000002</c:v>
                </c:pt>
                <c:pt idx="226">
                  <c:v>21.795000000000002</c:v>
                </c:pt>
                <c:pt idx="227">
                  <c:v>32.655999999999999</c:v>
                </c:pt>
                <c:pt idx="228">
                  <c:v>42.919000000000004</c:v>
                </c:pt>
                <c:pt idx="229">
                  <c:v>51.000999999999998</c:v>
                </c:pt>
                <c:pt idx="230">
                  <c:v>44.399000000000001</c:v>
                </c:pt>
                <c:pt idx="231">
                  <c:v>51.236000000000004</c:v>
                </c:pt>
                <c:pt idx="232">
                  <c:v>48.850999999999999</c:v>
                </c:pt>
                <c:pt idx="233">
                  <c:v>20.587</c:v>
                </c:pt>
                <c:pt idx="234">
                  <c:v>48.989000000000004</c:v>
                </c:pt>
                <c:pt idx="235">
                  <c:v>47.713999999999999</c:v>
                </c:pt>
                <c:pt idx="236">
                  <c:v>47.963000000000001</c:v>
                </c:pt>
                <c:pt idx="237">
                  <c:v>50.416000000000004</c:v>
                </c:pt>
                <c:pt idx="238">
                  <c:v>44.46</c:v>
                </c:pt>
                <c:pt idx="239">
                  <c:v>52.206000000000003</c:v>
                </c:pt>
                <c:pt idx="240">
                  <c:v>51.611000000000004</c:v>
                </c:pt>
                <c:pt idx="241">
                  <c:v>50.487000000000002</c:v>
                </c:pt>
                <c:pt idx="242">
                  <c:v>49.892000000000003</c:v>
                </c:pt>
                <c:pt idx="243">
                  <c:v>37.541000000000004</c:v>
                </c:pt>
                <c:pt idx="244">
                  <c:v>18.975999999999999</c:v>
                </c:pt>
                <c:pt idx="245">
                  <c:v>34.167000000000002</c:v>
                </c:pt>
                <c:pt idx="246">
                  <c:v>40.707000000000001</c:v>
                </c:pt>
                <c:pt idx="247">
                  <c:v>44.81</c:v>
                </c:pt>
                <c:pt idx="248">
                  <c:v>47.823</c:v>
                </c:pt>
                <c:pt idx="249">
                  <c:v>37.727000000000004</c:v>
                </c:pt>
                <c:pt idx="250">
                  <c:v>29.749000000000002</c:v>
                </c:pt>
                <c:pt idx="251">
                  <c:v>17.992000000000001</c:v>
                </c:pt>
                <c:pt idx="252">
                  <c:v>39.883000000000003</c:v>
                </c:pt>
                <c:pt idx="253">
                  <c:v>40.31</c:v>
                </c:pt>
                <c:pt idx="254">
                  <c:v>45.69</c:v>
                </c:pt>
                <c:pt idx="255">
                  <c:v>34.042999999999999</c:v>
                </c:pt>
                <c:pt idx="256">
                  <c:v>19.488</c:v>
                </c:pt>
                <c:pt idx="257">
                  <c:v>31.548000000000002</c:v>
                </c:pt>
                <c:pt idx="258">
                  <c:v>20.187999999999999</c:v>
                </c:pt>
                <c:pt idx="259">
                  <c:v>43.997999999999998</c:v>
                </c:pt>
                <c:pt idx="260">
                  <c:v>9.1370000000000005</c:v>
                </c:pt>
                <c:pt idx="261">
                  <c:v>35.286999999999999</c:v>
                </c:pt>
                <c:pt idx="262">
                  <c:v>31.179000000000002</c:v>
                </c:pt>
                <c:pt idx="263">
                  <c:v>12.045999999999999</c:v>
                </c:pt>
                <c:pt idx="264">
                  <c:v>43.088999999999999</c:v>
                </c:pt>
                <c:pt idx="265">
                  <c:v>38.191000000000003</c:v>
                </c:pt>
                <c:pt idx="266">
                  <c:v>38.480000000000004</c:v>
                </c:pt>
                <c:pt idx="267">
                  <c:v>34.066000000000003</c:v>
                </c:pt>
                <c:pt idx="268">
                  <c:v>37.289000000000001</c:v>
                </c:pt>
                <c:pt idx="269">
                  <c:v>21.612000000000002</c:v>
                </c:pt>
                <c:pt idx="270">
                  <c:v>26.72</c:v>
                </c:pt>
                <c:pt idx="271">
                  <c:v>30.623000000000001</c:v>
                </c:pt>
                <c:pt idx="272">
                  <c:v>17.728000000000002</c:v>
                </c:pt>
                <c:pt idx="273">
                  <c:v>32.402999999999999</c:v>
                </c:pt>
                <c:pt idx="274">
                  <c:v>39.349000000000004</c:v>
                </c:pt>
                <c:pt idx="275">
                  <c:v>6.88</c:v>
                </c:pt>
                <c:pt idx="276">
                  <c:v>31.146000000000001</c:v>
                </c:pt>
                <c:pt idx="277">
                  <c:v>13.99</c:v>
                </c:pt>
                <c:pt idx="278">
                  <c:v>27.231000000000002</c:v>
                </c:pt>
                <c:pt idx="279">
                  <c:v>40.878999999999998</c:v>
                </c:pt>
                <c:pt idx="280">
                  <c:v>36.930999999999997</c:v>
                </c:pt>
                <c:pt idx="281">
                  <c:v>16.154</c:v>
                </c:pt>
                <c:pt idx="282">
                  <c:v>28.792000000000002</c:v>
                </c:pt>
                <c:pt idx="283">
                  <c:v>39.855000000000004</c:v>
                </c:pt>
                <c:pt idx="284">
                  <c:v>37.948999999999998</c:v>
                </c:pt>
                <c:pt idx="285">
                  <c:v>37.216000000000001</c:v>
                </c:pt>
                <c:pt idx="286">
                  <c:v>39.984999999999999</c:v>
                </c:pt>
                <c:pt idx="287">
                  <c:v>32.725000000000001</c:v>
                </c:pt>
                <c:pt idx="288">
                  <c:v>36.741999999999997</c:v>
                </c:pt>
                <c:pt idx="289">
                  <c:v>34.500999999999998</c:v>
                </c:pt>
                <c:pt idx="290">
                  <c:v>34.125999999999998</c:v>
                </c:pt>
                <c:pt idx="291">
                  <c:v>35.32</c:v>
                </c:pt>
                <c:pt idx="292">
                  <c:v>26.375</c:v>
                </c:pt>
                <c:pt idx="293">
                  <c:v>14.914</c:v>
                </c:pt>
                <c:pt idx="294">
                  <c:v>12.494</c:v>
                </c:pt>
                <c:pt idx="295">
                  <c:v>35.344000000000001</c:v>
                </c:pt>
                <c:pt idx="296">
                  <c:v>36.771000000000001</c:v>
                </c:pt>
                <c:pt idx="297">
                  <c:v>32.533000000000001</c:v>
                </c:pt>
                <c:pt idx="298">
                  <c:v>26.891999999999999</c:v>
                </c:pt>
                <c:pt idx="299">
                  <c:v>28.184000000000001</c:v>
                </c:pt>
                <c:pt idx="300">
                  <c:v>10.855</c:v>
                </c:pt>
                <c:pt idx="301">
                  <c:v>17.783000000000001</c:v>
                </c:pt>
                <c:pt idx="302">
                  <c:v>10.149000000000001</c:v>
                </c:pt>
                <c:pt idx="303">
                  <c:v>18.184999999999999</c:v>
                </c:pt>
                <c:pt idx="304">
                  <c:v>17.613</c:v>
                </c:pt>
                <c:pt idx="305">
                  <c:v>26.78</c:v>
                </c:pt>
                <c:pt idx="306">
                  <c:v>17.265000000000001</c:v>
                </c:pt>
                <c:pt idx="307">
                  <c:v>16.260000000000002</c:v>
                </c:pt>
                <c:pt idx="308">
                  <c:v>10.992000000000001</c:v>
                </c:pt>
                <c:pt idx="309">
                  <c:v>12.83</c:v>
                </c:pt>
                <c:pt idx="310">
                  <c:v>8.918000000000001</c:v>
                </c:pt>
                <c:pt idx="311">
                  <c:v>25.913</c:v>
                </c:pt>
                <c:pt idx="312">
                  <c:v>20.245000000000001</c:v>
                </c:pt>
                <c:pt idx="313">
                  <c:v>6.5309999999999997</c:v>
                </c:pt>
                <c:pt idx="314">
                  <c:v>11.916</c:v>
                </c:pt>
                <c:pt idx="315">
                  <c:v>7.8870000000000005</c:v>
                </c:pt>
                <c:pt idx="316">
                  <c:v>5.2750000000000004</c:v>
                </c:pt>
                <c:pt idx="317">
                  <c:v>6.2140000000000004</c:v>
                </c:pt>
                <c:pt idx="318">
                  <c:v>5.2620000000000005</c:v>
                </c:pt>
                <c:pt idx="319">
                  <c:v>9.4079999999999995</c:v>
                </c:pt>
                <c:pt idx="320">
                  <c:v>2.9540000000000002</c:v>
                </c:pt>
                <c:pt idx="321">
                  <c:v>17.597000000000001</c:v>
                </c:pt>
                <c:pt idx="322">
                  <c:v>27.172000000000001</c:v>
                </c:pt>
                <c:pt idx="323">
                  <c:v>21.995000000000001</c:v>
                </c:pt>
                <c:pt idx="324">
                  <c:v>9.3659999999999997</c:v>
                </c:pt>
                <c:pt idx="325">
                  <c:v>17.715</c:v>
                </c:pt>
                <c:pt idx="326">
                  <c:v>12.416</c:v>
                </c:pt>
                <c:pt idx="327">
                  <c:v>1.776</c:v>
                </c:pt>
                <c:pt idx="328">
                  <c:v>17.152999999999999</c:v>
                </c:pt>
                <c:pt idx="329">
                  <c:v>7.7640000000000002</c:v>
                </c:pt>
                <c:pt idx="330">
                  <c:v>15.606</c:v>
                </c:pt>
                <c:pt idx="331">
                  <c:v>7.1219999999999999</c:v>
                </c:pt>
                <c:pt idx="332">
                  <c:v>7.5890000000000004</c:v>
                </c:pt>
                <c:pt idx="333">
                  <c:v>20.339000000000002</c:v>
                </c:pt>
                <c:pt idx="334">
                  <c:v>4.3849999999999998</c:v>
                </c:pt>
                <c:pt idx="335">
                  <c:v>10.037000000000001</c:v>
                </c:pt>
                <c:pt idx="336">
                  <c:v>16.363</c:v>
                </c:pt>
                <c:pt idx="337">
                  <c:v>6.7149999999999999</c:v>
                </c:pt>
                <c:pt idx="338">
                  <c:v>9.6349999999999998</c:v>
                </c:pt>
                <c:pt idx="339">
                  <c:v>12.153</c:v>
                </c:pt>
                <c:pt idx="340">
                  <c:v>5.6930000000000005</c:v>
                </c:pt>
                <c:pt idx="341">
                  <c:v>10.023</c:v>
                </c:pt>
                <c:pt idx="342">
                  <c:v>8.3179999999999996</c:v>
                </c:pt>
                <c:pt idx="343">
                  <c:v>2.226</c:v>
                </c:pt>
                <c:pt idx="344">
                  <c:v>12.488</c:v>
                </c:pt>
                <c:pt idx="345">
                  <c:v>22.584</c:v>
                </c:pt>
                <c:pt idx="346">
                  <c:v>24.184000000000001</c:v>
                </c:pt>
                <c:pt idx="347">
                  <c:v>21.682000000000002</c:v>
                </c:pt>
                <c:pt idx="348">
                  <c:v>22.138999999999999</c:v>
                </c:pt>
                <c:pt idx="349">
                  <c:v>23.897000000000002</c:v>
                </c:pt>
                <c:pt idx="350">
                  <c:v>24.29</c:v>
                </c:pt>
                <c:pt idx="351">
                  <c:v>24.404</c:v>
                </c:pt>
                <c:pt idx="352">
                  <c:v>24.102</c:v>
                </c:pt>
                <c:pt idx="353">
                  <c:v>21.388999999999999</c:v>
                </c:pt>
                <c:pt idx="354">
                  <c:v>16.917000000000002</c:v>
                </c:pt>
                <c:pt idx="355">
                  <c:v>23.748000000000001</c:v>
                </c:pt>
                <c:pt idx="356">
                  <c:v>5.5720000000000001</c:v>
                </c:pt>
                <c:pt idx="357">
                  <c:v>13.202</c:v>
                </c:pt>
                <c:pt idx="358">
                  <c:v>9.92</c:v>
                </c:pt>
                <c:pt idx="359">
                  <c:v>11.27</c:v>
                </c:pt>
                <c:pt idx="360">
                  <c:v>10.483000000000001</c:v>
                </c:pt>
                <c:pt idx="361">
                  <c:v>5.6770000000000005</c:v>
                </c:pt>
                <c:pt idx="362">
                  <c:v>4.3220000000000001</c:v>
                </c:pt>
                <c:pt idx="363">
                  <c:v>16.513999999999999</c:v>
                </c:pt>
                <c:pt idx="364">
                  <c:v>24.153000000000002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689952"/>
        <c:axId val="579690344"/>
      </c:lineChart>
      <c:dateAx>
        <c:axId val="579689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9690344"/>
        <c:crosses val="autoZero"/>
        <c:auto val="1"/>
        <c:lblOffset val="100"/>
        <c:baseTimeUnit val="days"/>
        <c:majorUnit val="1"/>
        <c:majorTimeUnit val="months"/>
      </c:dateAx>
      <c:valAx>
        <c:axId val="5796903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96899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25.790555706445144</c:v>
                </c:pt>
                <c:pt idx="1">
                  <c:v>25.974722293422804</c:v>
                </c:pt>
                <c:pt idx="2">
                  <c:v>26.166725524604335</c:v>
                </c:pt>
                <c:pt idx="3">
                  <c:v>26.365339920236455</c:v>
                </c:pt>
                <c:pt idx="4">
                  <c:v>26.569339993726199</c:v>
                </c:pt>
                <c:pt idx="5">
                  <c:v>26.777500262172229</c:v>
                </c:pt>
                <c:pt idx="6">
                  <c:v>26.988595239014856</c:v>
                </c:pt>
                <c:pt idx="7">
                  <c:v>27.201399442481314</c:v>
                </c:pt>
                <c:pt idx="8">
                  <c:v>27.418466033259609</c:v>
                </c:pt>
                <c:pt idx="9">
                  <c:v>27.64300802704998</c:v>
                </c:pt>
                <c:pt idx="10">
                  <c:v>27.874789723192336</c:v>
                </c:pt>
                <c:pt idx="11">
                  <c:v>28.113575423057295</c:v>
                </c:pt>
                <c:pt idx="12">
                  <c:v>28.3591294227002</c:v>
                </c:pt>
                <c:pt idx="13">
                  <c:v>28.611216023136379</c:v>
                </c:pt>
                <c:pt idx="14">
                  <c:v>28.869599522256298</c:v>
                </c:pt>
                <c:pt idx="15">
                  <c:v>29.134044218269811</c:v>
                </c:pt>
                <c:pt idx="16">
                  <c:v>29.40431440920678</c:v>
                </c:pt>
                <c:pt idx="17">
                  <c:v>29.680174391732379</c:v>
                </c:pt>
                <c:pt idx="18">
                  <c:v>29.961388467002607</c:v>
                </c:pt>
                <c:pt idx="19">
                  <c:v>30.247720932248061</c:v>
                </c:pt>
                <c:pt idx="20">
                  <c:v>30.538936084397072</c:v>
                </c:pt>
                <c:pt idx="21">
                  <c:v>30.834798224558732</c:v>
                </c:pt>
                <c:pt idx="22">
                  <c:v>31.13798707073801</c:v>
                </c:pt>
                <c:pt idx="23">
                  <c:v>31.450623733021573</c:v>
                </c:pt>
                <c:pt idx="24">
                  <c:v>31.771634593699215</c:v>
                </c:pt>
                <c:pt idx="25">
                  <c:v>32.099946035079711</c:v>
                </c:pt>
                <c:pt idx="26">
                  <c:v>32.434484445605264</c:v>
                </c:pt>
                <c:pt idx="27">
                  <c:v>32.774176206185722</c:v>
                </c:pt>
                <c:pt idx="28">
                  <c:v>33.117947704053087</c:v>
                </c:pt>
                <c:pt idx="29">
                  <c:v>33.464725316810338</c:v>
                </c:pt>
                <c:pt idx="30">
                  <c:v>33.813435429173083</c:v>
                </c:pt>
                <c:pt idx="31">
                  <c:v>34.163004426482452</c:v>
                </c:pt>
                <c:pt idx="32">
                  <c:v>34.512358691754777</c:v>
                </c:pt>
                <c:pt idx="33">
                  <c:v>34.860424608648287</c:v>
                </c:pt>
                <c:pt idx="34">
                  <c:v>35.206128560185384</c:v>
                </c:pt>
                <c:pt idx="35">
                  <c:v>35.548396929935649</c:v>
                </c:pt>
                <c:pt idx="36">
                  <c:v>35.888374905724554</c:v>
                </c:pt>
                <c:pt idx="37">
                  <c:v>36.228066553318783</c:v>
                </c:pt>
                <c:pt idx="38">
                  <c:v>36.567686593452486</c:v>
                </c:pt>
                <c:pt idx="39">
                  <c:v>36.90744971275862</c:v>
                </c:pt>
                <c:pt idx="40">
                  <c:v>37.247570660933306</c:v>
                </c:pt>
                <c:pt idx="41">
                  <c:v>37.588264155637333</c:v>
                </c:pt>
                <c:pt idx="42">
                  <c:v>37.929744913756231</c:v>
                </c:pt>
                <c:pt idx="43">
                  <c:v>38.272227677766665</c:v>
                </c:pt>
                <c:pt idx="44">
                  <c:v>38.615927181468955</c:v>
                </c:pt>
                <c:pt idx="45">
                  <c:v>38.961058147134736</c:v>
                </c:pt>
                <c:pt idx="46">
                  <c:v>39.307835296567035</c:v>
                </c:pt>
                <c:pt idx="47">
                  <c:v>39.656473352544729</c:v>
                </c:pt>
                <c:pt idx="48">
                  <c:v>40.007187037240179</c:v>
                </c:pt>
                <c:pt idx="49">
                  <c:v>40.36019107249966</c:v>
                </c:pt>
                <c:pt idx="50">
                  <c:v>40.715861222981431</c:v>
                </c:pt>
                <c:pt idx="51">
                  <c:v>41.074215444350791</c:v>
                </c:pt>
                <c:pt idx="52">
                  <c:v>41.434931690728263</c:v>
                </c:pt>
                <c:pt idx="53">
                  <c:v>41.797687891596084</c:v>
                </c:pt>
                <c:pt idx="54">
                  <c:v>42.162161977476771</c:v>
                </c:pt>
                <c:pt idx="55">
                  <c:v>42.528031880762917</c:v>
                </c:pt>
                <c:pt idx="56">
                  <c:v>42.894975534358565</c:v>
                </c:pt>
                <c:pt idx="57">
                  <c:v>43.26267083860251</c:v>
                </c:pt>
                <c:pt idx="58">
                  <c:v>43.630795672573271</c:v>
                </c:pt>
                <c:pt idx="59">
                  <c:v>43.999027961281286</c:v>
                </c:pt>
                <c:pt idx="60">
                  <c:v>44.367045630721535</c:v>
                </c:pt>
                <c:pt idx="61">
                  <c:v>44.73452660771359</c:v>
                </c:pt>
                <c:pt idx="62">
                  <c:v>45.101148820119576</c:v>
                </c:pt>
                <c:pt idx="63">
                  <c:v>45.466590196437657</c:v>
                </c:pt>
                <c:pt idx="64">
                  <c:v>45.831799110832513</c:v>
                </c:pt>
                <c:pt idx="65">
                  <c:v>46.197795439487862</c:v>
                </c:pt>
                <c:pt idx="66">
                  <c:v>46.564364339948476</c:v>
                </c:pt>
                <c:pt idx="67">
                  <c:v>46.931291078682072</c:v>
                </c:pt>
                <c:pt idx="68">
                  <c:v>47.29836092093764</c:v>
                </c:pt>
                <c:pt idx="69">
                  <c:v>47.665359130908747</c:v>
                </c:pt>
                <c:pt idx="70">
                  <c:v>48.032070971683275</c:v>
                </c:pt>
                <c:pt idx="71">
                  <c:v>48.398281706637633</c:v>
                </c:pt>
                <c:pt idx="72">
                  <c:v>48.763776663131296</c:v>
                </c:pt>
                <c:pt idx="73">
                  <c:v>49.12834110941521</c:v>
                </c:pt>
                <c:pt idx="74">
                  <c:v>49.491760312871762</c:v>
                </c:pt>
                <c:pt idx="75">
                  <c:v>49.853819539403062</c:v>
                </c:pt>
                <c:pt idx="76">
                  <c:v>50.214304054656971</c:v>
                </c:pt>
                <c:pt idx="77">
                  <c:v>50.572999122239189</c:v>
                </c:pt>
                <c:pt idx="78">
                  <c:v>50.932552980481525</c:v>
                </c:pt>
                <c:pt idx="79">
                  <c:v>51.295041266562691</c:v>
                </c:pt>
                <c:pt idx="80">
                  <c:v>51.659390489482469</c:v>
                </c:pt>
                <c:pt idx="81">
                  <c:v>52.024527033700366</c:v>
                </c:pt>
                <c:pt idx="82">
                  <c:v>52.389377285084464</c:v>
                </c:pt>
                <c:pt idx="83">
                  <c:v>52.75286762797181</c:v>
                </c:pt>
                <c:pt idx="84">
                  <c:v>53.113924447563818</c:v>
                </c:pt>
                <c:pt idx="85">
                  <c:v>53.471474123353502</c:v>
                </c:pt>
                <c:pt idx="86">
                  <c:v>53.824443035490368</c:v>
                </c:pt>
                <c:pt idx="87">
                  <c:v>54.171757567590127</c:v>
                </c:pt>
                <c:pt idx="88">
                  <c:v>54.512344104882288</c:v>
                </c:pt>
                <c:pt idx="89">
                  <c:v>54.845129029319708</c:v>
                </c:pt>
                <c:pt idx="90">
                  <c:v>55.169038722976133</c:v>
                </c:pt>
                <c:pt idx="91">
                  <c:v>55.482999571629605</c:v>
                </c:pt>
                <c:pt idx="92">
                  <c:v>55.788854611195845</c:v>
                </c:pt>
                <c:pt idx="93">
                  <c:v>56.089091030754638</c:v>
                </c:pt>
                <c:pt idx="94">
                  <c:v>56.383601471579112</c:v>
                </c:pt>
                <c:pt idx="95">
                  <c:v>56.672278568668418</c:v>
                </c:pt>
                <c:pt idx="96">
                  <c:v>56.955014954419504</c:v>
                </c:pt>
                <c:pt idx="97">
                  <c:v>57.231703265151232</c:v>
                </c:pt>
                <c:pt idx="98">
                  <c:v>57.502236131981043</c:v>
                </c:pt>
                <c:pt idx="99">
                  <c:v>57.766506117828975</c:v>
                </c:pt>
                <c:pt idx="100">
                  <c:v>58.024405857255537</c:v>
                </c:pt>
                <c:pt idx="101">
                  <c:v>58.275827974985575</c:v>
                </c:pt>
                <c:pt idx="102">
                  <c:v>58.520665093793049</c:v>
                </c:pt>
                <c:pt idx="103">
                  <c:v>58.758809834799031</c:v>
                </c:pt>
                <c:pt idx="104">
                  <c:v>58.990154818617981</c:v>
                </c:pt>
                <c:pt idx="105">
                  <c:v>59.214592665117578</c:v>
                </c:pt>
                <c:pt idx="106">
                  <c:v>59.431586546393277</c:v>
                </c:pt>
                <c:pt idx="107">
                  <c:v>59.640885765804001</c:v>
                </c:pt>
                <c:pt idx="108">
                  <c:v>59.842812396119335</c:v>
                </c:pt>
                <c:pt idx="109">
                  <c:v>60.037688476835037</c:v>
                </c:pt>
                <c:pt idx="110">
                  <c:v>60.225836044700834</c:v>
                </c:pt>
                <c:pt idx="111">
                  <c:v>60.40757713461155</c:v>
                </c:pt>
                <c:pt idx="112">
                  <c:v>60.583233773791143</c:v>
                </c:pt>
                <c:pt idx="113">
                  <c:v>60.75312767061147</c:v>
                </c:pt>
                <c:pt idx="114">
                  <c:v>60.917580937268994</c:v>
                </c:pt>
                <c:pt idx="115">
                  <c:v>61.076915564491763</c:v>
                </c:pt>
                <c:pt idx="116">
                  <c:v>61.231453534999098</c:v>
                </c:pt>
                <c:pt idx="117">
                  <c:v>61.381516825227337</c:v>
                </c:pt>
                <c:pt idx="118">
                  <c:v>61.527427404932183</c:v>
                </c:pt>
                <c:pt idx="119">
                  <c:v>61.66950723541558</c:v>
                </c:pt>
                <c:pt idx="120">
                  <c:v>61.807040439990701</c:v>
                </c:pt>
                <c:pt idx="121">
                  <c:v>61.939167593297817</c:v>
                </c:pt>
                <c:pt idx="122">
                  <c:v>62.065996162025513</c:v>
                </c:pt>
                <c:pt idx="123">
                  <c:v>62.187633334591823</c:v>
                </c:pt>
                <c:pt idx="124">
                  <c:v>62.304186289264699</c:v>
                </c:pt>
                <c:pt idx="125">
                  <c:v>62.415762195822587</c:v>
                </c:pt>
                <c:pt idx="126">
                  <c:v>62.522468211026684</c:v>
                </c:pt>
                <c:pt idx="127">
                  <c:v>62.624413074823657</c:v>
                </c:pt>
                <c:pt idx="128">
                  <c:v>62.721704708265619</c:v>
                </c:pt>
                <c:pt idx="129">
                  <c:v>62.814450516060397</c:v>
                </c:pt>
                <c:pt idx="130">
                  <c:v>62.902757905254973</c:v>
                </c:pt>
                <c:pt idx="131">
                  <c:v>62.986734297522929</c:v>
                </c:pt>
                <c:pt idx="132">
                  <c:v>63.066487118504511</c:v>
                </c:pt>
                <c:pt idx="133">
                  <c:v>63.142123806290236</c:v>
                </c:pt>
                <c:pt idx="134">
                  <c:v>63.213018166347695</c:v>
                </c:pt>
                <c:pt idx="135">
                  <c:v>63.27861846628187</c:v>
                </c:pt>
                <c:pt idx="136">
                  <c:v>63.339140587850416</c:v>
                </c:pt>
                <c:pt idx="137">
                  <c:v>63.394799799729959</c:v>
                </c:pt>
                <c:pt idx="138">
                  <c:v>63.445811408482193</c:v>
                </c:pt>
                <c:pt idx="139">
                  <c:v>63.492390750769076</c:v>
                </c:pt>
                <c:pt idx="140">
                  <c:v>63.534753199261012</c:v>
                </c:pt>
                <c:pt idx="141">
                  <c:v>63.57311299331456</c:v>
                </c:pt>
                <c:pt idx="142">
                  <c:v>63.607682662108409</c:v>
                </c:pt>
                <c:pt idx="143">
                  <c:v>63.638677255859925</c:v>
                </c:pt>
                <c:pt idx="144">
                  <c:v>63.666311831305556</c:v>
                </c:pt>
                <c:pt idx="145">
                  <c:v>63.690801457866371</c:v>
                </c:pt>
                <c:pt idx="146">
                  <c:v>63.712361214887437</c:v>
                </c:pt>
                <c:pt idx="147">
                  <c:v>63.731206190366208</c:v>
                </c:pt>
                <c:pt idx="148">
                  <c:v>63.747247291317009</c:v>
                </c:pt>
                <c:pt idx="149">
                  <c:v>63.760178178325205</c:v>
                </c:pt>
                <c:pt idx="150">
                  <c:v>63.769886806187834</c:v>
                </c:pt>
                <c:pt idx="151">
                  <c:v>63.776265503335381</c:v>
                </c:pt>
                <c:pt idx="152">
                  <c:v>63.779206583947804</c:v>
                </c:pt>
                <c:pt idx="153">
                  <c:v>63.778602347313715</c:v>
                </c:pt>
                <c:pt idx="154">
                  <c:v>63.774345081538996</c:v>
                </c:pt>
                <c:pt idx="155">
                  <c:v>63.766326717780004</c:v>
                </c:pt>
                <c:pt idx="156">
                  <c:v>63.754441357553176</c:v>
                </c:pt>
                <c:pt idx="157">
                  <c:v>63.738581380763449</c:v>
                </c:pt>
                <c:pt idx="158">
                  <c:v>63.718639160108019</c:v>
                </c:pt>
                <c:pt idx="159">
                  <c:v>63.688889721036141</c:v>
                </c:pt>
                <c:pt idx="160">
                  <c:v>63.654846871343167</c:v>
                </c:pt>
                <c:pt idx="161">
                  <c:v>63.616404303827352</c:v>
                </c:pt>
                <c:pt idx="162">
                  <c:v>63.572793921411112</c:v>
                </c:pt>
                <c:pt idx="163">
                  <c:v>63.523605710839014</c:v>
                </c:pt>
                <c:pt idx="164">
                  <c:v>63.46927410082094</c:v>
                </c:pt>
                <c:pt idx="165">
                  <c:v>63.410229818974315</c:v>
                </c:pt>
                <c:pt idx="166">
                  <c:v>63.346903447293158</c:v>
                </c:pt>
                <c:pt idx="167">
                  <c:v>63.279725420168653</c:v>
                </c:pt>
                <c:pt idx="168">
                  <c:v>63.209126024570978</c:v>
                </c:pt>
                <c:pt idx="169">
                  <c:v>63.135535499177358</c:v>
                </c:pt>
                <c:pt idx="170">
                  <c:v>63.059384325769393</c:v>
                </c:pt>
                <c:pt idx="171">
                  <c:v>62.981102373574757</c:v>
                </c:pt>
                <c:pt idx="172">
                  <c:v>62.901119357615926</c:v>
                </c:pt>
                <c:pt idx="173">
                  <c:v>62.819864840697207</c:v>
                </c:pt>
                <c:pt idx="174">
                  <c:v>62.737768232870998</c:v>
                </c:pt>
                <c:pt idx="175">
                  <c:v>62.655258782462106</c:v>
                </c:pt>
                <c:pt idx="176">
                  <c:v>62.571693669798606</c:v>
                </c:pt>
                <c:pt idx="177">
                  <c:v>62.486143917931912</c:v>
                </c:pt>
                <c:pt idx="178">
                  <c:v>62.398610107679545</c:v>
                </c:pt>
                <c:pt idx="179">
                  <c:v>62.309092924175218</c:v>
                </c:pt>
                <c:pt idx="180">
                  <c:v>62.217593045240498</c:v>
                </c:pt>
                <c:pt idx="181">
                  <c:v>62.124111141027186</c:v>
                </c:pt>
                <c:pt idx="182">
                  <c:v>62.028647869755005</c:v>
                </c:pt>
                <c:pt idx="183">
                  <c:v>61.931198522001985</c:v>
                </c:pt>
                <c:pt idx="184">
                  <c:v>61.83176339968027</c:v>
                </c:pt>
                <c:pt idx="185">
                  <c:v>61.730342930933659</c:v>
                </c:pt>
                <c:pt idx="186">
                  <c:v>61.626937543740709</c:v>
                </c:pt>
                <c:pt idx="187">
                  <c:v>61.521547663794365</c:v>
                </c:pt>
                <c:pt idx="188">
                  <c:v>61.414173719180276</c:v>
                </c:pt>
                <c:pt idx="189">
                  <c:v>61.304816134391466</c:v>
                </c:pt>
                <c:pt idx="190">
                  <c:v>61.193243374334948</c:v>
                </c:pt>
                <c:pt idx="191">
                  <c:v>61.079291853832252</c:v>
                </c:pt>
                <c:pt idx="192">
                  <c:v>60.963069714649009</c:v>
                </c:pt>
                <c:pt idx="193">
                  <c:v>60.844684413381273</c:v>
                </c:pt>
                <c:pt idx="194">
                  <c:v>60.724243373268472</c:v>
                </c:pt>
                <c:pt idx="195">
                  <c:v>60.601853986467091</c:v>
                </c:pt>
                <c:pt idx="196">
                  <c:v>60.477623610978696</c:v>
                </c:pt>
                <c:pt idx="197">
                  <c:v>60.351670982172514</c:v>
                </c:pt>
                <c:pt idx="198">
                  <c:v>60.224109855639476</c:v>
                </c:pt>
                <c:pt idx="199">
                  <c:v>60.09504786042902</c:v>
                </c:pt>
                <c:pt idx="200">
                  <c:v>59.964592568653295</c:v>
                </c:pt>
                <c:pt idx="201">
                  <c:v>59.832851496139313</c:v>
                </c:pt>
                <c:pt idx="202">
                  <c:v>59.699932104013307</c:v>
                </c:pt>
                <c:pt idx="203">
                  <c:v>59.56594180064328</c:v>
                </c:pt>
                <c:pt idx="204">
                  <c:v>59.430720622515274</c:v>
                </c:pt>
                <c:pt idx="205">
                  <c:v>59.294046330725699</c:v>
                </c:pt>
                <c:pt idx="206">
                  <c:v>59.155923460847212</c:v>
                </c:pt>
                <c:pt idx="207">
                  <c:v>59.016352697054444</c:v>
                </c:pt>
                <c:pt idx="208">
                  <c:v>58.875334698117648</c:v>
                </c:pt>
                <c:pt idx="209">
                  <c:v>58.732870100412249</c:v>
                </c:pt>
                <c:pt idx="210">
                  <c:v>58.588959518767702</c:v>
                </c:pt>
                <c:pt idx="211">
                  <c:v>58.443600508345611</c:v>
                </c:pt>
                <c:pt idx="212">
                  <c:v>58.296781195542088</c:v>
                </c:pt>
                <c:pt idx="213">
                  <c:v>58.148501956779235</c:v>
                </c:pt>
                <c:pt idx="214">
                  <c:v>57.99876316585221</c:v>
                </c:pt>
                <c:pt idx="215">
                  <c:v>57.847565195382103</c:v>
                </c:pt>
                <c:pt idx="216">
                  <c:v>57.694908416409667</c:v>
                </c:pt>
                <c:pt idx="217">
                  <c:v>57.540793199375891</c:v>
                </c:pt>
                <c:pt idx="218">
                  <c:v>57.385451314513247</c:v>
                </c:pt>
                <c:pt idx="219">
                  <c:v>57.229039853687475</c:v>
                </c:pt>
                <c:pt idx="220">
                  <c:v>57.071442759772872</c:v>
                </c:pt>
                <c:pt idx="221">
                  <c:v>56.912553449409863</c:v>
                </c:pt>
                <c:pt idx="222">
                  <c:v>56.752265386299257</c:v>
                </c:pt>
                <c:pt idx="223">
                  <c:v>56.590472078704948</c:v>
                </c:pt>
                <c:pt idx="224">
                  <c:v>56.427067079661072</c:v>
                </c:pt>
                <c:pt idx="225">
                  <c:v>56.2619417349663</c:v>
                </c:pt>
                <c:pt idx="226">
                  <c:v>56.09499285552247</c:v>
                </c:pt>
                <c:pt idx="227">
                  <c:v>55.92611413424013</c:v>
                </c:pt>
                <c:pt idx="228">
                  <c:v>55.755199305925977</c:v>
                </c:pt>
                <c:pt idx="229">
                  <c:v>55.5821421483626</c:v>
                </c:pt>
                <c:pt idx="230">
                  <c:v>55.406836482145359</c:v>
                </c:pt>
                <c:pt idx="231">
                  <c:v>55.229176166967271</c:v>
                </c:pt>
                <c:pt idx="232">
                  <c:v>55.051170792320029</c:v>
                </c:pt>
                <c:pt idx="233">
                  <c:v>54.874330129597716</c:v>
                </c:pt>
                <c:pt idx="234">
                  <c:v>54.697804138787255</c:v>
                </c:pt>
                <c:pt idx="235">
                  <c:v>54.520739574126374</c:v>
                </c:pt>
                <c:pt idx="236">
                  <c:v>54.342283483524724</c:v>
                </c:pt>
                <c:pt idx="237">
                  <c:v>54.161583205839293</c:v>
                </c:pt>
                <c:pt idx="238">
                  <c:v>53.977786370996043</c:v>
                </c:pt>
                <c:pt idx="239">
                  <c:v>53.790040460368473</c:v>
                </c:pt>
                <c:pt idx="240">
                  <c:v>53.597495984092987</c:v>
                </c:pt>
                <c:pt idx="241">
                  <c:v>53.399301443059031</c:v>
                </c:pt>
                <c:pt idx="242">
                  <c:v>53.194605626202474</c:v>
                </c:pt>
                <c:pt idx="243">
                  <c:v>52.982557606426823</c:v>
                </c:pt>
                <c:pt idx="244">
                  <c:v>52.762306743903132</c:v>
                </c:pt>
                <c:pt idx="245">
                  <c:v>52.533002677881292</c:v>
                </c:pt>
                <c:pt idx="246">
                  <c:v>52.295002881650682</c:v>
                </c:pt>
                <c:pt idx="247">
                  <c:v>52.049516783065528</c:v>
                </c:pt>
                <c:pt idx="248">
                  <c:v>51.796973810785715</c:v>
                </c:pt>
                <c:pt idx="249">
                  <c:v>51.537801855323615</c:v>
                </c:pt>
                <c:pt idx="250">
                  <c:v>51.272428669636284</c:v>
                </c:pt>
                <c:pt idx="251">
                  <c:v>51.001281860036364</c:v>
                </c:pt>
                <c:pt idx="252">
                  <c:v>50.724788895832255</c:v>
                </c:pt>
                <c:pt idx="253">
                  <c:v>50.443376941960388</c:v>
                </c:pt>
                <c:pt idx="254">
                  <c:v>50.157473623959476</c:v>
                </c:pt>
                <c:pt idx="255">
                  <c:v>49.867505984449856</c:v>
                </c:pt>
                <c:pt idx="256">
                  <c:v>49.573900926084114</c:v>
                </c:pt>
                <c:pt idx="257">
                  <c:v>49.277085210961857</c:v>
                </c:pt>
                <c:pt idx="258">
                  <c:v>48.977485460852421</c:v>
                </c:pt>
                <c:pt idx="259">
                  <c:v>48.675528157485296</c:v>
                </c:pt>
                <c:pt idx="260">
                  <c:v>48.368730701913421</c:v>
                </c:pt>
                <c:pt idx="261">
                  <c:v>48.054895212105137</c:v>
                </c:pt>
                <c:pt idx="262">
                  <c:v>47.734874959043061</c:v>
                </c:pt>
                <c:pt idx="263">
                  <c:v>47.409522700185441</c:v>
                </c:pt>
                <c:pt idx="264">
                  <c:v>47.079690912953886</c:v>
                </c:pt>
                <c:pt idx="265">
                  <c:v>46.746231790711342</c:v>
                </c:pt>
                <c:pt idx="266">
                  <c:v>46.409997243983774</c:v>
                </c:pt>
                <c:pt idx="267">
                  <c:v>46.071832878075092</c:v>
                </c:pt>
                <c:pt idx="268">
                  <c:v>45.732590229694026</c:v>
                </c:pt>
                <c:pt idx="269">
                  <c:v>45.393120403943584</c:v>
                </c:pt>
                <c:pt idx="270">
                  <c:v>45.054274229386643</c:v>
                </c:pt>
                <c:pt idx="271">
                  <c:v>44.716902259655626</c:v>
                </c:pt>
                <c:pt idx="272">
                  <c:v>44.381854773952021</c:v>
                </c:pt>
                <c:pt idx="273">
                  <c:v>44.049981777880397</c:v>
                </c:pt>
                <c:pt idx="274">
                  <c:v>43.720006910701784</c:v>
                </c:pt>
                <c:pt idx="275">
                  <c:v>43.39008333800664</c:v>
                </c:pt>
                <c:pt idx="276">
                  <c:v>43.060210994355266</c:v>
                </c:pt>
                <c:pt idx="277">
                  <c:v>42.730389939857716</c:v>
                </c:pt>
                <c:pt idx="278">
                  <c:v>42.400620229413491</c:v>
                </c:pt>
                <c:pt idx="279">
                  <c:v>42.070901911886367</c:v>
                </c:pt>
                <c:pt idx="280">
                  <c:v>41.74123502926426</c:v>
                </c:pt>
                <c:pt idx="281">
                  <c:v>41.411629169383389</c:v>
                </c:pt>
                <c:pt idx="282">
                  <c:v>41.082090027052665</c:v>
                </c:pt>
                <c:pt idx="283">
                  <c:v>40.75261743234735</c:v>
                </c:pt>
                <c:pt idx="284">
                  <c:v>40.423211191888669</c:v>
                </c:pt>
                <c:pt idx="285">
                  <c:v>40.093871088226585</c:v>
                </c:pt>
                <c:pt idx="286">
                  <c:v>39.7645968793557</c:v>
                </c:pt>
                <c:pt idx="287">
                  <c:v>39.435388298396134</c:v>
                </c:pt>
                <c:pt idx="288">
                  <c:v>39.105324750027293</c:v>
                </c:pt>
                <c:pt idx="289">
                  <c:v>38.773774522398973</c:v>
                </c:pt>
                <c:pt idx="290">
                  <c:v>38.441165967137444</c:v>
                </c:pt>
                <c:pt idx="291">
                  <c:v>38.107923484670742</c:v>
                </c:pt>
                <c:pt idx="292">
                  <c:v>37.774471314303518</c:v>
                </c:pt>
                <c:pt idx="293">
                  <c:v>37.441233537644578</c:v>
                </c:pt>
                <c:pt idx="294">
                  <c:v>37.108634078734106</c:v>
                </c:pt>
                <c:pt idx="295">
                  <c:v>36.777092545183407</c:v>
                </c:pt>
                <c:pt idx="296">
                  <c:v>36.447023745104282</c:v>
                </c:pt>
                <c:pt idx="297">
                  <c:v>36.118851383327133</c:v>
                </c:pt>
                <c:pt idx="298">
                  <c:v>35.792999038353067</c:v>
                </c:pt>
                <c:pt idx="299">
                  <c:v>35.46989015404661</c:v>
                </c:pt>
                <c:pt idx="300">
                  <c:v>35.149948042171019</c:v>
                </c:pt>
                <c:pt idx="301">
                  <c:v>34.833595882735963</c:v>
                </c:pt>
                <c:pt idx="302">
                  <c:v>34.519276613477523</c:v>
                </c:pt>
                <c:pt idx="303">
                  <c:v>34.205430808107408</c:v>
                </c:pt>
                <c:pt idx="304">
                  <c:v>33.892477196709791</c:v>
                </c:pt>
                <c:pt idx="305">
                  <c:v>33.580839489378242</c:v>
                </c:pt>
                <c:pt idx="306">
                  <c:v>33.270941271873554</c:v>
                </c:pt>
                <c:pt idx="307">
                  <c:v>32.963206013435901</c:v>
                </c:pt>
                <c:pt idx="308">
                  <c:v>32.658057059967135</c:v>
                </c:pt>
                <c:pt idx="309">
                  <c:v>32.355915954019714</c:v>
                </c:pt>
                <c:pt idx="310">
                  <c:v>32.057209609577527</c:v>
                </c:pt>
                <c:pt idx="311">
                  <c:v>31.76236098415837</c:v>
                </c:pt>
                <c:pt idx="312">
                  <c:v>31.471792918485431</c:v>
                </c:pt>
                <c:pt idx="313">
                  <c:v>31.185928143244656</c:v>
                </c:pt>
                <c:pt idx="314">
                  <c:v>30.905189276741524</c:v>
                </c:pt>
                <c:pt idx="315">
                  <c:v>30.629998830189667</c:v>
                </c:pt>
                <c:pt idx="316">
                  <c:v>30.35948990270531</c:v>
                </c:pt>
                <c:pt idx="317">
                  <c:v>30.092582859740062</c:v>
                </c:pt>
                <c:pt idx="318">
                  <c:v>29.829385183891642</c:v>
                </c:pt>
                <c:pt idx="319">
                  <c:v>29.57000175757268</c:v>
                </c:pt>
                <c:pt idx="320">
                  <c:v>29.314537444041033</c:v>
                </c:pt>
                <c:pt idx="321">
                  <c:v>29.063097097656506</c:v>
                </c:pt>
                <c:pt idx="322">
                  <c:v>28.815785554237578</c:v>
                </c:pt>
                <c:pt idx="323">
                  <c:v>28.572710539065792</c:v>
                </c:pt>
                <c:pt idx="324">
                  <c:v>28.333978336161177</c:v>
                </c:pt>
                <c:pt idx="325">
                  <c:v>28.099693668972314</c:v>
                </c:pt>
                <c:pt idx="326">
                  <c:v>27.86996126005554</c:v>
                </c:pt>
                <c:pt idx="327">
                  <c:v>27.644885818222537</c:v>
                </c:pt>
                <c:pt idx="328">
                  <c:v>27.424572036840338</c:v>
                </c:pt>
                <c:pt idx="329">
                  <c:v>27.209124601231203</c:v>
                </c:pt>
                <c:pt idx="330">
                  <c:v>26.995172385593619</c:v>
                </c:pt>
                <c:pt idx="331">
                  <c:v>26.780264908455514</c:v>
                </c:pt>
                <c:pt idx="332">
                  <c:v>26.565885112269257</c:v>
                </c:pt>
                <c:pt idx="333">
                  <c:v>26.353514523850425</c:v>
                </c:pt>
                <c:pt idx="334">
                  <c:v>26.144634268514608</c:v>
                </c:pt>
                <c:pt idx="335">
                  <c:v>25.940725052333526</c:v>
                </c:pt>
                <c:pt idx="336">
                  <c:v>25.743267172069153</c:v>
                </c:pt>
                <c:pt idx="337">
                  <c:v>25.553739755729808</c:v>
                </c:pt>
                <c:pt idx="338">
                  <c:v>25.373619580606526</c:v>
                </c:pt>
                <c:pt idx="339">
                  <c:v>25.204385729728326</c:v>
                </c:pt>
                <c:pt idx="340">
                  <c:v>25.047516849979242</c:v>
                </c:pt>
                <c:pt idx="341">
                  <c:v>24.904491160648064</c:v>
                </c:pt>
                <c:pt idx="342">
                  <c:v>24.776786447230222</c:v>
                </c:pt>
                <c:pt idx="343">
                  <c:v>24.665880059235565</c:v>
                </c:pt>
                <c:pt idx="344">
                  <c:v>24.568991863197891</c:v>
                </c:pt>
                <c:pt idx="345">
                  <c:v>24.482526575679049</c:v>
                </c:pt>
                <c:pt idx="346">
                  <c:v>24.406736207713156</c:v>
                </c:pt>
                <c:pt idx="347">
                  <c:v>24.341874949947012</c:v>
                </c:pt>
                <c:pt idx="348">
                  <c:v>24.288196909921499</c:v>
                </c:pt>
                <c:pt idx="349">
                  <c:v>24.245956125106964</c:v>
                </c:pt>
                <c:pt idx="350">
                  <c:v>24.215406550960445</c:v>
                </c:pt>
                <c:pt idx="351">
                  <c:v>24.196801943505953</c:v>
                </c:pt>
                <c:pt idx="352">
                  <c:v>24.190396833176859</c:v>
                </c:pt>
                <c:pt idx="353">
                  <c:v>24.196444927433912</c:v>
                </c:pt>
                <c:pt idx="354">
                  <c:v>24.215199866162774</c:v>
                </c:pt>
                <c:pt idx="355">
                  <c:v>24.246915207957102</c:v>
                </c:pt>
                <c:pt idx="356">
                  <c:v>24.291844439895339</c:v>
                </c:pt>
                <c:pt idx="357">
                  <c:v>24.350240942647112</c:v>
                </c:pt>
                <c:pt idx="358">
                  <c:v>24.424531170198858</c:v>
                </c:pt>
                <c:pt idx="359">
                  <c:v>24.516166202993151</c:v>
                </c:pt>
                <c:pt idx="360">
                  <c:v>24.623935869362995</c:v>
                </c:pt>
                <c:pt idx="361">
                  <c:v>24.746631197370533</c:v>
                </c:pt>
                <c:pt idx="362">
                  <c:v>24.883043445793689</c:v>
                </c:pt>
                <c:pt idx="363">
                  <c:v>25.031964242593006</c:v>
                </c:pt>
                <c:pt idx="364">
                  <c:v>25.192185562744832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05">
                  <c:v>22.574000000000002</c:v>
                </c:pt>
                <c:pt idx="206">
                  <c:v>56.448</c:v>
                </c:pt>
                <c:pt idx="207">
                  <c:v>50.113</c:v>
                </c:pt>
                <c:pt idx="208">
                  <c:v>26.641999999999999</c:v>
                </c:pt>
                <c:pt idx="209">
                  <c:v>54.991</c:v>
                </c:pt>
                <c:pt idx="210">
                  <c:v>55.738</c:v>
                </c:pt>
                <c:pt idx="211">
                  <c:v>50.475000000000001</c:v>
                </c:pt>
                <c:pt idx="212">
                  <c:v>54.503</c:v>
                </c:pt>
                <c:pt idx="213">
                  <c:v>54.073999999999998</c:v>
                </c:pt>
                <c:pt idx="214">
                  <c:v>55.127000000000002</c:v>
                </c:pt>
                <c:pt idx="215">
                  <c:v>53.386000000000003</c:v>
                </c:pt>
                <c:pt idx="216">
                  <c:v>52.420999999999999</c:v>
                </c:pt>
                <c:pt idx="217">
                  <c:v>53.904000000000003</c:v>
                </c:pt>
                <c:pt idx="218">
                  <c:v>35.893999999999998</c:v>
                </c:pt>
                <c:pt idx="219">
                  <c:v>47.079000000000001</c:v>
                </c:pt>
                <c:pt idx="220">
                  <c:v>13.209</c:v>
                </c:pt>
                <c:pt idx="221">
                  <c:v>51.738</c:v>
                </c:pt>
                <c:pt idx="222">
                  <c:v>54.628</c:v>
                </c:pt>
                <c:pt idx="223">
                  <c:v>51.902999999999999</c:v>
                </c:pt>
                <c:pt idx="224">
                  <c:v>32.011000000000003</c:v>
                </c:pt>
                <c:pt idx="225">
                  <c:v>34.433</c:v>
                </c:pt>
                <c:pt idx="226">
                  <c:v>55.966999999999999</c:v>
                </c:pt>
                <c:pt idx="227">
                  <c:v>51.036999999999999</c:v>
                </c:pt>
                <c:pt idx="228">
                  <c:v>33.29</c:v>
                </c:pt>
                <c:pt idx="229">
                  <c:v>30.518999999999998</c:v>
                </c:pt>
                <c:pt idx="230">
                  <c:v>52.744999999999997</c:v>
                </c:pt>
                <c:pt idx="231">
                  <c:v>53.317</c:v>
                </c:pt>
                <c:pt idx="232">
                  <c:v>52.478999999999999</c:v>
                </c:pt>
                <c:pt idx="233">
                  <c:v>51.447000000000003</c:v>
                </c:pt>
                <c:pt idx="234">
                  <c:v>45.555</c:v>
                </c:pt>
                <c:pt idx="235">
                  <c:v>36.588000000000001</c:v>
                </c:pt>
                <c:pt idx="236">
                  <c:v>24.291</c:v>
                </c:pt>
                <c:pt idx="237">
                  <c:v>54.216000000000001</c:v>
                </c:pt>
                <c:pt idx="238">
                  <c:v>51.69</c:v>
                </c:pt>
                <c:pt idx="239">
                  <c:v>42.238</c:v>
                </c:pt>
                <c:pt idx="240">
                  <c:v>36.993000000000002</c:v>
                </c:pt>
                <c:pt idx="241">
                  <c:v>44.899000000000001</c:v>
                </c:pt>
                <c:pt idx="242">
                  <c:v>46.54</c:v>
                </c:pt>
                <c:pt idx="243">
                  <c:v>53.082999999999998</c:v>
                </c:pt>
                <c:pt idx="244">
                  <c:v>50.27</c:v>
                </c:pt>
                <c:pt idx="245">
                  <c:v>50.969000000000001</c:v>
                </c:pt>
                <c:pt idx="246">
                  <c:v>46.838999999999999</c:v>
                </c:pt>
                <c:pt idx="247">
                  <c:v>42.975000000000001</c:v>
                </c:pt>
                <c:pt idx="248">
                  <c:v>30.102</c:v>
                </c:pt>
                <c:pt idx="249">
                  <c:v>35.034999999999997</c:v>
                </c:pt>
                <c:pt idx="250">
                  <c:v>48.805999999999997</c:v>
                </c:pt>
                <c:pt idx="251">
                  <c:v>34.878999999999998</c:v>
                </c:pt>
                <c:pt idx="252">
                  <c:v>39.625</c:v>
                </c:pt>
                <c:pt idx="253">
                  <c:v>46.273000000000003</c:v>
                </c:pt>
                <c:pt idx="254">
                  <c:v>28.952999999999999</c:v>
                </c:pt>
                <c:pt idx="255">
                  <c:v>24.33</c:v>
                </c:pt>
                <c:pt idx="256">
                  <c:v>31.501999999999999</c:v>
                </c:pt>
                <c:pt idx="257">
                  <c:v>38.780999999999999</c:v>
                </c:pt>
                <c:pt idx="258">
                  <c:v>45.83</c:v>
                </c:pt>
                <c:pt idx="259">
                  <c:v>43.548999999999999</c:v>
                </c:pt>
                <c:pt idx="260">
                  <c:v>41.865000000000002</c:v>
                </c:pt>
                <c:pt idx="261">
                  <c:v>36.764000000000003</c:v>
                </c:pt>
                <c:pt idx="262">
                  <c:v>44.392000000000003</c:v>
                </c:pt>
                <c:pt idx="263">
                  <c:v>33.619999999999997</c:v>
                </c:pt>
                <c:pt idx="264">
                  <c:v>43.548000000000002</c:v>
                </c:pt>
                <c:pt idx="265">
                  <c:v>43.899000000000001</c:v>
                </c:pt>
                <c:pt idx="266">
                  <c:v>39.715000000000003</c:v>
                </c:pt>
                <c:pt idx="267">
                  <c:v>46.082000000000001</c:v>
                </c:pt>
                <c:pt idx="268">
                  <c:v>46.04</c:v>
                </c:pt>
                <c:pt idx="269">
                  <c:v>44.694000000000003</c:v>
                </c:pt>
                <c:pt idx="270">
                  <c:v>41.768000000000001</c:v>
                </c:pt>
                <c:pt idx="271">
                  <c:v>43.454999999999998</c:v>
                </c:pt>
                <c:pt idx="272">
                  <c:v>41.005000000000003</c:v>
                </c:pt>
                <c:pt idx="273">
                  <c:v>27.46</c:v>
                </c:pt>
                <c:pt idx="274">
                  <c:v>44.112000000000002</c:v>
                </c:pt>
                <c:pt idx="275">
                  <c:v>42.094000000000001</c:v>
                </c:pt>
                <c:pt idx="276">
                  <c:v>41.671999999999997</c:v>
                </c:pt>
                <c:pt idx="277">
                  <c:v>41.854999999999997</c:v>
                </c:pt>
                <c:pt idx="278">
                  <c:v>39.234999999999999</c:v>
                </c:pt>
                <c:pt idx="279">
                  <c:v>13.465</c:v>
                </c:pt>
                <c:pt idx="280">
                  <c:v>13.224</c:v>
                </c:pt>
                <c:pt idx="281">
                  <c:v>34.454999999999998</c:v>
                </c:pt>
                <c:pt idx="282">
                  <c:v>19.116</c:v>
                </c:pt>
                <c:pt idx="283">
                  <c:v>30.626999999999999</c:v>
                </c:pt>
                <c:pt idx="284">
                  <c:v>34.795000000000002</c:v>
                </c:pt>
                <c:pt idx="285">
                  <c:v>28.117000000000001</c:v>
                </c:pt>
                <c:pt idx="286">
                  <c:v>35.329000000000001</c:v>
                </c:pt>
                <c:pt idx="287">
                  <c:v>10.795999999999999</c:v>
                </c:pt>
                <c:pt idx="288">
                  <c:v>17.864000000000001</c:v>
                </c:pt>
                <c:pt idx="289">
                  <c:v>21.582000000000001</c:v>
                </c:pt>
                <c:pt idx="290">
                  <c:v>10.888999999999999</c:v>
                </c:pt>
                <c:pt idx="291">
                  <c:v>24.373000000000001</c:v>
                </c:pt>
                <c:pt idx="292">
                  <c:v>10.961</c:v>
                </c:pt>
                <c:pt idx="293">
                  <c:v>17.946000000000002</c:v>
                </c:pt>
                <c:pt idx="294">
                  <c:v>23.08</c:v>
                </c:pt>
                <c:pt idx="295">
                  <c:v>36.99</c:v>
                </c:pt>
                <c:pt idx="296">
                  <c:v>35.442</c:v>
                </c:pt>
                <c:pt idx="297">
                  <c:v>35.509</c:v>
                </c:pt>
                <c:pt idx="298">
                  <c:v>4.0049999999999999</c:v>
                </c:pt>
                <c:pt idx="299">
                  <c:v>9.3800000000000008</c:v>
                </c:pt>
                <c:pt idx="300">
                  <c:v>3.8359999999999999</c:v>
                </c:pt>
                <c:pt idx="301">
                  <c:v>4.4180000000000001</c:v>
                </c:pt>
                <c:pt idx="302">
                  <c:v>32.703000000000003</c:v>
                </c:pt>
                <c:pt idx="303">
                  <c:v>9.7970000000000006</c:v>
                </c:pt>
                <c:pt idx="304">
                  <c:v>22.588999999999999</c:v>
                </c:pt>
                <c:pt idx="305">
                  <c:v>9.0079999999999991</c:v>
                </c:pt>
                <c:pt idx="306">
                  <c:v>29.632999999999999</c:v>
                </c:pt>
                <c:pt idx="307">
                  <c:v>22.895</c:v>
                </c:pt>
                <c:pt idx="308">
                  <c:v>10.75</c:v>
                </c:pt>
                <c:pt idx="309">
                  <c:v>24.097999999999999</c:v>
                </c:pt>
                <c:pt idx="310">
                  <c:v>9.8339999999999996</c:v>
                </c:pt>
                <c:pt idx="311">
                  <c:v>17.21</c:v>
                </c:pt>
                <c:pt idx="312">
                  <c:v>5.92</c:v>
                </c:pt>
                <c:pt idx="313">
                  <c:v>21.510999999999999</c:v>
                </c:pt>
                <c:pt idx="314">
                  <c:v>26.483000000000001</c:v>
                </c:pt>
                <c:pt idx="315">
                  <c:v>27.888999999999999</c:v>
                </c:pt>
                <c:pt idx="316">
                  <c:v>8.64</c:v>
                </c:pt>
                <c:pt idx="317">
                  <c:v>18.3</c:v>
                </c:pt>
                <c:pt idx="318">
                  <c:v>20.047000000000001</c:v>
                </c:pt>
                <c:pt idx="319">
                  <c:v>25.298999999999999</c:v>
                </c:pt>
                <c:pt idx="320">
                  <c:v>28.289000000000001</c:v>
                </c:pt>
                <c:pt idx="321">
                  <c:v>23.254999999999999</c:v>
                </c:pt>
                <c:pt idx="322">
                  <c:v>20.178999999999998</c:v>
                </c:pt>
                <c:pt idx="323">
                  <c:v>9.3879999999999999</c:v>
                </c:pt>
                <c:pt idx="324">
                  <c:v>28.417000000000002</c:v>
                </c:pt>
                <c:pt idx="325">
                  <c:v>20.283999999999999</c:v>
                </c:pt>
                <c:pt idx="326">
                  <c:v>12.188000000000001</c:v>
                </c:pt>
                <c:pt idx="327">
                  <c:v>21.893999999999998</c:v>
                </c:pt>
                <c:pt idx="328">
                  <c:v>13.569000000000001</c:v>
                </c:pt>
                <c:pt idx="329">
                  <c:v>3.7570000000000001</c:v>
                </c:pt>
                <c:pt idx="330">
                  <c:v>24.777999999999999</c:v>
                </c:pt>
                <c:pt idx="331">
                  <c:v>18.367999999999999</c:v>
                </c:pt>
                <c:pt idx="332">
                  <c:v>26.042000000000002</c:v>
                </c:pt>
                <c:pt idx="333">
                  <c:v>10.788</c:v>
                </c:pt>
                <c:pt idx="334">
                  <c:v>18.754999999999999</c:v>
                </c:pt>
                <c:pt idx="335">
                  <c:v>7.33</c:v>
                </c:pt>
                <c:pt idx="336">
                  <c:v>7.8970000000000002</c:v>
                </c:pt>
                <c:pt idx="337">
                  <c:v>6.0350000000000001</c:v>
                </c:pt>
                <c:pt idx="338">
                  <c:v>19.318000000000001</c:v>
                </c:pt>
                <c:pt idx="339">
                  <c:v>12.292</c:v>
                </c:pt>
                <c:pt idx="340">
                  <c:v>19.204000000000001</c:v>
                </c:pt>
                <c:pt idx="341">
                  <c:v>15.926</c:v>
                </c:pt>
                <c:pt idx="342">
                  <c:v>5.37</c:v>
                </c:pt>
                <c:pt idx="343">
                  <c:v>10.683</c:v>
                </c:pt>
                <c:pt idx="344">
                  <c:v>17.986000000000001</c:v>
                </c:pt>
                <c:pt idx="345">
                  <c:v>3.1920000000000002</c:v>
                </c:pt>
                <c:pt idx="346">
                  <c:v>2.0299999999999998</c:v>
                </c:pt>
                <c:pt idx="347">
                  <c:v>2.827</c:v>
                </c:pt>
                <c:pt idx="348">
                  <c:v>5.9669999999999996</c:v>
                </c:pt>
                <c:pt idx="349">
                  <c:v>3.55</c:v>
                </c:pt>
                <c:pt idx="350">
                  <c:v>20.042000000000002</c:v>
                </c:pt>
                <c:pt idx="351">
                  <c:v>13.018000000000001</c:v>
                </c:pt>
                <c:pt idx="352">
                  <c:v>23.027999999999999</c:v>
                </c:pt>
                <c:pt idx="353">
                  <c:v>13.725</c:v>
                </c:pt>
                <c:pt idx="354">
                  <c:v>8.5570000000000004</c:v>
                </c:pt>
                <c:pt idx="355">
                  <c:v>6.1740000000000004</c:v>
                </c:pt>
                <c:pt idx="356">
                  <c:v>5.0190000000000001</c:v>
                </c:pt>
                <c:pt idx="357">
                  <c:v>5.2640000000000002</c:v>
                </c:pt>
                <c:pt idx="358">
                  <c:v>16.07</c:v>
                </c:pt>
                <c:pt idx="359">
                  <c:v>23.902999999999999</c:v>
                </c:pt>
                <c:pt idx="360">
                  <c:v>24.277999999999999</c:v>
                </c:pt>
                <c:pt idx="361">
                  <c:v>3.415</c:v>
                </c:pt>
                <c:pt idx="362">
                  <c:v>4.673</c:v>
                </c:pt>
                <c:pt idx="363">
                  <c:v>3.5019999999999998</c:v>
                </c:pt>
                <c:pt idx="364">
                  <c:v>6.117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691128"/>
        <c:axId val="579691520"/>
      </c:lineChart>
      <c:dateAx>
        <c:axId val="579691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9691520"/>
        <c:crosses val="autoZero"/>
        <c:auto val="1"/>
        <c:lblOffset val="100"/>
        <c:baseTimeUnit val="days"/>
        <c:majorUnit val="1"/>
        <c:majorTimeUnit val="months"/>
      </c:dateAx>
      <c:valAx>
        <c:axId val="5796915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96911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2.1902566432308035E-5</c:v>
                </c:pt>
                <c:pt idx="160">
                  <c:v>4.3804653142243133E-5</c:v>
                </c:pt>
                <c:pt idx="161">
                  <c:v>6.570626014024139E-5</c:v>
                </c:pt>
                <c:pt idx="162">
                  <c:v>8.7607387436960948E-5</c:v>
                </c:pt>
                <c:pt idx="163">
                  <c:v>1.0950803504261586E-4</c:v>
                </c:pt>
                <c:pt idx="164">
                  <c:v>1.3140820296797528E-4</c:v>
                </c:pt>
                <c:pt idx="165">
                  <c:v>1.5330789122347532E-4</c:v>
                </c:pt>
                <c:pt idx="166">
                  <c:v>1.7520709981955207E-4</c:v>
                </c:pt>
                <c:pt idx="167">
                  <c:v>1.9710582876675264E-4</c:v>
                </c:pt>
                <c:pt idx="168">
                  <c:v>2.1900407807551314E-4</c:v>
                </c:pt>
                <c:pt idx="169">
                  <c:v>2.409018477564917E-4</c:v>
                </c:pt>
                <c:pt idx="170">
                  <c:v>2.6279913782012443E-4</c:v>
                </c:pt>
                <c:pt idx="171">
                  <c:v>2.8469594827695843E-4</c:v>
                </c:pt>
                <c:pt idx="172">
                  <c:v>3.0659227913731879E-4</c:v>
                </c:pt>
                <c:pt idx="173">
                  <c:v>3.2848813041197467E-4</c:v>
                </c:pt>
                <c:pt idx="174">
                  <c:v>3.5038350211114011E-4</c:v>
                </c:pt>
                <c:pt idx="175">
                  <c:v>3.7227839424558429E-4</c:v>
                </c:pt>
                <c:pt idx="176">
                  <c:v>3.9417280682563227E-4</c:v>
                </c:pt>
                <c:pt idx="177">
                  <c:v>4.160667398619422E-4</c:v>
                </c:pt>
                <c:pt idx="178">
                  <c:v>4.3796019336483916E-4</c:v>
                </c:pt>
                <c:pt idx="179">
                  <c:v>4.5985316734498127E-4</c:v>
                </c:pt>
                <c:pt idx="180">
                  <c:v>4.8174566181280465E-4</c:v>
                </c:pt>
                <c:pt idx="181">
                  <c:v>5.0363767677874538E-4</c:v>
                </c:pt>
                <c:pt idx="182">
                  <c:v>5.2552921225346161E-4</c:v>
                </c:pt>
                <c:pt idx="183">
                  <c:v>5.4742026824727841E-4</c:v>
                </c:pt>
                <c:pt idx="184">
                  <c:v>5.6931084477085392E-4</c:v>
                </c:pt>
                <c:pt idx="185">
                  <c:v>5.9120094183462424E-4</c:v>
                </c:pt>
                <c:pt idx="186">
                  <c:v>6.1309055944902546E-4</c:v>
                </c:pt>
                <c:pt idx="187">
                  <c:v>6.3497969762471573E-4</c:v>
                </c:pt>
                <c:pt idx="188">
                  <c:v>6.5686835637202012E-4</c:v>
                </c:pt>
                <c:pt idx="189">
                  <c:v>6.7875653570159677E-4</c:v>
                </c:pt>
                <c:pt idx="190">
                  <c:v>7.0064423562377076E-4</c:v>
                </c:pt>
                <c:pt idx="191">
                  <c:v>7.2253145614920022E-4</c:v>
                </c:pt>
                <c:pt idx="192">
                  <c:v>7.4441819728832126E-4</c:v>
                </c:pt>
                <c:pt idx="193">
                  <c:v>7.6630445905168099E-4</c:v>
                </c:pt>
                <c:pt idx="194">
                  <c:v>7.881902414497155E-4</c:v>
                </c:pt>
                <c:pt idx="195">
                  <c:v>8.100755444928609E-4</c:v>
                </c:pt>
                <c:pt idx="196">
                  <c:v>8.3196036819188635E-4</c:v>
                </c:pt>
                <c:pt idx="197">
                  <c:v>8.5384471255689487E-4</c:v>
                </c:pt>
                <c:pt idx="198">
                  <c:v>8.7572857759876666E-4</c:v>
                </c:pt>
                <c:pt idx="199">
                  <c:v>8.9761196332771576E-4</c:v>
                </c:pt>
                <c:pt idx="200">
                  <c:v>9.1949486975440031E-4</c:v>
                </c:pt>
                <c:pt idx="201">
                  <c:v>9.4137729688936744E-4</c:v>
                </c:pt>
                <c:pt idx="202">
                  <c:v>9.632592447428312E-4</c:v>
                </c:pt>
                <c:pt idx="203">
                  <c:v>9.8514071332567177E-4</c:v>
                </c:pt>
                <c:pt idx="204">
                  <c:v>1.0070217026481032E-3</c:v>
                </c:pt>
                <c:pt idx="205">
                  <c:v>1.0289022127206726E-3</c:v>
                </c:pt>
                <c:pt idx="206">
                  <c:v>1.0507822435539271E-3</c:v>
                </c:pt>
                <c:pt idx="207">
                  <c:v>1.0726617951584139E-3</c:v>
                </c:pt>
                <c:pt idx="208">
                  <c:v>1.0945408675444579E-3</c:v>
                </c:pt>
                <c:pt idx="209">
                  <c:v>1.1164194607228284E-3</c:v>
                </c:pt>
                <c:pt idx="210">
                  <c:v>1.1382975747037394E-3</c:v>
                </c:pt>
                <c:pt idx="211">
                  <c:v>1.160175209497849E-3</c:v>
                </c:pt>
                <c:pt idx="212">
                  <c:v>1.1820523651155934E-3</c:v>
                </c:pt>
                <c:pt idx="213">
                  <c:v>1.2039290415675197E-3</c:v>
                </c:pt>
                <c:pt idx="214">
                  <c:v>1.2258052388639529E-3</c:v>
                </c:pt>
                <c:pt idx="215">
                  <c:v>1.2476809570156622E-3</c:v>
                </c:pt>
                <c:pt idx="216">
                  <c:v>1.2695561960329727E-3</c:v>
                </c:pt>
                <c:pt idx="217">
                  <c:v>1.2914309559264314E-3</c:v>
                </c:pt>
                <c:pt idx="218">
                  <c:v>1.3133052367064746E-3</c:v>
                </c:pt>
                <c:pt idx="219">
                  <c:v>1.3351790383835382E-3</c:v>
                </c:pt>
                <c:pt idx="220">
                  <c:v>1.3570523609683915E-3</c:v>
                </c:pt>
                <c:pt idx="221">
                  <c:v>1.3789252044712486E-3</c:v>
                </c:pt>
                <c:pt idx="222">
                  <c:v>1.4007975689026564E-3</c:v>
                </c:pt>
                <c:pt idx="223">
                  <c:v>1.4226694542731622E-3</c:v>
                </c:pt>
                <c:pt idx="224">
                  <c:v>1.444540860593313E-3</c:v>
                </c:pt>
                <c:pt idx="225">
                  <c:v>1.466411787873434E-3</c:v>
                </c:pt>
                <c:pt idx="226">
                  <c:v>1.4882822361241832E-3</c:v>
                </c:pt>
                <c:pt idx="227">
                  <c:v>1.5101522053559968E-3</c:v>
                </c:pt>
                <c:pt idx="228">
                  <c:v>1.5320216955794219E-3</c:v>
                </c:pt>
                <c:pt idx="229">
                  <c:v>1.5538907068047836E-3</c:v>
                </c:pt>
                <c:pt idx="230">
                  <c:v>1.5757592390426289E-3</c:v>
                </c:pt>
                <c:pt idx="231">
                  <c:v>1.5976272923036161E-3</c:v>
                </c:pt>
                <c:pt idx="232">
                  <c:v>1.6194948665980702E-3</c:v>
                </c:pt>
                <c:pt idx="233">
                  <c:v>1.6413619619365383E-3</c:v>
                </c:pt>
                <c:pt idx="234">
                  <c:v>1.6632285783294565E-3</c:v>
                </c:pt>
                <c:pt idx="235">
                  <c:v>1.6850947157873719E-3</c:v>
                </c:pt>
                <c:pt idx="236">
                  <c:v>1.7069603743207207E-3</c:v>
                </c:pt>
                <c:pt idx="237">
                  <c:v>1.7288255539400499E-3</c:v>
                </c:pt>
                <c:pt idx="238">
                  <c:v>1.7506902546559067E-3</c:v>
                </c:pt>
                <c:pt idx="239">
                  <c:v>1.7725544764786161E-3</c:v>
                </c:pt>
                <c:pt idx="240">
                  <c:v>1.7944182194188363E-3</c:v>
                </c:pt>
                <c:pt idx="241">
                  <c:v>1.8162814834868923E-3</c:v>
                </c:pt>
                <c:pt idx="242">
                  <c:v>1.8381442686933314E-3</c:v>
                </c:pt>
                <c:pt idx="243">
                  <c:v>1.8600065750488115E-3</c:v>
                </c:pt>
                <c:pt idx="244">
                  <c:v>1.8818684025635468E-3</c:v>
                </c:pt>
                <c:pt idx="245">
                  <c:v>1.9037297512481954E-3</c:v>
                </c:pt>
                <c:pt idx="246">
                  <c:v>1.9255906211131935E-3</c:v>
                </c:pt>
                <c:pt idx="247">
                  <c:v>1.947451012168977E-3</c:v>
                </c:pt>
                <c:pt idx="248">
                  <c:v>1.9693109244262041E-3</c:v>
                </c:pt>
                <c:pt idx="249">
                  <c:v>1.9911703578952E-3</c:v>
                </c:pt>
                <c:pt idx="250">
                  <c:v>2.0130293125865117E-3</c:v>
                </c:pt>
                <c:pt idx="251">
                  <c:v>2.0348877885105754E-3</c:v>
                </c:pt>
                <c:pt idx="252">
                  <c:v>2.0567457856779381E-3</c:v>
                </c:pt>
                <c:pt idx="253">
                  <c:v>2.078603304099147E-3</c:v>
                </c:pt>
                <c:pt idx="254">
                  <c:v>2.1004603437845271E-3</c:v>
                </c:pt>
                <c:pt idx="255">
                  <c:v>2.1223169047446255E-3</c:v>
                </c:pt>
                <c:pt idx="256">
                  <c:v>2.1441729869899895E-3</c:v>
                </c:pt>
                <c:pt idx="257">
                  <c:v>2.166028590531055E-3</c:v>
                </c:pt>
                <c:pt idx="258">
                  <c:v>2.1878837153782582E-3</c:v>
                </c:pt>
                <c:pt idx="259">
                  <c:v>2.2097383615422572E-3</c:v>
                </c:pt>
                <c:pt idx="260">
                  <c:v>2.2315925290332661E-3</c:v>
                </c:pt>
                <c:pt idx="261">
                  <c:v>2.253446217862054E-3</c:v>
                </c:pt>
                <c:pt idx="262">
                  <c:v>2.275299428038835E-3</c:v>
                </c:pt>
                <c:pt idx="263">
                  <c:v>2.2971521595743782E-3</c:v>
                </c:pt>
                <c:pt idx="264">
                  <c:v>2.3190044124788978E-3</c:v>
                </c:pt>
                <c:pt idx="265">
                  <c:v>2.3408561867630517E-3</c:v>
                </c:pt>
                <c:pt idx="266">
                  <c:v>2.3627074824372762E-3</c:v>
                </c:pt>
                <c:pt idx="267">
                  <c:v>2.3845582995120074E-3</c:v>
                </c:pt>
                <c:pt idx="268">
                  <c:v>2.4064086379977923E-3</c:v>
                </c:pt>
                <c:pt idx="269">
                  <c:v>2.428258497905067E-3</c:v>
                </c:pt>
                <c:pt idx="270">
                  <c:v>2.4501078792443787E-3</c:v>
                </c:pt>
                <c:pt idx="271">
                  <c:v>2.4719567820261634E-3</c:v>
                </c:pt>
                <c:pt idx="272">
                  <c:v>2.4938052062608573E-3</c:v>
                </c:pt>
                <c:pt idx="273">
                  <c:v>2.5156531519590075E-3</c:v>
                </c:pt>
                <c:pt idx="274">
                  <c:v>2.5375006191310501E-3</c:v>
                </c:pt>
                <c:pt idx="275">
                  <c:v>2.5593476077875321E-3</c:v>
                </c:pt>
                <c:pt idx="276">
                  <c:v>2.5811941179388898E-3</c:v>
                </c:pt>
                <c:pt idx="277">
                  <c:v>2.6030401495955591E-3</c:v>
                </c:pt>
                <c:pt idx="278">
                  <c:v>2.6248857027680872E-3</c:v>
                </c:pt>
                <c:pt idx="279">
                  <c:v>2.6467307774669102E-3</c:v>
                </c:pt>
                <c:pt idx="280">
                  <c:v>2.6685753737025752E-3</c:v>
                </c:pt>
                <c:pt idx="281">
                  <c:v>2.6904194914855184E-3</c:v>
                </c:pt>
                <c:pt idx="282">
                  <c:v>2.7122631308262868E-3</c:v>
                </c:pt>
                <c:pt idx="283">
                  <c:v>2.7341062917352055E-3</c:v>
                </c:pt>
                <c:pt idx="284">
                  <c:v>2.7559489742228216E-3</c:v>
                </c:pt>
                <c:pt idx="285">
                  <c:v>2.7777911782996823E-3</c:v>
                </c:pt>
                <c:pt idx="286">
                  <c:v>2.7996329039762236E-3</c:v>
                </c:pt>
                <c:pt idx="287">
                  <c:v>2.8214741512629926E-3</c:v>
                </c:pt>
                <c:pt idx="288">
                  <c:v>2.8433149201702035E-3</c:v>
                </c:pt>
                <c:pt idx="289">
                  <c:v>2.8651552107086253E-3</c:v>
                </c:pt>
                <c:pt idx="290">
                  <c:v>2.8869950228886943E-3</c:v>
                </c:pt>
                <c:pt idx="291">
                  <c:v>2.9088343567207353E-3</c:v>
                </c:pt>
                <c:pt idx="292">
                  <c:v>2.9306732122152956E-3</c:v>
                </c:pt>
                <c:pt idx="293">
                  <c:v>2.9525115893829224E-3</c:v>
                </c:pt>
                <c:pt idx="294">
                  <c:v>2.9743494882340515E-3</c:v>
                </c:pt>
                <c:pt idx="295">
                  <c:v>2.9961869087792303E-3</c:v>
                </c:pt>
                <c:pt idx="296">
                  <c:v>3.0180238510286728E-3</c:v>
                </c:pt>
                <c:pt idx="297">
                  <c:v>3.039860314993148E-3</c:v>
                </c:pt>
                <c:pt idx="298">
                  <c:v>3.0616963006829812E-3</c:v>
                </c:pt>
                <c:pt idx="299">
                  <c:v>3.0835318081087193E-3</c:v>
                </c:pt>
                <c:pt idx="300">
                  <c:v>3.1053668372807985E-3</c:v>
                </c:pt>
                <c:pt idx="301">
                  <c:v>3.127201388209766E-3</c:v>
                </c:pt>
                <c:pt idx="302">
                  <c:v>3.1490354609059468E-3</c:v>
                </c:pt>
                <c:pt idx="303">
                  <c:v>3.1708690553798879E-3</c:v>
                </c:pt>
                <c:pt idx="304">
                  <c:v>3.1927021716421367E-3</c:v>
                </c:pt>
                <c:pt idx="305">
                  <c:v>3.214534809703018E-3</c:v>
                </c:pt>
                <c:pt idx="306">
                  <c:v>3.23636696957319E-3</c:v>
                </c:pt>
                <c:pt idx="307">
                  <c:v>3.2581986512629779E-3</c:v>
                </c:pt>
                <c:pt idx="308">
                  <c:v>3.2800298547829287E-3</c:v>
                </c:pt>
                <c:pt idx="309">
                  <c:v>3.3018605801434786E-3</c:v>
                </c:pt>
                <c:pt idx="310">
                  <c:v>3.3236908273550636E-3</c:v>
                </c:pt>
                <c:pt idx="311">
                  <c:v>3.3455205964282309E-3</c:v>
                </c:pt>
                <c:pt idx="312">
                  <c:v>3.3673498873735275E-3</c:v>
                </c:pt>
                <c:pt idx="313">
                  <c:v>3.3891787002012785E-3</c:v>
                </c:pt>
                <c:pt idx="314">
                  <c:v>3.4110070349219201E-3</c:v>
                </c:pt>
                <c:pt idx="315">
                  <c:v>3.4328348915461104E-3</c:v>
                </c:pt>
                <c:pt idx="316">
                  <c:v>3.4546622700841745E-3</c:v>
                </c:pt>
                <c:pt idx="317">
                  <c:v>3.4764891705466594E-3</c:v>
                </c:pt>
                <c:pt idx="318">
                  <c:v>3.4983155929440013E-3</c:v>
                </c:pt>
                <c:pt idx="319">
                  <c:v>3.5201415372866363E-3</c:v>
                </c:pt>
                <c:pt idx="320">
                  <c:v>3.5419670035851114E-3</c:v>
                </c:pt>
                <c:pt idx="321">
                  <c:v>3.5637919918498628E-3</c:v>
                </c:pt>
                <c:pt idx="322">
                  <c:v>3.5856165020914377E-3</c:v>
                </c:pt>
                <c:pt idx="323">
                  <c:v>3.60744053432005E-3</c:v>
                </c:pt>
                <c:pt idx="324">
                  <c:v>3.6292640885464689E-3</c:v>
                </c:pt>
                <c:pt idx="325">
                  <c:v>3.6510871647810195E-3</c:v>
                </c:pt>
                <c:pt idx="326">
                  <c:v>3.6729097630342489E-3</c:v>
                </c:pt>
                <c:pt idx="327">
                  <c:v>3.6947318833164822E-3</c:v>
                </c:pt>
                <c:pt idx="328">
                  <c:v>3.7165535256382665E-3</c:v>
                </c:pt>
                <c:pt idx="329">
                  <c:v>3.7383746900101489E-3</c:v>
                </c:pt>
                <c:pt idx="330">
                  <c:v>3.7601953764424545E-3</c:v>
                </c:pt>
                <c:pt idx="331">
                  <c:v>3.7820155849458414E-3</c:v>
                </c:pt>
                <c:pt idx="332">
                  <c:v>3.8038353155305238E-3</c:v>
                </c:pt>
                <c:pt idx="333">
                  <c:v>3.8256545682071597E-3</c:v>
                </c:pt>
                <c:pt idx="334">
                  <c:v>3.8474733429861852E-3</c:v>
                </c:pt>
                <c:pt idx="335">
                  <c:v>3.8692916398780364E-3</c:v>
                </c:pt>
                <c:pt idx="336">
                  <c:v>3.8911094588932604E-3</c:v>
                </c:pt>
                <c:pt idx="337">
                  <c:v>3.9129268000421824E-3</c:v>
                </c:pt>
                <c:pt idx="338">
                  <c:v>3.9347436633353494E-3</c:v>
                </c:pt>
                <c:pt idx="339">
                  <c:v>3.9565600487831976E-3</c:v>
                </c:pt>
                <c:pt idx="340">
                  <c:v>3.9783759563962739E-3</c:v>
                </c:pt>
                <c:pt idx="341">
                  <c:v>4.0001913861849037E-3</c:v>
                </c:pt>
                <c:pt idx="342">
                  <c:v>4.0220063381596338E-3</c:v>
                </c:pt>
                <c:pt idx="343">
                  <c:v>4.0438208123310115E-3</c:v>
                </c:pt>
                <c:pt idx="344">
                  <c:v>4.0656348087093619E-3</c:v>
                </c:pt>
                <c:pt idx="345">
                  <c:v>4.087448327305232E-3</c:v>
                </c:pt>
                <c:pt idx="346">
                  <c:v>4.109261368129058E-3</c:v>
                </c:pt>
                <c:pt idx="347">
                  <c:v>4.1310739311912759E-3</c:v>
                </c:pt>
                <c:pt idx="348">
                  <c:v>4.1528860165024328E-3</c:v>
                </c:pt>
                <c:pt idx="349">
                  <c:v>4.1746976240728539E-3</c:v>
                </c:pt>
                <c:pt idx="350">
                  <c:v>4.1965087539131973E-3</c:v>
                </c:pt>
                <c:pt idx="351">
                  <c:v>4.2183194060337881E-3</c:v>
                </c:pt>
                <c:pt idx="352">
                  <c:v>4.2401295804450623E-3</c:v>
                </c:pt>
                <c:pt idx="353">
                  <c:v>4.2619392771576781E-3</c:v>
                </c:pt>
                <c:pt idx="354">
                  <c:v>4.2837484961818495E-3</c:v>
                </c:pt>
                <c:pt idx="355">
                  <c:v>4.3055572375281237E-3</c:v>
                </c:pt>
                <c:pt idx="356">
                  <c:v>4.3273655012070478E-3</c:v>
                </c:pt>
                <c:pt idx="357">
                  <c:v>4.3491732872290578E-3</c:v>
                </c:pt>
                <c:pt idx="358">
                  <c:v>4.37098059560459E-3</c:v>
                </c:pt>
                <c:pt idx="359">
                  <c:v>4.3927874263440803E-3</c:v>
                </c:pt>
                <c:pt idx="360">
                  <c:v>4.4145937794579648E-3</c:v>
                </c:pt>
                <c:pt idx="361">
                  <c:v>4.4363996549567908E-3</c:v>
                </c:pt>
                <c:pt idx="362">
                  <c:v>4.4582050528509942E-3</c:v>
                </c:pt>
                <c:pt idx="363">
                  <c:v>4.4800099731510112E-3</c:v>
                </c:pt>
                <c:pt idx="364">
                  <c:v>4.5018144158672779E-3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6.62907971666148E-5</c:v>
                </c:pt>
                <c:pt idx="160">
                  <c:v>1.3259922725903167E-4</c:v>
                </c:pt>
                <c:pt idx="161">
                  <c:v>1.9892269897931305E-4</c:v>
                </c:pt>
                <c:pt idx="162">
                  <c:v>2.6525847144756457E-4</c:v>
                </c:pt>
                <c:pt idx="163">
                  <c:v>3.31603667693792E-4</c:v>
                </c:pt>
                <c:pt idx="164">
                  <c:v>3.9795528891446312E-4</c:v>
                </c:pt>
                <c:pt idx="165">
                  <c:v>4.6431022939271712E-4</c:v>
                </c:pt>
                <c:pt idx="166">
                  <c:v>5.3066529197402746E-4</c:v>
                </c:pt>
                <c:pt idx="167">
                  <c:v>5.9701720398370702E-4</c:v>
                </c:pt>
                <c:pt idx="168">
                  <c:v>6.6336263346727248E-4</c:v>
                </c:pt>
                <c:pt idx="169">
                  <c:v>7.296982056316342E-4</c:v>
                </c:pt>
                <c:pt idx="170">
                  <c:v>7.9602051936207671E-4</c:v>
                </c:pt>
                <c:pt idx="171">
                  <c:v>8.6232616368908232E-4</c:v>
                </c:pt>
                <c:pt idx="172">
                  <c:v>9.2861173407892989E-4</c:v>
                </c:pt>
                <c:pt idx="173">
                  <c:v>9.9487384842316751E-4</c:v>
                </c:pt>
                <c:pt idx="174">
                  <c:v>1.0611091626047174E-3</c:v>
                </c:pt>
                <c:pt idx="175">
                  <c:v>1.1273143855219593E-3</c:v>
                </c:pt>
                <c:pt idx="176">
                  <c:v>1.193486293457243E-3</c:v>
                </c:pt>
                <c:pt idx="177">
                  <c:v>1.2596217436821175E-3</c:v>
                </c:pt>
                <c:pt idx="178">
                  <c:v>1.3257176871990595E-3</c:v>
                </c:pt>
                <c:pt idx="179">
                  <c:v>1.3917711805274198E-3</c:v>
                </c:pt>
                <c:pt idx="180">
                  <c:v>1.4577793964506373E-3</c:v>
                </c:pt>
                <c:pt idx="181">
                  <c:v>1.5237396336515766E-3</c:v>
                </c:pt>
                <c:pt idx="182">
                  <c:v>1.5896493251737016E-3</c:v>
                </c:pt>
                <c:pt idx="183">
                  <c:v>1.6555060456569918E-3</c:v>
                </c:pt>
                <c:pt idx="184">
                  <c:v>1.7213075173093781E-3</c:v>
                </c:pt>
                <c:pt idx="185">
                  <c:v>1.7870516145866145E-3</c:v>
                </c:pt>
                <c:pt idx="186">
                  <c:v>1.8527363675658378E-3</c:v>
                </c:pt>
                <c:pt idx="187">
                  <c:v>1.9183599640106561E-3</c:v>
                </c:pt>
                <c:pt idx="188">
                  <c:v>1.9839207501378036E-3</c:v>
                </c:pt>
                <c:pt idx="189">
                  <c:v>2.0494172301078382E-3</c:v>
                </c:pt>
                <c:pt idx="190">
                  <c:v>2.1148480642740981E-3</c:v>
                </c:pt>
                <c:pt idx="191">
                  <c:v>2.1802120662356098E-3</c:v>
                </c:pt>
                <c:pt idx="192">
                  <c:v>2.2455081987503415E-3</c:v>
                </c:pt>
                <c:pt idx="193">
                  <c:v>2.3107355685755395E-3</c:v>
                </c:pt>
                <c:pt idx="194">
                  <c:v>2.3758934203108946E-3</c:v>
                </c:pt>
                <c:pt idx="195">
                  <c:v>2.4409811293287236E-3</c:v>
                </c:pt>
                <c:pt idx="196">
                  <c:v>2.50599819388271E-3</c:v>
                </c:pt>
                <c:pt idx="197">
                  <c:v>2.5709442264929406E-3</c:v>
                </c:pt>
                <c:pt idx="198">
                  <c:v>2.6358189447098362E-3</c:v>
                </c:pt>
                <c:pt idx="199">
                  <c:v>2.700622161363533E-3</c:v>
                </c:pt>
                <c:pt idx="200">
                  <c:v>2.7653537744078346E-3</c:v>
                </c:pt>
                <c:pt idx="201">
                  <c:v>2.8300137564688734E-3</c:v>
                </c:pt>
                <c:pt idx="202">
                  <c:v>2.8946021442087127E-3</c:v>
                </c:pt>
                <c:pt idx="203">
                  <c:v>2.9591190276127446E-3</c:v>
                </c:pt>
                <c:pt idx="204">
                  <c:v>3.0235645393070485E-3</c:v>
                </c:pt>
                <c:pt idx="205">
                  <c:v>3.0879388440080749E-3</c:v>
                </c:pt>
                <c:pt idx="206">
                  <c:v>3.1522421282019594E-3</c:v>
                </c:pt>
                <c:pt idx="207">
                  <c:v>3.2164745901445929E-3</c:v>
                </c:pt>
                <c:pt idx="208">
                  <c:v>3.2806364302665259E-3</c:v>
                </c:pt>
                <c:pt idx="209">
                  <c:v>3.3447278420585856E-3</c:v>
                </c:pt>
                <c:pt idx="210">
                  <c:v>3.4087490035052434E-3</c:v>
                </c:pt>
                <c:pt idx="211">
                  <c:v>3.4727000691231989E-3</c:v>
                </c:pt>
                <c:pt idx="212">
                  <c:v>3.536581162652346E-3</c:v>
                </c:pt>
                <c:pt idx="213">
                  <c:v>3.6003923704358578E-3</c:v>
                </c:pt>
                <c:pt idx="214">
                  <c:v>3.6641337355150525E-3</c:v>
                </c:pt>
                <c:pt idx="215">
                  <c:v>3.7278052524537817E-3</c:v>
                </c:pt>
                <c:pt idx="216">
                  <c:v>3.7914068628959359E-3</c:v>
                </c:pt>
                <c:pt idx="217">
                  <c:v>3.8549384518486878E-3</c:v>
                </c:pt>
                <c:pt idx="218">
                  <c:v>3.9183998446737749E-3</c:v>
                </c:pt>
                <c:pt idx="219">
                  <c:v>3.9817908047583839E-3</c:v>
                </c:pt>
                <c:pt idx="220">
                  <c:v>4.0451110318282394E-3</c:v>
                </c:pt>
                <c:pt idx="221">
                  <c:v>4.1083601608559494E-3</c:v>
                </c:pt>
                <c:pt idx="222">
                  <c:v>4.1715377615100871E-3</c:v>
                </c:pt>
                <c:pt idx="223">
                  <c:v>4.2346433380830491E-3</c:v>
                </c:pt>
                <c:pt idx="224">
                  <c:v>4.2976763298297176E-3</c:v>
                </c:pt>
                <c:pt idx="225">
                  <c:v>4.360636111643966E-3</c:v>
                </c:pt>
                <c:pt idx="226">
                  <c:v>4.4235219949964192E-3</c:v>
                </c:pt>
                <c:pt idx="227">
                  <c:v>4.4863332290541605E-3</c:v>
                </c:pt>
                <c:pt idx="228">
                  <c:v>4.5490690019020751E-3</c:v>
                </c:pt>
                <c:pt idx="229">
                  <c:v>4.6117284417857389E-3</c:v>
                </c:pt>
                <c:pt idx="230">
                  <c:v>4.6743106182969762E-3</c:v>
                </c:pt>
                <c:pt idx="231">
                  <c:v>4.736814543426439E-3</c:v>
                </c:pt>
                <c:pt idx="232">
                  <c:v>4.7992391724114413E-3</c:v>
                </c:pt>
                <c:pt idx="233">
                  <c:v>4.8615834043128723E-3</c:v>
                </c:pt>
                <c:pt idx="234">
                  <c:v>4.9238460822615716E-3</c:v>
                </c:pt>
                <c:pt idx="235">
                  <c:v>4.9860259933224294E-3</c:v>
                </c:pt>
                <c:pt idx="236">
                  <c:v>5.0481218679331369E-3</c:v>
                </c:pt>
                <c:pt idx="237">
                  <c:v>5.1101323788844038E-3</c:v>
                </c:pt>
                <c:pt idx="238">
                  <c:v>5.1720561398189997E-3</c:v>
                </c:pt>
                <c:pt idx="239">
                  <c:v>5.2338917032381032E-3</c:v>
                </c:pt>
                <c:pt idx="240">
                  <c:v>5.2956375580152232E-3</c:v>
                </c:pt>
                <c:pt idx="241">
                  <c:v>5.3572921264303016E-3</c:v>
                </c:pt>
                <c:pt idx="242">
                  <c:v>5.4188537607485661E-3</c:v>
                </c:pt>
                <c:pt idx="243">
                  <c:v>5.4803207393813698E-3</c:v>
                </c:pt>
                <c:pt idx="244">
                  <c:v>5.5416912626784793E-3</c:v>
                </c:pt>
                <c:pt idx="245">
                  <c:v>5.6029634484130141E-3</c:v>
                </c:pt>
                <c:pt idx="246">
                  <c:v>5.6641353270319873E-3</c:v>
                </c:pt>
                <c:pt idx="247">
                  <c:v>5.7252048367560614E-3</c:v>
                </c:pt>
                <c:pt idx="248">
                  <c:v>5.7861698186220277E-3</c:v>
                </c:pt>
                <c:pt idx="249">
                  <c:v>5.8470280115710043E-3</c:v>
                </c:pt>
                <c:pt idx="250">
                  <c:v>5.9077770476926219E-3</c:v>
                </c:pt>
                <c:pt idx="251">
                  <c:v>5.9684144477427587E-3</c:v>
                </c:pt>
                <c:pt idx="252">
                  <c:v>6.028937617057281E-3</c:v>
                </c:pt>
                <c:pt idx="253">
                  <c:v>6.0893438419881126E-3</c:v>
                </c:pt>
                <c:pt idx="254">
                  <c:v>6.1496302869902889E-3</c:v>
                </c:pt>
                <c:pt idx="255">
                  <c:v>6.2097939924890084E-3</c:v>
                </c:pt>
                <c:pt idx="256">
                  <c:v>6.2698318736546287E-3</c:v>
                </c:pt>
                <c:pt idx="257">
                  <c:v>6.3297407202105097E-3</c:v>
                </c:pt>
                <c:pt idx="258">
                  <c:v>6.3895171973939353E-3</c:v>
                </c:pt>
                <c:pt idx="259">
                  <c:v>6.4491578481838318E-3</c:v>
                </c:pt>
                <c:pt idx="260">
                  <c:v>6.5086590969005778E-3</c:v>
                </c:pt>
                <c:pt idx="261">
                  <c:v>6.5680172542734944E-3</c:v>
                </c:pt>
                <c:pt idx="262">
                  <c:v>6.6272285240596739E-3</c:v>
                </c:pt>
                <c:pt idx="263">
                  <c:v>6.6862890112847941E-3</c:v>
                </c:pt>
                <c:pt idx="264">
                  <c:v>6.7451947321620536E-3</c:v>
                </c:pt>
                <c:pt idx="265">
                  <c:v>6.803941625728986E-3</c:v>
                </c:pt>
                <c:pt idx="266">
                  <c:v>6.8625255672254389E-3</c:v>
                </c:pt>
                <c:pt idx="267">
                  <c:v>6.9209423832172143E-3</c:v>
                </c:pt>
                <c:pt idx="268">
                  <c:v>6.9791878684514639E-3</c:v>
                </c:pt>
                <c:pt idx="269">
                  <c:v>7.0372578044100081E-3</c:v>
                </c:pt>
                <c:pt idx="270">
                  <c:v>7.0951479795068918E-3</c:v>
                </c:pt>
                <c:pt idx="271">
                  <c:v>7.1528542108561712E-3</c:v>
                </c:pt>
                <c:pt idx="272">
                  <c:v>7.2103723675158238E-3</c:v>
                </c:pt>
                <c:pt idx="273">
                  <c:v>7.267698395093493E-3</c:v>
                </c:pt>
                <c:pt idx="274">
                  <c:v>7.3248283415804421E-3</c:v>
                </c:pt>
                <c:pt idx="275">
                  <c:v>7.3817583842610513E-3</c:v>
                </c:pt>
                <c:pt idx="276">
                  <c:v>7.4384848575273542E-3</c:v>
                </c:pt>
                <c:pt idx="277">
                  <c:v>7.4950042814114172E-3</c:v>
                </c:pt>
                <c:pt idx="278">
                  <c:v>7.5513133906325147E-3</c:v>
                </c:pt>
                <c:pt idx="279">
                  <c:v>7.6074091639426892E-3</c:v>
                </c:pt>
                <c:pt idx="280">
                  <c:v>7.6632888535416079E-3</c:v>
                </c:pt>
                <c:pt idx="281">
                  <c:v>7.7189500143217352E-3</c:v>
                </c:pt>
                <c:pt idx="282">
                  <c:v>7.7743905326964199E-3</c:v>
                </c:pt>
                <c:pt idx="283">
                  <c:v>7.8296086547576058E-3</c:v>
                </c:pt>
                <c:pt idx="284">
                  <c:v>7.8846030135063215E-3</c:v>
                </c:pt>
                <c:pt idx="285">
                  <c:v>7.9393726548977004E-3</c:v>
                </c:pt>
                <c:pt idx="286">
                  <c:v>7.9939170624436645E-3</c:v>
                </c:pt>
                <c:pt idx="287">
                  <c:v>8.0482361801202697E-3</c:v>
                </c:pt>
                <c:pt idx="288">
                  <c:v>8.1023304333329924E-3</c:v>
                </c:pt>
                <c:pt idx="289">
                  <c:v>8.1562007477021786E-3</c:v>
                </c:pt>
                <c:pt idx="290">
                  <c:v>8.2098485654424243E-3</c:v>
                </c:pt>
                <c:pt idx="291">
                  <c:v>8.2632758591235818E-3</c:v>
                </c:pt>
                <c:pt idx="292">
                  <c:v>8.316485142617196E-3</c:v>
                </c:pt>
                <c:pt idx="293">
                  <c:v>8.3694794790510878E-3</c:v>
                </c:pt>
                <c:pt idx="294">
                  <c:v>8.4222624856150983E-3</c:v>
                </c:pt>
                <c:pt idx="295">
                  <c:v>8.474838335084011E-3</c:v>
                </c:pt>
                <c:pt idx="296">
                  <c:v>8.5272117539479716E-3</c:v>
                </c:pt>
                <c:pt idx="297">
                  <c:v>8.5793880170665516E-3</c:v>
                </c:pt>
                <c:pt idx="298">
                  <c:v>8.6313729387903597E-3</c:v>
                </c:pt>
                <c:pt idx="299">
                  <c:v>8.6831728605221564E-3</c:v>
                </c:pt>
                <c:pt idx="300">
                  <c:v>8.7347946347189811E-3</c:v>
                </c:pt>
                <c:pt idx="301">
                  <c:v>8.7862456053665518E-3</c:v>
                </c:pt>
                <c:pt idx="302">
                  <c:v>8.8375335849874351E-3</c:v>
                </c:pt>
                <c:pt idx="303">
                  <c:v>8.8886668282746138E-3</c:v>
                </c:pt>
                <c:pt idx="304">
                  <c:v>8.9396540024719428E-3</c:v>
                </c:pt>
                <c:pt idx="305">
                  <c:v>8.9905041546523828E-3</c:v>
                </c:pt>
                <c:pt idx="306">
                  <c:v>9.0412266760731969E-3</c:v>
                </c:pt>
                <c:pt idx="307">
                  <c:v>9.0918312638148258E-3</c:v>
                </c:pt>
                <c:pt idx="308">
                  <c:v>9.1423278799355884E-3</c:v>
                </c:pt>
                <c:pt idx="309">
                  <c:v>9.1927267083991276E-3</c:v>
                </c:pt>
                <c:pt idx="310">
                  <c:v>9.2430381100530225E-3</c:v>
                </c:pt>
                <c:pt idx="311">
                  <c:v>9.2932725759576409E-3</c:v>
                </c:pt>
                <c:pt idx="312">
                  <c:v>9.3434406793815317E-3</c:v>
                </c:pt>
                <c:pt idx="313">
                  <c:v>9.3935530267947424E-3</c:v>
                </c:pt>
                <c:pt idx="314">
                  <c:v>9.4436202082039122E-3</c:v>
                </c:pt>
                <c:pt idx="315">
                  <c:v>9.4936527471819639E-3</c:v>
                </c:pt>
                <c:pt idx="316">
                  <c:v>9.5436610509518609E-3</c:v>
                </c:pt>
                <c:pt idx="317">
                  <c:v>9.5936553608867783E-3</c:v>
                </c:pt>
                <c:pt idx="318">
                  <c:v>9.643645703789297E-3</c:v>
                </c:pt>
                <c:pt idx="319">
                  <c:v>9.6936418443086536E-3</c:v>
                </c:pt>
                <c:pt idx="320">
                  <c:v>9.7436532388490045E-3</c:v>
                </c:pt>
                <c:pt idx="321">
                  <c:v>9.7936889913118053E-3</c:v>
                </c:pt>
                <c:pt idx="322">
                  <c:v>9.8437578110026E-3</c:v>
                </c:pt>
                <c:pt idx="323">
                  <c:v>9.8938679730171276E-3</c:v>
                </c:pt>
                <c:pt idx="324">
                  <c:v>9.9440272814025066E-3</c:v>
                </c:pt>
                <c:pt idx="325">
                  <c:v>9.9942430353682898E-3</c:v>
                </c:pt>
                <c:pt idx="326">
                  <c:v>1.0044521998798033E-2</c:v>
                </c:pt>
                <c:pt idx="327">
                  <c:v>1.0094870373285851E-2</c:v>
                </c:pt>
                <c:pt idx="328">
                  <c:v>1.0145293774893885E-2</c:v>
                </c:pt>
                <c:pt idx="329">
                  <c:v>1.0195797214796682E-2</c:v>
                </c:pt>
                <c:pt idx="330">
                  <c:v>1.0246385083946333E-2</c:v>
                </c:pt>
                <c:pt idx="331">
                  <c:v>1.0297061141859373E-2</c:v>
                </c:pt>
                <c:pt idx="332">
                  <c:v>1.0347828509592299E-2</c:v>
                </c:pt>
                <c:pt idx="333">
                  <c:v>1.0398689666937728E-2</c:v>
                </c:pt>
                <c:pt idx="334">
                  <c:v>1.0449646453838394E-2</c:v>
                </c:pt>
                <c:pt idx="335">
                  <c:v>1.0500700075980878E-2</c:v>
                </c:pt>
                <c:pt idx="336">
                  <c:v>1.0551851114496247E-2</c:v>
                </c:pt>
                <c:pt idx="337">
                  <c:v>1.060309953966094E-2</c:v>
                </c:pt>
                <c:pt idx="338">
                  <c:v>1.0654444728457634E-2</c:v>
                </c:pt>
                <c:pt idx="339">
                  <c:v>1.0705885485824551E-2</c:v>
                </c:pt>
                <c:pt idx="340">
                  <c:v>1.0757420069390873E-2</c:v>
                </c:pt>
                <c:pt idx="341">
                  <c:v>1.0809046217467989E-2</c:v>
                </c:pt>
                <c:pt idx="342">
                  <c:v>1.0860761180039886E-2</c:v>
                </c:pt>
                <c:pt idx="343">
                  <c:v>1.0912561752472063E-2</c:v>
                </c:pt>
                <c:pt idx="344">
                  <c:v>1.0964444311637397E-2</c:v>
                </c:pt>
                <c:pt idx="345">
                  <c:v>1.1016404854138762E-2</c:v>
                </c:pt>
                <c:pt idx="346">
                  <c:v>1.1068439036292864E-2</c:v>
                </c:pt>
                <c:pt idx="347">
                  <c:v>1.1120542215527544E-2</c:v>
                </c:pt>
                <c:pt idx="348">
                  <c:v>1.1172709492835699E-2</c:v>
                </c:pt>
                <c:pt idx="349">
                  <c:v>1.1224935755923217E-2</c:v>
                </c:pt>
                <c:pt idx="350">
                  <c:v>1.1277215722686043E-2</c:v>
                </c:pt>
                <c:pt idx="351">
                  <c:v>1.1329543984652664E-2</c:v>
                </c:pt>
                <c:pt idx="352">
                  <c:v>1.1381915050032275E-2</c:v>
                </c:pt>
                <c:pt idx="353">
                  <c:v>1.1434323386017107E-2</c:v>
                </c:pt>
                <c:pt idx="354">
                  <c:v>1.1486763459997985E-2</c:v>
                </c:pt>
                <c:pt idx="355">
                  <c:v>1.153922977936632E-2</c:v>
                </c:pt>
                <c:pt idx="356">
                  <c:v>1.1591716929592726E-2</c:v>
                </c:pt>
                <c:pt idx="357">
                  <c:v>1.1644219610292187E-2</c:v>
                </c:pt>
                <c:pt idx="358">
                  <c:v>1.1696732669008067E-2</c:v>
                </c:pt>
                <c:pt idx="359">
                  <c:v>1.1749251132471883E-2</c:v>
                </c:pt>
                <c:pt idx="360">
                  <c:v>1.1801770235122551E-2</c:v>
                </c:pt>
                <c:pt idx="361">
                  <c:v>1.1854285444697406E-2</c:v>
                </c:pt>
                <c:pt idx="362">
                  <c:v>1.1906792484737326E-2</c:v>
                </c:pt>
                <c:pt idx="363">
                  <c:v>1.195928735387973E-2</c:v>
                </c:pt>
                <c:pt idx="364">
                  <c:v>1.2011766341845328E-2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1.1078790194703113E-10</c:v>
                </c:pt>
                <c:pt idx="1">
                  <c:v>2.8069676031460391E-9</c:v>
                </c:pt>
                <c:pt idx="2">
                  <c:v>5.586878295912209E-9</c:v>
                </c:pt>
                <c:pt idx="3">
                  <c:v>8.4432686909070826E-9</c:v>
                </c:pt>
                <c:pt idx="4">
                  <c:v>1.1368947179606523E-8</c:v>
                </c:pt>
                <c:pt idx="5">
                  <c:v>1.4356785136968867E-8</c:v>
                </c:pt>
                <c:pt idx="6">
                  <c:v>1.739971117174997E-8</c:v>
                </c:pt>
                <c:pt idx="7">
                  <c:v>2.0490696658280013E-8</c:v>
                </c:pt>
                <c:pt idx="8">
                  <c:v>2.3619477346721142E-8</c:v>
                </c:pt>
                <c:pt idx="9">
                  <c:v>2.6747442437372599E-8</c:v>
                </c:pt>
                <c:pt idx="10">
                  <c:v>2.9845603636029566E-8</c:v>
                </c:pt>
                <c:pt idx="11">
                  <c:v>3.2889550591477093E-8</c:v>
                </c:pt>
                <c:pt idx="12">
                  <c:v>3.5853756829931054E-8</c:v>
                </c:pt>
                <c:pt idx="13">
                  <c:v>3.8711538670979347E-8</c:v>
                </c:pt>
                <c:pt idx="14">
                  <c:v>4.1435007733138547E-8</c:v>
                </c:pt>
                <c:pt idx="15">
                  <c:v>4.4026741507606822E-8</c:v>
                </c:pt>
                <c:pt idx="16">
                  <c:v>4.6535411700798534E-8</c:v>
                </c:pt>
                <c:pt idx="17">
                  <c:v>4.8953685495978321E-8</c:v>
                </c:pt>
                <c:pt idx="18">
                  <c:v>5.127399145028924E-8</c:v>
                </c:pt>
                <c:pt idx="19">
                  <c:v>5.3488793445845321E-8</c:v>
                </c:pt>
                <c:pt idx="20">
                  <c:v>5.5590453340738411E-8</c:v>
                </c:pt>
                <c:pt idx="21">
                  <c:v>5.7570828115218422E-8</c:v>
                </c:pt>
                <c:pt idx="22">
                  <c:v>5.9415883327730236E-8</c:v>
                </c:pt>
                <c:pt idx="23">
                  <c:v>6.1136838789802274E-8</c:v>
                </c:pt>
                <c:pt idx="24">
                  <c:v>6.2814864897523807E-8</c:v>
                </c:pt>
                <c:pt idx="25">
                  <c:v>6.4460490105407824E-8</c:v>
                </c:pt>
                <c:pt idx="26">
                  <c:v>6.6084906512778052E-8</c:v>
                </c:pt>
                <c:pt idx="27">
                  <c:v>6.7699965225424461E-8</c:v>
                </c:pt>
                <c:pt idx="28">
                  <c:v>6.9318181857478684E-8</c:v>
                </c:pt>
                <c:pt idx="29">
                  <c:v>7.1128185659875257E-8</c:v>
                </c:pt>
                <c:pt idx="30">
                  <c:v>7.309202181076072E-8</c:v>
                </c:pt>
                <c:pt idx="31">
                  <c:v>7.5240441892098901E-8</c:v>
                </c:pt>
                <c:pt idx="32">
                  <c:v>7.7605974107346932E-8</c:v>
                </c:pt>
                <c:pt idx="33">
                  <c:v>8.0223088299974579E-8</c:v>
                </c:pt>
                <c:pt idx="34">
                  <c:v>8.3128383987659304E-8</c:v>
                </c:pt>
                <c:pt idx="35">
                  <c:v>8.6360802672192917E-8</c:v>
                </c:pt>
                <c:pt idx="36">
                  <c:v>8.9956304102824763E-8</c:v>
                </c:pt>
                <c:pt idx="37">
                  <c:v>9.4334156621193528E-8</c:v>
                </c:pt>
                <c:pt idx="38">
                  <c:v>9.9535822731655653E-8</c:v>
                </c:pt>
                <c:pt idx="39">
                  <c:v>1.065261835364838E-7</c:v>
                </c:pt>
                <c:pt idx="40">
                  <c:v>1.1453503901285794E-7</c:v>
                </c:pt>
                <c:pt idx="41">
                  <c:v>1.2368201098904545E-7</c:v>
                </c:pt>
                <c:pt idx="42">
                  <c:v>1.3409362298612226E-7</c:v>
                </c:pt>
                <c:pt idx="43">
                  <c:v>1.4523049923609854E-7</c:v>
                </c:pt>
                <c:pt idx="44">
                  <c:v>1.5679239978302694E-7</c:v>
                </c:pt>
                <c:pt idx="45">
                  <c:v>1.6878591957190173E-7</c:v>
                </c:pt>
                <c:pt idx="46">
                  <c:v>1.81217314779985E-7</c:v>
                </c:pt>
                <c:pt idx="47">
                  <c:v>1.9409246932435451E-7</c:v>
                </c:pt>
                <c:pt idx="48">
                  <c:v>2.0741686153298334E-7</c:v>
                </c:pt>
                <c:pt idx="49">
                  <c:v>2.211955310529207E-7</c:v>
                </c:pt>
                <c:pt idx="50">
                  <c:v>2.3543211486669674E-7</c:v>
                </c:pt>
                <c:pt idx="51">
                  <c:v>2.4861328547796704E-7</c:v>
                </c:pt>
                <c:pt idx="52">
                  <c:v>2.5981965349891968E-7</c:v>
                </c:pt>
                <c:pt idx="53">
                  <c:v>2.687673289078419E-7</c:v>
                </c:pt>
                <c:pt idx="54">
                  <c:v>2.7515563523637082E-7</c:v>
                </c:pt>
                <c:pt idx="55">
                  <c:v>2.7866475106386217E-7</c:v>
                </c:pt>
                <c:pt idx="56">
                  <c:v>2.7895442976024179E-7</c:v>
                </c:pt>
                <c:pt idx="57">
                  <c:v>2.7645288723687743E-7</c:v>
                </c:pt>
                <c:pt idx="58">
                  <c:v>2.7208040654061552E-7</c:v>
                </c:pt>
                <c:pt idx="59">
                  <c:v>2.656619445720577E-7</c:v>
                </c:pt>
                <c:pt idx="60">
                  <c:v>2.5701132721340359E-7</c:v>
                </c:pt>
                <c:pt idx="61">
                  <c:v>2.4593047950627829E-7</c:v>
                </c:pt>
                <c:pt idx="62">
                  <c:v>2.3220859612360524E-7</c:v>
                </c:pt>
                <c:pt idx="63">
                  <c:v>2.1562124724044263E-7</c:v>
                </c:pt>
                <c:pt idx="64">
                  <c:v>1.959239834422819E-7</c:v>
                </c:pt>
                <c:pt idx="65">
                  <c:v>1.7444694279939666E-7</c:v>
                </c:pt>
                <c:pt idx="66">
                  <c:v>1.5379742793377542E-7</c:v>
                </c:pt>
                <c:pt idx="67">
                  <c:v>1.3418346670458099E-7</c:v>
                </c:pt>
                <c:pt idx="68">
                  <c:v>1.1582819885022864E-7</c:v>
                </c:pt>
                <c:pt idx="69">
                  <c:v>9.8970926949630253E-8</c:v>
                </c:pt>
                <c:pt idx="70">
                  <c:v>8.3868250469578721E-8</c:v>
                </c:pt>
                <c:pt idx="71">
                  <c:v>7.0759510619007882E-8</c:v>
                </c:pt>
                <c:pt idx="72">
                  <c:v>5.8563557410872821E-8</c:v>
                </c:pt>
                <c:pt idx="73">
                  <c:v>4.744141382850744E-8</c:v>
                </c:pt>
                <c:pt idx="74">
                  <c:v>3.7566086589559238E-8</c:v>
                </c:pt>
                <c:pt idx="75">
                  <c:v>2.9123447703036386E-8</c:v>
                </c:pt>
                <c:pt idx="76">
                  <c:v>2.2313185590197343E-8</c:v>
                </c:pt>
                <c:pt idx="77">
                  <c:v>1.7349830638845946E-8</c:v>
                </c:pt>
                <c:pt idx="78">
                  <c:v>1.4463047712914037E-8</c:v>
                </c:pt>
                <c:pt idx="79">
                  <c:v>1.3959517007245869E-8</c:v>
                </c:pt>
                <c:pt idx="80">
                  <c:v>1.3390949514054627E-8</c:v>
                </c:pt>
                <c:pt idx="81">
                  <c:v>1.2754845009811668E-8</c:v>
                </c:pt>
                <c:pt idx="82">
                  <c:v>1.2048507430346505E-8</c:v>
                </c:pt>
                <c:pt idx="83">
                  <c:v>1.1269025926029549E-8</c:v>
                </c:pt>
                <c:pt idx="84">
                  <c:v>1.0413255106117048E-8</c:v>
                </c:pt>
                <c:pt idx="85">
                  <c:v>9.5942597357184428E-9</c:v>
                </c:pt>
                <c:pt idx="86">
                  <c:v>8.888581927523545E-9</c:v>
                </c:pt>
                <c:pt idx="87">
                  <c:v>8.3146310375956982E-9</c:v>
                </c:pt>
                <c:pt idx="88">
                  <c:v>7.892254596466768E-9</c:v>
                </c:pt>
                <c:pt idx="89">
                  <c:v>7.6428853296955449E-9</c:v>
                </c:pt>
                <c:pt idx="90">
                  <c:v>7.5897031240188717E-9</c:v>
                </c:pt>
                <c:pt idx="91">
                  <c:v>7.7578132882321141E-9</c:v>
                </c:pt>
                <c:pt idx="92">
                  <c:v>8.1740152656363391E-9</c:v>
                </c:pt>
                <c:pt idx="93">
                  <c:v>9.185875115036448E-9</c:v>
                </c:pt>
                <c:pt idx="94">
                  <c:v>1.0751368965695591E-8</c:v>
                </c:pt>
                <c:pt idx="95">
                  <c:v>1.2929138791811407E-8</c:v>
                </c:pt>
                <c:pt idx="96">
                  <c:v>1.5782525070707651E-8</c:v>
                </c:pt>
                <c:pt idx="97">
                  <c:v>1.9379906819416674E-8</c:v>
                </c:pt>
                <c:pt idx="98">
                  <c:v>2.37950618369659E-8</c:v>
                </c:pt>
                <c:pt idx="99">
                  <c:v>3.036624960089836E-8</c:v>
                </c:pt>
                <c:pt idx="100">
                  <c:v>3.9114225241371704E-8</c:v>
                </c:pt>
                <c:pt idx="101">
                  <c:v>5.0258856610785156E-8</c:v>
                </c:pt>
                <c:pt idx="102">
                  <c:v>6.4037545302240121E-8</c:v>
                </c:pt>
                <c:pt idx="103">
                  <c:v>8.0706431120662394E-8</c:v>
                </c:pt>
                <c:pt idx="104">
                  <c:v>1.005416582370877E-7</c:v>
                </c:pt>
                <c:pt idx="105">
                  <c:v>1.238407035693078E-7</c:v>
                </c:pt>
                <c:pt idx="106">
                  <c:v>1.5092485811749143E-7</c:v>
                </c:pt>
                <c:pt idx="107">
                  <c:v>1.8487583794429955E-7</c:v>
                </c:pt>
                <c:pt idx="108">
                  <c:v>2.2583307433398833E-7</c:v>
                </c:pt>
                <c:pt idx="109">
                  <c:v>2.7447847770092817E-7</c:v>
                </c:pt>
                <c:pt idx="110">
                  <c:v>3.3154560674687249E-7</c:v>
                </c:pt>
                <c:pt idx="111">
                  <c:v>3.978221083036679E-7</c:v>
                </c:pt>
                <c:pt idx="112">
                  <c:v>4.7415126736851432E-7</c:v>
                </c:pt>
                <c:pt idx="113">
                  <c:v>5.6670162996712156E-7</c:v>
                </c:pt>
                <c:pt idx="114">
                  <c:v>6.7486447131476905E-7</c:v>
                </c:pt>
                <c:pt idx="115">
                  <c:v>8.0009199029008563E-7</c:v>
                </c:pt>
                <c:pt idx="116">
                  <c:v>9.4393531086635943E-7</c:v>
                </c:pt>
                <c:pt idx="117">
                  <c:v>1.1080483422388593E-6</c:v>
                </c:pt>
                <c:pt idx="118">
                  <c:v>1.2941914463115427E-6</c:v>
                </c:pt>
                <c:pt idx="119">
                  <c:v>1.504234857006496E-6</c:v>
                </c:pt>
                <c:pt idx="120">
                  <c:v>1.7401910106520272E-6</c:v>
                </c:pt>
                <c:pt idx="121">
                  <c:v>2.0106042760765181E-6</c:v>
                </c:pt>
                <c:pt idx="122">
                  <c:v>2.3136235596615376E-6</c:v>
                </c:pt>
                <c:pt idx="123">
                  <c:v>2.6519059800945527E-6</c:v>
                </c:pt>
                <c:pt idx="124">
                  <c:v>3.0282615015386734E-6</c:v>
                </c:pt>
                <c:pt idx="125">
                  <c:v>3.4456563626553144E-6</c:v>
                </c:pt>
                <c:pt idx="126">
                  <c:v>3.9072159454113168E-6</c:v>
                </c:pt>
                <c:pt idx="127">
                  <c:v>4.3907910729356184E-6</c:v>
                </c:pt>
                <c:pt idx="128">
                  <c:v>4.8874716227919995E-6</c:v>
                </c:pt>
                <c:pt idx="129">
                  <c:v>5.3966384827004274E-6</c:v>
                </c:pt>
                <c:pt idx="130">
                  <c:v>5.9175564751570963E-6</c:v>
                </c:pt>
                <c:pt idx="131">
                  <c:v>6.4493669718607729E-6</c:v>
                </c:pt>
                <c:pt idx="132">
                  <c:v>6.9910806326308921E-6</c:v>
                </c:pt>
                <c:pt idx="133">
                  <c:v>7.5415703416652332E-6</c:v>
                </c:pt>
                <c:pt idx="134">
                  <c:v>8.0996584275652909E-6</c:v>
                </c:pt>
                <c:pt idx="135">
                  <c:v>8.6186631034596279E-6</c:v>
                </c:pt>
                <c:pt idx="136">
                  <c:v>9.0804948011882893E-6</c:v>
                </c:pt>
                <c:pt idx="137">
                  <c:v>9.4767626211978088E-6</c:v>
                </c:pt>
                <c:pt idx="138">
                  <c:v>9.7985354315470831E-6</c:v>
                </c:pt>
                <c:pt idx="139">
                  <c:v>1.0036340156188641E-5</c:v>
                </c:pt>
                <c:pt idx="140">
                  <c:v>1.0180163614289867E-5</c:v>
                </c:pt>
                <c:pt idx="141">
                  <c:v>1.0237795718187613E-5</c:v>
                </c:pt>
                <c:pt idx="142">
                  <c:v>1.02438544885819E-5</c:v>
                </c:pt>
                <c:pt idx="143">
                  <c:v>1.019325839084607E-5</c:v>
                </c:pt>
                <c:pt idx="144">
                  <c:v>1.0080791784787741E-5</c:v>
                </c:pt>
                <c:pt idx="145">
                  <c:v>9.9010543969798478E-6</c:v>
                </c:pt>
                <c:pt idx="146">
                  <c:v>9.6484739821432814E-6</c:v>
                </c:pt>
                <c:pt idx="147">
                  <c:v>9.3173208793032367E-6</c:v>
                </c:pt>
                <c:pt idx="148">
                  <c:v>8.9017669199616035E-6</c:v>
                </c:pt>
                <c:pt idx="149">
                  <c:v>8.4355512116930715E-6</c:v>
                </c:pt>
                <c:pt idx="150">
                  <c:v>7.9920945011587132E-6</c:v>
                </c:pt>
                <c:pt idx="151">
                  <c:v>7.5761915470099386E-6</c:v>
                </c:pt>
                <c:pt idx="152">
                  <c:v>7.1928709745367336E-6</c:v>
                </c:pt>
                <c:pt idx="153">
                  <c:v>6.8473862671690349E-6</c:v>
                </c:pt>
                <c:pt idx="154">
                  <c:v>6.5452052608212362E-6</c:v>
                </c:pt>
                <c:pt idx="155">
                  <c:v>6.2973728645414928E-6</c:v>
                </c:pt>
                <c:pt idx="156">
                  <c:v>6.0809217191260014E-6</c:v>
                </c:pt>
                <c:pt idx="157">
                  <c:v>5.8999085944957647E-6</c:v>
                </c:pt>
                <c:pt idx="158">
                  <c:v>5.7585125791566435E-6</c:v>
                </c:pt>
                <c:pt idx="159">
                  <c:v>5.6610241946786995E-6</c:v>
                </c:pt>
                <c:pt idx="160">
                  <c:v>5.6118339226161557E-6</c:v>
                </c:pt>
                <c:pt idx="161">
                  <c:v>5.6154202730195459E-6</c:v>
                </c:pt>
                <c:pt idx="162">
                  <c:v>5.6763966298284989E-6</c:v>
                </c:pt>
                <c:pt idx="163">
                  <c:v>5.7979915788186531E-6</c:v>
                </c:pt>
                <c:pt idx="164">
                  <c:v>5.9245768417484961E-6</c:v>
                </c:pt>
                <c:pt idx="165">
                  <c:v>6.0563716986585196E-6</c:v>
                </c:pt>
                <c:pt idx="166">
                  <c:v>6.1935966472201046E-6</c:v>
                </c:pt>
                <c:pt idx="167">
                  <c:v>6.3364725484592835E-6</c:v>
                </c:pt>
                <c:pt idx="168">
                  <c:v>6.4852197494351731E-6</c:v>
                </c:pt>
                <c:pt idx="169">
                  <c:v>6.6384228815509959E-6</c:v>
                </c:pt>
                <c:pt idx="170">
                  <c:v>6.7883959591362981E-6</c:v>
                </c:pt>
                <c:pt idx="171">
                  <c:v>6.9347572853886687E-6</c:v>
                </c:pt>
                <c:pt idx="172">
                  <c:v>7.0771272453216201E-6</c:v>
                </c:pt>
                <c:pt idx="173">
                  <c:v>7.2150559310527287E-6</c:v>
                </c:pt>
                <c:pt idx="174">
                  <c:v>7.3480888682665442E-6</c:v>
                </c:pt>
                <c:pt idx="175">
                  <c:v>7.475847004799934E-6</c:v>
                </c:pt>
                <c:pt idx="176">
                  <c:v>7.598089227593118E-6</c:v>
                </c:pt>
                <c:pt idx="177">
                  <c:v>7.7235398415397064E-6</c:v>
                </c:pt>
                <c:pt idx="178">
                  <c:v>7.8543192822904897E-6</c:v>
                </c:pt>
                <c:pt idx="179">
                  <c:v>7.9907036818664212E-6</c:v>
                </c:pt>
                <c:pt idx="180">
                  <c:v>8.1329685713587823E-6</c:v>
                </c:pt>
                <c:pt idx="181">
                  <c:v>8.2813883705813195E-6</c:v>
                </c:pt>
                <c:pt idx="182">
                  <c:v>8.4362359309723569E-6</c:v>
                </c:pt>
                <c:pt idx="183">
                  <c:v>8.6843071641118661E-6</c:v>
                </c:pt>
                <c:pt idx="184">
                  <c:v>9.0317369918237551E-6</c:v>
                </c:pt>
                <c:pt idx="185">
                  <c:v>9.4824949844131427E-6</c:v>
                </c:pt>
                <c:pt idx="186">
                  <c:v>1.0040424574391466E-5</c:v>
                </c:pt>
                <c:pt idx="187">
                  <c:v>1.0709241287813652E-5</c:v>
                </c:pt>
                <c:pt idx="188">
                  <c:v>1.1492532231280943E-5</c:v>
                </c:pt>
                <c:pt idx="189">
                  <c:v>1.2393756772797236E-5</c:v>
                </c:pt>
                <c:pt idx="190">
                  <c:v>1.3416299193208914E-5</c:v>
                </c:pt>
                <c:pt idx="191">
                  <c:v>1.4620644471560134E-5</c:v>
                </c:pt>
                <c:pt idx="192">
                  <c:v>1.6000822173725635E-5</c:v>
                </c:pt>
                <c:pt idx="193">
                  <c:v>1.7561302025635838E-5</c:v>
                </c:pt>
                <c:pt idx="194">
                  <c:v>1.9306382316326049E-5</c:v>
                </c:pt>
                <c:pt idx="195">
                  <c:v>2.1240194479950102E-5</c:v>
                </c:pt>
                <c:pt idx="196">
                  <c:v>2.3366708345642744E-5</c:v>
                </c:pt>
                <c:pt idx="197">
                  <c:v>2.5500695980729571E-5</c:v>
                </c:pt>
                <c:pt idx="198">
                  <c:v>2.7537316101672375E-5</c:v>
                </c:pt>
                <c:pt idx="199">
                  <c:v>2.9472034303319356E-5</c:v>
                </c:pt>
                <c:pt idx="200">
                  <c:v>3.1300479594933532E-5</c:v>
                </c:pt>
                <c:pt idx="201">
                  <c:v>3.3018440787486726E-5</c:v>
                </c:pt>
                <c:pt idx="202">
                  <c:v>3.4621862168237193E-5</c:v>
                </c:pt>
                <c:pt idx="203">
                  <c:v>3.6106838594876269E-5</c:v>
                </c:pt>
                <c:pt idx="204">
                  <c:v>3.7469718164163205E-5</c:v>
                </c:pt>
                <c:pt idx="205">
                  <c:v>3.8555900919134263E-5</c:v>
                </c:pt>
                <c:pt idx="206">
                  <c:v>3.9292756454864415E-5</c:v>
                </c:pt>
                <c:pt idx="207">
                  <c:v>3.9672166375775626E-5</c:v>
                </c:pt>
                <c:pt idx="208">
                  <c:v>3.9686289863499799E-5</c:v>
                </c:pt>
                <c:pt idx="209">
                  <c:v>3.9327546471573862E-5</c:v>
                </c:pt>
                <c:pt idx="210">
                  <c:v>3.858859925101144E-5</c:v>
                </c:pt>
                <c:pt idx="211">
                  <c:v>3.751434516663811E-5</c:v>
                </c:pt>
                <c:pt idx="212">
                  <c:v>3.6311819277419179E-5</c:v>
                </c:pt>
                <c:pt idx="213">
                  <c:v>3.4979500208848665E-5</c:v>
                </c:pt>
                <c:pt idx="214">
                  <c:v>3.3515900134034055E-5</c:v>
                </c:pt>
                <c:pt idx="215">
                  <c:v>3.1919561323261097E-5</c:v>
                </c:pt>
                <c:pt idx="216">
                  <c:v>3.0189053058782338E-5</c:v>
                </c:pt>
                <c:pt idx="217">
                  <c:v>2.8322968903457385E-5</c:v>
                </c:pt>
                <c:pt idx="218">
                  <c:v>2.631981818097148E-5</c:v>
                </c:pt>
                <c:pt idx="219">
                  <c:v>2.423769257307381E-5</c:v>
                </c:pt>
                <c:pt idx="220">
                  <c:v>2.2243052169718758E-5</c:v>
                </c:pt>
                <c:pt idx="221">
                  <c:v>2.0338411437802299E-5</c:v>
                </c:pt>
                <c:pt idx="222">
                  <c:v>1.8526197518510847E-5</c:v>
                </c:pt>
                <c:pt idx="223">
                  <c:v>1.6808756138927471E-5</c:v>
                </c:pt>
                <c:pt idx="224">
                  <c:v>1.5188357372478374E-5</c:v>
                </c:pt>
                <c:pt idx="225">
                  <c:v>1.3707249798417095E-5</c:v>
                </c:pt>
                <c:pt idx="226">
                  <c:v>1.2311426017769877E-5</c:v>
                </c:pt>
                <c:pt idx="227">
                  <c:v>1.100270256021137E-5</c:v>
                </c:pt>
                <c:pt idx="228">
                  <c:v>9.7828465594455103E-6</c:v>
                </c:pt>
                <c:pt idx="229">
                  <c:v>8.6535801025284E-6</c:v>
                </c:pt>
                <c:pt idx="230">
                  <c:v>7.6165844601065551E-6</c:v>
                </c:pt>
                <c:pt idx="231">
                  <c:v>6.6735042071405552E-6</c:v>
                </c:pt>
                <c:pt idx="232">
                  <c:v>5.8257273453579201E-6</c:v>
                </c:pt>
                <c:pt idx="233">
                  <c:v>5.0998285485009273E-6</c:v>
                </c:pt>
                <c:pt idx="234">
                  <c:v>4.4336767507484529E-6</c:v>
                </c:pt>
                <c:pt idx="235">
                  <c:v>3.828394996480264E-6</c:v>
                </c:pt>
                <c:pt idx="236">
                  <c:v>3.2850420968264019E-6</c:v>
                </c:pt>
                <c:pt idx="237">
                  <c:v>2.8046193621932607E-6</c:v>
                </c:pt>
                <c:pt idx="238">
                  <c:v>2.3880843213202371E-6</c:v>
                </c:pt>
                <c:pt idx="239">
                  <c:v>2.0445136195137281E-6</c:v>
                </c:pt>
                <c:pt idx="240">
                  <c:v>1.7319702202972993E-6</c:v>
                </c:pt>
                <c:pt idx="241">
                  <c:v>1.4508917896442439E-6</c:v>
                </c:pt>
                <c:pt idx="242">
                  <c:v>1.2017042882940906E-6</c:v>
                </c:pt>
                <c:pt idx="243">
                  <c:v>9.8482772993118269E-7</c:v>
                </c:pt>
                <c:pt idx="244">
                  <c:v>8.0068214073209759E-7</c:v>
                </c:pt>
                <c:pt idx="245">
                  <c:v>6.4969373914490431E-7</c:v>
                </c:pt>
                <c:pt idx="246">
                  <c:v>5.3228906906194883E-7</c:v>
                </c:pt>
                <c:pt idx="247">
                  <c:v>4.5328306866306777E-7</c:v>
                </c:pt>
                <c:pt idx="248">
                  <c:v>3.8641107892240789E-7</c:v>
                </c:pt>
                <c:pt idx="249">
                  <c:v>3.3184108133422294E-7</c:v>
                </c:pt>
                <c:pt idx="250">
                  <c:v>2.8974929740596653E-7</c:v>
                </c:pt>
                <c:pt idx="251">
                  <c:v>2.603195766006805E-7</c:v>
                </c:pt>
                <c:pt idx="252">
                  <c:v>2.4374272293431949E-7</c:v>
                </c:pt>
                <c:pt idx="253">
                  <c:v>2.4333503692414619E-7</c:v>
                </c:pt>
                <c:pt idx="254">
                  <c:v>2.5058729399685364E-7</c:v>
                </c:pt>
                <c:pt idx="255">
                  <c:v>2.6561829133763444E-7</c:v>
                </c:pt>
                <c:pt idx="256">
                  <c:v>2.8854877140083125E-7</c:v>
                </c:pt>
                <c:pt idx="257">
                  <c:v>3.1950079776936114E-7</c:v>
                </c:pt>
                <c:pt idx="258">
                  <c:v>3.5859707500122552E-7</c:v>
                </c:pt>
                <c:pt idx="259">
                  <c:v>4.0596020996607716E-7</c:v>
                </c:pt>
                <c:pt idx="260">
                  <c:v>4.617396803714725E-7</c:v>
                </c:pt>
                <c:pt idx="261">
                  <c:v>5.2333273599616727E-7</c:v>
                </c:pt>
                <c:pt idx="262">
                  <c:v>5.8611087780420585E-7</c:v>
                </c:pt>
                <c:pt idx="263">
                  <c:v>6.500896334611203E-7</c:v>
                </c:pt>
                <c:pt idx="264">
                  <c:v>7.1528040392509923E-7</c:v>
                </c:pt>
                <c:pt idx="265">
                  <c:v>7.8169426397024682E-7</c:v>
                </c:pt>
                <c:pt idx="266">
                  <c:v>8.493366046069193E-7</c:v>
                </c:pt>
                <c:pt idx="267">
                  <c:v>1.0489863993315712E-6</c:v>
                </c:pt>
                <c:pt idx="268">
                  <c:v>1.3794246413464028E-6</c:v>
                </c:pt>
                <c:pt idx="269">
                  <c:v>1.8427323535859354E-6</c:v>
                </c:pt>
                <c:pt idx="270">
                  <c:v>2.4409344959646351E-6</c:v>
                </c:pt>
                <c:pt idx="271">
                  <c:v>3.1759682137643718E-6</c:v>
                </c:pt>
                <c:pt idx="272">
                  <c:v>4.0496491669489056E-6</c:v>
                </c:pt>
                <c:pt idx="273">
                  <c:v>5.0636360003085947E-6</c:v>
                </c:pt>
                <c:pt idx="274">
                  <c:v>6.2196955046867257E-6</c:v>
                </c:pt>
                <c:pt idx="275">
                  <c:v>7.6110476773686462E-6</c:v>
                </c:pt>
                <c:pt idx="276">
                  <c:v>9.2436455576838451E-6</c:v>
                </c:pt>
                <c:pt idx="277">
                  <c:v>1.1120386148722834E-5</c:v>
                </c:pt>
                <c:pt idx="278">
                  <c:v>1.3244053061792716E-5</c:v>
                </c:pt>
                <c:pt idx="279">
                  <c:v>1.5617310735966668E-5</c:v>
                </c:pt>
                <c:pt idx="280">
                  <c:v>1.8242699776045624E-5</c:v>
                </c:pt>
                <c:pt idx="281">
                  <c:v>2.08919408676161E-5</c:v>
                </c:pt>
                <c:pt idx="282">
                  <c:v>2.3423778172380123E-5</c:v>
                </c:pt>
                <c:pt idx="283">
                  <c:v>2.5835865427520851E-5</c:v>
                </c:pt>
                <c:pt idx="284">
                  <c:v>2.8125914431875889E-5</c:v>
                </c:pt>
                <c:pt idx="285">
                  <c:v>3.0291702599526714E-5</c:v>
                </c:pt>
                <c:pt idx="286">
                  <c:v>3.2331080105280271E-5</c:v>
                </c:pt>
                <c:pt idx="287">
                  <c:v>3.4241976507128217E-5</c:v>
                </c:pt>
                <c:pt idx="288">
                  <c:v>3.6023254450780057E-5</c:v>
                </c:pt>
                <c:pt idx="289">
                  <c:v>3.7532470798789933E-5</c:v>
                </c:pt>
                <c:pt idx="290">
                  <c:v>3.8669038199897474E-5</c:v>
                </c:pt>
                <c:pt idx="291">
                  <c:v>3.9428504541558654E-5</c:v>
                </c:pt>
                <c:pt idx="292">
                  <c:v>3.9806525208537337E-5</c:v>
                </c:pt>
                <c:pt idx="293">
                  <c:v>3.9798894717406372E-5</c:v>
                </c:pt>
                <c:pt idx="294">
                  <c:v>3.940157784447407E-5</c:v>
                </c:pt>
                <c:pt idx="295">
                  <c:v>3.8723939391076566E-5</c:v>
                </c:pt>
                <c:pt idx="296">
                  <c:v>3.8007196753972981E-5</c:v>
                </c:pt>
                <c:pt idx="297">
                  <c:v>3.7251315553965363E-5</c:v>
                </c:pt>
                <c:pt idx="298">
                  <c:v>3.6455977966412593E-5</c:v>
                </c:pt>
                <c:pt idx="299">
                  <c:v>3.5620910470959044E-5</c:v>
                </c:pt>
                <c:pt idx="300">
                  <c:v>3.4745885489130263E-5</c:v>
                </c:pt>
                <c:pt idx="301">
                  <c:v>3.3830722990309703E-5</c:v>
                </c:pt>
                <c:pt idx="302">
                  <c:v>3.2877177832339536E-5</c:v>
                </c:pt>
                <c:pt idx="303">
                  <c:v>3.196929758711793E-5</c:v>
                </c:pt>
                <c:pt idx="304">
                  <c:v>3.1254920101021316E-5</c:v>
                </c:pt>
                <c:pt idx="305">
                  <c:v>3.0735379048270557E-5</c:v>
                </c:pt>
                <c:pt idx="306">
                  <c:v>3.0411999739575505E-5</c:v>
                </c:pt>
                <c:pt idx="307">
                  <c:v>3.028609161391526E-5</c:v>
                </c:pt>
                <c:pt idx="308">
                  <c:v>3.0358940464227108E-5</c:v>
                </c:pt>
                <c:pt idx="309">
                  <c:v>3.0684043586077489E-5</c:v>
                </c:pt>
                <c:pt idx="310">
                  <c:v>3.1145476877403703E-5</c:v>
                </c:pt>
                <c:pt idx="311">
                  <c:v>3.1743973359980708E-5</c:v>
                </c:pt>
                <c:pt idx="312">
                  <c:v>3.2480218346705449E-5</c:v>
                </c:pt>
                <c:pt idx="313">
                  <c:v>3.3354840188032536E-5</c:v>
                </c:pt>
                <c:pt idx="314">
                  <c:v>3.4368399879480359E-5</c:v>
                </c:pt>
                <c:pt idx="315">
                  <c:v>3.5521379362921936E-5</c:v>
                </c:pt>
                <c:pt idx="316">
                  <c:v>3.6815731756648601E-5</c:v>
                </c:pt>
                <c:pt idx="317">
                  <c:v>3.8289879848104895E-5</c:v>
                </c:pt>
                <c:pt idx="318">
                  <c:v>3.9860068594307075E-5</c:v>
                </c:pt>
                <c:pt idx="319">
                  <c:v>4.1527186523420628E-5</c:v>
                </c:pt>
                <c:pt idx="320">
                  <c:v>4.3292155309176156E-5</c:v>
                </c:pt>
                <c:pt idx="321">
                  <c:v>4.5155927681434069E-5</c:v>
                </c:pt>
                <c:pt idx="322">
                  <c:v>4.7119484098112617E-5</c:v>
                </c:pt>
                <c:pt idx="323">
                  <c:v>4.9082392741912297E-5</c:v>
                </c:pt>
                <c:pt idx="324">
                  <c:v>5.0991088264939466E-5</c:v>
                </c:pt>
                <c:pt idx="325">
                  <c:v>5.2845508229333997E-5</c:v>
                </c:pt>
                <c:pt idx="326">
                  <c:v>5.4645197023364193E-5</c:v>
                </c:pt>
                <c:pt idx="327">
                  <c:v>5.6389825986214957E-5</c:v>
                </c:pt>
                <c:pt idx="328">
                  <c:v>5.8079278979199474E-5</c:v>
                </c:pt>
                <c:pt idx="329">
                  <c:v>5.9713380091090928E-5</c:v>
                </c:pt>
                <c:pt idx="330">
                  <c:v>6.1299775056868739E-5</c:v>
                </c:pt>
                <c:pt idx="331">
                  <c:v>6.2761638504431122E-5</c:v>
                </c:pt>
                <c:pt idx="332">
                  <c:v>6.405847120754041E-5</c:v>
                </c:pt>
                <c:pt idx="333">
                  <c:v>6.5186077839992978E-5</c:v>
                </c:pt>
                <c:pt idx="334">
                  <c:v>6.6139649707689204E-5</c:v>
                </c:pt>
                <c:pt idx="335">
                  <c:v>6.6913839554646657E-5</c:v>
                </c:pt>
                <c:pt idx="336">
                  <c:v>6.7502849508619284E-5</c:v>
                </c:pt>
                <c:pt idx="337">
                  <c:v>6.7930043139295557E-5</c:v>
                </c:pt>
                <c:pt idx="338">
                  <c:v>6.8295260017210531E-5</c:v>
                </c:pt>
                <c:pt idx="339">
                  <c:v>6.8593280193226136E-5</c:v>
                </c:pt>
                <c:pt idx="340">
                  <c:v>6.8818725909394922E-5</c:v>
                </c:pt>
                <c:pt idx="341">
                  <c:v>6.8966127989306114E-5</c:v>
                </c:pt>
                <c:pt idx="342">
                  <c:v>6.9030002596533294E-5</c:v>
                </c:pt>
                <c:pt idx="343">
                  <c:v>6.900493791968264E-5</c:v>
                </c:pt>
                <c:pt idx="344">
                  <c:v>6.889762488568107E-5</c:v>
                </c:pt>
                <c:pt idx="345">
                  <c:v>6.8717327367116135E-5</c:v>
                </c:pt>
                <c:pt idx="346">
                  <c:v>6.8554123409561766E-5</c:v>
                </c:pt>
                <c:pt idx="347">
                  <c:v>6.840691017854795E-5</c:v>
                </c:pt>
                <c:pt idx="348">
                  <c:v>6.8274566339495717E-5</c:v>
                </c:pt>
                <c:pt idx="349">
                  <c:v>6.8155957057918363E-5</c:v>
                </c:pt>
                <c:pt idx="350">
                  <c:v>6.8049939267859804E-5</c:v>
                </c:pt>
                <c:pt idx="351">
                  <c:v>6.7960214176250689E-5</c:v>
                </c:pt>
                <c:pt idx="352">
                  <c:v>6.7855602000448169E-5</c:v>
                </c:pt>
                <c:pt idx="353">
                  <c:v>6.7735075035668015E-5</c:v>
                </c:pt>
                <c:pt idx="354">
                  <c:v>6.7597678502974356E-5</c:v>
                </c:pt>
                <c:pt idx="355">
                  <c:v>6.7442539386794434E-5</c:v>
                </c:pt>
                <c:pt idx="356">
                  <c:v>6.7268022521864833E-5</c:v>
                </c:pt>
                <c:pt idx="357">
                  <c:v>6.7074231901002241E-5</c:v>
                </c:pt>
                <c:pt idx="358">
                  <c:v>6.6854327000238784E-5</c:v>
                </c:pt>
                <c:pt idx="359">
                  <c:v>6.6604403863374195E-5</c:v>
                </c:pt>
                <c:pt idx="360">
                  <c:v>6.6357282042784962E-5</c:v>
                </c:pt>
                <c:pt idx="361">
                  <c:v>6.6111339666295149E-5</c:v>
                </c:pt>
                <c:pt idx="362">
                  <c:v>6.5869650933052335E-5</c:v>
                </c:pt>
                <c:pt idx="363">
                  <c:v>6.5635201511030739E-5</c:v>
                </c:pt>
                <c:pt idx="364">
                  <c:v>6.5410876390041239E-5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692304"/>
        <c:axId val="579692696"/>
      </c:lineChart>
      <c:dateAx>
        <c:axId val="579692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9692696"/>
        <c:crosses val="autoZero"/>
        <c:auto val="1"/>
        <c:lblOffset val="100"/>
        <c:baseTimeUnit val="days"/>
        <c:majorUnit val="1"/>
        <c:majorTimeUnit val="months"/>
      </c:dateAx>
      <c:valAx>
        <c:axId val="5796926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9692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4.5236183810103414E-3</c:v>
                </c:pt>
                <c:pt idx="1">
                  <c:v>4.5454218685905268E-3</c:v>
                </c:pt>
                <c:pt idx="2">
                  <c:v>4.5672248786184921E-3</c:v>
                </c:pt>
                <c:pt idx="3">
                  <c:v>4.5890274111044516E-3</c:v>
                </c:pt>
                <c:pt idx="4">
                  <c:v>4.6108294660590632E-3</c:v>
                </c:pt>
                <c:pt idx="5">
                  <c:v>4.6326310434927631E-3</c:v>
                </c:pt>
                <c:pt idx="6">
                  <c:v>4.6544321434158764E-3</c:v>
                </c:pt>
                <c:pt idx="7">
                  <c:v>4.6762327658390612E-3</c:v>
                </c:pt>
                <c:pt idx="8">
                  <c:v>4.6980329107725316E-3</c:v>
                </c:pt>
                <c:pt idx="9">
                  <c:v>4.7198325782269457E-3</c:v>
                </c:pt>
                <c:pt idx="10">
                  <c:v>4.7416317682127396E-3</c:v>
                </c:pt>
                <c:pt idx="11">
                  <c:v>4.7634304807402383E-3</c:v>
                </c:pt>
                <c:pt idx="12">
                  <c:v>4.7852287158201001E-3</c:v>
                </c:pt>
                <c:pt idx="13">
                  <c:v>4.807026473462539E-3</c:v>
                </c:pt>
                <c:pt idx="14">
                  <c:v>4.828823753678213E-3</c:v>
                </c:pt>
                <c:pt idx="15">
                  <c:v>4.8506205564775584E-3</c:v>
                </c:pt>
                <c:pt idx="16">
                  <c:v>4.8724168818709002E-3</c:v>
                </c:pt>
                <c:pt idx="17">
                  <c:v>4.8942127298687854E-3</c:v>
                </c:pt>
                <c:pt idx="18">
                  <c:v>4.9160081004816503E-3</c:v>
                </c:pt>
                <c:pt idx="19">
                  <c:v>4.9378029937200418E-3</c:v>
                </c:pt>
                <c:pt idx="20">
                  <c:v>4.9595974095942852E-3</c:v>
                </c:pt>
                <c:pt idx="21">
                  <c:v>4.9813913481149275E-3</c:v>
                </c:pt>
                <c:pt idx="22">
                  <c:v>5.0031848092922937E-3</c:v>
                </c:pt>
                <c:pt idx="23">
                  <c:v>5.0249777931370421E-3</c:v>
                </c:pt>
                <c:pt idx="24">
                  <c:v>5.0467702996593866E-3</c:v>
                </c:pt>
                <c:pt idx="25">
                  <c:v>5.0685623288699855E-3</c:v>
                </c:pt>
                <c:pt idx="26">
                  <c:v>5.0903538807792748E-3</c:v>
                </c:pt>
                <c:pt idx="27">
                  <c:v>5.1121449553975795E-3</c:v>
                </c:pt>
                <c:pt idx="28">
                  <c:v>5.1339355527353359E-3</c:v>
                </c:pt>
                <c:pt idx="29">
                  <c:v>5.1557256728032019E-3</c:v>
                </c:pt>
                <c:pt idx="30">
                  <c:v>5.1775153156115028E-3</c:v>
                </c:pt>
                <c:pt idx="31">
                  <c:v>5.1993044811706746E-3</c:v>
                </c:pt>
                <c:pt idx="32">
                  <c:v>5.2210931694912643E-3</c:v>
                </c:pt>
                <c:pt idx="33">
                  <c:v>5.2428813805835972E-3</c:v>
                </c:pt>
                <c:pt idx="34">
                  <c:v>5.2646691144582203E-3</c:v>
                </c:pt>
                <c:pt idx="35">
                  <c:v>5.2864563711255697E-3</c:v>
                </c:pt>
                <c:pt idx="36">
                  <c:v>5.3082431505960814E-3</c:v>
                </c:pt>
                <c:pt idx="37">
                  <c:v>5.3300294528800807E-3</c:v>
                </c:pt>
                <c:pt idx="38">
                  <c:v>5.3518152779883366E-3</c:v>
                </c:pt>
                <c:pt idx="39">
                  <c:v>5.3736006259309521E-3</c:v>
                </c:pt>
                <c:pt idx="40">
                  <c:v>5.3953854967185855E-3</c:v>
                </c:pt>
                <c:pt idx="41">
                  <c:v>5.4171698903616727E-3</c:v>
                </c:pt>
                <c:pt idx="42">
                  <c:v>5.43895380687065E-3</c:v>
                </c:pt>
                <c:pt idx="43">
                  <c:v>5.4607372462559534E-3</c:v>
                </c:pt>
                <c:pt idx="44">
                  <c:v>5.4825202085280189E-3</c:v>
                </c:pt>
                <c:pt idx="45">
                  <c:v>5.5043026936972828E-3</c:v>
                </c:pt>
                <c:pt idx="46">
                  <c:v>5.526084701774181E-3</c:v>
                </c:pt>
                <c:pt idx="47">
                  <c:v>5.5478662327692607E-3</c:v>
                </c:pt>
                <c:pt idx="48">
                  <c:v>5.569647286692847E-3</c:v>
                </c:pt>
                <c:pt idx="49">
                  <c:v>5.591427863555487E-3</c:v>
                </c:pt>
                <c:pt idx="50">
                  <c:v>5.6132079633676168E-3</c:v>
                </c:pt>
                <c:pt idx="51">
                  <c:v>5.6349875861396725E-3</c:v>
                </c:pt>
                <c:pt idx="52">
                  <c:v>5.6567667318819792E-3</c:v>
                </c:pt>
                <c:pt idx="53">
                  <c:v>5.678545400605195E-3</c:v>
                </c:pt>
                <c:pt idx="54">
                  <c:v>5.7003235923197559E-3</c:v>
                </c:pt>
                <c:pt idx="55">
                  <c:v>5.7221013070358762E-3</c:v>
                </c:pt>
                <c:pt idx="56">
                  <c:v>5.7438785447642138E-3</c:v>
                </c:pt>
                <c:pt idx="57">
                  <c:v>5.7656553055152049E-3</c:v>
                </c:pt>
                <c:pt idx="58">
                  <c:v>5.7874315892991746E-3</c:v>
                </c:pt>
                <c:pt idx="59">
                  <c:v>5.8092073961266699E-3</c:v>
                </c:pt>
                <c:pt idx="60">
                  <c:v>5.8309827260081271E-3</c:v>
                </c:pt>
                <c:pt idx="61">
                  <c:v>5.8527575789538711E-3</c:v>
                </c:pt>
                <c:pt idx="62">
                  <c:v>5.87453195497456E-3</c:v>
                </c:pt>
                <c:pt idx="63">
                  <c:v>5.8963058540805191E-3</c:v>
                </c:pt>
                <c:pt idx="64">
                  <c:v>5.9180792762821843E-3</c:v>
                </c:pt>
                <c:pt idx="65">
                  <c:v>5.9398522215899918E-3</c:v>
                </c:pt>
                <c:pt idx="66">
                  <c:v>5.9616246900144887E-3</c:v>
                </c:pt>
                <c:pt idx="67">
                  <c:v>5.983396681566E-3</c:v>
                </c:pt>
                <c:pt idx="68">
                  <c:v>6.0051681962550729E-3</c:v>
                </c:pt>
                <c:pt idx="69">
                  <c:v>6.0269392340920325E-3</c:v>
                </c:pt>
                <c:pt idx="70">
                  <c:v>6.0487097950874258E-3</c:v>
                </c:pt>
                <c:pt idx="71">
                  <c:v>6.070479879251689E-3</c:v>
                </c:pt>
                <c:pt idx="72">
                  <c:v>6.0922494865951471E-3</c:v>
                </c:pt>
                <c:pt idx="73">
                  <c:v>6.1140186171284583E-3</c:v>
                </c:pt>
                <c:pt idx="74">
                  <c:v>6.1357872708618366E-3</c:v>
                </c:pt>
                <c:pt idx="75">
                  <c:v>6.1575554478058292E-3</c:v>
                </c:pt>
                <c:pt idx="76">
                  <c:v>6.1793231479709831E-3</c:v>
                </c:pt>
                <c:pt idx="77">
                  <c:v>6.2010903713675125E-3</c:v>
                </c:pt>
                <c:pt idx="78">
                  <c:v>6.2228571180060754E-3</c:v>
                </c:pt>
                <c:pt idx="79">
                  <c:v>6.244623387896997E-3</c:v>
                </c:pt>
                <c:pt idx="80">
                  <c:v>6.2663891810507133E-3</c:v>
                </c:pt>
                <c:pt idx="81">
                  <c:v>6.2881544974777714E-3</c:v>
                </c:pt>
                <c:pt idx="82">
                  <c:v>6.3099193371884965E-3</c:v>
                </c:pt>
                <c:pt idx="83">
                  <c:v>6.3316837001933246E-3</c:v>
                </c:pt>
                <c:pt idx="84">
                  <c:v>6.3534475865028028E-3</c:v>
                </c:pt>
                <c:pt idx="85">
                  <c:v>6.3752109961273673E-3</c:v>
                </c:pt>
                <c:pt idx="86">
                  <c:v>6.3969739290773431E-3</c:v>
                </c:pt>
                <c:pt idx="87">
                  <c:v>6.4187363853632773E-3</c:v>
                </c:pt>
                <c:pt idx="88">
                  <c:v>6.440498364995495E-3</c:v>
                </c:pt>
                <c:pt idx="89">
                  <c:v>6.4622598679845433E-3</c:v>
                </c:pt>
                <c:pt idx="90">
                  <c:v>6.4840208943408584E-3</c:v>
                </c:pt>
                <c:pt idx="91">
                  <c:v>6.5057814440747652E-3</c:v>
                </c:pt>
                <c:pt idx="92">
                  <c:v>6.527541517196811E-3</c:v>
                </c:pt>
                <c:pt idx="93">
                  <c:v>6.5493011137175428E-3</c:v>
                </c:pt>
                <c:pt idx="94">
                  <c:v>6.5710602336470636E-3</c:v>
                </c:pt>
                <c:pt idx="95">
                  <c:v>6.5928188769961427E-3</c:v>
                </c:pt>
                <c:pt idx="96">
                  <c:v>6.614577043775105E-3</c:v>
                </c:pt>
                <c:pt idx="97">
                  <c:v>6.6363347339942758E-3</c:v>
                </c:pt>
                <c:pt idx="98">
                  <c:v>6.658091947664313E-3</c:v>
                </c:pt>
                <c:pt idx="99">
                  <c:v>6.6798486847954308E-3</c:v>
                </c:pt>
                <c:pt idx="100">
                  <c:v>6.7016049453981763E-3</c:v>
                </c:pt>
                <c:pt idx="101">
                  <c:v>6.7233607294829856E-3</c:v>
                </c:pt>
                <c:pt idx="102">
                  <c:v>6.7451160370602947E-3</c:v>
                </c:pt>
                <c:pt idx="103">
                  <c:v>6.7668708681405398E-3</c:v>
                </c:pt>
                <c:pt idx="104">
                  <c:v>6.788625222734157E-3</c:v>
                </c:pt>
                <c:pt idx="105">
                  <c:v>6.8103791008515824E-3</c:v>
                </c:pt>
                <c:pt idx="106">
                  <c:v>6.832132502503252E-3</c:v>
                </c:pt>
                <c:pt idx="107">
                  <c:v>6.853885427699602E-3</c:v>
                </c:pt>
                <c:pt idx="108">
                  <c:v>6.8756378764510684E-3</c:v>
                </c:pt>
                <c:pt idx="109">
                  <c:v>6.8973898487680874E-3</c:v>
                </c:pt>
                <c:pt idx="110">
                  <c:v>6.919141344660984E-3</c:v>
                </c:pt>
                <c:pt idx="111">
                  <c:v>6.9408923641404163E-3</c:v>
                </c:pt>
                <c:pt idx="112">
                  <c:v>6.9626429072165985E-3</c:v>
                </c:pt>
                <c:pt idx="113">
                  <c:v>6.9843929739001887E-3</c:v>
                </c:pt>
                <c:pt idx="114">
                  <c:v>7.0061425642014008E-3</c:v>
                </c:pt>
                <c:pt idx="115">
                  <c:v>7.0278916781307821E-3</c:v>
                </c:pt>
                <c:pt idx="116">
                  <c:v>7.0496403156987686E-3</c:v>
                </c:pt>
                <c:pt idx="117">
                  <c:v>7.0713884769157964E-3</c:v>
                </c:pt>
                <c:pt idx="118">
                  <c:v>7.0931361617923017E-3</c:v>
                </c:pt>
                <c:pt idx="119">
                  <c:v>7.1148833703386094E-3</c:v>
                </c:pt>
                <c:pt idx="120">
                  <c:v>7.1366301025652668E-3</c:v>
                </c:pt>
                <c:pt idx="121">
                  <c:v>7.1583763584827098E-3</c:v>
                </c:pt>
                <c:pt idx="122">
                  <c:v>7.1801221381013747E-3</c:v>
                </c:pt>
                <c:pt idx="123">
                  <c:v>7.2018674414315864E-3</c:v>
                </c:pt>
                <c:pt idx="124">
                  <c:v>7.2236122684837811E-3</c:v>
                </c:pt>
                <c:pt idx="125">
                  <c:v>7.245356619268617E-3</c:v>
                </c:pt>
                <c:pt idx="126">
                  <c:v>7.2671004937961969E-3</c:v>
                </c:pt>
                <c:pt idx="127">
                  <c:v>7.2888438920772902E-3</c:v>
                </c:pt>
                <c:pt idx="128">
                  <c:v>7.3105868141219998E-3</c:v>
                </c:pt>
                <c:pt idx="129">
                  <c:v>7.3323292599409839E-3</c:v>
                </c:pt>
                <c:pt idx="130">
                  <c:v>7.3540712295446786E-3</c:v>
                </c:pt>
                <c:pt idx="131">
                  <c:v>7.3758127229432979E-3</c:v>
                </c:pt>
                <c:pt idx="132">
                  <c:v>7.3975537401475E-3</c:v>
                </c:pt>
                <c:pt idx="133">
                  <c:v>7.4192942811676099E-3</c:v>
                </c:pt>
                <c:pt idx="134">
                  <c:v>7.4410343460141748E-3</c:v>
                </c:pt>
                <c:pt idx="135">
                  <c:v>7.4627739346974087E-3</c:v>
                </c:pt>
                <c:pt idx="136">
                  <c:v>7.4845130472278587E-3</c:v>
                </c:pt>
                <c:pt idx="137">
                  <c:v>7.506251683615961E-3</c:v>
                </c:pt>
                <c:pt idx="138">
                  <c:v>7.5279898438721515E-3</c:v>
                </c:pt>
                <c:pt idx="139">
                  <c:v>7.5497275280068665E-3</c:v>
                </c:pt>
                <c:pt idx="140">
                  <c:v>7.571464736030431E-3</c:v>
                </c:pt>
                <c:pt idx="141">
                  <c:v>7.5932014679533921E-3</c:v>
                </c:pt>
                <c:pt idx="142">
                  <c:v>7.6149377237861859E-3</c:v>
                </c:pt>
                <c:pt idx="143">
                  <c:v>7.6366735035391375E-3</c:v>
                </c:pt>
                <c:pt idx="144">
                  <c:v>7.658408807222794E-3</c:v>
                </c:pt>
                <c:pt idx="145">
                  <c:v>7.6801436348474805E-3</c:v>
                </c:pt>
                <c:pt idx="146">
                  <c:v>7.7018779864236331E-3</c:v>
                </c:pt>
                <c:pt idx="147">
                  <c:v>7.7236118619616878E-3</c:v>
                </c:pt>
                <c:pt idx="148">
                  <c:v>7.7453452614721918E-3</c:v>
                </c:pt>
                <c:pt idx="149">
                  <c:v>7.7670781849653592E-3</c:v>
                </c:pt>
                <c:pt idx="150">
                  <c:v>7.788810632451848E-3</c:v>
                </c:pt>
                <c:pt idx="151">
                  <c:v>7.8105426039418724E-3</c:v>
                </c:pt>
                <c:pt idx="152">
                  <c:v>7.8322740994459794E-3</c:v>
                </c:pt>
                <c:pt idx="153">
                  <c:v>7.8540051189744942E-3</c:v>
                </c:pt>
                <c:pt idx="154">
                  <c:v>7.8757356625379638E-3</c:v>
                </c:pt>
                <c:pt idx="155">
                  <c:v>7.8974657301467133E-3</c:v>
                </c:pt>
                <c:pt idx="156">
                  <c:v>7.9191953218112898E-3</c:v>
                </c:pt>
                <c:pt idx="157">
                  <c:v>7.9409244375420185E-3</c:v>
                </c:pt>
                <c:pt idx="158">
                  <c:v>7.9626530773493354E-3</c:v>
                </c:pt>
                <c:pt idx="159">
                  <c:v>7.9843812412436765E-3</c:v>
                </c:pt>
                <c:pt idx="160">
                  <c:v>8.0061089292354781E-3</c:v>
                </c:pt>
                <c:pt idx="161">
                  <c:v>8.0278361413351762E-3</c:v>
                </c:pt>
                <c:pt idx="162">
                  <c:v>8.0495628775530959E-3</c:v>
                </c:pt>
                <c:pt idx="163">
                  <c:v>8.0712891378997842E-3</c:v>
                </c:pt>
                <c:pt idx="164">
                  <c:v>8.0930149223855663E-3</c:v>
                </c:pt>
                <c:pt idx="165">
                  <c:v>8.1147402310209893E-3</c:v>
                </c:pt>
                <c:pt idx="166">
                  <c:v>8.1364650638162672E-3</c:v>
                </c:pt>
                <c:pt idx="167">
                  <c:v>8.1581894207820582E-3</c:v>
                </c:pt>
                <c:pt idx="168">
                  <c:v>8.1799133019286874E-3</c:v>
                </c:pt>
                <c:pt idx="169">
                  <c:v>8.2016367072664798E-3</c:v>
                </c:pt>
                <c:pt idx="170">
                  <c:v>8.2233596368059825E-3</c:v>
                </c:pt>
                <c:pt idx="171">
                  <c:v>8.2450820905576316E-3</c:v>
                </c:pt>
                <c:pt idx="172">
                  <c:v>8.2668040685317523E-3</c:v>
                </c:pt>
                <c:pt idx="173">
                  <c:v>8.2885255707387806E-3</c:v>
                </c:pt>
                <c:pt idx="174">
                  <c:v>8.3102465971891526E-3</c:v>
                </c:pt>
                <c:pt idx="175">
                  <c:v>8.3319671478934154E-3</c:v>
                </c:pt>
                <c:pt idx="176">
                  <c:v>8.3536872228617831E-3</c:v>
                </c:pt>
                <c:pt idx="177">
                  <c:v>8.3754068221046918E-3</c:v>
                </c:pt>
                <c:pt idx="178">
                  <c:v>8.3971259456327996E-3</c:v>
                </c:pt>
                <c:pt idx="179">
                  <c:v>8.4188445934562095E-3</c:v>
                </c:pt>
                <c:pt idx="180">
                  <c:v>8.4405627655855797E-3</c:v>
                </c:pt>
                <c:pt idx="181">
                  <c:v>8.4622804620312353E-3</c:v>
                </c:pt>
                <c:pt idx="182">
                  <c:v>8.4839976828036123E-3</c:v>
                </c:pt>
                <c:pt idx="183">
                  <c:v>8.5057144279130359E-3</c:v>
                </c:pt>
                <c:pt idx="184">
                  <c:v>8.5274306973701641E-3</c:v>
                </c:pt>
                <c:pt idx="185">
                  <c:v>8.5491464911851001E-3</c:v>
                </c:pt>
                <c:pt idx="186">
                  <c:v>8.5708618093685018E-3</c:v>
                </c:pt>
                <c:pt idx="187">
                  <c:v>8.5925766519306945E-3</c:v>
                </c:pt>
                <c:pt idx="188">
                  <c:v>8.6142910188821142E-3</c:v>
                </c:pt>
                <c:pt idx="189">
                  <c:v>8.636004910233086E-3</c:v>
                </c:pt>
                <c:pt idx="190">
                  <c:v>8.657718325994268E-3</c:v>
                </c:pt>
                <c:pt idx="191">
                  <c:v>8.6794312661757633E-3</c:v>
                </c:pt>
                <c:pt idx="192">
                  <c:v>8.70114373078823E-3</c:v>
                </c:pt>
                <c:pt idx="193">
                  <c:v>8.7228557198419931E-3</c:v>
                </c:pt>
                <c:pt idx="194">
                  <c:v>8.7445672333473778E-3</c:v>
                </c:pt>
                <c:pt idx="195">
                  <c:v>8.7662782713150422E-3</c:v>
                </c:pt>
                <c:pt idx="196">
                  <c:v>8.7879888337552003E-3</c:v>
                </c:pt>
                <c:pt idx="197">
                  <c:v>8.8096989206782883E-3</c:v>
                </c:pt>
                <c:pt idx="198">
                  <c:v>8.8314085320947422E-3</c:v>
                </c:pt>
                <c:pt idx="199">
                  <c:v>8.8531176680149981E-3</c:v>
                </c:pt>
                <c:pt idx="200">
                  <c:v>8.8748263284494922E-3</c:v>
                </c:pt>
                <c:pt idx="201">
                  <c:v>8.8965345134086604E-3</c:v>
                </c:pt>
                <c:pt idx="202">
                  <c:v>8.918242222902828E-3</c:v>
                </c:pt>
                <c:pt idx="203">
                  <c:v>8.9399494569424309E-3</c:v>
                </c:pt>
                <c:pt idx="204">
                  <c:v>8.9616562155379054E-3</c:v>
                </c:pt>
                <c:pt idx="205">
                  <c:v>8.9833624986995764E-3</c:v>
                </c:pt>
                <c:pt idx="206">
                  <c:v>9.0050683064379911E-3</c:v>
                </c:pt>
                <c:pt idx="207">
                  <c:v>9.0267736387635855E-3</c:v>
                </c:pt>
                <c:pt idx="208">
                  <c:v>9.0484784956865738E-3</c:v>
                </c:pt>
                <c:pt idx="209">
                  <c:v>9.0701828772176141E-3</c:v>
                </c:pt>
                <c:pt idx="210">
                  <c:v>9.0918867833669204E-3</c:v>
                </c:pt>
                <c:pt idx="211">
                  <c:v>9.1135902141450398E-3</c:v>
                </c:pt>
                <c:pt idx="212">
                  <c:v>9.1352931695622974E-3</c:v>
                </c:pt>
                <c:pt idx="213">
                  <c:v>9.1569956496290184E-3</c:v>
                </c:pt>
                <c:pt idx="214">
                  <c:v>9.1786976543558607E-3</c:v>
                </c:pt>
                <c:pt idx="215">
                  <c:v>9.2003991837530386E-3</c:v>
                </c:pt>
                <c:pt idx="216">
                  <c:v>9.222100237831099E-3</c:v>
                </c:pt>
                <c:pt idx="217">
                  <c:v>9.2438008166003671E-3</c:v>
                </c:pt>
                <c:pt idx="218">
                  <c:v>9.265500920071168E-3</c:v>
                </c:pt>
                <c:pt idx="219">
                  <c:v>9.2872005482541597E-3</c:v>
                </c:pt>
                <c:pt idx="220">
                  <c:v>9.3088997011595565E-3</c:v>
                </c:pt>
                <c:pt idx="221">
                  <c:v>9.3305983787976832E-3</c:v>
                </c:pt>
                <c:pt idx="222">
                  <c:v>9.352296581179198E-3</c:v>
                </c:pt>
                <c:pt idx="223">
                  <c:v>9.3739943083144261E-3</c:v>
                </c:pt>
                <c:pt idx="224">
                  <c:v>9.3956915602136926E-3</c:v>
                </c:pt>
                <c:pt idx="225">
                  <c:v>9.4173883368874334E-3</c:v>
                </c:pt>
                <c:pt idx="226">
                  <c:v>9.4390846383460847E-3</c:v>
                </c:pt>
                <c:pt idx="227">
                  <c:v>9.4607804646000826E-3</c:v>
                </c:pt>
                <c:pt idx="228">
                  <c:v>9.4824758156598632E-3</c:v>
                </c:pt>
                <c:pt idx="229">
                  <c:v>9.5041706915357516E-3</c:v>
                </c:pt>
                <c:pt idx="230">
                  <c:v>9.5258650922380728E-3</c:v>
                </c:pt>
                <c:pt idx="231">
                  <c:v>9.5475590177774849E-3</c:v>
                </c:pt>
                <c:pt idx="232">
                  <c:v>9.5692524681640911E-3</c:v>
                </c:pt>
                <c:pt idx="233">
                  <c:v>9.5909454434085495E-3</c:v>
                </c:pt>
                <c:pt idx="234">
                  <c:v>9.6126379435211851E-3</c:v>
                </c:pt>
                <c:pt idx="235">
                  <c:v>9.634329968512434E-3</c:v>
                </c:pt>
                <c:pt idx="236">
                  <c:v>9.6560215183926212E-3</c:v>
                </c:pt>
                <c:pt idx="237">
                  <c:v>9.677712593172183E-3</c:v>
                </c:pt>
                <c:pt idx="238">
                  <c:v>9.6994031928615554E-3</c:v>
                </c:pt>
                <c:pt idx="239">
                  <c:v>9.7210933174710634E-3</c:v>
                </c:pt>
                <c:pt idx="240">
                  <c:v>9.7427829670112542E-3</c:v>
                </c:pt>
                <c:pt idx="241">
                  <c:v>9.7644721414924529E-3</c:v>
                </c:pt>
                <c:pt idx="242">
                  <c:v>9.7861608409249845E-3</c:v>
                </c:pt>
                <c:pt idx="243">
                  <c:v>9.8078490653193962E-3</c:v>
                </c:pt>
                <c:pt idx="244">
                  <c:v>9.8295368146860129E-3</c:v>
                </c:pt>
                <c:pt idx="245">
                  <c:v>9.8512240890352709E-3</c:v>
                </c:pt>
                <c:pt idx="246">
                  <c:v>9.8729108883776062E-3</c:v>
                </c:pt>
                <c:pt idx="247">
                  <c:v>9.8945972127233439E-3</c:v>
                </c:pt>
                <c:pt idx="248">
                  <c:v>9.9162830620829201E-3</c:v>
                </c:pt>
                <c:pt idx="249">
                  <c:v>9.9379684364667709E-3</c:v>
                </c:pt>
                <c:pt idx="250">
                  <c:v>9.9596533358852213E-3</c:v>
                </c:pt>
                <c:pt idx="251">
                  <c:v>9.9813377603487075E-3</c:v>
                </c:pt>
                <c:pt idx="252">
                  <c:v>1.0003021709867665E-2</c:v>
                </c:pt>
                <c:pt idx="253">
                  <c:v>1.0024705184452531E-2</c:v>
                </c:pt>
                <c:pt idx="254">
                  <c:v>1.0046388184113519E-2</c:v>
                </c:pt>
                <c:pt idx="255">
                  <c:v>1.0068070708861288E-2</c:v>
                </c:pt>
                <c:pt idx="256">
                  <c:v>1.0089752758706161E-2</c:v>
                </c:pt>
                <c:pt idx="257">
                  <c:v>1.0111434333658353E-2</c:v>
                </c:pt>
                <c:pt idx="258">
                  <c:v>1.0133115433728523E-2</c:v>
                </c:pt>
                <c:pt idx="259">
                  <c:v>1.0154796058926885E-2</c:v>
                </c:pt>
                <c:pt idx="260">
                  <c:v>1.0176476209263985E-2</c:v>
                </c:pt>
                <c:pt idx="261">
                  <c:v>1.0198155884750038E-2</c:v>
                </c:pt>
                <c:pt idx="262">
                  <c:v>1.0219835085395701E-2</c:v>
                </c:pt>
                <c:pt idx="263">
                  <c:v>1.0241513811211078E-2</c:v>
                </c:pt>
                <c:pt idx="264">
                  <c:v>1.0263192062206827E-2</c:v>
                </c:pt>
                <c:pt idx="265">
                  <c:v>1.0284869838393274E-2</c:v>
                </c:pt>
                <c:pt idx="266">
                  <c:v>1.0306547139780742E-2</c:v>
                </c:pt>
                <c:pt idx="267">
                  <c:v>1.0328223966379668E-2</c:v>
                </c:pt>
                <c:pt idx="268">
                  <c:v>1.0349900318200489E-2</c:v>
                </c:pt>
                <c:pt idx="269">
                  <c:v>1.0371576195253529E-2</c:v>
                </c:pt>
                <c:pt idx="270">
                  <c:v>1.0393251597549225E-2</c:v>
                </c:pt>
                <c:pt idx="271">
                  <c:v>1.0414926525098012E-2</c:v>
                </c:pt>
                <c:pt idx="272">
                  <c:v>1.0436600977910215E-2</c:v>
                </c:pt>
                <c:pt idx="273">
                  <c:v>1.0458274955996383E-2</c:v>
                </c:pt>
                <c:pt idx="274">
                  <c:v>1.0479948459366728E-2</c:v>
                </c:pt>
                <c:pt idx="275">
                  <c:v>1.0501621488031687E-2</c:v>
                </c:pt>
                <c:pt idx="276">
                  <c:v>1.0523294042001807E-2</c:v>
                </c:pt>
                <c:pt idx="277">
                  <c:v>1.0544966121287302E-2</c:v>
                </c:pt>
                <c:pt idx="278">
                  <c:v>1.0566637725898609E-2</c:v>
                </c:pt>
                <c:pt idx="279">
                  <c:v>1.0588308855846162E-2</c:v>
                </c:pt>
                <c:pt idx="280">
                  <c:v>1.0609979511140399E-2</c:v>
                </c:pt>
                <c:pt idx="281">
                  <c:v>1.0631649691791645E-2</c:v>
                </c:pt>
                <c:pt idx="282">
                  <c:v>1.0653319397810335E-2</c:v>
                </c:pt>
                <c:pt idx="283">
                  <c:v>1.0674988629206905E-2</c:v>
                </c:pt>
                <c:pt idx="284">
                  <c:v>1.069665738599157E-2</c:v>
                </c:pt>
                <c:pt idx="285">
                  <c:v>1.0718325668174988E-2</c:v>
                </c:pt>
                <c:pt idx="286">
                  <c:v>1.0739993475767262E-2</c:v>
                </c:pt>
                <c:pt idx="287">
                  <c:v>1.076166080877905E-2</c:v>
                </c:pt>
                <c:pt idx="288">
                  <c:v>1.0783327667220677E-2</c:v>
                </c:pt>
                <c:pt idx="289">
                  <c:v>1.0804994051102357E-2</c:v>
                </c:pt>
                <c:pt idx="290">
                  <c:v>1.0826659960434748E-2</c:v>
                </c:pt>
                <c:pt idx="291">
                  <c:v>1.0848325395228064E-2</c:v>
                </c:pt>
                <c:pt idx="292">
                  <c:v>1.0869990355492742E-2</c:v>
                </c:pt>
                <c:pt idx="293">
                  <c:v>1.0891654841239218E-2</c:v>
                </c:pt>
                <c:pt idx="294">
                  <c:v>1.0913318852477816E-2</c:v>
                </c:pt>
                <c:pt idx="295">
                  <c:v>1.0934982389218972E-2</c:v>
                </c:pt>
                <c:pt idx="296">
                  <c:v>1.0956645451473124E-2</c:v>
                </c:pt>
                <c:pt idx="297">
                  <c:v>1.0978308039250595E-2</c:v>
                </c:pt>
                <c:pt idx="298">
                  <c:v>1.0999970152561822E-2</c:v>
                </c:pt>
                <c:pt idx="299">
                  <c:v>1.102163179141713E-2</c:v>
                </c:pt>
                <c:pt idx="300">
                  <c:v>1.1043292955826955E-2</c:v>
                </c:pt>
                <c:pt idx="301">
                  <c:v>1.1064953645801734E-2</c:v>
                </c:pt>
                <c:pt idx="302">
                  <c:v>1.1086613861351791E-2</c:v>
                </c:pt>
                <c:pt idx="303">
                  <c:v>1.1108273602487562E-2</c:v>
                </c:pt>
                <c:pt idx="304">
                  <c:v>1.1129932869219372E-2</c:v>
                </c:pt>
                <c:pt idx="305">
                  <c:v>1.1151591661557658E-2</c:v>
                </c:pt>
                <c:pt idx="306">
                  <c:v>1.1173249979512745E-2</c:v>
                </c:pt>
                <c:pt idx="307">
                  <c:v>1.1194907823095179E-2</c:v>
                </c:pt>
                <c:pt idx="308">
                  <c:v>1.1216565192315286E-2</c:v>
                </c:pt>
                <c:pt idx="309">
                  <c:v>1.1238222087183281E-2</c:v>
                </c:pt>
                <c:pt idx="310">
                  <c:v>1.125987850770982E-2</c:v>
                </c:pt>
                <c:pt idx="311">
                  <c:v>1.1281534453905118E-2</c:v>
                </c:pt>
                <c:pt idx="312">
                  <c:v>1.1303189925779611E-2</c:v>
                </c:pt>
                <c:pt idx="313">
                  <c:v>1.1324844923343735E-2</c:v>
                </c:pt>
                <c:pt idx="314">
                  <c:v>1.1346499446607816E-2</c:v>
                </c:pt>
                <c:pt idx="315">
                  <c:v>1.1368153495582289E-2</c:v>
                </c:pt>
                <c:pt idx="316">
                  <c:v>1.138980707027748E-2</c:v>
                </c:pt>
                <c:pt idx="317">
                  <c:v>1.1411460170703824E-2</c:v>
                </c:pt>
                <c:pt idx="318">
                  <c:v>1.1433112796871647E-2</c:v>
                </c:pt>
                <c:pt idx="319">
                  <c:v>1.1454764948791496E-2</c:v>
                </c:pt>
                <c:pt idx="320">
                  <c:v>1.1476416626473585E-2</c:v>
                </c:pt>
                <c:pt idx="321">
                  <c:v>1.1498067829928349E-2</c:v>
                </c:pt>
                <c:pt idx="322">
                  <c:v>1.1519718559166225E-2</c:v>
                </c:pt>
                <c:pt idx="323">
                  <c:v>1.1541368814197539E-2</c:v>
                </c:pt>
                <c:pt idx="324">
                  <c:v>1.1563018595032615E-2</c:v>
                </c:pt>
                <c:pt idx="325">
                  <c:v>1.1584667901682111E-2</c:v>
                </c:pt>
                <c:pt idx="326">
                  <c:v>1.160631673415613E-2</c:v>
                </c:pt>
                <c:pt idx="327">
                  <c:v>1.1627965092465109E-2</c:v>
                </c:pt>
                <c:pt idx="328">
                  <c:v>1.1649612976619594E-2</c:v>
                </c:pt>
                <c:pt idx="329">
                  <c:v>1.16712603866298E-2</c:v>
                </c:pt>
                <c:pt idx="330">
                  <c:v>1.1692907322506163E-2</c:v>
                </c:pt>
                <c:pt idx="331">
                  <c:v>1.1714553784259119E-2</c:v>
                </c:pt>
                <c:pt idx="332">
                  <c:v>1.1736199771898992E-2</c:v>
                </c:pt>
                <c:pt idx="333">
                  <c:v>1.1757845285436108E-2</c:v>
                </c:pt>
                <c:pt idx="334">
                  <c:v>1.1779490324881015E-2</c:v>
                </c:pt>
                <c:pt idx="335">
                  <c:v>1.1801134890244036E-2</c:v>
                </c:pt>
                <c:pt idx="336">
                  <c:v>1.1822778981535387E-2</c:v>
                </c:pt>
                <c:pt idx="337">
                  <c:v>1.1844422598765725E-2</c:v>
                </c:pt>
                <c:pt idx="338">
                  <c:v>1.1866065741945264E-2</c:v>
                </c:pt>
                <c:pt idx="339">
                  <c:v>1.1887708411084441E-2</c:v>
                </c:pt>
                <c:pt idx="340">
                  <c:v>1.1909350606193581E-2</c:v>
                </c:pt>
                <c:pt idx="341">
                  <c:v>1.1930992327283008E-2</c:v>
                </c:pt>
                <c:pt idx="342">
                  <c:v>1.195263357436338E-2</c:v>
                </c:pt>
                <c:pt idx="343">
                  <c:v>1.1974274347444802E-2</c:v>
                </c:pt>
                <c:pt idx="344">
                  <c:v>1.199591464653782E-2</c:v>
                </c:pt>
                <c:pt idx="345">
                  <c:v>1.2017554471652647E-2</c:v>
                </c:pt>
                <c:pt idx="346">
                  <c:v>1.2039193822799832E-2</c:v>
                </c:pt>
                <c:pt idx="347">
                  <c:v>1.2060832699989699E-2</c:v>
                </c:pt>
                <c:pt idx="348">
                  <c:v>1.2082471103232573E-2</c:v>
                </c:pt>
                <c:pt idx="349">
                  <c:v>1.210410903253889E-2</c:v>
                </c:pt>
                <c:pt idx="350">
                  <c:v>1.2125746487919087E-2</c:v>
                </c:pt>
                <c:pt idx="351">
                  <c:v>1.2147383469383488E-2</c:v>
                </c:pt>
                <c:pt idx="352">
                  <c:v>1.2169019976942308E-2</c:v>
                </c:pt>
                <c:pt idx="353">
                  <c:v>1.2190656010606205E-2</c:v>
                </c:pt>
                <c:pt idx="354">
                  <c:v>1.2212291570385503E-2</c:v>
                </c:pt>
                <c:pt idx="355">
                  <c:v>1.2233926656290417E-2</c:v>
                </c:pt>
                <c:pt idx="356">
                  <c:v>1.2255561268331383E-2</c:v>
                </c:pt>
                <c:pt idx="357">
                  <c:v>1.2277195406518948E-2</c:v>
                </c:pt>
                <c:pt idx="358">
                  <c:v>1.2298829070863326E-2</c:v>
                </c:pt>
                <c:pt idx="359">
                  <c:v>1.2320462261374843E-2</c:v>
                </c:pt>
                <c:pt idx="360">
                  <c:v>1.2342094978064044E-2</c:v>
                </c:pt>
                <c:pt idx="361">
                  <c:v>1.2363727220941256E-2</c:v>
                </c:pt>
                <c:pt idx="362">
                  <c:v>1.2385358990016804E-2</c:v>
                </c:pt>
                <c:pt idx="363">
                  <c:v>1.2406990285301012E-2</c:v>
                </c:pt>
                <c:pt idx="364">
                  <c:v>1.2428621106804427E-2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1.206422604205745E-2</c:v>
                </c:pt>
                <c:pt idx="1">
                  <c:v>1.211666336086566E-2</c:v>
                </c:pt>
                <c:pt idx="2">
                  <c:v>1.2169075523378627E-2</c:v>
                </c:pt>
                <c:pt idx="3">
                  <c:v>1.2221460075943505E-2</c:v>
                </c:pt>
                <c:pt idx="4">
                  <c:v>1.227381488534127E-2</c:v>
                </c:pt>
                <c:pt idx="5">
                  <c:v>1.232613813479805E-2</c:v>
                </c:pt>
                <c:pt idx="6">
                  <c:v>1.2378428316942179E-2</c:v>
                </c:pt>
                <c:pt idx="7">
                  <c:v>1.2430684223864499E-2</c:v>
                </c:pt>
                <c:pt idx="8">
                  <c:v>1.2482904934465522E-2</c:v>
                </c:pt>
                <c:pt idx="9">
                  <c:v>1.2535089799296946E-2</c:v>
                </c:pt>
                <c:pt idx="10">
                  <c:v>1.2587238423126545E-2</c:v>
                </c:pt>
                <c:pt idx="11">
                  <c:v>1.2639350645474483E-2</c:v>
                </c:pt>
                <c:pt idx="12">
                  <c:v>1.2691426519385372E-2</c:v>
                </c:pt>
                <c:pt idx="13">
                  <c:v>1.27434662887139E-2</c:v>
                </c:pt>
                <c:pt idx="14">
                  <c:v>1.2795470364212238E-2</c:v>
                </c:pt>
                <c:pt idx="15">
                  <c:v>1.2847439298714876E-2</c:v>
                </c:pt>
                <c:pt idx="16">
                  <c:v>1.2899373761721074E-2</c:v>
                </c:pt>
                <c:pt idx="17">
                  <c:v>1.2951274513676014E-2</c:v>
                </c:pt>
                <c:pt idx="18">
                  <c:v>1.3003142380250295E-2</c:v>
                </c:pt>
                <c:pt idx="19">
                  <c:v>1.3054978226912232E-2</c:v>
                </c:pt>
                <c:pt idx="20">
                  <c:v>1.3106782934079802E-2</c:v>
                </c:pt>
                <c:pt idx="21">
                  <c:v>1.3158557373128335E-2</c:v>
                </c:pt>
                <c:pt idx="22">
                  <c:v>1.3210302383516706E-2</c:v>
                </c:pt>
                <c:pt idx="23">
                  <c:v>1.3262018751278939E-2</c:v>
                </c:pt>
                <c:pt idx="24">
                  <c:v>1.3313707189109882E-2</c:v>
                </c:pt>
                <c:pt idx="25">
                  <c:v>1.3365368318253294E-2</c:v>
                </c:pt>
                <c:pt idx="26">
                  <c:v>1.341700265237839E-2</c:v>
                </c:pt>
                <c:pt idx="27">
                  <c:v>1.3468610583607139E-2</c:v>
                </c:pt>
                <c:pt idx="28">
                  <c:v>1.3520192370829361E-2</c:v>
                </c:pt>
                <c:pt idx="29">
                  <c:v>1.3571748130416226E-2</c:v>
                </c:pt>
                <c:pt idx="30">
                  <c:v>1.3623277829415923E-2</c:v>
                </c:pt>
                <c:pt idx="31">
                  <c:v>1.3674781281287351E-2</c:v>
                </c:pt>
                <c:pt idx="32">
                  <c:v>1.3726258144200318E-2</c:v>
                </c:pt>
                <c:pt idx="33">
                  <c:v>1.3777707921902473E-2</c:v>
                </c:pt>
                <c:pt idx="34">
                  <c:v>1.3829129967126491E-2</c:v>
                </c:pt>
                <c:pt idx="35">
                  <c:v>1.3880523487483944E-2</c:v>
                </c:pt>
                <c:pt idx="36">
                  <c:v>1.3931887553766809E-2</c:v>
                </c:pt>
                <c:pt idx="37">
                  <c:v>1.3983221110553093E-2</c:v>
                </c:pt>
                <c:pt idx="38">
                  <c:v>1.4034522988990002E-2</c:v>
                </c:pt>
                <c:pt idx="39">
                  <c:v>1.4085791921606722E-2</c:v>
                </c:pt>
                <c:pt idx="40">
                  <c:v>1.4137026558989494E-2</c:v>
                </c:pt>
                <c:pt idx="41">
                  <c:v>1.4188225488134316E-2</c:v>
                </c:pt>
                <c:pt idx="42">
                  <c:v>1.4239387252277323E-2</c:v>
                </c:pt>
                <c:pt idx="43">
                  <c:v>1.4290510371990348E-2</c:v>
                </c:pt>
                <c:pt idx="44">
                  <c:v>1.4341593367318625E-2</c:v>
                </c:pt>
                <c:pt idx="45">
                  <c:v>1.4392634780729977E-2</c:v>
                </c:pt>
                <c:pt idx="46">
                  <c:v>1.4443633200639606E-2</c:v>
                </c:pt>
                <c:pt idx="47">
                  <c:v>1.4494587285271941E-2</c:v>
                </c:pt>
                <c:pt idx="48">
                  <c:v>1.454549578662114E-2</c:v>
                </c:pt>
                <c:pt idx="49">
                  <c:v>1.4596357574274308E-2</c:v>
                </c:pt>
                <c:pt idx="50">
                  <c:v>1.4647171658866502E-2</c:v>
                </c:pt>
                <c:pt idx="51">
                  <c:v>1.4697937214944029E-2</c:v>
                </c:pt>
                <c:pt idx="52">
                  <c:v>1.4748653603022244E-2</c:v>
                </c:pt>
                <c:pt idx="53">
                  <c:v>1.4799320390635806E-2</c:v>
                </c:pt>
                <c:pt idx="54">
                  <c:v>1.4849937372192847E-2</c:v>
                </c:pt>
                <c:pt idx="55">
                  <c:v>1.4900504587460367E-2</c:v>
                </c:pt>
                <c:pt idx="56">
                  <c:v>1.4951022338524696E-2</c:v>
                </c:pt>
                <c:pt idx="57">
                  <c:v>1.5001491205089543E-2</c:v>
                </c:pt>
                <c:pt idx="58">
                  <c:v>1.5051912057993251E-2</c:v>
                </c:pt>
                <c:pt idx="59">
                  <c:v>1.5102286070847164E-2</c:v>
                </c:pt>
                <c:pt idx="60">
                  <c:v>1.5152614729717928E-2</c:v>
                </c:pt>
                <c:pt idx="61">
                  <c:v>1.5202899840797406E-2</c:v>
                </c:pt>
                <c:pt idx="62">
                  <c:v>1.5253143536025363E-2</c:v>
                </c:pt>
                <c:pt idx="63">
                  <c:v>1.5303348276650681E-2</c:v>
                </c:pt>
                <c:pt idx="64">
                  <c:v>1.5353516854737887E-2</c:v>
                </c:pt>
                <c:pt idx="65">
                  <c:v>1.5403652392645253E-2</c:v>
                </c:pt>
                <c:pt idx="66">
                  <c:v>1.5453758340519895E-2</c:v>
                </c:pt>
                <c:pt idx="67">
                  <c:v>1.5503838471873251E-2</c:v>
                </c:pt>
                <c:pt idx="68">
                  <c:v>1.5553896877316623E-2</c:v>
                </c:pt>
                <c:pt idx="69">
                  <c:v>1.5603937956551774E-2</c:v>
                </c:pt>
                <c:pt idx="70">
                  <c:v>1.565396640872482E-2</c:v>
                </c:pt>
                <c:pt idx="71">
                  <c:v>1.5703987221263427E-2</c:v>
                </c:pt>
                <c:pt idx="72">
                  <c:v>1.575400565732684E-2</c:v>
                </c:pt>
                <c:pt idx="73">
                  <c:v>1.5804027242006285E-2</c:v>
                </c:pt>
                <c:pt idx="74">
                  <c:v>1.5854057747418777E-2</c:v>
                </c:pt>
                <c:pt idx="75">
                  <c:v>1.5904103176841086E-2</c:v>
                </c:pt>
                <c:pt idx="76">
                  <c:v>1.595416974803212E-2</c:v>
                </c:pt>
                <c:pt idx="77">
                  <c:v>1.6004263875891645E-2</c:v>
                </c:pt>
                <c:pt idx="78">
                  <c:v>1.6054392154600319E-2</c:v>
                </c:pt>
                <c:pt idx="79">
                  <c:v>1.6104561339382241E-2</c:v>
                </c:pt>
                <c:pt idx="80">
                  <c:v>1.615477832802413E-2</c:v>
                </c:pt>
                <c:pt idx="81">
                  <c:v>1.6205050142277931E-2</c:v>
                </c:pt>
                <c:pt idx="82">
                  <c:v>1.6255383909263697E-2</c:v>
                </c:pt>
                <c:pt idx="83">
                  <c:v>1.6305786842978665E-2</c:v>
                </c:pt>
                <c:pt idx="84">
                  <c:v>1.6356266226006413E-2</c:v>
                </c:pt>
                <c:pt idx="85">
                  <c:v>1.6406829391506599E-2</c:v>
                </c:pt>
                <c:pt idx="86">
                  <c:v>1.6457483705551858E-2</c:v>
                </c:pt>
                <c:pt idx="87">
                  <c:v>1.6508236549863838E-2</c:v>
                </c:pt>
                <c:pt idx="88">
                  <c:v>1.6559095304985255E-2</c:v>
                </c:pt>
                <c:pt idx="89">
                  <c:v>1.661006733391017E-2</c:v>
                </c:pt>
                <c:pt idx="90">
                  <c:v>1.6661159966179E-2</c:v>
                </c:pt>
                <c:pt idx="91">
                  <c:v>1.6712380482431149E-2</c:v>
                </c:pt>
                <c:pt idx="92">
                  <c:v>1.6763736099393162E-2</c:v>
                </c:pt>
                <c:pt idx="93">
                  <c:v>1.6815233955267683E-2</c:v>
                </c:pt>
                <c:pt idx="94">
                  <c:v>1.6866881095476193E-2</c:v>
                </c:pt>
                <c:pt idx="95">
                  <c:v>1.691868445869725E-2</c:v>
                </c:pt>
                <c:pt idx="96">
                  <c:v>1.6970650863132684E-2</c:v>
                </c:pt>
                <c:pt idx="97">
                  <c:v>1.7022786992926E-2</c:v>
                </c:pt>
                <c:pt idx="98">
                  <c:v>1.707509938465088E-2</c:v>
                </c:pt>
                <c:pt idx="99">
                  <c:v>1.7127594413783309E-2</c:v>
                </c:pt>
                <c:pt idx="100">
                  <c:v>1.718027828106819E-2</c:v>
                </c:pt>
                <c:pt idx="101">
                  <c:v>1.7233156998690716E-2</c:v>
                </c:pt>
                <c:pt idx="102">
                  <c:v>1.7286236376164249E-2</c:v>
                </c:pt>
                <c:pt idx="103">
                  <c:v>1.7339522005850042E-2</c:v>
                </c:pt>
                <c:pt idx="104">
                  <c:v>1.7393019248029599E-2</c:v>
                </c:pt>
                <c:pt idx="105">
                  <c:v>1.7446733215457977E-2</c:v>
                </c:pt>
                <c:pt idx="106">
                  <c:v>1.7500668757336121E-2</c:v>
                </c:pt>
                <c:pt idx="107">
                  <c:v>1.7554830442651222E-2</c:v>
                </c:pt>
                <c:pt idx="108">
                  <c:v>1.7609222542847511E-2</c:v>
                </c:pt>
                <c:pt idx="109">
                  <c:v>1.7663849013804404E-2</c:v>
                </c:pt>
                <c:pt idx="110">
                  <c:v>1.7718713477114689E-2</c:v>
                </c:pt>
                <c:pt idx="111">
                  <c:v>1.7773819200673155E-2</c:v>
                </c:pt>
                <c:pt idx="112">
                  <c:v>1.7829169078603713E-2</c:v>
                </c:pt>
                <c:pt idx="113">
                  <c:v>1.7884765610572378E-2</c:v>
                </c:pt>
                <c:pt idx="114">
                  <c:v>1.7940610880552828E-2</c:v>
                </c:pt>
                <c:pt idx="115">
                  <c:v>1.7996706535130826E-2</c:v>
                </c:pt>
                <c:pt idx="116">
                  <c:v>1.805305376145374E-2</c:v>
                </c:pt>
                <c:pt idx="117">
                  <c:v>1.810965326495053E-2</c:v>
                </c:pt>
                <c:pt idx="118">
                  <c:v>1.8166505246966447E-2</c:v>
                </c:pt>
                <c:pt idx="119">
                  <c:v>1.8223609382474824E-2</c:v>
                </c:pt>
                <c:pt idx="120">
                  <c:v>1.8280964798044919E-2</c:v>
                </c:pt>
                <c:pt idx="121">
                  <c:v>1.8338570050260457E-2</c:v>
                </c:pt>
                <c:pt idx="122">
                  <c:v>1.8396423104797187E-2</c:v>
                </c:pt>
                <c:pt idx="123">
                  <c:v>1.8454521316379931E-2</c:v>
                </c:pt>
                <c:pt idx="124">
                  <c:v>1.8512861409849316E-2</c:v>
                </c:pt>
                <c:pt idx="125">
                  <c:v>1.8571439462575813E-2</c:v>
                </c:pt>
                <c:pt idx="126">
                  <c:v>1.8630250888464397E-2</c:v>
                </c:pt>
                <c:pt idx="127">
                  <c:v>1.8689290423794795E-2</c:v>
                </c:pt>
                <c:pt idx="128">
                  <c:v>1.8748552115142737E-2</c:v>
                </c:pt>
                <c:pt idx="129">
                  <c:v>1.8808029309624118E-2</c:v>
                </c:pt>
                <c:pt idx="130">
                  <c:v>1.8867714647698104E-2</c:v>
                </c:pt>
                <c:pt idx="131">
                  <c:v>1.8927600058756194E-2</c:v>
                </c:pt>
                <c:pt idx="132">
                  <c:v>1.898767675971251E-2</c:v>
                </c:pt>
                <c:pt idx="133">
                  <c:v>1.9047935256795576E-2</c:v>
                </c:pt>
                <c:pt idx="134">
                  <c:v>1.9108365350724466E-2</c:v>
                </c:pt>
                <c:pt idx="135">
                  <c:v>1.9168956145431706E-2</c:v>
                </c:pt>
                <c:pt idx="136">
                  <c:v>1.922969606047252E-2</c:v>
                </c:pt>
                <c:pt idx="137">
                  <c:v>1.929057284723459E-2</c:v>
                </c:pt>
                <c:pt idx="138">
                  <c:v>1.9351573609035114E-2</c:v>
                </c:pt>
                <c:pt idx="139">
                  <c:v>1.9412684825162237E-2</c:v>
                </c:pt>
                <c:pt idx="140">
                  <c:v>1.9473892378886918E-2</c:v>
                </c:pt>
                <c:pt idx="141">
                  <c:v>1.9535181589438511E-2</c:v>
                </c:pt>
                <c:pt idx="142">
                  <c:v>1.9596537247903608E-2</c:v>
                </c:pt>
                <c:pt idx="143">
                  <c:v>1.9657943656973077E-2</c:v>
                </c:pt>
                <c:pt idx="144">
                  <c:v>1.9719384674427187E-2</c:v>
                </c:pt>
                <c:pt idx="145">
                  <c:v>1.9780843760213575E-2</c:v>
                </c:pt>
                <c:pt idx="146">
                  <c:v>1.9842304026937874E-2</c:v>
                </c:pt>
                <c:pt idx="147">
                  <c:v>1.9903748293552466E-2</c:v>
                </c:pt>
                <c:pt idx="148">
                  <c:v>1.9965159141995637E-2</c:v>
                </c:pt>
                <c:pt idx="149">
                  <c:v>2.0026518976501286E-2</c:v>
                </c:pt>
                <c:pt idx="150">
                  <c:v>2.0087810085269116E-2</c:v>
                </c:pt>
                <c:pt idx="151">
                  <c:v>2.0149014704157045E-2</c:v>
                </c:pt>
                <c:pt idx="152">
                  <c:v>2.0210115082031622E-2</c:v>
                </c:pt>
                <c:pt idx="153">
                  <c:v>2.0271093547389013E-2</c:v>
                </c:pt>
                <c:pt idx="154">
                  <c:v>2.0331932575838988E-2</c:v>
                </c:pt>
                <c:pt idx="155">
                  <c:v>2.0392614858027219E-2</c:v>
                </c:pt>
                <c:pt idx="156">
                  <c:v>2.0453123367557755E-2</c:v>
                </c:pt>
                <c:pt idx="157">
                  <c:v>2.0513441428467508E-2</c:v>
                </c:pt>
                <c:pt idx="158">
                  <c:v>2.0573552781798628E-2</c:v>
                </c:pt>
                <c:pt idx="159">
                  <c:v>2.0633441650812295E-2</c:v>
                </c:pt>
                <c:pt idx="160">
                  <c:v>2.0693092804389749E-2</c:v>
                </c:pt>
                <c:pt idx="161">
                  <c:v>2.075249161817189E-2</c:v>
                </c:pt>
                <c:pt idx="162">
                  <c:v>2.0811624132999092E-2</c:v>
                </c:pt>
                <c:pt idx="163">
                  <c:v>2.0870477110227124E-2</c:v>
                </c:pt>
                <c:pt idx="164">
                  <c:v>2.0929038083512836E-2</c:v>
                </c:pt>
                <c:pt idx="165">
                  <c:v>2.0987295406685477E-2</c:v>
                </c:pt>
                <c:pt idx="166">
                  <c:v>2.1045238297345253E-2</c:v>
                </c:pt>
                <c:pt idx="167">
                  <c:v>2.1102856875859506E-2</c:v>
                </c:pt>
                <c:pt idx="168">
                  <c:v>2.1160142199459837E-2</c:v>
                </c:pt>
                <c:pt idx="169">
                  <c:v>2.1217086291178622E-2</c:v>
                </c:pt>
                <c:pt idx="170">
                  <c:v>2.1273682163401322E-2</c:v>
                </c:pt>
                <c:pt idx="171">
                  <c:v>2.1329923835852166E-2</c:v>
                </c:pt>
                <c:pt idx="172">
                  <c:v>2.1385806347872214E-2</c:v>
                </c:pt>
                <c:pt idx="173">
                  <c:v>2.1441325764893829E-2</c:v>
                </c:pt>
                <c:pt idx="174">
                  <c:v>2.1496479179060186E-2</c:v>
                </c:pt>
                <c:pt idx="175">
                  <c:v>2.1551264703984805E-2</c:v>
                </c:pt>
                <c:pt idx="176">
                  <c:v>2.1605681463692263E-2</c:v>
                </c:pt>
                <c:pt idx="177">
                  <c:v>2.1659729575827555E-2</c:v>
                </c:pt>
                <c:pt idx="178">
                  <c:v>2.1713410129267363E-2</c:v>
                </c:pt>
                <c:pt idx="179">
                  <c:v>2.1766725156310854E-2</c:v>
                </c:pt>
                <c:pt idx="180">
                  <c:v>2.1819677599671208E-2</c:v>
                </c:pt>
                <c:pt idx="181">
                  <c:v>2.1872271274530477E-2</c:v>
                </c:pt>
                <c:pt idx="182">
                  <c:v>2.1924510825959042E-2</c:v>
                </c:pt>
                <c:pt idx="183">
                  <c:v>2.197640168203803E-2</c:v>
                </c:pt>
                <c:pt idx="184">
                  <c:v>2.2027950003056081E-2</c:v>
                </c:pt>
                <c:pt idx="185">
                  <c:v>2.2079162627181955E-2</c:v>
                </c:pt>
                <c:pt idx="186">
                  <c:v>2.213004701304121E-2</c:v>
                </c:pt>
                <c:pt idx="187">
                  <c:v>2.218061117964721E-2</c:v>
                </c:pt>
                <c:pt idx="188">
                  <c:v>2.2230863644155465E-2</c:v>
                </c:pt>
                <c:pt idx="189">
                  <c:v>2.2280813357924031E-2</c:v>
                </c:pt>
                <c:pt idx="190">
                  <c:v>2.233046964137236E-2</c:v>
                </c:pt>
                <c:pt idx="191">
                  <c:v>2.23798421181357E-2</c:v>
                </c:pt>
                <c:pt idx="192">
                  <c:v>2.2428940649012619E-2</c:v>
                </c:pt>
                <c:pt idx="193">
                  <c:v>2.2477775266198683E-2</c:v>
                </c:pt>
                <c:pt idx="194">
                  <c:v>2.2526356108290339E-2</c:v>
                </c:pt>
                <c:pt idx="195">
                  <c:v>2.257469335652959E-2</c:v>
                </c:pt>
                <c:pt idx="196">
                  <c:v>2.2622797172742147E-2</c:v>
                </c:pt>
                <c:pt idx="197">
                  <c:v>2.2670677639399572E-2</c:v>
                </c:pt>
                <c:pt idx="198">
                  <c:v>2.2718344702210028E-2</c:v>
                </c:pt>
                <c:pt idx="199">
                  <c:v>2.2765808115612254E-2</c:v>
                </c:pt>
                <c:pt idx="200">
                  <c:v>2.2813077391514551E-2</c:v>
                </c:pt>
                <c:pt idx="201">
                  <c:v>2.2860161751584101E-2</c:v>
                </c:pt>
                <c:pt idx="202">
                  <c:v>2.2907070083353197E-2</c:v>
                </c:pt>
                <c:pt idx="203">
                  <c:v>2.2953810900367938E-2</c:v>
                </c:pt>
                <c:pt idx="204">
                  <c:v>2.3000392306561819E-2</c:v>
                </c:pt>
                <c:pt idx="205">
                  <c:v>2.3046821964992397E-2</c:v>
                </c:pt>
                <c:pt idx="206">
                  <c:v>2.3093107071034128E-2</c:v>
                </c:pt>
                <c:pt idx="207">
                  <c:v>2.3139254330074611E-2</c:v>
                </c:pt>
                <c:pt idx="208">
                  <c:v>2.3185269939715866E-2</c:v>
                </c:pt>
                <c:pt idx="209">
                  <c:v>2.323115957643752E-2</c:v>
                </c:pt>
                <c:pt idx="210">
                  <c:v>2.3276928386634196E-2</c:v>
                </c:pt>
                <c:pt idx="211">
                  <c:v>2.3322580981897385E-2</c:v>
                </c:pt>
                <c:pt idx="212">
                  <c:v>2.3368121438371057E-2</c:v>
                </c:pt>
                <c:pt idx="213">
                  <c:v>2.3413553299972151E-2</c:v>
                </c:pt>
                <c:pt idx="214">
                  <c:v>2.3458879585231737E-2</c:v>
                </c:pt>
                <c:pt idx="215">
                  <c:v>2.3504102797480071E-2</c:v>
                </c:pt>
                <c:pt idx="216">
                  <c:v>2.3549224938070237E-2</c:v>
                </c:pt>
                <c:pt idx="217">
                  <c:v>2.3594247522309982E-2</c:v>
                </c:pt>
                <c:pt idx="218">
                  <c:v>2.3639171597750419E-2</c:v>
                </c:pt>
                <c:pt idx="219">
                  <c:v>2.3683997764463872E-2</c:v>
                </c:pt>
                <c:pt idx="220">
                  <c:v>2.3728726196930845E-2</c:v>
                </c:pt>
                <c:pt idx="221">
                  <c:v>2.3773356667148939E-2</c:v>
                </c:pt>
                <c:pt idx="222">
                  <c:v>2.3817888568573371E-2</c:v>
                </c:pt>
                <c:pt idx="223">
                  <c:v>2.386232094050126E-2</c:v>
                </c:pt>
                <c:pt idx="224">
                  <c:v>2.3906652492518072E-2</c:v>
                </c:pt>
                <c:pt idx="225">
                  <c:v>2.3950881628636018E-2</c:v>
                </c:pt>
                <c:pt idx="226">
                  <c:v>2.3995006470770259E-2</c:v>
                </c:pt>
                <c:pt idx="227">
                  <c:v>2.4039024881218472E-2</c:v>
                </c:pt>
                <c:pt idx="228">
                  <c:v>2.4082934483833862E-2</c:v>
                </c:pt>
                <c:pt idx="229">
                  <c:v>2.4126732683609448E-2</c:v>
                </c:pt>
                <c:pt idx="230">
                  <c:v>2.4170416684423098E-2</c:v>
                </c:pt>
                <c:pt idx="231">
                  <c:v>2.4213983504727372E-2</c:v>
                </c:pt>
                <c:pt idx="232">
                  <c:v>2.4257429991005486E-2</c:v>
                </c:pt>
                <c:pt idx="233">
                  <c:v>2.4300752828854459E-2</c:v>
                </c:pt>
                <c:pt idx="234">
                  <c:v>2.4343948551597942E-2</c:v>
                </c:pt>
                <c:pt idx="235">
                  <c:v>2.4387013546373962E-2</c:v>
                </c:pt>
                <c:pt idx="236">
                  <c:v>2.4429944057686819E-2</c:v>
                </c:pt>
                <c:pt idx="237">
                  <c:v>2.4472736188455954E-2</c:v>
                </c:pt>
                <c:pt idx="238">
                  <c:v>2.4515385898638928E-2</c:v>
                </c:pt>
                <c:pt idx="239">
                  <c:v>2.4557889001548362E-2</c:v>
                </c:pt>
                <c:pt idx="240">
                  <c:v>2.460024115802506E-2</c:v>
                </c:pt>
                <c:pt idx="241">
                  <c:v>2.4642437868669344E-2</c:v>
                </c:pt>
                <c:pt idx="242">
                  <c:v>2.4684474464370783E-2</c:v>
                </c:pt>
                <c:pt idx="243">
                  <c:v>2.4726346095411831E-2</c:v>
                </c:pt>
                <c:pt idx="244">
                  <c:v>2.4768047719452672E-2</c:v>
                </c:pt>
                <c:pt idx="245">
                  <c:v>2.4809574088733532E-2</c:v>
                </c:pt>
                <c:pt idx="246">
                  <c:v>2.4850919736854979E-2</c:v>
                </c:pt>
                <c:pt idx="247">
                  <c:v>2.4892078965517046E-2</c:v>
                </c:pt>
                <c:pt idx="248">
                  <c:v>2.4933045831613931E-2</c:v>
                </c:pt>
                <c:pt idx="249">
                  <c:v>2.4973814135091567E-2</c:v>
                </c:pt>
                <c:pt idx="250">
                  <c:v>2.5014377407981493E-2</c:v>
                </c:pt>
                <c:pt idx="251">
                  <c:v>2.5054728905024734E-2</c:v>
                </c:pt>
                <c:pt idx="252">
                  <c:v>2.5094861596295228E-2</c:v>
                </c:pt>
                <c:pt idx="253">
                  <c:v>2.513476816222189E-2</c:v>
                </c:pt>
                <c:pt idx="254">
                  <c:v>2.5174440991393709E-2</c:v>
                </c:pt>
                <c:pt idx="255">
                  <c:v>2.5213872181511589E-2</c:v>
                </c:pt>
                <c:pt idx="256">
                  <c:v>2.5253053543825302E-2</c:v>
                </c:pt>
                <c:pt idx="257">
                  <c:v>2.5291976611363797E-2</c:v>
                </c:pt>
                <c:pt idx="258">
                  <c:v>2.5330632651232188E-2</c:v>
                </c:pt>
                <c:pt idx="259">
                  <c:v>2.5369012681209665E-2</c:v>
                </c:pt>
                <c:pt idx="260">
                  <c:v>2.5407107490839746E-2</c:v>
                </c:pt>
                <c:pt idx="261">
                  <c:v>2.5444907667157585E-2</c:v>
                </c:pt>
                <c:pt idx="262">
                  <c:v>2.5482403625149891E-2</c:v>
                </c:pt>
                <c:pt idx="263">
                  <c:v>2.5519585642990446E-2</c:v>
                </c:pt>
                <c:pt idx="264">
                  <c:v>2.555644390204086E-2</c:v>
                </c:pt>
                <c:pt idx="265">
                  <c:v>2.5592968531549912E-2</c:v>
                </c:pt>
                <c:pt idx="266">
                  <c:v>2.5629149657929007E-2</c:v>
                </c:pt>
                <c:pt idx="267">
                  <c:v>2.566497745842412E-2</c:v>
                </c:pt>
                <c:pt idx="268">
                  <c:v>2.5700442218948519E-2</c:v>
                </c:pt>
                <c:pt idx="269">
                  <c:v>2.5735534395785017E-2</c:v>
                </c:pt>
                <c:pt idx="270">
                  <c:v>2.577024468081214E-2</c:v>
                </c:pt>
                <c:pt idx="271">
                  <c:v>2.5804564069857629E-2</c:v>
                </c:pt>
                <c:pt idx="272">
                  <c:v>2.5838483933732694E-2</c:v>
                </c:pt>
                <c:pt idx="273">
                  <c:v>2.5871996091455334E-2</c:v>
                </c:pt>
                <c:pt idx="274">
                  <c:v>2.590509288512869E-2</c:v>
                </c:pt>
                <c:pt idx="275">
                  <c:v>2.5937767255902942E-2</c:v>
                </c:pt>
                <c:pt idx="276">
                  <c:v>2.5970012820416451E-2</c:v>
                </c:pt>
                <c:pt idx="277">
                  <c:v>2.6001823947084196E-2</c:v>
                </c:pt>
                <c:pt idx="278">
                  <c:v>2.6033195831579686E-2</c:v>
                </c:pt>
                <c:pt idx="279">
                  <c:v>2.6064124570840581E-2</c:v>
                </c:pt>
                <c:pt idx="280">
                  <c:v>2.6094607234918233E-2</c:v>
                </c:pt>
                <c:pt idx="281">
                  <c:v>2.6124641935988308E-2</c:v>
                </c:pt>
                <c:pt idx="282">
                  <c:v>2.6154227893842572E-2</c:v>
                </c:pt>
                <c:pt idx="283">
                  <c:v>2.6183365497192013E-2</c:v>
                </c:pt>
                <c:pt idx="284">
                  <c:v>2.6212056360127741E-2</c:v>
                </c:pt>
                <c:pt idx="285">
                  <c:v>2.6240303373109498E-2</c:v>
                </c:pt>
                <c:pt idx="286">
                  <c:v>2.6268110747881143E-2</c:v>
                </c:pt>
                <c:pt idx="287">
                  <c:v>2.6295484055748303E-2</c:v>
                </c:pt>
                <c:pt idx="288">
                  <c:v>2.6322430258695649E-2</c:v>
                </c:pt>
                <c:pt idx="289">
                  <c:v>2.6348957732868855E-2</c:v>
                </c:pt>
                <c:pt idx="290">
                  <c:v>2.6375076283999342E-2</c:v>
                </c:pt>
                <c:pt idx="291">
                  <c:v>2.6400797154408441E-2</c:v>
                </c:pt>
                <c:pt idx="292">
                  <c:v>2.6426133021289395E-2</c:v>
                </c:pt>
                <c:pt idx="293">
                  <c:v>2.6451097986033002E-2</c:v>
                </c:pt>
                <c:pt idx="294">
                  <c:v>2.6475707554431689E-2</c:v>
                </c:pt>
                <c:pt idx="295">
                  <c:v>2.6499978607669835E-2</c:v>
                </c:pt>
                <c:pt idx="296">
                  <c:v>2.6523929364082727E-2</c:v>
                </c:pt>
                <c:pt idx="297">
                  <c:v>2.6547579331742302E-2</c:v>
                </c:pt>
                <c:pt idx="298">
                  <c:v>2.6570949252004743E-2</c:v>
                </c:pt>
                <c:pt idx="299">
                  <c:v>2.6594061034231807E-2</c:v>
                </c:pt>
                <c:pt idx="300">
                  <c:v>2.6616937681973284E-2</c:v>
                </c:pt>
                <c:pt idx="301">
                  <c:v>2.6639603210973025E-2</c:v>
                </c:pt>
                <c:pt idx="302">
                  <c:v>2.6662082559433073E-2</c:v>
                </c:pt>
                <c:pt idx="303">
                  <c:v>2.6684401491039754E-2</c:v>
                </c:pt>
                <c:pt idx="304">
                  <c:v>2.6706586491322144E-2</c:v>
                </c:pt>
                <c:pt idx="305">
                  <c:v>2.672866465797431E-2</c:v>
                </c:pt>
                <c:pt idx="306">
                  <c:v>2.6750663585830604E-2</c:v>
                </c:pt>
                <c:pt idx="307">
                  <c:v>2.6772611247234193E-2</c:v>
                </c:pt>
                <c:pt idx="308">
                  <c:v>2.6794535868585361E-2</c:v>
                </c:pt>
                <c:pt idx="309">
                  <c:v>2.6816465803895181E-2</c:v>
                </c:pt>
                <c:pt idx="310">
                  <c:v>2.6838429406203033E-2</c:v>
                </c:pt>
                <c:pt idx="311">
                  <c:v>2.686045489774205E-2</c:v>
                </c:pt>
                <c:pt idx="312">
                  <c:v>2.6882570239754485E-2</c:v>
                </c:pt>
                <c:pt idx="313">
                  <c:v>2.6904803002869918E-2</c:v>
                </c:pt>
                <c:pt idx="314">
                  <c:v>2.6927180238961752E-2</c:v>
                </c:pt>
                <c:pt idx="315">
                  <c:v>2.6949728355392541E-2</c:v>
                </c:pt>
                <c:pt idx="316">
                  <c:v>2.6972472992545793E-2</c:v>
                </c:pt>
                <c:pt idx="317">
                  <c:v>2.6995438905521432E-2</c:v>
                </c:pt>
                <c:pt idx="318">
                  <c:v>2.7018649850843481E-2</c:v>
                </c:pt>
                <c:pt idx="319">
                  <c:v>2.7042128478993527E-2</c:v>
                </c:pt>
                <c:pt idx="320">
                  <c:v>2.706589623354012E-2</c:v>
                </c:pt>
                <c:pt idx="321">
                  <c:v>2.7089973257585522E-2</c:v>
                </c:pt>
                <c:pt idx="322">
                  <c:v>2.7114378308194832E-2</c:v>
                </c:pt>
                <c:pt idx="323">
                  <c:v>2.7139128679411199E-2</c:v>
                </c:pt>
                <c:pt idx="324">
                  <c:v>2.7164240134394169E-2</c:v>
                </c:pt>
                <c:pt idx="325">
                  <c:v>2.7189726847146087E-2</c:v>
                </c:pt>
                <c:pt idx="326">
                  <c:v>2.72156013542162E-2</c:v>
                </c:pt>
                <c:pt idx="327">
                  <c:v>2.7241874516693087E-2</c:v>
                </c:pt>
                <c:pt idx="328">
                  <c:v>2.7268555492713981E-2</c:v>
                </c:pt>
                <c:pt idx="329">
                  <c:v>2.7295651720636301E-2</c:v>
                </c:pt>
                <c:pt idx="330">
                  <c:v>2.7323168912931399E-2</c:v>
                </c:pt>
                <c:pt idx="331">
                  <c:v>2.7351111060775719E-2</c:v>
                </c:pt>
                <c:pt idx="332">
                  <c:v>2.7379480449229145E-2</c:v>
                </c:pt>
                <c:pt idx="333">
                  <c:v>2.7408277682806931E-2</c:v>
                </c:pt>
                <c:pt idx="334">
                  <c:v>2.7437501721169166E-2</c:v>
                </c:pt>
                <c:pt idx="335">
                  <c:v>2.746714992457281E-2</c:v>
                </c:pt>
                <c:pt idx="336">
                  <c:v>2.749721810865504E-2</c:v>
                </c:pt>
                <c:pt idx="337">
                  <c:v>2.7527700608044593E-2</c:v>
                </c:pt>
                <c:pt idx="338">
                  <c:v>2.7558590348230605E-2</c:v>
                </c:pt>
                <c:pt idx="339">
                  <c:v>2.7589878925055957E-2</c:v>
                </c:pt>
                <c:pt idx="340">
                  <c:v>2.7621556691146156E-2</c:v>
                </c:pt>
                <c:pt idx="341">
                  <c:v>2.7653612848534351E-2</c:v>
                </c:pt>
                <c:pt idx="342">
                  <c:v>2.7686035546699964E-2</c:v>
                </c:pt>
                <c:pt idx="343">
                  <c:v>2.7718811985201954E-2</c:v>
                </c:pt>
                <c:pt idx="344">
                  <c:v>2.7751928520059026E-2</c:v>
                </c:pt>
                <c:pt idx="345">
                  <c:v>2.7785370773007398E-2</c:v>
                </c:pt>
                <c:pt idx="346">
                  <c:v>2.7819123742753912E-2</c:v>
                </c:pt>
                <c:pt idx="347">
                  <c:v>2.7853171917335728E-2</c:v>
                </c:pt>
                <c:pt idx="348">
                  <c:v>2.7887499386700789E-2</c:v>
                </c:pt>
                <c:pt idx="349">
                  <c:v>2.7922089954632631E-2</c:v>
                </c:pt>
                <c:pt idx="350">
                  <c:v>2.7956927249161146E-2</c:v>
                </c:pt>
                <c:pt idx="351">
                  <c:v>2.7991994830625654E-2</c:v>
                </c:pt>
                <c:pt idx="352">
                  <c:v>2.8027276296589038E-2</c:v>
                </c:pt>
                <c:pt idx="353">
                  <c:v>2.8062755382840459E-2</c:v>
                </c:pt>
                <c:pt idx="354">
                  <c:v>2.8098416059770027E-2</c:v>
                </c:pt>
                <c:pt idx="355">
                  <c:v>2.8134242623449449E-2</c:v>
                </c:pt>
                <c:pt idx="356">
                  <c:v>2.8170219780810007E-2</c:v>
                </c:pt>
                <c:pt idx="357">
                  <c:v>2.820633272837049E-2</c:v>
                </c:pt>
                <c:pt idx="358">
                  <c:v>2.8242567224033312E-2</c:v>
                </c:pt>
                <c:pt idx="359">
                  <c:v>2.8278909651536611E-2</c:v>
                </c:pt>
                <c:pt idx="360">
                  <c:v>2.8315347077222254E-2</c:v>
                </c:pt>
                <c:pt idx="361">
                  <c:v>2.8351867298853806E-2</c:v>
                </c:pt>
                <c:pt idx="362">
                  <c:v>2.8388458886294536E-2</c:v>
                </c:pt>
                <c:pt idx="363">
                  <c:v>2.8425111213932101E-2</c:v>
                </c:pt>
                <c:pt idx="364">
                  <c:v>2.8461814484812623E-2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6.5199607684078713E-5</c:v>
                </c:pt>
                <c:pt idx="1">
                  <c:v>6.4921785424775779E-5</c:v>
                </c:pt>
                <c:pt idx="2">
                  <c:v>6.4578325946205225E-5</c:v>
                </c:pt>
                <c:pt idx="3">
                  <c:v>6.4173607128903613E-5</c:v>
                </c:pt>
                <c:pt idx="4">
                  <c:v>6.3711914393255585E-5</c:v>
                </c:pt>
                <c:pt idx="5">
                  <c:v>6.3197409414738018E-5</c:v>
                </c:pt>
                <c:pt idx="6">
                  <c:v>6.2634103998091779E-5</c:v>
                </c:pt>
                <c:pt idx="7">
                  <c:v>6.2025838670833291E-5</c:v>
                </c:pt>
                <c:pt idx="8">
                  <c:v>6.1367807163404295E-5</c:v>
                </c:pt>
                <c:pt idx="9">
                  <c:v>6.0559314832668346E-5</c:v>
                </c:pt>
                <c:pt idx="10">
                  <c:v>5.9578583867826135E-5</c:v>
                </c:pt>
                <c:pt idx="11">
                  <c:v>5.843086584234439E-5</c:v>
                </c:pt>
                <c:pt idx="12">
                  <c:v>5.7121468689470078E-5</c:v>
                </c:pt>
                <c:pt idx="13">
                  <c:v>5.5655729894477142E-5</c:v>
                </c:pt>
                <c:pt idx="14">
                  <c:v>5.4038991407247624E-5</c:v>
                </c:pt>
                <c:pt idx="15">
                  <c:v>5.2308971130620521E-5</c:v>
                </c:pt>
                <c:pt idx="16">
                  <c:v>5.0541967672932231E-5</c:v>
                </c:pt>
                <c:pt idx="17">
                  <c:v>4.8740343777393438E-5</c:v>
                </c:pt>
                <c:pt idx="18">
                  <c:v>4.6906374778684528E-5</c:v>
                </c:pt>
                <c:pt idx="19">
                  <c:v>4.5042496410446135E-5</c:v>
                </c:pt>
                <c:pt idx="20">
                  <c:v>4.3151117637868163E-5</c:v>
                </c:pt>
                <c:pt idx="21">
                  <c:v>4.1234311644494565E-5</c:v>
                </c:pt>
                <c:pt idx="22">
                  <c:v>3.9290346000560991E-5</c:v>
                </c:pt>
                <c:pt idx="23">
                  <c:v>3.736320581525207E-5</c:v>
                </c:pt>
                <c:pt idx="24">
                  <c:v>3.5538093921916073E-5</c:v>
                </c:pt>
                <c:pt idx="25">
                  <c:v>3.3814574341339819E-5</c:v>
                </c:pt>
                <c:pt idx="26">
                  <c:v>3.2191845945370893E-5</c:v>
                </c:pt>
                <c:pt idx="27">
                  <c:v>3.0668797096799242E-5</c:v>
                </c:pt>
                <c:pt idx="28">
                  <c:v>2.9244057289830892E-5</c:v>
                </c:pt>
                <c:pt idx="29">
                  <c:v>2.7982698371295737E-5</c:v>
                </c:pt>
                <c:pt idx="30">
                  <c:v>2.6852980496986936E-5</c:v>
                </c:pt>
                <c:pt idx="31">
                  <c:v>2.5851928265296349E-5</c:v>
                </c:pt>
                <c:pt idx="32">
                  <c:v>2.4976537961535944E-5</c:v>
                </c:pt>
                <c:pt idx="33">
                  <c:v>2.4223820002932348E-5</c:v>
                </c:pt>
                <c:pt idx="34">
                  <c:v>2.3590836886203379E-5</c:v>
                </c:pt>
                <c:pt idx="35">
                  <c:v>2.3074736993447166E-5</c:v>
                </c:pt>
                <c:pt idx="36">
                  <c:v>2.2671382906759512E-5</c:v>
                </c:pt>
                <c:pt idx="37">
                  <c:v>2.2462925641781021E-5</c:v>
                </c:pt>
                <c:pt idx="38">
                  <c:v>2.2405749943361642E-5</c:v>
                </c:pt>
                <c:pt idx="39">
                  <c:v>2.2495709649463356E-5</c:v>
                </c:pt>
                <c:pt idx="40">
                  <c:v>2.2728823304980692E-5</c:v>
                </c:pt>
                <c:pt idx="41">
                  <c:v>2.3101259447708063E-5</c:v>
                </c:pt>
                <c:pt idx="42">
                  <c:v>2.36093231302944E-5</c:v>
                </c:pt>
                <c:pt idx="43">
                  <c:v>2.4144885152810601E-5</c:v>
                </c:pt>
                <c:pt idx="44">
                  <c:v>2.4649099219672511E-5</c:v>
                </c:pt>
                <c:pt idx="45">
                  <c:v>2.5122634171782563E-5</c:v>
                </c:pt>
                <c:pt idx="46">
                  <c:v>2.5566131728251939E-5</c:v>
                </c:pt>
                <c:pt idx="47">
                  <c:v>2.5980209809903956E-5</c:v>
                </c:pt>
                <c:pt idx="48">
                  <c:v>2.6365465681096419E-5</c:v>
                </c:pt>
                <c:pt idx="49">
                  <c:v>2.6722478903669758E-5</c:v>
                </c:pt>
                <c:pt idx="50">
                  <c:v>2.7051707101824548E-5</c:v>
                </c:pt>
                <c:pt idx="51">
                  <c:v>2.7189106604274809E-5</c:v>
                </c:pt>
                <c:pt idx="52">
                  <c:v>2.7063179633319739E-5</c:v>
                </c:pt>
                <c:pt idx="53">
                  <c:v>2.668034145255596E-5</c:v>
                </c:pt>
                <c:pt idx="54">
                  <c:v>2.6046962293730554E-5</c:v>
                </c:pt>
                <c:pt idx="55">
                  <c:v>2.5169218491087076E-5</c:v>
                </c:pt>
                <c:pt idx="56">
                  <c:v>2.4053078505162706E-5</c:v>
                </c:pt>
                <c:pt idx="57">
                  <c:v>2.2768161403702116E-5</c:v>
                </c:pt>
                <c:pt idx="58">
                  <c:v>2.1411078493188453E-5</c:v>
                </c:pt>
                <c:pt idx="59">
                  <c:v>1.9983573610740952E-5</c:v>
                </c:pt>
                <c:pt idx="60">
                  <c:v>1.8487278649237213E-5</c:v>
                </c:pt>
                <c:pt idx="61">
                  <c:v>1.6923709727271741E-5</c:v>
                </c:pt>
                <c:pt idx="62">
                  <c:v>1.5294263300067709E-5</c:v>
                </c:pt>
                <c:pt idx="63">
                  <c:v>1.3600212195931384E-5</c:v>
                </c:pt>
                <c:pt idx="64">
                  <c:v>1.1842373288841526E-5</c:v>
                </c:pt>
                <c:pt idx="65">
                  <c:v>1.0111531148933894E-5</c:v>
                </c:pt>
                <c:pt idx="66">
                  <c:v>8.5540848716842009E-6</c:v>
                </c:pt>
                <c:pt idx="67">
                  <c:v>7.1663501361089006E-6</c:v>
                </c:pt>
                <c:pt idx="68">
                  <c:v>5.9447427143377397E-6</c:v>
                </c:pt>
                <c:pt idx="69">
                  <c:v>4.8857866276961287E-6</c:v>
                </c:pt>
                <c:pt idx="70">
                  <c:v>3.9861222600083726E-6</c:v>
                </c:pt>
                <c:pt idx="71">
                  <c:v>3.240626705505348E-6</c:v>
                </c:pt>
                <c:pt idx="72">
                  <c:v>2.5887096387289061E-6</c:v>
                </c:pt>
                <c:pt idx="73">
                  <c:v>2.0284793388535445E-6</c:v>
                </c:pt>
                <c:pt idx="74">
                  <c:v>1.5581244605566065E-6</c:v>
                </c:pt>
                <c:pt idx="75">
                  <c:v>1.1759186972958167E-6</c:v>
                </c:pt>
                <c:pt idx="76">
                  <c:v>8.8022541525519602E-7</c:v>
                </c:pt>
                <c:pt idx="77">
                  <c:v>6.6950225525183712E-7</c:v>
                </c:pt>
                <c:pt idx="78">
                  <c:v>5.4227523434240887E-7</c:v>
                </c:pt>
                <c:pt idx="79">
                  <c:v>4.9931683135243907E-7</c:v>
                </c:pt>
                <c:pt idx="80">
                  <c:v>4.5716196581599875E-7</c:v>
                </c:pt>
                <c:pt idx="81">
                  <c:v>4.1579706923120745E-7</c:v>
                </c:pt>
                <c:pt idx="82">
                  <c:v>3.7520466963668033E-7</c:v>
                </c:pt>
                <c:pt idx="83">
                  <c:v>3.353636792329535E-7</c:v>
                </c:pt>
                <c:pt idx="84">
                  <c:v>2.9624966521754027E-7</c:v>
                </c:pt>
                <c:pt idx="85">
                  <c:v>2.6082082612175363E-7</c:v>
                </c:pt>
                <c:pt idx="86">
                  <c:v>2.3076467627009642E-7</c:v>
                </c:pt>
                <c:pt idx="87">
                  <c:v>2.0600407555288483E-7</c:v>
                </c:pt>
                <c:pt idx="88">
                  <c:v>1.8646936749787597E-7</c:v>
                </c:pt>
                <c:pt idx="89">
                  <c:v>1.7209945655951092E-7</c:v>
                </c:pt>
                <c:pt idx="90">
                  <c:v>1.6284284128150688E-7</c:v>
                </c:pt>
                <c:pt idx="91">
                  <c:v>1.5865861341858022E-7</c:v>
                </c:pt>
                <c:pt idx="92">
                  <c:v>1.5950909401810366E-7</c:v>
                </c:pt>
                <c:pt idx="93">
                  <c:v>1.7103194479057452E-7</c:v>
                </c:pt>
                <c:pt idx="94">
                  <c:v>1.9117538453157565E-7</c:v>
                </c:pt>
                <c:pt idx="95">
                  <c:v>2.1993915445867684E-7</c:v>
                </c:pt>
                <c:pt idx="96">
                  <c:v>2.5734079340317907E-7</c:v>
                </c:pt>
                <c:pt idx="97">
                  <c:v>3.0341601389812326E-7</c:v>
                </c:pt>
                <c:pt idx="98">
                  <c:v>3.5821909643584381E-7</c:v>
                </c:pt>
                <c:pt idx="99">
                  <c:v>4.3970387076912302E-7</c:v>
                </c:pt>
                <c:pt idx="100">
                  <c:v>5.4509733427454968E-7</c:v>
                </c:pt>
                <c:pt idx="101">
                  <c:v>6.7460388697861325E-7</c:v>
                </c:pt>
                <c:pt idx="102">
                  <c:v>8.2848167301959992E-7</c:v>
                </c:pt>
                <c:pt idx="103">
                  <c:v>1.0070438458879459E-6</c:v>
                </c:pt>
                <c:pt idx="104">
                  <c:v>1.2106598837944286E-6</c:v>
                </c:pt>
                <c:pt idx="105">
                  <c:v>1.4397569542450277E-6</c:v>
                </c:pt>
                <c:pt idx="106">
                  <c:v>1.6948335729825155E-6</c:v>
                </c:pt>
                <c:pt idx="107">
                  <c:v>2.0067895320551763E-6</c:v>
                </c:pt>
                <c:pt idx="108">
                  <c:v>2.3708060156519135E-6</c:v>
                </c:pt>
                <c:pt idx="109">
                  <c:v>2.7879187056472954E-6</c:v>
                </c:pt>
                <c:pt idx="110">
                  <c:v>3.2592858316322625E-6</c:v>
                </c:pt>
                <c:pt idx="111">
                  <c:v>3.7861845378267651E-6</c:v>
                </c:pt>
                <c:pt idx="112">
                  <c:v>4.3699994014860533E-6</c:v>
                </c:pt>
                <c:pt idx="113">
                  <c:v>5.060268319449271E-6</c:v>
                </c:pt>
                <c:pt idx="114">
                  <c:v>5.8405877414678535E-6</c:v>
                </c:pt>
                <c:pt idx="115">
                  <c:v>6.7133324976339442E-6</c:v>
                </c:pt>
                <c:pt idx="116">
                  <c:v>7.6810539782731687E-6</c:v>
                </c:pt>
                <c:pt idx="117">
                  <c:v>8.7464779206808429E-6</c:v>
                </c:pt>
                <c:pt idx="118">
                  <c:v>9.912501684584203E-6</c:v>
                </c:pt>
                <c:pt idx="119">
                  <c:v>1.1182190930083539E-5</c:v>
                </c:pt>
                <c:pt idx="120">
                  <c:v>1.2558986489043637E-5</c:v>
                </c:pt>
                <c:pt idx="121">
                  <c:v>1.409356019269486E-5</c:v>
                </c:pt>
                <c:pt idx="122">
                  <c:v>1.5757413823933479E-5</c:v>
                </c:pt>
                <c:pt idx="123">
                  <c:v>1.7554957254693869E-5</c:v>
                </c:pt>
                <c:pt idx="124">
                  <c:v>1.9490824974258558E-5</c:v>
                </c:pt>
                <c:pt idx="125">
                  <c:v>2.1569872851686108E-5</c:v>
                </c:pt>
                <c:pt idx="126">
                  <c:v>2.3797173927252476E-5</c:v>
                </c:pt>
                <c:pt idx="127">
                  <c:v>2.6027454975997239E-5</c:v>
                </c:pt>
                <c:pt idx="128">
                  <c:v>2.820676244387867E-5</c:v>
                </c:pt>
                <c:pt idx="129">
                  <c:v>3.0333871089446823E-5</c:v>
                </c:pt>
                <c:pt idx="130">
                  <c:v>3.2407307921378652E-5</c:v>
                </c:pt>
                <c:pt idx="131">
                  <c:v>3.4425348462664299E-5</c:v>
                </c:pt>
                <c:pt idx="132">
                  <c:v>3.6386013546257988E-5</c:v>
                </c:pt>
                <c:pt idx="133">
                  <c:v>3.8287066719898637E-5</c:v>
                </c:pt>
                <c:pt idx="134">
                  <c:v>4.0126478068677251E-5</c:v>
                </c:pt>
                <c:pt idx="135">
                  <c:v>4.1680704096231189E-5</c:v>
                </c:pt>
                <c:pt idx="136">
                  <c:v>4.2883418951217674E-5</c:v>
                </c:pt>
                <c:pt idx="137">
                  <c:v>4.3720695246235503E-5</c:v>
                </c:pt>
                <c:pt idx="138">
                  <c:v>4.4177829169072081E-5</c:v>
                </c:pt>
                <c:pt idx="139">
                  <c:v>4.423937064184114E-5</c:v>
                </c:pt>
                <c:pt idx="140">
                  <c:v>4.3889158322761266E-5</c:v>
                </c:pt>
                <c:pt idx="141">
                  <c:v>4.3187059406574147E-5</c:v>
                </c:pt>
                <c:pt idx="142">
                  <c:v>4.2298466995944187E-5</c:v>
                </c:pt>
                <c:pt idx="143">
                  <c:v>4.1215349072108273E-5</c:v>
                </c:pt>
                <c:pt idx="144">
                  <c:v>3.9929756342256034E-5</c:v>
                </c:pt>
                <c:pt idx="145">
                  <c:v>3.8433582676664367E-5</c:v>
                </c:pt>
                <c:pt idx="146">
                  <c:v>3.6718591816242391E-5</c:v>
                </c:pt>
                <c:pt idx="147">
                  <c:v>3.4776446005135595E-5</c:v>
                </c:pt>
                <c:pt idx="148">
                  <c:v>3.2598891996584365E-5</c:v>
                </c:pt>
                <c:pt idx="149">
                  <c:v>3.0320783063943699E-5</c:v>
                </c:pt>
                <c:pt idx="150">
                  <c:v>2.8207624966824402E-5</c:v>
                </c:pt>
                <c:pt idx="151">
                  <c:v>2.6267134486208639E-5</c:v>
                </c:pt>
                <c:pt idx="152">
                  <c:v>2.4507276116130395E-5</c:v>
                </c:pt>
                <c:pt idx="153">
                  <c:v>2.2936245024163846E-5</c:v>
                </c:pt>
                <c:pt idx="154">
                  <c:v>2.1562448758154112E-5</c:v>
                </c:pt>
                <c:pt idx="155">
                  <c:v>2.0412011792723672E-5</c:v>
                </c:pt>
                <c:pt idx="156">
                  <c:v>1.9401312129132656E-5</c:v>
                </c:pt>
                <c:pt idx="157">
                  <c:v>1.8536449863683225E-5</c:v>
                </c:pt>
                <c:pt idx="158">
                  <c:v>1.7823631719168253E-5</c:v>
                </c:pt>
                <c:pt idx="159">
                  <c:v>1.7269156169184013E-5</c:v>
                </c:pt>
                <c:pt idx="160">
                  <c:v>1.687939849097469E-5</c:v>
                </c:pt>
                <c:pt idx="161">
                  <c:v>1.6660795933006471E-5</c:v>
                </c:pt>
                <c:pt idx="162">
                  <c:v>1.6620006218214691E-5</c:v>
                </c:pt>
                <c:pt idx="163">
                  <c:v>1.675945605049279E-5</c:v>
                </c:pt>
                <c:pt idx="164">
                  <c:v>1.6913039467314754E-5</c:v>
                </c:pt>
                <c:pt idx="165">
                  <c:v>1.7081038756011629E-5</c:v>
                </c:pt>
                <c:pt idx="166">
                  <c:v>1.7263738019719536E-5</c:v>
                </c:pt>
                <c:pt idx="167">
                  <c:v>1.7461421603725809E-5</c:v>
                </c:pt>
                <c:pt idx="168">
                  <c:v>1.7674372526604451E-5</c:v>
                </c:pt>
                <c:pt idx="169">
                  <c:v>1.7898400869880598E-5</c:v>
                </c:pt>
                <c:pt idx="170">
                  <c:v>1.8112742557031199E-5</c:v>
                </c:pt>
                <c:pt idx="171">
                  <c:v>1.8316865249385926E-5</c:v>
                </c:pt>
                <c:pt idx="172">
                  <c:v>1.8510244579016193E-5</c:v>
                </c:pt>
                <c:pt idx="173">
                  <c:v>1.8692174769068432E-5</c:v>
                </c:pt>
                <c:pt idx="174">
                  <c:v>1.886194429967633E-5</c:v>
                </c:pt>
                <c:pt idx="175">
                  <c:v>1.9019038016624369E-5</c:v>
                </c:pt>
                <c:pt idx="176">
                  <c:v>1.9163284787949339E-5</c:v>
                </c:pt>
                <c:pt idx="177">
                  <c:v>1.9317008270109144E-5</c:v>
                </c:pt>
                <c:pt idx="178">
                  <c:v>1.9485376706188521E-5</c:v>
                </c:pt>
                <c:pt idx="179">
                  <c:v>1.9668804651242984E-5</c:v>
                </c:pt>
                <c:pt idx="180">
                  <c:v>1.9867703821946628E-5</c:v>
                </c:pt>
                <c:pt idx="181">
                  <c:v>2.0082482697669821E-5</c:v>
                </c:pt>
                <c:pt idx="182">
                  <c:v>2.0313546208066536E-5</c:v>
                </c:pt>
                <c:pt idx="183">
                  <c:v>2.0768758691050887E-5</c:v>
                </c:pt>
                <c:pt idx="184">
                  <c:v>2.1458410627070009E-5</c:v>
                </c:pt>
                <c:pt idx="185">
                  <c:v>2.2387602812723062E-5</c:v>
                </c:pt>
                <c:pt idx="186">
                  <c:v>2.3561258034507071E-5</c:v>
                </c:pt>
                <c:pt idx="187">
                  <c:v>2.4984125327721569E-5</c:v>
                </c:pt>
                <c:pt idx="188">
                  <c:v>2.6660785795570118E-5</c:v>
                </c:pt>
                <c:pt idx="189">
                  <c:v>2.8595659863502045E-5</c:v>
                </c:pt>
                <c:pt idx="190">
                  <c:v>3.0793132542821582E-5</c:v>
                </c:pt>
                <c:pt idx="191">
                  <c:v>3.3387817253051952E-5</c:v>
                </c:pt>
                <c:pt idx="192">
                  <c:v>3.6361110085592341E-5</c:v>
                </c:pt>
                <c:pt idx="193">
                  <c:v>3.97187704891264E-5</c:v>
                </c:pt>
                <c:pt idx="194">
                  <c:v>4.3466370006300006E-5</c:v>
                </c:pt>
                <c:pt idx="195">
                  <c:v>4.760930285659491E-5</c:v>
                </c:pt>
                <c:pt idx="196">
                  <c:v>5.2152796876465115E-5</c:v>
                </c:pt>
                <c:pt idx="197">
                  <c:v>5.6681182600882225E-5</c:v>
                </c:pt>
                <c:pt idx="198">
                  <c:v>6.0963948354857838E-5</c:v>
                </c:pt>
                <c:pt idx="199">
                  <c:v>6.4995535873569148E-5</c:v>
                </c:pt>
                <c:pt idx="200">
                  <c:v>6.8770583013389242E-5</c:v>
                </c:pt>
                <c:pt idx="201">
                  <c:v>7.2283913729074905E-5</c:v>
                </c:pt>
                <c:pt idx="202">
                  <c:v>7.5530527536912473E-5</c:v>
                </c:pt>
                <c:pt idx="203">
                  <c:v>7.8505588666705558E-5</c:v>
                </c:pt>
                <c:pt idx="204">
                  <c:v>8.1204649210494517E-5</c:v>
                </c:pt>
                <c:pt idx="205">
                  <c:v>8.3297364256145658E-5</c:v>
                </c:pt>
                <c:pt idx="206">
                  <c:v>8.4633559840683212E-5</c:v>
                </c:pt>
                <c:pt idx="207">
                  <c:v>8.5202646888603111E-5</c:v>
                </c:pt>
                <c:pt idx="208">
                  <c:v>8.4994275550615087E-5</c:v>
                </c:pt>
                <c:pt idx="209">
                  <c:v>8.3998307801972215E-5</c:v>
                </c:pt>
                <c:pt idx="210">
                  <c:v>8.2204791608923175E-5</c:v>
                </c:pt>
                <c:pt idx="211">
                  <c:v>7.9714918486424073E-5</c:v>
                </c:pt>
                <c:pt idx="212">
                  <c:v>7.6972604478589167E-5</c:v>
                </c:pt>
                <c:pt idx="213">
                  <c:v>7.397548995662083E-5</c:v>
                </c:pt>
                <c:pt idx="214">
                  <c:v>7.0721214656386527E-5</c:v>
                </c:pt>
                <c:pt idx="215">
                  <c:v>6.7207414493109617E-5</c:v>
                </c:pt>
                <c:pt idx="216">
                  <c:v>6.3431719051653082E-5</c:v>
                </c:pt>
                <c:pt idx="217">
                  <c:v>5.9391749710658139E-5</c:v>
                </c:pt>
                <c:pt idx="218">
                  <c:v>5.5084896240278061E-5</c:v>
                </c:pt>
                <c:pt idx="219">
                  <c:v>5.0633084903788509E-5</c:v>
                </c:pt>
                <c:pt idx="220">
                  <c:v>4.6383205526891309E-5</c:v>
                </c:pt>
                <c:pt idx="221">
                  <c:v>4.2338531976844486E-5</c:v>
                </c:pt>
                <c:pt idx="222">
                  <c:v>3.8502251289313378E-5</c:v>
                </c:pt>
                <c:pt idx="223">
                  <c:v>3.4877473070327938E-5</c:v>
                </c:pt>
                <c:pt idx="224">
                  <c:v>3.1467238465683034E-5</c:v>
                </c:pt>
                <c:pt idx="225">
                  <c:v>2.8357450030265355E-5</c:v>
                </c:pt>
                <c:pt idx="226">
                  <c:v>2.5434131013346175E-5</c:v>
                </c:pt>
                <c:pt idx="227">
                  <c:v>2.2699774050488871E-5</c:v>
                </c:pt>
                <c:pt idx="228">
                  <c:v>2.0156836320010201E-5</c:v>
                </c:pt>
                <c:pt idx="229">
                  <c:v>1.7807745810192261E-5</c:v>
                </c:pt>
                <c:pt idx="230">
                  <c:v>1.5654907349083529E-5</c:v>
                </c:pt>
                <c:pt idx="231">
                  <c:v>1.3700708428845555E-5</c:v>
                </c:pt>
                <c:pt idx="232">
                  <c:v>1.1947065696998642E-5</c:v>
                </c:pt>
                <c:pt idx="233">
                  <c:v>1.0447526360567212E-5</c:v>
                </c:pt>
                <c:pt idx="234">
                  <c:v>9.0737439193922718E-6</c:v>
                </c:pt>
                <c:pt idx="235">
                  <c:v>7.8274747180709136E-6</c:v>
                </c:pt>
                <c:pt idx="236">
                  <c:v>6.7103735995444649E-6</c:v>
                </c:pt>
                <c:pt idx="237">
                  <c:v>5.7240066908531672E-6</c:v>
                </c:pt>
                <c:pt idx="238">
                  <c:v>4.8698783688153785E-6</c:v>
                </c:pt>
                <c:pt idx="239">
                  <c:v>4.1660624659553468E-6</c:v>
                </c:pt>
                <c:pt idx="240">
                  <c:v>3.5266332050613772E-6</c:v>
                </c:pt>
                <c:pt idx="241">
                  <c:v>2.9522699056254903E-6</c:v>
                </c:pt>
                <c:pt idx="242">
                  <c:v>2.4436405570911274E-6</c:v>
                </c:pt>
                <c:pt idx="243">
                  <c:v>2.0014129089136718E-6</c:v>
                </c:pt>
                <c:pt idx="244">
                  <c:v>1.6262659477834047E-6</c:v>
                </c:pt>
                <c:pt idx="245">
                  <c:v>1.3189018043123199E-6</c:v>
                </c:pt>
                <c:pt idx="246">
                  <c:v>1.0800332027575147E-6</c:v>
                </c:pt>
                <c:pt idx="247">
                  <c:v>9.1928955889131134E-7</c:v>
                </c:pt>
                <c:pt idx="248">
                  <c:v>7.8334059215834662E-7</c:v>
                </c:pt>
                <c:pt idx="249">
                  <c:v>6.7247536081043244E-7</c:v>
                </c:pt>
                <c:pt idx="250">
                  <c:v>5.8700269863121403E-7</c:v>
                </c:pt>
                <c:pt idx="251">
                  <c:v>5.2724976167007315E-7</c:v>
                </c:pt>
                <c:pt idx="252">
                  <c:v>4.9356046806000232E-7</c:v>
                </c:pt>
                <c:pt idx="253">
                  <c:v>4.926142230736226E-7</c:v>
                </c:pt>
                <c:pt idx="254">
                  <c:v>5.0718065447107548E-7</c:v>
                </c:pt>
                <c:pt idx="255">
                  <c:v>5.374801335333259E-7</c:v>
                </c:pt>
                <c:pt idx="256">
                  <c:v>5.8373816615854496E-7</c:v>
                </c:pt>
                <c:pt idx="257">
                  <c:v>6.461840560257979E-7</c:v>
                </c:pt>
                <c:pt idx="258">
                  <c:v>7.2504946158154572E-7</c:v>
                </c:pt>
                <c:pt idx="259">
                  <c:v>8.2056684146602538E-7</c:v>
                </c:pt>
                <c:pt idx="260">
                  <c:v>9.33023893403511E-7</c:v>
                </c:pt>
                <c:pt idx="261">
                  <c:v>1.0571494182976143E-6</c:v>
                </c:pt>
                <c:pt idx="262">
                  <c:v>1.1836015973224709E-6</c:v>
                </c:pt>
                <c:pt idx="263">
                  <c:v>1.3124138629083334E-6</c:v>
                </c:pt>
                <c:pt idx="264">
                  <c:v>1.4436112214830696E-6</c:v>
                </c:pt>
                <c:pt idx="265">
                  <c:v>1.577217937392919E-6</c:v>
                </c:pt>
                <c:pt idx="266">
                  <c:v>1.7132467297604793E-6</c:v>
                </c:pt>
                <c:pt idx="267">
                  <c:v>2.1148825655096428E-6</c:v>
                </c:pt>
                <c:pt idx="268">
                  <c:v>2.779465748378263E-6</c:v>
                </c:pt>
                <c:pt idx="269">
                  <c:v>3.7110061628060504E-6</c:v>
                </c:pt>
                <c:pt idx="270">
                  <c:v>4.9134115605919149E-6</c:v>
                </c:pt>
                <c:pt idx="271">
                  <c:v>6.3904232509887764E-6</c:v>
                </c:pt>
                <c:pt idx="272">
                  <c:v>8.1455480274706962E-6</c:v>
                </c:pt>
                <c:pt idx="273">
                  <c:v>1.0181986445904615E-5</c:v>
                </c:pt>
                <c:pt idx="274">
                  <c:v>1.2503165651229152E-5</c:v>
                </c:pt>
                <c:pt idx="275">
                  <c:v>1.5296246563845686E-5</c:v>
                </c:pt>
                <c:pt idx="276">
                  <c:v>1.8572995205106385E-5</c:v>
                </c:pt>
                <c:pt idx="277">
                  <c:v>2.233903748999234E-5</c:v>
                </c:pt>
                <c:pt idx="278">
                  <c:v>2.6599784753767056E-5</c:v>
                </c:pt>
                <c:pt idx="279">
                  <c:v>3.1360421525086454E-5</c:v>
                </c:pt>
                <c:pt idx="280">
                  <c:v>3.6625895575554596E-5</c:v>
                </c:pt>
                <c:pt idx="281">
                  <c:v>4.193787701661027E-5</c:v>
                </c:pt>
                <c:pt idx="282">
                  <c:v>4.7012964741281121E-5</c:v>
                </c:pt>
                <c:pt idx="283">
                  <c:v>5.1846625891318487E-5</c:v>
                </c:pt>
                <c:pt idx="284">
                  <c:v>5.643443446316062E-5</c:v>
                </c:pt>
                <c:pt idx="285">
                  <c:v>6.0772086884464298E-5</c:v>
                </c:pt>
                <c:pt idx="286">
                  <c:v>6.4855416747472403E-5</c:v>
                </c:pt>
                <c:pt idx="287">
                  <c:v>6.8680408470968109E-5</c:v>
                </c:pt>
                <c:pt idx="288">
                  <c:v>7.2244909771443722E-5</c:v>
                </c:pt>
                <c:pt idx="289">
                  <c:v>7.526345612920514E-5</c:v>
                </c:pt>
                <c:pt idx="290">
                  <c:v>7.7534579992880498E-5</c:v>
                </c:pt>
                <c:pt idx="291">
                  <c:v>7.9049596355682753E-5</c:v>
                </c:pt>
                <c:pt idx="292">
                  <c:v>7.9800020141398669E-5</c:v>
                </c:pt>
                <c:pt idx="293">
                  <c:v>7.977763042795377E-5</c:v>
                </c:pt>
                <c:pt idx="294">
                  <c:v>7.8974533587198345E-5</c:v>
                </c:pt>
                <c:pt idx="295">
                  <c:v>7.7610088461307585E-5</c:v>
                </c:pt>
                <c:pt idx="296">
                  <c:v>7.6167796552514748E-5</c:v>
                </c:pt>
                <c:pt idx="297">
                  <c:v>7.4647583665397608E-5</c:v>
                </c:pt>
                <c:pt idx="298">
                  <c:v>7.3048807336846989E-5</c:v>
                </c:pt>
                <c:pt idx="299">
                  <c:v>7.1370913748893759E-5</c:v>
                </c:pt>
                <c:pt idx="300">
                  <c:v>6.9613440999472941E-5</c:v>
                </c:pt>
                <c:pt idx="301">
                  <c:v>6.7776022310408522E-5</c:v>
                </c:pt>
                <c:pt idx="302">
                  <c:v>6.5862166888889685E-5</c:v>
                </c:pt>
                <c:pt idx="303">
                  <c:v>6.4040246555783294E-5</c:v>
                </c:pt>
                <c:pt idx="304">
                  <c:v>6.2606286387929203E-5</c:v>
                </c:pt>
                <c:pt idx="305">
                  <c:v>6.1562875902870218E-5</c:v>
                </c:pt>
                <c:pt idx="306">
                  <c:v>6.0912593299889695E-5</c:v>
                </c:pt>
                <c:pt idx="307">
                  <c:v>6.0657990098443443E-5</c:v>
                </c:pt>
                <c:pt idx="308">
                  <c:v>6.0801575265444583E-5</c:v>
                </c:pt>
                <c:pt idx="309">
                  <c:v>6.1450586792636037E-5</c:v>
                </c:pt>
                <c:pt idx="310">
                  <c:v>6.23728390706445E-5</c:v>
                </c:pt>
                <c:pt idx="311">
                  <c:v>6.3569765149538442E-5</c:v>
                </c:pt>
                <c:pt idx="312">
                  <c:v>6.5042705052936544E-5</c:v>
                </c:pt>
                <c:pt idx="313">
                  <c:v>6.6792887095871241E-5</c:v>
                </c:pt>
                <c:pt idx="314">
                  <c:v>6.882140693182611E-5</c:v>
                </c:pt>
                <c:pt idx="315">
                  <c:v>7.1129203993492308E-5</c:v>
                </c:pt>
                <c:pt idx="316">
                  <c:v>7.372016556320314E-5</c:v>
                </c:pt>
                <c:pt idx="317">
                  <c:v>7.6671199107980847E-5</c:v>
                </c:pt>
                <c:pt idx="318">
                  <c:v>7.9814593081585679E-5</c:v>
                </c:pt>
                <c:pt idx="319">
                  <c:v>8.3152117307232876E-5</c:v>
                </c:pt>
                <c:pt idx="320">
                  <c:v>8.6685608802325841E-5</c:v>
                </c:pt>
                <c:pt idx="321">
                  <c:v>9.0416967537545982E-5</c:v>
                </c:pt>
                <c:pt idx="322">
                  <c:v>9.4348149718915514E-5</c:v>
                </c:pt>
                <c:pt idx="323">
                  <c:v>9.8277897269090266E-5</c:v>
                </c:pt>
                <c:pt idx="324">
                  <c:v>1.0209883243589582E-4</c:v>
                </c:pt>
                <c:pt idx="325">
                  <c:v>1.058108450029834E-4</c:v>
                </c:pt>
                <c:pt idx="326">
                  <c:v>1.094130363827998E-4</c:v>
                </c:pt>
                <c:pt idx="327">
                  <c:v>1.1290476113556602E-4</c:v>
                </c:pt>
                <c:pt idx="328">
                  <c:v>1.1628579835061701E-4</c:v>
                </c:pt>
                <c:pt idx="329">
                  <c:v>1.1955580649753537E-4</c:v>
                </c:pt>
                <c:pt idx="330">
                  <c:v>1.2273010311076416E-4</c:v>
                </c:pt>
                <c:pt idx="331">
                  <c:v>1.2565491109798468E-4</c:v>
                </c:pt>
                <c:pt idx="332">
                  <c:v>1.2824918755933236E-4</c:v>
                </c:pt>
                <c:pt idx="333">
                  <c:v>1.3050455202923483E-4</c:v>
                </c:pt>
                <c:pt idx="334">
                  <c:v>1.3241139491710184E-4</c:v>
                </c:pt>
                <c:pt idx="335">
                  <c:v>1.3395902747218385E-4</c:v>
                </c:pt>
                <c:pt idx="336">
                  <c:v>1.3513585803188088E-4</c:v>
                </c:pt>
                <c:pt idx="337">
                  <c:v>1.3598871238409009E-4</c:v>
                </c:pt>
                <c:pt idx="338">
                  <c:v>1.3671761718095918E-4</c:v>
                </c:pt>
                <c:pt idx="339">
                  <c:v>1.3731212696513421E-4</c:v>
                </c:pt>
                <c:pt idx="340">
                  <c:v>1.377614805677084E-4</c:v>
                </c:pt>
                <c:pt idx="341">
                  <c:v>1.3805473395472488E-4</c:v>
                </c:pt>
                <c:pt idx="342">
                  <c:v>1.3818091381617001E-4</c:v>
                </c:pt>
                <c:pt idx="343">
                  <c:v>1.3812919101397562E-4</c:v>
                </c:pt>
                <c:pt idx="344">
                  <c:v>1.3791296248260774E-4</c:v>
                </c:pt>
                <c:pt idx="345">
                  <c:v>1.3755077433617351E-4</c:v>
                </c:pt>
                <c:pt idx="346">
                  <c:v>1.3722288164538874E-4</c:v>
                </c:pt>
                <c:pt idx="347">
                  <c:v>1.3692707303422262E-4</c:v>
                </c:pt>
                <c:pt idx="348">
                  <c:v>1.3666110033957248E-4</c:v>
                </c:pt>
                <c:pt idx="349">
                  <c:v>1.3642268860051637E-4</c:v>
                </c:pt>
                <c:pt idx="350">
                  <c:v>1.3620954658527306E-4</c:v>
                </c:pt>
                <c:pt idx="351">
                  <c:v>1.3602905237925005E-4</c:v>
                </c:pt>
                <c:pt idx="352">
                  <c:v>1.3581875361615506E-4</c:v>
                </c:pt>
                <c:pt idx="353">
                  <c:v>1.3557659197364853E-4</c:v>
                </c:pt>
                <c:pt idx="354">
                  <c:v>1.3530065529665183E-4</c:v>
                </c:pt>
                <c:pt idx="355">
                  <c:v>1.3498919528341308E-4</c:v>
                </c:pt>
                <c:pt idx="356">
                  <c:v>1.3463983829458933E-4</c:v>
                </c:pt>
                <c:pt idx="357">
                  <c:v>1.3425185070761037E-4</c:v>
                </c:pt>
                <c:pt idx="358">
                  <c:v>1.3381154159611855E-4</c:v>
                </c:pt>
                <c:pt idx="359">
                  <c:v>1.3331109790323576E-4</c:v>
                </c:pt>
                <c:pt idx="360">
                  <c:v>1.328162496909361E-4</c:v>
                </c:pt>
                <c:pt idx="361">
                  <c:v>1.3232377756946682E-4</c:v>
                </c:pt>
                <c:pt idx="362">
                  <c:v>1.3183983471788349E-4</c:v>
                </c:pt>
                <c:pt idx="363">
                  <c:v>1.3137039703750353E-4</c:v>
                </c:pt>
                <c:pt idx="364">
                  <c:v>1.3092123884753874E-4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921096"/>
        <c:axId val="545921488"/>
      </c:lineChart>
      <c:dateAx>
        <c:axId val="5459210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1488"/>
        <c:crosses val="autoZero"/>
        <c:auto val="1"/>
        <c:lblOffset val="100"/>
        <c:baseTimeUnit val="days"/>
        <c:majorUnit val="1"/>
        <c:majorTimeUnit val="months"/>
      </c:dateAx>
      <c:valAx>
        <c:axId val="5459214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10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25.362499743374524</c:v>
                </c:pt>
                <c:pt idx="1">
                  <c:v>25.541701574761106</c:v>
                </c:pt>
                <c:pt idx="2">
                  <c:v>25.72858419117777</c:v>
                </c:pt>
                <c:pt idx="3">
                  <c:v>25.921941001024233</c:v>
                </c:pt>
                <c:pt idx="4">
                  <c:v>26.120565761483373</c:v>
                </c:pt>
                <c:pt idx="5">
                  <c:v>26.323252588359615</c:v>
                </c:pt>
                <c:pt idx="6">
                  <c:v>26.528795948360894</c:v>
                </c:pt>
                <c:pt idx="7">
                  <c:v>26.735990666948972</c:v>
                </c:pt>
                <c:pt idx="8">
                  <c:v>26.947345866669966</c:v>
                </c:pt>
                <c:pt idx="9">
                  <c:v>27.166020998475794</c:v>
                </c:pt>
                <c:pt idx="10">
                  <c:v>27.391783547463934</c:v>
                </c:pt>
                <c:pt idx="11">
                  <c:v>27.624400344656593</c:v>
                </c:pt>
                <c:pt idx="12">
                  <c:v>27.863638280246722</c:v>
                </c:pt>
                <c:pt idx="13">
                  <c:v>28.109264313937345</c:v>
                </c:pt>
                <c:pt idx="14">
                  <c:v>28.361045467299107</c:v>
                </c:pt>
                <c:pt idx="15">
                  <c:v>28.618747901274258</c:v>
                </c:pt>
                <c:pt idx="16">
                  <c:v>28.882136694100119</c:v>
                </c:pt>
                <c:pt idx="17">
                  <c:v>29.150979063578092</c:v>
                </c:pt>
                <c:pt idx="18">
                  <c:v>29.425042298866465</c:v>
                </c:pt>
                <c:pt idx="19">
                  <c:v>29.704093745325476</c:v>
                </c:pt>
                <c:pt idx="20">
                  <c:v>29.987900813841453</c:v>
                </c:pt>
                <c:pt idx="21">
                  <c:v>30.276230995016824</c:v>
                </c:pt>
                <c:pt idx="22">
                  <c:v>30.571714359271315</c:v>
                </c:pt>
                <c:pt idx="23">
                  <c:v>30.876430399739725</c:v>
                </c:pt>
                <c:pt idx="24">
                  <c:v>31.189320497743363</c:v>
                </c:pt>
                <c:pt idx="25">
                  <c:v>31.509328929833085</c:v>
                </c:pt>
                <c:pt idx="26">
                  <c:v>31.83540029605345</c:v>
                </c:pt>
                <c:pt idx="27">
                  <c:v>32.166479506755657</c:v>
                </c:pt>
                <c:pt idx="28">
                  <c:v>32.501511796397438</c:v>
                </c:pt>
                <c:pt idx="29">
                  <c:v>32.839440524905299</c:v>
                </c:pt>
                <c:pt idx="30">
                  <c:v>33.179212486201109</c:v>
                </c:pt>
                <c:pt idx="31">
                  <c:v>33.519773867412759</c:v>
                </c:pt>
                <c:pt idx="32">
                  <c:v>33.860071171495989</c:v>
                </c:pt>
                <c:pt idx="33">
                  <c:v>34.199051220026355</c:v>
                </c:pt>
                <c:pt idx="34">
                  <c:v>34.535661151731695</c:v>
                </c:pt>
                <c:pt idx="35">
                  <c:v>34.86884842333474</c:v>
                </c:pt>
                <c:pt idx="36">
                  <c:v>35.199737086846234</c:v>
                </c:pt>
                <c:pt idx="37">
                  <c:v>35.530290159463753</c:v>
                </c:pt>
                <c:pt idx="38">
                  <c:v>35.860719722018167</c:v>
                </c:pt>
                <c:pt idx="39">
                  <c:v>36.191236427696708</c:v>
                </c:pt>
                <c:pt idx="40">
                  <c:v>36.522050871328986</c:v>
                </c:pt>
                <c:pt idx="41">
                  <c:v>36.853373589498787</c:v>
                </c:pt>
                <c:pt idx="42">
                  <c:v>37.185415059263597</c:v>
                </c:pt>
                <c:pt idx="43">
                  <c:v>37.518389621067286</c:v>
                </c:pt>
                <c:pt idx="44">
                  <c:v>37.852509833085861</c:v>
                </c:pt>
                <c:pt idx="45">
                  <c:v>38.187985998383624</c:v>
                </c:pt>
                <c:pt idx="46">
                  <c:v>38.525028358077485</c:v>
                </c:pt>
                <c:pt idx="47">
                  <c:v>38.863847091820524</c:v>
                </c:pt>
                <c:pt idx="48">
                  <c:v>39.20465231526822</c:v>
                </c:pt>
                <c:pt idx="49">
                  <c:v>39.547654079328275</c:v>
                </c:pt>
                <c:pt idx="50">
                  <c:v>39.893220162685552</c:v>
                </c:pt>
                <c:pt idx="51">
                  <c:v>40.241374235673128</c:v>
                </c:pt>
                <c:pt idx="52">
                  <c:v>40.591803370499647</c:v>
                </c:pt>
                <c:pt idx="53">
                  <c:v>40.944191638868489</c:v>
                </c:pt>
                <c:pt idx="54">
                  <c:v>41.298223192217357</c:v>
                </c:pt>
                <c:pt idx="55">
                  <c:v>41.653582266416571</c:v>
                </c:pt>
                <c:pt idx="56">
                  <c:v>42.009953179076682</c:v>
                </c:pt>
                <c:pt idx="57">
                  <c:v>42.367017623227134</c:v>
                </c:pt>
                <c:pt idx="58">
                  <c:v>42.724456118417315</c:v>
                </c:pt>
                <c:pt idx="59">
                  <c:v>43.081953208838073</c:v>
                </c:pt>
                <c:pt idx="60">
                  <c:v>43.439193516267416</c:v>
                </c:pt>
                <c:pt idx="61">
                  <c:v>43.795861738951089</c:v>
                </c:pt>
                <c:pt idx="62">
                  <c:v>44.151642650957115</c:v>
                </c:pt>
                <c:pt idx="63">
                  <c:v>44.506221101031819</c:v>
                </c:pt>
                <c:pt idx="64">
                  <c:v>44.860525548048173</c:v>
                </c:pt>
                <c:pt idx="65">
                  <c:v>45.215550150730415</c:v>
                </c:pt>
                <c:pt idx="66">
                  <c:v>45.571077780551299</c:v>
                </c:pt>
                <c:pt idx="67">
                  <c:v>45.926898033414666</c:v>
                </c:pt>
                <c:pt idx="68">
                  <c:v>46.282800544954284</c:v>
                </c:pt>
                <c:pt idx="69">
                  <c:v>46.638574990307255</c:v>
                </c:pt>
                <c:pt idx="70">
                  <c:v>46.99401108376631</c:v>
                </c:pt>
                <c:pt idx="71">
                  <c:v>47.348898667622834</c:v>
                </c:pt>
                <c:pt idx="72">
                  <c:v>47.703030277644899</c:v>
                </c:pt>
                <c:pt idx="73">
                  <c:v>48.056195755481802</c:v>
                </c:pt>
                <c:pt idx="74">
                  <c:v>48.408184982514051</c:v>
                </c:pt>
                <c:pt idx="75">
                  <c:v>48.758787879525315</c:v>
                </c:pt>
                <c:pt idx="76">
                  <c:v>49.10779440826574</c:v>
                </c:pt>
                <c:pt idx="77">
                  <c:v>49.454994570158334</c:v>
                </c:pt>
                <c:pt idx="78">
                  <c:v>49.802977890385662</c:v>
                </c:pt>
                <c:pt idx="79">
                  <c:v>50.153773155521613</c:v>
                </c:pt>
                <c:pt idx="80">
                  <c:v>50.506333818681249</c:v>
                </c:pt>
                <c:pt idx="81">
                  <c:v>50.859609494232025</c:v>
                </c:pt>
                <c:pt idx="82">
                  <c:v>51.212550088470181</c:v>
                </c:pt>
                <c:pt idx="83">
                  <c:v>51.564105798103654</c:v>
                </c:pt>
                <c:pt idx="84">
                  <c:v>51.913227114133186</c:v>
                </c:pt>
                <c:pt idx="85">
                  <c:v>52.258864667203724</c:v>
                </c:pt>
                <c:pt idx="86">
                  <c:v>52.599969446534054</c:v>
                </c:pt>
                <c:pt idx="87">
                  <c:v>52.93549283197698</c:v>
                </c:pt>
                <c:pt idx="88">
                  <c:v>53.264386506183939</c:v>
                </c:pt>
                <c:pt idx="89">
                  <c:v>53.58560245222489</c:v>
                </c:pt>
                <c:pt idx="90">
                  <c:v>53.898092959470915</c:v>
                </c:pt>
                <c:pt idx="91">
                  <c:v>54.200810629816075</c:v>
                </c:pt>
                <c:pt idx="92">
                  <c:v>54.495557413721151</c:v>
                </c:pt>
                <c:pt idx="93">
                  <c:v>54.78476361080498</c:v>
                </c:pt>
                <c:pt idx="94">
                  <c:v>55.068325172858486</c:v>
                </c:pt>
                <c:pt idx="95">
                  <c:v>55.346137974076342</c:v>
                </c:pt>
                <c:pt idx="96">
                  <c:v>55.618097921150671</c:v>
                </c:pt>
                <c:pt idx="97">
                  <c:v>55.884100961138301</c:v>
                </c:pt>
                <c:pt idx="98">
                  <c:v>56.144043074069884</c:v>
                </c:pt>
                <c:pt idx="99">
                  <c:v>56.397819275554689</c:v>
                </c:pt>
                <c:pt idx="100">
                  <c:v>56.645325776070578</c:v>
                </c:pt>
                <c:pt idx="101">
                  <c:v>56.886458665309817</c:v>
                </c:pt>
                <c:pt idx="102">
                  <c:v>57.121114074739985</c:v>
                </c:pt>
                <c:pt idx="103">
                  <c:v>57.349188179553721</c:v>
                </c:pt>
                <c:pt idx="104">
                  <c:v>57.570577201488575</c:v>
                </c:pt>
                <c:pt idx="105">
                  <c:v>57.785177410338072</c:v>
                </c:pt>
                <c:pt idx="106">
                  <c:v>57.992466077019728</c:v>
                </c:pt>
                <c:pt idx="107">
                  <c:v>58.192198229115739</c:v>
                </c:pt>
                <c:pt idx="108">
                  <c:v>58.384689700442856</c:v>
                </c:pt>
                <c:pt idx="109">
                  <c:v>58.570255915078612</c:v>
                </c:pt>
                <c:pt idx="110">
                  <c:v>58.749212220809966</c:v>
                </c:pt>
                <c:pt idx="111">
                  <c:v>58.921873891167451</c:v>
                </c:pt>
                <c:pt idx="112">
                  <c:v>59.088556121343302</c:v>
                </c:pt>
                <c:pt idx="113">
                  <c:v>59.24957119106184</c:v>
                </c:pt>
                <c:pt idx="114">
                  <c:v>59.405235195885517</c:v>
                </c:pt>
                <c:pt idx="115">
                  <c:v>59.555863063224812</c:v>
                </c:pt>
                <c:pt idx="116">
                  <c:v>59.701769644208127</c:v>
                </c:pt>
                <c:pt idx="117">
                  <c:v>59.84326971646589</c:v>
                </c:pt>
                <c:pt idx="118">
                  <c:v>59.980677984852541</c:v>
                </c:pt>
                <c:pt idx="119">
                  <c:v>60.1143090808308</c:v>
                </c:pt>
                <c:pt idx="120">
                  <c:v>60.243465977777397</c:v>
                </c:pt>
                <c:pt idx="121">
                  <c:v>60.367309556962461</c:v>
                </c:pt>
                <c:pt idx="122">
                  <c:v>60.485947438292804</c:v>
                </c:pt>
                <c:pt idx="123">
                  <c:v>60.599485277532544</c:v>
                </c:pt>
                <c:pt idx="124">
                  <c:v>60.708028731710172</c:v>
                </c:pt>
                <c:pt idx="125">
                  <c:v>60.811683462133828</c:v>
                </c:pt>
                <c:pt idx="126">
                  <c:v>60.910555131279615</c:v>
                </c:pt>
                <c:pt idx="127">
                  <c:v>61.004758592183727</c:v>
                </c:pt>
                <c:pt idx="128">
                  <c:v>61.094403192911841</c:v>
                </c:pt>
                <c:pt idx="129">
                  <c:v>61.179595091444867</c:v>
                </c:pt>
                <c:pt idx="130">
                  <c:v>61.260440471762237</c:v>
                </c:pt>
                <c:pt idx="131">
                  <c:v>61.337045555720358</c:v>
                </c:pt>
                <c:pt idx="132">
                  <c:v>61.409516592331052</c:v>
                </c:pt>
                <c:pt idx="133">
                  <c:v>61.477959865423166</c:v>
                </c:pt>
                <c:pt idx="134">
                  <c:v>61.54176742121706</c:v>
                </c:pt>
                <c:pt idx="135">
                  <c:v>61.600414892416381</c:v>
                </c:pt>
                <c:pt idx="136">
                  <c:v>61.654117442828031</c:v>
                </c:pt>
                <c:pt idx="137">
                  <c:v>61.703086984939759</c:v>
                </c:pt>
                <c:pt idx="138">
                  <c:v>61.747535451900454</c:v>
                </c:pt>
                <c:pt idx="139">
                  <c:v>61.787674786166967</c:v>
                </c:pt>
                <c:pt idx="140">
                  <c:v>61.823716941156476</c:v>
                </c:pt>
                <c:pt idx="141">
                  <c:v>61.855869128863908</c:v>
                </c:pt>
                <c:pt idx="142">
                  <c:v>61.884331981328678</c:v>
                </c:pt>
                <c:pt idx="143">
                  <c:v>61.909316808758348</c:v>
                </c:pt>
                <c:pt idx="144">
                  <c:v>61.931034872871493</c:v>
                </c:pt>
                <c:pt idx="145">
                  <c:v>61.949697401227105</c:v>
                </c:pt>
                <c:pt idx="146">
                  <c:v>61.965515580150665</c:v>
                </c:pt>
                <c:pt idx="147">
                  <c:v>61.978700548964554</c:v>
                </c:pt>
                <c:pt idx="148">
                  <c:v>61.989167587910977</c:v>
                </c:pt>
                <c:pt idx="149">
                  <c:v>61.996614358453776</c:v>
                </c:pt>
                <c:pt idx="150">
                  <c:v>62.000921887575551</c:v>
                </c:pt>
                <c:pt idx="151">
                  <c:v>62.001987220111758</c:v>
                </c:pt>
                <c:pt idx="152">
                  <c:v>61.999707421524704</c:v>
                </c:pt>
                <c:pt idx="153">
                  <c:v>61.993979573114238</c:v>
                </c:pt>
                <c:pt idx="154">
                  <c:v>61.984700771357574</c:v>
                </c:pt>
                <c:pt idx="155">
                  <c:v>61.971767034602394</c:v>
                </c:pt>
                <c:pt idx="156">
                  <c:v>61.955081199768934</c:v>
                </c:pt>
                <c:pt idx="157">
                  <c:v>61.93454055357715</c:v>
                </c:pt>
                <c:pt idx="158">
                  <c:v>61.91004238212453</c:v>
                </c:pt>
                <c:pt idx="159">
                  <c:v>61.881483966669485</c:v>
                </c:pt>
                <c:pt idx="160">
                  <c:v>61.848762580379876</c:v>
                </c:pt>
                <c:pt idx="161">
                  <c:v>61.811775490412089</c:v>
                </c:pt>
                <c:pt idx="162">
                  <c:v>61.769776879208614</c:v>
                </c:pt>
                <c:pt idx="163">
                  <c:v>61.722368957099725</c:v>
                </c:pt>
                <c:pt idx="164">
                  <c:v>61.669981127412569</c:v>
                </c:pt>
                <c:pt idx="165">
                  <c:v>61.61303230631281</c:v>
                </c:pt>
                <c:pt idx="166">
                  <c:v>61.551941209517743</c:v>
                </c:pt>
                <c:pt idx="167">
                  <c:v>61.48712635015</c:v>
                </c:pt>
                <c:pt idx="168">
                  <c:v>61.419006039146872</c:v>
                </c:pt>
                <c:pt idx="169">
                  <c:v>61.347998656235752</c:v>
                </c:pt>
                <c:pt idx="170">
                  <c:v>61.274523390635586</c:v>
                </c:pt>
                <c:pt idx="171">
                  <c:v>61.198997985441821</c:v>
                </c:pt>
                <c:pt idx="172">
                  <c:v>61.121839979506973</c:v>
                </c:pt>
                <c:pt idx="173">
                  <c:v>61.043466718895523</c:v>
                </c:pt>
                <c:pt idx="174">
                  <c:v>60.964295352369057</c:v>
                </c:pt>
                <c:pt idx="175">
                  <c:v>60.884742818324376</c:v>
                </c:pt>
                <c:pt idx="176">
                  <c:v>60.804184215749011</c:v>
                </c:pt>
                <c:pt idx="177">
                  <c:v>60.721715660779971</c:v>
                </c:pt>
                <c:pt idx="178">
                  <c:v>60.637337137445797</c:v>
                </c:pt>
                <c:pt idx="179">
                  <c:v>60.551048853864209</c:v>
                </c:pt>
                <c:pt idx="180">
                  <c:v>60.462850959901111</c:v>
                </c:pt>
                <c:pt idx="181">
                  <c:v>60.372743550194315</c:v>
                </c:pt>
                <c:pt idx="182">
                  <c:v>60.280726663593249</c:v>
                </c:pt>
                <c:pt idx="183">
                  <c:v>60.186787802974351</c:v>
                </c:pt>
                <c:pt idx="184">
                  <c:v>60.090926376543955</c:v>
                </c:pt>
                <c:pt idx="185">
                  <c:v>59.993142067014588</c:v>
                </c:pt>
                <c:pt idx="186">
                  <c:v>59.893434533455647</c:v>
                </c:pt>
                <c:pt idx="187">
                  <c:v>59.791803413078163</c:v>
                </c:pt>
                <c:pt idx="188">
                  <c:v>59.688248329642285</c:v>
                </c:pt>
                <c:pt idx="189">
                  <c:v>59.58276889148889</c:v>
                </c:pt>
                <c:pt idx="190">
                  <c:v>59.475139247996637</c:v>
                </c:pt>
                <c:pt idx="191">
                  <c:v>59.36519523227166</c:v>
                </c:pt>
                <c:pt idx="192">
                  <c:v>59.253041946045819</c:v>
                </c:pt>
                <c:pt idx="193">
                  <c:v>59.138783004545161</c:v>
                </c:pt>
                <c:pt idx="194">
                  <c:v>59.022522004433689</c:v>
                </c:pt>
                <c:pt idx="195">
                  <c:v>58.904362529316558</c:v>
                </c:pt>
                <c:pt idx="196">
                  <c:v>58.784408149851906</c:v>
                </c:pt>
                <c:pt idx="197">
                  <c:v>58.662787112106976</c:v>
                </c:pt>
                <c:pt idx="198">
                  <c:v>58.539616600768994</c:v>
                </c:pt>
                <c:pt idx="199">
                  <c:v>58.415000527377458</c:v>
                </c:pt>
                <c:pt idx="200">
                  <c:v>58.289042773468417</c:v>
                </c:pt>
                <c:pt idx="201">
                  <c:v>58.161847194046501</c:v>
                </c:pt>
                <c:pt idx="202">
                  <c:v>58.033517621655804</c:v>
                </c:pt>
                <c:pt idx="203">
                  <c:v>57.904157870484767</c:v>
                </c:pt>
                <c:pt idx="204">
                  <c:v>57.773611865522888</c:v>
                </c:pt>
                <c:pt idx="205">
                  <c:v>57.641673097592182</c:v>
                </c:pt>
                <c:pt idx="206">
                  <c:v>57.508349791219544</c:v>
                </c:pt>
                <c:pt idx="207">
                  <c:v>57.373642107204581</c:v>
                </c:pt>
                <c:pt idx="208">
                  <c:v>57.237550211815275</c:v>
                </c:pt>
                <c:pt idx="209">
                  <c:v>57.100074280233066</c:v>
                </c:pt>
                <c:pt idx="210">
                  <c:v>56.961214497578823</c:v>
                </c:pt>
                <c:pt idx="211">
                  <c:v>56.820964753639522</c:v>
                </c:pt>
                <c:pt idx="212">
                  <c:v>56.679299593955847</c:v>
                </c:pt>
                <c:pt idx="213">
                  <c:v>56.536219078013758</c:v>
                </c:pt>
                <c:pt idx="214">
                  <c:v>56.391723292646098</c:v>
                </c:pt>
                <c:pt idx="215">
                  <c:v>56.245812352210912</c:v>
                </c:pt>
                <c:pt idx="216">
                  <c:v>56.098486396813954</c:v>
                </c:pt>
                <c:pt idx="217">
                  <c:v>55.949745591754898</c:v>
                </c:pt>
                <c:pt idx="218">
                  <c:v>55.79981513888292</c:v>
                </c:pt>
                <c:pt idx="219">
                  <c:v>55.64884404767443</c:v>
                </c:pt>
                <c:pt idx="220">
                  <c:v>55.49670931558159</c:v>
                </c:pt>
                <c:pt idx="221">
                  <c:v>55.343307217478952</c:v>
                </c:pt>
                <c:pt idx="222">
                  <c:v>55.188534084652417</c:v>
                </c:pt>
                <c:pt idx="223">
                  <c:v>55.032286300655855</c:v>
                </c:pt>
                <c:pt idx="224">
                  <c:v>54.874460299852657</c:v>
                </c:pt>
                <c:pt idx="225">
                  <c:v>54.714948029862882</c:v>
                </c:pt>
                <c:pt idx="226">
                  <c:v>54.553652438893742</c:v>
                </c:pt>
                <c:pt idx="227">
                  <c:v>54.390470108731932</c:v>
                </c:pt>
                <c:pt idx="228">
                  <c:v>54.225297663285531</c:v>
                </c:pt>
                <c:pt idx="229">
                  <c:v>54.058031768429821</c:v>
                </c:pt>
                <c:pt idx="230">
                  <c:v>53.888569130762811</c:v>
                </c:pt>
                <c:pt idx="231">
                  <c:v>53.716806493029196</c:v>
                </c:pt>
                <c:pt idx="232">
                  <c:v>53.544698440817676</c:v>
                </c:pt>
                <c:pt idx="233">
                  <c:v>53.373712152806831</c:v>
                </c:pt>
                <c:pt idx="234">
                  <c:v>53.20302457686681</c:v>
                </c:pt>
                <c:pt idx="235">
                  <c:v>53.031805892557067</c:v>
                </c:pt>
                <c:pt idx="236">
                  <c:v>52.85922650750733</c:v>
                </c:pt>
                <c:pt idx="237">
                  <c:v>52.68445705434133</c:v>
                </c:pt>
                <c:pt idx="238">
                  <c:v>52.506668390068633</c:v>
                </c:pt>
                <c:pt idx="239">
                  <c:v>52.32503072536845</c:v>
                </c:pt>
                <c:pt idx="240">
                  <c:v>52.138719926586411</c:v>
                </c:pt>
                <c:pt idx="241">
                  <c:v>51.946907514662243</c:v>
                </c:pt>
                <c:pt idx="242">
                  <c:v>51.748765229853696</c:v>
                </c:pt>
                <c:pt idx="243">
                  <c:v>51.543465027313871</c:v>
                </c:pt>
                <c:pt idx="244">
                  <c:v>51.330179079816048</c:v>
                </c:pt>
                <c:pt idx="245">
                  <c:v>51.108079769251191</c:v>
                </c:pt>
                <c:pt idx="246">
                  <c:v>50.877514510100774</c:v>
                </c:pt>
                <c:pt idx="247">
                  <c:v>50.639659393774018</c:v>
                </c:pt>
                <c:pt idx="248">
                  <c:v>50.394933329298638</c:v>
                </c:pt>
                <c:pt idx="249">
                  <c:v>50.143752373044002</c:v>
                </c:pt>
                <c:pt idx="250">
                  <c:v>49.886532480407837</c:v>
                </c:pt>
                <c:pt idx="251">
                  <c:v>49.623689497167319</c:v>
                </c:pt>
                <c:pt idx="252">
                  <c:v>49.355639168984638</c:v>
                </c:pt>
                <c:pt idx="253">
                  <c:v>49.082796821482958</c:v>
                </c:pt>
                <c:pt idx="254">
                  <c:v>48.805578855384546</c:v>
                </c:pt>
                <c:pt idx="255">
                  <c:v>48.52440069960597</c:v>
                </c:pt>
                <c:pt idx="256">
                  <c:v>48.239677679646718</c:v>
                </c:pt>
                <c:pt idx="257">
                  <c:v>47.951825016703452</c:v>
                </c:pt>
                <c:pt idx="258">
                  <c:v>47.661257827477897</c:v>
                </c:pt>
                <c:pt idx="259">
                  <c:v>47.368391123961025</c:v>
                </c:pt>
                <c:pt idx="260">
                  <c:v>47.070808929106441</c:v>
                </c:pt>
                <c:pt idx="261">
                  <c:v>46.766372273454898</c:v>
                </c:pt>
                <c:pt idx="262">
                  <c:v>46.455911494092355</c:v>
                </c:pt>
                <c:pt idx="263">
                  <c:v>46.140256262454258</c:v>
                </c:pt>
                <c:pt idx="264">
                  <c:v>45.820236035393499</c:v>
                </c:pt>
                <c:pt idx="265">
                  <c:v>45.496680050641281</c:v>
                </c:pt>
                <c:pt idx="266">
                  <c:v>45.170417327832752</c:v>
                </c:pt>
                <c:pt idx="267">
                  <c:v>44.842264869141843</c:v>
                </c:pt>
                <c:pt idx="268">
                  <c:v>44.513051638013337</c:v>
                </c:pt>
                <c:pt idx="269">
                  <c:v>44.183606083255526</c:v>
                </c:pt>
                <c:pt idx="270">
                  <c:v>43.85475644409297</c:v>
                </c:pt>
                <c:pt idx="271">
                  <c:v>43.527330751962502</c:v>
                </c:pt>
                <c:pt idx="272">
                  <c:v>43.202156831338073</c:v>
                </c:pt>
                <c:pt idx="273">
                  <c:v>42.880062300996542</c:v>
                </c:pt>
                <c:pt idx="274">
                  <c:v>42.55980488916763</c:v>
                </c:pt>
                <c:pt idx="275">
                  <c:v>42.239582945116638</c:v>
                </c:pt>
                <c:pt idx="276">
                  <c:v>41.919396286595692</c:v>
                </c:pt>
                <c:pt idx="277">
                  <c:v>41.599244961277861</c:v>
                </c:pt>
                <c:pt idx="278">
                  <c:v>41.279128990341206</c:v>
                </c:pt>
                <c:pt idx="279">
                  <c:v>40.959048366876004</c:v>
                </c:pt>
                <c:pt idx="280">
                  <c:v>40.63900305439995</c:v>
                </c:pt>
                <c:pt idx="281">
                  <c:v>40.319011655347218</c:v>
                </c:pt>
                <c:pt idx="282">
                  <c:v>39.999085140579993</c:v>
                </c:pt>
                <c:pt idx="283">
                  <c:v>39.679223004096627</c:v>
                </c:pt>
                <c:pt idx="284">
                  <c:v>39.359424680992994</c:v>
                </c:pt>
                <c:pt idx="285">
                  <c:v>39.039689546989734</c:v>
                </c:pt>
                <c:pt idx="286">
                  <c:v>38.720016918356166</c:v>
                </c:pt>
                <c:pt idx="287">
                  <c:v>38.400406052266661</c:v>
                </c:pt>
                <c:pt idx="288">
                  <c:v>38.07995994261843</c:v>
                </c:pt>
                <c:pt idx="289">
                  <c:v>37.758068142146605</c:v>
                </c:pt>
                <c:pt idx="290">
                  <c:v>37.43515067122722</c:v>
                </c:pt>
                <c:pt idx="291">
                  <c:v>37.111620000861436</c:v>
                </c:pt>
                <c:pt idx="292">
                  <c:v>36.787888455926186</c:v>
                </c:pt>
                <c:pt idx="293">
                  <c:v>36.46436822200377</c:v>
                </c:pt>
                <c:pt idx="294">
                  <c:v>36.141471349214832</c:v>
                </c:pt>
                <c:pt idx="295">
                  <c:v>35.819601633656426</c:v>
                </c:pt>
                <c:pt idx="296">
                  <c:v>35.499153679037377</c:v>
                </c:pt>
                <c:pt idx="297">
                  <c:v>35.180539630645356</c:v>
                </c:pt>
                <c:pt idx="298">
                  <c:v>34.864171563749757</c:v>
                </c:pt>
                <c:pt idx="299">
                  <c:v>34.550461466988381</c:v>
                </c:pt>
                <c:pt idx="300">
                  <c:v>34.239821248078428</c:v>
                </c:pt>
                <c:pt idx="301">
                  <c:v>33.932662737292894</c:v>
                </c:pt>
                <c:pt idx="302">
                  <c:v>33.627468672609304</c:v>
                </c:pt>
                <c:pt idx="303">
                  <c:v>33.322716569154665</c:v>
                </c:pt>
                <c:pt idx="304">
                  <c:v>33.018808932148843</c:v>
                </c:pt>
                <c:pt idx="305">
                  <c:v>32.716158167872365</c:v>
                </c:pt>
                <c:pt idx="306">
                  <c:v>32.415176627099051</c:v>
                </c:pt>
                <c:pt idx="307">
                  <c:v>32.116276614641926</c:v>
                </c:pt>
                <c:pt idx="308">
                  <c:v>31.819870384364489</c:v>
                </c:pt>
                <c:pt idx="309">
                  <c:v>31.526366846896742</c:v>
                </c:pt>
                <c:pt idx="310">
                  <c:v>31.23618558875317</c:v>
                </c:pt>
                <c:pt idx="311">
                  <c:v>30.949738656585264</c:v>
                </c:pt>
                <c:pt idx="312">
                  <c:v>30.667438056743414</c:v>
                </c:pt>
                <c:pt idx="313">
                  <c:v>30.389695762196396</c:v>
                </c:pt>
                <c:pt idx="314">
                  <c:v>30.116923710271298</c:v>
                </c:pt>
                <c:pt idx="315">
                  <c:v>29.849533807524285</c:v>
                </c:pt>
                <c:pt idx="316">
                  <c:v>29.586681397366867</c:v>
                </c:pt>
                <c:pt idx="317">
                  <c:v>29.327313370240855</c:v>
                </c:pt>
                <c:pt idx="318">
                  <c:v>29.071537096616243</c:v>
                </c:pt>
                <c:pt idx="319">
                  <c:v>28.819454923927143</c:v>
                </c:pt>
                <c:pt idx="320">
                  <c:v>28.571169223130578</c:v>
                </c:pt>
                <c:pt idx="321">
                  <c:v>28.326782398209591</c:v>
                </c:pt>
                <c:pt idx="322">
                  <c:v>28.086396876094476</c:v>
                </c:pt>
                <c:pt idx="323">
                  <c:v>27.85012077654557</c:v>
                </c:pt>
                <c:pt idx="324">
                  <c:v>27.618059461264849</c:v>
                </c:pt>
                <c:pt idx="325">
                  <c:v>27.390315288988862</c:v>
                </c:pt>
                <c:pt idx="326">
                  <c:v>27.166990668206306</c:v>
                </c:pt>
                <c:pt idx="327">
                  <c:v>26.948188028619544</c:v>
                </c:pt>
                <c:pt idx="328">
                  <c:v>26.734009815680949</c:v>
                </c:pt>
                <c:pt idx="329">
                  <c:v>26.524558503491825</c:v>
                </c:pt>
                <c:pt idx="330">
                  <c:v>26.316547959135402</c:v>
                </c:pt>
                <c:pt idx="331">
                  <c:v>26.10759153228825</c:v>
                </c:pt>
                <c:pt idx="332">
                  <c:v>25.899136096616264</c:v>
                </c:pt>
                <c:pt idx="333">
                  <c:v>25.692626325128131</c:v>
                </c:pt>
                <c:pt idx="334">
                  <c:v>25.489506654535528</c:v>
                </c:pt>
                <c:pt idx="335">
                  <c:v>25.291221261032433</c:v>
                </c:pt>
                <c:pt idx="336">
                  <c:v>25.0992140630566</c:v>
                </c:pt>
                <c:pt idx="337">
                  <c:v>24.914927236202878</c:v>
                </c:pt>
                <c:pt idx="338">
                  <c:v>24.739798908220735</c:v>
                </c:pt>
                <c:pt idx="339">
                  <c:v>24.575272232986102</c:v>
                </c:pt>
                <c:pt idx="340">
                  <c:v>24.422790049926125</c:v>
                </c:pt>
                <c:pt idx="341">
                  <c:v>24.283794886460672</c:v>
                </c:pt>
                <c:pt idx="342">
                  <c:v>24.159728946414976</c:v>
                </c:pt>
                <c:pt idx="343">
                  <c:v>24.052034102720874</c:v>
                </c:pt>
                <c:pt idx="344">
                  <c:v>23.958000425071237</c:v>
                </c:pt>
                <c:pt idx="345">
                  <c:v>23.874122819334211</c:v>
                </c:pt>
                <c:pt idx="346">
                  <c:v>23.800645758161526</c:v>
                </c:pt>
                <c:pt idx="347">
                  <c:v>23.737818038919979</c:v>
                </c:pt>
                <c:pt idx="348">
                  <c:v>23.685888380512377</c:v>
                </c:pt>
                <c:pt idx="349">
                  <c:v>23.645105434970098</c:v>
                </c:pt>
                <c:pt idx="350">
                  <c:v>23.615717774829466</c:v>
                </c:pt>
                <c:pt idx="351">
                  <c:v>23.597973663832672</c:v>
                </c:pt>
                <c:pt idx="352">
                  <c:v>23.592122944797655</c:v>
                </c:pt>
                <c:pt idx="353">
                  <c:v>23.598413943122583</c:v>
                </c:pt>
                <c:pt idx="354">
                  <c:v>23.617094916674748</c:v>
                </c:pt>
                <c:pt idx="355">
                  <c:v>23.64841404202279</c:v>
                </c:pt>
                <c:pt idx="356">
                  <c:v>23.692619422581661</c:v>
                </c:pt>
                <c:pt idx="357">
                  <c:v>23.749959060146651</c:v>
                </c:pt>
                <c:pt idx="358">
                  <c:v>23.822800636474486</c:v>
                </c:pt>
                <c:pt idx="359">
                  <c:v>23.912560541546583</c:v>
                </c:pt>
                <c:pt idx="360">
                  <c:v>24.018058584993319</c:v>
                </c:pt>
                <c:pt idx="361">
                  <c:v>24.138116473310323</c:v>
                </c:pt>
                <c:pt idx="362">
                  <c:v>24.271555933308907</c:v>
                </c:pt>
                <c:pt idx="363">
                  <c:v>24.417198961766012</c:v>
                </c:pt>
                <c:pt idx="364">
                  <c:v>24.57386780507753</c:v>
                </c:pt>
                <c:pt idx="365">
                  <c:v>24.968183774226027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1.7709999999999999</c:v>
                </c:pt>
                <c:pt idx="1">
                  <c:v>7.3440000000000003</c:v>
                </c:pt>
                <c:pt idx="2">
                  <c:v>26.925000000000001</c:v>
                </c:pt>
                <c:pt idx="3">
                  <c:v>24.042999999999999</c:v>
                </c:pt>
                <c:pt idx="4">
                  <c:v>26.59</c:v>
                </c:pt>
                <c:pt idx="5">
                  <c:v>4.6459999999999999</c:v>
                </c:pt>
                <c:pt idx="6">
                  <c:v>2.8</c:v>
                </c:pt>
                <c:pt idx="7">
                  <c:v>4.3840000000000003</c:v>
                </c:pt>
                <c:pt idx="8">
                  <c:v>11.691000000000001</c:v>
                </c:pt>
                <c:pt idx="9">
                  <c:v>13.003</c:v>
                </c:pt>
                <c:pt idx="10">
                  <c:v>24.864999999999998</c:v>
                </c:pt>
                <c:pt idx="11">
                  <c:v>9.4700000000000006</c:v>
                </c:pt>
                <c:pt idx="12">
                  <c:v>4.0149999999999997</c:v>
                </c:pt>
                <c:pt idx="13">
                  <c:v>5.6020000000000003</c:v>
                </c:pt>
                <c:pt idx="14">
                  <c:v>28.555</c:v>
                </c:pt>
                <c:pt idx="15">
                  <c:v>28.661999999999999</c:v>
                </c:pt>
                <c:pt idx="16">
                  <c:v>10.478</c:v>
                </c:pt>
                <c:pt idx="17">
                  <c:v>15.006</c:v>
                </c:pt>
                <c:pt idx="18">
                  <c:v>16.815000000000001</c:v>
                </c:pt>
                <c:pt idx="19">
                  <c:v>7.7649999999999997</c:v>
                </c:pt>
                <c:pt idx="20">
                  <c:v>7.3120000000000003</c:v>
                </c:pt>
                <c:pt idx="21">
                  <c:v>11.567</c:v>
                </c:pt>
                <c:pt idx="22">
                  <c:v>10.426</c:v>
                </c:pt>
                <c:pt idx="23">
                  <c:v>11.012</c:v>
                </c:pt>
                <c:pt idx="24">
                  <c:v>5.5069999999999997</c:v>
                </c:pt>
                <c:pt idx="25">
                  <c:v>15.88</c:v>
                </c:pt>
                <c:pt idx="26">
                  <c:v>14.708</c:v>
                </c:pt>
                <c:pt idx="27">
                  <c:v>15.058</c:v>
                </c:pt>
                <c:pt idx="28">
                  <c:v>5.7409999999999997</c:v>
                </c:pt>
                <c:pt idx="29">
                  <c:v>8.3079999999999998</c:v>
                </c:pt>
                <c:pt idx="30">
                  <c:v>7.6210000000000004</c:v>
                </c:pt>
                <c:pt idx="31">
                  <c:v>27.419</c:v>
                </c:pt>
                <c:pt idx="32">
                  <c:v>3.3719999999999999</c:v>
                </c:pt>
                <c:pt idx="33">
                  <c:v>13.62</c:v>
                </c:pt>
                <c:pt idx="34">
                  <c:v>27.38</c:v>
                </c:pt>
                <c:pt idx="35">
                  <c:v>3.863</c:v>
                </c:pt>
                <c:pt idx="36">
                  <c:v>10.815</c:v>
                </c:pt>
                <c:pt idx="37">
                  <c:v>7.1950000000000003</c:v>
                </c:pt>
                <c:pt idx="38">
                  <c:v>30.587</c:v>
                </c:pt>
                <c:pt idx="39">
                  <c:v>29.228000000000002</c:v>
                </c:pt>
                <c:pt idx="40">
                  <c:v>9.2279999999999998</c:v>
                </c:pt>
                <c:pt idx="41">
                  <c:v>21.178999999999998</c:v>
                </c:pt>
                <c:pt idx="42">
                  <c:v>37.709000000000003</c:v>
                </c:pt>
                <c:pt idx="43">
                  <c:v>39.009</c:v>
                </c:pt>
                <c:pt idx="44">
                  <c:v>39.280999999999999</c:v>
                </c:pt>
                <c:pt idx="45">
                  <c:v>39.526000000000003</c:v>
                </c:pt>
                <c:pt idx="46">
                  <c:v>39.960999999999999</c:v>
                </c:pt>
                <c:pt idx="47">
                  <c:v>40.393000000000001</c:v>
                </c:pt>
                <c:pt idx="48">
                  <c:v>39.921999999999997</c:v>
                </c:pt>
                <c:pt idx="49">
                  <c:v>29.853999999999999</c:v>
                </c:pt>
                <c:pt idx="50">
                  <c:v>39.799999999999997</c:v>
                </c:pt>
                <c:pt idx="51">
                  <c:v>37.951999999999998</c:v>
                </c:pt>
                <c:pt idx="52">
                  <c:v>39.378999999999998</c:v>
                </c:pt>
                <c:pt idx="53">
                  <c:v>39.987000000000002</c:v>
                </c:pt>
                <c:pt idx="54">
                  <c:v>40.192999999999998</c:v>
                </c:pt>
                <c:pt idx="55">
                  <c:v>41.164000000000001</c:v>
                </c:pt>
                <c:pt idx="56">
                  <c:v>37.472000000000001</c:v>
                </c:pt>
                <c:pt idx="57">
                  <c:v>41.372</c:v>
                </c:pt>
                <c:pt idx="58">
                  <c:v>32.523000000000003</c:v>
                </c:pt>
                <c:pt idx="59">
                  <c:v>15.007</c:v>
                </c:pt>
                <c:pt idx="60">
                  <c:v>22.096</c:v>
                </c:pt>
                <c:pt idx="61">
                  <c:v>38.192</c:v>
                </c:pt>
                <c:pt idx="62">
                  <c:v>13.241</c:v>
                </c:pt>
                <c:pt idx="63">
                  <c:v>43.591000000000001</c:v>
                </c:pt>
                <c:pt idx="64">
                  <c:v>22.887</c:v>
                </c:pt>
                <c:pt idx="65">
                  <c:v>41.777999999999999</c:v>
                </c:pt>
                <c:pt idx="66">
                  <c:v>21.78</c:v>
                </c:pt>
                <c:pt idx="67">
                  <c:v>20.241</c:v>
                </c:pt>
                <c:pt idx="68">
                  <c:v>14.359</c:v>
                </c:pt>
                <c:pt idx="69">
                  <c:v>28.312000000000001</c:v>
                </c:pt>
                <c:pt idx="70">
                  <c:v>41.38</c:v>
                </c:pt>
                <c:pt idx="71">
                  <c:v>27.576000000000001</c:v>
                </c:pt>
                <c:pt idx="72">
                  <c:v>24.748999999999999</c:v>
                </c:pt>
                <c:pt idx="73">
                  <c:v>13.045999999999999</c:v>
                </c:pt>
                <c:pt idx="74">
                  <c:v>47.389000000000003</c:v>
                </c:pt>
                <c:pt idx="75">
                  <c:v>16.763999999999999</c:v>
                </c:pt>
                <c:pt idx="76">
                  <c:v>34.661000000000001</c:v>
                </c:pt>
                <c:pt idx="77">
                  <c:v>12.717000000000001</c:v>
                </c:pt>
                <c:pt idx="78">
                  <c:v>50.011000000000003</c:v>
                </c:pt>
                <c:pt idx="79">
                  <c:v>50.234999999999999</c:v>
                </c:pt>
                <c:pt idx="80">
                  <c:v>49.118000000000002</c:v>
                </c:pt>
                <c:pt idx="81">
                  <c:v>46.238</c:v>
                </c:pt>
                <c:pt idx="82">
                  <c:v>50.338999999999999</c:v>
                </c:pt>
                <c:pt idx="83">
                  <c:v>43.801000000000002</c:v>
                </c:pt>
                <c:pt idx="84">
                  <c:v>53.691000000000003</c:v>
                </c:pt>
                <c:pt idx="85">
                  <c:v>52.947000000000003</c:v>
                </c:pt>
                <c:pt idx="86">
                  <c:v>51.72</c:v>
                </c:pt>
                <c:pt idx="87">
                  <c:v>53.125999999999998</c:v>
                </c:pt>
                <c:pt idx="88">
                  <c:v>54.213000000000001</c:v>
                </c:pt>
                <c:pt idx="89">
                  <c:v>46.28</c:v>
                </c:pt>
                <c:pt idx="90">
                  <c:v>39.731000000000002</c:v>
                </c:pt>
                <c:pt idx="91">
                  <c:v>15.236000000000001</c:v>
                </c:pt>
                <c:pt idx="92">
                  <c:v>15.61</c:v>
                </c:pt>
                <c:pt idx="93">
                  <c:v>39.783999999999999</c:v>
                </c:pt>
                <c:pt idx="94">
                  <c:v>51.651000000000003</c:v>
                </c:pt>
                <c:pt idx="95">
                  <c:v>19.648</c:v>
                </c:pt>
                <c:pt idx="96">
                  <c:v>34.701000000000001</c:v>
                </c:pt>
                <c:pt idx="97">
                  <c:v>35.953000000000003</c:v>
                </c:pt>
                <c:pt idx="98">
                  <c:v>40.664999999999999</c:v>
                </c:pt>
                <c:pt idx="99">
                  <c:v>36.979999999999997</c:v>
                </c:pt>
                <c:pt idx="100">
                  <c:v>10.102</c:v>
                </c:pt>
                <c:pt idx="101">
                  <c:v>56.933</c:v>
                </c:pt>
                <c:pt idx="102">
                  <c:v>57.622999999999998</c:v>
                </c:pt>
                <c:pt idx="103">
                  <c:v>30.126999999999999</c:v>
                </c:pt>
                <c:pt idx="104">
                  <c:v>40.706000000000003</c:v>
                </c:pt>
                <c:pt idx="105">
                  <c:v>36.997999999999998</c:v>
                </c:pt>
                <c:pt idx="106">
                  <c:v>38.612000000000002</c:v>
                </c:pt>
                <c:pt idx="107">
                  <c:v>29.341999999999999</c:v>
                </c:pt>
                <c:pt idx="108">
                  <c:v>52.618000000000002</c:v>
                </c:pt>
                <c:pt idx="109">
                  <c:v>53.61</c:v>
                </c:pt>
                <c:pt idx="110">
                  <c:v>18.811</c:v>
                </c:pt>
                <c:pt idx="111">
                  <c:v>33.593000000000004</c:v>
                </c:pt>
                <c:pt idx="112">
                  <c:v>35.581000000000003</c:v>
                </c:pt>
                <c:pt idx="113">
                  <c:v>52.439</c:v>
                </c:pt>
                <c:pt idx="114">
                  <c:v>36.433999999999997</c:v>
                </c:pt>
                <c:pt idx="115">
                  <c:v>30.004999999999999</c:v>
                </c:pt>
                <c:pt idx="116">
                  <c:v>29.672999999999998</c:v>
                </c:pt>
                <c:pt idx="117">
                  <c:v>45.695999999999998</c:v>
                </c:pt>
                <c:pt idx="118">
                  <c:v>51.405999999999999</c:v>
                </c:pt>
                <c:pt idx="119">
                  <c:v>60.515999999999998</c:v>
                </c:pt>
                <c:pt idx="120">
                  <c:v>56.468000000000004</c:v>
                </c:pt>
                <c:pt idx="121">
                  <c:v>33.776000000000003</c:v>
                </c:pt>
                <c:pt idx="122">
                  <c:v>20.010000000000002</c:v>
                </c:pt>
                <c:pt idx="123">
                  <c:v>34.450000000000003</c:v>
                </c:pt>
                <c:pt idx="124">
                  <c:v>50.177</c:v>
                </c:pt>
                <c:pt idx="125">
                  <c:v>62.54</c:v>
                </c:pt>
                <c:pt idx="126">
                  <c:v>47.506</c:v>
                </c:pt>
                <c:pt idx="127">
                  <c:v>32.515999999999998</c:v>
                </c:pt>
                <c:pt idx="128">
                  <c:v>47.44</c:v>
                </c:pt>
                <c:pt idx="129">
                  <c:v>38.81</c:v>
                </c:pt>
                <c:pt idx="130">
                  <c:v>37.851999999999997</c:v>
                </c:pt>
                <c:pt idx="131">
                  <c:v>57.686999999999998</c:v>
                </c:pt>
                <c:pt idx="132">
                  <c:v>63.69</c:v>
                </c:pt>
                <c:pt idx="133">
                  <c:v>62.15</c:v>
                </c:pt>
                <c:pt idx="134">
                  <c:v>62.636000000000003</c:v>
                </c:pt>
                <c:pt idx="135">
                  <c:v>54.280999999999999</c:v>
                </c:pt>
                <c:pt idx="136">
                  <c:v>7.375</c:v>
                </c:pt>
                <c:pt idx="137">
                  <c:v>38.4</c:v>
                </c:pt>
                <c:pt idx="138">
                  <c:v>27.305</c:v>
                </c:pt>
                <c:pt idx="139">
                  <c:v>52.396999999999998</c:v>
                </c:pt>
                <c:pt idx="140">
                  <c:v>50.527000000000001</c:v>
                </c:pt>
                <c:pt idx="141">
                  <c:v>61.177</c:v>
                </c:pt>
                <c:pt idx="142">
                  <c:v>53.005000000000003</c:v>
                </c:pt>
                <c:pt idx="143">
                  <c:v>12.631</c:v>
                </c:pt>
                <c:pt idx="144">
                  <c:v>25.462</c:v>
                </c:pt>
                <c:pt idx="145">
                  <c:v>25.443999999999999</c:v>
                </c:pt>
                <c:pt idx="146">
                  <c:v>29.888999999999999</c:v>
                </c:pt>
                <c:pt idx="147">
                  <c:v>28.161000000000001</c:v>
                </c:pt>
                <c:pt idx="148">
                  <c:v>37.738</c:v>
                </c:pt>
                <c:pt idx="149">
                  <c:v>55.640999999999998</c:v>
                </c:pt>
                <c:pt idx="150">
                  <c:v>61.375</c:v>
                </c:pt>
                <c:pt idx="151">
                  <c:v>62.927999999999997</c:v>
                </c:pt>
                <c:pt idx="152">
                  <c:v>61.960999999999999</c:v>
                </c:pt>
                <c:pt idx="153">
                  <c:v>46.795000000000002</c:v>
                </c:pt>
                <c:pt idx="154">
                  <c:v>58.271000000000001</c:v>
                </c:pt>
                <c:pt idx="155">
                  <c:v>11.000999999999999</c:v>
                </c:pt>
                <c:pt idx="156">
                  <c:v>60.584000000000003</c:v>
                </c:pt>
                <c:pt idx="157">
                  <c:v>21.207000000000001</c:v>
                </c:pt>
                <c:pt idx="158">
                  <c:v>62.639000000000003</c:v>
                </c:pt>
                <c:pt idx="159">
                  <c:v>49.168999999999997</c:v>
                </c:pt>
                <c:pt idx="160">
                  <c:v>21.582000000000001</c:v>
                </c:pt>
                <c:pt idx="161">
                  <c:v>32.923999999999999</c:v>
                </c:pt>
                <c:pt idx="162">
                  <c:v>56.572000000000003</c:v>
                </c:pt>
                <c:pt idx="163">
                  <c:v>64.212000000000003</c:v>
                </c:pt>
                <c:pt idx="164">
                  <c:v>23.989000000000001</c:v>
                </c:pt>
                <c:pt idx="165">
                  <c:v>25.198</c:v>
                </c:pt>
                <c:pt idx="166">
                  <c:v>62.881999999999998</c:v>
                </c:pt>
                <c:pt idx="167">
                  <c:v>60.857999999999997</c:v>
                </c:pt>
                <c:pt idx="168">
                  <c:v>59.127000000000002</c:v>
                </c:pt>
                <c:pt idx="169">
                  <c:v>50.161000000000001</c:v>
                </c:pt>
                <c:pt idx="170">
                  <c:v>29.835000000000001</c:v>
                </c:pt>
                <c:pt idx="171">
                  <c:v>11.11</c:v>
                </c:pt>
                <c:pt idx="172">
                  <c:v>52.521999999999998</c:v>
                </c:pt>
                <c:pt idx="173">
                  <c:v>53.749000000000002</c:v>
                </c:pt>
                <c:pt idx="174">
                  <c:v>40.631999999999998</c:v>
                </c:pt>
                <c:pt idx="175">
                  <c:v>54.634999999999998</c:v>
                </c:pt>
                <c:pt idx="176">
                  <c:v>59.722999999999999</c:v>
                </c:pt>
                <c:pt idx="177">
                  <c:v>59.49</c:v>
                </c:pt>
                <c:pt idx="178">
                  <c:v>56.537999999999997</c:v>
                </c:pt>
                <c:pt idx="179">
                  <c:v>56.514000000000003</c:v>
                </c:pt>
                <c:pt idx="180">
                  <c:v>50.889000000000003</c:v>
                </c:pt>
                <c:pt idx="181">
                  <c:v>18.844000000000001</c:v>
                </c:pt>
                <c:pt idx="182">
                  <c:v>31.425999999999998</c:v>
                </c:pt>
                <c:pt idx="183">
                  <c:v>52.134</c:v>
                </c:pt>
                <c:pt idx="184">
                  <c:v>57.203000000000003</c:v>
                </c:pt>
                <c:pt idx="185">
                  <c:v>56.540999999999997</c:v>
                </c:pt>
                <c:pt idx="186">
                  <c:v>54.552999999999997</c:v>
                </c:pt>
                <c:pt idx="187">
                  <c:v>52.55</c:v>
                </c:pt>
                <c:pt idx="188">
                  <c:v>36.337000000000003</c:v>
                </c:pt>
                <c:pt idx="189">
                  <c:v>20.405000000000001</c:v>
                </c:pt>
                <c:pt idx="190">
                  <c:v>58.134</c:v>
                </c:pt>
                <c:pt idx="191">
                  <c:v>59.554000000000002</c:v>
                </c:pt>
                <c:pt idx="192">
                  <c:v>59.959000000000003</c:v>
                </c:pt>
                <c:pt idx="193">
                  <c:v>51.207999999999998</c:v>
                </c:pt>
                <c:pt idx="194">
                  <c:v>59.984000000000002</c:v>
                </c:pt>
                <c:pt idx="195">
                  <c:v>61.366</c:v>
                </c:pt>
                <c:pt idx="196">
                  <c:v>59.423000000000002</c:v>
                </c:pt>
                <c:pt idx="197">
                  <c:v>51.502000000000002</c:v>
                </c:pt>
                <c:pt idx="198">
                  <c:v>39.661999999999999</c:v>
                </c:pt>
                <c:pt idx="199">
                  <c:v>57.97</c:v>
                </c:pt>
                <c:pt idx="200">
                  <c:v>27.257000000000001</c:v>
                </c:pt>
                <c:pt idx="201">
                  <c:v>45.609000000000002</c:v>
                </c:pt>
                <c:pt idx="202">
                  <c:v>48.156999999999996</c:v>
                </c:pt>
                <c:pt idx="203">
                  <c:v>56.097000000000001</c:v>
                </c:pt>
                <c:pt idx="204">
                  <c:v>56.081000000000003</c:v>
                </c:pt>
                <c:pt idx="205">
                  <c:v>56.749000000000002</c:v>
                </c:pt>
                <c:pt idx="206">
                  <c:v>20.655999999999999</c:v>
                </c:pt>
                <c:pt idx="207">
                  <c:v>13.117000000000001</c:v>
                </c:pt>
                <c:pt idx="208">
                  <c:v>52.652000000000001</c:v>
                </c:pt>
                <c:pt idx="209">
                  <c:v>57.725000000000001</c:v>
                </c:pt>
                <c:pt idx="210">
                  <c:v>28.071000000000002</c:v>
                </c:pt>
                <c:pt idx="211">
                  <c:v>56.369</c:v>
                </c:pt>
                <c:pt idx="212">
                  <c:v>47.819000000000003</c:v>
                </c:pt>
                <c:pt idx="213">
                  <c:v>55.002000000000002</c:v>
                </c:pt>
                <c:pt idx="214">
                  <c:v>55.662999999999997</c:v>
                </c:pt>
                <c:pt idx="215">
                  <c:v>53.036000000000001</c:v>
                </c:pt>
                <c:pt idx="216">
                  <c:v>53.048999999999999</c:v>
                </c:pt>
                <c:pt idx="217">
                  <c:v>40.968000000000004</c:v>
                </c:pt>
                <c:pt idx="218">
                  <c:v>42.311</c:v>
                </c:pt>
                <c:pt idx="219">
                  <c:v>53.247999999999998</c:v>
                </c:pt>
                <c:pt idx="220">
                  <c:v>51.384</c:v>
                </c:pt>
                <c:pt idx="221">
                  <c:v>39.244</c:v>
                </c:pt>
                <c:pt idx="222">
                  <c:v>27.021999999999998</c:v>
                </c:pt>
                <c:pt idx="223">
                  <c:v>28.064</c:v>
                </c:pt>
                <c:pt idx="224">
                  <c:v>47.930999999999997</c:v>
                </c:pt>
                <c:pt idx="225">
                  <c:v>55.481999999999999</c:v>
                </c:pt>
                <c:pt idx="226">
                  <c:v>28.876000000000001</c:v>
                </c:pt>
                <c:pt idx="227">
                  <c:v>54.542999999999999</c:v>
                </c:pt>
                <c:pt idx="228">
                  <c:v>53.448999999999998</c:v>
                </c:pt>
                <c:pt idx="229">
                  <c:v>37.186</c:v>
                </c:pt>
                <c:pt idx="230">
                  <c:v>34.682000000000002</c:v>
                </c:pt>
                <c:pt idx="231">
                  <c:v>32.069000000000003</c:v>
                </c:pt>
                <c:pt idx="232">
                  <c:v>49.094999999999999</c:v>
                </c:pt>
                <c:pt idx="233">
                  <c:v>54.921999999999997</c:v>
                </c:pt>
                <c:pt idx="234">
                  <c:v>52.311999999999998</c:v>
                </c:pt>
                <c:pt idx="235">
                  <c:v>52.639000000000003</c:v>
                </c:pt>
                <c:pt idx="236">
                  <c:v>44.978000000000002</c:v>
                </c:pt>
                <c:pt idx="237">
                  <c:v>44.438000000000002</c:v>
                </c:pt>
                <c:pt idx="238">
                  <c:v>31.416</c:v>
                </c:pt>
                <c:pt idx="239">
                  <c:v>37.887999999999998</c:v>
                </c:pt>
                <c:pt idx="240">
                  <c:v>49.3</c:v>
                </c:pt>
                <c:pt idx="241">
                  <c:v>48.89</c:v>
                </c:pt>
                <c:pt idx="242">
                  <c:v>46.273000000000003</c:v>
                </c:pt>
                <c:pt idx="243">
                  <c:v>17.157</c:v>
                </c:pt>
                <c:pt idx="244">
                  <c:v>49.661000000000001</c:v>
                </c:pt>
                <c:pt idx="245">
                  <c:v>51.9</c:v>
                </c:pt>
                <c:pt idx="246">
                  <c:v>51.445999999999998</c:v>
                </c:pt>
                <c:pt idx="247">
                  <c:v>38.332999999999998</c:v>
                </c:pt>
                <c:pt idx="248">
                  <c:v>52.781999999999996</c:v>
                </c:pt>
                <c:pt idx="249">
                  <c:v>48.402000000000001</c:v>
                </c:pt>
                <c:pt idx="250">
                  <c:v>45.802</c:v>
                </c:pt>
                <c:pt idx="251">
                  <c:v>40.838000000000001</c:v>
                </c:pt>
                <c:pt idx="252">
                  <c:v>13.752000000000001</c:v>
                </c:pt>
                <c:pt idx="253">
                  <c:v>44.582000000000001</c:v>
                </c:pt>
                <c:pt idx="254">
                  <c:v>48.985999999999997</c:v>
                </c:pt>
                <c:pt idx="255">
                  <c:v>39.640999999999998</c:v>
                </c:pt>
                <c:pt idx="256">
                  <c:v>40.052999999999997</c:v>
                </c:pt>
                <c:pt idx="257">
                  <c:v>41.899000000000001</c:v>
                </c:pt>
                <c:pt idx="258">
                  <c:v>42.637999999999998</c:v>
                </c:pt>
                <c:pt idx="259">
                  <c:v>41.603999999999999</c:v>
                </c:pt>
                <c:pt idx="260">
                  <c:v>27.244</c:v>
                </c:pt>
                <c:pt idx="261">
                  <c:v>40.912999999999997</c:v>
                </c:pt>
                <c:pt idx="262">
                  <c:v>46.457000000000001</c:v>
                </c:pt>
                <c:pt idx="263">
                  <c:v>33.671999999999997</c:v>
                </c:pt>
                <c:pt idx="264">
                  <c:v>8.7050000000000001</c:v>
                </c:pt>
                <c:pt idx="265">
                  <c:v>40.462000000000003</c:v>
                </c:pt>
                <c:pt idx="266">
                  <c:v>27.86</c:v>
                </c:pt>
                <c:pt idx="267">
                  <c:v>29.43</c:v>
                </c:pt>
                <c:pt idx="268">
                  <c:v>36.067999999999998</c:v>
                </c:pt>
                <c:pt idx="269">
                  <c:v>36.637</c:v>
                </c:pt>
                <c:pt idx="270">
                  <c:v>32.487000000000002</c:v>
                </c:pt>
                <c:pt idx="271">
                  <c:v>42.859000000000002</c:v>
                </c:pt>
                <c:pt idx="272">
                  <c:v>27.280999999999999</c:v>
                </c:pt>
                <c:pt idx="273">
                  <c:v>33.765999999999998</c:v>
                </c:pt>
                <c:pt idx="274">
                  <c:v>22.747</c:v>
                </c:pt>
                <c:pt idx="275">
                  <c:v>33.405999999999999</c:v>
                </c:pt>
                <c:pt idx="276">
                  <c:v>10.093999999999999</c:v>
                </c:pt>
                <c:pt idx="277">
                  <c:v>36.823</c:v>
                </c:pt>
                <c:pt idx="278">
                  <c:v>18.936</c:v>
                </c:pt>
                <c:pt idx="279">
                  <c:v>31.305</c:v>
                </c:pt>
                <c:pt idx="280">
                  <c:v>38.939</c:v>
                </c:pt>
                <c:pt idx="281">
                  <c:v>9.6110000000000007</c:v>
                </c:pt>
                <c:pt idx="282">
                  <c:v>29.167999999999999</c:v>
                </c:pt>
                <c:pt idx="283">
                  <c:v>40.823</c:v>
                </c:pt>
                <c:pt idx="284">
                  <c:v>20.11</c:v>
                </c:pt>
                <c:pt idx="285">
                  <c:v>38.390999999999998</c:v>
                </c:pt>
                <c:pt idx="286">
                  <c:v>13.038</c:v>
                </c:pt>
                <c:pt idx="287">
                  <c:v>31.039000000000001</c:v>
                </c:pt>
                <c:pt idx="288">
                  <c:v>33.832000000000001</c:v>
                </c:pt>
                <c:pt idx="289">
                  <c:v>19.731000000000002</c:v>
                </c:pt>
                <c:pt idx="290">
                  <c:v>15.233000000000001</c:v>
                </c:pt>
                <c:pt idx="291">
                  <c:v>30.802</c:v>
                </c:pt>
                <c:pt idx="292">
                  <c:v>13.285</c:v>
                </c:pt>
                <c:pt idx="293">
                  <c:v>23.687000000000001</c:v>
                </c:pt>
                <c:pt idx="294">
                  <c:v>4.8620000000000001</c:v>
                </c:pt>
                <c:pt idx="295">
                  <c:v>17.206</c:v>
                </c:pt>
                <c:pt idx="296">
                  <c:v>17.562000000000001</c:v>
                </c:pt>
                <c:pt idx="297">
                  <c:v>29.033999999999999</c:v>
                </c:pt>
                <c:pt idx="298">
                  <c:v>35.819000000000003</c:v>
                </c:pt>
                <c:pt idx="299">
                  <c:v>25.091999999999999</c:v>
                </c:pt>
                <c:pt idx="300">
                  <c:v>9.7070000000000007</c:v>
                </c:pt>
                <c:pt idx="301">
                  <c:v>28.803000000000001</c:v>
                </c:pt>
                <c:pt idx="302">
                  <c:v>21.863</c:v>
                </c:pt>
                <c:pt idx="303">
                  <c:v>16.530999999999999</c:v>
                </c:pt>
                <c:pt idx="304">
                  <c:v>7.492</c:v>
                </c:pt>
                <c:pt idx="305">
                  <c:v>4.992</c:v>
                </c:pt>
                <c:pt idx="306">
                  <c:v>12.571</c:v>
                </c:pt>
                <c:pt idx="307">
                  <c:v>12.680999999999999</c:v>
                </c:pt>
                <c:pt idx="308">
                  <c:v>12.686999999999999</c:v>
                </c:pt>
                <c:pt idx="309">
                  <c:v>13.776</c:v>
                </c:pt>
                <c:pt idx="310">
                  <c:v>4.1829999999999998</c:v>
                </c:pt>
                <c:pt idx="311">
                  <c:v>14.471</c:v>
                </c:pt>
                <c:pt idx="312">
                  <c:v>19.785</c:v>
                </c:pt>
                <c:pt idx="313">
                  <c:v>19.143999999999998</c:v>
                </c:pt>
                <c:pt idx="314">
                  <c:v>23.521000000000001</c:v>
                </c:pt>
                <c:pt idx="315">
                  <c:v>19.785</c:v>
                </c:pt>
                <c:pt idx="316">
                  <c:v>18.335000000000001</c:v>
                </c:pt>
                <c:pt idx="317">
                  <c:v>5.9630000000000001</c:v>
                </c:pt>
                <c:pt idx="318">
                  <c:v>11.648999999999999</c:v>
                </c:pt>
                <c:pt idx="319">
                  <c:v>14.532</c:v>
                </c:pt>
                <c:pt idx="320">
                  <c:v>12.169</c:v>
                </c:pt>
                <c:pt idx="321">
                  <c:v>11.954000000000001</c:v>
                </c:pt>
                <c:pt idx="322">
                  <c:v>18.86</c:v>
                </c:pt>
                <c:pt idx="323">
                  <c:v>28.952000000000002</c:v>
                </c:pt>
                <c:pt idx="324">
                  <c:v>27.963999999999999</c:v>
                </c:pt>
                <c:pt idx="325">
                  <c:v>13.58</c:v>
                </c:pt>
                <c:pt idx="326">
                  <c:v>8.07</c:v>
                </c:pt>
                <c:pt idx="327">
                  <c:v>14.877000000000001</c:v>
                </c:pt>
                <c:pt idx="328">
                  <c:v>12.308</c:v>
                </c:pt>
                <c:pt idx="329">
                  <c:v>19.038</c:v>
                </c:pt>
                <c:pt idx="330">
                  <c:v>19.78</c:v>
                </c:pt>
                <c:pt idx="331">
                  <c:v>11.275</c:v>
                </c:pt>
                <c:pt idx="332">
                  <c:v>19.518999999999998</c:v>
                </c:pt>
                <c:pt idx="333">
                  <c:v>11.516</c:v>
                </c:pt>
                <c:pt idx="334">
                  <c:v>7.34</c:v>
                </c:pt>
                <c:pt idx="335">
                  <c:v>4.0599999999999996</c:v>
                </c:pt>
                <c:pt idx="336">
                  <c:v>4.5659999999999998</c:v>
                </c:pt>
                <c:pt idx="337">
                  <c:v>6.2249999999999996</c:v>
                </c:pt>
                <c:pt idx="338">
                  <c:v>9.4819999999999993</c:v>
                </c:pt>
                <c:pt idx="339">
                  <c:v>7.8840000000000003</c:v>
                </c:pt>
                <c:pt idx="340">
                  <c:v>14.693</c:v>
                </c:pt>
                <c:pt idx="341">
                  <c:v>16.099</c:v>
                </c:pt>
                <c:pt idx="342">
                  <c:v>11.413</c:v>
                </c:pt>
                <c:pt idx="343">
                  <c:v>21.091999999999999</c:v>
                </c:pt>
                <c:pt idx="344">
                  <c:v>1.9319999999999999</c:v>
                </c:pt>
                <c:pt idx="345">
                  <c:v>5.2320000000000002</c:v>
                </c:pt>
                <c:pt idx="346">
                  <c:v>2.4020000000000001</c:v>
                </c:pt>
                <c:pt idx="347">
                  <c:v>19.030999999999999</c:v>
                </c:pt>
                <c:pt idx="348">
                  <c:v>24.541</c:v>
                </c:pt>
                <c:pt idx="349">
                  <c:v>14.27</c:v>
                </c:pt>
                <c:pt idx="350">
                  <c:v>11.561</c:v>
                </c:pt>
                <c:pt idx="351">
                  <c:v>17.908999999999999</c:v>
                </c:pt>
                <c:pt idx="352">
                  <c:v>10.295999999999999</c:v>
                </c:pt>
                <c:pt idx="353">
                  <c:v>8.2949999999999999</c:v>
                </c:pt>
                <c:pt idx="354">
                  <c:v>19.690999999999999</c:v>
                </c:pt>
                <c:pt idx="355">
                  <c:v>7.4189999999999996</c:v>
                </c:pt>
                <c:pt idx="356">
                  <c:v>6.9009999999999998</c:v>
                </c:pt>
                <c:pt idx="357">
                  <c:v>14.686</c:v>
                </c:pt>
                <c:pt idx="358">
                  <c:v>13.138999999999999</c:v>
                </c:pt>
                <c:pt idx="359">
                  <c:v>10.673</c:v>
                </c:pt>
                <c:pt idx="360">
                  <c:v>21.085000000000001</c:v>
                </c:pt>
                <c:pt idx="361">
                  <c:v>4.2080000000000002</c:v>
                </c:pt>
                <c:pt idx="362">
                  <c:v>23.699000000000002</c:v>
                </c:pt>
                <c:pt idx="363">
                  <c:v>24.965</c:v>
                </c:pt>
                <c:pt idx="364">
                  <c:v>17.216000000000001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922272"/>
        <c:axId val="545922664"/>
      </c:lineChart>
      <c:dateAx>
        <c:axId val="545922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2664"/>
        <c:crosses val="autoZero"/>
        <c:auto val="1"/>
        <c:lblOffset val="100"/>
        <c:baseTimeUnit val="days"/>
        <c:majorUnit val="1"/>
        <c:majorTimeUnit val="months"/>
      </c:dateAx>
      <c:valAx>
        <c:axId val="5459226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227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1.2450251454537375E-2</c:v>
                </c:pt>
                <c:pt idx="1">
                  <c:v>1.247188132851007E-2</c:v>
                </c:pt>
                <c:pt idx="2">
                  <c:v>1.2493510728733059E-2</c:v>
                </c:pt>
                <c:pt idx="3">
                  <c:v>1.2515139655216778E-2</c:v>
                </c:pt>
                <c:pt idx="4">
                  <c:v>1.253676810797133E-2</c:v>
                </c:pt>
                <c:pt idx="5">
                  <c:v>1.2558396087007373E-2</c:v>
                </c:pt>
                <c:pt idx="6">
                  <c:v>1.2580023592335121E-2</c:v>
                </c:pt>
                <c:pt idx="7">
                  <c:v>1.2601650623965011E-2</c:v>
                </c:pt>
                <c:pt idx="8">
                  <c:v>1.2623277181907477E-2</c:v>
                </c:pt>
                <c:pt idx="9">
                  <c:v>1.2644903266172736E-2</c:v>
                </c:pt>
                <c:pt idx="10">
                  <c:v>1.2666528876771221E-2</c:v>
                </c:pt>
                <c:pt idx="11">
                  <c:v>1.2688154013713371E-2</c:v>
                </c:pt>
                <c:pt idx="12">
                  <c:v>1.270977867700962E-2</c:v>
                </c:pt>
                <c:pt idx="13">
                  <c:v>1.2731402866670072E-2</c:v>
                </c:pt>
                <c:pt idx="14">
                  <c:v>1.2753026582705385E-2</c:v>
                </c:pt>
                <c:pt idx="15">
                  <c:v>1.2774649825125772E-2</c:v>
                </c:pt>
                <c:pt idx="16">
                  <c:v>1.2796272593941671E-2</c:v>
                </c:pt>
                <c:pt idx="17">
                  <c:v>1.2817894889163517E-2</c:v>
                </c:pt>
                <c:pt idx="18">
                  <c:v>1.2839516710801524E-2</c:v>
                </c:pt>
                <c:pt idx="19">
                  <c:v>1.2861138058866128E-2</c:v>
                </c:pt>
                <c:pt idx="20">
                  <c:v>1.2882758933367766E-2</c:v>
                </c:pt>
                <c:pt idx="21">
                  <c:v>1.2904379334316651E-2</c:v>
                </c:pt>
                <c:pt idx="22">
                  <c:v>1.2925999261723442E-2</c:v>
                </c:pt>
                <c:pt idx="23">
                  <c:v>1.2947618715598241E-2</c:v>
                </c:pt>
                <c:pt idx="24">
                  <c:v>1.2969237695951485E-2</c:v>
                </c:pt>
                <c:pt idx="25">
                  <c:v>1.299085620279361E-2</c:v>
                </c:pt>
                <c:pt idx="26">
                  <c:v>1.3012474236134941E-2</c:v>
                </c:pt>
                <c:pt idx="27">
                  <c:v>1.3034091795985914E-2</c:v>
                </c:pt>
                <c:pt idx="28">
                  <c:v>1.3055708882356853E-2</c:v>
                </c:pt>
                <c:pt idx="29">
                  <c:v>1.3077325495258085E-2</c:v>
                </c:pt>
                <c:pt idx="30">
                  <c:v>1.3098941634700045E-2</c:v>
                </c:pt>
                <c:pt idx="31">
                  <c:v>1.3120557300692948E-2</c:v>
                </c:pt>
                <c:pt idx="32">
                  <c:v>1.314217249324745E-2</c:v>
                </c:pt>
                <c:pt idx="33">
                  <c:v>1.3163787212373657E-2</c:v>
                </c:pt>
                <c:pt idx="34">
                  <c:v>1.3185401458082113E-2</c:v>
                </c:pt>
                <c:pt idx="35">
                  <c:v>1.3207015230383035E-2</c:v>
                </c:pt>
                <c:pt idx="36">
                  <c:v>1.3228628529286968E-2</c:v>
                </c:pt>
                <c:pt idx="37">
                  <c:v>1.3250241354804126E-2</c:v>
                </c:pt>
                <c:pt idx="38">
                  <c:v>1.3271853706944947E-2</c:v>
                </c:pt>
                <c:pt idx="39">
                  <c:v>1.3293465585719866E-2</c:v>
                </c:pt>
                <c:pt idx="40">
                  <c:v>1.3315076991139096E-2</c:v>
                </c:pt>
                <c:pt idx="41">
                  <c:v>1.3336687923213075E-2</c:v>
                </c:pt>
                <c:pt idx="42">
                  <c:v>1.3358298381952127E-2</c:v>
                </c:pt>
                <c:pt idx="43">
                  <c:v>1.33799083673668E-2</c:v>
                </c:pt>
                <c:pt idx="44">
                  <c:v>1.3401517879467306E-2</c:v>
                </c:pt>
                <c:pt idx="45">
                  <c:v>1.3423126918263972E-2</c:v>
                </c:pt>
                <c:pt idx="46">
                  <c:v>1.3444735483767234E-2</c:v>
                </c:pt>
                <c:pt idx="47">
                  <c:v>1.3466343575987527E-2</c:v>
                </c:pt>
                <c:pt idx="48">
                  <c:v>1.3487951194935066E-2</c:v>
                </c:pt>
                <c:pt idx="49">
                  <c:v>1.3509558340620287E-2</c:v>
                </c:pt>
                <c:pt idx="50">
                  <c:v>1.3531165013053625E-2</c:v>
                </c:pt>
                <c:pt idx="51">
                  <c:v>1.3552771212245407E-2</c:v>
                </c:pt>
                <c:pt idx="52">
                  <c:v>1.3574376938205956E-2</c:v>
                </c:pt>
                <c:pt idx="53">
                  <c:v>1.3595982190945599E-2</c:v>
                </c:pt>
                <c:pt idx="54">
                  <c:v>1.3617586970474771E-2</c:v>
                </c:pt>
                <c:pt idx="55">
                  <c:v>1.3639191276803908E-2</c:v>
                </c:pt>
                <c:pt idx="56">
                  <c:v>1.3660795109943225E-2</c:v>
                </c:pt>
                <c:pt idx="57">
                  <c:v>1.3682398469903156E-2</c:v>
                </c:pt>
                <c:pt idx="58">
                  <c:v>1.3704001356694029E-2</c:v>
                </c:pt>
                <c:pt idx="59">
                  <c:v>1.3725603770326278E-2</c:v>
                </c:pt>
                <c:pt idx="60">
                  <c:v>1.3747205710810229E-2</c:v>
                </c:pt>
                <c:pt idx="61">
                  <c:v>1.3768807178156206E-2</c:v>
                </c:pt>
                <c:pt idx="62">
                  <c:v>1.3790408172374646E-2</c:v>
                </c:pt>
                <c:pt idx="63">
                  <c:v>1.3812008693475875E-2</c:v>
                </c:pt>
                <c:pt idx="64">
                  <c:v>1.3833608741470216E-2</c:v>
                </c:pt>
                <c:pt idx="65">
                  <c:v>1.3855208316368106E-2</c:v>
                </c:pt>
                <c:pt idx="66">
                  <c:v>1.3876807418179871E-2</c:v>
                </c:pt>
                <c:pt idx="67">
                  <c:v>1.3898406046915945E-2</c:v>
                </c:pt>
                <c:pt idx="68">
                  <c:v>1.3920004202586544E-2</c:v>
                </c:pt>
                <c:pt idx="69">
                  <c:v>1.3941601885202104E-2</c:v>
                </c:pt>
                <c:pt idx="70">
                  <c:v>1.3963199094772949E-2</c:v>
                </c:pt>
                <c:pt idx="71">
                  <c:v>1.3984795831309516E-2</c:v>
                </c:pt>
                <c:pt idx="72">
                  <c:v>1.4006392094822129E-2</c:v>
                </c:pt>
                <c:pt idx="73">
                  <c:v>1.4027987885321114E-2</c:v>
                </c:pt>
                <c:pt idx="74">
                  <c:v>1.4049583202816907E-2</c:v>
                </c:pt>
                <c:pt idx="75">
                  <c:v>1.4071178047319832E-2</c:v>
                </c:pt>
                <c:pt idx="76">
                  <c:v>1.4092772418840216E-2</c:v>
                </c:pt>
                <c:pt idx="77">
                  <c:v>1.4114366317388383E-2</c:v>
                </c:pt>
                <c:pt idx="78">
                  <c:v>1.413595974297488E-2</c:v>
                </c:pt>
                <c:pt idx="79">
                  <c:v>1.415755269560981E-2</c:v>
                </c:pt>
                <c:pt idx="80">
                  <c:v>1.417914517530372E-2</c:v>
                </c:pt>
                <c:pt idx="81">
                  <c:v>1.4200737182066936E-2</c:v>
                </c:pt>
                <c:pt idx="82">
                  <c:v>1.4222328715909782E-2</c:v>
                </c:pt>
                <c:pt idx="83">
                  <c:v>1.4243919776842584E-2</c:v>
                </c:pt>
                <c:pt idx="84">
                  <c:v>1.4265510364875778E-2</c:v>
                </c:pt>
                <c:pt idx="85">
                  <c:v>1.4287100480019688E-2</c:v>
                </c:pt>
                <c:pt idx="86">
                  <c:v>1.430869012228464E-2</c:v>
                </c:pt>
                <c:pt idx="87">
                  <c:v>1.4330279291680958E-2</c:v>
                </c:pt>
                <c:pt idx="88">
                  <c:v>1.4351867988219191E-2</c:v>
                </c:pt>
                <c:pt idx="89">
                  <c:v>1.4373456211909441E-2</c:v>
                </c:pt>
                <c:pt idx="90">
                  <c:v>1.4395043962762255E-2</c:v>
                </c:pt>
                <c:pt idx="91">
                  <c:v>1.4416631240787958E-2</c:v>
                </c:pt>
                <c:pt idx="92">
                  <c:v>1.4438218045996765E-2</c:v>
                </c:pt>
                <c:pt idx="93">
                  <c:v>1.4459804378399221E-2</c:v>
                </c:pt>
                <c:pt idx="94">
                  <c:v>1.4481390238005543E-2</c:v>
                </c:pt>
                <c:pt idx="95">
                  <c:v>1.4502975624826164E-2</c:v>
                </c:pt>
                <c:pt idx="96">
                  <c:v>1.4524560538871412E-2</c:v>
                </c:pt>
                <c:pt idx="97">
                  <c:v>1.4546144980151721E-2</c:v>
                </c:pt>
                <c:pt idx="98">
                  <c:v>1.4567728948677305E-2</c:v>
                </c:pt>
                <c:pt idx="99">
                  <c:v>1.4589312444458491E-2</c:v>
                </c:pt>
                <c:pt idx="100">
                  <c:v>1.4610895467505824E-2</c:v>
                </c:pt>
                <c:pt idx="101">
                  <c:v>1.4632478017829631E-2</c:v>
                </c:pt>
                <c:pt idx="102">
                  <c:v>1.4654060095440125E-2</c:v>
                </c:pt>
                <c:pt idx="103">
                  <c:v>1.4675641700347741E-2</c:v>
                </c:pt>
                <c:pt idx="104">
                  <c:v>1.4697222832562806E-2</c:v>
                </c:pt>
                <c:pt idx="105">
                  <c:v>1.4718803492095645E-2</c:v>
                </c:pt>
                <c:pt idx="106">
                  <c:v>1.4740383678956692E-2</c:v>
                </c:pt>
                <c:pt idx="107">
                  <c:v>1.4761963393156274E-2</c:v>
                </c:pt>
                <c:pt idx="108">
                  <c:v>1.4783542634704716E-2</c:v>
                </c:pt>
                <c:pt idx="109">
                  <c:v>1.4805121403612453E-2</c:v>
                </c:pt>
                <c:pt idx="110">
                  <c:v>1.48266996998897E-2</c:v>
                </c:pt>
                <c:pt idx="111">
                  <c:v>1.4848277523546893E-2</c:v>
                </c:pt>
                <c:pt idx="112">
                  <c:v>1.4869854874594357E-2</c:v>
                </c:pt>
                <c:pt idx="113">
                  <c:v>1.4891431753042528E-2</c:v>
                </c:pt>
                <c:pt idx="114">
                  <c:v>1.4913008158901619E-2</c:v>
                </c:pt>
                <c:pt idx="115">
                  <c:v>1.4934584092182068E-2</c:v>
                </c:pt>
                <c:pt idx="116">
                  <c:v>1.4956159552894199E-2</c:v>
                </c:pt>
                <c:pt idx="117">
                  <c:v>1.4977734541048338E-2</c:v>
                </c:pt>
                <c:pt idx="118">
                  <c:v>1.4999309056654919E-2</c:v>
                </c:pt>
                <c:pt idx="119">
                  <c:v>1.5020883099724158E-2</c:v>
                </c:pt>
                <c:pt idx="120">
                  <c:v>1.5042456670266602E-2</c:v>
                </c:pt>
                <c:pt idx="121">
                  <c:v>1.5064029768292353E-2</c:v>
                </c:pt>
                <c:pt idx="122">
                  <c:v>1.5085602393811959E-2</c:v>
                </c:pt>
                <c:pt idx="123">
                  <c:v>1.5107174546835744E-2</c:v>
                </c:pt>
                <c:pt idx="124">
                  <c:v>1.5128746227373924E-2</c:v>
                </c:pt>
                <c:pt idx="125">
                  <c:v>1.5150317435437044E-2</c:v>
                </c:pt>
                <c:pt idx="126">
                  <c:v>1.5171888171035208E-2</c:v>
                </c:pt>
                <c:pt idx="127">
                  <c:v>1.5193458434179075E-2</c:v>
                </c:pt>
                <c:pt idx="128">
                  <c:v>1.5215028224878746E-2</c:v>
                </c:pt>
                <c:pt idx="129">
                  <c:v>1.5236597543144548E-2</c:v>
                </c:pt>
                <c:pt idx="130">
                  <c:v>1.5258166388987027E-2</c:v>
                </c:pt>
                <c:pt idx="131">
                  <c:v>1.5279734762416397E-2</c:v>
                </c:pt>
                <c:pt idx="132">
                  <c:v>1.5301302663443095E-2</c:v>
                </c:pt>
                <c:pt idx="133">
                  <c:v>1.5322870092077334E-2</c:v>
                </c:pt>
                <c:pt idx="134">
                  <c:v>1.5344437048329551E-2</c:v>
                </c:pt>
                <c:pt idx="135">
                  <c:v>1.5366003532210071E-2</c:v>
                </c:pt>
                <c:pt idx="136">
                  <c:v>1.5387569543729218E-2</c:v>
                </c:pt>
                <c:pt idx="137">
                  <c:v>1.5409135082897429E-2</c:v>
                </c:pt>
                <c:pt idx="138">
                  <c:v>1.5430700149724919E-2</c:v>
                </c:pt>
                <c:pt idx="139">
                  <c:v>1.5452264744222122E-2</c:v>
                </c:pt>
                <c:pt idx="140">
                  <c:v>1.5473828866399475E-2</c:v>
                </c:pt>
                <c:pt idx="141">
                  <c:v>1.5495392516267081E-2</c:v>
                </c:pt>
                <c:pt idx="142">
                  <c:v>1.5516955693835377E-2</c:v>
                </c:pt>
                <c:pt idx="143">
                  <c:v>1.5538518399114909E-2</c:v>
                </c:pt>
                <c:pt idx="144">
                  <c:v>1.5560080632115669E-2</c:v>
                </c:pt>
                <c:pt idx="145">
                  <c:v>1.5581642392848316E-2</c:v>
                </c:pt>
                <c:pt idx="146">
                  <c:v>1.5603203681323063E-2</c:v>
                </c:pt>
                <c:pt idx="147">
                  <c:v>1.5624764497550236E-2</c:v>
                </c:pt>
                <c:pt idx="148">
                  <c:v>1.564632484154016E-2</c:v>
                </c:pt>
                <c:pt idx="149">
                  <c:v>1.5667884713303271E-2</c:v>
                </c:pt>
                <c:pt idx="150">
                  <c:v>1.5689444112849782E-2</c:v>
                </c:pt>
                <c:pt idx="151">
                  <c:v>1.571100304019013E-2</c:v>
                </c:pt>
                <c:pt idx="152">
                  <c:v>1.573256149533464E-2</c:v>
                </c:pt>
                <c:pt idx="153">
                  <c:v>1.5754119478293749E-2</c:v>
                </c:pt>
                <c:pt idx="154">
                  <c:v>1.5775676989077669E-2</c:v>
                </c:pt>
                <c:pt idx="155">
                  <c:v>1.5797234027696727E-2</c:v>
                </c:pt>
                <c:pt idx="156">
                  <c:v>1.5818790594161358E-2</c:v>
                </c:pt>
                <c:pt idx="157">
                  <c:v>1.5840346688481777E-2</c:v>
                </c:pt>
                <c:pt idx="158">
                  <c:v>1.586190231066853E-2</c:v>
                </c:pt>
                <c:pt idx="159">
                  <c:v>1.588345746073172E-2</c:v>
                </c:pt>
                <c:pt idx="160">
                  <c:v>1.5905012138681895E-2</c:v>
                </c:pt>
                <c:pt idx="161">
                  <c:v>1.5926566344529269E-2</c:v>
                </c:pt>
                <c:pt idx="162">
                  <c:v>1.5948120078284167E-2</c:v>
                </c:pt>
                <c:pt idx="163">
                  <c:v>1.5969673339957025E-2</c:v>
                </c:pt>
                <c:pt idx="164">
                  <c:v>1.5991226129558167E-2</c:v>
                </c:pt>
                <c:pt idx="165">
                  <c:v>1.6012778447097809E-2</c:v>
                </c:pt>
                <c:pt idx="166">
                  <c:v>1.6034330292586496E-2</c:v>
                </c:pt>
                <c:pt idx="167">
                  <c:v>1.6055881666034444E-2</c:v>
                </c:pt>
                <c:pt idx="168">
                  <c:v>1.6077432567451977E-2</c:v>
                </c:pt>
                <c:pt idx="169">
                  <c:v>1.609898299684942E-2</c:v>
                </c:pt>
                <c:pt idx="170">
                  <c:v>1.612053295423721E-2</c:v>
                </c:pt>
                <c:pt idx="171">
                  <c:v>1.614208243962556E-2</c:v>
                </c:pt>
                <c:pt idx="172">
                  <c:v>1.6163631453024907E-2</c:v>
                </c:pt>
                <c:pt idx="173">
                  <c:v>1.6185179994445575E-2</c:v>
                </c:pt>
                <c:pt idx="174">
                  <c:v>1.6206728063897891E-2</c:v>
                </c:pt>
                <c:pt idx="175">
                  <c:v>1.6228275661392177E-2</c:v>
                </c:pt>
                <c:pt idx="176">
                  <c:v>1.6249822786938761E-2</c:v>
                </c:pt>
                <c:pt idx="177">
                  <c:v>1.6271369440547967E-2</c:v>
                </c:pt>
                <c:pt idx="178">
                  <c:v>1.6292915622230231E-2</c:v>
                </c:pt>
                <c:pt idx="179">
                  <c:v>1.6314461331995767E-2</c:v>
                </c:pt>
                <c:pt idx="180">
                  <c:v>1.6336006569855011E-2</c:v>
                </c:pt>
                <c:pt idx="181">
                  <c:v>1.6357551335818177E-2</c:v>
                </c:pt>
                <c:pt idx="182">
                  <c:v>1.6379095629895701E-2</c:v>
                </c:pt>
                <c:pt idx="183">
                  <c:v>1.6400639452097909E-2</c:v>
                </c:pt>
                <c:pt idx="184">
                  <c:v>1.6422182802435126E-2</c:v>
                </c:pt>
                <c:pt idx="185">
                  <c:v>1.6443725680917676E-2</c:v>
                </c:pt>
                <c:pt idx="186">
                  <c:v>1.6465268087555995E-2</c:v>
                </c:pt>
                <c:pt idx="187">
                  <c:v>1.6486810022360188E-2</c:v>
                </c:pt>
                <c:pt idx="188">
                  <c:v>1.65083514853408E-2</c:v>
                </c:pt>
                <c:pt idx="189">
                  <c:v>1.6529892476508046E-2</c:v>
                </c:pt>
                <c:pt idx="190">
                  <c:v>1.6551432995872251E-2</c:v>
                </c:pt>
                <c:pt idx="191">
                  <c:v>1.657297304344385E-2</c:v>
                </c:pt>
                <c:pt idx="192">
                  <c:v>1.659451261923317E-2</c:v>
                </c:pt>
                <c:pt idx="193">
                  <c:v>1.6616051723250425E-2</c:v>
                </c:pt>
                <c:pt idx="194">
                  <c:v>1.6637590355506049E-2</c:v>
                </c:pt>
                <c:pt idx="195">
                  <c:v>1.6659128516010369E-2</c:v>
                </c:pt>
                <c:pt idx="196">
                  <c:v>1.6680666204773709E-2</c:v>
                </c:pt>
                <c:pt idx="197">
                  <c:v>1.6702203421806394E-2</c:v>
                </c:pt>
                <c:pt idx="198">
                  <c:v>1.672374016711875E-2</c:v>
                </c:pt>
                <c:pt idx="199">
                  <c:v>1.6745276440720991E-2</c:v>
                </c:pt>
                <c:pt idx="200">
                  <c:v>1.6766812242623663E-2</c:v>
                </c:pt>
                <c:pt idx="201">
                  <c:v>1.6788347572837092E-2</c:v>
                </c:pt>
                <c:pt idx="202">
                  <c:v>1.6809882431371381E-2</c:v>
                </c:pt>
                <c:pt idx="203">
                  <c:v>1.6831416818237077E-2</c:v>
                </c:pt>
                <c:pt idx="204">
                  <c:v>1.6852950733444394E-2</c:v>
                </c:pt>
                <c:pt idx="205">
                  <c:v>1.6874484177003768E-2</c:v>
                </c:pt>
                <c:pt idx="206">
                  <c:v>1.6896017148925413E-2</c:v>
                </c:pt>
                <c:pt idx="207">
                  <c:v>1.6917549649219654E-2</c:v>
                </c:pt>
                <c:pt idx="208">
                  <c:v>1.6939081677896928E-2</c:v>
                </c:pt>
                <c:pt idx="209">
                  <c:v>1.6960613234967559E-2</c:v>
                </c:pt>
                <c:pt idx="210">
                  <c:v>1.6982144320441761E-2</c:v>
                </c:pt>
                <c:pt idx="211">
                  <c:v>1.7003674934329971E-2</c:v>
                </c:pt>
                <c:pt idx="212">
                  <c:v>1.7025205076642513E-2</c:v>
                </c:pt>
                <c:pt idx="213">
                  <c:v>1.7046734747389602E-2</c:v>
                </c:pt>
                <c:pt idx="214">
                  <c:v>1.7068263946581674E-2</c:v>
                </c:pt>
                <c:pt idx="215">
                  <c:v>1.7089792674229054E-2</c:v>
                </c:pt>
                <c:pt idx="216">
                  <c:v>1.7111320930342067E-2</c:v>
                </c:pt>
                <c:pt idx="217">
                  <c:v>1.7132848714931037E-2</c:v>
                </c:pt>
                <c:pt idx="218">
                  <c:v>1.715437602800618E-2</c:v>
                </c:pt>
                <c:pt idx="219">
                  <c:v>1.717590286957793E-2</c:v>
                </c:pt>
                <c:pt idx="220">
                  <c:v>1.7197429239656725E-2</c:v>
                </c:pt>
                <c:pt idx="221">
                  <c:v>1.7218955138252667E-2</c:v>
                </c:pt>
                <c:pt idx="222">
                  <c:v>1.7240480565376193E-2</c:v>
                </c:pt>
                <c:pt idx="223">
                  <c:v>1.7262005521037627E-2</c:v>
                </c:pt>
                <c:pt idx="224">
                  <c:v>1.7283530005247294E-2</c:v>
                </c:pt>
                <c:pt idx="225">
                  <c:v>1.730505401801552E-2</c:v>
                </c:pt>
                <c:pt idx="226">
                  <c:v>1.7326577559352629E-2</c:v>
                </c:pt>
                <c:pt idx="227">
                  <c:v>1.7348100629268948E-2</c:v>
                </c:pt>
                <c:pt idx="228">
                  <c:v>1.73696232277748E-2</c:v>
                </c:pt>
                <c:pt idx="229">
                  <c:v>1.73911453548804E-2</c:v>
                </c:pt>
                <c:pt idx="230">
                  <c:v>1.7412667010596294E-2</c:v>
                </c:pt>
                <c:pt idx="231">
                  <c:v>1.7434188194932698E-2</c:v>
                </c:pt>
                <c:pt idx="232">
                  <c:v>1.7455708907899936E-2</c:v>
                </c:pt>
                <c:pt idx="233">
                  <c:v>1.7477229149508333E-2</c:v>
                </c:pt>
                <c:pt idx="234">
                  <c:v>1.7498748919768103E-2</c:v>
                </c:pt>
                <c:pt idx="235">
                  <c:v>1.7520268218689794E-2</c:v>
                </c:pt>
                <c:pt idx="236">
                  <c:v>1.7541787046283508E-2</c:v>
                </c:pt>
                <c:pt idx="237">
                  <c:v>1.7563305402559792E-2</c:v>
                </c:pt>
                <c:pt idx="238">
                  <c:v>1.758482328752875E-2</c:v>
                </c:pt>
                <c:pt idx="239">
                  <c:v>1.7606340701200818E-2</c:v>
                </c:pt>
                <c:pt idx="240">
                  <c:v>1.762785764358632E-2</c:v>
                </c:pt>
                <c:pt idx="241">
                  <c:v>1.7649374114695582E-2</c:v>
                </c:pt>
                <c:pt idx="242">
                  <c:v>1.7670890114538929E-2</c:v>
                </c:pt>
                <c:pt idx="243">
                  <c:v>1.7692405643126574E-2</c:v>
                </c:pt>
                <c:pt idx="244">
                  <c:v>1.7713920700469066E-2</c:v>
                </c:pt>
                <c:pt idx="245">
                  <c:v>1.7735435286576395E-2</c:v>
                </c:pt>
                <c:pt idx="246">
                  <c:v>1.7756949401459221E-2</c:v>
                </c:pt>
                <c:pt idx="247">
                  <c:v>1.7778463045127646E-2</c:v>
                </c:pt>
                <c:pt idx="248">
                  <c:v>1.7799976217592106E-2</c:v>
                </c:pt>
                <c:pt idx="249">
                  <c:v>1.7821488918862816E-2</c:v>
                </c:pt>
                <c:pt idx="250">
                  <c:v>1.784300114895021E-2</c:v>
                </c:pt>
                <c:pt idx="251">
                  <c:v>1.7864512907864505E-2</c:v>
                </c:pt>
                <c:pt idx="252">
                  <c:v>1.7886024195616135E-2</c:v>
                </c:pt>
                <c:pt idx="253">
                  <c:v>1.7907535012215314E-2</c:v>
                </c:pt>
                <c:pt idx="254">
                  <c:v>1.792904535767248E-2</c:v>
                </c:pt>
                <c:pt idx="255">
                  <c:v>1.7950555231997734E-2</c:v>
                </c:pt>
                <c:pt idx="256">
                  <c:v>1.7972064635201623E-2</c:v>
                </c:pt>
                <c:pt idx="257">
                  <c:v>1.7993573567294363E-2</c:v>
                </c:pt>
                <c:pt idx="258">
                  <c:v>1.8015082028286278E-2</c:v>
                </c:pt>
                <c:pt idx="259">
                  <c:v>1.8036590018187804E-2</c:v>
                </c:pt>
                <c:pt idx="260">
                  <c:v>1.8058097537009044E-2</c:v>
                </c:pt>
                <c:pt idx="261">
                  <c:v>1.8079604584760434E-2</c:v>
                </c:pt>
                <c:pt idx="262">
                  <c:v>1.8101111161452299E-2</c:v>
                </c:pt>
                <c:pt idx="263">
                  <c:v>1.8122617267094965E-2</c:v>
                </c:pt>
                <c:pt idx="264">
                  <c:v>1.8144122901698645E-2</c:v>
                </c:pt>
                <c:pt idx="265">
                  <c:v>1.8165628065273776E-2</c:v>
                </c:pt>
                <c:pt idx="266">
                  <c:v>1.8187132757830682E-2</c:v>
                </c:pt>
                <c:pt idx="267">
                  <c:v>1.8208636979379578E-2</c:v>
                </c:pt>
                <c:pt idx="268">
                  <c:v>1.8230140729930788E-2</c:v>
                </c:pt>
                <c:pt idx="269">
                  <c:v>1.825164400949475E-2</c:v>
                </c:pt>
                <c:pt idx="270">
                  <c:v>1.8273146818081676E-2</c:v>
                </c:pt>
                <c:pt idx="271">
                  <c:v>1.8294649155701892E-2</c:v>
                </c:pt>
                <c:pt idx="272">
                  <c:v>1.8316151022365723E-2</c:v>
                </c:pt>
                <c:pt idx="273">
                  <c:v>1.8337652418083605E-2</c:v>
                </c:pt>
                <c:pt idx="274">
                  <c:v>1.8359153342865642E-2</c:v>
                </c:pt>
                <c:pt idx="275">
                  <c:v>1.8380653796722268E-2</c:v>
                </c:pt>
                <c:pt idx="276">
                  <c:v>1.8402153779663699E-2</c:v>
                </c:pt>
                <c:pt idx="277">
                  <c:v>1.842365329170037E-2</c:v>
                </c:pt>
                <c:pt idx="278">
                  <c:v>1.8445152332842607E-2</c:v>
                </c:pt>
                <c:pt idx="279">
                  <c:v>1.8466650903100623E-2</c:v>
                </c:pt>
                <c:pt idx="280">
                  <c:v>1.8488149002484744E-2</c:v>
                </c:pt>
                <c:pt idx="281">
                  <c:v>1.8509646631005405E-2</c:v>
                </c:pt>
                <c:pt idx="282">
                  <c:v>1.853114378867271E-2</c:v>
                </c:pt>
                <c:pt idx="283">
                  <c:v>1.8552640475497206E-2</c:v>
                </c:pt>
                <c:pt idx="284">
                  <c:v>1.8574136691488996E-2</c:v>
                </c:pt>
                <c:pt idx="285">
                  <c:v>1.8595632436658627E-2</c:v>
                </c:pt>
                <c:pt idx="286">
                  <c:v>1.861712771101609E-2</c:v>
                </c:pt>
                <c:pt idx="287">
                  <c:v>1.8638622514572045E-2</c:v>
                </c:pt>
                <c:pt idx="288">
                  <c:v>1.8660116847336483E-2</c:v>
                </c:pt>
                <c:pt idx="289">
                  <c:v>1.8681610709319951E-2</c:v>
                </c:pt>
                <c:pt idx="290">
                  <c:v>1.8703104100532664E-2</c:v>
                </c:pt>
                <c:pt idx="291">
                  <c:v>1.8724597020985057E-2</c:v>
                </c:pt>
                <c:pt idx="292">
                  <c:v>1.8746089470687233E-2</c:v>
                </c:pt>
                <c:pt idx="293">
                  <c:v>1.8767581449649517E-2</c:v>
                </c:pt>
                <c:pt idx="294">
                  <c:v>1.8789072957882458E-2</c:v>
                </c:pt>
                <c:pt idx="295">
                  <c:v>1.8810563995396046E-2</c:v>
                </c:pt>
                <c:pt idx="296">
                  <c:v>1.8832054562200939E-2</c:v>
                </c:pt>
                <c:pt idx="297">
                  <c:v>1.8853544658307131E-2</c:v>
                </c:pt>
                <c:pt idx="298">
                  <c:v>1.8875034283725167E-2</c:v>
                </c:pt>
                <c:pt idx="299">
                  <c:v>1.8896523438465151E-2</c:v>
                </c:pt>
                <c:pt idx="300">
                  <c:v>1.891801212253752E-2</c:v>
                </c:pt>
                <c:pt idx="301">
                  <c:v>1.8939500335952597E-2</c:v>
                </c:pt>
                <c:pt idx="302">
                  <c:v>1.8960988078720709E-2</c:v>
                </c:pt>
                <c:pt idx="303">
                  <c:v>1.8982475350851957E-2</c:v>
                </c:pt>
                <c:pt idx="304">
                  <c:v>1.900396215235689E-2</c:v>
                </c:pt>
                <c:pt idx="305">
                  <c:v>1.9025448483245722E-2</c:v>
                </c:pt>
                <c:pt idx="306">
                  <c:v>1.9046934343528776E-2</c:v>
                </c:pt>
                <c:pt idx="307">
                  <c:v>1.906841973321638E-2</c:v>
                </c:pt>
                <c:pt idx="308">
                  <c:v>1.9089904652318745E-2</c:v>
                </c:pt>
                <c:pt idx="309">
                  <c:v>1.9111389100846199E-2</c:v>
                </c:pt>
                <c:pt idx="310">
                  <c:v>1.9132873078809176E-2</c:v>
                </c:pt>
                <c:pt idx="311">
                  <c:v>1.9154356586217891E-2</c:v>
                </c:pt>
                <c:pt idx="312">
                  <c:v>1.9175839623082669E-2</c:v>
                </c:pt>
                <c:pt idx="313">
                  <c:v>1.9197322189413724E-2</c:v>
                </c:pt>
                <c:pt idx="314">
                  <c:v>1.9218804285221491E-2</c:v>
                </c:pt>
                <c:pt idx="315">
                  <c:v>1.9240285910516186E-2</c:v>
                </c:pt>
                <c:pt idx="316">
                  <c:v>1.9261767065308244E-2</c:v>
                </c:pt>
                <c:pt idx="317">
                  <c:v>1.9283247749607879E-2</c:v>
                </c:pt>
                <c:pt idx="318">
                  <c:v>1.9304727963425306E-2</c:v>
                </c:pt>
                <c:pt idx="319">
                  <c:v>1.9326207706770959E-2</c:v>
                </c:pt>
                <c:pt idx="320">
                  <c:v>1.9347686979655165E-2</c:v>
                </c:pt>
                <c:pt idx="321">
                  <c:v>1.9369165782088138E-2</c:v>
                </c:pt>
                <c:pt idx="322">
                  <c:v>1.9390644114080202E-2</c:v>
                </c:pt>
                <c:pt idx="323">
                  <c:v>1.9412121975641683E-2</c:v>
                </c:pt>
                <c:pt idx="324">
                  <c:v>1.9433599366782794E-2</c:v>
                </c:pt>
                <c:pt idx="325">
                  <c:v>1.9455076287514084E-2</c:v>
                </c:pt>
                <c:pt idx="326">
                  <c:v>1.9476552737845543E-2</c:v>
                </c:pt>
                <c:pt idx="327">
                  <c:v>1.9498028717787719E-2</c:v>
                </c:pt>
                <c:pt idx="328">
                  <c:v>1.9519504227350715E-2</c:v>
                </c:pt>
                <c:pt idx="329">
                  <c:v>1.9540979266544967E-2</c:v>
                </c:pt>
                <c:pt idx="330">
                  <c:v>1.95624538353808E-2</c:v>
                </c:pt>
                <c:pt idx="331">
                  <c:v>1.9583927933868428E-2</c:v>
                </c:pt>
                <c:pt idx="332">
                  <c:v>1.9605401562018177E-2</c:v>
                </c:pt>
                <c:pt idx="333">
                  <c:v>1.962687471984037E-2</c:v>
                </c:pt>
                <c:pt idx="334">
                  <c:v>1.9648347407345335E-2</c:v>
                </c:pt>
                <c:pt idx="335">
                  <c:v>1.9669819624543283E-2</c:v>
                </c:pt>
                <c:pt idx="336">
                  <c:v>1.9691291371444652E-2</c:v>
                </c:pt>
                <c:pt idx="337">
                  <c:v>1.9712762648059545E-2</c:v>
                </c:pt>
                <c:pt idx="338">
                  <c:v>1.9734233454398509E-2</c:v>
                </c:pt>
                <c:pt idx="339">
                  <c:v>1.9755703790471535E-2</c:v>
                </c:pt>
                <c:pt idx="340">
                  <c:v>1.9777173656289282E-2</c:v>
                </c:pt>
                <c:pt idx="341">
                  <c:v>1.9798643051861742E-2</c:v>
                </c:pt>
                <c:pt idx="342">
                  <c:v>1.9820111977199351E-2</c:v>
                </c:pt>
                <c:pt idx="343">
                  <c:v>1.9841580432312433E-2</c:v>
                </c:pt>
                <c:pt idx="344">
                  <c:v>1.9863048417211204E-2</c:v>
                </c:pt>
                <c:pt idx="345">
                  <c:v>1.9884515931906099E-2</c:v>
                </c:pt>
                <c:pt idx="346">
                  <c:v>1.9905982976407222E-2</c:v>
                </c:pt>
                <c:pt idx="347">
                  <c:v>1.9927449550725007E-2</c:v>
                </c:pt>
                <c:pt idx="348">
                  <c:v>1.9948915654869781E-2</c:v>
                </c:pt>
                <c:pt idx="349">
                  <c:v>1.9970381288851757E-2</c:v>
                </c:pt>
                <c:pt idx="350">
                  <c:v>1.9991846452681261E-2</c:v>
                </c:pt>
                <c:pt idx="351">
                  <c:v>2.0013311146368506E-2</c:v>
                </c:pt>
                <c:pt idx="352">
                  <c:v>2.0034775369924041E-2</c:v>
                </c:pt>
                <c:pt idx="353">
                  <c:v>2.0056239123357855E-2</c:v>
                </c:pt>
                <c:pt idx="354">
                  <c:v>2.0077702406680387E-2</c:v>
                </c:pt>
                <c:pt idx="355">
                  <c:v>2.009916521990196E-2</c:v>
                </c:pt>
                <c:pt idx="356">
                  <c:v>2.01206275630329E-2</c:v>
                </c:pt>
                <c:pt idx="357">
                  <c:v>2.014208943608331E-2</c:v>
                </c:pt>
                <c:pt idx="358">
                  <c:v>2.0163550839063737E-2</c:v>
                </c:pt>
                <c:pt idx="359">
                  <c:v>2.0185011771984285E-2</c:v>
                </c:pt>
                <c:pt idx="360">
                  <c:v>2.0206472234855388E-2</c:v>
                </c:pt>
                <c:pt idx="361">
                  <c:v>2.0227932227687262E-2</c:v>
                </c:pt>
                <c:pt idx="362">
                  <c:v>2.0249391750490231E-2</c:v>
                </c:pt>
                <c:pt idx="363">
                  <c:v>2.0270850803274509E-2</c:v>
                </c:pt>
                <c:pt idx="364">
                  <c:v>2.0292309386050533E-2</c:v>
                </c:pt>
                <c:pt idx="365">
                  <c:v>2.0313767498828406E-2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2.8498559746523384E-2</c:v>
                </c:pt>
                <c:pt idx="1">
                  <c:v>2.8535338898936804E-2</c:v>
                </c:pt>
                <c:pt idx="2">
                  <c:v>2.8572144694001503E-2</c:v>
                </c:pt>
                <c:pt idx="3">
                  <c:v>2.8608970727834717E-2</c:v>
                </c:pt>
                <c:pt idx="4">
                  <c:v>2.8645811425436981E-2</c:v>
                </c:pt>
                <c:pt idx="5">
                  <c:v>2.8682662018411676E-2</c:v>
                </c:pt>
                <c:pt idx="6">
                  <c:v>2.8719518516129278E-2</c:v>
                </c:pt>
                <c:pt idx="7">
                  <c:v>2.8756377670828611E-2</c:v>
                </c:pt>
                <c:pt idx="8">
                  <c:v>2.8793236937194214E-2</c:v>
                </c:pt>
                <c:pt idx="9">
                  <c:v>2.8830094426989535E-2</c:v>
                </c:pt>
                <c:pt idx="10">
                  <c:v>2.8866948859360766E-2</c:v>
                </c:pt>
                <c:pt idx="11">
                  <c:v>2.8903799507453819E-2</c:v>
                </c:pt>
                <c:pt idx="12">
                  <c:v>2.8940646142008999E-2</c:v>
                </c:pt>
                <c:pt idx="13">
                  <c:v>2.897748897261208E-2</c:v>
                </c:pt>
                <c:pt idx="14">
                  <c:v>2.9014328587288998E-2</c:v>
                </c:pt>
                <c:pt idx="15">
                  <c:v>2.9051165891131957E-2</c:v>
                </c:pt>
                <c:pt idx="16">
                  <c:v>2.9088002044639297E-2</c:v>
                </c:pt>
                <c:pt idx="17">
                  <c:v>2.9124838402439141E-2</c:v>
                </c:pt>
                <c:pt idx="18">
                  <c:v>2.9161676453048291E-2</c:v>
                </c:pt>
                <c:pt idx="19">
                  <c:v>2.9198517760292989E-2</c:v>
                </c:pt>
                <c:pt idx="20">
                  <c:v>2.9235363906987694E-2</c:v>
                </c:pt>
                <c:pt idx="21">
                  <c:v>2.9272216441432124E-2</c:v>
                </c:pt>
                <c:pt idx="22">
                  <c:v>2.9309076827246122E-2</c:v>
                </c:pt>
                <c:pt idx="23">
                  <c:v>2.934594639701639E-2</c:v>
                </c:pt>
                <c:pt idx="24">
                  <c:v>2.9382826310180139E-2</c:v>
                </c:pt>
                <c:pt idx="25">
                  <c:v>2.9419717515518126E-2</c:v>
                </c:pt>
                <c:pt idx="26">
                  <c:v>2.9456620718573995E-2</c:v>
                </c:pt>
                <c:pt idx="27">
                  <c:v>2.9493536354259432E-2</c:v>
                </c:pt>
                <c:pt idx="28">
                  <c:v>2.9530464564845607E-2</c:v>
                </c:pt>
                <c:pt idx="29">
                  <c:v>2.9567405183481148E-2</c:v>
                </c:pt>
                <c:pt idx="30">
                  <c:v>2.9604357723316561E-2</c:v>
                </c:pt>
                <c:pt idx="31">
                  <c:v>2.9641321372255131E-2</c:v>
                </c:pt>
                <c:pt idx="32">
                  <c:v>2.9678294993290985E-2</c:v>
                </c:pt>
                <c:pt idx="33">
                  <c:v>2.9715277130337649E-2</c:v>
                </c:pt>
                <c:pt idx="34">
                  <c:v>2.9752266019394593E-2</c:v>
                </c:pt>
                <c:pt idx="35">
                  <c:v>2.9789259604846883E-2</c:v>
                </c:pt>
                <c:pt idx="36">
                  <c:v>2.9826255560642667E-2</c:v>
                </c:pt>
                <c:pt idx="37">
                  <c:v>2.9863251316047751E-2</c:v>
                </c:pt>
                <c:pt idx="38">
                  <c:v>2.990024408563384E-2</c:v>
                </c:pt>
                <c:pt idx="39">
                  <c:v>2.9937230903119644E-2</c:v>
                </c:pt>
                <c:pt idx="40">
                  <c:v>2.9974208658650817E-2</c:v>
                </c:pt>
                <c:pt idx="41">
                  <c:v>3.0011174139076741E-2</c:v>
                </c:pt>
                <c:pt idx="42">
                  <c:v>3.0048124070759196E-2</c:v>
                </c:pt>
                <c:pt idx="43">
                  <c:v>3.0085055164430437E-2</c:v>
                </c:pt>
                <c:pt idx="44">
                  <c:v>3.0121964161606004E-2</c:v>
                </c:pt>
                <c:pt idx="45">
                  <c:v>3.0158847882050904E-2</c:v>
                </c:pt>
                <c:pt idx="46">
                  <c:v>3.0195703271796461E-2</c:v>
                </c:pt>
                <c:pt idx="47">
                  <c:v>3.0232527451209048E-2</c:v>
                </c:pt>
                <c:pt idx="48">
                  <c:v>3.0269317762621203E-2</c:v>
                </c:pt>
                <c:pt idx="49">
                  <c:v>3.0306071817049699E-2</c:v>
                </c:pt>
                <c:pt idx="50">
                  <c:v>3.0342787539543847E-2</c:v>
                </c:pt>
                <c:pt idx="51">
                  <c:v>3.0379463212730752E-2</c:v>
                </c:pt>
                <c:pt idx="52">
                  <c:v>3.0416097518151351E-2</c:v>
                </c:pt>
                <c:pt idx="53">
                  <c:v>3.0452689575012303E-2</c:v>
                </c:pt>
                <c:pt idx="54">
                  <c:v>3.0489238976012561E-2</c:v>
                </c:pt>
                <c:pt idx="55">
                  <c:v>3.0525745819941164E-2</c:v>
                </c:pt>
                <c:pt idx="56">
                  <c:v>3.056221074078146E-2</c:v>
                </c:pt>
                <c:pt idx="57">
                  <c:v>3.0598634933098803E-2</c:v>
                </c:pt>
                <c:pt idx="58">
                  <c:v>3.0635020173530838E-2</c:v>
                </c:pt>
                <c:pt idx="59">
                  <c:v>3.0671368838243153E-2</c:v>
                </c:pt>
                <c:pt idx="60">
                  <c:v>3.0707683916256629E-2</c:v>
                </c:pt>
                <c:pt idx="61">
                  <c:v>3.0743969018596218E-2</c:v>
                </c:pt>
                <c:pt idx="62">
                  <c:v>3.0780228383253935E-2</c:v>
                </c:pt>
                <c:pt idx="63">
                  <c:v>3.0816466875999884E-2</c:v>
                </c:pt>
                <c:pt idx="64">
                  <c:v>3.0852689987115753E-2</c:v>
                </c:pt>
                <c:pt idx="65">
                  <c:v>3.0888903824162487E-2</c:v>
                </c:pt>
                <c:pt idx="66">
                  <c:v>3.0925115100929469E-2</c:v>
                </c:pt>
                <c:pt idx="67">
                  <c:v>3.0961331122745198E-2</c:v>
                </c:pt>
                <c:pt idx="68">
                  <c:v>3.0997559768358419E-2</c:v>
                </c:pt>
                <c:pt idx="69">
                  <c:v>3.1033809468624989E-2</c:v>
                </c:pt>
                <c:pt idx="70">
                  <c:v>3.1070089182257628E-2</c:v>
                </c:pt>
                <c:pt idx="71">
                  <c:v>3.1106408368914266E-2</c:v>
                </c:pt>
                <c:pt idx="72">
                  <c:v>3.114277695991486E-2</c:v>
                </c:pt>
                <c:pt idx="73">
                  <c:v>3.1179205326886873E-2</c:v>
                </c:pt>
                <c:pt idx="74">
                  <c:v>3.121570424864565E-2</c:v>
                </c:pt>
                <c:pt idx="75">
                  <c:v>3.1252284876617825E-2</c:v>
                </c:pt>
                <c:pt idx="76">
                  <c:v>3.1288958699114126E-2</c:v>
                </c:pt>
                <c:pt idx="77">
                  <c:v>3.1325737504751337E-2</c:v>
                </c:pt>
                <c:pt idx="78">
                  <c:v>3.1362633345314347E-2</c:v>
                </c:pt>
                <c:pt idx="79">
                  <c:v>3.1399658498334981E-2</c:v>
                </c:pt>
                <c:pt idx="80">
                  <c:v>3.1436825429648423E-2</c:v>
                </c:pt>
                <c:pt idx="81">
                  <c:v>3.1474146756168303E-2</c:v>
                </c:pt>
                <c:pt idx="82">
                  <c:v>3.1511635209099297E-2</c:v>
                </c:pt>
                <c:pt idx="83">
                  <c:v>3.1549303597781568E-2</c:v>
                </c:pt>
                <c:pt idx="84">
                  <c:v>3.1587164774335395E-2</c:v>
                </c:pt>
                <c:pt idx="85">
                  <c:v>3.1625231599245886E-2</c:v>
                </c:pt>
                <c:pt idx="86">
                  <c:v>3.1663516907999428E-2</c:v>
                </c:pt>
                <c:pt idx="87">
                  <c:v>3.1702033478853676E-2</c:v>
                </c:pt>
                <c:pt idx="88">
                  <c:v>3.1740794001793166E-2</c:v>
                </c:pt>
                <c:pt idx="89">
                  <c:v>3.1779811048693589E-2</c:v>
                </c:pt>
                <c:pt idx="90">
                  <c:v>3.1819097044688736E-2</c:v>
                </c:pt>
                <c:pt idx="91">
                  <c:v>3.185866424070681E-2</c:v>
                </c:pt>
                <c:pt idx="92">
                  <c:v>3.193969285105578E-2</c:v>
                </c:pt>
                <c:pt idx="93">
                  <c:v>3.2021002471580517E-2</c:v>
                </c:pt>
                <c:pt idx="94">
                  <c:v>3.2102605993291629E-2</c:v>
                </c:pt>
                <c:pt idx="95">
                  <c:v>3.2184516083248481E-2</c:v>
                </c:pt>
                <c:pt idx="96">
                  <c:v>3.2266745159317392E-2</c:v>
                </c:pt>
                <c:pt idx="97">
                  <c:v>3.2349305365281827E-2</c:v>
                </c:pt>
                <c:pt idx="98">
                  <c:v>3.2432208546146618E-2</c:v>
                </c:pt>
                <c:pt idx="99">
                  <c:v>3.2515466223469701E-2</c:v>
                </c:pt>
                <c:pt idx="100">
                  <c:v>3.2599089570551278E-2</c:v>
                </c:pt>
                <c:pt idx="101">
                  <c:v>3.2683089387309475E-2</c:v>
                </c:pt>
                <c:pt idx="102">
                  <c:v>3.2767476074675381E-2</c:v>
                </c:pt>
                <c:pt idx="103">
                  <c:v>3.285225960834736E-2</c:v>
                </c:pt>
                <c:pt idx="104">
                  <c:v>3.2937449511755881E-2</c:v>
                </c:pt>
                <c:pt idx="105">
                  <c:v>3.3023054828104935E-2</c:v>
                </c:pt>
                <c:pt idx="106">
                  <c:v>3.3109084091374426E-2</c:v>
                </c:pt>
                <c:pt idx="107">
                  <c:v>3.3195545296190045E-2</c:v>
                </c:pt>
                <c:pt idx="108">
                  <c:v>3.3282445866491692E-2</c:v>
                </c:pt>
                <c:pt idx="109">
                  <c:v>3.3369792622959846E-2</c:v>
                </c:pt>
                <c:pt idx="110">
                  <c:v>3.3457591749188963E-2</c:v>
                </c:pt>
                <c:pt idx="111">
                  <c:v>3.3545848756630213E-2</c:v>
                </c:pt>
                <c:pt idx="112">
                  <c:v>3.3634568448359312E-2</c:v>
                </c:pt>
                <c:pt idx="113">
                  <c:v>3.3723754881761159E-2</c:v>
                </c:pt>
                <c:pt idx="114">
                  <c:v>3.3813411330259023E-2</c:v>
                </c:pt>
                <c:pt idx="115">
                  <c:v>3.3903540244252746E-2</c:v>
                </c:pt>
                <c:pt idx="116">
                  <c:v>3.3994143211466758E-2</c:v>
                </c:pt>
                <c:pt idx="117">
                  <c:v>3.4085220916944499E-2</c:v>
                </c:pt>
                <c:pt idx="118">
                  <c:v>3.4176773102960231E-2</c:v>
                </c:pt>
                <c:pt idx="119">
                  <c:v>3.4268798529152371E-2</c:v>
                </c:pt>
                <c:pt idx="120">
                  <c:v>3.4361294933212681E-2</c:v>
                </c:pt>
                <c:pt idx="121">
                  <c:v>3.4454258992493755E-2</c:v>
                </c:pt>
                <c:pt idx="122">
                  <c:v>3.454768628692214E-2</c:v>
                </c:pt>
                <c:pt idx="123">
                  <c:v>3.4641571263625326E-2</c:v>
                </c:pt>
                <c:pt idx="124">
                  <c:v>3.4735907203698388E-2</c:v>
                </c:pt>
                <c:pt idx="125">
                  <c:v>3.4830686191548381E-2</c:v>
                </c:pt>
                <c:pt idx="126">
                  <c:v>3.4925899087263679E-2</c:v>
                </c:pt>
                <c:pt idx="127">
                  <c:v>3.5021535502457693E-2</c:v>
                </c:pt>
                <c:pt idx="128">
                  <c:v>3.5117583780035426E-2</c:v>
                </c:pt>
                <c:pt idx="129">
                  <c:v>3.521403097832379E-2</c:v>
                </c:pt>
                <c:pt idx="130">
                  <c:v>3.5310862859994172E-2</c:v>
                </c:pt>
                <c:pt idx="131">
                  <c:v>3.5408063886187946E-2</c:v>
                </c:pt>
                <c:pt idx="132">
                  <c:v>3.5505617216232049E-2</c:v>
                </c:pt>
                <c:pt idx="133">
                  <c:v>3.5603504713303528E-2</c:v>
                </c:pt>
                <c:pt idx="134">
                  <c:v>3.5701706956367839E-2</c:v>
                </c:pt>
                <c:pt idx="135">
                  <c:v>3.5800203258677152E-2</c:v>
                </c:pt>
                <c:pt idx="136">
                  <c:v>3.5898971693071526E-2</c:v>
                </c:pt>
                <c:pt idx="137">
                  <c:v>3.5997989124278255E-2</c:v>
                </c:pt>
                <c:pt idx="138">
                  <c:v>3.6097231248352769E-2</c:v>
                </c:pt>
                <c:pt idx="139">
                  <c:v>3.6196672639349753E-2</c:v>
                </c:pt>
                <c:pt idx="140">
                  <c:v>3.6296286803254668E-2</c:v>
                </c:pt>
                <c:pt idx="141">
                  <c:v>3.6396046239145656E-2</c:v>
                </c:pt>
                <c:pt idx="142">
                  <c:v>3.6495922507492888E-2</c:v>
                </c:pt>
                <c:pt idx="143">
                  <c:v>3.6595886305439168E-2</c:v>
                </c:pt>
                <c:pt idx="144">
                  <c:v>3.6695907548840868E-2</c:v>
                </c:pt>
                <c:pt idx="145">
                  <c:v>3.6795955460783888E-2</c:v>
                </c:pt>
                <c:pt idx="146">
                  <c:v>3.6895998666225713E-2</c:v>
                </c:pt>
                <c:pt idx="147">
                  <c:v>3.6996005292352169E-2</c:v>
                </c:pt>
                <c:pt idx="148">
                  <c:v>3.709594307417715E-2</c:v>
                </c:pt>
                <c:pt idx="149">
                  <c:v>3.7195779464855631E-2</c:v>
                </c:pt>
                <c:pt idx="150">
                  <c:v>3.7295481750126112E-2</c:v>
                </c:pt>
                <c:pt idx="151">
                  <c:v>3.7395017166248122E-2</c:v>
                </c:pt>
                <c:pt idx="152">
                  <c:v>3.7494353020754101E-2</c:v>
                </c:pt>
                <c:pt idx="153">
                  <c:v>3.7593456815294635E-2</c:v>
                </c:pt>
                <c:pt idx="154">
                  <c:v>3.7692296369820112E-2</c:v>
                </c:pt>
                <c:pt idx="155">
                  <c:v>3.7790839947313089E-2</c:v>
                </c:pt>
                <c:pt idx="156">
                  <c:v>3.788905637826253E-2</c:v>
                </c:pt>
                <c:pt idx="157">
                  <c:v>3.7986915184055101E-2</c:v>
                </c:pt>
                <c:pt idx="158">
                  <c:v>3.8084386698449921E-2</c:v>
                </c:pt>
                <c:pt idx="159">
                  <c:v>3.8181442186301075E-2</c:v>
                </c:pt>
                <c:pt idx="160">
                  <c:v>3.8278053958698592E-2</c:v>
                </c:pt>
                <c:pt idx="161">
                  <c:v>3.8374195483711022E-2</c:v>
                </c:pt>
                <c:pt idx="162">
                  <c:v>3.8469841491934192E-2</c:v>
                </c:pt>
                <c:pt idx="163">
                  <c:v>3.8564968076078135E-2</c:v>
                </c:pt>
                <c:pt idx="164">
                  <c:v>3.8659552783860067E-2</c:v>
                </c:pt>
                <c:pt idx="165">
                  <c:v>3.8753574703513129E-2</c:v>
                </c:pt>
                <c:pt idx="166">
                  <c:v>3.884701454126975E-2</c:v>
                </c:pt>
                <c:pt idx="167">
                  <c:v>3.8939854690233679E-2</c:v>
                </c:pt>
                <c:pt idx="168">
                  <c:v>3.9032079290115755E-2</c:v>
                </c:pt>
                <c:pt idx="169">
                  <c:v>3.9123674277374912E-2</c:v>
                </c:pt>
                <c:pt idx="170">
                  <c:v>3.921462742537668E-2</c:v>
                </c:pt>
                <c:pt idx="171">
                  <c:v>3.930492837425726E-2</c:v>
                </c:pt>
                <c:pt idx="172">
                  <c:v>3.9394568650259087E-2</c:v>
                </c:pt>
                <c:pt idx="173">
                  <c:v>3.9483541674385551E-2</c:v>
                </c:pt>
                <c:pt idx="174">
                  <c:v>3.9571842760305891E-2</c:v>
                </c:pt>
                <c:pt idx="175">
                  <c:v>3.9659469101525138E-2</c:v>
                </c:pt>
                <c:pt idx="176">
                  <c:v>3.9746419747919287E-2</c:v>
                </c:pt>
                <c:pt idx="177">
                  <c:v>3.9832695571820072E-2</c:v>
                </c:pt>
                <c:pt idx="178">
                  <c:v>3.9918299223916417E-2</c:v>
                </c:pt>
                <c:pt idx="179">
                  <c:v>4.0003235079321332E-2</c:v>
                </c:pt>
                <c:pt idx="180">
                  <c:v>4.0087509174230512E-2</c:v>
                </c:pt>
                <c:pt idx="181">
                  <c:v>4.0171129133673732E-2</c:v>
                </c:pt>
                <c:pt idx="182">
                  <c:v>4.0254104090930685E-2</c:v>
                </c:pt>
                <c:pt idx="183">
                  <c:v>4.0336444599246991E-2</c:v>
                </c:pt>
                <c:pt idx="184">
                  <c:v>4.041816253654705E-2</c:v>
                </c:pt>
                <c:pt idx="185">
                  <c:v>4.0499271003892147E-2</c:v>
                </c:pt>
                <c:pt idx="186">
                  <c:v>4.0579784218479457E-2</c:v>
                </c:pt>
                <c:pt idx="187">
                  <c:v>4.0659717402016349E-2</c:v>
                </c:pt>
                <c:pt idx="188">
                  <c:v>4.0739086665335662E-2</c:v>
                </c:pt>
                <c:pt idx="189">
                  <c:v>4.08179088901411E-2</c:v>
                </c:pt>
                <c:pt idx="190">
                  <c:v>4.0896201608786903E-2</c:v>
                </c:pt>
                <c:pt idx="191">
                  <c:v>4.097398288300276E-2</c:v>
                </c:pt>
                <c:pt idx="192">
                  <c:v>4.1051271182473023E-2</c:v>
                </c:pt>
                <c:pt idx="193">
                  <c:v>4.1128085264169084E-2</c:v>
                </c:pt>
                <c:pt idx="194">
                  <c:v>4.1204444053315289E-2</c:v>
                </c:pt>
                <c:pt idx="195">
                  <c:v>4.1280366526841784E-2</c:v>
                </c:pt>
                <c:pt idx="196">
                  <c:v>4.1355871600143285E-2</c:v>
                </c:pt>
                <c:pt idx="197">
                  <c:v>4.1430978017920526E-2</c:v>
                </c:pt>
                <c:pt idx="198">
                  <c:v>4.1505704249831563E-2</c:v>
                </c:pt>
                <c:pt idx="199">
                  <c:v>4.1580068391624883E-2</c:v>
                </c:pt>
                <c:pt idx="200">
                  <c:v>4.1654088072363558E-2</c:v>
                </c:pt>
                <c:pt idx="201">
                  <c:v>4.1727780368283209E-2</c:v>
                </c:pt>
                <c:pt idx="202">
                  <c:v>4.1801161723754171E-2</c:v>
                </c:pt>
                <c:pt idx="203">
                  <c:v>4.1874247879742539E-2</c:v>
                </c:pt>
                <c:pt idx="204">
                  <c:v>4.1947053810085809E-2</c:v>
                </c:pt>
                <c:pt idx="205">
                  <c:v>4.2019593665817798E-2</c:v>
                </c:pt>
                <c:pt idx="206">
                  <c:v>4.20918807276945E-2</c:v>
                </c:pt>
                <c:pt idx="207">
                  <c:v>4.2163927366989581E-2</c:v>
                </c:pt>
                <c:pt idx="208">
                  <c:v>4.2235745014545079E-2</c:v>
                </c:pt>
                <c:pt idx="209">
                  <c:v>4.2307344137981345E-2</c:v>
                </c:pt>
                <c:pt idx="210">
                  <c:v>4.2378734226890508E-2</c:v>
                </c:pt>
                <c:pt idx="211">
                  <c:v>4.2449923785760554E-2</c:v>
                </c:pt>
                <c:pt idx="212">
                  <c:v>4.2520920334304872E-2</c:v>
                </c:pt>
                <c:pt idx="213">
                  <c:v>4.2591730414802575E-2</c:v>
                </c:pt>
                <c:pt idx="214">
                  <c:v>4.2662359605992267E-2</c:v>
                </c:pt>
                <c:pt idx="215">
                  <c:v>4.2732812543003942E-2</c:v>
                </c:pt>
                <c:pt idx="216">
                  <c:v>4.2803092942762924E-2</c:v>
                </c:pt>
                <c:pt idx="217">
                  <c:v>4.2873203634255938E-2</c:v>
                </c:pt>
                <c:pt idx="218">
                  <c:v>4.2943146593012627E-2</c:v>
                </c:pt>
                <c:pt idx="219">
                  <c:v>4.301292297912758E-2</c:v>
                </c:pt>
                <c:pt idx="220">
                  <c:v>4.308253317812738E-2</c:v>
                </c:pt>
                <c:pt idx="221">
                  <c:v>4.3151976843975669E-2</c:v>
                </c:pt>
                <c:pt idx="222">
                  <c:v>4.322125294350504E-2</c:v>
                </c:pt>
                <c:pt idx="223">
                  <c:v>4.3290359801570491E-2</c:v>
                </c:pt>
                <c:pt idx="224">
                  <c:v>4.3359295146232602E-2</c:v>
                </c:pt>
                <c:pt idx="225">
                  <c:v>4.3428056153300039E-2</c:v>
                </c:pt>
                <c:pt idx="226">
                  <c:v>4.3496639489591774E-2</c:v>
                </c:pt>
                <c:pt idx="227">
                  <c:v>4.3565041354316617E-2</c:v>
                </c:pt>
                <c:pt idx="228">
                  <c:v>4.3633257518012745E-2</c:v>
                </c:pt>
                <c:pt idx="229">
                  <c:v>4.370128335854221E-2</c:v>
                </c:pt>
                <c:pt idx="230">
                  <c:v>4.3769113893692209E-2</c:v>
                </c:pt>
                <c:pt idx="231">
                  <c:v>4.3836743809999974E-2</c:v>
                </c:pt>
                <c:pt idx="232">
                  <c:v>4.3904167487484935E-2</c:v>
                </c:pt>
                <c:pt idx="233">
                  <c:v>4.3971379020044964E-2</c:v>
                </c:pt>
                <c:pt idx="234">
                  <c:v>4.4038372231348467E-2</c:v>
                </c:pt>
                <c:pt idx="235">
                  <c:v>4.4105140686132062E-2</c:v>
                </c:pt>
                <c:pt idx="236">
                  <c:v>4.4171677696892397E-2</c:v>
                </c:pt>
                <c:pt idx="237">
                  <c:v>4.4237976326040158E-2</c:v>
                </c:pt>
                <c:pt idx="238">
                  <c:v>4.4304029383663672E-2</c:v>
                </c:pt>
                <c:pt idx="239">
                  <c:v>4.4369829421126238E-2</c:v>
                </c:pt>
                <c:pt idx="240">
                  <c:v>4.4435368720797716E-2</c:v>
                </c:pt>
                <c:pt idx="241">
                  <c:v>4.4500639282291213E-2</c:v>
                </c:pt>
                <c:pt idx="242">
                  <c:v>4.4565632805645156E-2</c:v>
                </c:pt>
                <c:pt idx="243">
                  <c:v>4.4630340671952005E-2</c:v>
                </c:pt>
                <c:pt idx="244">
                  <c:v>4.469475392199318E-2</c:v>
                </c:pt>
                <c:pt idx="245">
                  <c:v>4.4758863233489141E-2</c:v>
                </c:pt>
                <c:pt idx="246">
                  <c:v>4.4822658897617079E-2</c:v>
                </c:pt>
                <c:pt idx="247">
                  <c:v>4.4886130795484022E-2</c:v>
                </c:pt>
                <c:pt idx="248">
                  <c:v>4.494926837526983E-2</c:v>
                </c:pt>
                <c:pt idx="249">
                  <c:v>4.5012060630773017E-2</c:v>
                </c:pt>
                <c:pt idx="250">
                  <c:v>4.5074496082101373E-2</c:v>
                </c:pt>
                <c:pt idx="251">
                  <c:v>4.5136562759249314E-2</c:v>
                </c:pt>
                <c:pt idx="252">
                  <c:v>4.5198248189293654E-2</c:v>
                </c:pt>
                <c:pt idx="253">
                  <c:v>4.5259539387921252E-2</c:v>
                </c:pt>
                <c:pt idx="254">
                  <c:v>4.5320422855972632E-2</c:v>
                </c:pt>
                <c:pt idx="255">
                  <c:v>4.5380884581648066E-2</c:v>
                </c:pt>
                <c:pt idx="256">
                  <c:v>4.544091004897631E-2</c:v>
                </c:pt>
                <c:pt idx="257">
                  <c:v>4.5500484253089876E-2</c:v>
                </c:pt>
                <c:pt idx="258">
                  <c:v>4.5559591722788291E-2</c:v>
                </c:pt>
                <c:pt idx="259">
                  <c:v>4.5618216550799132E-2</c:v>
                </c:pt>
                <c:pt idx="260">
                  <c:v>4.5676342432068993E-2</c:v>
                </c:pt>
                <c:pt idx="261">
                  <c:v>4.5733952710332919E-2</c:v>
                </c:pt>
                <c:pt idx="262">
                  <c:v>4.5791030433121022E-2</c:v>
                </c:pt>
                <c:pt idx="263">
                  <c:v>4.5847558415267893E-2</c:v>
                </c:pt>
                <c:pt idx="264">
                  <c:v>4.5903519310893412E-2</c:v>
                </c:pt>
                <c:pt idx="265">
                  <c:v>4.5958895693723523E-2</c:v>
                </c:pt>
                <c:pt idx="266">
                  <c:v>4.6013670145519298E-2</c:v>
                </c:pt>
                <c:pt idx="267">
                  <c:v>4.6067825352281037E-2</c:v>
                </c:pt>
                <c:pt idx="268">
                  <c:v>4.6121344207793798E-2</c:v>
                </c:pt>
                <c:pt idx="269">
                  <c:v>4.6174209923982072E-2</c:v>
                </c:pt>
                <c:pt idx="270">
                  <c:v>4.6226406147445713E-2</c:v>
                </c:pt>
                <c:pt idx="271">
                  <c:v>4.6277917081457454E-2</c:v>
                </c:pt>
                <c:pt idx="272">
                  <c:v>4.632872761261575E-2</c:v>
                </c:pt>
                <c:pt idx="273">
                  <c:v>4.6378823441266037E-2</c:v>
                </c:pt>
                <c:pt idx="274">
                  <c:v>4.6428191214729957E-2</c:v>
                </c:pt>
                <c:pt idx="275">
                  <c:v>4.647681866231642E-2</c:v>
                </c:pt>
                <c:pt idx="276">
                  <c:v>4.6524694731031081E-2</c:v>
                </c:pt>
                <c:pt idx="277">
                  <c:v>4.6571809720853959E-2</c:v>
                </c:pt>
                <c:pt idx="278">
                  <c:v>4.661815541841656E-2</c:v>
                </c:pt>
                <c:pt idx="279">
                  <c:v>4.6663725227884222E-2</c:v>
                </c:pt>
                <c:pt idx="280">
                  <c:v>4.6708514297832723E-2</c:v>
                </c:pt>
                <c:pt idx="281">
                  <c:v>4.6752519642905138E-2</c:v>
                </c:pt>
                <c:pt idx="282">
                  <c:v>4.6795740259041631E-2</c:v>
                </c:pt>
                <c:pt idx="283">
                  <c:v>4.6838177231095027E-2</c:v>
                </c:pt>
                <c:pt idx="284">
                  <c:v>4.6879833831676161E-2</c:v>
                </c:pt>
                <c:pt idx="285">
                  <c:v>4.6920715610115772E-2</c:v>
                </c:pt>
                <c:pt idx="286">
                  <c:v>4.6960830470484834E-2</c:v>
                </c:pt>
                <c:pt idx="287">
                  <c:v>4.7000188737680658E-2</c:v>
                </c:pt>
                <c:pt idx="288">
                  <c:v>4.7038803210662457E-2</c:v>
                </c:pt>
                <c:pt idx="289">
                  <c:v>4.7076689202007048E-2</c:v>
                </c:pt>
                <c:pt idx="290">
                  <c:v>4.7113864563050716E-2</c:v>
                </c:pt>
                <c:pt idx="291">
                  <c:v>4.7150349693988639E-2</c:v>
                </c:pt>
                <c:pt idx="292">
                  <c:v>4.718616753841498E-2</c:v>
                </c:pt>
                <c:pt idx="293">
                  <c:v>4.7221343561906243E-2</c:v>
                </c:pt>
                <c:pt idx="294">
                  <c:v>4.725590571437558E-2</c:v>
                </c:pt>
                <c:pt idx="295">
                  <c:v>4.7289884376054886E-2</c:v>
                </c:pt>
                <c:pt idx="296">
                  <c:v>4.7323312287094764E-2</c:v>
                </c:pt>
                <c:pt idx="297">
                  <c:v>4.7356224460907946E-2</c:v>
                </c:pt>
                <c:pt idx="298">
                  <c:v>4.7388658081517585E-2</c:v>
                </c:pt>
                <c:pt idx="299">
                  <c:v>4.7420652385308279E-2</c:v>
                </c:pt>
                <c:pt idx="300">
                  <c:v>4.7452248527712126E-2</c:v>
                </c:pt>
                <c:pt idx="301">
                  <c:v>4.7483489435493603E-2</c:v>
                </c:pt>
                <c:pt idx="302">
                  <c:v>4.7514419645425111E-2</c:v>
                </c:pt>
                <c:pt idx="303">
                  <c:v>4.7545085130266986E-2</c:v>
                </c:pt>
                <c:pt idx="304">
                  <c:v>4.7575533113082089E-2</c:v>
                </c:pt>
                <c:pt idx="305">
                  <c:v>4.7605811871022995E-2</c:v>
                </c:pt>
                <c:pt idx="306">
                  <c:v>4.7635970529829742E-2</c:v>
                </c:pt>
                <c:pt idx="307">
                  <c:v>4.7666058850365907E-2</c:v>
                </c:pt>
                <c:pt idx="308">
                  <c:v>4.7696127008599987E-2</c:v>
                </c:pt>
                <c:pt idx="309">
                  <c:v>4.7726225370507538E-2</c:v>
                </c:pt>
                <c:pt idx="310">
                  <c:v>4.7756404263424708E-2</c:v>
                </c:pt>
                <c:pt idx="311">
                  <c:v>4.7786713745427582E-2</c:v>
                </c:pt>
                <c:pt idx="312">
                  <c:v>4.7817203374341477E-2</c:v>
                </c:pt>
                <c:pt idx="313">
                  <c:v>4.7847921978000418E-2</c:v>
                </c:pt>
                <c:pt idx="314">
                  <c:v>4.7878917427380673E-2</c:v>
                </c:pt>
                <c:pt idx="315">
                  <c:v>4.7910236414219556E-2</c:v>
                </c:pt>
                <c:pt idx="316">
                  <c:v>4.7941924234706994E-2</c:v>
                </c:pt>
                <c:pt idx="317">
                  <c:v>4.7974024580797539E-2</c:v>
                </c:pt>
                <c:pt idx="318">
                  <c:v>4.8006579340638705E-2</c:v>
                </c:pt>
                <c:pt idx="319">
                  <c:v>4.8039628409546349E-2</c:v>
                </c:pt>
                <c:pt idx="320">
                  <c:v>4.8073209512879675E-2</c:v>
                </c:pt>
                <c:pt idx="321">
                  <c:v>4.8107358042079357E-2</c:v>
                </c:pt>
                <c:pt idx="322">
                  <c:v>4.8142106905031547E-2</c:v>
                </c:pt>
                <c:pt idx="323">
                  <c:v>4.8177486391809451E-2</c:v>
                </c:pt>
                <c:pt idx="324">
                  <c:v>4.8213524056724917E-2</c:v>
                </c:pt>
                <c:pt idx="325">
                  <c:v>4.8250244617493665E-2</c:v>
                </c:pt>
                <c:pt idx="326">
                  <c:v>4.8287669872183282E-2</c:v>
                </c:pt>
                <c:pt idx="327">
                  <c:v>4.832581863447187E-2</c:v>
                </c:pt>
                <c:pt idx="328">
                  <c:v>4.8364706687600081E-2</c:v>
                </c:pt>
                <c:pt idx="329">
                  <c:v>4.8404346757250562E-2</c:v>
                </c:pt>
                <c:pt idx="330">
                  <c:v>4.8444748503438557E-2</c:v>
                </c:pt>
                <c:pt idx="331">
                  <c:v>4.848591853134597E-2</c:v>
                </c:pt>
                <c:pt idx="332">
                  <c:v>4.8527860420881704E-2</c:v>
                </c:pt>
                <c:pt idx="333">
                  <c:v>4.8570574774602575E-2</c:v>
                </c:pt>
                <c:pt idx="334">
                  <c:v>4.8614059283484778E-2</c:v>
                </c:pt>
                <c:pt idx="335">
                  <c:v>4.8658308809896675E-2</c:v>
                </c:pt>
                <c:pt idx="336">
                  <c:v>4.8703315486989605E-2</c:v>
                </c:pt>
                <c:pt idx="337">
                  <c:v>4.8749068833597455E-2</c:v>
                </c:pt>
                <c:pt idx="338">
                  <c:v>4.8795555883617794E-2</c:v>
                </c:pt>
                <c:pt idx="339">
                  <c:v>4.8842761328739118E-2</c:v>
                </c:pt>
                <c:pt idx="340">
                  <c:v>4.8890667673280271E-2</c:v>
                </c:pt>
                <c:pt idx="341">
                  <c:v>4.8939255399821878E-2</c:v>
                </c:pt>
                <c:pt idx="342">
                  <c:v>4.8988503144234301E-2</c:v>
                </c:pt>
                <c:pt idx="343">
                  <c:v>4.9038387878644778E-2</c:v>
                </c:pt>
                <c:pt idx="344">
                  <c:v>4.9088885100837067E-2</c:v>
                </c:pt>
                <c:pt idx="345">
                  <c:v>4.9139969028541508E-2</c:v>
                </c:pt>
                <c:pt idx="346">
                  <c:v>4.9191612797051427E-2</c:v>
                </c:pt>
                <c:pt idx="347">
                  <c:v>4.9243788658593995E-2</c:v>
                </c:pt>
                <c:pt idx="348">
                  <c:v>4.9296468181889486E-2</c:v>
                </c:pt>
                <c:pt idx="349">
                  <c:v>4.9349622450352272E-2</c:v>
                </c:pt>
                <c:pt idx="350">
                  <c:v>4.9403222257420686E-2</c:v>
                </c:pt>
                <c:pt idx="351">
                  <c:v>4.9457238297548146E-2</c:v>
                </c:pt>
                <c:pt idx="352">
                  <c:v>4.9511641351447165E-2</c:v>
                </c:pt>
                <c:pt idx="353">
                  <c:v>4.9566402464248489E-2</c:v>
                </c:pt>
                <c:pt idx="354">
                  <c:v>4.9621493115318986E-2</c:v>
                </c:pt>
                <c:pt idx="355">
                  <c:v>4.967688537857444E-2</c:v>
                </c:pt>
                <c:pt idx="356">
                  <c:v>4.9732552072224434E-2</c:v>
                </c:pt>
                <c:pt idx="357">
                  <c:v>4.9788466896996654E-2</c:v>
                </c:pt>
                <c:pt idx="358">
                  <c:v>4.9844604562004714E-2</c:v>
                </c:pt>
                <c:pt idx="359">
                  <c:v>4.9900940897546937E-2</c:v>
                </c:pt>
                <c:pt idx="360">
                  <c:v>4.995745295425158E-2</c:v>
                </c:pt>
                <c:pt idx="361">
                  <c:v>5.0014119088115427E-2</c:v>
                </c:pt>
                <c:pt idx="362">
                  <c:v>5.0070919031116927E-2</c:v>
                </c:pt>
                <c:pt idx="363">
                  <c:v>5.0127833947220264E-2</c:v>
                </c:pt>
                <c:pt idx="364">
                  <c:v>5.0184846473721172E-2</c:v>
                </c:pt>
                <c:pt idx="365">
                  <c:v>5.0241940748019569E-2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1.3049807235711742E-4</c:v>
                </c:pt>
                <c:pt idx="1">
                  <c:v>1.299381150323328E-4</c:v>
                </c:pt>
                <c:pt idx="2">
                  <c:v>1.2924672979900347E-4</c:v>
                </c:pt>
                <c:pt idx="3">
                  <c:v>1.284326849036882E-4</c:v>
                </c:pt>
                <c:pt idx="4">
                  <c:v>1.275045632455269E-4</c:v>
                </c:pt>
                <c:pt idx="5">
                  <c:v>1.2647069977726573E-4</c:v>
                </c:pt>
                <c:pt idx="6">
                  <c:v>1.2533912923947058E-4</c:v>
                </c:pt>
                <c:pt idx="7">
                  <c:v>1.2411754334746688E-4</c:v>
                </c:pt>
                <c:pt idx="8">
                  <c:v>1.227963313957246E-4</c:v>
                </c:pt>
                <c:pt idx="9">
                  <c:v>1.2117388785381114E-4</c:v>
                </c:pt>
                <c:pt idx="10">
                  <c:v>1.1920664197677076E-4</c:v>
                </c:pt>
                <c:pt idx="11">
                  <c:v>1.1690514896672838E-4</c:v>
                </c:pt>
                <c:pt idx="12">
                  <c:v>1.1428007884292951E-4</c:v>
                </c:pt>
                <c:pt idx="13">
                  <c:v>1.1134216283852735E-4</c:v>
                </c:pt>
                <c:pt idx="14">
                  <c:v>1.0810214325206389E-4</c:v>
                </c:pt>
                <c:pt idx="15">
                  <c:v>1.0463550766803721E-4</c:v>
                </c:pt>
                <c:pt idx="16">
                  <c:v>1.0109490034567683E-4</c:v>
                </c:pt>
                <c:pt idx="17">
                  <c:v>9.7485077385516106E-5</c:v>
                </c:pt>
                <c:pt idx="18">
                  <c:v>9.3810620890403379E-5</c:v>
                </c:pt>
                <c:pt idx="19">
                  <c:v>9.0076434576471905E-5</c:v>
                </c:pt>
                <c:pt idx="20">
                  <c:v>8.628736935939826E-5</c:v>
                </c:pt>
                <c:pt idx="21">
                  <c:v>8.244760546205112E-5</c:v>
                </c:pt>
                <c:pt idx="22">
                  <c:v>7.8553715373226346E-5</c:v>
                </c:pt>
                <c:pt idx="23">
                  <c:v>7.4693784239043224E-5</c:v>
                </c:pt>
                <c:pt idx="24">
                  <c:v>7.1038283353640485E-5</c:v>
                </c:pt>
                <c:pt idx="25">
                  <c:v>6.7586316893237223E-5</c:v>
                </c:pt>
                <c:pt idx="26">
                  <c:v>6.4336256867765965E-5</c:v>
                </c:pt>
                <c:pt idx="27">
                  <c:v>6.1285852535576877E-5</c:v>
                </c:pt>
                <c:pt idx="28">
                  <c:v>5.8432333789770318E-5</c:v>
                </c:pt>
                <c:pt idx="29">
                  <c:v>5.5905661519487003E-5</c:v>
                </c:pt>
                <c:pt idx="30">
                  <c:v>5.3642359494413356E-5</c:v>
                </c:pt>
                <c:pt idx="31">
                  <c:v>5.1636422874594985E-5</c:v>
                </c:pt>
                <c:pt idx="32">
                  <c:v>4.9881787546798757E-5</c:v>
                </c:pt>
                <c:pt idx="33">
                  <c:v>4.8372414846182251E-5</c:v>
                </c:pt>
                <c:pt idx="34">
                  <c:v>4.7102367237364308E-5</c:v>
                </c:pt>
                <c:pt idx="35">
                  <c:v>4.6065875665344231E-5</c:v>
                </c:pt>
                <c:pt idx="36">
                  <c:v>4.5254601326782832E-5</c:v>
                </c:pt>
                <c:pt idx="37">
                  <c:v>4.4832400401709571E-5</c:v>
                </c:pt>
                <c:pt idx="38">
                  <c:v>4.4711964063991628E-5</c:v>
                </c:pt>
                <c:pt idx="39">
                  <c:v>4.4888275631974928E-5</c:v>
                </c:pt>
                <c:pt idx="40">
                  <c:v>4.5349524815527024E-5</c:v>
                </c:pt>
                <c:pt idx="41">
                  <c:v>4.6087895750516669E-5</c:v>
                </c:pt>
                <c:pt idx="42">
                  <c:v>4.7095841084239218E-5</c:v>
                </c:pt>
                <c:pt idx="43">
                  <c:v>4.8158089191309098E-5</c:v>
                </c:pt>
                <c:pt idx="44">
                  <c:v>4.915757287191917E-5</c:v>
                </c:pt>
                <c:pt idx="45">
                  <c:v>5.009593891690376E-5</c:v>
                </c:pt>
                <c:pt idx="46">
                  <c:v>5.0974796050751925E-5</c:v>
                </c:pt>
                <c:pt idx="47">
                  <c:v>5.1795722606479503E-5</c:v>
                </c:pt>
                <c:pt idx="48">
                  <c:v>5.2560273849731897E-5</c:v>
                </c:pt>
                <c:pt idx="49">
                  <c:v>5.3269988942020384E-5</c:v>
                </c:pt>
                <c:pt idx="50">
                  <c:v>5.3926184244338758E-5</c:v>
                </c:pt>
                <c:pt idx="51">
                  <c:v>5.4202720277819017E-5</c:v>
                </c:pt>
                <c:pt idx="52">
                  <c:v>5.3957935588254796E-5</c:v>
                </c:pt>
                <c:pt idx="53">
                  <c:v>5.3205410003336562E-5</c:v>
                </c:pt>
                <c:pt idx="54">
                  <c:v>5.1958675476483795E-5</c:v>
                </c:pt>
                <c:pt idx="55">
                  <c:v>5.0230922066061157E-5</c:v>
                </c:pt>
                <c:pt idx="56">
                  <c:v>4.8034973032761719E-5</c:v>
                </c:pt>
                <c:pt idx="57">
                  <c:v>4.5506512604370464E-5</c:v>
                </c:pt>
                <c:pt idx="58">
                  <c:v>4.2835354614729453E-5</c:v>
                </c:pt>
                <c:pt idx="59">
                  <c:v>4.002454845598282E-5</c:v>
                </c:pt>
                <c:pt idx="60">
                  <c:v>3.7076894457874577E-5</c:v>
                </c:pt>
                <c:pt idx="61">
                  <c:v>3.3994934405645259E-5</c:v>
                </c:pt>
                <c:pt idx="62">
                  <c:v>3.0780941779426973E-5</c:v>
                </c:pt>
                <c:pt idx="63">
                  <c:v>2.7436911671446851E-5</c:v>
                </c:pt>
                <c:pt idx="64">
                  <c:v>2.396388605016076E-5</c:v>
                </c:pt>
                <c:pt idx="65">
                  <c:v>2.054102566847967E-5</c:v>
                </c:pt>
                <c:pt idx="66">
                  <c:v>1.7457536525531711E-5</c:v>
                </c:pt>
                <c:pt idx="67">
                  <c:v>1.4704817040194668E-5</c:v>
                </c:pt>
                <c:pt idx="68">
                  <c:v>1.2274387449629297E-5</c:v>
                </c:pt>
                <c:pt idx="69">
                  <c:v>1.0157900730893246E-5</c:v>
                </c:pt>
                <c:pt idx="70">
                  <c:v>8.3471530157943609E-6</c:v>
                </c:pt>
                <c:pt idx="71">
                  <c:v>6.8342878292343941E-6</c:v>
                </c:pt>
                <c:pt idx="72">
                  <c:v>5.5067583951251579E-6</c:v>
                </c:pt>
                <c:pt idx="73">
                  <c:v>4.3609294471760607E-6</c:v>
                </c:pt>
                <c:pt idx="74">
                  <c:v>3.39333652517951E-6</c:v>
                </c:pt>
                <c:pt idx="75">
                  <c:v>2.6006960965298498E-6</c:v>
                </c:pt>
                <c:pt idx="76">
                  <c:v>1.9799156940354613E-6</c:v>
                </c:pt>
                <c:pt idx="77">
                  <c:v>1.528104070656071E-6</c:v>
                </c:pt>
                <c:pt idx="78">
                  <c:v>1.2425115664939053E-6</c:v>
                </c:pt>
                <c:pt idx="79">
                  <c:v>1.1250820006491199E-6</c:v>
                </c:pt>
                <c:pt idx="80">
                  <c:v>1.0122569798002839E-6</c:v>
                </c:pt>
                <c:pt idx="81">
                  <c:v>9.0464088566876297E-7</c:v>
                </c:pt>
                <c:pt idx="82">
                  <c:v>8.0287256531823692E-7</c:v>
                </c:pt>
                <c:pt idx="83">
                  <c:v>7.0762990324232857E-7</c:v>
                </c:pt>
                <c:pt idx="84">
                  <c:v>6.1963481210223861E-7</c:v>
                </c:pt>
                <c:pt idx="85">
                  <c:v>5.4569830203553388E-7</c:v>
                </c:pt>
                <c:pt idx="86">
                  <c:v>4.8250537690087709E-7</c:v>
                </c:pt>
                <c:pt idx="87">
                  <c:v>4.2992403288279117E-7</c:v>
                </c:pt>
                <c:pt idx="88">
                  <c:v>3.8783887573830103E-7</c:v>
                </c:pt>
                <c:pt idx="89">
                  <c:v>3.5615345702843184E-7</c:v>
                </c:pt>
                <c:pt idx="90">
                  <c:v>3.347925429680611E-7</c:v>
                </c:pt>
                <c:pt idx="91">
                  <c:v>3.2370433778250892E-7</c:v>
                </c:pt>
                <c:pt idx="92">
                  <c:v>3.2284580539421484E-7</c:v>
                </c:pt>
                <c:pt idx="93">
                  <c:v>3.4331751795282485E-7</c:v>
                </c:pt>
                <c:pt idx="94">
                  <c:v>3.807060987163949E-7</c:v>
                </c:pt>
                <c:pt idx="95">
                  <c:v>4.3498972815587135E-7</c:v>
                </c:pt>
                <c:pt idx="96">
                  <c:v>5.0618063744514237E-7</c:v>
                </c:pt>
                <c:pt idx="97">
                  <c:v>5.9432576792848782E-7</c:v>
                </c:pt>
                <c:pt idx="98">
                  <c:v>6.9950746251841487E-7</c:v>
                </c:pt>
                <c:pt idx="99">
                  <c:v>8.5635642676587732E-7</c:v>
                </c:pt>
                <c:pt idx="100">
                  <c:v>1.0590249291119009E-6</c:v>
                </c:pt>
                <c:pt idx="101">
                  <c:v>1.3077220831513732E-6</c:v>
                </c:pt>
                <c:pt idx="102">
                  <c:v>1.6027485638493E-6</c:v>
                </c:pt>
                <c:pt idx="103">
                  <c:v>1.9444980470851996E-6</c:v>
                </c:pt>
                <c:pt idx="104">
                  <c:v>2.3334586937173329E-6</c:v>
                </c:pt>
                <c:pt idx="105">
                  <c:v>2.7702146758476557E-6</c:v>
                </c:pt>
                <c:pt idx="106">
                  <c:v>3.2554712657921175E-6</c:v>
                </c:pt>
                <c:pt idx="107">
                  <c:v>3.8481416692324749E-6</c:v>
                </c:pt>
                <c:pt idx="108">
                  <c:v>4.5383052068145593E-6</c:v>
                </c:pt>
                <c:pt idx="109">
                  <c:v>5.3273852084326667E-6</c:v>
                </c:pt>
                <c:pt idx="110">
                  <c:v>6.2170008855256259E-6</c:v>
                </c:pt>
                <c:pt idx="111">
                  <c:v>7.2089577042504353E-6</c:v>
                </c:pt>
                <c:pt idx="112">
                  <c:v>8.3052228861572685E-6</c:v>
                </c:pt>
                <c:pt idx="113">
                  <c:v>9.5989817179197003E-6</c:v>
                </c:pt>
                <c:pt idx="114">
                  <c:v>1.1058093482114739E-5</c:v>
                </c:pt>
                <c:pt idx="115">
                  <c:v>1.2685934178008693E-5</c:v>
                </c:pt>
                <c:pt idx="116">
                  <c:v>1.4486139230677204E-5</c:v>
                </c:pt>
                <c:pt idx="117">
                  <c:v>1.6462595402010196E-5</c:v>
                </c:pt>
                <c:pt idx="118">
                  <c:v>1.8619431860852938E-5</c:v>
                </c:pt>
                <c:pt idx="119">
                  <c:v>2.0961010292365099E-5</c:v>
                </c:pt>
                <c:pt idx="120">
                  <c:v>2.3492308389092096E-5</c:v>
                </c:pt>
                <c:pt idx="121">
                  <c:v>2.6311695501479382E-5</c:v>
                </c:pt>
                <c:pt idx="122">
                  <c:v>2.9364507498717321E-5</c:v>
                </c:pt>
                <c:pt idx="123">
                  <c:v>3.2657705920389156E-5</c:v>
                </c:pt>
                <c:pt idx="124">
                  <c:v>3.6198604129889406E-5</c:v>
                </c:pt>
                <c:pt idx="125">
                  <c:v>3.9994859378241207E-5</c:v>
                </c:pt>
                <c:pt idx="126">
                  <c:v>4.4054463347163909E-5</c:v>
                </c:pt>
                <c:pt idx="127">
                  <c:v>4.8112536958432189E-5</c:v>
                </c:pt>
                <c:pt idx="128">
                  <c:v>5.2071047959192969E-5</c:v>
                </c:pt>
                <c:pt idx="129">
                  <c:v>5.592958644392768E-5</c:v>
                </c:pt>
                <c:pt idx="130">
                  <c:v>5.9687444848065244E-5</c:v>
                </c:pt>
                <c:pt idx="131">
                  <c:v>6.3343618892987633E-5</c:v>
                </c:pt>
                <c:pt idx="132">
                  <c:v>6.689680905806538E-5</c:v>
                </c:pt>
                <c:pt idx="133">
                  <c:v>7.0345422617061726E-5</c:v>
                </c:pt>
                <c:pt idx="134">
                  <c:v>7.3688431541984008E-5</c:v>
                </c:pt>
                <c:pt idx="135">
                  <c:v>7.6508135615993363E-5</c:v>
                </c:pt>
                <c:pt idx="136">
                  <c:v>7.868014911429433E-5</c:v>
                </c:pt>
                <c:pt idx="137">
                  <c:v>8.0183742744219605E-5</c:v>
                </c:pt>
                <c:pt idx="138">
                  <c:v>8.099706586484511E-5</c:v>
                </c:pt>
                <c:pt idx="139">
                  <c:v>8.1097206266133459E-5</c:v>
                </c:pt>
                <c:pt idx="140">
                  <c:v>8.0460256671456847E-5</c:v>
                </c:pt>
                <c:pt idx="141">
                  <c:v>7.9187050833814249E-5</c:v>
                </c:pt>
                <c:pt idx="142">
                  <c:v>7.7566595095983974E-5</c:v>
                </c:pt>
                <c:pt idx="143">
                  <c:v>7.5584453494646458E-5</c:v>
                </c:pt>
                <c:pt idx="144">
                  <c:v>7.3226331307058807E-5</c:v>
                </c:pt>
                <c:pt idx="145">
                  <c:v>7.0477634092775421E-5</c:v>
                </c:pt>
                <c:pt idx="146">
                  <c:v>6.7323514779743727E-5</c:v>
                </c:pt>
                <c:pt idx="147">
                  <c:v>6.3748924199501692E-5</c:v>
                </c:pt>
                <c:pt idx="148">
                  <c:v>5.9738949958095208E-5</c:v>
                </c:pt>
                <c:pt idx="149">
                  <c:v>5.5539159654289441E-5</c:v>
                </c:pt>
                <c:pt idx="150">
                  <c:v>5.1636108021048667E-5</c:v>
                </c:pt>
                <c:pt idx="151">
                  <c:v>4.8040193512064636E-5</c:v>
                </c:pt>
                <c:pt idx="152">
                  <c:v>4.4762095438214002E-5</c:v>
                </c:pt>
                <c:pt idx="153">
                  <c:v>4.1812750280054575E-5</c:v>
                </c:pt>
                <c:pt idx="154">
                  <c:v>3.9203326874317453E-5</c:v>
                </c:pt>
                <c:pt idx="155">
                  <c:v>3.6981598933431419E-5</c:v>
                </c:pt>
                <c:pt idx="156">
                  <c:v>3.5018845371471639E-5</c:v>
                </c:pt>
                <c:pt idx="157">
                  <c:v>3.3324971658216961E-5</c:v>
                </c:pt>
                <c:pt idx="158">
                  <c:v>3.1910033539416766E-5</c:v>
                </c:pt>
                <c:pt idx="159">
                  <c:v>3.0784213430602146E-5</c:v>
                </c:pt>
                <c:pt idx="160">
                  <c:v>2.995779695183926E-5</c:v>
                </c:pt>
                <c:pt idx="161">
                  <c:v>2.9441149902295155E-5</c:v>
                </c:pt>
                <c:pt idx="162">
                  <c:v>2.9245000446467257E-5</c:v>
                </c:pt>
                <c:pt idx="163">
                  <c:v>2.9374460945780165E-5</c:v>
                </c:pt>
                <c:pt idx="164">
                  <c:v>2.9533930245740762E-5</c:v>
                </c:pt>
                <c:pt idx="165">
                  <c:v>2.9724410870936343E-5</c:v>
                </c:pt>
                <c:pt idx="166">
                  <c:v>2.9946917812909357E-5</c:v>
                </c:pt>
                <c:pt idx="167">
                  <c:v>3.0202473735209884E-5</c:v>
                </c:pt>
                <c:pt idx="168">
                  <c:v>3.0492104134653942E-5</c:v>
                </c:pt>
                <c:pt idx="169">
                  <c:v>3.0811178478294955E-5</c:v>
                </c:pt>
                <c:pt idx="170">
                  <c:v>3.1116891104587084E-5</c:v>
                </c:pt>
                <c:pt idx="171">
                  <c:v>3.1408731549144193E-5</c:v>
                </c:pt>
                <c:pt idx="172">
                  <c:v>3.1686202491560257E-5</c:v>
                </c:pt>
                <c:pt idx="173">
                  <c:v>3.1948494485113866E-5</c:v>
                </c:pt>
                <c:pt idx="174">
                  <c:v>3.2194786455698827E-5</c:v>
                </c:pt>
                <c:pt idx="175">
                  <c:v>3.2424588316924054E-5</c:v>
                </c:pt>
                <c:pt idx="176">
                  <c:v>3.2637988730836387E-5</c:v>
                </c:pt>
                <c:pt idx="177">
                  <c:v>3.2882255089423239E-5</c:v>
                </c:pt>
                <c:pt idx="178">
                  <c:v>3.3164383913819222E-5</c:v>
                </c:pt>
                <c:pt idx="179">
                  <c:v>3.3485555037231483E-5</c:v>
                </c:pt>
                <c:pt idx="180">
                  <c:v>3.3846927209039942E-5</c:v>
                </c:pt>
                <c:pt idx="181">
                  <c:v>3.4249636833978289E-5</c:v>
                </c:pt>
                <c:pt idx="182">
                  <c:v>3.4694797030844946E-5</c:v>
                </c:pt>
                <c:pt idx="183">
                  <c:v>3.5542374284684347E-5</c:v>
                </c:pt>
                <c:pt idx="184">
                  <c:v>3.6806517166650291E-5</c:v>
                </c:pt>
                <c:pt idx="185">
                  <c:v>3.8495161425612294E-5</c:v>
                </c:pt>
                <c:pt idx="186">
                  <c:v>4.0615954540394281E-5</c:v>
                </c:pt>
                <c:pt idx="187">
                  <c:v>4.3176265686396103E-5</c:v>
                </c:pt>
                <c:pt idx="188">
                  <c:v>4.6183198116397367E-5</c:v>
                </c:pt>
                <c:pt idx="189">
                  <c:v>4.9643603735929718E-5</c:v>
                </c:pt>
                <c:pt idx="190">
                  <c:v>5.3564302653948192E-5</c:v>
                </c:pt>
                <c:pt idx="191">
                  <c:v>5.8125738348582696E-5</c:v>
                </c:pt>
                <c:pt idx="192">
                  <c:v>6.328322907934986E-5</c:v>
                </c:pt>
                <c:pt idx="193">
                  <c:v>6.9043654146238312E-5</c:v>
                </c:pt>
                <c:pt idx="194">
                  <c:v>7.5413689007084234E-5</c:v>
                </c:pt>
                <c:pt idx="195">
                  <c:v>8.2399822894194363E-5</c:v>
                </c:pt>
                <c:pt idx="196">
                  <c:v>9.0008376359336406E-5</c:v>
                </c:pt>
                <c:pt idx="197">
                  <c:v>9.7512803590056975E-5</c:v>
                </c:pt>
                <c:pt idx="198">
                  <c:v>1.0451815037919345E-4</c:v>
                </c:pt>
                <c:pt idx="199">
                  <c:v>1.1101446581663855E-4</c:v>
                </c:pt>
                <c:pt idx="200">
                  <c:v>1.169921525885705E-4</c:v>
                </c:pt>
                <c:pt idx="201">
                  <c:v>1.2244194680494737E-4</c:v>
                </c:pt>
                <c:pt idx="202">
                  <c:v>1.2735489716309781E-4</c:v>
                </c:pt>
                <c:pt idx="203">
                  <c:v>1.3172234382091927E-4</c:v>
                </c:pt>
                <c:pt idx="204">
                  <c:v>1.3553628808633938E-4</c:v>
                </c:pt>
                <c:pt idx="205">
                  <c:v>1.3830303022800455E-4</c:v>
                </c:pt>
                <c:pt idx="206">
                  <c:v>1.3982673890650427E-4</c:v>
                </c:pt>
                <c:pt idx="207">
                  <c:v>1.4009295900929746E-4</c:v>
                </c:pt>
                <c:pt idx="208">
                  <c:v>1.3908748152976206E-4</c:v>
                </c:pt>
                <c:pt idx="209">
                  <c:v>1.3679630255786454E-4</c:v>
                </c:pt>
                <c:pt idx="210">
                  <c:v>1.3320558522552433E-4</c:v>
                </c:pt>
                <c:pt idx="211">
                  <c:v>1.2851513522074316E-4</c:v>
                </c:pt>
                <c:pt idx="212">
                  <c:v>1.2349582315439889E-4</c:v>
                </c:pt>
                <c:pt idx="213">
                  <c:v>1.1814589576029054E-4</c:v>
                </c:pt>
                <c:pt idx="214">
                  <c:v>1.1246351744493693E-4</c:v>
                </c:pt>
                <c:pt idx="215">
                  <c:v>1.0644677007888451E-4</c:v>
                </c:pt>
                <c:pt idx="216">
                  <c:v>1.000936537036199E-4</c:v>
                </c:pt>
                <c:pt idx="217">
                  <c:v>9.3402088062357426E-5</c:v>
                </c:pt>
                <c:pt idx="218">
                  <c:v>8.6369566601219257E-5</c:v>
                </c:pt>
                <c:pt idx="219">
                  <c:v>7.9185746440064755E-5</c:v>
                </c:pt>
                <c:pt idx="220">
                  <c:v>7.2362573153641988E-5</c:v>
                </c:pt>
                <c:pt idx="221">
                  <c:v>6.5904987324239711E-5</c:v>
                </c:pt>
                <c:pt idx="222">
                  <c:v>5.9817816919950035E-5</c:v>
                </c:pt>
                <c:pt idx="223">
                  <c:v>5.4105792446999389E-5</c:v>
                </c:pt>
                <c:pt idx="224">
                  <c:v>4.8773561326997554E-5</c:v>
                </c:pt>
                <c:pt idx="225">
                  <c:v>4.3953975806156057E-5</c:v>
                </c:pt>
                <c:pt idx="226">
                  <c:v>3.9426401311730509E-5</c:v>
                </c:pt>
                <c:pt idx="227">
                  <c:v>3.5194102789431293E-5</c:v>
                </c:pt>
                <c:pt idx="228">
                  <c:v>3.1260320991053164E-5</c:v>
                </c:pt>
                <c:pt idx="229">
                  <c:v>2.7628280888409212E-5</c:v>
                </c:pt>
                <c:pt idx="230">
                  <c:v>2.4301199725189231E-5</c:v>
                </c:pt>
                <c:pt idx="231">
                  <c:v>2.128229476156397E-5</c:v>
                </c:pt>
                <c:pt idx="232">
                  <c:v>1.8574076911097603E-5</c:v>
                </c:pt>
                <c:pt idx="233">
                  <c:v>1.6257353562884049E-5</c:v>
                </c:pt>
                <c:pt idx="234">
                  <c:v>1.4134747127524617E-5</c:v>
                </c:pt>
                <c:pt idx="235">
                  <c:v>1.2208701262498527E-5</c:v>
                </c:pt>
                <c:pt idx="236">
                  <c:v>1.0481517343999885E-5</c:v>
                </c:pt>
                <c:pt idx="237">
                  <c:v>8.9553733492602344E-6</c:v>
                </c:pt>
                <c:pt idx="238">
                  <c:v>7.6323647770337869E-6</c:v>
                </c:pt>
                <c:pt idx="239">
                  <c:v>6.5426786924380129E-6</c:v>
                </c:pt>
                <c:pt idx="240">
                  <c:v>5.5538207877917456E-6</c:v>
                </c:pt>
                <c:pt idx="241">
                  <c:v>4.6667567231475665E-6</c:v>
                </c:pt>
                <c:pt idx="242">
                  <c:v>3.8824406507731185E-6</c:v>
                </c:pt>
                <c:pt idx="243">
                  <c:v>3.2018322179149331E-6</c:v>
                </c:pt>
                <c:pt idx="244">
                  <c:v>2.6259141644716939E-6</c:v>
                </c:pt>
                <c:pt idx="245">
                  <c:v>2.1557105836552286E-6</c:v>
                </c:pt>
                <c:pt idx="246">
                  <c:v>1.7922645442279947E-6</c:v>
                </c:pt>
                <c:pt idx="247">
                  <c:v>1.557574293039787E-6</c:v>
                </c:pt>
                <c:pt idx="248">
                  <c:v>1.3711758808830954E-6</c:v>
                </c:pt>
                <c:pt idx="249">
                  <c:v>1.2336418780380595E-6</c:v>
                </c:pt>
                <c:pt idx="250">
                  <c:v>1.145581486585267E-6</c:v>
                </c:pt>
                <c:pt idx="251">
                  <c:v>1.1076376091213652E-6</c:v>
                </c:pt>
                <c:pt idx="252">
                  <c:v>1.1204837027126116E-6</c:v>
                </c:pt>
                <c:pt idx="253">
                  <c:v>1.2070438132980731E-6</c:v>
                </c:pt>
                <c:pt idx="254">
                  <c:v>1.3384439566223839E-6</c:v>
                </c:pt>
                <c:pt idx="255">
                  <c:v>1.5153408283081631E-6</c:v>
                </c:pt>
                <c:pt idx="256">
                  <c:v>1.7384019947772311E-6</c:v>
                </c:pt>
                <c:pt idx="257">
                  <c:v>2.0083019596102533E-6</c:v>
                </c:pt>
                <c:pt idx="258">
                  <c:v>2.3257179132401661E-6</c:v>
                </c:pt>
                <c:pt idx="259">
                  <c:v>2.6913251520991454E-6</c:v>
                </c:pt>
                <c:pt idx="260">
                  <c:v>3.1059789411417537E-6</c:v>
                </c:pt>
                <c:pt idx="261">
                  <c:v>3.878003828843383E-6</c:v>
                </c:pt>
                <c:pt idx="262">
                  <c:v>4.990803167984624E-6</c:v>
                </c:pt>
                <c:pt idx="263">
                  <c:v>6.4500244923978264E-6</c:v>
                </c:pt>
                <c:pt idx="264">
                  <c:v>8.2613941143793605E-6</c:v>
                </c:pt>
                <c:pt idx="265">
                  <c:v>1.0430711218077236E-5</c:v>
                </c:pt>
                <c:pt idx="266">
                  <c:v>1.296374579692184E-5</c:v>
                </c:pt>
                <c:pt idx="267">
                  <c:v>1.6240693131756181E-5</c:v>
                </c:pt>
                <c:pt idx="268">
                  <c:v>2.0248786847743638E-5</c:v>
                </c:pt>
                <c:pt idx="269">
                  <c:v>2.4998586170374612E-5</c:v>
                </c:pt>
                <c:pt idx="270">
                  <c:v>3.0500161598708003E-5</c:v>
                </c:pt>
                <c:pt idx="271">
                  <c:v>3.6762911301503292E-5</c:v>
                </c:pt>
                <c:pt idx="272">
                  <c:v>4.3795367478701938E-5</c:v>
                </c:pt>
                <c:pt idx="273">
                  <c:v>5.1604993172530222E-5</c:v>
                </c:pt>
                <c:pt idx="274">
                  <c:v>6.0200897668412401E-5</c:v>
                </c:pt>
                <c:pt idx="275">
                  <c:v>6.917766190172762E-5</c:v>
                </c:pt>
                <c:pt idx="276">
                  <c:v>7.8204568706526288E-5</c:v>
                </c:pt>
                <c:pt idx="277">
                  <c:v>8.7278901561516469E-5</c:v>
                </c:pt>
                <c:pt idx="278">
                  <c:v>9.6397871827142833E-5</c:v>
                </c:pt>
                <c:pt idx="279">
                  <c:v>1.055586294786202E-4</c:v>
                </c:pt>
                <c:pt idx="280">
                  <c:v>1.1475827565599746E-4</c:v>
                </c:pt>
                <c:pt idx="281">
                  <c:v>1.2330106539423558E-4</c:v>
                </c:pt>
                <c:pt idx="282">
                  <c:v>1.3077452288630094E-4</c:v>
                </c:pt>
                <c:pt idx="283">
                  <c:v>1.3716302788941627E-4</c:v>
                </c:pt>
                <c:pt idx="284">
                  <c:v>1.4245148852976813E-4</c:v>
                </c:pt>
                <c:pt idx="285">
                  <c:v>1.4662537629255861E-4</c:v>
                </c:pt>
                <c:pt idx="286">
                  <c:v>1.4967075506982003E-4</c:v>
                </c:pt>
                <c:pt idx="287">
                  <c:v>1.5157430342863253E-4</c:v>
                </c:pt>
                <c:pt idx="288">
                  <c:v>1.5232691393223256E-4</c:v>
                </c:pt>
                <c:pt idx="289">
                  <c:v>1.5192806785782235E-4</c:v>
                </c:pt>
                <c:pt idx="290">
                  <c:v>1.5080774490983039E-4</c:v>
                </c:pt>
                <c:pt idx="291">
                  <c:v>1.4895805191726379E-4</c:v>
                </c:pt>
                <c:pt idx="292">
                  <c:v>1.4637138575814164E-4</c:v>
                </c:pt>
                <c:pt idx="293">
                  <c:v>1.4304049265717126E-4</c:v>
                </c:pt>
                <c:pt idx="294">
                  <c:v>1.3895852622879153E-4</c:v>
                </c:pt>
                <c:pt idx="295">
                  <c:v>1.3447028400928455E-4</c:v>
                </c:pt>
                <c:pt idx="296">
                  <c:v>1.3030377818896597E-4</c:v>
                </c:pt>
                <c:pt idx="297">
                  <c:v>1.2646348126621172E-4</c:v>
                </c:pt>
                <c:pt idx="298">
                  <c:v>1.2295267194034824E-4</c:v>
                </c:pt>
                <c:pt idx="299">
                  <c:v>1.1977455642386764E-4</c:v>
                </c:pt>
                <c:pt idx="300">
                  <c:v>1.1693224010249751E-4</c:v>
                </c:pt>
                <c:pt idx="301">
                  <c:v>1.1442869944893044E-4</c:v>
                </c:pt>
                <c:pt idx="302">
                  <c:v>1.1227319383215561E-4</c:v>
                </c:pt>
                <c:pt idx="303">
                  <c:v>1.1068328760896839E-4</c:v>
                </c:pt>
                <c:pt idx="304">
                  <c:v>1.0965266180673191E-4</c:v>
                </c:pt>
                <c:pt idx="305">
                  <c:v>1.0918487855831407E-4</c:v>
                </c:pt>
                <c:pt idx="306">
                  <c:v>1.0928347355278769E-4</c:v>
                </c:pt>
                <c:pt idx="307">
                  <c:v>1.0995193248438579E-4</c:v>
                </c:pt>
                <c:pt idx="308">
                  <c:v>1.1119366643317011E-4</c:v>
                </c:pt>
                <c:pt idx="309">
                  <c:v>1.131883663351072E-4</c:v>
                </c:pt>
                <c:pt idx="310">
                  <c:v>1.1557630645359223E-4</c:v>
                </c:pt>
                <c:pt idx="311">
                  <c:v>1.1835930283717755E-4</c:v>
                </c:pt>
                <c:pt idx="312">
                  <c:v>1.2153901237430064E-4</c:v>
                </c:pt>
                <c:pt idx="313">
                  <c:v>1.2511690229619554E-4</c:v>
                </c:pt>
                <c:pt idx="314">
                  <c:v>1.2909421606876559E-4</c:v>
                </c:pt>
                <c:pt idx="315">
                  <c:v>1.3347193520252371E-4</c:v>
                </c:pt>
                <c:pt idx="316">
                  <c:v>1.3825660766066738E-4</c:v>
                </c:pt>
                <c:pt idx="317">
                  <c:v>1.4352848602105072E-4</c:v>
                </c:pt>
                <c:pt idx="318">
                  <c:v>1.4907616556284408E-4</c:v>
                </c:pt>
                <c:pt idx="319">
                  <c:v>1.5490242509507088E-4</c:v>
                </c:pt>
                <c:pt idx="320">
                  <c:v>1.6101014383543575E-4</c:v>
                </c:pt>
                <c:pt idx="321">
                  <c:v>1.6740229050009344E-4</c:v>
                </c:pt>
                <c:pt idx="322">
                  <c:v>1.7408190855186791E-4</c:v>
                </c:pt>
                <c:pt idx="323">
                  <c:v>1.8074108795427532E-4</c:v>
                </c:pt>
                <c:pt idx="324">
                  <c:v>1.871990236347914E-4</c:v>
                </c:pt>
                <c:pt idx="325">
                  <c:v>1.9345543106223428E-4</c:v>
                </c:pt>
                <c:pt idx="326">
                  <c:v>1.9950858446710187E-4</c:v>
                </c:pt>
                <c:pt idx="327">
                  <c:v>2.0535722879760486E-4</c:v>
                </c:pt>
                <c:pt idx="328">
                  <c:v>2.110008828085122E-4</c:v>
                </c:pt>
                <c:pt idx="329">
                  <c:v>2.1643884202810073E-4</c:v>
                </c:pt>
                <c:pt idx="330">
                  <c:v>2.2169868512836262E-4</c:v>
                </c:pt>
                <c:pt idx="331">
                  <c:v>2.2653343826105571E-4</c:v>
                </c:pt>
                <c:pt idx="332">
                  <c:v>2.3085699942163195E-4</c:v>
                </c:pt>
                <c:pt idx="333">
                  <c:v>2.3465487081407842E-4</c:v>
                </c:pt>
                <c:pt idx="334">
                  <c:v>2.3791049716890761E-4</c:v>
                </c:pt>
                <c:pt idx="335">
                  <c:v>2.4060549472791889E-4</c:v>
                </c:pt>
                <c:pt idx="336">
                  <c:v>2.4271992333717868E-4</c:v>
                </c:pt>
                <c:pt idx="337">
                  <c:v>2.4433948098677471E-4</c:v>
                </c:pt>
                <c:pt idx="338">
                  <c:v>2.4576782950008394E-4</c:v>
                </c:pt>
                <c:pt idx="339">
                  <c:v>2.469864491956499E-4</c:v>
                </c:pt>
                <c:pt idx="340">
                  <c:v>2.4797618229045098E-4</c:v>
                </c:pt>
                <c:pt idx="341">
                  <c:v>2.4871744808279008E-4</c:v>
                </c:pt>
                <c:pt idx="342">
                  <c:v>2.4919049484767574E-4</c:v>
                </c:pt>
                <c:pt idx="343">
                  <c:v>2.4937568736181816E-4</c:v>
                </c:pt>
                <c:pt idx="344">
                  <c:v>2.4929701266901216E-4</c:v>
                </c:pt>
                <c:pt idx="345">
                  <c:v>2.4898782298607598E-4</c:v>
                </c:pt>
                <c:pt idx="346">
                  <c:v>2.4871813118653368E-4</c:v>
                </c:pt>
                <c:pt idx="347">
                  <c:v>2.4848362013924218E-4</c:v>
                </c:pt>
                <c:pt idx="348">
                  <c:v>2.4827991970209813E-4</c:v>
                </c:pt>
                <c:pt idx="349">
                  <c:v>2.4810263002286015E-4</c:v>
                </c:pt>
                <c:pt idx="350">
                  <c:v>2.4794734594763912E-4</c:v>
                </c:pt>
                <c:pt idx="351">
                  <c:v>2.4780410381013043E-4</c:v>
                </c:pt>
                <c:pt idx="352">
                  <c:v>2.4755987588424659E-4</c:v>
                </c:pt>
                <c:pt idx="353">
                  <c:v>2.4721091213185056E-4</c:v>
                </c:pt>
                <c:pt idx="354">
                  <c:v>2.4675382733994655E-4</c:v>
                </c:pt>
                <c:pt idx="355">
                  <c:v>2.4618564039733277E-4</c:v>
                </c:pt>
                <c:pt idx="356">
                  <c:v>2.455024980881478E-4</c:v>
                </c:pt>
                <c:pt idx="357">
                  <c:v>2.4470333552263868E-4</c:v>
                </c:pt>
                <c:pt idx="358">
                  <c:v>2.4376376655339276E-4</c:v>
                </c:pt>
                <c:pt idx="359">
                  <c:v>2.4267029609270968E-4</c:v>
                </c:pt>
                <c:pt idx="360">
                  <c:v>2.4154274212356974E-4</c:v>
                </c:pt>
                <c:pt idx="361">
                  <c:v>2.403987366028482E-4</c:v>
                </c:pt>
                <c:pt idx="362">
                  <c:v>2.3925017361720919E-4</c:v>
                </c:pt>
                <c:pt idx="363">
                  <c:v>2.3810862490591399E-4</c:v>
                </c:pt>
                <c:pt idx="364">
                  <c:v>2.3698528374981384E-4</c:v>
                </c:pt>
                <c:pt idx="365">
                  <c:v>2.3589092378278773E-4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923448"/>
        <c:axId val="545923840"/>
      </c:lineChart>
      <c:dateAx>
        <c:axId val="5459234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3840"/>
        <c:crosses val="autoZero"/>
        <c:auto val="1"/>
        <c:lblOffset val="100"/>
        <c:baseTimeUnit val="days"/>
        <c:majorUnit val="1"/>
        <c:majorTimeUnit val="months"/>
      </c:dateAx>
      <c:valAx>
        <c:axId val="5459238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34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24.740384975158225</c:v>
                </c:pt>
                <c:pt idx="1">
                  <c:v>24.915577429346705</c:v>
                </c:pt>
                <c:pt idx="2">
                  <c:v>25.098268284208636</c:v>
                </c:pt>
                <c:pt idx="3">
                  <c:v>25.287280839160026</c:v>
                </c:pt>
                <c:pt idx="4">
                  <c:v>25.481438650005028</c:v>
                </c:pt>
                <c:pt idx="5">
                  <c:v>25.679565539234083</c:v>
                </c:pt>
                <c:pt idx="6">
                  <c:v>25.880485589205399</c:v>
                </c:pt>
                <c:pt idx="7">
                  <c:v>26.083023150543731</c:v>
                </c:pt>
                <c:pt idx="8">
                  <c:v>26.289626355607421</c:v>
                </c:pt>
                <c:pt idx="9">
                  <c:v>26.503380497405026</c:v>
                </c:pt>
                <c:pt idx="10">
                  <c:v>26.724059748057957</c:v>
                </c:pt>
                <c:pt idx="11">
                  <c:v>26.951436913394311</c:v>
                </c:pt>
                <c:pt idx="12">
                  <c:v>27.185284834073737</c:v>
                </c:pt>
                <c:pt idx="13">
                  <c:v>27.425376396402466</c:v>
                </c:pt>
                <c:pt idx="14">
                  <c:v>27.671484525655078</c:v>
                </c:pt>
                <c:pt idx="15">
                  <c:v>27.923380382347741</c:v>
                </c:pt>
                <c:pt idx="16">
                  <c:v>28.180832929132769</c:v>
                </c:pt>
                <c:pt idx="17">
                  <c:v>28.443615223865731</c:v>
                </c:pt>
                <c:pt idx="18">
                  <c:v>28.71150037642299</c:v>
                </c:pt>
                <c:pt idx="19">
                  <c:v>28.984261527599994</c:v>
                </c:pt>
                <c:pt idx="20">
                  <c:v>29.26167186423562</c:v>
                </c:pt>
                <c:pt idx="21">
                  <c:v>29.543504642991813</c:v>
                </c:pt>
                <c:pt idx="22">
                  <c:v>29.832326564557725</c:v>
                </c:pt>
                <c:pt idx="23">
                  <c:v>30.13016585123512</c:v>
                </c:pt>
                <c:pt idx="24">
                  <c:v>30.435987237502811</c:v>
                </c:pt>
                <c:pt idx="25">
                  <c:v>30.748760746004304</c:v>
                </c:pt>
                <c:pt idx="26">
                  <c:v>31.0674566586253</c:v>
                </c:pt>
                <c:pt idx="27">
                  <c:v>31.39104550464004</c:v>
                </c:pt>
                <c:pt idx="28">
                  <c:v>31.718498075133603</c:v>
                </c:pt>
                <c:pt idx="29">
                  <c:v>32.048781146737632</c:v>
                </c:pt>
                <c:pt idx="30">
                  <c:v>32.380867829845855</c:v>
                </c:pt>
                <c:pt idx="31">
                  <c:v>32.713729686853178</c:v>
                </c:pt>
                <c:pt idx="32">
                  <c:v>33.046338536802224</c:v>
                </c:pt>
                <c:pt idx="33">
                  <c:v>33.377666458585338</c:v>
                </c:pt>
                <c:pt idx="34">
                  <c:v>33.706685789867173</c:v>
                </c:pt>
                <c:pt idx="35">
                  <c:v>34.032369128132466</c:v>
                </c:pt>
                <c:pt idx="36">
                  <c:v>34.35581347917941</c:v>
                </c:pt>
                <c:pt idx="37">
                  <c:v>34.678931808798566</c:v>
                </c:pt>
                <c:pt idx="38">
                  <c:v>35.001932476736144</c:v>
                </c:pt>
                <c:pt idx="39">
                  <c:v>35.325021009903857</c:v>
                </c:pt>
                <c:pt idx="40">
                  <c:v>35.648403143354358</c:v>
                </c:pt>
                <c:pt idx="41">
                  <c:v>35.972284441967524</c:v>
                </c:pt>
                <c:pt idx="42">
                  <c:v>36.29687042661773</c:v>
                </c:pt>
                <c:pt idx="43">
                  <c:v>36.622374189847633</c:v>
                </c:pt>
                <c:pt idx="44">
                  <c:v>36.949005428256143</c:v>
                </c:pt>
                <c:pt idx="45">
                  <c:v>37.276969517566599</c:v>
                </c:pt>
                <c:pt idx="46">
                  <c:v>37.60647178241252</c:v>
                </c:pt>
                <c:pt idx="47">
                  <c:v>37.937717495603067</c:v>
                </c:pt>
                <c:pt idx="48">
                  <c:v>38.270911874412285</c:v>
                </c:pt>
                <c:pt idx="49">
                  <c:v>38.606260078588278</c:v>
                </c:pt>
                <c:pt idx="50">
                  <c:v>38.944121251708587</c:v>
                </c:pt>
                <c:pt idx="51">
                  <c:v>39.284525025184109</c:v>
                </c:pt>
                <c:pt idx="52">
                  <c:v>39.627169004338832</c:v>
                </c:pt>
                <c:pt idx="53">
                  <c:v>39.971744847840448</c:v>
                </c:pt>
                <c:pt idx="54">
                  <c:v>40.317944258333732</c:v>
                </c:pt>
                <c:pt idx="55">
                  <c:v>40.665458991023051</c:v>
                </c:pt>
                <c:pt idx="56">
                  <c:v>41.013980849928245</c:v>
                </c:pt>
                <c:pt idx="57">
                  <c:v>41.363196588368915</c:v>
                </c:pt>
                <c:pt idx="58">
                  <c:v>41.712790558390694</c:v>
                </c:pt>
                <c:pt idx="59">
                  <c:v>42.062454744019981</c:v>
                </c:pt>
                <c:pt idx="60">
                  <c:v>42.411881175439746</c:v>
                </c:pt>
                <c:pt idx="61">
                  <c:v>42.7607619275799</c:v>
                </c:pt>
                <c:pt idx="62">
                  <c:v>43.108789119302948</c:v>
                </c:pt>
                <c:pt idx="63">
                  <c:v>43.455654912242146</c:v>
                </c:pt>
                <c:pt idx="64">
                  <c:v>43.802265726066139</c:v>
                </c:pt>
                <c:pt idx="65">
                  <c:v>44.149588277180023</c:v>
                </c:pt>
                <c:pt idx="66">
                  <c:v>44.49740402995841</c:v>
                </c:pt>
                <c:pt idx="67">
                  <c:v>44.845507410572232</c:v>
                </c:pt>
                <c:pt idx="68">
                  <c:v>45.193692859847729</c:v>
                </c:pt>
                <c:pt idx="69">
                  <c:v>45.541754833437651</c:v>
                </c:pt>
                <c:pt idx="70">
                  <c:v>45.889487801978028</c:v>
                </c:pt>
                <c:pt idx="71">
                  <c:v>46.236686242175338</c:v>
                </c:pt>
                <c:pt idx="72">
                  <c:v>46.583149530519727</c:v>
                </c:pt>
                <c:pt idx="73">
                  <c:v>46.928672101782503</c:v>
                </c:pt>
                <c:pt idx="74">
                  <c:v>47.27304840202072</c:v>
                </c:pt>
                <c:pt idx="75">
                  <c:v>47.616072888824746</c:v>
                </c:pt>
                <c:pt idx="76">
                  <c:v>47.957540033476853</c:v>
                </c:pt>
                <c:pt idx="77">
                  <c:v>48.297244320378013</c:v>
                </c:pt>
                <c:pt idx="78">
                  <c:v>48.637714232946436</c:v>
                </c:pt>
                <c:pt idx="79">
                  <c:v>48.980930631144865</c:v>
                </c:pt>
                <c:pt idx="80">
                  <c:v>49.325875015884144</c:v>
                </c:pt>
                <c:pt idx="81">
                  <c:v>49.671521177103003</c:v>
                </c:pt>
                <c:pt idx="82">
                  <c:v>50.016843125868711</c:v>
                </c:pt>
                <c:pt idx="83">
                  <c:v>50.360815094661191</c:v>
                </c:pt>
                <c:pt idx="84">
                  <c:v>50.702411543040107</c:v>
                </c:pt>
                <c:pt idx="85">
                  <c:v>51.04060685270877</c:v>
                </c:pt>
                <c:pt idx="86">
                  <c:v>51.37437615313705</c:v>
                </c:pt>
                <c:pt idx="87">
                  <c:v>51.70269465651662</c:v>
                </c:pt>
                <c:pt idx="88">
                  <c:v>52.02453782329917</c:v>
                </c:pt>
                <c:pt idx="89">
                  <c:v>52.338881362518272</c:v>
                </c:pt>
                <c:pt idx="90">
                  <c:v>52.644701240270628</c:v>
                </c:pt>
                <c:pt idx="91">
                  <c:v>52.940973688612665</c:v>
                </c:pt>
                <c:pt idx="92">
                  <c:v>53.227194489699656</c:v>
                </c:pt>
                <c:pt idx="93">
                  <c:v>53.507977172326392</c:v>
                </c:pt>
                <c:pt idx="94">
                  <c:v>53.783220288826527</c:v>
                </c:pt>
                <c:pt idx="95">
                  <c:v>54.052822209775577</c:v>
                </c:pt>
                <c:pt idx="96">
                  <c:v>54.316681355853348</c:v>
                </c:pt>
                <c:pt idx="97">
                  <c:v>54.574696206827127</c:v>
                </c:pt>
                <c:pt idx="98">
                  <c:v>54.826765295645394</c:v>
                </c:pt>
                <c:pt idx="99">
                  <c:v>55.072785319849181</c:v>
                </c:pt>
                <c:pt idx="100">
                  <c:v>55.312655245042372</c:v>
                </c:pt>
                <c:pt idx="101">
                  <c:v>55.546273777381415</c:v>
                </c:pt>
                <c:pt idx="102">
                  <c:v>55.773539689713729</c:v>
                </c:pt>
                <c:pt idx="103">
                  <c:v>55.994351824890579</c:v>
                </c:pt>
                <c:pt idx="104">
                  <c:v>56.208609099960078</c:v>
                </c:pt>
                <c:pt idx="105">
                  <c:v>56.416210509114769</c:v>
                </c:pt>
                <c:pt idx="106">
                  <c:v>56.616646019146181</c:v>
                </c:pt>
                <c:pt idx="107">
                  <c:v>56.809675266915974</c:v>
                </c:pt>
                <c:pt idx="108">
                  <c:v>56.995607276568926</c:v>
                </c:pt>
                <c:pt idx="109">
                  <c:v>57.174750345508706</c:v>
                </c:pt>
                <c:pt idx="110">
                  <c:v>57.347412676063691</c:v>
                </c:pt>
                <c:pt idx="111">
                  <c:v>57.513902378378909</c:v>
                </c:pt>
                <c:pt idx="112">
                  <c:v>57.674527467754494</c:v>
                </c:pt>
                <c:pt idx="113">
                  <c:v>57.829590608785892</c:v>
                </c:pt>
                <c:pt idx="114">
                  <c:v>57.979401594004706</c:v>
                </c:pt>
                <c:pt idx="115">
                  <c:v>58.124268100129164</c:v>
                </c:pt>
                <c:pt idx="116">
                  <c:v>58.2644977122631</c:v>
                </c:pt>
                <c:pt idx="117">
                  <c:v>58.40039792743427</c:v>
                </c:pt>
                <c:pt idx="118">
                  <c:v>58.532276156127594</c:v>
                </c:pt>
                <c:pt idx="119">
                  <c:v>58.660439722516344</c:v>
                </c:pt>
                <c:pt idx="120">
                  <c:v>58.784208773081005</c:v>
                </c:pt>
                <c:pt idx="121">
                  <c:v>58.902762233466078</c:v>
                </c:pt>
                <c:pt idx="122">
                  <c:v>59.016207270055098</c:v>
                </c:pt>
                <c:pt idx="123">
                  <c:v>59.124647474666993</c:v>
                </c:pt>
                <c:pt idx="124">
                  <c:v>59.228186460399655</c:v>
                </c:pt>
                <c:pt idx="125">
                  <c:v>59.32692786554508</c:v>
                </c:pt>
                <c:pt idx="126">
                  <c:v>59.420975351451304</c:v>
                </c:pt>
                <c:pt idx="127">
                  <c:v>59.510448866299015</c:v>
                </c:pt>
                <c:pt idx="128">
                  <c:v>59.595458557034618</c:v>
                </c:pt>
                <c:pt idx="129">
                  <c:v>59.676108820954106</c:v>
                </c:pt>
                <c:pt idx="130">
                  <c:v>59.752504109959553</c:v>
                </c:pt>
                <c:pt idx="131">
                  <c:v>59.824748941828346</c:v>
                </c:pt>
                <c:pt idx="132">
                  <c:v>59.892947889244276</c:v>
                </c:pt>
                <c:pt idx="133">
                  <c:v>59.957205586559624</c:v>
                </c:pt>
                <c:pt idx="134">
                  <c:v>60.016930130796126</c:v>
                </c:pt>
                <c:pt idx="135">
                  <c:v>60.07162299639117</c:v>
                </c:pt>
                <c:pt idx="136">
                  <c:v>60.121498787133277</c:v>
                </c:pt>
                <c:pt idx="137">
                  <c:v>60.166765861742405</c:v>
                </c:pt>
                <c:pt idx="138">
                  <c:v>60.207632617711575</c:v>
                </c:pt>
                <c:pt idx="139">
                  <c:v>60.244307476764583</c:v>
                </c:pt>
                <c:pt idx="140">
                  <c:v>60.276998882682825</c:v>
                </c:pt>
                <c:pt idx="141">
                  <c:v>60.305907710765077</c:v>
                </c:pt>
                <c:pt idx="142">
                  <c:v>60.331223420449859</c:v>
                </c:pt>
                <c:pt idx="143">
                  <c:v>60.353153707661853</c:v>
                </c:pt>
                <c:pt idx="144">
                  <c:v>60.371906205865692</c:v>
                </c:pt>
                <c:pt idx="145">
                  <c:v>60.387688509190639</c:v>
                </c:pt>
                <c:pt idx="146">
                  <c:v>60.400708161201017</c:v>
                </c:pt>
                <c:pt idx="147">
                  <c:v>60.411172644748021</c:v>
                </c:pt>
                <c:pt idx="148">
                  <c:v>60.419001050205729</c:v>
                </c:pt>
                <c:pt idx="149">
                  <c:v>60.423893294313778</c:v>
                </c:pt>
                <c:pt idx="150">
                  <c:v>60.42572137871764</c:v>
                </c:pt>
                <c:pt idx="151">
                  <c:v>60.424386128520858</c:v>
                </c:pt>
                <c:pt idx="152">
                  <c:v>60.419788400623318</c:v>
                </c:pt>
                <c:pt idx="153">
                  <c:v>60.411829075468688</c:v>
                </c:pt>
                <c:pt idx="154">
                  <c:v>60.400409052755698</c:v>
                </c:pt>
                <c:pt idx="155">
                  <c:v>60.385427042643066</c:v>
                </c:pt>
                <c:pt idx="156">
                  <c:v>60.36679242782251</c:v>
                </c:pt>
                <c:pt idx="157">
                  <c:v>60.344406220735479</c:v>
                </c:pt>
                <c:pt idx="158">
                  <c:v>60.318169419567333</c:v>
                </c:pt>
                <c:pt idx="159">
                  <c:v>60.287983000813725</c:v>
                </c:pt>
                <c:pt idx="160">
                  <c:v>60.253747912900543</c:v>
                </c:pt>
                <c:pt idx="161">
                  <c:v>60.215365075132702</c:v>
                </c:pt>
                <c:pt idx="162">
                  <c:v>60.172108921316322</c:v>
                </c:pt>
                <c:pt idx="163">
                  <c:v>60.123593050119148</c:v>
                </c:pt>
                <c:pt idx="164">
                  <c:v>60.070244748133675</c:v>
                </c:pt>
                <c:pt idx="165">
                  <c:v>60.012473126433605</c:v>
                </c:pt>
                <c:pt idx="166">
                  <c:v>59.950686980931764</c:v>
                </c:pt>
                <c:pt idx="167">
                  <c:v>59.885294789505494</c:v>
                </c:pt>
                <c:pt idx="168">
                  <c:v>59.816704712007805</c:v>
                </c:pt>
                <c:pt idx="169">
                  <c:v>59.745324924913369</c:v>
                </c:pt>
                <c:pt idx="170">
                  <c:v>59.671565560775107</c:v>
                </c:pt>
                <c:pt idx="171">
                  <c:v>59.595833901578743</c:v>
                </c:pt>
                <c:pt idx="172">
                  <c:v>59.518536910348537</c:v>
                </c:pt>
                <c:pt idx="173">
                  <c:v>59.440081251808444</c:v>
                </c:pt>
                <c:pt idx="174">
                  <c:v>59.36087328230844</c:v>
                </c:pt>
                <c:pt idx="175">
                  <c:v>59.281319030901919</c:v>
                </c:pt>
                <c:pt idx="176">
                  <c:v>59.200810034088846</c:v>
                </c:pt>
                <c:pt idx="177">
                  <c:v>59.118464783701711</c:v>
                </c:pt>
                <c:pt idx="178">
                  <c:v>59.034283185690235</c:v>
                </c:pt>
                <c:pt idx="179">
                  <c:v>58.948265375515682</c:v>
                </c:pt>
                <c:pt idx="180">
                  <c:v>58.860411383584129</c:v>
                </c:pt>
                <c:pt idx="181">
                  <c:v>58.770721140775493</c:v>
                </c:pt>
                <c:pt idx="182">
                  <c:v>58.679194480704169</c:v>
                </c:pt>
                <c:pt idx="183">
                  <c:v>58.585810123302721</c:v>
                </c:pt>
                <c:pt idx="184">
                  <c:v>58.490567069398175</c:v>
                </c:pt>
                <c:pt idx="185">
                  <c:v>58.393464615074905</c:v>
                </c:pt>
                <c:pt idx="186">
                  <c:v>58.294502011244433</c:v>
                </c:pt>
                <c:pt idx="187">
                  <c:v>58.193678468621904</c:v>
                </c:pt>
                <c:pt idx="188">
                  <c:v>58.090993169180393</c:v>
                </c:pt>
                <c:pt idx="189">
                  <c:v>57.986445267517027</c:v>
                </c:pt>
                <c:pt idx="190">
                  <c:v>57.879814492744643</c:v>
                </c:pt>
                <c:pt idx="191">
                  <c:v>57.770938112317737</c:v>
                </c:pt>
                <c:pt idx="192">
                  <c:v>57.659919602752296</c:v>
                </c:pt>
                <c:pt idx="193">
                  <c:v>57.546859400400599</c:v>
                </c:pt>
                <c:pt idx="194">
                  <c:v>57.4318579117963</c:v>
                </c:pt>
                <c:pt idx="195">
                  <c:v>57.315015522074674</c:v>
                </c:pt>
                <c:pt idx="196">
                  <c:v>57.196432598020444</c:v>
                </c:pt>
                <c:pt idx="197">
                  <c:v>57.07625132048107</c:v>
                </c:pt>
                <c:pt idx="198">
                  <c:v>56.954594613075912</c:v>
                </c:pt>
                <c:pt idx="199">
                  <c:v>56.831563306141874</c:v>
                </c:pt>
                <c:pt idx="200">
                  <c:v>56.707258190994352</c:v>
                </c:pt>
                <c:pt idx="201">
                  <c:v>56.581780026652716</c:v>
                </c:pt>
                <c:pt idx="202">
                  <c:v>56.455229546910054</c:v>
                </c:pt>
                <c:pt idx="203">
                  <c:v>56.327707467179984</c:v>
                </c:pt>
                <c:pt idx="204">
                  <c:v>56.199061689898663</c:v>
                </c:pt>
                <c:pt idx="205">
                  <c:v>56.069100061386614</c:v>
                </c:pt>
                <c:pt idx="206">
                  <c:v>55.937832674085826</c:v>
                </c:pt>
                <c:pt idx="207">
                  <c:v>55.805259442754483</c:v>
                </c:pt>
                <c:pt idx="208">
                  <c:v>55.671380308863952</c:v>
                </c:pt>
                <c:pt idx="209">
                  <c:v>55.536195245002482</c:v>
                </c:pt>
                <c:pt idx="210">
                  <c:v>55.399704256606576</c:v>
                </c:pt>
                <c:pt idx="211">
                  <c:v>55.261895583156821</c:v>
                </c:pt>
                <c:pt idx="212">
                  <c:v>55.122726141408656</c:v>
                </c:pt>
                <c:pt idx="213">
                  <c:v>54.982195818312775</c:v>
                </c:pt>
                <c:pt idx="214">
                  <c:v>54.840304558328903</c:v>
                </c:pt>
                <c:pt idx="215">
                  <c:v>54.697052362537335</c:v>
                </c:pt>
                <c:pt idx="216">
                  <c:v>54.552439285692955</c:v>
                </c:pt>
                <c:pt idx="217">
                  <c:v>54.40646543433634</c:v>
                </c:pt>
                <c:pt idx="218">
                  <c:v>54.259349771645859</c:v>
                </c:pt>
                <c:pt idx="219">
                  <c:v>54.11123351330442</c:v>
                </c:pt>
                <c:pt idx="220">
                  <c:v>53.961988178781596</c:v>
                </c:pt>
                <c:pt idx="221">
                  <c:v>53.811512954567789</c:v>
                </c:pt>
                <c:pt idx="222">
                  <c:v>53.659707112510972</c:v>
                </c:pt>
                <c:pt idx="223">
                  <c:v>53.506470004130719</c:v>
                </c:pt>
                <c:pt idx="224">
                  <c:v>53.351701057583298</c:v>
                </c:pt>
                <c:pt idx="225">
                  <c:v>53.195292951834659</c:v>
                </c:pt>
                <c:pt idx="226">
                  <c:v>53.037157261150405</c:v>
                </c:pt>
                <c:pt idx="227">
                  <c:v>52.877193642855303</c:v>
                </c:pt>
                <c:pt idx="228">
                  <c:v>52.715301815068614</c:v>
                </c:pt>
                <c:pt idx="229">
                  <c:v>52.551381555367691</c:v>
                </c:pt>
                <c:pt idx="230">
                  <c:v>52.385332698496185</c:v>
                </c:pt>
                <c:pt idx="231">
                  <c:v>52.217055130944551</c:v>
                </c:pt>
                <c:pt idx="232">
                  <c:v>52.048449106841026</c:v>
                </c:pt>
                <c:pt idx="233">
                  <c:v>51.880939537305451</c:v>
                </c:pt>
                <c:pt idx="234">
                  <c:v>51.713730071955503</c:v>
                </c:pt>
                <c:pt idx="235">
                  <c:v>51.54601422616296</c:v>
                </c:pt>
                <c:pt idx="236">
                  <c:v>51.376985824279068</c:v>
                </c:pt>
                <c:pt idx="237">
                  <c:v>51.205838995839109</c:v>
                </c:pt>
                <c:pt idx="238">
                  <c:v>51.031768173835047</c:v>
                </c:pt>
                <c:pt idx="239">
                  <c:v>50.853966661113219</c:v>
                </c:pt>
                <c:pt idx="240">
                  <c:v>50.671636322732375</c:v>
                </c:pt>
                <c:pt idx="241">
                  <c:v>50.483972483189071</c:v>
                </c:pt>
                <c:pt idx="242">
                  <c:v>50.290170761742523</c:v>
                </c:pt>
                <c:pt idx="243">
                  <c:v>50.08942706722857</c:v>
                </c:pt>
                <c:pt idx="244">
                  <c:v>49.880937599780083</c:v>
                </c:pt>
                <c:pt idx="245">
                  <c:v>49.663898841575616</c:v>
                </c:pt>
                <c:pt idx="246">
                  <c:v>49.438649154908674</c:v>
                </c:pt>
                <c:pt idx="247">
                  <c:v>49.206331499222884</c:v>
                </c:pt>
                <c:pt idx="248">
                  <c:v>48.967354937430258</c:v>
                </c:pt>
                <c:pt idx="249">
                  <c:v>48.722124360660494</c:v>
                </c:pt>
                <c:pt idx="250">
                  <c:v>48.471044523426158</c:v>
                </c:pt>
                <c:pt idx="251">
                  <c:v>48.214520035653671</c:v>
                </c:pt>
                <c:pt idx="252">
                  <c:v>47.952955372285352</c:v>
                </c:pt>
                <c:pt idx="253">
                  <c:v>47.68675380437714</c:v>
                </c:pt>
                <c:pt idx="254">
                  <c:v>47.416320950325861</c:v>
                </c:pt>
                <c:pt idx="255">
                  <c:v>47.14206086531977</c:v>
                </c:pt>
                <c:pt idx="256">
                  <c:v>46.864377467109037</c:v>
                </c:pt>
                <c:pt idx="257">
                  <c:v>46.583674535048189</c:v>
                </c:pt>
                <c:pt idx="258">
                  <c:v>46.300355709710153</c:v>
                </c:pt>
                <c:pt idx="259">
                  <c:v>46.014824492376945</c:v>
                </c:pt>
                <c:pt idx="260">
                  <c:v>45.724734308580537</c:v>
                </c:pt>
                <c:pt idx="261">
                  <c:v>45.427993646064685</c:v>
                </c:pt>
                <c:pt idx="262">
                  <c:v>45.125410290457928</c:v>
                </c:pt>
                <c:pt idx="263">
                  <c:v>44.817790721946302</c:v>
                </c:pt>
                <c:pt idx="264">
                  <c:v>44.505941139182326</c:v>
                </c:pt>
                <c:pt idx="265">
                  <c:v>44.190667452985913</c:v>
                </c:pt>
                <c:pt idx="266">
                  <c:v>43.872775288779145</c:v>
                </c:pt>
                <c:pt idx="267">
                  <c:v>43.553053677284417</c:v>
                </c:pt>
                <c:pt idx="268">
                  <c:v>43.232308825948529</c:v>
                </c:pt>
                <c:pt idx="269">
                  <c:v>42.911345624781596</c:v>
                </c:pt>
                <c:pt idx="270">
                  <c:v>42.590968691674028</c:v>
                </c:pt>
                <c:pt idx="271">
                  <c:v>42.271982375091625</c:v>
                </c:pt>
                <c:pt idx="272">
                  <c:v>41.955190755911502</c:v>
                </c:pt>
                <c:pt idx="273">
                  <c:v>41.64139764977255</c:v>
                </c:pt>
                <c:pt idx="274">
                  <c:v>41.329396662357745</c:v>
                </c:pt>
                <c:pt idx="275">
                  <c:v>41.017462837678366</c:v>
                </c:pt>
                <c:pt idx="276">
                  <c:v>40.705609741324608</c:v>
                </c:pt>
                <c:pt idx="277">
                  <c:v>40.393837204777668</c:v>
                </c:pt>
                <c:pt idx="278">
                  <c:v>40.082144983980513</c:v>
                </c:pt>
                <c:pt idx="279">
                  <c:v>39.770532755766517</c:v>
                </c:pt>
                <c:pt idx="280">
                  <c:v>39.459000114645775</c:v>
                </c:pt>
                <c:pt idx="281">
                  <c:v>39.147573695244809</c:v>
                </c:pt>
                <c:pt idx="282">
                  <c:v>38.836268179457136</c:v>
                </c:pt>
                <c:pt idx="283">
                  <c:v>38.525082359746634</c:v>
                </c:pt>
                <c:pt idx="284">
                  <c:v>38.214014903207435</c:v>
                </c:pt>
                <c:pt idx="285">
                  <c:v>37.903064351076132</c:v>
                </c:pt>
                <c:pt idx="286">
                  <c:v>37.592229119128106</c:v>
                </c:pt>
                <c:pt idx="287">
                  <c:v>37.28150749900999</c:v>
                </c:pt>
                <c:pt idx="288">
                  <c:v>36.970027507920371</c:v>
                </c:pt>
                <c:pt idx="289">
                  <c:v>36.657184652611264</c:v>
                </c:pt>
                <c:pt idx="290">
                  <c:v>36.34336259581039</c:v>
                </c:pt>
                <c:pt idx="291">
                  <c:v>36.028961137958682</c:v>
                </c:pt>
                <c:pt idx="292">
                  <c:v>35.714379890058595</c:v>
                </c:pt>
                <c:pt idx="293">
                  <c:v>35.400018284084915</c:v>
                </c:pt>
                <c:pt idx="294">
                  <c:v>35.086275580633824</c:v>
                </c:pt>
                <c:pt idx="295">
                  <c:v>34.7735386675364</c:v>
                </c:pt>
                <c:pt idx="296">
                  <c:v>34.462181530197427</c:v>
                </c:pt>
                <c:pt idx="297">
                  <c:v>34.152603655819412</c:v>
                </c:pt>
                <c:pt idx="298">
                  <c:v>33.845204462369132</c:v>
                </c:pt>
                <c:pt idx="299">
                  <c:v>33.540383268225973</c:v>
                </c:pt>
                <c:pt idx="300">
                  <c:v>33.238539300778449</c:v>
                </c:pt>
                <c:pt idx="301">
                  <c:v>32.940071702678878</c:v>
                </c:pt>
                <c:pt idx="302">
                  <c:v>32.6435068769946</c:v>
                </c:pt>
                <c:pt idx="303">
                  <c:v>32.347364811391742</c:v>
                </c:pt>
                <c:pt idx="304">
                  <c:v>32.052045509414839</c:v>
                </c:pt>
                <c:pt idx="305">
                  <c:v>31.757948590665805</c:v>
                </c:pt>
                <c:pt idx="306">
                  <c:v>31.465473621092638</c:v>
                </c:pt>
                <c:pt idx="307">
                  <c:v>31.175020125398859</c:v>
                </c:pt>
                <c:pt idx="308">
                  <c:v>30.886987585059835</c:v>
                </c:pt>
                <c:pt idx="309">
                  <c:v>30.601770053880173</c:v>
                </c:pt>
                <c:pt idx="310">
                  <c:v>30.319778103633379</c:v>
                </c:pt>
                <c:pt idx="311">
                  <c:v>30.041411009950064</c:v>
                </c:pt>
                <c:pt idx="312">
                  <c:v>29.767068024344617</c:v>
                </c:pt>
                <c:pt idx="313">
                  <c:v>29.497148382298121</c:v>
                </c:pt>
                <c:pt idx="314">
                  <c:v>29.232051302067632</c:v>
                </c:pt>
                <c:pt idx="315">
                  <c:v>28.972175990053675</c:v>
                </c:pt>
                <c:pt idx="316">
                  <c:v>28.716701977601382</c:v>
                </c:pt>
                <c:pt idx="317">
                  <c:v>28.464606533034907</c:v>
                </c:pt>
                <c:pt idx="318">
                  <c:v>28.215994672936851</c:v>
                </c:pt>
                <c:pt idx="319">
                  <c:v>27.970965278704302</c:v>
                </c:pt>
                <c:pt idx="320">
                  <c:v>27.729617289542187</c:v>
                </c:pt>
                <c:pt idx="321">
                  <c:v>27.492049711721794</c:v>
                </c:pt>
                <c:pt idx="322">
                  <c:v>27.258361608588274</c:v>
                </c:pt>
                <c:pt idx="323">
                  <c:v>27.028660516028783</c:v>
                </c:pt>
                <c:pt idx="324">
                  <c:v>26.803050338528362</c:v>
                </c:pt>
                <c:pt idx="325">
                  <c:v>26.581630087442285</c:v>
                </c:pt>
                <c:pt idx="326">
                  <c:v>26.364498874194432</c:v>
                </c:pt>
                <c:pt idx="327">
                  <c:v>26.151755857687537</c:v>
                </c:pt>
                <c:pt idx="328">
                  <c:v>25.943500234216391</c:v>
                </c:pt>
                <c:pt idx="329">
                  <c:v>25.739831260197885</c:v>
                </c:pt>
                <c:pt idx="330">
                  <c:v>25.537559595290805</c:v>
                </c:pt>
                <c:pt idx="331">
                  <c:v>25.334371667845275</c:v>
                </c:pt>
                <c:pt idx="332">
                  <c:v>25.1316717313907</c:v>
                </c:pt>
                <c:pt idx="333">
                  <c:v>24.930861868750387</c:v>
                </c:pt>
                <c:pt idx="334">
                  <c:v>24.73334388695946</c:v>
                </c:pt>
                <c:pt idx="335">
                  <c:v>24.540519286334604</c:v>
                </c:pt>
                <c:pt idx="336">
                  <c:v>24.353789255634936</c:v>
                </c:pt>
                <c:pt idx="337">
                  <c:v>24.174552068575242</c:v>
                </c:pt>
                <c:pt idx="338">
                  <c:v>24.004200462512937</c:v>
                </c:pt>
                <c:pt idx="339">
                  <c:v>23.844134696287682</c:v>
                </c:pt>
                <c:pt idx="340">
                  <c:v>23.695754628134473</c:v>
                </c:pt>
                <c:pt idx="341">
                  <c:v>23.560459711397527</c:v>
                </c:pt>
                <c:pt idx="342">
                  <c:v>23.439648976999816</c:v>
                </c:pt>
                <c:pt idx="343">
                  <c:v>23.334721020488988</c:v>
                </c:pt>
                <c:pt idx="344">
                  <c:v>23.243045963756174</c:v>
                </c:pt>
                <c:pt idx="345">
                  <c:v>23.161222609780417</c:v>
                </c:pt>
                <c:pt idx="346">
                  <c:v>23.089485823562466</c:v>
                </c:pt>
                <c:pt idx="347">
                  <c:v>23.028076779732881</c:v>
                </c:pt>
                <c:pt idx="348">
                  <c:v>22.977236545064432</c:v>
                </c:pt>
                <c:pt idx="349">
                  <c:v>22.937206088205386</c:v>
                </c:pt>
                <c:pt idx="350">
                  <c:v>22.90822626608718</c:v>
                </c:pt>
                <c:pt idx="351">
                  <c:v>22.890537949529893</c:v>
                </c:pt>
                <c:pt idx="352">
                  <c:v>22.884384265696234</c:v>
                </c:pt>
                <c:pt idx="353">
                  <c:v>22.890005716111141</c:v>
                </c:pt>
                <c:pt idx="354">
                  <c:v>22.907642699538197</c:v>
                </c:pt>
                <c:pt idx="355">
                  <c:v>22.937535497955558</c:v>
                </c:pt>
                <c:pt idx="356">
                  <c:v>22.979924295563645</c:v>
                </c:pt>
                <c:pt idx="357">
                  <c:v>23.035049119144944</c:v>
                </c:pt>
                <c:pt idx="358">
                  <c:v>23.105206033084286</c:v>
                </c:pt>
                <c:pt idx="359">
                  <c:v>23.191768164173958</c:v>
                </c:pt>
                <c:pt idx="360">
                  <c:v>23.293588862307953</c:v>
                </c:pt>
                <c:pt idx="361">
                  <c:v>23.409524157880689</c:v>
                </c:pt>
                <c:pt idx="362">
                  <c:v>23.538430529468855</c:v>
                </c:pt>
                <c:pt idx="363">
                  <c:v>23.679164800371577</c:v>
                </c:pt>
                <c:pt idx="364">
                  <c:v>23.830584119846218</c:v>
                </c:pt>
                <c:pt idx="365">
                  <c:v>23.991545982433934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14.680999999999999</c:v>
                </c:pt>
                <c:pt idx="1">
                  <c:v>23.306999999999999</c:v>
                </c:pt>
                <c:pt idx="2">
                  <c:v>8.0039999999999996</c:v>
                </c:pt>
                <c:pt idx="3">
                  <c:v>6.7789999999999999</c:v>
                </c:pt>
                <c:pt idx="4">
                  <c:v>13.877000000000001</c:v>
                </c:pt>
                <c:pt idx="5">
                  <c:v>25.643000000000001</c:v>
                </c:pt>
                <c:pt idx="6">
                  <c:v>7.0919999999999996</c:v>
                </c:pt>
                <c:pt idx="7">
                  <c:v>12.661</c:v>
                </c:pt>
                <c:pt idx="8">
                  <c:v>24.962</c:v>
                </c:pt>
                <c:pt idx="9">
                  <c:v>9.125</c:v>
                </c:pt>
                <c:pt idx="10">
                  <c:v>26.664999999999999</c:v>
                </c:pt>
                <c:pt idx="11">
                  <c:v>26.812999999999999</c:v>
                </c:pt>
                <c:pt idx="12">
                  <c:v>15.367000000000001</c:v>
                </c:pt>
                <c:pt idx="13">
                  <c:v>26.661000000000001</c:v>
                </c:pt>
                <c:pt idx="14">
                  <c:v>22.475999999999999</c:v>
                </c:pt>
                <c:pt idx="15">
                  <c:v>23.254999999999999</c:v>
                </c:pt>
                <c:pt idx="16">
                  <c:v>4.6719999999999997</c:v>
                </c:pt>
                <c:pt idx="17">
                  <c:v>18.407</c:v>
                </c:pt>
                <c:pt idx="18">
                  <c:v>27.74</c:v>
                </c:pt>
                <c:pt idx="19">
                  <c:v>11.83</c:v>
                </c:pt>
                <c:pt idx="20">
                  <c:v>3.4470000000000001</c:v>
                </c:pt>
                <c:pt idx="21">
                  <c:v>1.2470000000000001</c:v>
                </c:pt>
                <c:pt idx="22">
                  <c:v>12.35</c:v>
                </c:pt>
                <c:pt idx="23">
                  <c:v>15.772</c:v>
                </c:pt>
                <c:pt idx="24">
                  <c:v>15.946999999999999</c:v>
                </c:pt>
                <c:pt idx="25">
                  <c:v>7.0510000000000002</c:v>
                </c:pt>
                <c:pt idx="26">
                  <c:v>11.132</c:v>
                </c:pt>
                <c:pt idx="27">
                  <c:v>16.882000000000001</c:v>
                </c:pt>
                <c:pt idx="28">
                  <c:v>19.495999999999999</c:v>
                </c:pt>
                <c:pt idx="29">
                  <c:v>11.753</c:v>
                </c:pt>
                <c:pt idx="30">
                  <c:v>22.587</c:v>
                </c:pt>
                <c:pt idx="31">
                  <c:v>14.204000000000001</c:v>
                </c:pt>
                <c:pt idx="32">
                  <c:v>28.286000000000001</c:v>
                </c:pt>
                <c:pt idx="33">
                  <c:v>26.242999999999999</c:v>
                </c:pt>
                <c:pt idx="34">
                  <c:v>17.332999999999998</c:v>
                </c:pt>
                <c:pt idx="35">
                  <c:v>34.018000000000001</c:v>
                </c:pt>
                <c:pt idx="36">
                  <c:v>35.518999999999998</c:v>
                </c:pt>
                <c:pt idx="37">
                  <c:v>24.274999999999999</c:v>
                </c:pt>
                <c:pt idx="38">
                  <c:v>28.658999999999999</c:v>
                </c:pt>
                <c:pt idx="39">
                  <c:v>28.734999999999999</c:v>
                </c:pt>
                <c:pt idx="40">
                  <c:v>8.9659999999999993</c:v>
                </c:pt>
                <c:pt idx="41">
                  <c:v>9.0169999999999995</c:v>
                </c:pt>
                <c:pt idx="42">
                  <c:v>20.86</c:v>
                </c:pt>
                <c:pt idx="43">
                  <c:v>17.608000000000001</c:v>
                </c:pt>
                <c:pt idx="44">
                  <c:v>27.661000000000001</c:v>
                </c:pt>
                <c:pt idx="45">
                  <c:v>36.316000000000003</c:v>
                </c:pt>
                <c:pt idx="46">
                  <c:v>21.67</c:v>
                </c:pt>
                <c:pt idx="47">
                  <c:v>5.5309999999999997</c:v>
                </c:pt>
                <c:pt idx="48">
                  <c:v>29.148</c:v>
                </c:pt>
                <c:pt idx="49">
                  <c:v>25.875</c:v>
                </c:pt>
                <c:pt idx="50">
                  <c:v>38.886000000000003</c:v>
                </c:pt>
                <c:pt idx="51">
                  <c:v>13.51</c:v>
                </c:pt>
                <c:pt idx="52">
                  <c:v>37.527000000000001</c:v>
                </c:pt>
                <c:pt idx="53">
                  <c:v>39.113</c:v>
                </c:pt>
                <c:pt idx="54">
                  <c:v>37.542999999999999</c:v>
                </c:pt>
                <c:pt idx="55">
                  <c:v>16.948</c:v>
                </c:pt>
                <c:pt idx="56">
                  <c:v>18.074999999999999</c:v>
                </c:pt>
                <c:pt idx="57">
                  <c:v>7.7910000000000004</c:v>
                </c:pt>
                <c:pt idx="58">
                  <c:v>17.643000000000001</c:v>
                </c:pt>
                <c:pt idx="59">
                  <c:v>15.747999999999999</c:v>
                </c:pt>
                <c:pt idx="60">
                  <c:v>27.87</c:v>
                </c:pt>
                <c:pt idx="61">
                  <c:v>22.599</c:v>
                </c:pt>
                <c:pt idx="62">
                  <c:v>5.3129999999999997</c:v>
                </c:pt>
                <c:pt idx="63">
                  <c:v>8.82</c:v>
                </c:pt>
                <c:pt idx="64">
                  <c:v>10.891999999999999</c:v>
                </c:pt>
                <c:pt idx="65">
                  <c:v>20.998000000000001</c:v>
                </c:pt>
                <c:pt idx="66">
                  <c:v>28.364999999999998</c:v>
                </c:pt>
                <c:pt idx="67">
                  <c:v>33.612000000000002</c:v>
                </c:pt>
                <c:pt idx="68">
                  <c:v>26.478999999999999</c:v>
                </c:pt>
                <c:pt idx="69">
                  <c:v>32.143000000000001</c:v>
                </c:pt>
                <c:pt idx="70">
                  <c:v>39.067</c:v>
                </c:pt>
                <c:pt idx="71">
                  <c:v>15.865</c:v>
                </c:pt>
                <c:pt idx="72">
                  <c:v>39.337000000000003</c:v>
                </c:pt>
                <c:pt idx="73">
                  <c:v>30.021000000000001</c:v>
                </c:pt>
                <c:pt idx="74">
                  <c:v>48.228000000000002</c:v>
                </c:pt>
                <c:pt idx="75">
                  <c:v>9.157</c:v>
                </c:pt>
                <c:pt idx="76">
                  <c:v>13.542</c:v>
                </c:pt>
                <c:pt idx="77">
                  <c:v>44.036000000000001</c:v>
                </c:pt>
                <c:pt idx="78">
                  <c:v>45.091999999999999</c:v>
                </c:pt>
                <c:pt idx="79">
                  <c:v>48.923999999999999</c:v>
                </c:pt>
                <c:pt idx="80">
                  <c:v>47.918999999999997</c:v>
                </c:pt>
                <c:pt idx="81">
                  <c:v>41.835000000000001</c:v>
                </c:pt>
                <c:pt idx="82">
                  <c:v>33.869</c:v>
                </c:pt>
                <c:pt idx="83">
                  <c:v>45.871000000000002</c:v>
                </c:pt>
                <c:pt idx="84">
                  <c:v>51.594000000000001</c:v>
                </c:pt>
                <c:pt idx="85">
                  <c:v>27.318999999999999</c:v>
                </c:pt>
                <c:pt idx="86">
                  <c:v>47.759</c:v>
                </c:pt>
                <c:pt idx="87">
                  <c:v>48.658000000000001</c:v>
                </c:pt>
                <c:pt idx="88">
                  <c:v>29.888999999999999</c:v>
                </c:pt>
                <c:pt idx="89">
                  <c:v>17.7</c:v>
                </c:pt>
                <c:pt idx="90">
                  <c:v>43.241</c:v>
                </c:pt>
                <c:pt idx="91">
                  <c:v>41.107999999999997</c:v>
                </c:pt>
                <c:pt idx="92">
                  <c:v>27.282</c:v>
                </c:pt>
                <c:pt idx="93">
                  <c:v>53.935000000000002</c:v>
                </c:pt>
                <c:pt idx="94">
                  <c:v>55.92</c:v>
                </c:pt>
                <c:pt idx="95">
                  <c:v>56.610999999999997</c:v>
                </c:pt>
                <c:pt idx="96">
                  <c:v>31.013000000000002</c:v>
                </c:pt>
                <c:pt idx="97">
                  <c:v>37.343000000000004</c:v>
                </c:pt>
                <c:pt idx="98">
                  <c:v>39.679000000000002</c:v>
                </c:pt>
                <c:pt idx="99">
                  <c:v>55.353000000000002</c:v>
                </c:pt>
                <c:pt idx="100">
                  <c:v>56.36</c:v>
                </c:pt>
                <c:pt idx="101">
                  <c:v>55.3</c:v>
                </c:pt>
                <c:pt idx="102">
                  <c:v>43.499000000000002</c:v>
                </c:pt>
                <c:pt idx="103">
                  <c:v>17.007999999999999</c:v>
                </c:pt>
                <c:pt idx="104">
                  <c:v>53.067999999999998</c:v>
                </c:pt>
                <c:pt idx="105">
                  <c:v>50.350999999999999</c:v>
                </c:pt>
                <c:pt idx="106">
                  <c:v>45.506</c:v>
                </c:pt>
                <c:pt idx="107">
                  <c:v>34.100999999999999</c:v>
                </c:pt>
                <c:pt idx="108">
                  <c:v>44.314999999999998</c:v>
                </c:pt>
                <c:pt idx="109">
                  <c:v>17.963000000000001</c:v>
                </c:pt>
                <c:pt idx="110">
                  <c:v>15.452</c:v>
                </c:pt>
                <c:pt idx="111">
                  <c:v>15.348000000000001</c:v>
                </c:pt>
                <c:pt idx="112">
                  <c:v>9.9529999999999994</c:v>
                </c:pt>
                <c:pt idx="113">
                  <c:v>16.052</c:v>
                </c:pt>
                <c:pt idx="114">
                  <c:v>51.570999999999998</c:v>
                </c:pt>
                <c:pt idx="115">
                  <c:v>46.466000000000001</c:v>
                </c:pt>
                <c:pt idx="116">
                  <c:v>23.257999999999999</c:v>
                </c:pt>
                <c:pt idx="117">
                  <c:v>22.376000000000001</c:v>
                </c:pt>
                <c:pt idx="118">
                  <c:v>31.454000000000001</c:v>
                </c:pt>
                <c:pt idx="119">
                  <c:v>51.802999999999997</c:v>
                </c:pt>
                <c:pt idx="120">
                  <c:v>42.966000000000001</c:v>
                </c:pt>
                <c:pt idx="121">
                  <c:v>20.38</c:v>
                </c:pt>
                <c:pt idx="122">
                  <c:v>36.270000000000003</c:v>
                </c:pt>
                <c:pt idx="123">
                  <c:v>54.433999999999997</c:v>
                </c:pt>
                <c:pt idx="124">
                  <c:v>57.389000000000003</c:v>
                </c:pt>
                <c:pt idx="125">
                  <c:v>49.935000000000002</c:v>
                </c:pt>
                <c:pt idx="126">
                  <c:v>57.131999999999998</c:v>
                </c:pt>
                <c:pt idx="127">
                  <c:v>52.11</c:v>
                </c:pt>
                <c:pt idx="128">
                  <c:v>52.463999999999999</c:v>
                </c:pt>
                <c:pt idx="129">
                  <c:v>48.648000000000003</c:v>
                </c:pt>
                <c:pt idx="130">
                  <c:v>11.712999999999999</c:v>
                </c:pt>
                <c:pt idx="131">
                  <c:v>8.8780000000000001</c:v>
                </c:pt>
                <c:pt idx="132">
                  <c:v>20.327000000000002</c:v>
                </c:pt>
                <c:pt idx="133">
                  <c:v>30.978000000000002</c:v>
                </c:pt>
                <c:pt idx="134">
                  <c:v>20.306000000000001</c:v>
                </c:pt>
                <c:pt idx="135">
                  <c:v>15.879</c:v>
                </c:pt>
                <c:pt idx="136">
                  <c:v>34.332000000000001</c:v>
                </c:pt>
                <c:pt idx="137">
                  <c:v>60.713999999999999</c:v>
                </c:pt>
                <c:pt idx="138">
                  <c:v>59.832000000000001</c:v>
                </c:pt>
                <c:pt idx="139">
                  <c:v>58.527000000000001</c:v>
                </c:pt>
                <c:pt idx="140">
                  <c:v>58.040999999999997</c:v>
                </c:pt>
                <c:pt idx="141">
                  <c:v>53.38</c:v>
                </c:pt>
                <c:pt idx="142">
                  <c:v>55.741</c:v>
                </c:pt>
                <c:pt idx="143">
                  <c:v>17.707000000000001</c:v>
                </c:pt>
                <c:pt idx="144">
                  <c:v>56.603000000000002</c:v>
                </c:pt>
                <c:pt idx="145">
                  <c:v>58.776000000000003</c:v>
                </c:pt>
                <c:pt idx="146">
                  <c:v>58.795999999999999</c:v>
                </c:pt>
                <c:pt idx="147">
                  <c:v>58.1</c:v>
                </c:pt>
                <c:pt idx="148">
                  <c:v>58.164999999999999</c:v>
                </c:pt>
                <c:pt idx="149">
                  <c:v>54.029000000000003</c:v>
                </c:pt>
                <c:pt idx="150">
                  <c:v>59.581000000000003</c:v>
                </c:pt>
                <c:pt idx="151">
                  <c:v>59.365000000000002</c:v>
                </c:pt>
                <c:pt idx="152">
                  <c:v>31.018999999999998</c:v>
                </c:pt>
                <c:pt idx="153">
                  <c:v>51.244</c:v>
                </c:pt>
                <c:pt idx="154">
                  <c:v>27.533999999999999</c:v>
                </c:pt>
                <c:pt idx="155">
                  <c:v>35.698999999999998</c:v>
                </c:pt>
                <c:pt idx="156">
                  <c:v>24.677</c:v>
                </c:pt>
                <c:pt idx="157">
                  <c:v>27.04</c:v>
                </c:pt>
                <c:pt idx="158">
                  <c:v>37.923999999999999</c:v>
                </c:pt>
                <c:pt idx="159">
                  <c:v>42.36</c:v>
                </c:pt>
                <c:pt idx="160">
                  <c:v>24.109000000000002</c:v>
                </c:pt>
                <c:pt idx="161">
                  <c:v>41.101999999999997</c:v>
                </c:pt>
                <c:pt idx="162">
                  <c:v>26.87</c:v>
                </c:pt>
                <c:pt idx="163">
                  <c:v>52.835000000000001</c:v>
                </c:pt>
                <c:pt idx="164">
                  <c:v>39.570999999999998</c:v>
                </c:pt>
                <c:pt idx="165">
                  <c:v>52.915999999999997</c:v>
                </c:pt>
                <c:pt idx="166">
                  <c:v>43.787999999999997</c:v>
                </c:pt>
                <c:pt idx="167">
                  <c:v>30.463999999999999</c:v>
                </c:pt>
                <c:pt idx="168">
                  <c:v>51.921999999999997</c:v>
                </c:pt>
                <c:pt idx="169">
                  <c:v>44.9</c:v>
                </c:pt>
                <c:pt idx="170">
                  <c:v>55.023000000000003</c:v>
                </c:pt>
                <c:pt idx="171">
                  <c:v>51.444000000000003</c:v>
                </c:pt>
                <c:pt idx="172">
                  <c:v>59.542000000000002</c:v>
                </c:pt>
                <c:pt idx="173">
                  <c:v>47.536999999999999</c:v>
                </c:pt>
                <c:pt idx="174">
                  <c:v>58.609000000000002</c:v>
                </c:pt>
                <c:pt idx="175">
                  <c:v>54.673000000000002</c:v>
                </c:pt>
                <c:pt idx="176">
                  <c:v>51.091999999999999</c:v>
                </c:pt>
                <c:pt idx="177">
                  <c:v>48.33</c:v>
                </c:pt>
                <c:pt idx="178">
                  <c:v>42.011000000000003</c:v>
                </c:pt>
                <c:pt idx="179">
                  <c:v>48.124000000000002</c:v>
                </c:pt>
                <c:pt idx="180">
                  <c:v>25.640999999999998</c:v>
                </c:pt>
                <c:pt idx="181">
                  <c:v>57.09</c:v>
                </c:pt>
                <c:pt idx="182">
                  <c:v>39.488999999999997</c:v>
                </c:pt>
                <c:pt idx="183">
                  <c:v>18.920000000000002</c:v>
                </c:pt>
                <c:pt idx="184">
                  <c:v>44.515999999999998</c:v>
                </c:pt>
                <c:pt idx="185">
                  <c:v>57.869</c:v>
                </c:pt>
                <c:pt idx="186">
                  <c:v>57.311</c:v>
                </c:pt>
                <c:pt idx="187">
                  <c:v>38.076999999999998</c:v>
                </c:pt>
                <c:pt idx="188">
                  <c:v>59.558</c:v>
                </c:pt>
                <c:pt idx="189">
                  <c:v>57.103000000000002</c:v>
                </c:pt>
                <c:pt idx="190">
                  <c:v>53.753</c:v>
                </c:pt>
                <c:pt idx="191">
                  <c:v>47.039000000000001</c:v>
                </c:pt>
                <c:pt idx="192">
                  <c:v>48.207000000000001</c:v>
                </c:pt>
                <c:pt idx="193">
                  <c:v>38.825000000000003</c:v>
                </c:pt>
                <c:pt idx="194">
                  <c:v>57.051000000000002</c:v>
                </c:pt>
                <c:pt idx="195">
                  <c:v>45.905000000000001</c:v>
                </c:pt>
                <c:pt idx="196">
                  <c:v>20.506</c:v>
                </c:pt>
                <c:pt idx="197">
                  <c:v>24.061</c:v>
                </c:pt>
                <c:pt idx="198">
                  <c:v>26.225999999999999</c:v>
                </c:pt>
                <c:pt idx="199">
                  <c:v>57.085000000000001</c:v>
                </c:pt>
                <c:pt idx="200">
                  <c:v>55.914999999999999</c:v>
                </c:pt>
                <c:pt idx="201">
                  <c:v>49.61</c:v>
                </c:pt>
                <c:pt idx="202">
                  <c:v>52.11</c:v>
                </c:pt>
                <c:pt idx="203">
                  <c:v>50.957999999999998</c:v>
                </c:pt>
                <c:pt idx="204">
                  <c:v>48.616</c:v>
                </c:pt>
                <c:pt idx="205">
                  <c:v>54.643000000000001</c:v>
                </c:pt>
                <c:pt idx="206">
                  <c:v>54.648000000000003</c:v>
                </c:pt>
                <c:pt idx="207">
                  <c:v>43.6</c:v>
                </c:pt>
                <c:pt idx="208">
                  <c:v>53.134</c:v>
                </c:pt>
                <c:pt idx="209">
                  <c:v>33.682000000000002</c:v>
                </c:pt>
                <c:pt idx="210">
                  <c:v>47.972000000000001</c:v>
                </c:pt>
                <c:pt idx="211">
                  <c:v>52.856000000000002</c:v>
                </c:pt>
                <c:pt idx="212">
                  <c:v>51.23</c:v>
                </c:pt>
                <c:pt idx="213">
                  <c:v>45.75</c:v>
                </c:pt>
                <c:pt idx="214">
                  <c:v>34.143000000000001</c:v>
                </c:pt>
                <c:pt idx="215">
                  <c:v>48.209000000000003</c:v>
                </c:pt>
                <c:pt idx="216">
                  <c:v>53.097000000000001</c:v>
                </c:pt>
                <c:pt idx="217">
                  <c:v>54.051000000000002</c:v>
                </c:pt>
                <c:pt idx="218">
                  <c:v>52.503</c:v>
                </c:pt>
                <c:pt idx="219">
                  <c:v>51.725000000000001</c:v>
                </c:pt>
                <c:pt idx="220">
                  <c:v>49.494999999999997</c:v>
                </c:pt>
                <c:pt idx="221">
                  <c:v>40.295000000000002</c:v>
                </c:pt>
                <c:pt idx="222">
                  <c:v>37.061999999999998</c:v>
                </c:pt>
                <c:pt idx="223">
                  <c:v>42.587000000000003</c:v>
                </c:pt>
                <c:pt idx="224">
                  <c:v>27.704000000000001</c:v>
                </c:pt>
                <c:pt idx="225">
                  <c:v>17.427</c:v>
                </c:pt>
                <c:pt idx="226">
                  <c:v>44.186</c:v>
                </c:pt>
                <c:pt idx="227">
                  <c:v>46.08</c:v>
                </c:pt>
                <c:pt idx="228">
                  <c:v>18.878</c:v>
                </c:pt>
                <c:pt idx="229">
                  <c:v>41.728999999999999</c:v>
                </c:pt>
                <c:pt idx="230">
                  <c:v>40.152000000000001</c:v>
                </c:pt>
                <c:pt idx="231">
                  <c:v>50.383000000000003</c:v>
                </c:pt>
                <c:pt idx="232">
                  <c:v>51.195</c:v>
                </c:pt>
                <c:pt idx="233">
                  <c:v>46.527999999999999</c:v>
                </c:pt>
                <c:pt idx="234">
                  <c:v>36.17</c:v>
                </c:pt>
                <c:pt idx="235">
                  <c:v>42.743000000000002</c:v>
                </c:pt>
                <c:pt idx="236">
                  <c:v>46.996000000000002</c:v>
                </c:pt>
                <c:pt idx="237">
                  <c:v>49.780999999999999</c:v>
                </c:pt>
                <c:pt idx="238">
                  <c:v>26.308</c:v>
                </c:pt>
                <c:pt idx="239">
                  <c:v>48.046999999999997</c:v>
                </c:pt>
                <c:pt idx="240">
                  <c:v>9.3520000000000003</c:v>
                </c:pt>
                <c:pt idx="241">
                  <c:v>22.911999999999999</c:v>
                </c:pt>
                <c:pt idx="242">
                  <c:v>31.228999999999999</c:v>
                </c:pt>
                <c:pt idx="243">
                  <c:v>43.753</c:v>
                </c:pt>
                <c:pt idx="244">
                  <c:v>46.345999999999997</c:v>
                </c:pt>
                <c:pt idx="245">
                  <c:v>50.808999999999997</c:v>
                </c:pt>
                <c:pt idx="246">
                  <c:v>47.978000000000002</c:v>
                </c:pt>
                <c:pt idx="247">
                  <c:v>49.521999999999998</c:v>
                </c:pt>
                <c:pt idx="248">
                  <c:v>43.970999999999997</c:v>
                </c:pt>
                <c:pt idx="249">
                  <c:v>27.567</c:v>
                </c:pt>
                <c:pt idx="250">
                  <c:v>43.188000000000002</c:v>
                </c:pt>
                <c:pt idx="251">
                  <c:v>46.143999999999998</c:v>
                </c:pt>
                <c:pt idx="252">
                  <c:v>23.864000000000001</c:v>
                </c:pt>
                <c:pt idx="253">
                  <c:v>39.665999999999997</c:v>
                </c:pt>
                <c:pt idx="254">
                  <c:v>44.475000000000001</c:v>
                </c:pt>
                <c:pt idx="255">
                  <c:v>45.228999999999999</c:v>
                </c:pt>
                <c:pt idx="256">
                  <c:v>44.953000000000003</c:v>
                </c:pt>
                <c:pt idx="257">
                  <c:v>45.850999999999999</c:v>
                </c:pt>
                <c:pt idx="258">
                  <c:v>38.341999999999999</c:v>
                </c:pt>
                <c:pt idx="259">
                  <c:v>40.247999999999998</c:v>
                </c:pt>
                <c:pt idx="260">
                  <c:v>40.880000000000003</c:v>
                </c:pt>
                <c:pt idx="261">
                  <c:v>19.838999999999999</c:v>
                </c:pt>
                <c:pt idx="262">
                  <c:v>32.354999999999997</c:v>
                </c:pt>
                <c:pt idx="263">
                  <c:v>30.72</c:v>
                </c:pt>
                <c:pt idx="264">
                  <c:v>27.236000000000001</c:v>
                </c:pt>
                <c:pt idx="265">
                  <c:v>23.952999999999999</c:v>
                </c:pt>
                <c:pt idx="266">
                  <c:v>34.865000000000002</c:v>
                </c:pt>
                <c:pt idx="267">
                  <c:v>21.306000000000001</c:v>
                </c:pt>
                <c:pt idx="268">
                  <c:v>20.68</c:v>
                </c:pt>
                <c:pt idx="269">
                  <c:v>14.837</c:v>
                </c:pt>
                <c:pt idx="270">
                  <c:v>12.242000000000001</c:v>
                </c:pt>
                <c:pt idx="271">
                  <c:v>29.094000000000001</c:v>
                </c:pt>
                <c:pt idx="272">
                  <c:v>33.761000000000003</c:v>
                </c:pt>
                <c:pt idx="273">
                  <c:v>40.747999999999998</c:v>
                </c:pt>
                <c:pt idx="274">
                  <c:v>8.1020000000000003</c:v>
                </c:pt>
                <c:pt idx="275">
                  <c:v>5.6589999999999998</c:v>
                </c:pt>
                <c:pt idx="276">
                  <c:v>17.209</c:v>
                </c:pt>
                <c:pt idx="277">
                  <c:v>20.800999999999998</c:v>
                </c:pt>
                <c:pt idx="278">
                  <c:v>27.015000000000001</c:v>
                </c:pt>
                <c:pt idx="279">
                  <c:v>6.976</c:v>
                </c:pt>
                <c:pt idx="280">
                  <c:v>28.978999999999999</c:v>
                </c:pt>
                <c:pt idx="281">
                  <c:v>34.713999999999999</c:v>
                </c:pt>
                <c:pt idx="282">
                  <c:v>24.113</c:v>
                </c:pt>
                <c:pt idx="283">
                  <c:v>21.661999999999999</c:v>
                </c:pt>
                <c:pt idx="284">
                  <c:v>15.513999999999999</c:v>
                </c:pt>
                <c:pt idx="285">
                  <c:v>22.751999999999999</c:v>
                </c:pt>
                <c:pt idx="286">
                  <c:v>21.024000000000001</c:v>
                </c:pt>
                <c:pt idx="287">
                  <c:v>14.555</c:v>
                </c:pt>
                <c:pt idx="288">
                  <c:v>17.945</c:v>
                </c:pt>
                <c:pt idx="289">
                  <c:v>9.5489999999999995</c:v>
                </c:pt>
                <c:pt idx="290">
                  <c:v>35.335000000000001</c:v>
                </c:pt>
                <c:pt idx="291">
                  <c:v>35.259</c:v>
                </c:pt>
                <c:pt idx="292">
                  <c:v>29.83</c:v>
                </c:pt>
                <c:pt idx="293">
                  <c:v>5.7309999999999999</c:v>
                </c:pt>
                <c:pt idx="294">
                  <c:v>24.111999999999998</c:v>
                </c:pt>
                <c:pt idx="295">
                  <c:v>4.7880000000000003</c:v>
                </c:pt>
                <c:pt idx="296">
                  <c:v>9.7910000000000004</c:v>
                </c:pt>
                <c:pt idx="297">
                  <c:v>29.824999999999999</c:v>
                </c:pt>
                <c:pt idx="298">
                  <c:v>22.292999999999999</c:v>
                </c:pt>
                <c:pt idx="299">
                  <c:v>25.364999999999998</c:v>
                </c:pt>
                <c:pt idx="300">
                  <c:v>23.271000000000001</c:v>
                </c:pt>
                <c:pt idx="301">
                  <c:v>13.029</c:v>
                </c:pt>
                <c:pt idx="302">
                  <c:v>28.318999999999999</c:v>
                </c:pt>
                <c:pt idx="303">
                  <c:v>31.308</c:v>
                </c:pt>
                <c:pt idx="304">
                  <c:v>30.248000000000001</c:v>
                </c:pt>
                <c:pt idx="305">
                  <c:v>27.05</c:v>
                </c:pt>
                <c:pt idx="306">
                  <c:v>27.629000000000001</c:v>
                </c:pt>
                <c:pt idx="307">
                  <c:v>5.0049999999999999</c:v>
                </c:pt>
                <c:pt idx="308">
                  <c:v>15.62</c:v>
                </c:pt>
                <c:pt idx="309">
                  <c:v>23.370999999999999</c:v>
                </c:pt>
                <c:pt idx="310">
                  <c:v>15.877000000000001</c:v>
                </c:pt>
                <c:pt idx="311">
                  <c:v>5.1050000000000004</c:v>
                </c:pt>
                <c:pt idx="312">
                  <c:v>20.376000000000001</c:v>
                </c:pt>
                <c:pt idx="313">
                  <c:v>15.864000000000001</c:v>
                </c:pt>
                <c:pt idx="314">
                  <c:v>10.52</c:v>
                </c:pt>
                <c:pt idx="315">
                  <c:v>21.469000000000001</c:v>
                </c:pt>
                <c:pt idx="316">
                  <c:v>27.242000000000001</c:v>
                </c:pt>
                <c:pt idx="317">
                  <c:v>18.579000000000001</c:v>
                </c:pt>
                <c:pt idx="318">
                  <c:v>25.408999999999999</c:v>
                </c:pt>
                <c:pt idx="319">
                  <c:v>19.382000000000001</c:v>
                </c:pt>
                <c:pt idx="320">
                  <c:v>21.956</c:v>
                </c:pt>
                <c:pt idx="321">
                  <c:v>25.622</c:v>
                </c:pt>
                <c:pt idx="322">
                  <c:v>27.138999999999999</c:v>
                </c:pt>
                <c:pt idx="323">
                  <c:v>8.2270000000000003</c:v>
                </c:pt>
                <c:pt idx="324">
                  <c:v>18.631</c:v>
                </c:pt>
                <c:pt idx="325">
                  <c:v>27.61</c:v>
                </c:pt>
                <c:pt idx="326">
                  <c:v>27.582000000000001</c:v>
                </c:pt>
                <c:pt idx="327">
                  <c:v>25.398</c:v>
                </c:pt>
                <c:pt idx="328">
                  <c:v>24.614000000000001</c:v>
                </c:pt>
                <c:pt idx="329">
                  <c:v>24.992999999999999</c:v>
                </c:pt>
                <c:pt idx="330">
                  <c:v>20.407</c:v>
                </c:pt>
                <c:pt idx="331">
                  <c:v>14.461</c:v>
                </c:pt>
                <c:pt idx="332">
                  <c:v>7.9489999999999998</c:v>
                </c:pt>
                <c:pt idx="333">
                  <c:v>23.954999999999998</c:v>
                </c:pt>
                <c:pt idx="334">
                  <c:v>24.722000000000001</c:v>
                </c:pt>
                <c:pt idx="335">
                  <c:v>4.5570000000000004</c:v>
                </c:pt>
                <c:pt idx="336">
                  <c:v>1.369</c:v>
                </c:pt>
                <c:pt idx="337">
                  <c:v>12.492000000000001</c:v>
                </c:pt>
                <c:pt idx="338">
                  <c:v>8.5809999999999995</c:v>
                </c:pt>
                <c:pt idx="339">
                  <c:v>19.234000000000002</c:v>
                </c:pt>
                <c:pt idx="340">
                  <c:v>11.634</c:v>
                </c:pt>
                <c:pt idx="341">
                  <c:v>2.714</c:v>
                </c:pt>
                <c:pt idx="342">
                  <c:v>8.4529999999999994</c:v>
                </c:pt>
                <c:pt idx="343">
                  <c:v>8.6039999999999992</c:v>
                </c:pt>
                <c:pt idx="344">
                  <c:v>4.6870000000000003</c:v>
                </c:pt>
                <c:pt idx="345">
                  <c:v>6.7949999999999999</c:v>
                </c:pt>
                <c:pt idx="346">
                  <c:v>11.37</c:v>
                </c:pt>
                <c:pt idx="347">
                  <c:v>10.326000000000001</c:v>
                </c:pt>
                <c:pt idx="348">
                  <c:v>3.67</c:v>
                </c:pt>
                <c:pt idx="349">
                  <c:v>2.3410000000000002</c:v>
                </c:pt>
                <c:pt idx="350">
                  <c:v>16.5</c:v>
                </c:pt>
                <c:pt idx="351">
                  <c:v>8.9499999999999993</c:v>
                </c:pt>
                <c:pt idx="352">
                  <c:v>9.5909999999999993</c:v>
                </c:pt>
                <c:pt idx="353">
                  <c:v>8.2490000000000006</c:v>
                </c:pt>
                <c:pt idx="354">
                  <c:v>7.0220000000000002</c:v>
                </c:pt>
                <c:pt idx="355">
                  <c:v>7.77</c:v>
                </c:pt>
                <c:pt idx="356">
                  <c:v>18.460999999999999</c:v>
                </c:pt>
                <c:pt idx="357">
                  <c:v>9.2739999999999991</c:v>
                </c:pt>
                <c:pt idx="358">
                  <c:v>10.195</c:v>
                </c:pt>
                <c:pt idx="359">
                  <c:v>4.13</c:v>
                </c:pt>
                <c:pt idx="360">
                  <c:v>15.43</c:v>
                </c:pt>
                <c:pt idx="361">
                  <c:v>6.2759999999999998</c:v>
                </c:pt>
                <c:pt idx="362">
                  <c:v>7.2759999999999998</c:v>
                </c:pt>
                <c:pt idx="363">
                  <c:v>8.3019999999999996</c:v>
                </c:pt>
                <c:pt idx="364">
                  <c:v>11.332000000000001</c:v>
                </c:pt>
                <c:pt idx="365">
                  <c:v>14.01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924624"/>
        <c:axId val="545925016"/>
      </c:lineChart>
      <c:dateAx>
        <c:axId val="54592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5016"/>
        <c:crosses val="autoZero"/>
        <c:auto val="1"/>
        <c:lblOffset val="100"/>
        <c:baseTimeUnit val="days"/>
        <c:majorUnit val="1"/>
        <c:majorTimeUnit val="months"/>
      </c:dateAx>
      <c:valAx>
        <c:axId val="5459250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46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-0.50260972632787138</c:v>
                </c:pt>
                <c:pt idx="1">
                  <c:v>-0.50258051171387719</c:v>
                </c:pt>
                <c:pt idx="2">
                  <c:v>-0.50255007511838756</c:v>
                </c:pt>
                <c:pt idx="3">
                  <c:v>-0.50251836558709251</c:v>
                </c:pt>
                <c:pt idx="4">
                  <c:v>-0.50248533005453078</c:v>
                </c:pt>
                <c:pt idx="5">
                  <c:v>-0.50245091325778013</c:v>
                </c:pt>
                <c:pt idx="6">
                  <c:v>-0.5024150576467169</c:v>
                </c:pt>
                <c:pt idx="7">
                  <c:v>-0.50237770329071973</c:v>
                </c:pt>
                <c:pt idx="8">
                  <c:v>-0.50233878778168461</c:v>
                </c:pt>
                <c:pt idx="9">
                  <c:v>-0.50229824613321505</c:v>
                </c:pt>
                <c:pt idx="10">
                  <c:v>-0.50225601067584902</c:v>
                </c:pt>
                <c:pt idx="11">
                  <c:v>-0.50221201094817791</c:v>
                </c:pt>
                <c:pt idx="12">
                  <c:v>-0.50216617358370885</c:v>
                </c:pt>
                <c:pt idx="13">
                  <c:v>-0.50211842219331937</c:v>
                </c:pt>
                <c:pt idx="14">
                  <c:v>-0.50206867724314708</c:v>
                </c:pt>
                <c:pt idx="15">
                  <c:v>-0.5020168559277538</c:v>
                </c:pt>
                <c:pt idx="16">
                  <c:v>-0.50196287203839962</c:v>
                </c:pt>
                <c:pt idx="17">
                  <c:v>-0.50190663582625794</c:v>
                </c:pt>
                <c:pt idx="18">
                  <c:v>-0.5018480538603971</c:v>
                </c:pt>
                <c:pt idx="19">
                  <c:v>-0.50178702888035442</c:v>
                </c:pt>
                <c:pt idx="20">
                  <c:v>-0.50172345964311826</c:v>
                </c:pt>
                <c:pt idx="21">
                  <c:v>-0.50165724076433615</c:v>
                </c:pt>
                <c:pt idx="22">
                  <c:v>-0.50158826255355882</c:v>
                </c:pt>
                <c:pt idx="23">
                  <c:v>-0.50151641084332932</c:v>
                </c:pt>
                <c:pt idx="24">
                  <c:v>-0.50144156681192109</c:v>
                </c:pt>
                <c:pt idx="25">
                  <c:v>-0.50136360679952841</c:v>
                </c:pt>
                <c:pt idx="26">
                  <c:v>-0.50128240211770669</c:v>
                </c:pt>
                <c:pt idx="27">
                  <c:v>-0.50119781885186077</c:v>
                </c:pt>
                <c:pt idx="28">
                  <c:v>-0.50110971765657553</c:v>
                </c:pt>
                <c:pt idx="29">
                  <c:v>-0.50101795354358203</c:v>
                </c:pt>
                <c:pt idx="30">
                  <c:v>-0.50092237566215192</c:v>
                </c:pt>
                <c:pt idx="31">
                  <c:v>-0.50082282707171144</c:v>
                </c:pt>
                <c:pt idx="32">
                  <c:v>-0.5007191445064666</c:v>
                </c:pt>
                <c:pt idx="33">
                  <c:v>-0.50061115813183366</c:v>
                </c:pt>
                <c:pt idx="34">
                  <c:v>-0.5004986912924676</c:v>
                </c:pt>
                <c:pt idx="35">
                  <c:v>-0.50038156025168679</c:v>
                </c:pt>
                <c:pt idx="36">
                  <c:v>-0.50025957392209264</c:v>
                </c:pt>
                <c:pt idx="37">
                  <c:v>-0.50013253358719123</c:v>
                </c:pt>
                <c:pt idx="38">
                  <c:v>-0.50000023261382498</c:v>
                </c:pt>
                <c:pt idx="39">
                  <c:v>-0.49986245615523378</c:v>
                </c:pt>
                <c:pt idx="40">
                  <c:v>-0.49971898084457128</c:v>
                </c:pt>
                <c:pt idx="41">
                  <c:v>-0.49956957447871009</c:v>
                </c:pt>
                <c:pt idx="42">
                  <c:v>-0.49941399569218725</c:v>
                </c:pt>
                <c:pt idx="43">
                  <c:v>-0.49925199362114808</c:v>
                </c:pt>
                <c:pt idx="44">
                  <c:v>-0.49908330755716634</c:v>
                </c:pt>
                <c:pt idx="45">
                  <c:v>-0.49890766659083591</c:v>
                </c:pt>
                <c:pt idx="46">
                  <c:v>-0.49872478924504782</c:v>
                </c:pt>
                <c:pt idx="47">
                  <c:v>-0.4985343830978915</c:v>
                </c:pt>
                <c:pt idx="48">
                  <c:v>-0.49833614439514323</c:v>
                </c:pt>
                <c:pt idx="49">
                  <c:v>-0.49812975765233425</c:v>
                </c:pt>
                <c:pt idx="50">
                  <c:v>-0.49791489524642396</c:v>
                </c:pt>
                <c:pt idx="51">
                  <c:v>-0.49769121699713736</c:v>
                </c:pt>
                <c:pt idx="52">
                  <c:v>-0.49745836973806806</c:v>
                </c:pt>
                <c:pt idx="53">
                  <c:v>-0.4972159868776902</c:v>
                </c:pt>
                <c:pt idx="54">
                  <c:v>-0.49696368795047191</c:v>
                </c:pt>
                <c:pt idx="55">
                  <c:v>-0.49670107815833586</c:v>
                </c:pt>
                <c:pt idx="56">
                  <c:v>-0.49642774790277056</c:v>
                </c:pt>
                <c:pt idx="57">
                  <c:v>-0.4961432723079604</c:v>
                </c:pt>
                <c:pt idx="58">
                  <c:v>-0.49584721073537275</c:v>
                </c:pt>
                <c:pt idx="59">
                  <c:v>-0.495539106290314</c:v>
                </c:pt>
                <c:pt idx="60">
                  <c:v>-0.49521848532105245</c:v>
                </c:pt>
                <c:pt idx="61">
                  <c:v>-0.49488485691119455</c:v>
                </c:pt>
                <c:pt idx="62">
                  <c:v>-0.49453771236609628</c:v>
                </c:pt>
                <c:pt idx="63">
                  <c:v>-0.49417652469420065</c:v>
                </c:pt>
                <c:pt idx="64">
                  <c:v>-0.49380074808430252</c:v>
                </c:pt>
                <c:pt idx="65">
                  <c:v>-0.49340981737986694</c:v>
                </c:pt>
                <c:pt idx="66">
                  <c:v>-0.49300314755165686</c:v>
                </c:pt>
                <c:pt idx="67">
                  <c:v>-0.49258013317006993</c:v>
                </c:pt>
                <c:pt idx="68">
                  <c:v>-0.49214014787873317</c:v>
                </c:pt>
                <c:pt idx="69">
                  <c:v>-0.4916825438710683</c:v>
                </c:pt>
                <c:pt idx="70">
                  <c:v>-0.4912066513717131</c:v>
                </c:pt>
                <c:pt idx="71">
                  <c:v>-0.49071177812486727</c:v>
                </c:pt>
                <c:pt idx="72">
                  <c:v>-0.49019720889182966</c:v>
                </c:pt>
                <c:pt idx="73">
                  <c:v>-0.48966220496019808</c:v>
                </c:pt>
                <c:pt idx="74">
                  <c:v>-0.48910600366742613</c:v>
                </c:pt>
                <c:pt idx="75">
                  <c:v>-0.48852781794166189</c:v>
                </c:pt>
                <c:pt idx="76">
                  <c:v>-0.48792683586303648</c:v>
                </c:pt>
                <c:pt idx="77">
                  <c:v>-0.48730222024882985</c:v>
                </c:pt>
                <c:pt idx="78">
                  <c:v>-0.48665310826620839</c:v>
                </c:pt>
                <c:pt idx="79">
                  <c:v>-0.48597861107650819</c:v>
                </c:pt>
                <c:pt idx="80">
                  <c:v>-0.4852778135153335</c:v>
                </c:pt>
                <c:pt idx="81">
                  <c:v>-0.48454977381303882</c:v>
                </c:pt>
                <c:pt idx="82">
                  <c:v>-0.48379352336047904</c:v>
                </c:pt>
                <c:pt idx="83">
                  <c:v>-0.48300806652523176</c:v>
                </c:pt>
                <c:pt idx="84">
                  <c:v>-0.48219238052382818</c:v>
                </c:pt>
                <c:pt idx="85">
                  <c:v>-0.48134541535586356</c:v>
                </c:pt>
                <c:pt idx="86">
                  <c:v>-0.48046609380619937</c:v>
                </c:pt>
                <c:pt idx="87">
                  <c:v>-0.47955331152181296</c:v>
                </c:pt>
                <c:pt idx="88">
                  <c:v>-0.47860593717019462</c:v>
                </c:pt>
                <c:pt idx="89">
                  <c:v>-0.47762281268653034</c:v>
                </c:pt>
                <c:pt idx="90">
                  <c:v>-0.47660275361724513</c:v>
                </c:pt>
                <c:pt idx="91">
                  <c:v>-0.47554454956780579</c:v>
                </c:pt>
                <c:pt idx="92">
                  <c:v>-0.4744469647629922</c:v>
                </c:pt>
                <c:pt idx="93">
                  <c:v>-0.4733087387281395</c:v>
                </c:pt>
                <c:pt idx="94">
                  <c:v>-0.47212858710012079</c:v>
                </c:pt>
                <c:pt idx="95">
                  <c:v>-0.47090520257708057</c:v>
                </c:pt>
                <c:pt idx="96">
                  <c:v>-0.4696372560161316</c:v>
                </c:pt>
                <c:pt idx="97">
                  <c:v>-0.46832339768838799</c:v>
                </c:pt>
                <c:pt idx="98">
                  <c:v>-0.46696225870082197</c:v>
                </c:pt>
                <c:pt idx="99">
                  <c:v>-0.46555245259447942</c:v>
                </c:pt>
                <c:pt idx="100">
                  <c:v>-0.46409257712858232</c:v>
                </c:pt>
                <c:pt idx="101">
                  <c:v>-0.46258121625995402</c:v>
                </c:pt>
                <c:pt idx="102">
                  <c:v>-0.46101694232703244</c:v>
                </c:pt>
                <c:pt idx="103">
                  <c:v>-0.45939831844746887</c:v>
                </c:pt>
                <c:pt idx="104">
                  <c:v>-0.45772390113793737</c:v>
                </c:pt>
                <c:pt idx="105">
                  <c:v>-0.45599224316429499</c:v>
                </c:pt>
                <c:pt idx="106">
                  <c:v>-0.45420189662961818</c:v>
                </c:pt>
                <c:pt idx="107">
                  <c:v>-0.45235141630689529</c:v>
                </c:pt>
                <c:pt idx="108">
                  <c:v>-0.45043936322225842</c:v>
                </c:pt>
                <c:pt idx="109">
                  <c:v>-0.4484643084935892</c:v>
                </c:pt>
                <c:pt idx="110">
                  <c:v>-0.44642483742811617</c:v>
                </c:pt>
                <c:pt idx="111">
                  <c:v>-0.44431955388123368</c:v>
                </c:pt>
                <c:pt idx="112">
                  <c:v>-0.44214708487720034</c:v>
                </c:pt>
                <c:pt idx="113">
                  <c:v>-0.43990608549061883</c:v>
                </c:pt>
                <c:pt idx="114">
                  <c:v>-0.43759524398565297</c:v>
                </c:pt>
                <c:pt idx="115">
                  <c:v>-0.43521328720779401</c:v>
                </c:pt>
                <c:pt idx="116">
                  <c:v>-0.43275898622065906</c:v>
                </c:pt>
                <c:pt idx="117">
                  <c:v>-0.43023116217778173</c:v>
                </c:pt>
                <c:pt idx="118">
                  <c:v>-0.42762869241664969</c:v>
                </c:pt>
                <c:pt idx="119">
                  <c:v>-0.42495051675937057</c:v>
                </c:pt>
                <c:pt idx="120">
                  <c:v>-0.42219564400131054</c:v>
                </c:pt>
                <c:pt idx="121">
                  <c:v>-0.41936315856587547</c:v>
                </c:pt>
                <c:pt idx="122">
                  <c:v>-0.41645222730031167</c:v>
                </c:pt>
                <c:pt idx="123">
                  <c:v>-0.41346210638402126</c:v>
                </c:pt>
                <c:pt idx="124">
                  <c:v>-0.41039214831744486</c:v>
                </c:pt>
                <c:pt idx="125">
                  <c:v>-0.40724180895610351</c:v>
                </c:pt>
                <c:pt idx="126">
                  <c:v>-0.4040106545509512</c:v>
                </c:pt>
                <c:pt idx="127">
                  <c:v>-0.40069836875281822</c:v>
                </c:pt>
                <c:pt idx="128">
                  <c:v>-0.39730475953547284</c:v>
                </c:pt>
                <c:pt idx="129">
                  <c:v>-0.39382976598875463</c:v>
                </c:pt>
                <c:pt idx="130">
                  <c:v>-0.39027346493039033</c:v>
                </c:pt>
                <c:pt idx="131">
                  <c:v>-0.38663607728256161</c:v>
                </c:pt>
                <c:pt idx="132">
                  <c:v>-0.38291797415710949</c:v>
                </c:pt>
                <c:pt idx="133">
                  <c:v>-0.37911968259150713</c:v>
                </c:pt>
                <c:pt idx="134">
                  <c:v>-0.37524189087646753</c:v>
                </c:pt>
                <c:pt idx="135">
                  <c:v>-0.37128545341534136</c:v>
                </c:pt>
                <c:pt idx="136">
                  <c:v>-0.36725139505536758</c:v>
                </c:pt>
                <c:pt idx="137">
                  <c:v>-0.36314091483141048</c:v>
                </c:pt>
                <c:pt idx="138">
                  <c:v>-0.35895538906411401</c:v>
                </c:pt>
                <c:pt idx="139">
                  <c:v>-0.35469637375645335</c:v>
                </c:pt>
                <c:pt idx="140">
                  <c:v>-0.3503656062355105</c:v>
                </c:pt>
                <c:pt idx="141">
                  <c:v>-0.34596500598995489</c:v>
                </c:pt>
                <c:pt idx="142">
                  <c:v>-0.34149667465818256</c:v>
                </c:pt>
                <c:pt idx="143">
                  <c:v>-0.336962895127353</c:v>
                </c:pt>
                <c:pt idx="144">
                  <c:v>-0.33236612970963597</c:v>
                </c:pt>
                <c:pt idx="145">
                  <c:v>-0.32770901736880365</c:v>
                </c:pt>
                <c:pt idx="146">
                  <c:v>-0.32299436997782777</c:v>
                </c:pt>
                <c:pt idx="147">
                  <c:v>-0.31822516759628539</c:v>
                </c:pt>
                <c:pt idx="148">
                  <c:v>-0.3134045527650634</c:v>
                </c:pt>
                <c:pt idx="149">
                  <c:v>-0.30853582382497585</c:v>
                </c:pt>
                <c:pt idx="150">
                  <c:v>-0.30362242727534916</c:v>
                </c:pt>
                <c:pt idx="151">
                  <c:v>-0.29866794919826684</c:v>
                </c:pt>
                <c:pt idx="152">
                  <c:v>-0.29367610578385428</c:v>
                </c:pt>
                <c:pt idx="153">
                  <c:v>-0.28865073300158239</c:v>
                </c:pt>
                <c:pt idx="154">
                  <c:v>-0.28359577547192261</c:v>
                </c:pt>
                <c:pt idx="155">
                  <c:v>-0.2785152746016506</c:v>
                </c:pt>
                <c:pt idx="156">
                  <c:v>-0.27341335605451067</c:v>
                </c:pt>
                <c:pt idx="157">
                  <c:v>-0.26829421663668468</c:v>
                </c:pt>
                <c:pt idx="158">
                  <c:v>-0.26316211068341822</c:v>
                </c:pt>
                <c:pt idx="159">
                  <c:v>-0.25802133603911231</c:v>
                </c:pt>
                <c:pt idx="160">
                  <c:v>-0.25287621972810082</c:v>
                </c:pt>
                <c:pt idx="161">
                  <c:v>-0.24773110341708926</c:v>
                </c:pt>
                <c:pt idx="162">
                  <c:v>-0.24259032877278336</c:v>
                </c:pt>
                <c:pt idx="163">
                  <c:v>-0.23745822281951684</c:v>
                </c:pt>
                <c:pt idx="164">
                  <c:v>-0.2323390834016909</c:v>
                </c:pt>
                <c:pt idx="165">
                  <c:v>-0.22723716485455087</c:v>
                </c:pt>
                <c:pt idx="166">
                  <c:v>-0.22215666398427897</c:v>
                </c:pt>
                <c:pt idx="167">
                  <c:v>-0.21710170645461918</c:v>
                </c:pt>
                <c:pt idx="168">
                  <c:v>-0.21207633367234724</c:v>
                </c:pt>
                <c:pt idx="169">
                  <c:v>-0.20708449025793474</c:v>
                </c:pt>
                <c:pt idx="170">
                  <c:v>-0.20213001218085241</c:v>
                </c:pt>
                <c:pt idx="171">
                  <c:v>-0.19721661563122572</c:v>
                </c:pt>
                <c:pt idx="172">
                  <c:v>-0.19234788669113811</c:v>
                </c:pt>
                <c:pt idx="173">
                  <c:v>-0.18752727185991619</c:v>
                </c:pt>
                <c:pt idx="174">
                  <c:v>-0.18275806947837381</c:v>
                </c:pt>
                <c:pt idx="175">
                  <c:v>-0.17804342208739793</c:v>
                </c:pt>
                <c:pt idx="176">
                  <c:v>-0.17338630974656566</c:v>
                </c:pt>
                <c:pt idx="177">
                  <c:v>-0.16878954432884852</c:v>
                </c:pt>
                <c:pt idx="178">
                  <c:v>-0.16425576479801901</c:v>
                </c:pt>
                <c:pt idx="179">
                  <c:v>-0.15978743346624669</c:v>
                </c:pt>
                <c:pt idx="180">
                  <c:v>-0.15538683322069108</c:v>
                </c:pt>
                <c:pt idx="181">
                  <c:v>-0.15105606569974822</c:v>
                </c:pt>
                <c:pt idx="182">
                  <c:v>-0.14679705039208757</c:v>
                </c:pt>
                <c:pt idx="183">
                  <c:v>-0.1426115246247911</c:v>
                </c:pt>
                <c:pt idx="184">
                  <c:v>-0.13850104440083399</c:v>
                </c:pt>
                <c:pt idx="185">
                  <c:v>-0.13446698604086016</c:v>
                </c:pt>
                <c:pt idx="186">
                  <c:v>-0.13051054857973404</c:v>
                </c:pt>
                <c:pt idx="187">
                  <c:v>-0.12663275686469444</c:v>
                </c:pt>
                <c:pt idx="188">
                  <c:v>-0.12283446529909203</c:v>
                </c:pt>
                <c:pt idx="189">
                  <c:v>-0.11911636217363997</c:v>
                </c:pt>
                <c:pt idx="190">
                  <c:v>-0.11547897452581124</c:v>
                </c:pt>
                <c:pt idx="191">
                  <c:v>-0.11192267346744694</c:v>
                </c:pt>
                <c:pt idx="192">
                  <c:v>-0.10844767992072873</c:v>
                </c:pt>
                <c:pt idx="193">
                  <c:v>-0.1050540707033833</c:v>
                </c:pt>
                <c:pt idx="194">
                  <c:v>-0.10174178490525038</c:v>
                </c:pt>
                <c:pt idx="195">
                  <c:v>-9.8510630500098006E-2</c:v>
                </c:pt>
                <c:pt idx="196">
                  <c:v>-9.5360291138756603E-2</c:v>
                </c:pt>
                <c:pt idx="197">
                  <c:v>-9.2290333072180264E-2</c:v>
                </c:pt>
                <c:pt idx="198">
                  <c:v>-8.9300212155889847E-2</c:v>
                </c:pt>
                <c:pt idx="199">
                  <c:v>-8.6389280890326103E-2</c:v>
                </c:pt>
                <c:pt idx="200">
                  <c:v>-8.3556795454890975E-2</c:v>
                </c:pt>
                <c:pt idx="201">
                  <c:v>-8.0801922696831008E-2</c:v>
                </c:pt>
                <c:pt idx="202">
                  <c:v>-7.8123747039551883E-2</c:v>
                </c:pt>
                <c:pt idx="203">
                  <c:v>-7.5521277278419785E-2</c:v>
                </c:pt>
                <c:pt idx="204">
                  <c:v>-7.2993453235542516E-2</c:v>
                </c:pt>
                <c:pt idx="205">
                  <c:v>-7.0539152248407511E-2</c:v>
                </c:pt>
                <c:pt idx="206">
                  <c:v>-6.8157195470548604E-2</c:v>
                </c:pt>
                <c:pt idx="207">
                  <c:v>-6.5846353965582749E-2</c:v>
                </c:pt>
                <c:pt idx="208">
                  <c:v>-6.3605354579001239E-2</c:v>
                </c:pt>
                <c:pt idx="209">
                  <c:v>-6.1432885574967844E-2</c:v>
                </c:pt>
                <c:pt idx="210">
                  <c:v>-5.9327602028085402E-2</c:v>
                </c:pt>
                <c:pt idx="211">
                  <c:v>-5.7288130962612316E-2</c:v>
                </c:pt>
                <c:pt idx="212">
                  <c:v>-5.5313076233943104E-2</c:v>
                </c:pt>
                <c:pt idx="213">
                  <c:v>-5.3401023149306281E-2</c:v>
                </c:pt>
                <c:pt idx="214">
                  <c:v>-5.1550542826583334E-2</c:v>
                </c:pt>
                <c:pt idx="215">
                  <c:v>-4.9760196291906533E-2</c:v>
                </c:pt>
                <c:pt idx="216">
                  <c:v>-4.8028538318264202E-2</c:v>
                </c:pt>
                <c:pt idx="217">
                  <c:v>-4.6354121008732652E-2</c:v>
                </c:pt>
                <c:pt idx="218">
                  <c:v>-4.4735497129169077E-2</c:v>
                </c:pt>
                <c:pt idx="219">
                  <c:v>-4.3171223196247555E-2</c:v>
                </c:pt>
                <c:pt idx="220">
                  <c:v>-4.1659862327619257E-2</c:v>
                </c:pt>
                <c:pt idx="221">
                  <c:v>-4.0199986861722103E-2</c:v>
                </c:pt>
                <c:pt idx="222">
                  <c:v>-3.87901807553796E-2</c:v>
                </c:pt>
                <c:pt idx="223">
                  <c:v>-3.7429041767813531E-2</c:v>
                </c:pt>
                <c:pt idx="224">
                  <c:v>-3.611518344006992E-2</c:v>
                </c:pt>
                <c:pt idx="225">
                  <c:v>-3.4847236879121002E-2</c:v>
                </c:pt>
                <c:pt idx="226">
                  <c:v>-3.3623852356080786E-2</c:v>
                </c:pt>
                <c:pt idx="227">
                  <c:v>-3.2443700728062019E-2</c:v>
                </c:pt>
                <c:pt idx="228">
                  <c:v>-3.1305474693209379E-2</c:v>
                </c:pt>
                <c:pt idx="229">
                  <c:v>-3.0207889888395789E-2</c:v>
                </c:pt>
                <c:pt idx="230">
                  <c:v>-2.9149685838956441E-2</c:v>
                </c:pt>
                <c:pt idx="231">
                  <c:v>-2.8129626769671179E-2</c:v>
                </c:pt>
                <c:pt idx="232">
                  <c:v>-2.7146502286006957E-2</c:v>
                </c:pt>
                <c:pt idx="233">
                  <c:v>-2.6199127934388555E-2</c:v>
                </c:pt>
                <c:pt idx="234">
                  <c:v>-2.5286345650002262E-2</c:v>
                </c:pt>
                <c:pt idx="235">
                  <c:v>-2.4407024100338015E-2</c:v>
                </c:pt>
                <c:pt idx="236">
                  <c:v>-2.3560058932373396E-2</c:v>
                </c:pt>
                <c:pt idx="237">
                  <c:v>-2.2744372930969758E-2</c:v>
                </c:pt>
                <c:pt idx="238">
                  <c:v>-2.1958916095722536E-2</c:v>
                </c:pt>
                <c:pt idx="239">
                  <c:v>-2.1202665643162699E-2</c:v>
                </c:pt>
                <c:pt idx="240">
                  <c:v>-2.0474625940868074E-2</c:v>
                </c:pt>
                <c:pt idx="241">
                  <c:v>-1.9773828379693381E-2</c:v>
                </c:pt>
                <c:pt idx="242">
                  <c:v>-1.9099331189993185E-2</c:v>
                </c:pt>
                <c:pt idx="243">
                  <c:v>-1.8450219207371721E-2</c:v>
                </c:pt>
                <c:pt idx="244">
                  <c:v>-1.7825603593165096E-2</c:v>
                </c:pt>
                <c:pt idx="245">
                  <c:v>-1.7224621514539629E-2</c:v>
                </c:pt>
                <c:pt idx="246">
                  <c:v>-1.6646435788775393E-2</c:v>
                </c:pt>
                <c:pt idx="247">
                  <c:v>-1.6090234496003497E-2</c:v>
                </c:pt>
                <c:pt idx="248">
                  <c:v>-1.5555230564371858E-2</c:v>
                </c:pt>
                <c:pt idx="249">
                  <c:v>-1.5040661331334249E-2</c:v>
                </c:pt>
                <c:pt idx="250">
                  <c:v>-1.454578808448842E-2</c:v>
                </c:pt>
                <c:pt idx="251">
                  <c:v>-1.4069895585133219E-2</c:v>
                </c:pt>
                <c:pt idx="252">
                  <c:v>-1.361229157746835E-2</c:v>
                </c:pt>
                <c:pt idx="253">
                  <c:v>-1.3172306286131641E-2</c:v>
                </c:pt>
                <c:pt idx="254">
                  <c:v>-1.2749291904544657E-2</c:v>
                </c:pt>
                <c:pt idx="255">
                  <c:v>-1.2342622076334575E-2</c:v>
                </c:pt>
                <c:pt idx="256">
                  <c:v>-1.1951691371898998E-2</c:v>
                </c:pt>
                <c:pt idx="257">
                  <c:v>-1.1575914762000927E-2</c:v>
                </c:pt>
                <c:pt idx="258">
                  <c:v>-1.1214727090105292E-2</c:v>
                </c:pt>
                <c:pt idx="259">
                  <c:v>-1.0867582545006971E-2</c:v>
                </c:pt>
                <c:pt idx="260">
                  <c:v>-1.0533954135149126E-2</c:v>
                </c:pt>
                <c:pt idx="261">
                  <c:v>-1.0213333165887517E-2</c:v>
                </c:pt>
                <c:pt idx="262">
                  <c:v>-9.9052287208287737E-3</c:v>
                </c:pt>
                <c:pt idx="263">
                  <c:v>-9.6091671482411156E-3</c:v>
                </c:pt>
                <c:pt idx="264">
                  <c:v>-9.3246915534309638E-3</c:v>
                </c:pt>
                <c:pt idx="265">
                  <c:v>-9.0513612978657121E-3</c:v>
                </c:pt>
                <c:pt idx="266">
                  <c:v>-8.7887515057296639E-3</c:v>
                </c:pt>
                <c:pt idx="267">
                  <c:v>-8.5364525785113776E-3</c:v>
                </c:pt>
                <c:pt idx="268">
                  <c:v>-8.2940697181334566E-3</c:v>
                </c:pt>
                <c:pt idx="269">
                  <c:v>-8.0612224590642101E-3</c:v>
                </c:pt>
                <c:pt idx="270">
                  <c:v>-7.8375442097775583E-3</c:v>
                </c:pt>
                <c:pt idx="271">
                  <c:v>-7.6226818038673261E-3</c:v>
                </c:pt>
                <c:pt idx="272">
                  <c:v>-7.4162950610583422E-3</c:v>
                </c:pt>
                <c:pt idx="273">
                  <c:v>-7.2180563583100765E-3</c:v>
                </c:pt>
                <c:pt idx="274">
                  <c:v>-7.027650211153702E-3</c:v>
                </c:pt>
                <c:pt idx="275">
                  <c:v>-6.8447728653656115E-3</c:v>
                </c:pt>
                <c:pt idx="276">
                  <c:v>-6.6691318990351744E-3</c:v>
                </c:pt>
                <c:pt idx="277">
                  <c:v>-6.5004458350534922E-3</c:v>
                </c:pt>
                <c:pt idx="278">
                  <c:v>-6.3384437640143232E-3</c:v>
                </c:pt>
                <c:pt idx="279">
                  <c:v>-6.1828649774914868E-3</c:v>
                </c:pt>
                <c:pt idx="280">
                  <c:v>-6.0334586116302935E-3</c:v>
                </c:pt>
                <c:pt idx="281">
                  <c:v>-5.8899833009677383E-3</c:v>
                </c:pt>
                <c:pt idx="282">
                  <c:v>-5.7522068423766504E-3</c:v>
                </c:pt>
                <c:pt idx="283">
                  <c:v>-5.6199058690103443E-3</c:v>
                </c:pt>
                <c:pt idx="284">
                  <c:v>-5.4928655341088817E-3</c:v>
                </c:pt>
                <c:pt idx="285">
                  <c:v>-5.3708792045147336E-3</c:v>
                </c:pt>
                <c:pt idx="286">
                  <c:v>-5.2537481637339178E-3</c:v>
                </c:pt>
                <c:pt idx="287">
                  <c:v>-5.141281324367919E-3</c:v>
                </c:pt>
                <c:pt idx="288">
                  <c:v>-5.0332949497349233E-3</c:v>
                </c:pt>
                <c:pt idx="289">
                  <c:v>-4.9296123844900785E-3</c:v>
                </c:pt>
                <c:pt idx="290">
                  <c:v>-4.8300637940495994E-3</c:v>
                </c:pt>
                <c:pt idx="291">
                  <c:v>-4.7344859126194905E-3</c:v>
                </c:pt>
                <c:pt idx="292">
                  <c:v>-4.6427217996261039E-3</c:v>
                </c:pt>
                <c:pt idx="293">
                  <c:v>-4.5546206043408088E-3</c:v>
                </c:pt>
                <c:pt idx="294">
                  <c:v>-4.4700373384948811E-3</c:v>
                </c:pt>
                <c:pt idx="295">
                  <c:v>-4.388832656673114E-3</c:v>
                </c:pt>
                <c:pt idx="296">
                  <c:v>-4.3108726442804279E-3</c:v>
                </c:pt>
                <c:pt idx="297">
                  <c:v>-4.2360286128722002E-3</c:v>
                </c:pt>
                <c:pt idx="298">
                  <c:v>-4.1641769026427022E-3</c:v>
                </c:pt>
                <c:pt idx="299">
                  <c:v>-4.0951986918654204E-3</c:v>
                </c:pt>
                <c:pt idx="300">
                  <c:v>-4.028979813083311E-3</c:v>
                </c:pt>
                <c:pt idx="301">
                  <c:v>-3.9654105758471503E-3</c:v>
                </c:pt>
                <c:pt idx="302">
                  <c:v>-3.9043855958044715E-3</c:v>
                </c:pt>
                <c:pt idx="303">
                  <c:v>-3.8458036299435783E-3</c:v>
                </c:pt>
                <c:pt idx="304">
                  <c:v>-3.7895674178018979E-3</c:v>
                </c:pt>
                <c:pt idx="305">
                  <c:v>-3.7355835284477723E-3</c:v>
                </c:pt>
                <c:pt idx="306">
                  <c:v>-3.6837622130545533E-3</c:v>
                </c:pt>
                <c:pt idx="307">
                  <c:v>-3.6340172628822054E-3</c:v>
                </c:pt>
                <c:pt idx="308">
                  <c:v>-3.5862658724927776E-3</c:v>
                </c:pt>
                <c:pt idx="309">
                  <c:v>-3.5404285080236075E-3</c:v>
                </c:pt>
                <c:pt idx="310">
                  <c:v>-3.4964287803525007E-3</c:v>
                </c:pt>
                <c:pt idx="311">
                  <c:v>-3.4541933229864652E-3</c:v>
                </c:pt>
                <c:pt idx="312">
                  <c:v>-3.4136516745169598E-3</c:v>
                </c:pt>
                <c:pt idx="313">
                  <c:v>-3.3747361654817842E-3</c:v>
                </c:pt>
                <c:pt idx="314">
                  <c:v>-3.3373818094846741E-3</c:v>
                </c:pt>
                <c:pt idx="315">
                  <c:v>-3.301526198421445E-3</c:v>
                </c:pt>
                <c:pt idx="316">
                  <c:v>-3.2671094016707425E-3</c:v>
                </c:pt>
                <c:pt idx="317">
                  <c:v>-3.2340738691090665E-3</c:v>
                </c:pt>
                <c:pt idx="318">
                  <c:v>-3.2023643378139566E-3</c:v>
                </c:pt>
                <c:pt idx="319">
                  <c:v>-3.1719277423243875E-3</c:v>
                </c:pt>
                <c:pt idx="320">
                  <c:v>-3.1427131283301435E-3</c:v>
                </c:pt>
                <c:pt idx="321">
                  <c:v>-3.1146715696667715E-3</c:v>
                </c:pt>
                <c:pt idx="322">
                  <c:v>-3.0877560884962629E-3</c:v>
                </c:pt>
                <c:pt idx="323">
                  <c:v>-3.0619215785572251E-3</c:v>
                </c:pt>
                <c:pt idx="324">
                  <c:v>-3.0371247313721317E-3</c:v>
                </c:pt>
                <c:pt idx="325">
                  <c:v>-3.013323965303516E-3</c:v>
                </c:pt>
                <c:pt idx="326">
                  <c:v>-2.9904793573538035E-3</c:v>
                </c:pt>
                <c:pt idx="327">
                  <c:v>-2.9685525776058097E-3</c:v>
                </c:pt>
                <c:pt idx="328">
                  <c:v>-2.9475068262084791E-3</c:v>
                </c:pt>
                <c:pt idx="329">
                  <c:v>-2.9273067728101121E-3</c:v>
                </c:pt>
                <c:pt idx="330">
                  <c:v>-2.9079184983495376E-3</c:v>
                </c:pt>
                <c:pt idx="331">
                  <c:v>-2.8893094391148066E-3</c:v>
                </c:pt>
                <c:pt idx="332">
                  <c:v>-2.8714483329856377E-3</c:v>
                </c:pt>
                <c:pt idx="333">
                  <c:v>-2.8543051677765718E-3</c:v>
                </c:pt>
                <c:pt idx="334">
                  <c:v>-2.8378511316010657E-3</c:v>
                </c:pt>
                <c:pt idx="335">
                  <c:v>-2.8220585651791419E-3</c:v>
                </c:pt>
                <c:pt idx="336">
                  <c:v>-2.8069009160165415E-3</c:v>
                </c:pt>
                <c:pt idx="337">
                  <c:v>-2.7923526943815502E-3</c:v>
                </c:pt>
                <c:pt idx="338">
                  <c:v>-2.7783894310126067E-3</c:v>
                </c:pt>
                <c:pt idx="339">
                  <c:v>-2.7649876364896353E-3</c:v>
                </c:pt>
                <c:pt idx="340">
                  <c:v>-2.7521247622045997E-3</c:v>
                </c:pt>
                <c:pt idx="341">
                  <c:v>-2.7397791628705481E-3</c:v>
                </c:pt>
                <c:pt idx="342">
                  <c:v>-2.727930060510475E-3</c:v>
                </c:pt>
                <c:pt idx="343">
                  <c:v>-2.7165575098659356E-3</c:v>
                </c:pt>
                <c:pt idx="344">
                  <c:v>-2.7056423651746209E-3</c:v>
                </c:pt>
                <c:pt idx="345">
                  <c:v>-2.6951662482598837E-3</c:v>
                </c:pt>
                <c:pt idx="346">
                  <c:v>-2.6851115178839757E-3</c:v>
                </c:pt>
                <c:pt idx="347">
                  <c:v>-2.6754612403146472E-3</c:v>
                </c:pt>
                <c:pt idx="348">
                  <c:v>-2.666199161058147E-3</c:v>
                </c:pt>
                <c:pt idx="349">
                  <c:v>-2.6573096777129379E-3</c:v>
                </c:pt>
                <c:pt idx="350">
                  <c:v>-2.6487778139004936E-3</c:v>
                </c:pt>
                <c:pt idx="351">
                  <c:v>-2.6405891942312132E-3</c:v>
                </c:pt>
                <c:pt idx="352">
                  <c:v>-2.6327300202649839E-3</c:v>
                </c:pt>
                <c:pt idx="353">
                  <c:v>-2.625187047426647E-3</c:v>
                </c:pt>
                <c:pt idx="354">
                  <c:v>-2.6179475628397286E-3</c:v>
                </c:pt>
                <c:pt idx="355">
                  <c:v>-2.6109993640424656E-3</c:v>
                </c:pt>
                <c:pt idx="356">
                  <c:v>-2.6109993640424656E-3</c:v>
                </c:pt>
                <c:pt idx="357">
                  <c:v>-2.6109993640424656E-3</c:v>
                </c:pt>
                <c:pt idx="358">
                  <c:v>-2.6109993640424656E-3</c:v>
                </c:pt>
                <c:pt idx="359">
                  <c:v>-2.6109993640424656E-3</c:v>
                </c:pt>
                <c:pt idx="360">
                  <c:v>-2.6109993640424656E-3</c:v>
                </c:pt>
                <c:pt idx="361">
                  <c:v>-2.6109993640424656E-3</c:v>
                </c:pt>
                <c:pt idx="362">
                  <c:v>-2.6109993640424656E-3</c:v>
                </c:pt>
                <c:pt idx="363">
                  <c:v>-2.6109993640424656E-3</c:v>
                </c:pt>
                <c:pt idx="364">
                  <c:v>-2.6109993640424656E-3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925800"/>
        <c:axId val="545926192"/>
      </c:lineChart>
      <c:dateAx>
        <c:axId val="545925800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6192"/>
        <c:crosses val="autoZero"/>
        <c:auto val="1"/>
        <c:lblOffset val="100"/>
        <c:baseTimeUnit val="days"/>
        <c:majorUnit val="1"/>
      </c:dateAx>
      <c:valAx>
        <c:axId val="5459261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58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2.0335225141618674E-2</c:v>
                </c:pt>
                <c:pt idx="1">
                  <c:v>2.035668231443144E-2</c:v>
                </c:pt>
                <c:pt idx="2">
                  <c:v>2.037813901727703E-2</c:v>
                </c:pt>
                <c:pt idx="3">
                  <c:v>2.039959525016577E-2</c:v>
                </c:pt>
                <c:pt idx="4">
                  <c:v>2.0421051013107983E-2</c:v>
                </c:pt>
                <c:pt idx="5">
                  <c:v>2.0442506306113883E-2</c:v>
                </c:pt>
                <c:pt idx="6">
                  <c:v>2.0463961129193797E-2</c:v>
                </c:pt>
                <c:pt idx="7">
                  <c:v>2.0485415482358049E-2</c:v>
                </c:pt>
                <c:pt idx="8">
                  <c:v>2.0506869365616853E-2</c:v>
                </c:pt>
                <c:pt idx="9">
                  <c:v>2.0528322778980646E-2</c:v>
                </c:pt>
                <c:pt idx="10">
                  <c:v>2.054977572245964E-2</c:v>
                </c:pt>
                <c:pt idx="11">
                  <c:v>2.0571228196064051E-2</c:v>
                </c:pt>
                <c:pt idx="12">
                  <c:v>2.0592680199804203E-2</c:v>
                </c:pt>
                <c:pt idx="13">
                  <c:v>2.0614131733690422E-2</c:v>
                </c:pt>
                <c:pt idx="14">
                  <c:v>2.0635582797733032E-2</c:v>
                </c:pt>
                <c:pt idx="15">
                  <c:v>2.0657033391942248E-2</c:v>
                </c:pt>
                <c:pt idx="16">
                  <c:v>2.0678483516328505E-2</c:v>
                </c:pt>
                <c:pt idx="17">
                  <c:v>2.0699933170901907E-2</c:v>
                </c:pt>
                <c:pt idx="18">
                  <c:v>2.0721382355672779E-2</c:v>
                </c:pt>
                <c:pt idx="19">
                  <c:v>2.0742831070651557E-2</c:v>
                </c:pt>
                <c:pt idx="20">
                  <c:v>2.0764279315848344E-2</c:v>
                </c:pt>
                <c:pt idx="21">
                  <c:v>2.0785727091273576E-2</c:v>
                </c:pt>
                <c:pt idx="22">
                  <c:v>2.0807174396937467E-2</c:v>
                </c:pt>
                <c:pt idx="23">
                  <c:v>2.0828621232850342E-2</c:v>
                </c:pt>
                <c:pt idx="24">
                  <c:v>2.0850067599022415E-2</c:v>
                </c:pt>
                <c:pt idx="25">
                  <c:v>2.0871513495464011E-2</c:v>
                </c:pt>
                <c:pt idx="26">
                  <c:v>2.0892958922185567E-2</c:v>
                </c:pt>
                <c:pt idx="27">
                  <c:v>2.0914403879197074E-2</c:v>
                </c:pt>
                <c:pt idx="28">
                  <c:v>2.093584836650908E-2</c:v>
                </c:pt>
                <c:pt idx="29">
                  <c:v>2.0957292384131798E-2</c:v>
                </c:pt>
                <c:pt idx="30">
                  <c:v>2.0978735932075443E-2</c:v>
                </c:pt>
                <c:pt idx="31">
                  <c:v>2.1000179010350339E-2</c:v>
                </c:pt>
                <c:pt idx="32">
                  <c:v>2.1021621618966813E-2</c:v>
                </c:pt>
                <c:pt idx="33">
                  <c:v>2.1043063757935188E-2</c:v>
                </c:pt>
                <c:pt idx="34">
                  <c:v>2.1064505427265567E-2</c:v>
                </c:pt>
                <c:pt idx="35">
                  <c:v>2.1085946626968499E-2</c:v>
                </c:pt>
                <c:pt idx="36">
                  <c:v>2.1107387357054086E-2</c:v>
                </c:pt>
                <c:pt idx="37">
                  <c:v>2.1128827617532542E-2</c:v>
                </c:pt>
                <c:pt idx="38">
                  <c:v>2.1150267408414414E-2</c:v>
                </c:pt>
                <c:pt idx="39">
                  <c:v>2.1171706729709805E-2</c:v>
                </c:pt>
                <c:pt idx="40">
                  <c:v>2.1193145581428929E-2</c:v>
                </c:pt>
                <c:pt idx="41">
                  <c:v>2.1214583963582334E-2</c:v>
                </c:pt>
                <c:pt idx="42">
                  <c:v>2.1236021876180122E-2</c:v>
                </c:pt>
                <c:pt idx="43">
                  <c:v>2.1257459319232508E-2</c:v>
                </c:pt>
                <c:pt idx="44">
                  <c:v>2.1278896292749927E-2</c:v>
                </c:pt>
                <c:pt idx="45">
                  <c:v>2.1300332796742594E-2</c:v>
                </c:pt>
                <c:pt idx="46">
                  <c:v>2.1321768831220833E-2</c:v>
                </c:pt>
                <c:pt idx="47">
                  <c:v>2.134320439619497E-2</c:v>
                </c:pt>
                <c:pt idx="48">
                  <c:v>2.1364639491675108E-2</c:v>
                </c:pt>
                <c:pt idx="49">
                  <c:v>2.1386074117671683E-2</c:v>
                </c:pt>
                <c:pt idx="50">
                  <c:v>2.1407508274194909E-2</c:v>
                </c:pt>
                <c:pt idx="51">
                  <c:v>2.142894196125511E-2</c:v>
                </c:pt>
                <c:pt idx="52">
                  <c:v>2.1450375178862613E-2</c:v>
                </c:pt>
                <c:pt idx="53">
                  <c:v>2.1471807927027631E-2</c:v>
                </c:pt>
                <c:pt idx="54">
                  <c:v>2.1493240205760378E-2</c:v>
                </c:pt>
                <c:pt idx="55">
                  <c:v>2.151467201507129E-2</c:v>
                </c:pt>
                <c:pt idx="56">
                  <c:v>2.1536103354970582E-2</c:v>
                </c:pt>
                <c:pt idx="57">
                  <c:v>2.1557534225468467E-2</c:v>
                </c:pt>
                <c:pt idx="58">
                  <c:v>2.1578964626575381E-2</c:v>
                </c:pt>
                <c:pt idx="59">
                  <c:v>2.1600394558301428E-2</c:v>
                </c:pt>
                <c:pt idx="60">
                  <c:v>2.1621824020657043E-2</c:v>
                </c:pt>
                <c:pt idx="61">
                  <c:v>2.164325301365233E-2</c:v>
                </c:pt>
                <c:pt idx="62">
                  <c:v>2.1664681537297725E-2</c:v>
                </c:pt>
                <c:pt idx="63">
                  <c:v>2.1686109591603442E-2</c:v>
                </c:pt>
                <c:pt idx="64">
                  <c:v>2.1707537176579805E-2</c:v>
                </c:pt>
                <c:pt idx="65">
                  <c:v>2.1728964292237141E-2</c:v>
                </c:pt>
                <c:pt idx="66">
                  <c:v>2.1750390938585551E-2</c:v>
                </c:pt>
                <c:pt idx="67">
                  <c:v>2.1771817115635361E-2</c:v>
                </c:pt>
                <c:pt idx="68">
                  <c:v>2.1793242823397008E-2</c:v>
                </c:pt>
                <c:pt idx="69">
                  <c:v>2.1814668061880704E-2</c:v>
                </c:pt>
                <c:pt idx="70">
                  <c:v>2.1836092831096554E-2</c:v>
                </c:pt>
                <c:pt idx="71">
                  <c:v>2.1857517131055104E-2</c:v>
                </c:pt>
                <c:pt idx="72">
                  <c:v>2.1878940961766347E-2</c:v>
                </c:pt>
                <c:pt idx="73">
                  <c:v>2.1900364323240828E-2</c:v>
                </c:pt>
                <c:pt idx="74">
                  <c:v>2.1921787215488764E-2</c:v>
                </c:pt>
                <c:pt idx="75">
                  <c:v>2.1943209638520256E-2</c:v>
                </c:pt>
                <c:pt idx="76">
                  <c:v>2.196463159234574E-2</c:v>
                </c:pt>
                <c:pt idx="77">
                  <c:v>2.1986053076975542E-2</c:v>
                </c:pt>
                <c:pt idx="78">
                  <c:v>2.2007474092419765E-2</c:v>
                </c:pt>
                <c:pt idx="79">
                  <c:v>2.2028894638688734E-2</c:v>
                </c:pt>
                <c:pt idx="80">
                  <c:v>2.2050314715792885E-2</c:v>
                </c:pt>
                <c:pt idx="81">
                  <c:v>2.207173432374232E-2</c:v>
                </c:pt>
                <c:pt idx="82">
                  <c:v>2.2093153462547366E-2</c:v>
                </c:pt>
                <c:pt idx="83">
                  <c:v>2.2114572132218235E-2</c:v>
                </c:pt>
                <c:pt idx="84">
                  <c:v>2.2135990332765365E-2</c:v>
                </c:pt>
                <c:pt idx="85">
                  <c:v>2.2157408064198858E-2</c:v>
                </c:pt>
                <c:pt idx="86">
                  <c:v>2.217882532652915E-2</c:v>
                </c:pt>
                <c:pt idx="87">
                  <c:v>2.2200242119766345E-2</c:v>
                </c:pt>
                <c:pt idx="88">
                  <c:v>2.2221658443920878E-2</c:v>
                </c:pt>
                <c:pt idx="89">
                  <c:v>2.2243074299002963E-2</c:v>
                </c:pt>
                <c:pt idx="90">
                  <c:v>2.2264489685022815E-2</c:v>
                </c:pt>
                <c:pt idx="91">
                  <c:v>2.2285904601990758E-2</c:v>
                </c:pt>
                <c:pt idx="92">
                  <c:v>2.2307319049917007E-2</c:v>
                </c:pt>
                <c:pt idx="93">
                  <c:v>2.2328733028811998E-2</c:v>
                </c:pt>
                <c:pt idx="94">
                  <c:v>2.2350146538685833E-2</c:v>
                </c:pt>
                <c:pt idx="95">
                  <c:v>2.2371559579548839E-2</c:v>
                </c:pt>
                <c:pt idx="96">
                  <c:v>2.2392972151411228E-2</c:v>
                </c:pt>
                <c:pt idx="97">
                  <c:v>2.2414384254283437E-2</c:v>
                </c:pt>
                <c:pt idx="98">
                  <c:v>2.2435795888175569E-2</c:v>
                </c:pt>
                <c:pt idx="99">
                  <c:v>2.2457207053098061E-2</c:v>
                </c:pt>
                <c:pt idx="100">
                  <c:v>2.2478617749061014E-2</c:v>
                </c:pt>
                <c:pt idx="101">
                  <c:v>2.2500027976074866E-2</c:v>
                </c:pt>
                <c:pt idx="102">
                  <c:v>2.2521437734149719E-2</c:v>
                </c:pt>
                <c:pt idx="103">
                  <c:v>2.2542847023295898E-2</c:v>
                </c:pt>
                <c:pt idx="104">
                  <c:v>2.2564255843523728E-2</c:v>
                </c:pt>
                <c:pt idx="105">
                  <c:v>2.2585664194843535E-2</c:v>
                </c:pt>
                <c:pt idx="106">
                  <c:v>2.2607072077265422E-2</c:v>
                </c:pt>
                <c:pt idx="107">
                  <c:v>2.2628479490799713E-2</c:v>
                </c:pt>
                <c:pt idx="108">
                  <c:v>2.2649886435456734E-2</c:v>
                </c:pt>
                <c:pt idx="109">
                  <c:v>2.267129291124681E-2</c:v>
                </c:pt>
                <c:pt idx="110">
                  <c:v>2.2692698918180043E-2</c:v>
                </c:pt>
                <c:pt idx="111">
                  <c:v>2.2714104456266759E-2</c:v>
                </c:pt>
                <c:pt idx="112">
                  <c:v>2.2735509525517283E-2</c:v>
                </c:pt>
                <c:pt idx="113">
                  <c:v>2.2756914125941941E-2</c:v>
                </c:pt>
                <c:pt idx="114">
                  <c:v>2.2778318257550834E-2</c:v>
                </c:pt>
                <c:pt idx="115">
                  <c:v>2.2799721920354288E-2</c:v>
                </c:pt>
                <c:pt idx="116">
                  <c:v>2.2821125114362628E-2</c:v>
                </c:pt>
                <c:pt idx="117">
                  <c:v>2.284252783958618E-2</c:v>
                </c:pt>
                <c:pt idx="118">
                  <c:v>2.2863930096035046E-2</c:v>
                </c:pt>
                <c:pt idx="119">
                  <c:v>2.2885331883719551E-2</c:v>
                </c:pt>
                <c:pt idx="120">
                  <c:v>2.2906733202649909E-2</c:v>
                </c:pt>
                <c:pt idx="121">
                  <c:v>2.2928134052836557E-2</c:v>
                </c:pt>
                <c:pt idx="122">
                  <c:v>2.2949534434289709E-2</c:v>
                </c:pt>
                <c:pt idx="123">
                  <c:v>2.2970934347019467E-2</c:v>
                </c:pt>
                <c:pt idx="124">
                  <c:v>2.2992333791036268E-2</c:v>
                </c:pt>
                <c:pt idx="125">
                  <c:v>2.3013732766350325E-2</c:v>
                </c:pt>
                <c:pt idx="126">
                  <c:v>2.3035131272971854E-2</c:v>
                </c:pt>
                <c:pt idx="127">
                  <c:v>2.3056529310911289E-2</c:v>
                </c:pt>
                <c:pt idx="128">
                  <c:v>2.3077926880178623E-2</c:v>
                </c:pt>
                <c:pt idx="129">
                  <c:v>2.3099323980784403E-2</c:v>
                </c:pt>
                <c:pt idx="130">
                  <c:v>2.3120720612738732E-2</c:v>
                </c:pt>
                <c:pt idx="131">
                  <c:v>2.3142116776051824E-2</c:v>
                </c:pt>
                <c:pt idx="132">
                  <c:v>2.3163512470734116E-2</c:v>
                </c:pt>
                <c:pt idx="133">
                  <c:v>2.318490769679582E-2</c:v>
                </c:pt>
                <c:pt idx="134">
                  <c:v>2.3206302454247041E-2</c:v>
                </c:pt>
                <c:pt idx="135">
                  <c:v>2.3227696743098325E-2</c:v>
                </c:pt>
                <c:pt idx="136">
                  <c:v>2.3249090563359665E-2</c:v>
                </c:pt>
                <c:pt idx="137">
                  <c:v>2.3270483915041384E-2</c:v>
                </c:pt>
                <c:pt idx="138">
                  <c:v>2.3291876798153921E-2</c:v>
                </c:pt>
                <c:pt idx="139">
                  <c:v>2.3313269212707377E-2</c:v>
                </c:pt>
                <c:pt idx="140">
                  <c:v>2.3334661158711967E-2</c:v>
                </c:pt>
                <c:pt idx="141">
                  <c:v>2.3356052636178126E-2</c:v>
                </c:pt>
                <c:pt idx="142">
                  <c:v>2.3377443645116069E-2</c:v>
                </c:pt>
                <c:pt idx="143">
                  <c:v>2.3398834185535899E-2</c:v>
                </c:pt>
                <c:pt idx="144">
                  <c:v>2.3420224257448052E-2</c:v>
                </c:pt>
                <c:pt idx="145">
                  <c:v>2.3441613860862742E-2</c:v>
                </c:pt>
                <c:pt idx="146">
                  <c:v>2.3463002995790294E-2</c:v>
                </c:pt>
                <c:pt idx="147">
                  <c:v>2.3484391662240811E-2</c:v>
                </c:pt>
                <c:pt idx="148">
                  <c:v>2.3505779860224618E-2</c:v>
                </c:pt>
                <c:pt idx="149">
                  <c:v>2.352716758975204E-2</c:v>
                </c:pt>
                <c:pt idx="150">
                  <c:v>2.3548554850833292E-2</c:v>
                </c:pt>
                <c:pt idx="151">
                  <c:v>2.3569941643478587E-2</c:v>
                </c:pt>
                <c:pt idx="152">
                  <c:v>2.3591327967698361E-2</c:v>
                </c:pt>
                <c:pt idx="153">
                  <c:v>2.3612713823502607E-2</c:v>
                </c:pt>
                <c:pt idx="154">
                  <c:v>2.363409921090176E-2</c:v>
                </c:pt>
                <c:pt idx="155">
                  <c:v>2.3655484129906146E-2</c:v>
                </c:pt>
                <c:pt idx="156">
                  <c:v>2.3676868580525867E-2</c:v>
                </c:pt>
                <c:pt idx="157">
                  <c:v>2.3698252562771138E-2</c:v>
                </c:pt>
                <c:pt idx="158">
                  <c:v>2.3719636076652395E-2</c:v>
                </c:pt>
                <c:pt idx="159">
                  <c:v>2.3741019122179852E-2</c:v>
                </c:pt>
                <c:pt idx="160">
                  <c:v>2.3762401699363722E-2</c:v>
                </c:pt>
                <c:pt idx="161">
                  <c:v>2.3783783808214221E-2</c:v>
                </c:pt>
                <c:pt idx="162">
                  <c:v>2.3805165448741672E-2</c:v>
                </c:pt>
                <c:pt idx="163">
                  <c:v>2.3826546620956401E-2</c:v>
                </c:pt>
                <c:pt idx="164">
                  <c:v>2.3847927324868512E-2</c:v>
                </c:pt>
                <c:pt idx="165">
                  <c:v>2.3869307560488329E-2</c:v>
                </c:pt>
                <c:pt idx="166">
                  <c:v>2.3890687327826177E-2</c:v>
                </c:pt>
                <c:pt idx="167">
                  <c:v>2.3912066626892159E-2</c:v>
                </c:pt>
                <c:pt idx="168">
                  <c:v>2.3933445457696712E-2</c:v>
                </c:pt>
                <c:pt idx="169">
                  <c:v>2.3954823820249938E-2</c:v>
                </c:pt>
                <c:pt idx="170">
                  <c:v>2.3976201714562162E-2</c:v>
                </c:pt>
                <c:pt idx="171">
                  <c:v>2.399757914064371E-2</c:v>
                </c:pt>
                <c:pt idx="172">
                  <c:v>2.4018956098504685E-2</c:v>
                </c:pt>
                <c:pt idx="173">
                  <c:v>2.4040332588155522E-2</c:v>
                </c:pt>
                <c:pt idx="174">
                  <c:v>2.4061708609606214E-2</c:v>
                </c:pt>
                <c:pt idx="175">
                  <c:v>2.4083084162867308E-2</c:v>
                </c:pt>
                <c:pt idx="176">
                  <c:v>2.4104459247948906E-2</c:v>
                </c:pt>
                <c:pt idx="177">
                  <c:v>2.4125833864861224E-2</c:v>
                </c:pt>
                <c:pt idx="178">
                  <c:v>2.4147208013614585E-2</c:v>
                </c:pt>
                <c:pt idx="179">
                  <c:v>2.4168581694219315E-2</c:v>
                </c:pt>
                <c:pt idx="180">
                  <c:v>2.4189954906685518E-2</c:v>
                </c:pt>
                <c:pt idx="181">
                  <c:v>2.4211327651023518E-2</c:v>
                </c:pt>
                <c:pt idx="182">
                  <c:v>2.4232699927243528E-2</c:v>
                </c:pt>
                <c:pt idx="183">
                  <c:v>2.4254071735355875E-2</c:v>
                </c:pt>
                <c:pt idx="184">
                  <c:v>2.4275443075370773E-2</c:v>
                </c:pt>
                <c:pt idx="185">
                  <c:v>2.4296813947298546E-2</c:v>
                </c:pt>
                <c:pt idx="186">
                  <c:v>2.4318184351149297E-2</c:v>
                </c:pt>
                <c:pt idx="187">
                  <c:v>2.4339554286933351E-2</c:v>
                </c:pt>
                <c:pt idx="188">
                  <c:v>2.4360923754661035E-2</c:v>
                </c:pt>
                <c:pt idx="189">
                  <c:v>2.4382292754342449E-2</c:v>
                </c:pt>
                <c:pt idx="190">
                  <c:v>2.4403661285988032E-2</c:v>
                </c:pt>
                <c:pt idx="191">
                  <c:v>2.4425029349607885E-2</c:v>
                </c:pt>
                <c:pt idx="192">
                  <c:v>2.4446396945212223E-2</c:v>
                </c:pt>
                <c:pt idx="193">
                  <c:v>2.4467764072811482E-2</c:v>
                </c:pt>
                <c:pt idx="194">
                  <c:v>2.4489130732415765E-2</c:v>
                </c:pt>
                <c:pt idx="195">
                  <c:v>2.4510496924035396E-2</c:v>
                </c:pt>
                <c:pt idx="196">
                  <c:v>2.4531862647680591E-2</c:v>
                </c:pt>
                <c:pt idx="197">
                  <c:v>2.4553227903361563E-2</c:v>
                </c:pt>
                <c:pt idx="198">
                  <c:v>2.4574592691088637E-2</c:v>
                </c:pt>
                <c:pt idx="199">
                  <c:v>2.4595957010872027E-2</c:v>
                </c:pt>
                <c:pt idx="200">
                  <c:v>2.4617320862721948E-2</c:v>
                </c:pt>
                <c:pt idx="201">
                  <c:v>2.4638684246648723E-2</c:v>
                </c:pt>
                <c:pt idx="202">
                  <c:v>2.4660047162662568E-2</c:v>
                </c:pt>
                <c:pt idx="203">
                  <c:v>2.4681409610773697E-2</c:v>
                </c:pt>
                <c:pt idx="204">
                  <c:v>2.4702771590992434E-2</c:v>
                </c:pt>
                <c:pt idx="205">
                  <c:v>2.4724133103328882E-2</c:v>
                </c:pt>
                <c:pt idx="206">
                  <c:v>2.4745494147793479E-2</c:v>
                </c:pt>
                <c:pt idx="207">
                  <c:v>2.4766854724396326E-2</c:v>
                </c:pt>
                <c:pt idx="208">
                  <c:v>2.4788214833147748E-2</c:v>
                </c:pt>
                <c:pt idx="209">
                  <c:v>2.480957447405796E-2</c:v>
                </c:pt>
                <c:pt idx="210">
                  <c:v>2.4830933647137288E-2</c:v>
                </c:pt>
                <c:pt idx="211">
                  <c:v>2.4852292352395833E-2</c:v>
                </c:pt>
                <c:pt idx="212">
                  <c:v>2.4873650589843921E-2</c:v>
                </c:pt>
                <c:pt idx="213">
                  <c:v>2.4895008359491766E-2</c:v>
                </c:pt>
                <c:pt idx="214">
                  <c:v>2.4916365661349693E-2</c:v>
                </c:pt>
                <c:pt idx="215">
                  <c:v>2.4937722495427916E-2</c:v>
                </c:pt>
                <c:pt idx="216">
                  <c:v>2.495907886173665E-2</c:v>
                </c:pt>
                <c:pt idx="217">
                  <c:v>2.4980434760286108E-2</c:v>
                </c:pt>
                <c:pt idx="218">
                  <c:v>2.5001790191086615E-2</c:v>
                </c:pt>
                <c:pt idx="219">
                  <c:v>2.5023145154148385E-2</c:v>
                </c:pt>
                <c:pt idx="220">
                  <c:v>2.5044499649481633E-2</c:v>
                </c:pt>
                <c:pt idx="221">
                  <c:v>2.5065853677096683E-2</c:v>
                </c:pt>
                <c:pt idx="222">
                  <c:v>2.5087207237003639E-2</c:v>
                </c:pt>
                <c:pt idx="223">
                  <c:v>2.5108560329212937E-2</c:v>
                </c:pt>
                <c:pt idx="224">
                  <c:v>2.5129912953734568E-2</c:v>
                </c:pt>
                <c:pt idx="225">
                  <c:v>2.515126511057908E-2</c:v>
                </c:pt>
                <c:pt idx="226">
                  <c:v>2.5172616799756464E-2</c:v>
                </c:pt>
                <c:pt idx="227">
                  <c:v>2.5193968021277047E-2</c:v>
                </c:pt>
                <c:pt idx="228">
                  <c:v>2.5215318775151152E-2</c:v>
                </c:pt>
                <c:pt idx="229">
                  <c:v>2.5236669061388883E-2</c:v>
                </c:pt>
                <c:pt idx="230">
                  <c:v>2.5258018880000566E-2</c:v>
                </c:pt>
                <c:pt idx="231">
                  <c:v>2.5279368230996413E-2</c:v>
                </c:pt>
                <c:pt idx="232">
                  <c:v>2.530071711438675E-2</c:v>
                </c:pt>
                <c:pt idx="233">
                  <c:v>2.5322065530181681E-2</c:v>
                </c:pt>
                <c:pt idx="234">
                  <c:v>2.5343413478391641E-2</c:v>
                </c:pt>
                <c:pt idx="235">
                  <c:v>2.5364760959026622E-2</c:v>
                </c:pt>
                <c:pt idx="236">
                  <c:v>2.538610797209695E-2</c:v>
                </c:pt>
                <c:pt idx="237">
                  <c:v>2.540745451761306E-2</c:v>
                </c:pt>
                <c:pt idx="238">
                  <c:v>2.5428800595584944E-2</c:v>
                </c:pt>
                <c:pt idx="239">
                  <c:v>2.5450146206022928E-2</c:v>
                </c:pt>
                <c:pt idx="240">
                  <c:v>2.5471491348937336E-2</c:v>
                </c:pt>
                <c:pt idx="241">
                  <c:v>2.5492836024338272E-2</c:v>
                </c:pt>
                <c:pt idx="242">
                  <c:v>2.5514180232236061E-2</c:v>
                </c:pt>
                <c:pt idx="243">
                  <c:v>2.5535523972640806E-2</c:v>
                </c:pt>
                <c:pt idx="244">
                  <c:v>2.5556867245563053E-2</c:v>
                </c:pt>
                <c:pt idx="245">
                  <c:v>2.5578210051012684E-2</c:v>
                </c:pt>
                <c:pt idx="246">
                  <c:v>2.5599552389000135E-2</c:v>
                </c:pt>
                <c:pt idx="247">
                  <c:v>2.5620894259535731E-2</c:v>
                </c:pt>
                <c:pt idx="248">
                  <c:v>2.5642235662629465E-2</c:v>
                </c:pt>
                <c:pt idx="249">
                  <c:v>2.5663576598291771E-2</c:v>
                </c:pt>
                <c:pt idx="250">
                  <c:v>2.5684917066532753E-2</c:v>
                </c:pt>
                <c:pt idx="251">
                  <c:v>2.5706257067362737E-2</c:v>
                </c:pt>
                <c:pt idx="252">
                  <c:v>2.5727596600791935E-2</c:v>
                </c:pt>
                <c:pt idx="253">
                  <c:v>2.5748935666830564E-2</c:v>
                </c:pt>
                <c:pt idx="254">
                  <c:v>2.5770274265488946E-2</c:v>
                </c:pt>
                <c:pt idx="255">
                  <c:v>2.5791612396777186E-2</c:v>
                </c:pt>
                <c:pt idx="256">
                  <c:v>2.5812950060705608E-2</c:v>
                </c:pt>
                <c:pt idx="257">
                  <c:v>2.5834287257284427E-2</c:v>
                </c:pt>
                <c:pt idx="258">
                  <c:v>2.5855623986523857E-2</c:v>
                </c:pt>
                <c:pt idx="259">
                  <c:v>2.5876960248434222E-2</c:v>
                </c:pt>
                <c:pt idx="260">
                  <c:v>2.5898296043025626E-2</c:v>
                </c:pt>
                <c:pt idx="261">
                  <c:v>2.5919631370308505E-2</c:v>
                </c:pt>
                <c:pt idx="262">
                  <c:v>2.594096623029285E-2</c:v>
                </c:pt>
                <c:pt idx="263">
                  <c:v>2.5962300622988987E-2</c:v>
                </c:pt>
                <c:pt idx="264">
                  <c:v>2.5983634548407242E-2</c:v>
                </c:pt>
                <c:pt idx="265">
                  <c:v>2.6004968006557716E-2</c:v>
                </c:pt>
                <c:pt idx="266">
                  <c:v>2.6026300997450735E-2</c:v>
                </c:pt>
                <c:pt idx="267">
                  <c:v>2.6047633521096514E-2</c:v>
                </c:pt>
                <c:pt idx="268">
                  <c:v>2.6068965577505265E-2</c:v>
                </c:pt>
                <c:pt idx="269">
                  <c:v>2.6090297166687204E-2</c:v>
                </c:pt>
                <c:pt idx="270">
                  <c:v>2.6111628288652544E-2</c:v>
                </c:pt>
                <c:pt idx="271">
                  <c:v>2.6132958943411722E-2</c:v>
                </c:pt>
                <c:pt idx="272">
                  <c:v>2.6154289130974728E-2</c:v>
                </c:pt>
                <c:pt idx="273">
                  <c:v>2.6175618851351889E-2</c:v>
                </c:pt>
                <c:pt idx="274">
                  <c:v>2.6196948104553419E-2</c:v>
                </c:pt>
                <c:pt idx="275">
                  <c:v>2.6218276890589531E-2</c:v>
                </c:pt>
                <c:pt idx="276">
                  <c:v>2.6239605209470551E-2</c:v>
                </c:pt>
                <c:pt idx="277">
                  <c:v>2.6260933061206693E-2</c:v>
                </c:pt>
                <c:pt idx="278">
                  <c:v>2.6282260445808059E-2</c:v>
                </c:pt>
                <c:pt idx="279">
                  <c:v>2.6303587363284975E-2</c:v>
                </c:pt>
                <c:pt idx="280">
                  <c:v>2.6324913813647766E-2</c:v>
                </c:pt>
                <c:pt idx="281">
                  <c:v>2.6346239796906423E-2</c:v>
                </c:pt>
                <c:pt idx="282">
                  <c:v>2.6367565313071384E-2</c:v>
                </c:pt>
                <c:pt idx="283">
                  <c:v>2.638889036215275E-2</c:v>
                </c:pt>
                <c:pt idx="284">
                  <c:v>2.6410214944160959E-2</c:v>
                </c:pt>
                <c:pt idx="285">
                  <c:v>2.6431539059106002E-2</c:v>
                </c:pt>
                <c:pt idx="286">
                  <c:v>2.6452862706998204E-2</c:v>
                </c:pt>
                <c:pt idx="287">
                  <c:v>2.6474185887847779E-2</c:v>
                </c:pt>
                <c:pt idx="288">
                  <c:v>2.6495508601664941E-2</c:v>
                </c:pt>
                <c:pt idx="289">
                  <c:v>2.6516830848460016E-2</c:v>
                </c:pt>
                <c:pt idx="290">
                  <c:v>2.6538152628243106E-2</c:v>
                </c:pt>
                <c:pt idx="291">
                  <c:v>2.6559473941024536E-2</c:v>
                </c:pt>
                <c:pt idx="292">
                  <c:v>2.658079478681441E-2</c:v>
                </c:pt>
                <c:pt idx="293">
                  <c:v>2.6602115165623164E-2</c:v>
                </c:pt>
                <c:pt idx="294">
                  <c:v>2.6623435077460789E-2</c:v>
                </c:pt>
                <c:pt idx="295">
                  <c:v>2.6644754522337721E-2</c:v>
                </c:pt>
                <c:pt idx="296">
                  <c:v>2.6666073500264065E-2</c:v>
                </c:pt>
                <c:pt idx="297">
                  <c:v>2.6687392011250144E-2</c:v>
                </c:pt>
                <c:pt idx="298">
                  <c:v>2.6708710055306062E-2</c:v>
                </c:pt>
                <c:pt idx="299">
                  <c:v>2.6730027632442033E-2</c:v>
                </c:pt>
                <c:pt idx="300">
                  <c:v>2.6751344742668492E-2</c:v>
                </c:pt>
                <c:pt idx="301">
                  <c:v>2.6772661385995433E-2</c:v>
                </c:pt>
                <c:pt idx="302">
                  <c:v>2.679397756243318E-2</c:v>
                </c:pt>
                <c:pt idx="303">
                  <c:v>2.6815293271991947E-2</c:v>
                </c:pt>
                <c:pt idx="304">
                  <c:v>2.6836608514682059E-2</c:v>
                </c:pt>
                <c:pt idx="305">
                  <c:v>2.6857923290513508E-2</c:v>
                </c:pt>
                <c:pt idx="306">
                  <c:v>2.6879237599496841E-2</c:v>
                </c:pt>
                <c:pt idx="307">
                  <c:v>2.690055144164194E-2</c:v>
                </c:pt>
                <c:pt idx="308">
                  <c:v>2.6921864816959351E-2</c:v>
                </c:pt>
                <c:pt idx="309">
                  <c:v>2.6943177725459067E-2</c:v>
                </c:pt>
                <c:pt idx="310">
                  <c:v>2.69644901671513E-2</c:v>
                </c:pt>
                <c:pt idx="311">
                  <c:v>2.6985802142046489E-2</c:v>
                </c:pt>
                <c:pt idx="312">
                  <c:v>2.7007113650154624E-2</c:v>
                </c:pt>
                <c:pt idx="313">
                  <c:v>2.7028424691486141E-2</c:v>
                </c:pt>
                <c:pt idx="314">
                  <c:v>2.7049735266051145E-2</c:v>
                </c:pt>
                <c:pt idx="315">
                  <c:v>2.7071045373859848E-2</c:v>
                </c:pt>
                <c:pt idx="316">
                  <c:v>2.7092355014922465E-2</c:v>
                </c:pt>
                <c:pt idx="317">
                  <c:v>2.711366418924932E-2</c:v>
                </c:pt>
                <c:pt idx="318">
                  <c:v>2.7134972896850518E-2</c:v>
                </c:pt>
                <c:pt idx="319">
                  <c:v>2.7156281137736382E-2</c:v>
                </c:pt>
                <c:pt idx="320">
                  <c:v>2.7177588911917017E-2</c:v>
                </c:pt>
                <c:pt idx="321">
                  <c:v>2.7198896219402746E-2</c:v>
                </c:pt>
                <c:pt idx="322">
                  <c:v>2.7220203060203785E-2</c:v>
                </c:pt>
                <c:pt idx="323">
                  <c:v>2.7241509434330347E-2</c:v>
                </c:pt>
                <c:pt idx="324">
                  <c:v>2.7262815341792535E-2</c:v>
                </c:pt>
                <c:pt idx="325">
                  <c:v>2.7284120782600785E-2</c:v>
                </c:pt>
                <c:pt idx="326">
                  <c:v>2.7305425756765089E-2</c:v>
                </c:pt>
                <c:pt idx="327">
                  <c:v>2.7326730264295884E-2</c:v>
                </c:pt>
                <c:pt idx="328">
                  <c:v>2.7348034305203162E-2</c:v>
                </c:pt>
                <c:pt idx="329">
                  <c:v>2.7369337879497357E-2</c:v>
                </c:pt>
                <c:pt idx="330">
                  <c:v>2.7390640987188575E-2</c:v>
                </c:pt>
                <c:pt idx="331">
                  <c:v>2.7411943628287139E-2</c:v>
                </c:pt>
                <c:pt idx="332">
                  <c:v>2.7433245802803041E-2</c:v>
                </c:pt>
                <c:pt idx="333">
                  <c:v>2.745454751074683E-2</c:v>
                </c:pt>
                <c:pt idx="334">
                  <c:v>2.7475848752128385E-2</c:v>
                </c:pt>
                <c:pt idx="335">
                  <c:v>2.7497149526958142E-2</c:v>
                </c:pt>
                <c:pt idx="336">
                  <c:v>2.7518449835246317E-2</c:v>
                </c:pt>
                <c:pt idx="337">
                  <c:v>2.7539749677003011E-2</c:v>
                </c:pt>
                <c:pt idx="338">
                  <c:v>2.7561049052238551E-2</c:v>
                </c:pt>
                <c:pt idx="339">
                  <c:v>2.7582347960963038E-2</c:v>
                </c:pt>
                <c:pt idx="340">
                  <c:v>2.7603646403186799E-2</c:v>
                </c:pt>
                <c:pt idx="341">
                  <c:v>2.7624944378920047E-2</c:v>
                </c:pt>
                <c:pt idx="342">
                  <c:v>2.7646241888172995E-2</c:v>
                </c:pt>
                <c:pt idx="343">
                  <c:v>2.7667538930955748E-2</c:v>
                </c:pt>
                <c:pt idx="344">
                  <c:v>2.7688835507278631E-2</c:v>
                </c:pt>
                <c:pt idx="345">
                  <c:v>2.7710131617151856E-2</c:v>
                </c:pt>
                <c:pt idx="346">
                  <c:v>2.7731427260585639E-2</c:v>
                </c:pt>
                <c:pt idx="347">
                  <c:v>2.7752722437590083E-2</c:v>
                </c:pt>
                <c:pt idx="348">
                  <c:v>2.7774017148175623E-2</c:v>
                </c:pt>
                <c:pt idx="349">
                  <c:v>2.7795311392352251E-2</c:v>
                </c:pt>
                <c:pt idx="350">
                  <c:v>2.7816605170130293E-2</c:v>
                </c:pt>
                <c:pt idx="351">
                  <c:v>2.7837898481519963E-2</c:v>
                </c:pt>
                <c:pt idx="352">
                  <c:v>2.7859191326531474E-2</c:v>
                </c:pt>
                <c:pt idx="353">
                  <c:v>2.7880483705175041E-2</c:v>
                </c:pt>
                <c:pt idx="354">
                  <c:v>2.7901775617460878E-2</c:v>
                </c:pt>
                <c:pt idx="355">
                  <c:v>2.7923067063399198E-2</c:v>
                </c:pt>
                <c:pt idx="356">
                  <c:v>2.7944358043000217E-2</c:v>
                </c:pt>
                <c:pt idx="357">
                  <c:v>2.7965648556274147E-2</c:v>
                </c:pt>
                <c:pt idx="358">
                  <c:v>2.7986938603231093E-2</c:v>
                </c:pt>
                <c:pt idx="359">
                  <c:v>2.8008228183881489E-2</c:v>
                </c:pt>
                <c:pt idx="360">
                  <c:v>2.802951729823544E-2</c:v>
                </c:pt>
                <c:pt idx="361">
                  <c:v>2.8050805946303048E-2</c:v>
                </c:pt>
                <c:pt idx="362">
                  <c:v>2.8072094128094638E-2</c:v>
                </c:pt>
                <c:pt idx="363">
                  <c:v>2.8093381843620424E-2</c:v>
                </c:pt>
                <c:pt idx="364">
                  <c:v>2.8114669092890732E-2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5.0301113607721076E-2</c:v>
                </c:pt>
                <c:pt idx="1">
                  <c:v>5.0358218901515074E-2</c:v>
                </c:pt>
                <c:pt idx="2">
                  <c:v>5.0415378940365005E-2</c:v>
                </c:pt>
                <c:pt idx="3">
                  <c:v>5.0472582366644959E-2</c:v>
                </c:pt>
                <c:pt idx="4">
                  <c:v>5.0529819292194425E-2</c:v>
                </c:pt>
                <c:pt idx="5">
                  <c:v>5.0587081257839082E-2</c:v>
                </c:pt>
                <c:pt idx="6">
                  <c:v>5.0644361181400407E-2</c:v>
                </c:pt>
                <c:pt idx="7">
                  <c:v>5.0701653295073819E-2</c:v>
                </c:pt>
                <c:pt idx="8">
                  <c:v>5.0758953073136208E-2</c:v>
                </c:pt>
                <c:pt idx="9">
                  <c:v>5.081625715101442E-2</c:v>
                </c:pt>
                <c:pt idx="10">
                  <c:v>5.0873563236806085E-2</c:v>
                </c:pt>
                <c:pt idx="11">
                  <c:v>5.0930870016392342E-2</c:v>
                </c:pt>
                <c:pt idx="12">
                  <c:v>5.0988177053318526E-2</c:v>
                </c:pt>
                <c:pt idx="13">
                  <c:v>5.1045484684643379E-2</c:v>
                </c:pt>
                <c:pt idx="14">
                  <c:v>5.1102793913969678E-2</c:v>
                </c:pt>
                <c:pt idx="15">
                  <c:v>5.1160106302869789E-2</c:v>
                </c:pt>
                <c:pt idx="16">
                  <c:v>5.1217423861907925E-2</c:v>
                </c:pt>
                <c:pt idx="17">
                  <c:v>5.1274748942438032E-2</c:v>
                </c:pt>
                <c:pt idx="18">
                  <c:v>5.1332084130322204E-2</c:v>
                </c:pt>
                <c:pt idx="19">
                  <c:v>5.1389432142669299E-2</c:v>
                </c:pt>
                <c:pt idx="20">
                  <c:v>5.1446795728638688E-2</c:v>
                </c:pt>
                <c:pt idx="21">
                  <c:v>5.1504177575290161E-2</c:v>
                </c:pt>
                <c:pt idx="22">
                  <c:v>5.1561580219387081E-2</c:v>
                </c:pt>
                <c:pt idx="23">
                  <c:v>5.1619005965980784E-2</c:v>
                </c:pt>
                <c:pt idx="24">
                  <c:v>5.167645681451527E-2</c:v>
                </c:pt>
                <c:pt idx="25">
                  <c:v>5.1733934393099187E-2</c:v>
                </c:pt>
                <c:pt idx="26">
                  <c:v>5.1791439901493645E-2</c:v>
                </c:pt>
                <c:pt idx="27">
                  <c:v>5.1848974063262568E-2</c:v>
                </c:pt>
                <c:pt idx="28">
                  <c:v>5.1906537087428414E-2</c:v>
                </c:pt>
                <c:pt idx="29">
                  <c:v>5.1964128639869975E-2</c:v>
                </c:pt>
                <c:pt idx="30">
                  <c:v>5.2021747824592769E-2</c:v>
                </c:pt>
                <c:pt idx="31">
                  <c:v>5.2079393174897286E-2</c:v>
                </c:pt>
                <c:pt idx="32">
                  <c:v>5.2137062654366163E-2</c:v>
                </c:pt>
                <c:pt idx="33">
                  <c:v>5.219475366749092E-2</c:v>
                </c:pt>
                <c:pt idx="34">
                  <c:v>5.2252463079661055E-2</c:v>
                </c:pt>
                <c:pt idx="35">
                  <c:v>5.2310187246146667E-2</c:v>
                </c:pt>
                <c:pt idx="36">
                  <c:v>5.2367922049618348E-2</c:v>
                </c:pt>
                <c:pt idx="37">
                  <c:v>5.2425662945667792E-2</c:v>
                </c:pt>
                <c:pt idx="38">
                  <c:v>5.2483405015719707E-2</c:v>
                </c:pt>
                <c:pt idx="39">
                  <c:v>5.2541143026659423E-2</c:v>
                </c:pt>
                <c:pt idx="40">
                  <c:v>5.2598871496444315E-2</c:v>
                </c:pt>
                <c:pt idx="41">
                  <c:v>5.2656584764917969E-2</c:v>
                </c:pt>
                <c:pt idx="42">
                  <c:v>5.2714277069007213E-2</c:v>
                </c:pt>
                <c:pt idx="43">
                  <c:v>5.277194262145235E-2</c:v>
                </c:pt>
                <c:pt idx="44">
                  <c:v>5.282957569220003E-2</c:v>
                </c:pt>
                <c:pt idx="45">
                  <c:v>5.2887170691578035E-2</c:v>
                </c:pt>
                <c:pt idx="46">
                  <c:v>5.2944722254369352E-2</c:v>
                </c:pt>
                <c:pt idx="47">
                  <c:v>5.300222532391112E-2</c:v>
                </c:pt>
                <c:pt idx="48">
                  <c:v>5.3059675235361037E-2</c:v>
                </c:pt>
                <c:pt idx="49">
                  <c:v>5.3117067797299307E-2</c:v>
                </c:pt>
                <c:pt idx="50">
                  <c:v>5.3174399370868111E-2</c:v>
                </c:pt>
                <c:pt idx="51">
                  <c:v>5.3231666945692306E-2</c:v>
                </c:pt>
                <c:pt idx="52">
                  <c:v>5.3288868211873189E-2</c:v>
                </c:pt>
                <c:pt idx="53">
                  <c:v>5.3346001627402911E-2</c:v>
                </c:pt>
                <c:pt idx="54">
                  <c:v>5.3403066480406568E-2</c:v>
                </c:pt>
                <c:pt idx="55">
                  <c:v>5.346006294568581E-2</c:v>
                </c:pt>
                <c:pt idx="56">
                  <c:v>5.3516992135105974E-2</c:v>
                </c:pt>
                <c:pt idx="57">
                  <c:v>5.3573856141442049E-2</c:v>
                </c:pt>
                <c:pt idx="58">
                  <c:v>5.3630658075373622E-2</c:v>
                </c:pt>
                <c:pt idx="59">
                  <c:v>5.3687402095394403E-2</c:v>
                </c:pt>
                <c:pt idx="60">
                  <c:v>5.3744093430479582E-2</c:v>
                </c:pt>
                <c:pt idx="61">
                  <c:v>5.3800738395429239E-2</c:v>
                </c:pt>
                <c:pt idx="62">
                  <c:v>5.3857344398882082E-2</c:v>
                </c:pt>
                <c:pt idx="63">
                  <c:v>5.3913919944065115E-2</c:v>
                </c:pt>
                <c:pt idx="64">
                  <c:v>5.397047462241597E-2</c:v>
                </c:pt>
                <c:pt idx="65">
                  <c:v>5.4027019100279426E-2</c:v>
                </c:pt>
                <c:pt idx="66">
                  <c:v>5.4083565098941855E-2</c:v>
                </c:pt>
                <c:pt idx="67">
                  <c:v>5.4140125368323827E-2</c:v>
                </c:pt>
                <c:pt idx="68">
                  <c:v>5.4196713654701807E-2</c:v>
                </c:pt>
                <c:pt idx="69">
                  <c:v>5.4253344662874854E-2</c:v>
                </c:pt>
                <c:pt idx="70">
                  <c:v>5.4310034013230757E-2</c:v>
                </c:pt>
                <c:pt idx="71">
                  <c:v>5.4366798194197173E-2</c:v>
                </c:pt>
                <c:pt idx="72">
                  <c:v>5.4423654510588185E-2</c:v>
                </c:pt>
                <c:pt idx="73">
                  <c:v>5.4480621028373762E-2</c:v>
                </c:pt>
                <c:pt idx="74">
                  <c:v>5.4537716516410061E-2</c:v>
                </c:pt>
                <c:pt idx="75">
                  <c:v>5.4594960385670591E-2</c:v>
                </c:pt>
                <c:pt idx="76">
                  <c:v>5.4652372626515414E-2</c:v>
                </c:pt>
                <c:pt idx="77">
                  <c:v>5.4709973744522869E-2</c:v>
                </c:pt>
                <c:pt idx="78">
                  <c:v>5.4767784695392611E-2</c:v>
                </c:pt>
                <c:pt idx="79">
                  <c:v>5.4825826819403393E-2</c:v>
                </c:pt>
                <c:pt idx="80">
                  <c:v>5.4884121775880923E-2</c:v>
                </c:pt>
                <c:pt idx="81">
                  <c:v>5.4942691478095891E-2</c:v>
                </c:pt>
                <c:pt idx="82">
                  <c:v>5.5001558028973316E-2</c:v>
                </c:pt>
                <c:pt idx="83">
                  <c:v>5.5060743657951605E-2</c:v>
                </c:pt>
                <c:pt idx="84">
                  <c:v>5.5120270659282961E-2</c:v>
                </c:pt>
                <c:pt idx="85">
                  <c:v>5.5180161332018279E-2</c:v>
                </c:pt>
                <c:pt idx="86">
                  <c:v>5.5240437921869029E-2</c:v>
                </c:pt>
                <c:pt idx="87">
                  <c:v>5.5301122565086847E-2</c:v>
                </c:pt>
                <c:pt idx="88">
                  <c:v>5.5362237234450128E-2</c:v>
                </c:pt>
                <c:pt idx="89">
                  <c:v>5.5423803687394885E-2</c:v>
                </c:pt>
                <c:pt idx="90">
                  <c:v>5.548584341627804E-2</c:v>
                </c:pt>
                <c:pt idx="91">
                  <c:v>5.5548377600712552E-2</c:v>
                </c:pt>
                <c:pt idx="92">
                  <c:v>5.5611427061869168E-2</c:v>
                </c:pt>
                <c:pt idx="93">
                  <c:v>5.5675012218597338E-2</c:v>
                </c:pt>
                <c:pt idx="94">
                  <c:v>5.5739153045180602E-2</c:v>
                </c:pt>
                <c:pt idx="95">
                  <c:v>5.5803869030508151E-2</c:v>
                </c:pt>
                <c:pt idx="96">
                  <c:v>5.5869179138416665E-2</c:v>
                </c:pt>
                <c:pt idx="97">
                  <c:v>5.5935101768933855E-2</c:v>
                </c:pt>
                <c:pt idx="98">
                  <c:v>5.6001654720138891E-2</c:v>
                </c:pt>
                <c:pt idx="99">
                  <c:v>5.6068855150344377E-2</c:v>
                </c:pt>
                <c:pt idx="100">
                  <c:v>5.6136719540300632E-2</c:v>
                </c:pt>
                <c:pt idx="101">
                  <c:v>5.6205263655126098E-2</c:v>
                </c:pt>
                <c:pt idx="102">
                  <c:v>5.6274502505676033E-2</c:v>
                </c:pt>
                <c:pt idx="103">
                  <c:v>5.6344450309078344E-2</c:v>
                </c:pt>
                <c:pt idx="104">
                  <c:v>5.6415120448186293E-2</c:v>
                </c:pt>
                <c:pt idx="105">
                  <c:v>5.648652542972666E-2</c:v>
                </c:pt>
                <c:pt idx="106">
                  <c:v>5.6558676840955342E-2</c:v>
                </c:pt>
                <c:pt idx="107">
                  <c:v>5.6631585304671515E-2</c:v>
                </c:pt>
                <c:pt idx="108">
                  <c:v>5.6705260432485548E-2</c:v>
                </c:pt>
                <c:pt idx="109">
                  <c:v>5.6779710776284194E-2</c:v>
                </c:pt>
                <c:pt idx="110">
                  <c:v>5.0350886553575799E-3</c:v>
                </c:pt>
                <c:pt idx="111">
                  <c:v>5.124414662617904E-3</c:v>
                </c:pt>
                <c:pt idx="112">
                  <c:v>5.2138023254094555E-3</c:v>
                </c:pt>
                <c:pt idx="113">
                  <c:v>5.3032554441618234E-3</c:v>
                </c:pt>
                <c:pt idx="114">
                  <c:v>5.3927776966319384E-3</c:v>
                </c:pt>
                <c:pt idx="115">
                  <c:v>5.4823726228550194E-3</c:v>
                </c:pt>
                <c:pt idx="116">
                  <c:v>5.5720436096210043E-3</c:v>
                </c:pt>
                <c:pt idx="117">
                  <c:v>5.6617938745138633E-3</c:v>
                </c:pt>
                <c:pt idx="118">
                  <c:v>5.7516264495608036E-3</c:v>
                </c:pt>
                <c:pt idx="119">
                  <c:v>5.8415441645492975E-3</c:v>
                </c:pt>
                <c:pt idx="120">
                  <c:v>5.93154963007941E-3</c:v>
                </c:pt>
                <c:pt idx="121">
                  <c:v>6.0216452204302322E-3</c:v>
                </c:pt>
                <c:pt idx="122">
                  <c:v>6.1118330563287235E-3</c:v>
                </c:pt>
                <c:pt idx="123">
                  <c:v>6.202114987719741E-3</c:v>
                </c:pt>
                <c:pt idx="124">
                  <c:v>6.2924925766453185E-3</c:v>
                </c:pt>
                <c:pt idx="125">
                  <c:v>6.3829670803500858E-3</c:v>
                </c:pt>
                <c:pt idx="126">
                  <c:v>6.4735394347380133E-3</c:v>
                </c:pt>
                <c:pt idx="127">
                  <c:v>6.5642102383126448E-3</c:v>
                </c:pt>
                <c:pt idx="128">
                  <c:v>6.6549797367393337E-3</c:v>
                </c:pt>
                <c:pt idx="129">
                  <c:v>6.7458478081726244E-3</c:v>
                </c:pt>
                <c:pt idx="130">
                  <c:v>6.8368139494958584E-3</c:v>
                </c:pt>
                <c:pt idx="131">
                  <c:v>6.9278772636219895E-3</c:v>
                </c:pt>
                <c:pt idx="132">
                  <c:v>7.0190364480054645E-3</c:v>
                </c:pt>
                <c:pt idx="133">
                  <c:v>7.1102897845138477E-3</c:v>
                </c:pt>
                <c:pt idx="134">
                  <c:v>7.2016351308054798E-3</c:v>
                </c:pt>
                <c:pt idx="135">
                  <c:v>7.2930699133549829E-3</c:v>
                </c:pt>
                <c:pt idx="136">
                  <c:v>7.3845911222624079E-3</c:v>
                </c:pt>
                <c:pt idx="137">
                  <c:v>7.4761953079740999E-3</c:v>
                </c:pt>
                <c:pt idx="138">
                  <c:v>7.5678785800336696E-3</c:v>
                </c:pt>
                <c:pt idx="139">
                  <c:v>7.6596366079705351E-3</c:v>
                </c:pt>
                <c:pt idx="140">
                  <c:v>7.7514646244203553E-3</c:v>
                </c:pt>
                <c:pt idx="141">
                  <c:v>7.8433574305576455E-3</c:v>
                </c:pt>
                <c:pt idx="142">
                  <c:v>7.9353094039048989E-3</c:v>
                </c:pt>
                <c:pt idx="143">
                  <c:v>8.027314508565515E-3</c:v>
                </c:pt>
                <c:pt idx="144">
                  <c:v>8.119366307909456E-3</c:v>
                </c:pt>
                <c:pt idx="145">
                  <c:v>8.2114579797215488E-3</c:v>
                </c:pt>
                <c:pt idx="146">
                  <c:v>8.303582333801884E-3</c:v>
                </c:pt>
                <c:pt idx="147">
                  <c:v>8.3957318319872309E-3</c:v>
                </c:pt>
                <c:pt idx="148">
                  <c:v>8.4878986105410871E-3</c:v>
                </c:pt>
                <c:pt idx="149">
                  <c:v>8.5800745048386483E-3</c:v>
                </c:pt>
                <c:pt idx="150">
                  <c:v>8.6722510762512837E-3</c:v>
                </c:pt>
                <c:pt idx="151">
                  <c:v>8.7644196411140185E-3</c:v>
                </c:pt>
                <c:pt idx="152">
                  <c:v>8.8565713016388013E-3</c:v>
                </c:pt>
                <c:pt idx="153">
                  <c:v>8.9486969786159373E-3</c:v>
                </c:pt>
                <c:pt idx="154">
                  <c:v>9.0407874457269881E-3</c:v>
                </c:pt>
                <c:pt idx="155">
                  <c:v>9.1328333652742691E-3</c:v>
                </c:pt>
                <c:pt idx="156">
                  <c:v>9.2248253251153087E-3</c:v>
                </c:pt>
                <c:pt idx="157">
                  <c:v>9.3167538765753458E-3</c:v>
                </c:pt>
                <c:pt idx="158">
                  <c:v>9.408609573097429E-3</c:v>
                </c:pt>
                <c:pt idx="159">
                  <c:v>9.5003830093780568E-3</c:v>
                </c:pt>
                <c:pt idx="160">
                  <c:v>9.5920648607268344E-3</c:v>
                </c:pt>
                <c:pt idx="161">
                  <c:v>9.6836459223812593E-3</c:v>
                </c:pt>
                <c:pt idx="162">
                  <c:v>9.7751171485026944E-3</c:v>
                </c:pt>
                <c:pt idx="163">
                  <c:v>9.8664696905772561E-3</c:v>
                </c:pt>
                <c:pt idx="164">
                  <c:v>9.9576949349449839E-3</c:v>
                </c:pt>
                <c:pt idx="165">
                  <c:v>1.0048784539183489E-2</c:v>
                </c:pt>
                <c:pt idx="166">
                  <c:v>1.0139730467077097E-2</c:v>
                </c:pt>
                <c:pt idx="167">
                  <c:v>1.0230525021910341E-2</c:v>
                </c:pt>
                <c:pt idx="168">
                  <c:v>1.0321160877834752E-2</c:v>
                </c:pt>
                <c:pt idx="169">
                  <c:v>1.0411631109070426E-2</c:v>
                </c:pt>
                <c:pt idx="170">
                  <c:v>1.0501929216719271E-2</c:v>
                </c:pt>
                <c:pt idx="171">
                  <c:v>1.0592049152983457E-2</c:v>
                </c:pt>
                <c:pt idx="172">
                  <c:v>1.0681985342602849E-2</c:v>
                </c:pt>
                <c:pt idx="173">
                  <c:v>1.0771732701345649E-2</c:v>
                </c:pt>
                <c:pt idx="174">
                  <c:v>1.0861286651410425E-2</c:v>
                </c:pt>
                <c:pt idx="175">
                  <c:v>1.095064313362179E-2</c:v>
                </c:pt>
                <c:pt idx="176">
                  <c:v>1.1039798616328287E-2</c:v>
                </c:pt>
                <c:pt idx="177">
                  <c:v>1.1128750100937954E-2</c:v>
                </c:pt>
                <c:pt idx="178">
                  <c:v>1.1217495124055052E-2</c:v>
                </c:pt>
                <c:pt idx="179">
                  <c:v>1.1306031756209683E-2</c:v>
                </c:pt>
                <c:pt idx="180">
                  <c:v>1.1394358597200739E-2</c:v>
                </c:pt>
                <c:pt idx="181">
                  <c:v>1.1482474768101408E-2</c:v>
                </c:pt>
                <c:pt idx="182">
                  <c:v>1.1570379900004368E-2</c:v>
                </c:pt>
                <c:pt idx="183">
                  <c:v>1.165807411961187E-2</c:v>
                </c:pt>
                <c:pt idx="184">
                  <c:v>1.1745558031802387E-2</c:v>
                </c:pt>
                <c:pt idx="185">
                  <c:v>1.1832832699331214E-2</c:v>
                </c:pt>
                <c:pt idx="186">
                  <c:v>1.1919899619846453E-2</c:v>
                </c:pt>
                <c:pt idx="187">
                  <c:v>1.200676070042426E-2</c:v>
                </c:pt>
                <c:pt idx="188">
                  <c:v>1.2093418229847535E-2</c:v>
                </c:pt>
                <c:pt idx="189">
                  <c:v>1.217987484887067E-2</c:v>
                </c:pt>
                <c:pt idx="190">
                  <c:v>1.2266133518728772E-2</c:v>
                </c:pt>
                <c:pt idx="191">
                  <c:v>1.2352197488163063E-2</c:v>
                </c:pt>
                <c:pt idx="192">
                  <c:v>1.2438070259244731E-2</c:v>
                </c:pt>
                <c:pt idx="193">
                  <c:v>1.2523755552287645E-2</c:v>
                </c:pt>
                <c:pt idx="194">
                  <c:v>1.2609257270144732E-2</c:v>
                </c:pt>
                <c:pt idx="195">
                  <c:v>1.2694579462185033E-2</c:v>
                </c:pt>
                <c:pt idx="196">
                  <c:v>1.2779726288247487E-2</c:v>
                </c:pt>
                <c:pt idx="197">
                  <c:v>1.286470198286299E-2</c:v>
                </c:pt>
                <c:pt idx="198">
                  <c:v>1.2949510820029667E-2</c:v>
                </c:pt>
                <c:pt idx="199">
                  <c:v>1.3034157078816165E-2</c:v>
                </c:pt>
                <c:pt idx="200">
                  <c:v>1.3118645010054917E-2</c:v>
                </c:pt>
                <c:pt idx="201">
                  <c:v>1.3202978804372493E-2</c:v>
                </c:pt>
                <c:pt idx="202">
                  <c:v>1.3287162561785556E-2</c:v>
                </c:pt>
                <c:pt idx="203">
                  <c:v>1.3371200263071582E-2</c:v>
                </c:pt>
                <c:pt idx="204">
                  <c:v>1.3455095743100774E-2</c:v>
                </c:pt>
                <c:pt idx="205">
                  <c:v>1.3538852666291791E-2</c:v>
                </c:pt>
                <c:pt idx="206">
                  <c:v>1.3622474504328358E-2</c:v>
                </c:pt>
                <c:pt idx="207">
                  <c:v>1.3705964516246942E-2</c:v>
                </c:pt>
                <c:pt idx="208">
                  <c:v>1.3789325730977835E-2</c:v>
                </c:pt>
                <c:pt idx="209">
                  <c:v>1.3872560932393597E-2</c:v>
                </c:pt>
                <c:pt idx="210">
                  <c:v>1.3955672646889935E-2</c:v>
                </c:pt>
                <c:pt idx="211">
                  <c:v>1.4038663133495468E-2</c:v>
                </c:pt>
                <c:pt idx="212">
                  <c:v>1.4121534376478071E-2</c:v>
                </c:pt>
                <c:pt idx="213">
                  <c:v>1.4204288080388051E-2</c:v>
                </c:pt>
                <c:pt idx="214">
                  <c:v>1.4286925667451329E-2</c:v>
                </c:pt>
                <c:pt idx="215">
                  <c:v>1.4369448277200325E-2</c:v>
                </c:pt>
                <c:pt idx="216">
                  <c:v>1.4451856768206617E-2</c:v>
                </c:pt>
                <c:pt idx="217">
                  <c:v>1.453415172175686E-2</c:v>
                </c:pt>
                <c:pt idx="218">
                  <c:v>1.4616333447294252E-2</c:v>
                </c:pt>
                <c:pt idx="219">
                  <c:v>1.4698401989429795E-2</c:v>
                </c:pt>
                <c:pt idx="220">
                  <c:v>1.478035713631305E-2</c:v>
                </c:pt>
                <c:pt idx="221">
                  <c:v>1.4862198429140001E-2</c:v>
                </c:pt>
                <c:pt idx="222">
                  <c:v>1.4943925172566349E-2</c:v>
                </c:pt>
                <c:pt idx="223">
                  <c:v>1.5025536445788702E-2</c:v>
                </c:pt>
                <c:pt idx="224">
                  <c:v>1.5107031114053286E-2</c:v>
                </c:pt>
                <c:pt idx="225">
                  <c:v>1.518840784035189E-2</c:v>
                </c:pt>
                <c:pt idx="226">
                  <c:v>1.5269665097068671E-2</c:v>
                </c:pt>
                <c:pt idx="227">
                  <c:v>1.5350801177347979E-2</c:v>
                </c:pt>
                <c:pt idx="228">
                  <c:v>1.5431814205963288E-2</c:v>
                </c:pt>
                <c:pt idx="229">
                  <c:v>1.5512702149480626E-2</c:v>
                </c:pt>
                <c:pt idx="230">
                  <c:v>1.559346282552509E-2</c:v>
                </c:pt>
                <c:pt idx="231">
                  <c:v>1.56740939109784E-2</c:v>
                </c:pt>
                <c:pt idx="232">
                  <c:v>1.5754592948955974E-2</c:v>
                </c:pt>
                <c:pt idx="233">
                  <c:v>1.5834957354435783E-2</c:v>
                </c:pt>
                <c:pt idx="234">
                  <c:v>1.5915184418436434E-2</c:v>
                </c:pt>
                <c:pt idx="235">
                  <c:v>1.5995271310669121E-2</c:v>
                </c:pt>
                <c:pt idx="236">
                  <c:v>1.6075215080616923E-2</c:v>
                </c:pt>
                <c:pt idx="237">
                  <c:v>1.6155012657024011E-2</c:v>
                </c:pt>
                <c:pt idx="238">
                  <c:v>1.6234660845808015E-2</c:v>
                </c:pt>
                <c:pt idx="239">
                  <c:v>1.6314156326439396E-2</c:v>
                </c:pt>
                <c:pt idx="240">
                  <c:v>1.6393495646862204E-2</c:v>
                </c:pt>
                <c:pt idx="241">
                  <c:v>1.6472675217060528E-2</c:v>
                </c:pt>
                <c:pt idx="242">
                  <c:v>1.6551691301404887E-2</c:v>
                </c:pt>
                <c:pt idx="243">
                  <c:v>1.663054000994036E-2</c:v>
                </c:pt>
                <c:pt idx="244">
                  <c:v>1.6709217288805013E-2</c:v>
                </c:pt>
                <c:pt idx="245">
                  <c:v>1.6787718909992158E-2</c:v>
                </c:pt>
                <c:pt idx="246">
                  <c:v>1.6866040460691741E-2</c:v>
                </c:pt>
                <c:pt idx="247">
                  <c:v>1.6944177332466542E-2</c:v>
                </c:pt>
                <c:pt idx="248">
                  <c:v>1.7022124710535477E-2</c:v>
                </c:pt>
                <c:pt idx="249">
                  <c:v>1.7099877563449876E-2</c:v>
                </c:pt>
                <c:pt idx="250">
                  <c:v>1.7177430633459535E-2</c:v>
                </c:pt>
                <c:pt idx="251">
                  <c:v>1.725477842787141E-2</c:v>
                </c:pt>
                <c:pt idx="252">
                  <c:v>1.7331915211707325E-2</c:v>
                </c:pt>
                <c:pt idx="253">
                  <c:v>1.7408835001966078E-2</c:v>
                </c:pt>
                <c:pt idx="254">
                  <c:v>1.7485531563790419E-2</c:v>
                </c:pt>
                <c:pt idx="255">
                  <c:v>1.7561998408830722E-2</c:v>
                </c:pt>
                <c:pt idx="256">
                  <c:v>1.7638228796084243E-2</c:v>
                </c:pt>
                <c:pt idx="257">
                  <c:v>1.7714215735472411E-2</c:v>
                </c:pt>
                <c:pt idx="258">
                  <c:v>1.7789951994397639E-2</c:v>
                </c:pt>
                <c:pt idx="259">
                  <c:v>1.7865430107497603E-2</c:v>
                </c:pt>
                <c:pt idx="260">
                  <c:v>1.7940642389786366E-2</c:v>
                </c:pt>
                <c:pt idx="261">
                  <c:v>1.8015580953341808E-2</c:v>
                </c:pt>
                <c:pt idx="262">
                  <c:v>1.8090237727663935E-2</c:v>
                </c:pt>
                <c:pt idx="263">
                  <c:v>1.8164604483792621E-2</c:v>
                </c:pt>
                <c:pt idx="264">
                  <c:v>1.8238672862234379E-2</c:v>
                </c:pt>
                <c:pt idx="265">
                  <c:v>1.8312434404706389E-2</c:v>
                </c:pt>
                <c:pt idx="266">
                  <c:v>1.8385880589664404E-2</c:v>
                </c:pt>
                <c:pt idx="267">
                  <c:v>1.8459002871536668E-2</c:v>
                </c:pt>
                <c:pt idx="268">
                  <c:v>1.8531792723542675E-2</c:v>
                </c:pt>
                <c:pt idx="269">
                  <c:v>1.860424168393051E-2</c:v>
                </c:pt>
                <c:pt idx="270">
                  <c:v>1.8676341405422903E-2</c:v>
                </c:pt>
                <c:pt idx="271">
                  <c:v>1.8748083707618372E-2</c:v>
                </c:pt>
                <c:pt idx="272">
                  <c:v>1.8819460632052098E-2</c:v>
                </c:pt>
                <c:pt idx="273">
                  <c:v>1.8890464499580612E-2</c:v>
                </c:pt>
                <c:pt idx="274">
                  <c:v>1.8961087969716135E-2</c:v>
                </c:pt>
                <c:pt idx="275">
                  <c:v>1.9031324101501261E-2</c:v>
                </c:pt>
                <c:pt idx="276">
                  <c:v>1.9101166415481648E-2</c:v>
                </c:pt>
                <c:pt idx="277">
                  <c:v>1.9170608956306151E-2</c:v>
                </c:pt>
                <c:pt idx="278">
                  <c:v>1.9239646355458155E-2</c:v>
                </c:pt>
                <c:pt idx="279">
                  <c:v>1.9308273893601569E-2</c:v>
                </c:pt>
                <c:pt idx="280">
                  <c:v>1.9376487562008049E-2</c:v>
                </c:pt>
                <c:pt idx="281">
                  <c:v>1.9444284122521215E-2</c:v>
                </c:pt>
                <c:pt idx="282">
                  <c:v>1.9511661165506494E-2</c:v>
                </c:pt>
                <c:pt idx="283">
                  <c:v>1.9578617165234371E-2</c:v>
                </c:pt>
                <c:pt idx="284">
                  <c:v>1.9645151532148609E-2</c:v>
                </c:pt>
                <c:pt idx="285">
                  <c:v>1.9711264661480436E-2</c:v>
                </c:pt>
                <c:pt idx="286">
                  <c:v>1.9776957977684639E-2</c:v>
                </c:pt>
                <c:pt idx="287">
                  <c:v>1.9842233974193449E-2</c:v>
                </c:pt>
                <c:pt idx="288">
                  <c:v>1.9907096248009504E-2</c:v>
                </c:pt>
                <c:pt idx="289">
                  <c:v>1.9971549528690132E-2</c:v>
                </c:pt>
                <c:pt idx="290">
                  <c:v>2.0035599701309789E-2</c:v>
                </c:pt>
                <c:pt idx="291">
                  <c:v>2.0099253823028702E-2</c:v>
                </c:pt>
                <c:pt idx="292">
                  <c:v>2.0162520132938976E-2</c:v>
                </c:pt>
                <c:pt idx="293">
                  <c:v>2.022540805490888E-2</c:v>
                </c:pt>
                <c:pt idx="294">
                  <c:v>2.0287928193197614E-2</c:v>
                </c:pt>
                <c:pt idx="295">
                  <c:v>2.0350092320667808E-2</c:v>
                </c:pt>
                <c:pt idx="296">
                  <c:v>2.0411913359481389E-2</c:v>
                </c:pt>
                <c:pt idx="297">
                  <c:v>2.047340535422415E-2</c:v>
                </c:pt>
                <c:pt idx="298">
                  <c:v>2.0534583437465871E-2</c:v>
                </c:pt>
                <c:pt idx="299">
                  <c:v>2.059546378782608E-2</c:v>
                </c:pt>
                <c:pt idx="300">
                  <c:v>2.0656063580678102E-2</c:v>
                </c:pt>
                <c:pt idx="301">
                  <c:v>2.0716400931687577E-2</c:v>
                </c:pt>
                <c:pt idx="302">
                  <c:v>2.0776494833443834E-2</c:v>
                </c:pt>
                <c:pt idx="303">
                  <c:v>2.0836365085503739E-2</c:v>
                </c:pt>
                <c:pt idx="304">
                  <c:v>2.0896032218226553E-2</c:v>
                </c:pt>
                <c:pt idx="305">
                  <c:v>2.0955517410835428E-2</c:v>
                </c:pt>
                <c:pt idx="306">
                  <c:v>2.1014842404194555E-2</c:v>
                </c:pt>
                <c:pt idx="307">
                  <c:v>2.1074029408841323E-2</c:v>
                </c:pt>
                <c:pt idx="308">
                  <c:v>2.1133101008858741E-2</c:v>
                </c:pt>
                <c:pt idx="309">
                  <c:v>2.1192080062215034E-2</c:v>
                </c:pt>
                <c:pt idx="310">
                  <c:v>2.1250989598233586E-2</c:v>
                </c:pt>
                <c:pt idx="311">
                  <c:v>2.1309852712887944E-2</c:v>
                </c:pt>
                <c:pt idx="312">
                  <c:v>2.1368692462641566E-2</c:v>
                </c:pt>
                <c:pt idx="313">
                  <c:v>2.1427531757571741E-2</c:v>
                </c:pt>
                <c:pt idx="314">
                  <c:v>2.1486393254530219E-2</c:v>
                </c:pt>
                <c:pt idx="315">
                  <c:v>2.1545299251099645E-2</c:v>
                </c:pt>
                <c:pt idx="316">
                  <c:v>2.160427158110553E-2</c:v>
                </c:pt>
                <c:pt idx="317">
                  <c:v>2.1663331512436722E-2</c:v>
                </c:pt>
                <c:pt idx="318">
                  <c:v>2.1722499647914645E-2</c:v>
                </c:pt>
                <c:pt idx="319">
                  <c:v>2.1781795829932209E-2</c:v>
                </c:pt>
                <c:pt idx="320">
                  <c:v>2.1841239049557221E-2</c:v>
                </c:pt>
                <c:pt idx="321">
                  <c:v>2.1900847360763476E-2</c:v>
                </c:pt>
                <c:pt idx="322">
                  <c:v>2.196063780041467E-2</c:v>
                </c:pt>
                <c:pt idx="323">
                  <c:v>2.2020626314582799E-2</c:v>
                </c:pt>
                <c:pt idx="324">
                  <c:v>2.208082769173399E-2</c:v>
                </c:pt>
                <c:pt idx="325">
                  <c:v>2.2141255503261442E-2</c:v>
                </c:pt>
                <c:pt idx="326">
                  <c:v>2.2201922051786848E-2</c:v>
                </c:pt>
                <c:pt idx="327">
                  <c:v>2.2262838327590545E-2</c:v>
                </c:pt>
                <c:pt idx="328">
                  <c:v>2.2324013973465159E-2</c:v>
                </c:pt>
                <c:pt idx="329">
                  <c:v>2.2385457258220397E-2</c:v>
                </c:pt>
                <c:pt idx="330">
                  <c:v>2.2447175058996512E-2</c:v>
                </c:pt>
                <c:pt idx="331">
                  <c:v>2.2509172852473176E-2</c:v>
                </c:pt>
                <c:pt idx="332">
                  <c:v>2.2571454714988066E-2</c:v>
                </c:pt>
                <c:pt idx="333">
                  <c:v>2.2634023331508244E-2</c:v>
                </c:pt>
                <c:pt idx="334">
                  <c:v>2.2696880013324715E-2</c:v>
                </c:pt>
                <c:pt idx="335">
                  <c:v>2.2760024724271365E-2</c:v>
                </c:pt>
                <c:pt idx="336">
                  <c:v>2.2823456115200078E-2</c:v>
                </c:pt>
                <c:pt idx="337">
                  <c:v>2.2887171566378185E-2</c:v>
                </c:pt>
                <c:pt idx="338">
                  <c:v>2.2951167237411394E-2</c:v>
                </c:pt>
                <c:pt idx="339">
                  <c:v>2.3015438124235812E-2</c:v>
                </c:pt>
                <c:pt idx="340">
                  <c:v>2.307997812266761E-2</c:v>
                </c:pt>
                <c:pt idx="341">
                  <c:v>2.314478009794866E-2</c:v>
                </c:pt>
                <c:pt idx="342">
                  <c:v>2.3209835959680642E-2</c:v>
                </c:pt>
                <c:pt idx="343">
                  <c:v>2.3275136741500894E-2</c:v>
                </c:pt>
                <c:pt idx="344">
                  <c:v>2.3340672684819114E-2</c:v>
                </c:pt>
                <c:pt idx="345">
                  <c:v>2.3406433325906736E-2</c:v>
                </c:pt>
                <c:pt idx="346">
                  <c:v>2.3472407585609121E-2</c:v>
                </c:pt>
                <c:pt idx="347">
                  <c:v>2.3538583860936876E-2</c:v>
                </c:pt>
                <c:pt idx="348">
                  <c:v>2.3604950117784192E-2</c:v>
                </c:pt>
                <c:pt idx="349">
                  <c:v>2.3671493984021599E-2</c:v>
                </c:pt>
                <c:pt idx="350">
                  <c:v>2.3738202842215835E-2</c:v>
                </c:pt>
                <c:pt idx="351">
                  <c:v>2.3805063921242545E-2</c:v>
                </c:pt>
                <c:pt idx="352">
                  <c:v>2.3872064386075972E-2</c:v>
                </c:pt>
                <c:pt idx="353">
                  <c:v>2.3939191425065461E-2</c:v>
                </c:pt>
                <c:pt idx="354">
                  <c:v>2.4006432334039922E-2</c:v>
                </c:pt>
                <c:pt idx="355">
                  <c:v>2.4073774596618407E-2</c:v>
                </c:pt>
                <c:pt idx="356">
                  <c:v>2.4141205960147398E-2</c:v>
                </c:pt>
                <c:pt idx="357">
                  <c:v>2.4208714506732787E-2</c:v>
                </c:pt>
                <c:pt idx="358">
                  <c:v>2.4276288718886343E-2</c:v>
                </c:pt>
                <c:pt idx="359">
                  <c:v>2.4343917539361867E-2</c:v>
                </c:pt>
                <c:pt idx="360">
                  <c:v>2.4411590424815579E-2</c:v>
                </c:pt>
                <c:pt idx="361">
                  <c:v>2.4479297392986789E-2</c:v>
                </c:pt>
                <c:pt idx="362">
                  <c:v>2.4547029063158771E-2</c:v>
                </c:pt>
                <c:pt idx="363">
                  <c:v>2.4614776689725573E-2</c:v>
                </c:pt>
                <c:pt idx="364">
                  <c:v>2.4682532188756108E-2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2.35891176273984E-4</c:v>
                </c:pt>
                <c:pt idx="1">
                  <c:v>2.3458427543393434E-4</c:v>
                </c:pt>
                <c:pt idx="2">
                  <c:v>2.3307443118336088E-4</c:v>
                </c:pt>
                <c:pt idx="3">
                  <c:v>2.3137691101435132E-4</c:v>
                </c:pt>
                <c:pt idx="4">
                  <c:v>2.2950657961593612E-4</c:v>
                </c:pt>
                <c:pt idx="5">
                  <c:v>2.2747780315709448E-4</c:v>
                </c:pt>
                <c:pt idx="6">
                  <c:v>2.2530437120354998E-4</c:v>
                </c:pt>
                <c:pt idx="7">
                  <c:v>2.2299943459933708E-4</c:v>
                </c:pt>
                <c:pt idx="8">
                  <c:v>2.205450597202447E-4</c:v>
                </c:pt>
                <c:pt idx="9">
                  <c:v>2.1762911321907428E-4</c:v>
                </c:pt>
                <c:pt idx="10">
                  <c:v>2.1417084822291594E-4</c:v>
                </c:pt>
                <c:pt idx="11">
                  <c:v>2.1018731094451574E-4</c:v>
                </c:pt>
                <c:pt idx="12">
                  <c:v>2.0569570992392627E-4</c:v>
                </c:pt>
                <c:pt idx="13">
                  <c:v>2.0071333069611181E-4</c:v>
                </c:pt>
                <c:pt idx="14">
                  <c:v>1.9525745611110383E-4</c:v>
                </c:pt>
                <c:pt idx="15">
                  <c:v>1.8940986874572103E-4</c:v>
                </c:pt>
                <c:pt idx="16">
                  <c:v>1.8341868670250792E-4</c:v>
                </c:pt>
                <c:pt idx="17">
                  <c:v>1.7729253537240703E-4</c:v>
                </c:pt>
                <c:pt idx="18">
                  <c:v>1.7103974612977716E-4</c:v>
                </c:pt>
                <c:pt idx="19">
                  <c:v>1.6466926085594575E-4</c:v>
                </c:pt>
                <c:pt idx="20">
                  <c:v>1.5818995702388908E-4</c:v>
                </c:pt>
                <c:pt idx="21">
                  <c:v>1.5160951552720174E-4</c:v>
                </c:pt>
                <c:pt idx="22">
                  <c:v>1.4492160980391361E-4</c:v>
                </c:pt>
                <c:pt idx="23">
                  <c:v>1.3827420096747397E-4</c:v>
                </c:pt>
                <c:pt idx="24">
                  <c:v>1.3192982891479618E-4</c:v>
                </c:pt>
                <c:pt idx="25">
                  <c:v>1.2588877485544006E-4</c:v>
                </c:pt>
                <c:pt idx="26">
                  <c:v>1.2015003707762249E-4</c:v>
                </c:pt>
                <c:pt idx="27">
                  <c:v>1.1471150067018978E-4</c:v>
                </c:pt>
                <c:pt idx="28">
                  <c:v>1.0957009934199879E-4</c:v>
                </c:pt>
                <c:pt idx="29">
                  <c:v>1.0489000147579723E-4</c:v>
                </c:pt>
                <c:pt idx="30">
                  <c:v>1.0060587615473691E-4</c:v>
                </c:pt>
                <c:pt idx="31">
                  <c:v>9.6709401908680814E-5</c:v>
                </c:pt>
                <c:pt idx="32">
                  <c:v>9.319202079842033E-5</c:v>
                </c:pt>
                <c:pt idx="33">
                  <c:v>9.0045073604408263E-5</c:v>
                </c:pt>
                <c:pt idx="34">
                  <c:v>8.7259921291436287E-5</c:v>
                </c:pt>
                <c:pt idx="35">
                  <c:v>8.482805366690864E-5</c:v>
                </c:pt>
                <c:pt idx="36">
                  <c:v>8.2736070821908331E-5</c:v>
                </c:pt>
                <c:pt idx="37">
                  <c:v>8.1236625341655756E-5</c:v>
                </c:pt>
                <c:pt idx="38">
                  <c:v>8.0184375094192689E-5</c:v>
                </c:pt>
                <c:pt idx="39">
                  <c:v>7.9566668789048803E-5</c:v>
                </c:pt>
                <c:pt idx="40">
                  <c:v>7.9371353147239272E-5</c:v>
                </c:pt>
                <c:pt idx="41">
                  <c:v>7.9586727903759586E-5</c:v>
                </c:pt>
                <c:pt idx="42">
                  <c:v>8.0201504436019377E-5</c:v>
                </c:pt>
                <c:pt idx="43">
                  <c:v>8.1213801941187105E-5</c:v>
                </c:pt>
                <c:pt idx="44">
                  <c:v>8.2467156756433241E-5</c:v>
                </c:pt>
                <c:pt idx="45">
                  <c:v>8.3955085099751185E-5</c:v>
                </c:pt>
                <c:pt idx="46">
                  <c:v>8.5671293373479928E-5</c:v>
                </c:pt>
                <c:pt idx="47">
                  <c:v>8.7609663835251411E-5</c:v>
                </c:pt>
                <c:pt idx="48">
                  <c:v>8.9764242251649028E-5</c:v>
                </c:pt>
                <c:pt idx="49">
                  <c:v>9.2129227475379379E-5</c:v>
                </c:pt>
                <c:pt idx="50">
                  <c:v>9.4698588335058779E-5</c:v>
                </c:pt>
                <c:pt idx="51">
                  <c:v>9.6977938586702354E-5</c:v>
                </c:pt>
                <c:pt idx="52">
                  <c:v>9.8740537899843665E-5</c:v>
                </c:pt>
                <c:pt idx="53">
                  <c:v>9.9999655415781044E-5</c:v>
                </c:pt>
                <c:pt idx="54">
                  <c:v>1.0076878116292133E-4</c:v>
                </c:pt>
                <c:pt idx="55">
                  <c:v>1.0106113033704927E-4</c:v>
                </c:pt>
                <c:pt idx="56">
                  <c:v>1.0088961895177844E-4</c:v>
                </c:pt>
                <c:pt idx="57">
                  <c:v>9.997321483292715E-5</c:v>
                </c:pt>
                <c:pt idx="58">
                  <c:v>9.8321468105720049E-5</c:v>
                </c:pt>
                <c:pt idx="59">
                  <c:v>9.5952414304822958E-5</c:v>
                </c:pt>
                <c:pt idx="60">
                  <c:v>9.2883393146722722E-5</c:v>
                </c:pt>
                <c:pt idx="61">
                  <c:v>8.9131012747771518E-5</c:v>
                </c:pt>
                <c:pt idx="62">
                  <c:v>8.4711114616051509E-5</c:v>
                </c:pt>
                <c:pt idx="63">
                  <c:v>7.9638739180401471E-5</c:v>
                </c:pt>
                <c:pt idx="64">
                  <c:v>7.3926042384991089E-5</c:v>
                </c:pt>
                <c:pt idx="65">
                  <c:v>6.7837047552285468E-5</c:v>
                </c:pt>
                <c:pt idx="66">
                  <c:v>6.1813888490061498E-5</c:v>
                </c:pt>
                <c:pt idx="67">
                  <c:v>5.585450070600463E-5</c:v>
                </c:pt>
                <c:pt idx="68">
                  <c:v>4.9956649505333849E-5</c:v>
                </c:pt>
                <c:pt idx="69">
                  <c:v>4.4117927303352856E-5</c:v>
                </c:pt>
                <c:pt idx="70">
                  <c:v>3.8335750756968344E-5</c:v>
                </c:pt>
                <c:pt idx="71">
                  <c:v>3.2817473387111453E-5</c:v>
                </c:pt>
                <c:pt idx="72">
                  <c:v>2.7822062725896995E-5</c:v>
                </c:pt>
                <c:pt idx="73">
                  <c:v>2.3338313871890215E-5</c:v>
                </c:pt>
                <c:pt idx="74">
                  <c:v>1.9355399776043924E-5</c:v>
                </c:pt>
                <c:pt idx="75">
                  <c:v>1.5862894776457766E-5</c:v>
                </c:pt>
                <c:pt idx="76">
                  <c:v>1.2850797850570596E-5</c:v>
                </c:pt>
                <c:pt idx="77">
                  <c:v>1.0309555560275429E-5</c:v>
                </c:pt>
                <c:pt idx="78">
                  <c:v>8.2296223126976083E-6</c:v>
                </c:pt>
                <c:pt idx="79">
                  <c:v>6.6173276302719041E-6</c:v>
                </c:pt>
                <c:pt idx="80">
                  <c:v>5.2368316906875214E-6</c:v>
                </c:pt>
                <c:pt idx="81">
                  <c:v>4.0843786505774118E-6</c:v>
                </c:pt>
                <c:pt idx="82">
                  <c:v>3.1563260715682765E-6</c:v>
                </c:pt>
                <c:pt idx="83">
                  <c:v>2.4492013695106524E-6</c:v>
                </c:pt>
                <c:pt idx="84">
                  <c:v>1.9597549659401103E-6</c:v>
                </c:pt>
                <c:pt idx="85">
                  <c:v>1.6988684142454614E-6</c:v>
                </c:pt>
                <c:pt idx="86">
                  <c:v>1.4688082790839394E-6</c:v>
                </c:pt>
                <c:pt idx="87">
                  <c:v>1.2690476466502364E-6</c:v>
                </c:pt>
                <c:pt idx="88">
                  <c:v>1.0990943625468448E-6</c:v>
                </c:pt>
                <c:pt idx="89">
                  <c:v>9.5849701601450352E-7</c:v>
                </c:pt>
                <c:pt idx="90">
                  <c:v>8.4685060882633387E-7</c:v>
                </c:pt>
                <c:pt idx="91">
                  <c:v>7.6380196198709717E-7</c:v>
                </c:pt>
                <c:pt idx="92">
                  <c:v>7.0901784644126335E-7</c:v>
                </c:pt>
                <c:pt idx="93">
                  <c:v>7.0072331474034671E-7</c:v>
                </c:pt>
                <c:pt idx="94">
                  <c:v>7.2449951189354187E-7</c:v>
                </c:pt>
                <c:pt idx="95">
                  <c:v>7.8017797614455888E-7</c:v>
                </c:pt>
                <c:pt idx="96">
                  <c:v>8.676482919172593E-7</c:v>
                </c:pt>
                <c:pt idx="97">
                  <c:v>9.8685881847423229E-7</c:v>
                </c:pt>
                <c:pt idx="98">
                  <c:v>1.1378174475343423E-6</c:v>
                </c:pt>
                <c:pt idx="99">
                  <c:v>1.3718687654387985E-6</c:v>
                </c:pt>
                <c:pt idx="100">
                  <c:v>1.6756323433961281E-6</c:v>
                </c:pt>
                <c:pt idx="101">
                  <c:v>2.0492962881224993E-6</c:v>
                </c:pt>
                <c:pt idx="102">
                  <c:v>2.4931800132113143E-6</c:v>
                </c:pt>
                <c:pt idx="103">
                  <c:v>3.0077357459171677E-6</c:v>
                </c:pt>
                <c:pt idx="104">
                  <c:v>3.5935500658422817E-6</c:v>
                </c:pt>
                <c:pt idx="105">
                  <c:v>4.2513454716020013E-6</c:v>
                </c:pt>
                <c:pt idx="106">
                  <c:v>4.982017969967316E-6</c:v>
                </c:pt>
                <c:pt idx="107">
                  <c:v>5.8740321336216116E-6</c:v>
                </c:pt>
                <c:pt idx="108">
                  <c:v>6.9105372450046465E-6</c:v>
                </c:pt>
                <c:pt idx="109">
                  <c:v>8.0933322999183595E-6</c:v>
                </c:pt>
                <c:pt idx="110">
                  <c:v>9.4244862342606761E-6</c:v>
                </c:pt>
                <c:pt idx="111">
                  <c:v>1.0906321641881156E-5</c:v>
                </c:pt>
                <c:pt idx="112">
                  <c:v>1.2541376185457978E-5</c:v>
                </c:pt>
                <c:pt idx="113">
                  <c:v>1.4468182480368453E-5</c:v>
                </c:pt>
                <c:pt idx="114">
                  <c:v>1.663870819188852E-5</c:v>
                </c:pt>
                <c:pt idx="115">
                  <c:v>1.9057301747388676E-5</c:v>
                </c:pt>
                <c:pt idx="116">
                  <c:v>2.17286525394095E-5</c:v>
                </c:pt>
                <c:pt idx="117">
                  <c:v>2.4657776439456753E-5</c:v>
                </c:pt>
                <c:pt idx="118">
                  <c:v>2.7850000135259187E-5</c:v>
                </c:pt>
                <c:pt idx="119">
                  <c:v>3.1310944139307063E-5</c:v>
                </c:pt>
                <c:pt idx="120">
                  <c:v>3.5047092799545336E-5</c:v>
                </c:pt>
                <c:pt idx="121">
                  <c:v>3.9232849187347434E-5</c:v>
                </c:pt>
                <c:pt idx="122">
                  <c:v>4.3785602294003423E-5</c:v>
                </c:pt>
                <c:pt idx="123">
                  <c:v>4.8714570702891068E-5</c:v>
                </c:pt>
                <c:pt idx="124">
                  <c:v>5.4029437391996693E-5</c:v>
                </c:pt>
                <c:pt idx="125">
                  <c:v>5.9740332901715038E-5</c:v>
                </c:pt>
                <c:pt idx="126">
                  <c:v>6.5857816418148326E-5</c:v>
                </c:pt>
                <c:pt idx="127">
                  <c:v>7.2007057323988442E-5</c:v>
                </c:pt>
                <c:pt idx="128">
                  <c:v>7.804379280482923E-5</c:v>
                </c:pt>
                <c:pt idx="129">
                  <c:v>8.3967886740932273E-5</c:v>
                </c:pt>
                <c:pt idx="130">
                  <c:v>8.9778808241983629E-5</c:v>
                </c:pt>
                <c:pt idx="131">
                  <c:v>9.547563224254173E-5</c:v>
                </c:pt>
                <c:pt idx="132">
                  <c:v>1.0105704082145485E-4</c:v>
                </c:pt>
                <c:pt idx="133">
                  <c:v>1.0652132529037133E-4</c:v>
                </c:pt>
                <c:pt idx="134">
                  <c:v>1.1186768748893185E-4</c:v>
                </c:pt>
                <c:pt idx="135">
                  <c:v>1.1642794535592595E-4</c:v>
                </c:pt>
                <c:pt idx="136">
                  <c:v>1.1999277379983661E-4</c:v>
                </c:pt>
                <c:pt idx="137">
                  <c:v>1.225349678768613E-4</c:v>
                </c:pt>
                <c:pt idx="138">
                  <c:v>1.240258968741139E-4</c:v>
                </c:pt>
                <c:pt idx="139">
                  <c:v>1.2443560170757517E-4</c:v>
                </c:pt>
                <c:pt idx="140">
                  <c:v>1.2373290062287653E-4</c:v>
                </c:pt>
                <c:pt idx="141">
                  <c:v>1.2203901796207573E-4</c:v>
                </c:pt>
                <c:pt idx="142">
                  <c:v>1.1975826155914202E-4</c:v>
                </c:pt>
                <c:pt idx="143">
                  <c:v>1.1687111441917331E-4</c:v>
                </c:pt>
                <c:pt idx="144">
                  <c:v>1.1335844530220659E-4</c:v>
                </c:pt>
                <c:pt idx="145">
                  <c:v>1.0920083212754395E-4</c:v>
                </c:pt>
                <c:pt idx="146">
                  <c:v>1.0437863431227319E-4</c:v>
                </c:pt>
                <c:pt idx="147">
                  <c:v>9.8872068756907636E-5</c:v>
                </c:pt>
                <c:pt idx="148">
                  <c:v>9.2661731317640397E-5</c:v>
                </c:pt>
                <c:pt idx="149">
                  <c:v>8.6128742727634399E-5</c:v>
                </c:pt>
                <c:pt idx="150">
                  <c:v>8.0032182672905647E-5</c:v>
                </c:pt>
                <c:pt idx="151">
                  <c:v>7.4385442880427698E-5</c:v>
                </c:pt>
                <c:pt idx="152">
                  <c:v>6.9202220629456686E-5</c:v>
                </c:pt>
                <c:pt idx="153">
                  <c:v>6.4496486519907153E-5</c:v>
                </c:pt>
                <c:pt idx="154">
                  <c:v>6.0282451274479194E-5</c:v>
                </c:pt>
                <c:pt idx="155">
                  <c:v>5.6638261059766112E-5</c:v>
                </c:pt>
                <c:pt idx="156">
                  <c:v>5.340824966954242E-5</c:v>
                </c:pt>
                <c:pt idx="157">
                  <c:v>5.0605288840658254E-5</c:v>
                </c:pt>
                <c:pt idx="158">
                  <c:v>4.8242378905083053E-5</c:v>
                </c:pt>
                <c:pt idx="159">
                  <c:v>4.6332619206399062E-5</c:v>
                </c:pt>
                <c:pt idx="160">
                  <c:v>4.4889179388165025E-5</c:v>
                </c:pt>
                <c:pt idx="161">
                  <c:v>4.3925271936652528E-5</c:v>
                </c:pt>
                <c:pt idx="162">
                  <c:v>4.345457876212594E-5</c:v>
                </c:pt>
                <c:pt idx="163">
                  <c:v>4.3485023623076437E-5</c:v>
                </c:pt>
                <c:pt idx="164">
                  <c:v>4.3571824681454399E-5</c:v>
                </c:pt>
                <c:pt idx="165">
                  <c:v>4.3716315648815631E-5</c:v>
                </c:pt>
                <c:pt idx="166">
                  <c:v>4.3919841997345948E-5</c:v>
                </c:pt>
                <c:pt idx="167">
                  <c:v>4.4183753881055503E-5</c:v>
                </c:pt>
                <c:pt idx="168">
                  <c:v>4.4509399107499792E-5</c:v>
                </c:pt>
                <c:pt idx="169">
                  <c:v>4.4892446004547723E-5</c:v>
                </c:pt>
                <c:pt idx="170">
                  <c:v>4.5260926359599073E-5</c:v>
                </c:pt>
                <c:pt idx="171">
                  <c:v>4.5614240203278052E-5</c:v>
                </c:pt>
                <c:pt idx="172">
                  <c:v>4.5951804625346502E-5</c:v>
                </c:pt>
                <c:pt idx="173">
                  <c:v>4.6272582034947487E-5</c:v>
                </c:pt>
                <c:pt idx="174">
                  <c:v>4.6575517011335843E-5</c:v>
                </c:pt>
                <c:pt idx="175">
                  <c:v>4.6860030456562675E-5</c:v>
                </c:pt>
                <c:pt idx="176">
                  <c:v>4.7126374117703243E-5</c:v>
                </c:pt>
                <c:pt idx="177">
                  <c:v>4.7452346975382243E-5</c:v>
                </c:pt>
                <c:pt idx="178">
                  <c:v>4.7845306053864279E-5</c:v>
                </c:pt>
                <c:pt idx="179">
                  <c:v>4.8306762417003982E-5</c:v>
                </c:pt>
                <c:pt idx="180">
                  <c:v>4.883819398511555E-5</c:v>
                </c:pt>
                <c:pt idx="181">
                  <c:v>4.9441045025226619E-5</c:v>
                </c:pt>
                <c:pt idx="182">
                  <c:v>5.0116726075248623E-5</c:v>
                </c:pt>
                <c:pt idx="183">
                  <c:v>5.1389066694480443E-5</c:v>
                </c:pt>
                <c:pt idx="184">
                  <c:v>5.3273910393783041E-5</c:v>
                </c:pt>
                <c:pt idx="185">
                  <c:v>5.5780789598660949E-5</c:v>
                </c:pt>
                <c:pt idx="186">
                  <c:v>5.8918875476328972E-5</c:v>
                </c:pt>
                <c:pt idx="187">
                  <c:v>6.2696996770752266E-5</c:v>
                </c:pt>
                <c:pt idx="188">
                  <c:v>6.7123661473974513E-5</c:v>
                </c:pt>
                <c:pt idx="189">
                  <c:v>7.2207081022034007E-5</c:v>
                </c:pt>
                <c:pt idx="190">
                  <c:v>7.7955492150370636E-5</c:v>
                </c:pt>
                <c:pt idx="191">
                  <c:v>8.4585638567298977E-5</c:v>
                </c:pt>
                <c:pt idx="192">
                  <c:v>9.2022765980931604E-5</c:v>
                </c:pt>
                <c:pt idx="193">
                  <c:v>1.0027503899082363E-4</c:v>
                </c:pt>
                <c:pt idx="194">
                  <c:v>1.093504098464231E-4</c:v>
                </c:pt>
                <c:pt idx="195">
                  <c:v>1.1925664199042257E-4</c:v>
                </c:pt>
                <c:pt idx="196">
                  <c:v>1.3000133313499613E-4</c:v>
                </c:pt>
                <c:pt idx="197">
                  <c:v>1.4052907903224304E-4</c:v>
                </c:pt>
                <c:pt idx="198">
                  <c:v>1.5027442899248573E-4</c:v>
                </c:pt>
                <c:pt idx="199">
                  <c:v>1.5922553119119298E-4</c:v>
                </c:pt>
                <c:pt idx="200">
                  <c:v>1.6737093403354345E-4</c:v>
                </c:pt>
                <c:pt idx="201">
                  <c:v>1.7469955523105295E-4</c:v>
                </c:pt>
                <c:pt idx="202">
                  <c:v>1.8120065069674807E-4</c:v>
                </c:pt>
                <c:pt idx="203">
                  <c:v>1.868637837492958E-4</c:v>
                </c:pt>
                <c:pt idx="204">
                  <c:v>1.9167934769921403E-4</c:v>
                </c:pt>
                <c:pt idx="205">
                  <c:v>1.9499459244327509E-4</c:v>
                </c:pt>
                <c:pt idx="206">
                  <c:v>1.9657490196092449E-4</c:v>
                </c:pt>
                <c:pt idx="207">
                  <c:v>1.96402835906621E-4</c:v>
                </c:pt>
                <c:pt idx="208">
                  <c:v>1.9446114682694266E-4</c:v>
                </c:pt>
                <c:pt idx="209">
                  <c:v>1.907327275244089E-4</c:v>
                </c:pt>
                <c:pt idx="210">
                  <c:v>1.8520056287626828E-4</c:v>
                </c:pt>
                <c:pt idx="211">
                  <c:v>1.7816936146557467E-4</c:v>
                </c:pt>
                <c:pt idx="212">
                  <c:v>1.7074824758532683E-4</c:v>
                </c:pt>
                <c:pt idx="213">
                  <c:v>1.6293501829979439E-4</c:v>
                </c:pt>
                <c:pt idx="214">
                  <c:v>1.5472735830241059E-4</c:v>
                </c:pt>
                <c:pt idx="215">
                  <c:v>1.4612284158271077E-4</c:v>
                </c:pt>
                <c:pt idx="216">
                  <c:v>1.3711893412255962E-4</c:v>
                </c:pt>
                <c:pt idx="217">
                  <c:v>1.2771299750092454E-4</c:v>
                </c:pt>
                <c:pt idx="218">
                  <c:v>1.1790181788169344E-4</c:v>
                </c:pt>
                <c:pt idx="219">
                  <c:v>1.0794227341728712E-4</c:v>
                </c:pt>
                <c:pt idx="220">
                  <c:v>9.8509111640599056E-5</c:v>
                </c:pt>
                <c:pt idx="221">
                  <c:v>8.9608385654233103E-5</c:v>
                </c:pt>
                <c:pt idx="222">
                  <c:v>8.1246042100616885E-5</c:v>
                </c:pt>
                <c:pt idx="223">
                  <c:v>7.3427940933527423E-5</c:v>
                </c:pt>
                <c:pt idx="224">
                  <c:v>6.6159874050172085E-5</c:v>
                </c:pt>
                <c:pt idx="225">
                  <c:v>5.9621395879067555E-5</c:v>
                </c:pt>
                <c:pt idx="226">
                  <c:v>5.3481363486176086E-5</c:v>
                </c:pt>
                <c:pt idx="227">
                  <c:v>4.7743752882602853E-5</c:v>
                </c:pt>
                <c:pt idx="228">
                  <c:v>4.2412530505935025E-5</c:v>
                </c:pt>
                <c:pt idx="229">
                  <c:v>3.7491663654948898E-5</c:v>
                </c:pt>
                <c:pt idx="230">
                  <c:v>3.29851304373365E-5</c:v>
                </c:pt>
                <c:pt idx="231">
                  <c:v>2.8896929308837679E-5</c:v>
                </c:pt>
                <c:pt idx="232">
                  <c:v>2.5230118615431768E-5</c:v>
                </c:pt>
                <c:pt idx="233">
                  <c:v>2.2092734355505904E-5</c:v>
                </c:pt>
                <c:pt idx="234">
                  <c:v>1.9218171993593194E-5</c:v>
                </c:pt>
                <c:pt idx="235">
                  <c:v>1.6609539126699796E-5</c:v>
                </c:pt>
                <c:pt idx="236">
                  <c:v>1.4269761463842698E-5</c:v>
                </c:pt>
                <c:pt idx="237">
                  <c:v>1.2201607773046648E-5</c:v>
                </c:pt>
                <c:pt idx="238">
                  <c:v>1.0407744753769647E-5</c:v>
                </c:pt>
                <c:pt idx="239">
                  <c:v>8.9305900276375126E-6</c:v>
                </c:pt>
                <c:pt idx="240">
                  <c:v>7.5909365570043876E-6</c:v>
                </c:pt>
                <c:pt idx="241">
                  <c:v>6.3900184501000477E-6</c:v>
                </c:pt>
                <c:pt idx="242">
                  <c:v>5.3290592743503724E-6</c:v>
                </c:pt>
                <c:pt idx="243">
                  <c:v>4.4092949335951232E-6</c:v>
                </c:pt>
                <c:pt idx="244">
                  <c:v>3.6319973468007206E-6</c:v>
                </c:pt>
                <c:pt idx="245">
                  <c:v>2.9984990225694626E-6</c:v>
                </c:pt>
                <c:pt idx="246">
                  <c:v>2.5101606826458876E-6</c:v>
                </c:pt>
                <c:pt idx="247">
                  <c:v>2.2015873062610976E-6</c:v>
                </c:pt>
                <c:pt idx="248">
                  <c:v>1.9651409772989932E-6</c:v>
                </c:pt>
                <c:pt idx="249">
                  <c:v>1.8016479706828909E-6</c:v>
                </c:pt>
                <c:pt idx="250">
                  <c:v>1.7119903488712793E-6</c:v>
                </c:pt>
                <c:pt idx="251">
                  <c:v>1.6971013858607412E-6</c:v>
                </c:pt>
                <c:pt idx="252">
                  <c:v>1.7579606797639965E-6</c:v>
                </c:pt>
                <c:pt idx="253">
                  <c:v>1.934059027884562E-6</c:v>
                </c:pt>
                <c:pt idx="254">
                  <c:v>2.1847437572951595E-6</c:v>
                </c:pt>
                <c:pt idx="255">
                  <c:v>2.5110701467300364E-6</c:v>
                </c:pt>
                <c:pt idx="256">
                  <c:v>2.914112998600164E-6</c:v>
                </c:pt>
                <c:pt idx="257">
                  <c:v>3.3949598911836507E-6</c:v>
                </c:pt>
                <c:pt idx="258">
                  <c:v>3.954703917645097E-6</c:v>
                </c:pt>
                <c:pt idx="259">
                  <c:v>4.5944358885453378E-6</c:v>
                </c:pt>
                <c:pt idx="260">
                  <c:v>5.3155556421073803E-6</c:v>
                </c:pt>
                <c:pt idx="261">
                  <c:v>6.7465482266856943E-6</c:v>
                </c:pt>
                <c:pt idx="262">
                  <c:v>8.8628746764481977E-6</c:v>
                </c:pt>
                <c:pt idx="263">
                  <c:v>1.1675326553629172E-5</c:v>
                </c:pt>
                <c:pt idx="264">
                  <c:v>1.5194897745724438E-5</c:v>
                </c:pt>
                <c:pt idx="265">
                  <c:v>1.94327624687352E-5</c:v>
                </c:pt>
                <c:pt idx="266">
                  <c:v>2.4400078401822164E-5</c:v>
                </c:pt>
                <c:pt idx="267">
                  <c:v>3.0593343099773395E-5</c:v>
                </c:pt>
                <c:pt idx="268">
                  <c:v>3.798915860441088E-5</c:v>
                </c:pt>
                <c:pt idx="269">
                  <c:v>4.6604377138885479E-5</c:v>
                </c:pt>
                <c:pt idx="270">
                  <c:v>5.6454992381644808E-5</c:v>
                </c:pt>
                <c:pt idx="271">
                  <c:v>6.7555834640714709E-5</c:v>
                </c:pt>
                <c:pt idx="272">
                  <c:v>7.9920249854264808E-5</c:v>
                </c:pt>
                <c:pt idx="273">
                  <c:v>9.3559763262806179E-5</c:v>
                </c:pt>
                <c:pt idx="274">
                  <c:v>1.0848900453760297E-4</c:v>
                </c:pt>
                <c:pt idx="275">
                  <c:v>1.2370024532993356E-4</c:v>
                </c:pt>
                <c:pt idx="276">
                  <c:v>1.3851614083361694E-4</c:v>
                </c:pt>
                <c:pt idx="277">
                  <c:v>1.5292637204295209E-4</c:v>
                </c:pt>
                <c:pt idx="278">
                  <c:v>1.66920641391865E-4</c:v>
                </c:pt>
                <c:pt idx="279">
                  <c:v>1.804887092641704E-4</c:v>
                </c:pt>
                <c:pt idx="280">
                  <c:v>1.936204316989612E-4</c:v>
                </c:pt>
                <c:pt idx="281">
                  <c:v>2.0538323980104603E-4</c:v>
                </c:pt>
                <c:pt idx="282">
                  <c:v>2.1523636648876018E-4</c:v>
                </c:pt>
                <c:pt idx="283">
                  <c:v>2.2315357287533695E-4</c:v>
                </c:pt>
                <c:pt idx="284">
                  <c:v>2.2910953682402354E-4</c:v>
                </c:pt>
                <c:pt idx="285">
                  <c:v>2.3307990921522787E-4</c:v>
                </c:pt>
                <c:pt idx="286">
                  <c:v>2.3504135904786464E-4</c:v>
                </c:pt>
                <c:pt idx="287">
                  <c:v>2.349716059332298E-4</c:v>
                </c:pt>
                <c:pt idx="288">
                  <c:v>2.3285491826594996E-4</c:v>
                </c:pt>
                <c:pt idx="289">
                  <c:v>2.2898034490422361E-4</c:v>
                </c:pt>
                <c:pt idx="290">
                  <c:v>2.244165232005412E-4</c:v>
                </c:pt>
                <c:pt idx="291">
                  <c:v>2.1915602971212252E-4</c:v>
                </c:pt>
                <c:pt idx="292">
                  <c:v>2.1319184334171523E-4</c:v>
                </c:pt>
                <c:pt idx="293">
                  <c:v>2.0651739812789066E-4</c:v>
                </c:pt>
                <c:pt idx="294">
                  <c:v>1.9912663471482279E-4</c:v>
                </c:pt>
                <c:pt idx="295">
                  <c:v>1.9148964118974592E-4</c:v>
                </c:pt>
                <c:pt idx="296">
                  <c:v>1.8457868832833936E-4</c:v>
                </c:pt>
                <c:pt idx="297">
                  <c:v>1.7840258208658093E-4</c:v>
                </c:pt>
                <c:pt idx="298">
                  <c:v>1.7296832240117898E-4</c:v>
                </c:pt>
                <c:pt idx="299">
                  <c:v>1.6828268930944881E-4</c:v>
                </c:pt>
                <c:pt idx="300">
                  <c:v>1.6435218195038205E-4</c:v>
                </c:pt>
                <c:pt idx="301">
                  <c:v>1.6118295819684514E-4</c:v>
                </c:pt>
                <c:pt idx="302">
                  <c:v>1.5878988254134765E-4</c:v>
                </c:pt>
                <c:pt idx="303">
                  <c:v>1.5743927567843757E-4</c:v>
                </c:pt>
                <c:pt idx="304">
                  <c:v>1.568188953504593E-4</c:v>
                </c:pt>
                <c:pt idx="305">
                  <c:v>1.569332950023173E-4</c:v>
                </c:pt>
                <c:pt idx="306">
                  <c:v>1.5778698518122489E-4</c:v>
                </c:pt>
                <c:pt idx="307">
                  <c:v>1.5938440186751246E-4</c:v>
                </c:pt>
                <c:pt idx="308">
                  <c:v>1.6172987317379322E-4</c:v>
                </c:pt>
                <c:pt idx="309">
                  <c:v>1.6507569259498886E-4</c:v>
                </c:pt>
                <c:pt idx="310">
                  <c:v>1.6893452492224446E-4</c:v>
                </c:pt>
                <c:pt idx="311">
                  <c:v>1.733085793508753E-4</c:v>
                </c:pt>
                <c:pt idx="312">
                  <c:v>1.7819983892335009E-4</c:v>
                </c:pt>
                <c:pt idx="313">
                  <c:v>1.8361001824712602E-4</c:v>
                </c:pt>
                <c:pt idx="314">
                  <c:v>1.8954051625811151E-4</c:v>
                </c:pt>
                <c:pt idx="315">
                  <c:v>1.959923634237648E-4</c:v>
                </c:pt>
                <c:pt idx="316">
                  <c:v>2.0297478222770147E-4</c:v>
                </c:pt>
                <c:pt idx="317">
                  <c:v>2.1057114988477511E-4</c:v>
                </c:pt>
                <c:pt idx="318">
                  <c:v>2.1852664249763073E-4</c:v>
                </c:pt>
                <c:pt idx="319">
                  <c:v>2.2684505460901654E-4</c:v>
                </c:pt>
                <c:pt idx="320">
                  <c:v>2.3553031392666712E-4</c:v>
                </c:pt>
                <c:pt idx="321">
                  <c:v>2.4458646374441936E-4</c:v>
                </c:pt>
                <c:pt idx="322">
                  <c:v>2.5401764015624235E-4</c:v>
                </c:pt>
                <c:pt idx="323">
                  <c:v>2.634092495918385E-4</c:v>
                </c:pt>
                <c:pt idx="324">
                  <c:v>2.7250694466456602E-4</c:v>
                </c:pt>
                <c:pt idx="325">
                  <c:v>2.8131027309773529E-4</c:v>
                </c:pt>
                <c:pt idx="326">
                  <c:v>2.8981668640468041E-4</c:v>
                </c:pt>
                <c:pt idx="327">
                  <c:v>2.9802432445881792E-4</c:v>
                </c:pt>
                <c:pt idx="328">
                  <c:v>3.0593245057129287E-4</c:v>
                </c:pt>
                <c:pt idx="329">
                  <c:v>3.13540001520045E-4</c:v>
                </c:pt>
                <c:pt idx="330">
                  <c:v>3.2088684888716135E-4</c:v>
                </c:pt>
                <c:pt idx="331">
                  <c:v>3.2763273164167954E-4</c:v>
                </c:pt>
                <c:pt idx="332">
                  <c:v>3.3368669902246966E-4</c:v>
                </c:pt>
                <c:pt idx="333">
                  <c:v>3.3902812604730525E-4</c:v>
                </c:pt>
                <c:pt idx="334">
                  <c:v>3.4363350081636059E-4</c:v>
                </c:pt>
                <c:pt idx="335">
                  <c:v>3.4747673255693063E-4</c:v>
                </c:pt>
                <c:pt idx="336">
                  <c:v>3.5052951961857259E-4</c:v>
                </c:pt>
                <c:pt idx="337">
                  <c:v>3.5291652021690552E-4</c:v>
                </c:pt>
                <c:pt idx="338">
                  <c:v>3.5504505062768928E-4</c:v>
                </c:pt>
                <c:pt idx="339">
                  <c:v>3.5688850079278276E-4</c:v>
                </c:pt>
                <c:pt idx="340">
                  <c:v>3.5841929952819512E-4</c:v>
                </c:pt>
                <c:pt idx="341">
                  <c:v>3.5960921212392828E-4</c:v>
                </c:pt>
                <c:pt idx="342">
                  <c:v>3.6042969065447469E-4</c:v>
                </c:pt>
                <c:pt idx="343">
                  <c:v>3.6085227571852564E-4</c:v>
                </c:pt>
                <c:pt idx="344">
                  <c:v>3.609115661654619E-4</c:v>
                </c:pt>
                <c:pt idx="345">
                  <c:v>3.6065575047893148E-4</c:v>
                </c:pt>
                <c:pt idx="346">
                  <c:v>3.6044459690168343E-4</c:v>
                </c:pt>
                <c:pt idx="347">
                  <c:v>3.6027167700731008E-4</c:v>
                </c:pt>
                <c:pt idx="348">
                  <c:v>3.6013049319135907E-4</c:v>
                </c:pt>
                <c:pt idx="349">
                  <c:v>3.6001451532348411E-4</c:v>
                </c:pt>
                <c:pt idx="350">
                  <c:v>3.5991721907837769E-4</c:v>
                </c:pt>
                <c:pt idx="351">
                  <c:v>3.5981118736122823E-4</c:v>
                </c:pt>
                <c:pt idx="352">
                  <c:v>3.5953271579369631E-4</c:v>
                </c:pt>
                <c:pt idx="353">
                  <c:v>3.5907636078241214E-4</c:v>
                </c:pt>
                <c:pt idx="354">
                  <c:v>3.5843726284773882E-4</c:v>
                </c:pt>
                <c:pt idx="355">
                  <c:v>3.5761120755646439E-4</c:v>
                </c:pt>
                <c:pt idx="356">
                  <c:v>3.5659344560791823E-4</c:v>
                </c:pt>
                <c:pt idx="357">
                  <c:v>3.55381969124909E-4</c:v>
                </c:pt>
                <c:pt idx="358">
                  <c:v>3.5394167655713706E-4</c:v>
                </c:pt>
                <c:pt idx="359">
                  <c:v>3.5225338147979493E-4</c:v>
                </c:pt>
                <c:pt idx="360">
                  <c:v>3.5049110095918765E-4</c:v>
                </c:pt>
                <c:pt idx="361">
                  <c:v>3.4869343613512044E-4</c:v>
                </c:pt>
                <c:pt idx="362">
                  <c:v>3.4687803597458557E-4</c:v>
                </c:pt>
                <c:pt idx="363">
                  <c:v>3.4506208173186448E-4</c:v>
                </c:pt>
                <c:pt idx="364">
                  <c:v>3.4326219892773626E-4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926976"/>
        <c:axId val="545927368"/>
      </c:lineChart>
      <c:dateAx>
        <c:axId val="5459269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7368"/>
        <c:crosses val="autoZero"/>
        <c:auto val="1"/>
        <c:lblOffset val="100"/>
        <c:baseTimeUnit val="days"/>
        <c:majorUnit val="1"/>
        <c:majorTimeUnit val="months"/>
      </c:dateAx>
      <c:valAx>
        <c:axId val="5459273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69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Garderie Labège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4656.7264910671083</c:v>
                </c:pt>
                <c:pt idx="1">
                  <c:v>12138.62332403917</c:v>
                </c:pt>
                <c:pt idx="2">
                  <c:v>11911.80531723795</c:v>
                </c:pt>
                <c:pt idx="3">
                  <c:v>11682.677758308591</c:v>
                </c:pt>
                <c:pt idx="4">
                  <c:v>11901.425584561483</c:v>
                </c:pt>
                <c:pt idx="5">
                  <c:v>11901.257789817342</c:v>
                </c:pt>
                <c:pt idx="6">
                  <c:v>11917.711751335593</c:v>
                </c:pt>
                <c:pt idx="7">
                  <c:v>11901.634982813273</c:v>
                </c:pt>
                <c:pt idx="8">
                  <c:v>11901.814759230418</c:v>
                </c:pt>
                <c:pt idx="9">
                  <c:v>11901.709115782414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4646.0010117352376</c:v>
                </c:pt>
                <c:pt idx="1">
                  <c:v>12037.717645415187</c:v>
                </c:pt>
                <c:pt idx="2">
                  <c:v>11718.732928545838</c:v>
                </c:pt>
                <c:pt idx="3">
                  <c:v>11400.852731838269</c:v>
                </c:pt>
                <c:pt idx="4">
                  <c:v>11521.945800363235</c:v>
                </c:pt>
                <c:pt idx="5">
                  <c:v>11429.947250802241</c:v>
                </c:pt>
                <c:pt idx="6">
                  <c:v>11354.114625867951</c:v>
                </c:pt>
                <c:pt idx="7">
                  <c:v>11248.846149996632</c:v>
                </c:pt>
                <c:pt idx="8">
                  <c:v>11159.108403354585</c:v>
                </c:pt>
                <c:pt idx="9">
                  <c:v>11070.492396164091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4615.3260000000028</c:v>
                </c:pt>
                <c:pt idx="1">
                  <c:v>11784.139000000005</c:v>
                </c:pt>
                <c:pt idx="2">
                  <c:v>11260.48499999999</c:v>
                </c:pt>
                <c:pt idx="3">
                  <c:v>11120.094999999999</c:v>
                </c:pt>
                <c:pt idx="4">
                  <c:v>11067.523499999998</c:v>
                </c:pt>
                <c:pt idx="5">
                  <c:v>10724.292534638575</c:v>
                </c:pt>
                <c:pt idx="6">
                  <c:v>11018.344180386423</c:v>
                </c:pt>
                <c:pt idx="7">
                  <c:v>10803.451919006833</c:v>
                </c:pt>
                <c:pt idx="8">
                  <c:v>10883.132971106836</c:v>
                </c:pt>
                <c:pt idx="9">
                  <c:v>10632.237283248156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4615.3260000000028</c:v>
                </c:pt>
                <c:pt idx="1">
                  <c:v>11784.139000000005</c:v>
                </c:pt>
                <c:pt idx="2">
                  <c:v>11260.48499999999</c:v>
                </c:pt>
                <c:pt idx="3">
                  <c:v>10712.774155783294</c:v>
                </c:pt>
                <c:pt idx="4">
                  <c:v>10655.940775811077</c:v>
                </c:pt>
                <c:pt idx="5">
                  <c:v>10431.741431172484</c:v>
                </c:pt>
                <c:pt idx="6">
                  <c:v>10427.281071616544</c:v>
                </c:pt>
                <c:pt idx="7">
                  <c:v>10271.673487317983</c:v>
                </c:pt>
                <c:pt idx="8">
                  <c:v>10375.042161077745</c:v>
                </c:pt>
                <c:pt idx="9">
                  <c:v>10233.276145562351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407.63927244838794</c:v>
                </c:pt>
                <c:pt idx="4">
                  <c:v>411.53238463052907</c:v>
                </c:pt>
                <c:pt idx="5">
                  <c:v>292.51348984593392</c:v>
                </c:pt>
                <c:pt idx="6">
                  <c:v>591.34644106767382</c:v>
                </c:pt>
                <c:pt idx="7">
                  <c:v>529.83868230005851</c:v>
                </c:pt>
                <c:pt idx="8">
                  <c:v>505.31533849794596</c:v>
                </c:pt>
                <c:pt idx="9">
                  <c:v>395.58962406000563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-2.4040267854287145E-2</c:v>
                </c:pt>
                <c:pt idx="4">
                  <c:v>-3.7400982235009206E-2</c:v>
                </c:pt>
                <c:pt idx="5">
                  <c:v>-3.5212085933628678E-2</c:v>
                </c:pt>
                <c:pt idx="6">
                  <c:v>-9.6937171352466267E-2</c:v>
                </c:pt>
                <c:pt idx="7">
                  <c:v>1.6877102058504887</c:v>
                </c:pt>
                <c:pt idx="8">
                  <c:v>2.6146527978014884</c:v>
                </c:pt>
                <c:pt idx="9">
                  <c:v>3.0572681411803653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677872"/>
        <c:axId val="489678264"/>
      </c:lineChart>
      <c:catAx>
        <c:axId val="489677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8264"/>
        <c:crosses val="autoZero"/>
        <c:auto val="1"/>
        <c:lblAlgn val="ctr"/>
        <c:lblOffset val="100"/>
        <c:noMultiLvlLbl val="0"/>
      </c:catAx>
      <c:valAx>
        <c:axId val="489678264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7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2.8135955875915553E-2</c:v>
                </c:pt>
                <c:pt idx="1">
                  <c:v>2.8157242192705101E-2</c:v>
                </c:pt>
                <c:pt idx="2">
                  <c:v>2.8178528043269813E-2</c:v>
                </c:pt>
                <c:pt idx="3">
                  <c:v>2.819981342761968E-2</c:v>
                </c:pt>
                <c:pt idx="4">
                  <c:v>2.8221098345765139E-2</c:v>
                </c:pt>
                <c:pt idx="5">
                  <c:v>2.824238279771607E-2</c:v>
                </c:pt>
                <c:pt idx="6">
                  <c:v>2.8263666783483021E-2</c:v>
                </c:pt>
                <c:pt idx="7">
                  <c:v>2.8284950303075984E-2</c:v>
                </c:pt>
                <c:pt idx="8">
                  <c:v>2.8306233356505284E-2</c:v>
                </c:pt>
                <c:pt idx="9">
                  <c:v>2.8327515943781134E-2</c:v>
                </c:pt>
                <c:pt idx="10">
                  <c:v>2.8348798064913638E-2</c:v>
                </c:pt>
                <c:pt idx="11">
                  <c:v>2.8370079719913122E-2</c:v>
                </c:pt>
                <c:pt idx="12">
                  <c:v>2.8391360908789687E-2</c:v>
                </c:pt>
                <c:pt idx="13">
                  <c:v>2.8412641631553659E-2</c:v>
                </c:pt>
                <c:pt idx="14">
                  <c:v>2.8433921888215141E-2</c:v>
                </c:pt>
                <c:pt idx="15">
                  <c:v>2.8455201678784348E-2</c:v>
                </c:pt>
                <c:pt idx="16">
                  <c:v>2.8476481003271603E-2</c:v>
                </c:pt>
                <c:pt idx="17">
                  <c:v>2.8497759861687011E-2</c:v>
                </c:pt>
                <c:pt idx="18">
                  <c:v>2.8519038254040785E-2</c:v>
                </c:pt>
                <c:pt idx="19">
                  <c:v>2.854031618034325E-2</c:v>
                </c:pt>
                <c:pt idx="20">
                  <c:v>2.8561593640604399E-2</c:v>
                </c:pt>
                <c:pt idx="21">
                  <c:v>2.8582870634834667E-2</c:v>
                </c:pt>
                <c:pt idx="22">
                  <c:v>2.8604147163044047E-2</c:v>
                </c:pt>
                <c:pt idx="23">
                  <c:v>2.8625423225242974E-2</c:v>
                </c:pt>
                <c:pt idx="24">
                  <c:v>2.8646698821441441E-2</c:v>
                </c:pt>
                <c:pt idx="25">
                  <c:v>2.8667973951649772E-2</c:v>
                </c:pt>
                <c:pt idx="26">
                  <c:v>2.8689248615878182E-2</c:v>
                </c:pt>
                <c:pt idx="27">
                  <c:v>2.8710522814136885E-2</c:v>
                </c:pt>
                <c:pt idx="28">
                  <c:v>2.8731796546435984E-2</c:v>
                </c:pt>
                <c:pt idx="29">
                  <c:v>2.8753069812785692E-2</c:v>
                </c:pt>
                <c:pt idx="30">
                  <c:v>2.8774342613196335E-2</c:v>
                </c:pt>
                <c:pt idx="31">
                  <c:v>2.8795614947678017E-2</c:v>
                </c:pt>
                <c:pt idx="32">
                  <c:v>2.8816886816241061E-2</c:v>
                </c:pt>
                <c:pt idx="33">
                  <c:v>2.8838158218895571E-2</c:v>
                </c:pt>
                <c:pt idx="34">
                  <c:v>2.8859429155651761E-2</c:v>
                </c:pt>
                <c:pt idx="35">
                  <c:v>2.8880699626519735E-2</c:v>
                </c:pt>
                <c:pt idx="36">
                  <c:v>2.8901969631509927E-2</c:v>
                </c:pt>
                <c:pt idx="37">
                  <c:v>2.8923239170632442E-2</c:v>
                </c:pt>
                <c:pt idx="38">
                  <c:v>2.8944508243897382E-2</c:v>
                </c:pt>
                <c:pt idx="39">
                  <c:v>2.8965776851315073E-2</c:v>
                </c:pt>
                <c:pt idx="40">
                  <c:v>2.8987044992895616E-2</c:v>
                </c:pt>
                <c:pt idx="41">
                  <c:v>2.9008312668649339E-2</c:v>
                </c:pt>
                <c:pt idx="42">
                  <c:v>2.9029579878586453E-2</c:v>
                </c:pt>
                <c:pt idx="43">
                  <c:v>2.9050846622716953E-2</c:v>
                </c:pt>
                <c:pt idx="44">
                  <c:v>2.9072112901051272E-2</c:v>
                </c:pt>
                <c:pt idx="45">
                  <c:v>2.9093378713599405E-2</c:v>
                </c:pt>
                <c:pt idx="46">
                  <c:v>2.9114644060371786E-2</c:v>
                </c:pt>
                <c:pt idx="47">
                  <c:v>2.9135908941378408E-2</c:v>
                </c:pt>
                <c:pt idx="48">
                  <c:v>2.9157173356629595E-2</c:v>
                </c:pt>
                <c:pt idx="49">
                  <c:v>2.9178437306135563E-2</c:v>
                </c:pt>
                <c:pt idx="50">
                  <c:v>2.9199700789906413E-2</c:v>
                </c:pt>
                <c:pt idx="51">
                  <c:v>2.922096380795236E-2</c:v>
                </c:pt>
                <c:pt idx="52">
                  <c:v>2.924222636028373E-2</c:v>
                </c:pt>
                <c:pt idx="53">
                  <c:v>2.9263488446910513E-2</c:v>
                </c:pt>
                <c:pt idx="54">
                  <c:v>2.9284750067843146E-2</c:v>
                </c:pt>
                <c:pt idx="55">
                  <c:v>2.9306011223091732E-2</c:v>
                </c:pt>
                <c:pt idx="56">
                  <c:v>2.9327271912666375E-2</c:v>
                </c:pt>
                <c:pt idx="57">
                  <c:v>2.9348532136577399E-2</c:v>
                </c:pt>
                <c:pt idx="58">
                  <c:v>2.9369791894834907E-2</c:v>
                </c:pt>
                <c:pt idx="59">
                  <c:v>2.9391051187449113E-2</c:v>
                </c:pt>
                <c:pt idx="60">
                  <c:v>2.9412310014430343E-2</c:v>
                </c:pt>
                <c:pt idx="61">
                  <c:v>2.9433568375788699E-2</c:v>
                </c:pt>
                <c:pt idx="62">
                  <c:v>2.9454826271534285E-2</c:v>
                </c:pt>
                <c:pt idx="63">
                  <c:v>2.9476083701677536E-2</c:v>
                </c:pt>
                <c:pt idx="64">
                  <c:v>2.9497340666228444E-2</c:v>
                </c:pt>
                <c:pt idx="65">
                  <c:v>2.9518597165197225E-2</c:v>
                </c:pt>
                <c:pt idx="66">
                  <c:v>2.9539853198594201E-2</c:v>
                </c:pt>
                <c:pt idx="67">
                  <c:v>2.9561108766429478E-2</c:v>
                </c:pt>
                <c:pt idx="68">
                  <c:v>2.9582363868713268E-2</c:v>
                </c:pt>
                <c:pt idx="69">
                  <c:v>2.9603618505455676E-2</c:v>
                </c:pt>
                <c:pt idx="70">
                  <c:v>2.9624872676667136E-2</c:v>
                </c:pt>
                <c:pt idx="71">
                  <c:v>2.964612638235764E-2</c:v>
                </c:pt>
                <c:pt idx="72">
                  <c:v>2.9667379622537404E-2</c:v>
                </c:pt>
                <c:pt idx="73">
                  <c:v>2.9688632397216641E-2</c:v>
                </c:pt>
                <c:pt idx="74">
                  <c:v>2.9709884706405676E-2</c:v>
                </c:pt>
                <c:pt idx="75">
                  <c:v>2.9731136550114501E-2</c:v>
                </c:pt>
                <c:pt idx="76">
                  <c:v>2.9752387928353441E-2</c:v>
                </c:pt>
                <c:pt idx="77">
                  <c:v>2.977363884113271E-2</c:v>
                </c:pt>
                <c:pt idx="78">
                  <c:v>2.9794889288462412E-2</c:v>
                </c:pt>
                <c:pt idx="79">
                  <c:v>2.9816139270352759E-2</c:v>
                </c:pt>
                <c:pt idx="80">
                  <c:v>2.9837388786813968E-2</c:v>
                </c:pt>
                <c:pt idx="81">
                  <c:v>2.985863783785625E-2</c:v>
                </c:pt>
                <c:pt idx="82">
                  <c:v>2.9879886423489821E-2</c:v>
                </c:pt>
                <c:pt idx="83">
                  <c:v>2.9901134543724783E-2</c:v>
                </c:pt>
                <c:pt idx="84">
                  <c:v>2.9922382198571351E-2</c:v>
                </c:pt>
                <c:pt idx="85">
                  <c:v>2.9943629388039739E-2</c:v>
                </c:pt>
                <c:pt idx="86">
                  <c:v>2.9964876112140271E-2</c:v>
                </c:pt>
                <c:pt idx="87">
                  <c:v>2.9986122370882939E-2</c:v>
                </c:pt>
                <c:pt idx="88">
                  <c:v>3.0007368164277959E-2</c:v>
                </c:pt>
                <c:pt idx="89">
                  <c:v>3.0028613492335654E-2</c:v>
                </c:pt>
                <c:pt idx="90">
                  <c:v>3.0049858355066128E-2</c:v>
                </c:pt>
                <c:pt idx="91">
                  <c:v>3.0071102752479484E-2</c:v>
                </c:pt>
                <c:pt idx="92">
                  <c:v>3.0092346684586158E-2</c:v>
                </c:pt>
                <c:pt idx="93">
                  <c:v>3.0113590151396141E-2</c:v>
                </c:pt>
                <c:pt idx="94">
                  <c:v>3.0134833152919649E-2</c:v>
                </c:pt>
                <c:pt idx="95">
                  <c:v>3.0156075689166895E-2</c:v>
                </c:pt>
                <c:pt idx="96">
                  <c:v>3.0177317760148203E-2</c:v>
                </c:pt>
                <c:pt idx="97">
                  <c:v>3.0198559365873567E-2</c:v>
                </c:pt>
                <c:pt idx="98">
                  <c:v>3.02198005063532E-2</c:v>
                </c:pt>
                <c:pt idx="99">
                  <c:v>3.0241041181597428E-2</c:v>
                </c:pt>
                <c:pt idx="100">
                  <c:v>3.0262281391616241E-2</c:v>
                </c:pt>
                <c:pt idx="101">
                  <c:v>3.0283521136420077E-2</c:v>
                </c:pt>
                <c:pt idx="102">
                  <c:v>3.0304760416018928E-2</c:v>
                </c:pt>
                <c:pt idx="103">
                  <c:v>3.0325999230423006E-2</c:v>
                </c:pt>
                <c:pt idx="104">
                  <c:v>3.0347237579642639E-2</c:v>
                </c:pt>
                <c:pt idx="105">
                  <c:v>3.0368475463687816E-2</c:v>
                </c:pt>
                <c:pt idx="106">
                  <c:v>3.0389712882568864E-2</c:v>
                </c:pt>
                <c:pt idx="107">
                  <c:v>3.0410949836295886E-2</c:v>
                </c:pt>
                <c:pt idx="108">
                  <c:v>3.0432186324879207E-2</c:v>
                </c:pt>
                <c:pt idx="109">
                  <c:v>3.0453422348328929E-2</c:v>
                </c:pt>
                <c:pt idx="110">
                  <c:v>3.0474657906655156E-2</c:v>
                </c:pt>
                <c:pt idx="111">
                  <c:v>3.0495892999868213E-2</c:v>
                </c:pt>
                <c:pt idx="112">
                  <c:v>3.0517127627978202E-2</c:v>
                </c:pt>
                <c:pt idx="113">
                  <c:v>3.0538361790995339E-2</c:v>
                </c:pt>
                <c:pt idx="114">
                  <c:v>3.0559595488929836E-2</c:v>
                </c:pt>
                <c:pt idx="115">
                  <c:v>3.0580828721791908E-2</c:v>
                </c:pt>
                <c:pt idx="116">
                  <c:v>3.0602061489591548E-2</c:v>
                </c:pt>
                <c:pt idx="117">
                  <c:v>3.062329379233919E-2</c:v>
                </c:pt>
                <c:pt idx="118">
                  <c:v>3.0644525630044828E-2</c:v>
                </c:pt>
                <c:pt idx="119">
                  <c:v>3.0665757002718785E-2</c:v>
                </c:pt>
                <c:pt idx="120">
                  <c:v>3.0686987910371166E-2</c:v>
                </c:pt>
                <c:pt idx="121">
                  <c:v>3.0708218353012184E-2</c:v>
                </c:pt>
                <c:pt idx="122">
                  <c:v>3.0729448330652054E-2</c:v>
                </c:pt>
                <c:pt idx="123">
                  <c:v>3.0750677843300989E-2</c:v>
                </c:pt>
                <c:pt idx="124">
                  <c:v>3.0771906890968981E-2</c:v>
                </c:pt>
                <c:pt idx="125">
                  <c:v>3.0793135473666355E-2</c:v>
                </c:pt>
                <c:pt idx="126">
                  <c:v>3.0814363591403326E-2</c:v>
                </c:pt>
                <c:pt idx="127">
                  <c:v>3.0835591244190108E-2</c:v>
                </c:pt>
                <c:pt idx="128">
                  <c:v>3.0856818432036692E-2</c:v>
                </c:pt>
                <c:pt idx="129">
                  <c:v>3.0878045154953515E-2</c:v>
                </c:pt>
                <c:pt idx="130">
                  <c:v>3.0899271412950458E-2</c:v>
                </c:pt>
                <c:pt idx="131">
                  <c:v>3.0920497206038067E-2</c:v>
                </c:pt>
                <c:pt idx="132">
                  <c:v>3.0941722534226224E-2</c:v>
                </c:pt>
                <c:pt idx="133">
                  <c:v>3.0962947397525253E-2</c:v>
                </c:pt>
                <c:pt idx="134">
                  <c:v>3.0984171795945259E-2</c:v>
                </c:pt>
                <c:pt idx="135">
                  <c:v>3.1005395729496454E-2</c:v>
                </c:pt>
                <c:pt idx="136">
                  <c:v>3.1026619198189054E-2</c:v>
                </c:pt>
                <c:pt idx="137">
                  <c:v>3.1047842202033271E-2</c:v>
                </c:pt>
                <c:pt idx="138">
                  <c:v>3.106906474103921E-2</c:v>
                </c:pt>
                <c:pt idx="139">
                  <c:v>3.1090286815217083E-2</c:v>
                </c:pt>
                <c:pt idx="140">
                  <c:v>3.1111508424576995E-2</c:v>
                </c:pt>
                <c:pt idx="141">
                  <c:v>3.1132729569129269E-2</c:v>
                </c:pt>
                <c:pt idx="142">
                  <c:v>3.115395024888401E-2</c:v>
                </c:pt>
                <c:pt idx="143">
                  <c:v>3.1175170463851432E-2</c:v>
                </c:pt>
                <c:pt idx="144">
                  <c:v>3.1196390214041636E-2</c:v>
                </c:pt>
                <c:pt idx="145">
                  <c:v>3.1217609499464949E-2</c:v>
                </c:pt>
                <c:pt idx="146">
                  <c:v>3.1238828320131362E-2</c:v>
                </c:pt>
                <c:pt idx="147">
                  <c:v>3.126004667605109E-2</c:v>
                </c:pt>
                <c:pt idx="148">
                  <c:v>3.1281264567234457E-2</c:v>
                </c:pt>
                <c:pt idx="149">
                  <c:v>3.1302481993691567E-2</c:v>
                </c:pt>
                <c:pt idx="150">
                  <c:v>3.1323698955432522E-2</c:v>
                </c:pt>
                <c:pt idx="151">
                  <c:v>3.1344915452467537E-2</c:v>
                </c:pt>
                <c:pt idx="152">
                  <c:v>3.1366131484806936E-2</c:v>
                </c:pt>
                <c:pt idx="153">
                  <c:v>3.1387347052460712E-2</c:v>
                </c:pt>
                <c:pt idx="154">
                  <c:v>3.1408562155439079E-2</c:v>
                </c:pt>
                <c:pt idx="155">
                  <c:v>3.1429776793752251E-2</c:v>
                </c:pt>
                <c:pt idx="156">
                  <c:v>3.1450990967410442E-2</c:v>
                </c:pt>
                <c:pt idx="157">
                  <c:v>3.1472204676423754E-2</c:v>
                </c:pt>
                <c:pt idx="158">
                  <c:v>3.1493417920802402E-2</c:v>
                </c:pt>
                <c:pt idx="159">
                  <c:v>3.1514630700556601E-2</c:v>
                </c:pt>
                <c:pt idx="160">
                  <c:v>3.1535843015696452E-2</c:v>
                </c:pt>
                <c:pt idx="161">
                  <c:v>3.1557054866232059E-2</c:v>
                </c:pt>
                <c:pt idx="162">
                  <c:v>3.1578266252173859E-2</c:v>
                </c:pt>
                <c:pt idx="163">
                  <c:v>3.1599477173531731E-2</c:v>
                </c:pt>
                <c:pt idx="164">
                  <c:v>3.1620687630316113E-2</c:v>
                </c:pt>
                <c:pt idx="165">
                  <c:v>3.1641897622536996E-2</c:v>
                </c:pt>
                <c:pt idx="166">
                  <c:v>3.1663107150204595E-2</c:v>
                </c:pt>
                <c:pt idx="167">
                  <c:v>3.1684316213329122E-2</c:v>
                </c:pt>
                <c:pt idx="168">
                  <c:v>3.1705524811920793E-2</c:v>
                </c:pt>
                <c:pt idx="169">
                  <c:v>3.17267329459896E-2</c:v>
                </c:pt>
                <c:pt idx="170">
                  <c:v>3.1747940615545978E-2</c:v>
                </c:pt>
                <c:pt idx="171">
                  <c:v>3.1769147820599919E-2</c:v>
                </c:pt>
                <c:pt idx="172">
                  <c:v>3.1790354561161638E-2</c:v>
                </c:pt>
                <c:pt idx="173">
                  <c:v>3.1811560837241237E-2</c:v>
                </c:pt>
                <c:pt idx="174">
                  <c:v>3.1832766648849042E-2</c:v>
                </c:pt>
                <c:pt idx="175">
                  <c:v>3.1853971995995156E-2</c:v>
                </c:pt>
                <c:pt idx="176">
                  <c:v>3.1875176878689682E-2</c:v>
                </c:pt>
                <c:pt idx="177">
                  <c:v>3.1896381296942944E-2</c:v>
                </c:pt>
                <c:pt idx="178">
                  <c:v>3.1917585250764935E-2</c:v>
                </c:pt>
                <c:pt idx="179">
                  <c:v>3.193878874016598E-2</c:v>
                </c:pt>
                <c:pt idx="180">
                  <c:v>3.1959991765156182E-2</c:v>
                </c:pt>
                <c:pt idx="181">
                  <c:v>3.1981194325745754E-2</c:v>
                </c:pt>
                <c:pt idx="182">
                  <c:v>3.2002396421944801E-2</c:v>
                </c:pt>
                <c:pt idx="183">
                  <c:v>3.2023598053763536E-2</c:v>
                </c:pt>
                <c:pt idx="184">
                  <c:v>3.2044799221212061E-2</c:v>
                </c:pt>
                <c:pt idx="185">
                  <c:v>3.2065999924300703E-2</c:v>
                </c:pt>
                <c:pt idx="186">
                  <c:v>3.2087200163039453E-2</c:v>
                </c:pt>
                <c:pt idx="187">
                  <c:v>3.2108399937438525E-2</c:v>
                </c:pt>
                <c:pt idx="188">
                  <c:v>3.2129599247508245E-2</c:v>
                </c:pt>
                <c:pt idx="189">
                  <c:v>3.2150798093258603E-2</c:v>
                </c:pt>
                <c:pt idx="190">
                  <c:v>3.2171996474699927E-2</c:v>
                </c:pt>
                <c:pt idx="191">
                  <c:v>3.2193194391842206E-2</c:v>
                </c:pt>
                <c:pt idx="192">
                  <c:v>3.2214391844695656E-2</c:v>
                </c:pt>
                <c:pt idx="193">
                  <c:v>3.2235588833270601E-2</c:v>
                </c:pt>
                <c:pt idx="194">
                  <c:v>3.2256785357577034E-2</c:v>
                </c:pt>
                <c:pt idx="195">
                  <c:v>3.2277981417625168E-2</c:v>
                </c:pt>
                <c:pt idx="196">
                  <c:v>3.2299177013425218E-2</c:v>
                </c:pt>
                <c:pt idx="197">
                  <c:v>3.2320372144987286E-2</c:v>
                </c:pt>
                <c:pt idx="198">
                  <c:v>3.2341566812321698E-2</c:v>
                </c:pt>
                <c:pt idx="199">
                  <c:v>3.2362761015438335E-2</c:v>
                </c:pt>
                <c:pt idx="200">
                  <c:v>3.2383954754347632E-2</c:v>
                </c:pt>
                <c:pt idx="201">
                  <c:v>3.2405148029059694E-2</c:v>
                </c:pt>
                <c:pt idx="202">
                  <c:v>3.2426340839584511E-2</c:v>
                </c:pt>
                <c:pt idx="203">
                  <c:v>3.244753318593252E-2</c:v>
                </c:pt>
                <c:pt idx="204">
                  <c:v>3.2468725068113713E-2</c:v>
                </c:pt>
                <c:pt idx="205">
                  <c:v>3.2489916486138193E-2</c:v>
                </c:pt>
                <c:pt idx="206">
                  <c:v>3.2511107440016396E-2</c:v>
                </c:pt>
                <c:pt idx="207">
                  <c:v>3.2532297929758203E-2</c:v>
                </c:pt>
                <c:pt idx="208">
                  <c:v>3.2553487955373939E-2</c:v>
                </c:pt>
                <c:pt idx="209">
                  <c:v>3.2574677516873707E-2</c:v>
                </c:pt>
                <c:pt idx="210">
                  <c:v>3.2595866614267721E-2</c:v>
                </c:pt>
                <c:pt idx="211">
                  <c:v>3.2617055247566196E-2</c:v>
                </c:pt>
                <c:pt idx="212">
                  <c:v>3.2638243416779122E-2</c:v>
                </c:pt>
                <c:pt idx="213">
                  <c:v>3.2659431121916827E-2</c:v>
                </c:pt>
                <c:pt idx="214">
                  <c:v>3.2680618362989411E-2</c:v>
                </c:pt>
                <c:pt idx="215">
                  <c:v>3.2701805140006979E-2</c:v>
                </c:pt>
                <c:pt idx="216">
                  <c:v>3.2722991452979744E-2</c:v>
                </c:pt>
                <c:pt idx="217">
                  <c:v>3.2744177301917921E-2</c:v>
                </c:pt>
                <c:pt idx="218">
                  <c:v>3.2765362686831723E-2</c:v>
                </c:pt>
                <c:pt idx="219">
                  <c:v>3.2786547607731142E-2</c:v>
                </c:pt>
                <c:pt idx="220">
                  <c:v>3.2807732064626394E-2</c:v>
                </c:pt>
                <c:pt idx="221">
                  <c:v>3.2828916057527691E-2</c:v>
                </c:pt>
                <c:pt idx="222">
                  <c:v>3.2850099586445136E-2</c:v>
                </c:pt>
                <c:pt idx="223">
                  <c:v>3.2871282651389055E-2</c:v>
                </c:pt>
                <c:pt idx="224">
                  <c:v>3.2892465252369329E-2</c:v>
                </c:pt>
                <c:pt idx="225">
                  <c:v>3.2913647389396394E-2</c:v>
                </c:pt>
                <c:pt idx="226">
                  <c:v>3.2934829062480242E-2</c:v>
                </c:pt>
                <c:pt idx="227">
                  <c:v>3.2956010271631198E-2</c:v>
                </c:pt>
                <c:pt idx="228">
                  <c:v>3.2977191016859142E-2</c:v>
                </c:pt>
                <c:pt idx="229">
                  <c:v>3.2998371298174511E-2</c:v>
                </c:pt>
                <c:pt idx="230">
                  <c:v>3.3019551115587298E-2</c:v>
                </c:pt>
                <c:pt idx="231">
                  <c:v>3.3040730469107826E-2</c:v>
                </c:pt>
                <c:pt idx="232">
                  <c:v>3.3061909358746089E-2</c:v>
                </c:pt>
                <c:pt idx="233">
                  <c:v>3.3083087784512299E-2</c:v>
                </c:pt>
                <c:pt idx="234">
                  <c:v>3.3104265746416672E-2</c:v>
                </c:pt>
                <c:pt idx="235">
                  <c:v>3.312544324446931E-2</c:v>
                </c:pt>
                <c:pt idx="236">
                  <c:v>3.3146620278680428E-2</c:v>
                </c:pt>
                <c:pt idx="237">
                  <c:v>3.3167796849060127E-2</c:v>
                </c:pt>
                <c:pt idx="238">
                  <c:v>3.3188972955618512E-2</c:v>
                </c:pt>
                <c:pt idx="239">
                  <c:v>3.3210148598365907E-2</c:v>
                </c:pt>
                <c:pt idx="240">
                  <c:v>3.3231323777312305E-2</c:v>
                </c:pt>
                <c:pt idx="241">
                  <c:v>3.325249849246803E-2</c:v>
                </c:pt>
                <c:pt idx="242">
                  <c:v>3.3273672743843075E-2</c:v>
                </c:pt>
                <c:pt idx="243">
                  <c:v>3.3294846531447764E-2</c:v>
                </c:pt>
                <c:pt idx="244">
                  <c:v>3.3316019855292089E-2</c:v>
                </c:pt>
                <c:pt idx="245">
                  <c:v>3.3337192715386266E-2</c:v>
                </c:pt>
                <c:pt idx="246">
                  <c:v>3.3358365111740507E-2</c:v>
                </c:pt>
                <c:pt idx="247">
                  <c:v>3.3379537044364915E-2</c:v>
                </c:pt>
                <c:pt idx="248">
                  <c:v>3.3400708513269706E-2</c:v>
                </c:pt>
                <c:pt idx="249">
                  <c:v>3.342187951846487E-2</c:v>
                </c:pt>
                <c:pt idx="250">
                  <c:v>3.3443050059960844E-2</c:v>
                </c:pt>
                <c:pt idx="251">
                  <c:v>3.3464220137767509E-2</c:v>
                </c:pt>
                <c:pt idx="252">
                  <c:v>3.3485389751895189E-2</c:v>
                </c:pt>
                <c:pt idx="253">
                  <c:v>3.3506558902353989E-2</c:v>
                </c:pt>
                <c:pt idx="254">
                  <c:v>3.3527727589154011E-2</c:v>
                </c:pt>
                <c:pt idx="255">
                  <c:v>3.3548895812305579E-2</c:v>
                </c:pt>
                <c:pt idx="256">
                  <c:v>3.3570063571818687E-2</c:v>
                </c:pt>
                <c:pt idx="257">
                  <c:v>3.3591230867703437E-2</c:v>
                </c:pt>
                <c:pt idx="258">
                  <c:v>3.3612397699970153E-2</c:v>
                </c:pt>
                <c:pt idx="259">
                  <c:v>3.3633564068628941E-2</c:v>
                </c:pt>
                <c:pt idx="260">
                  <c:v>3.3654729973689901E-2</c:v>
                </c:pt>
                <c:pt idx="261">
                  <c:v>3.3675895415163248E-2</c:v>
                </c:pt>
                <c:pt idx="262">
                  <c:v>3.3697060393059086E-2</c:v>
                </c:pt>
                <c:pt idx="263">
                  <c:v>3.3718224907387628E-2</c:v>
                </c:pt>
                <c:pt idx="264">
                  <c:v>3.3739388958158978E-2</c:v>
                </c:pt>
                <c:pt idx="265">
                  <c:v>3.3760552545383238E-2</c:v>
                </c:pt>
                <c:pt idx="266">
                  <c:v>3.3781715669070733E-2</c:v>
                </c:pt>
                <c:pt idx="267">
                  <c:v>3.3802878329231345E-2</c:v>
                </c:pt>
                <c:pt idx="268">
                  <c:v>3.3824040525875509E-2</c:v>
                </c:pt>
                <c:pt idx="269">
                  <c:v>3.3845202259013218E-2</c:v>
                </c:pt>
                <c:pt idx="270">
                  <c:v>3.3866363528654686E-2</c:v>
                </c:pt>
                <c:pt idx="271">
                  <c:v>3.3887524334810015E-2</c:v>
                </c:pt>
                <c:pt idx="272">
                  <c:v>3.390868467748942E-2</c:v>
                </c:pt>
                <c:pt idx="273">
                  <c:v>3.3929844556703004E-2</c:v>
                </c:pt>
                <c:pt idx="274">
                  <c:v>3.3951003972460869E-2</c:v>
                </c:pt>
                <c:pt idx="275">
                  <c:v>3.397216292477323E-2</c:v>
                </c:pt>
                <c:pt idx="276">
                  <c:v>3.3993321413650301E-2</c:v>
                </c:pt>
                <c:pt idx="277">
                  <c:v>3.4014479439102185E-2</c:v>
                </c:pt>
                <c:pt idx="278">
                  <c:v>3.4035637001138874E-2</c:v>
                </c:pt>
                <c:pt idx="279">
                  <c:v>3.4056794099770804E-2</c:v>
                </c:pt>
                <c:pt idx="280">
                  <c:v>3.4077950735007856E-2</c:v>
                </c:pt>
                <c:pt idx="281">
                  <c:v>3.4099106906860355E-2</c:v>
                </c:pt>
                <c:pt idx="282">
                  <c:v>3.4120262615338404E-2</c:v>
                </c:pt>
                <c:pt idx="283">
                  <c:v>3.4141417860452106E-2</c:v>
                </c:pt>
                <c:pt idx="284">
                  <c:v>3.4162572642211675E-2</c:v>
                </c:pt>
                <c:pt idx="285">
                  <c:v>3.4183726960627214E-2</c:v>
                </c:pt>
                <c:pt idx="286">
                  <c:v>3.4204880815708938E-2</c:v>
                </c:pt>
                <c:pt idx="287">
                  <c:v>3.4226034207466949E-2</c:v>
                </c:pt>
                <c:pt idx="288">
                  <c:v>3.4247187135911239E-2</c:v>
                </c:pt>
                <c:pt idx="289">
                  <c:v>3.4268339601052245E-2</c:v>
                </c:pt>
                <c:pt idx="290">
                  <c:v>3.4289491602899957E-2</c:v>
                </c:pt>
                <c:pt idx="291">
                  <c:v>3.4310643141464592E-2</c:v>
                </c:pt>
                <c:pt idx="292">
                  <c:v>3.433179421675614E-2</c:v>
                </c:pt>
                <c:pt idx="293">
                  <c:v>3.4352944828784926E-2</c:v>
                </c:pt>
                <c:pt idx="294">
                  <c:v>3.4374094977561054E-2</c:v>
                </c:pt>
                <c:pt idx="295">
                  <c:v>3.4395244663094626E-2</c:v>
                </c:pt>
                <c:pt idx="296">
                  <c:v>3.4416393885395746E-2</c:v>
                </c:pt>
                <c:pt idx="297">
                  <c:v>3.4437542644474628E-2</c:v>
                </c:pt>
                <c:pt idx="298">
                  <c:v>3.4458690940341485E-2</c:v>
                </c:pt>
                <c:pt idx="299">
                  <c:v>3.4479838773006311E-2</c:v>
                </c:pt>
                <c:pt idx="300">
                  <c:v>3.4500986142479317E-2</c:v>
                </c:pt>
                <c:pt idx="301">
                  <c:v>3.452213304877072E-2</c:v>
                </c:pt>
                <c:pt idx="302">
                  <c:v>3.4543279491890622E-2</c:v>
                </c:pt>
                <c:pt idx="303">
                  <c:v>3.4564425471849125E-2</c:v>
                </c:pt>
                <c:pt idx="304">
                  <c:v>3.4585570988656333E-2</c:v>
                </c:pt>
                <c:pt idx="305">
                  <c:v>3.4606716042322461E-2</c:v>
                </c:pt>
                <c:pt idx="306">
                  <c:v>3.4627860632857721E-2</c:v>
                </c:pt>
                <c:pt idx="307">
                  <c:v>3.4649004760272106E-2</c:v>
                </c:pt>
                <c:pt idx="308">
                  <c:v>3.4670148424575942E-2</c:v>
                </c:pt>
                <c:pt idx="309">
                  <c:v>3.4691291625779219E-2</c:v>
                </c:pt>
                <c:pt idx="310">
                  <c:v>3.4712434363892042E-2</c:v>
                </c:pt>
                <c:pt idx="311">
                  <c:v>3.4733576638924735E-2</c:v>
                </c:pt>
                <c:pt idx="312">
                  <c:v>3.475471845088729E-2</c:v>
                </c:pt>
                <c:pt idx="313">
                  <c:v>3.4775859799789921E-2</c:v>
                </c:pt>
                <c:pt idx="314">
                  <c:v>3.4797000685642732E-2</c:v>
                </c:pt>
                <c:pt idx="315">
                  <c:v>3.4818141108455936E-2</c:v>
                </c:pt>
                <c:pt idx="316">
                  <c:v>3.4839281068239636E-2</c:v>
                </c:pt>
                <c:pt idx="317">
                  <c:v>3.4860420565003936E-2</c:v>
                </c:pt>
                <c:pt idx="318">
                  <c:v>3.4881559598758938E-2</c:v>
                </c:pt>
                <c:pt idx="319">
                  <c:v>3.4902698169514967E-2</c:v>
                </c:pt>
                <c:pt idx="320">
                  <c:v>3.4923836277282017E-2</c:v>
                </c:pt>
                <c:pt idx="321">
                  <c:v>3.4944973922070188E-2</c:v>
                </c:pt>
                <c:pt idx="322">
                  <c:v>3.4966111103889697E-2</c:v>
                </c:pt>
                <c:pt idx="323">
                  <c:v>3.4987247822750756E-2</c:v>
                </c:pt>
                <c:pt idx="324">
                  <c:v>3.5008384078663357E-2</c:v>
                </c:pt>
                <c:pt idx="325">
                  <c:v>3.5029519871637715E-2</c:v>
                </c:pt>
                <c:pt idx="326">
                  <c:v>3.5050655201684044E-2</c:v>
                </c:pt>
                <c:pt idx="327">
                  <c:v>3.5071790068812336E-2</c:v>
                </c:pt>
                <c:pt idx="328">
                  <c:v>3.5092924473032805E-2</c:v>
                </c:pt>
                <c:pt idx="329">
                  <c:v>3.5114058414355553E-2</c:v>
                </c:pt>
                <c:pt idx="330">
                  <c:v>3.5135191892790796E-2</c:v>
                </c:pt>
                <c:pt idx="331">
                  <c:v>3.5156324908348524E-2</c:v>
                </c:pt>
                <c:pt idx="332">
                  <c:v>3.5177457461039063E-2</c:v>
                </c:pt>
                <c:pt idx="333">
                  <c:v>3.5198589550872406E-2</c:v>
                </c:pt>
                <c:pt idx="334">
                  <c:v>3.5219721177858876E-2</c:v>
                </c:pt>
                <c:pt idx="335">
                  <c:v>3.5240852342008355E-2</c:v>
                </c:pt>
                <c:pt idx="336">
                  <c:v>3.5261983043331169E-2</c:v>
                </c:pt>
                <c:pt idx="337">
                  <c:v>3.5283113281837308E-2</c:v>
                </c:pt>
                <c:pt idx="338">
                  <c:v>3.5304243057537099E-2</c:v>
                </c:pt>
                <c:pt idx="339">
                  <c:v>3.5325372370440533E-2</c:v>
                </c:pt>
                <c:pt idx="340">
                  <c:v>3.5346501220557824E-2</c:v>
                </c:pt>
                <c:pt idx="341">
                  <c:v>3.5367629607898965E-2</c:v>
                </c:pt>
                <c:pt idx="342">
                  <c:v>3.538875753247428E-2</c:v>
                </c:pt>
                <c:pt idx="343">
                  <c:v>3.5409884994293872E-2</c:v>
                </c:pt>
                <c:pt idx="344">
                  <c:v>3.5431011993367734E-2</c:v>
                </c:pt>
                <c:pt idx="345">
                  <c:v>3.545213852970619E-2</c:v>
                </c:pt>
                <c:pt idx="346">
                  <c:v>3.5473264603319121E-2</c:v>
                </c:pt>
                <c:pt idx="347">
                  <c:v>3.5494390214216964E-2</c:v>
                </c:pt>
                <c:pt idx="348">
                  <c:v>3.5515515362409711E-2</c:v>
                </c:pt>
                <c:pt idx="349">
                  <c:v>3.5536640047907353E-2</c:v>
                </c:pt>
                <c:pt idx="350">
                  <c:v>3.5557764270720327E-2</c:v>
                </c:pt>
                <c:pt idx="351">
                  <c:v>3.5578888030858513E-2</c:v>
                </c:pt>
                <c:pt idx="352">
                  <c:v>3.5600011328332237E-2</c:v>
                </c:pt>
                <c:pt idx="353">
                  <c:v>3.5621134163151491E-2</c:v>
                </c:pt>
                <c:pt idx="354">
                  <c:v>3.5642256535326378E-2</c:v>
                </c:pt>
                <c:pt idx="355">
                  <c:v>3.5663378444867222E-2</c:v>
                </c:pt>
                <c:pt idx="356">
                  <c:v>3.5684499891783905E-2</c:v>
                </c:pt>
                <c:pt idx="357">
                  <c:v>3.5705620876086752E-2</c:v>
                </c:pt>
                <c:pt idx="358">
                  <c:v>3.5726741397785866E-2</c:v>
                </c:pt>
                <c:pt idx="359">
                  <c:v>3.574786145689135E-2</c:v>
                </c:pt>
                <c:pt idx="360">
                  <c:v>3.5768981053413307E-2</c:v>
                </c:pt>
                <c:pt idx="361">
                  <c:v>3.5790100187361951E-2</c:v>
                </c:pt>
                <c:pt idx="362">
                  <c:v>3.5811218858747274E-2</c:v>
                </c:pt>
                <c:pt idx="363">
                  <c:v>3.58323370675796E-2</c:v>
                </c:pt>
                <c:pt idx="364">
                  <c:v>3.5853454813868924E-2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2.4750288157514119E-2</c:v>
                </c:pt>
                <c:pt idx="1">
                  <c:v>2.4818037886958206E-2</c:v>
                </c:pt>
                <c:pt idx="2">
                  <c:v>2.4885775367311364E-2</c:v>
                </c:pt>
                <c:pt idx="3">
                  <c:v>2.4953495286852919E-2</c:v>
                </c:pt>
                <c:pt idx="4">
                  <c:v>2.5021193024146723E-2</c:v>
                </c:pt>
                <c:pt idx="5">
                  <c:v>2.5088864633978015E-2</c:v>
                </c:pt>
                <c:pt idx="6">
                  <c:v>2.5156506827325762E-2</c:v>
                </c:pt>
                <c:pt idx="7">
                  <c:v>2.5224116945749026E-2</c:v>
                </c:pt>
                <c:pt idx="8">
                  <c:v>2.5291692930611856E-2</c:v>
                </c:pt>
                <c:pt idx="9">
                  <c:v>2.5359233287613591E-2</c:v>
                </c:pt>
                <c:pt idx="10">
                  <c:v>2.5426737047128081E-2</c:v>
                </c:pt>
                <c:pt idx="11">
                  <c:v>2.5494203720886552E-2</c:v>
                </c:pt>
                <c:pt idx="12">
                  <c:v>2.556163325556482E-2</c:v>
                </c:pt>
                <c:pt idx="13">
                  <c:v>2.5629025983855001E-2</c:v>
                </c:pt>
                <c:pt idx="14">
                  <c:v>2.5696382573616009E-2</c:v>
                </c:pt>
                <c:pt idx="15">
                  <c:v>2.5763703975704391E-2</c:v>
                </c:pt>
                <c:pt idx="16">
                  <c:v>2.5830991371089265E-2</c:v>
                </c:pt>
                <c:pt idx="17">
                  <c:v>2.5898246117850122E-2</c:v>
                </c:pt>
                <c:pt idx="18">
                  <c:v>2.5965469698646371E-2</c:v>
                </c:pt>
                <c:pt idx="19">
                  <c:v>2.6032663669231411E-2</c:v>
                </c:pt>
                <c:pt idx="20">
                  <c:v>2.6099829608562164E-2</c:v>
                </c:pt>
                <c:pt idx="21">
                  <c:v>2.6166969071028737E-2</c:v>
                </c:pt>
                <c:pt idx="22">
                  <c:v>2.6234083541296683E-2</c:v>
                </c:pt>
                <c:pt idx="23">
                  <c:v>2.6301174392218931E-2</c:v>
                </c:pt>
                <c:pt idx="24">
                  <c:v>2.6368242846233295E-2</c:v>
                </c:pt>
                <c:pt idx="25">
                  <c:v>2.6435289940618667E-2</c:v>
                </c:pt>
                <c:pt idx="26">
                  <c:v>2.6502316496935401E-2</c:v>
                </c:pt>
                <c:pt idx="27">
                  <c:v>2.656932309492618E-2</c:v>
                </c:pt>
                <c:pt idx="28">
                  <c:v>2.6636310051102036E-2</c:v>
                </c:pt>
                <c:pt idx="29">
                  <c:v>2.6703277402185394E-2</c:v>
                </c:pt>
                <c:pt idx="30">
                  <c:v>2.6770224893527646E-2</c:v>
                </c:pt>
                <c:pt idx="31">
                  <c:v>2.6837151972565115E-2</c:v>
                </c:pt>
                <c:pt idx="32">
                  <c:v>2.6922314467501117E-2</c:v>
                </c:pt>
                <c:pt idx="33">
                  <c:v>2.7007438099875707E-2</c:v>
                </c:pt>
                <c:pt idx="34">
                  <c:v>2.7092521522657457E-2</c:v>
                </c:pt>
                <c:pt idx="35">
                  <c:v>2.7177563108889729E-2</c:v>
                </c:pt>
                <c:pt idx="36">
                  <c:v>2.7262560968659443E-2</c:v>
                </c:pt>
                <c:pt idx="37">
                  <c:v>2.7347512970498981E-2</c:v>
                </c:pt>
                <c:pt idx="38">
                  <c:v>2.7432416766958203E-2</c:v>
                </c:pt>
                <c:pt idx="39">
                  <c:v>2.7517269824043344E-2</c:v>
                </c:pt>
                <c:pt idx="40">
                  <c:v>2.7602069454183826E-2</c:v>
                </c:pt>
                <c:pt idx="41">
                  <c:v>2.7686812852355212E-2</c:v>
                </c:pt>
                <c:pt idx="42">
                  <c:v>2.7771497134959668E-2</c:v>
                </c:pt>
                <c:pt idx="43">
                  <c:v>2.7856119381041954E-2</c:v>
                </c:pt>
                <c:pt idx="44">
                  <c:v>2.7940676675400899E-2</c:v>
                </c:pt>
                <c:pt idx="45">
                  <c:v>2.802516615314354E-2</c:v>
                </c:pt>
                <c:pt idx="46">
                  <c:v>2.8109585045220535E-2</c:v>
                </c:pt>
                <c:pt idx="47">
                  <c:v>2.8193930724478906E-2</c:v>
                </c:pt>
                <c:pt idx="48">
                  <c:v>2.8278200751769823E-2</c:v>
                </c:pt>
                <c:pt idx="49">
                  <c:v>2.8362392921656113E-2</c:v>
                </c:pt>
                <c:pt idx="50">
                  <c:v>2.8446505307275573E-2</c:v>
                </c:pt>
                <c:pt idx="51">
                  <c:v>2.8530536303932475E-2</c:v>
                </c:pt>
                <c:pt idx="52">
                  <c:v>2.8614484671009674E-2</c:v>
                </c:pt>
                <c:pt idx="53">
                  <c:v>2.8698349571818323E-2</c:v>
                </c:pt>
                <c:pt idx="54">
                  <c:v>2.8782130611029532E-2</c:v>
                </c:pt>
                <c:pt idx="55">
                  <c:v>2.886582786936406E-2</c:v>
                </c:pt>
                <c:pt idx="56">
                  <c:v>2.8949441935249318E-2</c:v>
                </c:pt>
                <c:pt idx="57">
                  <c:v>2.9032973933189748E-2</c:v>
                </c:pt>
                <c:pt idx="58">
                  <c:v>2.9116425548634403E-2</c:v>
                </c:pt>
                <c:pt idx="59">
                  <c:v>2.9199799049165264E-2</c:v>
                </c:pt>
                <c:pt idx="60">
                  <c:v>2.9283097301870498E-2</c:v>
                </c:pt>
                <c:pt idx="61">
                  <c:v>2.9366323786807275E-2</c:v>
                </c:pt>
                <c:pt idx="62">
                  <c:v>2.9449482606500339E-2</c:v>
                </c:pt>
                <c:pt idx="63">
                  <c:v>2.9532578491462326E-2</c:v>
                </c:pt>
                <c:pt idx="64">
                  <c:v>2.961561680176154E-2</c:v>
                </c:pt>
                <c:pt idx="65">
                  <c:v>2.9698603524700495E-2</c:v>
                </c:pt>
                <c:pt idx="66">
                  <c:v>2.9781545268704943E-2</c:v>
                </c:pt>
                <c:pt idx="67">
                  <c:v>2.986444925355651E-2</c:v>
                </c:pt>
                <c:pt idx="68">
                  <c:v>2.9947323297133236E-2</c:v>
                </c:pt>
                <c:pt idx="69">
                  <c:v>3.0030175798850631E-2</c:v>
                </c:pt>
                <c:pt idx="70">
                  <c:v>3.0113015720020543E-2</c:v>
                </c:pt>
                <c:pt idx="71">
                  <c:v>3.0195852561366487E-2</c:v>
                </c:pt>
                <c:pt idx="72">
                  <c:v>3.027869633795173E-2</c:v>
                </c:pt>
                <c:pt idx="73">
                  <c:v>3.0361557551790489E-2</c:v>
                </c:pt>
                <c:pt idx="74">
                  <c:v>3.0444447162422079E-2</c:v>
                </c:pt>
                <c:pt idx="75">
                  <c:v>3.0527376555733867E-2</c:v>
                </c:pt>
                <c:pt idx="76">
                  <c:v>3.0610357511320994E-2</c:v>
                </c:pt>
                <c:pt idx="77">
                  <c:v>3.0693402168668397E-2</c:v>
                </c:pt>
                <c:pt idx="78">
                  <c:v>3.0776522992435138E-2</c:v>
                </c:pt>
                <c:pt idx="79">
                  <c:v>3.0859732737111404E-2</c:v>
                </c:pt>
                <c:pt idx="80">
                  <c:v>3.0943044411305489E-2</c:v>
                </c:pt>
                <c:pt idx="81">
                  <c:v>3.1026471241902068E-2</c:v>
                </c:pt>
                <c:pt idx="82">
                  <c:v>3.1110026638313967E-2</c:v>
                </c:pt>
                <c:pt idx="83">
                  <c:v>3.1193724157027751E-2</c:v>
                </c:pt>
                <c:pt idx="84">
                  <c:v>3.1277577466619876E-2</c:v>
                </c:pt>
                <c:pt idx="85">
                  <c:v>3.136160031339405E-2</c:v>
                </c:pt>
                <c:pt idx="86">
                  <c:v>3.1445806487763552E-2</c:v>
                </c:pt>
                <c:pt idx="87">
                  <c:v>3.1530209791473834E-2</c:v>
                </c:pt>
                <c:pt idx="88">
                  <c:v>3.1614824005732185E-2</c:v>
                </c:pt>
                <c:pt idx="89">
                  <c:v>3.1699662860282141E-2</c:v>
                </c:pt>
                <c:pt idx="90">
                  <c:v>3.1784740003431837E-2</c:v>
                </c:pt>
                <c:pt idx="91">
                  <c:v>3.1870068973017869E-2</c:v>
                </c:pt>
                <c:pt idx="92">
                  <c:v>3.1955663168259332E-2</c:v>
                </c:pt>
                <c:pt idx="93">
                  <c:v>3.2041535822432084E-2</c:v>
                </c:pt>
                <c:pt idx="94">
                  <c:v>3.2127699976270005E-2</c:v>
                </c:pt>
                <c:pt idx="95">
                  <c:v>3.221416845197967E-2</c:v>
                </c:pt>
                <c:pt idx="96">
                  <c:v>3.2300953827737115E-2</c:v>
                </c:pt>
                <c:pt idx="97">
                  <c:v>3.2388068412519934E-2</c:v>
                </c:pt>
                <c:pt idx="98">
                  <c:v>3.2475524221117352E-2</c:v>
                </c:pt>
                <c:pt idx="99">
                  <c:v>3.2563332949152063E-2</c:v>
                </c:pt>
                <c:pt idx="100">
                  <c:v>3.2651505947943547E-2</c:v>
                </c:pt>
                <c:pt idx="101">
                  <c:v>3.27400541990421E-2</c:v>
                </c:pt>
                <c:pt idx="102">
                  <c:v>3.2828988288266039E-2</c:v>
                </c:pt>
                <c:pt idx="103">
                  <c:v>3.2918318379081365E-2</c:v>
                </c:pt>
                <c:pt idx="104">
                  <c:v>3.3008054185174759E-2</c:v>
                </c:pt>
                <c:pt idx="105">
                  <c:v>3.3098204942085041E-2</c:v>
                </c:pt>
                <c:pt idx="106">
                  <c:v>3.3188779377776791E-2</c:v>
                </c:pt>
                <c:pt idx="107">
                  <c:v>3.3279785682061629E-2</c:v>
                </c:pt>
                <c:pt idx="108">
                  <c:v>3.3371231474797577E-2</c:v>
                </c:pt>
                <c:pt idx="109">
                  <c:v>3.3463123772824628E-2</c:v>
                </c:pt>
                <c:pt idx="110">
                  <c:v>3.3555468955625271E-2</c:v>
                </c:pt>
                <c:pt idx="111">
                  <c:v>3.3648272729731157E-2</c:v>
                </c:pt>
                <c:pt idx="112">
                  <c:v>3.374154009193147E-2</c:v>
                </c:pt>
                <c:pt idx="113">
                  <c:v>3.3835275291373992E-2</c:v>
                </c:pt>
                <c:pt idx="114">
                  <c:v>3.3929481790686819E-2</c:v>
                </c:pt>
                <c:pt idx="115">
                  <c:v>3.4024162226285112E-2</c:v>
                </c:pt>
                <c:pt idx="116">
                  <c:v>3.4119318368064103E-2</c:v>
                </c:pt>
                <c:pt idx="117">
                  <c:v>3.4214951078716006E-2</c:v>
                </c:pt>
                <c:pt idx="118">
                  <c:v>3.4311060272942583E-2</c:v>
                </c:pt>
                <c:pt idx="119">
                  <c:v>3.4407644876869398E-2</c:v>
                </c:pt>
                <c:pt idx="120">
                  <c:v>3.4504702787997853E-2</c:v>
                </c:pt>
                <c:pt idx="121">
                  <c:v>3.4602230836059893E-2</c:v>
                </c:pt>
                <c:pt idx="122">
                  <c:v>3.4700224745165709E-2</c:v>
                </c:pt>
                <c:pt idx="123">
                  <c:v>3.4798679097655709E-2</c:v>
                </c:pt>
                <c:pt idx="124">
                  <c:v>3.4897587300086436E-2</c:v>
                </c:pt>
                <c:pt idx="125">
                  <c:v>3.4996941551792754E-2</c:v>
                </c:pt>
                <c:pt idx="126">
                  <c:v>3.5096732816477787E-2</c:v>
                </c:pt>
                <c:pt idx="127">
                  <c:v>3.519695079728536E-2</c:v>
                </c:pt>
                <c:pt idx="128">
                  <c:v>3.5297583915808395E-2</c:v>
                </c:pt>
                <c:pt idx="129">
                  <c:v>3.5398619295480105E-2</c:v>
                </c:pt>
                <c:pt idx="130">
                  <c:v>3.5500042749782044E-2</c:v>
                </c:pt>
                <c:pt idx="131">
                  <c:v>3.5601838775686137E-2</c:v>
                </c:pt>
                <c:pt idx="132">
                  <c:v>3.5703990552723996E-2</c:v>
                </c:pt>
                <c:pt idx="133">
                  <c:v>3.5806479948048711E-2</c:v>
                </c:pt>
                <c:pt idx="134">
                  <c:v>3.5909287527820501E-2</c:v>
                </c:pt>
                <c:pt idx="135">
                  <c:v>3.6012392575208829E-2</c:v>
                </c:pt>
                <c:pt idx="136">
                  <c:v>3.6115773115260069E-2</c:v>
                </c:pt>
                <c:pt idx="137">
                  <c:v>3.6219405946832345E-2</c:v>
                </c:pt>
                <c:pt idx="138">
                  <c:v>3.6323266681746555E-2</c:v>
                </c:pt>
                <c:pt idx="139">
                  <c:v>3.6427329791248096E-2</c:v>
                </c:pt>
                <c:pt idx="140">
                  <c:v>3.6531568659814391E-2</c:v>
                </c:pt>
                <c:pt idx="141">
                  <c:v>3.6635955646282969E-2</c:v>
                </c:pt>
                <c:pt idx="142">
                  <c:v>3.6740462152211426E-2</c:v>
                </c:pt>
                <c:pt idx="143">
                  <c:v>3.684505869731642E-2</c:v>
                </c:pt>
                <c:pt idx="144">
                  <c:v>3.6949715001773645E-2</c:v>
                </c:pt>
                <c:pt idx="145">
                  <c:v>3.7054400075095924E-2</c:v>
                </c:pt>
                <c:pt idx="146">
                  <c:v>3.7159082311241383E-2</c:v>
                </c:pt>
                <c:pt idx="147">
                  <c:v>3.7263729589541293E-2</c:v>
                </c:pt>
                <c:pt idx="148">
                  <c:v>3.7368309380975052E-2</c:v>
                </c:pt>
                <c:pt idx="149">
                  <c:v>3.7472788859261863E-2</c:v>
                </c:pt>
                <c:pt idx="150">
                  <c:v>3.7577135016182955E-2</c:v>
                </c:pt>
                <c:pt idx="151">
                  <c:v>3.7681314780496605E-2</c:v>
                </c:pt>
                <c:pt idx="152">
                  <c:v>3.7785295139762011E-2</c:v>
                </c:pt>
                <c:pt idx="153">
                  <c:v>3.7889043264345348E-2</c:v>
                </c:pt>
                <c:pt idx="154">
                  <c:v>3.7992526632846038E-2</c:v>
                </c:pt>
                <c:pt idx="155">
                  <c:v>3.8095713158150295E-2</c:v>
                </c:pt>
                <c:pt idx="156">
                  <c:v>3.8198571313296022E-2</c:v>
                </c:pt>
                <c:pt idx="157">
                  <c:v>3.8301070256315996E-2</c:v>
                </c:pt>
                <c:pt idx="158">
                  <c:v>3.8403179953216703E-2</c:v>
                </c:pt>
                <c:pt idx="159">
                  <c:v>3.8504871298247645E-2</c:v>
                </c:pt>
                <c:pt idx="160">
                  <c:v>3.8606116230621601E-2</c:v>
                </c:pt>
                <c:pt idx="161">
                  <c:v>3.8706887846858655E-2</c:v>
                </c:pt>
                <c:pt idx="162">
                  <c:v>3.8807160507946914E-2</c:v>
                </c:pt>
                <c:pt idx="163">
                  <c:v>3.8906909940541357E-2</c:v>
                </c:pt>
                <c:pt idx="164">
                  <c:v>3.900611333145667E-2</c:v>
                </c:pt>
                <c:pt idx="165">
                  <c:v>3.9104749414752178E-2</c:v>
                </c:pt>
                <c:pt idx="166">
                  <c:v>3.9202798550756569E-2</c:v>
                </c:pt>
                <c:pt idx="167">
                  <c:v>3.9300242796434348E-2</c:v>
                </c:pt>
                <c:pt idx="168">
                  <c:v>3.9397065966558363E-2</c:v>
                </c:pt>
                <c:pt idx="169">
                  <c:v>3.9493253685218874E-2</c:v>
                </c:pt>
                <c:pt idx="170">
                  <c:v>3.9588793427270771E-2</c:v>
                </c:pt>
                <c:pt idx="171">
                  <c:v>3.9683674549397419E-2</c:v>
                </c:pt>
                <c:pt idx="172">
                  <c:v>3.9777888310547647E-2</c:v>
                </c:pt>
                <c:pt idx="173">
                  <c:v>3.9871427881585167E-2</c:v>
                </c:pt>
                <c:pt idx="174">
                  <c:v>3.9964288344073694E-2</c:v>
                </c:pt>
                <c:pt idx="175">
                  <c:v>4.0056466678206025E-2</c:v>
                </c:pt>
                <c:pt idx="176">
                  <c:v>4.0147961739971594E-2</c:v>
                </c:pt>
                <c:pt idx="177">
                  <c:v>4.0238774227741941E-2</c:v>
                </c:pt>
                <c:pt idx="178">
                  <c:v>4.0328906638538067E-2</c:v>
                </c:pt>
                <c:pt idx="179">
                  <c:v>4.0418363214325521E-2</c:v>
                </c:pt>
                <c:pt idx="180">
                  <c:v>4.0507149878762701E-2</c:v>
                </c:pt>
                <c:pt idx="181">
                  <c:v>4.0595274164903272E-2</c:v>
                </c:pt>
                <c:pt idx="182">
                  <c:v>4.0682745134425324E-2</c:v>
                </c:pt>
                <c:pt idx="183">
                  <c:v>4.076957328902589E-2</c:v>
                </c:pt>
                <c:pt idx="184">
                  <c:v>4.0855770474680461E-2</c:v>
                </c:pt>
                <c:pt idx="185">
                  <c:v>4.0941349779521102E-2</c:v>
                </c:pt>
                <c:pt idx="186">
                  <c:v>4.1026325426134359E-2</c:v>
                </c:pt>
                <c:pt idx="187">
                  <c:v>4.1110712659120252E-2</c:v>
                </c:pt>
                <c:pt idx="188">
                  <c:v>4.1194527628785928E-2</c:v>
                </c:pt>
                <c:pt idx="189">
                  <c:v>4.127778727187182E-2</c:v>
                </c:pt>
                <c:pt idx="190">
                  <c:v>4.1360509190223951E-2</c:v>
                </c:pt>
                <c:pt idx="191">
                  <c:v>4.1442711528333821E-2</c:v>
                </c:pt>
                <c:pt idx="192">
                  <c:v>4.1524412850665396E-2</c:v>
                </c:pt>
                <c:pt idx="193">
                  <c:v>4.1605632019679879E-2</c:v>
                </c:pt>
                <c:pt idx="194">
                  <c:v>4.1686388075450179E-2</c:v>
                </c:pt>
                <c:pt idx="195">
                  <c:v>4.1766700117730253E-2</c:v>
                </c:pt>
                <c:pt idx="196">
                  <c:v>4.184658719131102E-2</c:v>
                </c:pt>
                <c:pt idx="197">
                  <c:v>4.1926068175451039E-2</c:v>
                </c:pt>
                <c:pt idx="198">
                  <c:v>4.2005161678121739E-2</c:v>
                </c:pt>
                <c:pt idx="199">
                  <c:v>4.2083885935750437E-2</c:v>
                </c:pt>
                <c:pt idx="200">
                  <c:v>4.2162258719082274E-2</c:v>
                </c:pt>
                <c:pt idx="201">
                  <c:v>4.2240297245714216E-2</c:v>
                </c:pt>
                <c:pt idx="202">
                  <c:v>4.2318018099782147E-2</c:v>
                </c:pt>
                <c:pt idx="203">
                  <c:v>4.239543715920522E-2</c:v>
                </c:pt>
                <c:pt idx="204">
                  <c:v>4.2472569530811986E-2</c:v>
                </c:pt>
                <c:pt idx="205">
                  <c:v>4.2549429493590744E-2</c:v>
                </c:pt>
                <c:pt idx="206">
                  <c:v>4.2626030450222709E-2</c:v>
                </c:pt>
                <c:pt idx="207">
                  <c:v>4.2702384886972568E-2</c:v>
                </c:pt>
                <c:pt idx="208">
                  <c:v>4.2778504341926815E-2</c:v>
                </c:pt>
                <c:pt idx="209">
                  <c:v>4.2854399381487072E-2</c:v>
                </c:pt>
                <c:pt idx="210">
                  <c:v>4.293007958494563E-2</c:v>
                </c:pt>
                <c:pt idx="211">
                  <c:v>4.300555353689104E-2</c:v>
                </c:pt>
                <c:pt idx="212">
                  <c:v>4.3080828827118951E-2</c:v>
                </c:pt>
                <c:pt idx="213">
                  <c:v>4.3155912057651978E-2</c:v>
                </c:pt>
                <c:pt idx="214">
                  <c:v>4.3230808856409161E-2</c:v>
                </c:pt>
                <c:pt idx="215">
                  <c:v>4.3305523897006294E-2</c:v>
                </c:pt>
                <c:pt idx="216">
                  <c:v>4.3380060924116191E-2</c:v>
                </c:pt>
                <c:pt idx="217">
                  <c:v>4.3454422783773809E-2</c:v>
                </c:pt>
                <c:pt idx="218">
                  <c:v>4.3528611457972793E-2</c:v>
                </c:pt>
                <c:pt idx="219">
                  <c:v>4.3602628102871521E-2</c:v>
                </c:pt>
                <c:pt idx="220">
                  <c:v>4.3676473089904869E-2</c:v>
                </c:pt>
                <c:pt idx="221">
                  <c:v>4.3750146049086336E-2</c:v>
                </c:pt>
                <c:pt idx="222">
                  <c:v>4.382364591378006E-2</c:v>
                </c:pt>
                <c:pt idx="223">
                  <c:v>4.3896970966228147E-2</c:v>
                </c:pt>
                <c:pt idx="224">
                  <c:v>4.3970118883131487E-2</c:v>
                </c:pt>
                <c:pt idx="225">
                  <c:v>4.4043086780604229E-2</c:v>
                </c:pt>
                <c:pt idx="226">
                  <c:v>4.411587125785215E-2</c:v>
                </c:pt>
                <c:pt idx="227">
                  <c:v>4.4188468438963187E-2</c:v>
                </c:pt>
                <c:pt idx="228">
                  <c:v>4.4260874012243372E-2</c:v>
                </c:pt>
                <c:pt idx="229">
                  <c:v>4.433308326658425E-2</c:v>
                </c:pt>
                <c:pt idx="230">
                  <c:v>4.4405091124405528E-2</c:v>
                </c:pt>
                <c:pt idx="231">
                  <c:v>4.4476892170781865E-2</c:v>
                </c:pt>
                <c:pt idx="232">
                  <c:v>4.4548480678431035E-2</c:v>
                </c:pt>
                <c:pt idx="233">
                  <c:v>4.4619850628314105E-2</c:v>
                </c:pt>
                <c:pt idx="234">
                  <c:v>4.4690995725674844E-2</c:v>
                </c:pt>
                <c:pt idx="235">
                  <c:v>4.4761909411424085E-2</c:v>
                </c:pt>
                <c:pt idx="236">
                  <c:v>4.4832584868855149E-2</c:v>
                </c:pt>
                <c:pt idx="237">
                  <c:v>4.4903015025757193E-2</c:v>
                </c:pt>
                <c:pt idx="238">
                  <c:v>4.4973192552073354E-2</c:v>
                </c:pt>
                <c:pt idx="239">
                  <c:v>4.5043109853329655E-2</c:v>
                </c:pt>
                <c:pt idx="240">
                  <c:v>4.511275906013712E-2</c:v>
                </c:pt>
                <c:pt idx="241">
                  <c:v>4.5182132014142319E-2</c:v>
                </c:pt>
                <c:pt idx="242">
                  <c:v>4.5251220250871194E-2</c:v>
                </c:pt>
                <c:pt idx="243">
                  <c:v>4.532001497997433E-2</c:v>
                </c:pt>
                <c:pt idx="244">
                  <c:v>4.5388507063440282E-2</c:v>
                </c:pt>
                <c:pt idx="245">
                  <c:v>4.5456686992394794E-2</c:v>
                </c:pt>
                <c:pt idx="246">
                  <c:v>4.5524544863148046E-2</c:v>
                </c:pt>
                <c:pt idx="247">
                  <c:v>4.5592070353188137E-2</c:v>
                </c:pt>
                <c:pt idx="248">
                  <c:v>4.5659252697846875E-2</c:v>
                </c:pt>
                <c:pt idx="249">
                  <c:v>4.5726080668382692E-2</c:v>
                </c:pt>
                <c:pt idx="250">
                  <c:v>4.5792542552235325E-2</c:v>
                </c:pt>
                <c:pt idx="251">
                  <c:v>4.5858626136207128E-2</c:v>
                </c:pt>
                <c:pt idx="252">
                  <c:v>4.5924318693316105E-2</c:v>
                </c:pt>
                <c:pt idx="253">
                  <c:v>4.598960697404697E-2</c:v>
                </c:pt>
                <c:pt idx="254">
                  <c:v>4.6054477202697862E-2</c:v>
                </c:pt>
                <c:pt idx="255">
                  <c:v>4.6118915079481904E-2</c:v>
                </c:pt>
                <c:pt idx="256">
                  <c:v>4.6182905788996115E-2</c:v>
                </c:pt>
                <c:pt idx="257">
                  <c:v>4.6246434015613493E-2</c:v>
                </c:pt>
                <c:pt idx="258">
                  <c:v>4.6309483966290609E-2</c:v>
                </c:pt>
                <c:pt idx="259">
                  <c:v>4.637203940121034E-2</c:v>
                </c:pt>
                <c:pt idx="260">
                  <c:v>4.6434083672601108E-2</c:v>
                </c:pt>
                <c:pt idx="261">
                  <c:v>4.649559977198825E-2</c:v>
                </c:pt>
                <c:pt idx="262">
                  <c:v>4.6556570386042981E-2</c:v>
                </c:pt>
                <c:pt idx="263">
                  <c:v>4.6616977961098684E-2</c:v>
                </c:pt>
                <c:pt idx="264">
                  <c:v>4.6676804776306285E-2</c:v>
                </c:pt>
                <c:pt idx="265">
                  <c:v>4.6736033025298565E-2</c:v>
                </c:pt>
                <c:pt idx="266">
                  <c:v>4.6794644906131111E-2</c:v>
                </c:pt>
                <c:pt idx="267">
                  <c:v>4.6852622719163906E-2</c:v>
                </c:pt>
                <c:pt idx="268">
                  <c:v>4.690994897244579E-2</c:v>
                </c:pt>
                <c:pt idx="269">
                  <c:v>4.6966606494063007E-2</c:v>
                </c:pt>
                <c:pt idx="270">
                  <c:v>4.7022578550815528E-2</c:v>
                </c:pt>
                <c:pt idx="271">
                  <c:v>4.7077848972491267E-2</c:v>
                </c:pt>
                <c:pt idx="272">
                  <c:v>4.7132402280919736E-2</c:v>
                </c:pt>
                <c:pt idx="273">
                  <c:v>4.7186223822904189E-2</c:v>
                </c:pt>
                <c:pt idx="274">
                  <c:v>4.7239299906056111E-2</c:v>
                </c:pt>
                <c:pt idx="275">
                  <c:v>4.7291617936488436E-2</c:v>
                </c:pt>
                <c:pt idx="276">
                  <c:v>4.7343166557265288E-2</c:v>
                </c:pt>
                <c:pt idx="277">
                  <c:v>4.7393935786457606E-2</c:v>
                </c:pt>
                <c:pt idx="278">
                  <c:v>4.7443917153614602E-2</c:v>
                </c:pt>
                <c:pt idx="279">
                  <c:v>4.7493103833434205E-2</c:v>
                </c:pt>
                <c:pt idx="280">
                  <c:v>4.7541490775398314E-2</c:v>
                </c:pt>
                <c:pt idx="281">
                  <c:v>4.7589074828134723E-2</c:v>
                </c:pt>
                <c:pt idx="282">
                  <c:v>4.7635854857274194E-2</c:v>
                </c:pt>
                <c:pt idx="283">
                  <c:v>4.7681831855590946E-2</c:v>
                </c:pt>
                <c:pt idx="284">
                  <c:v>4.7727009044245886E-2</c:v>
                </c:pt>
                <c:pt idx="285">
                  <c:v>4.7771391963995408E-2</c:v>
                </c:pt>
                <c:pt idx="286">
                  <c:v>4.7814988555283849E-2</c:v>
                </c:pt>
                <c:pt idx="287">
                  <c:v>4.7857809226203918E-2</c:v>
                </c:pt>
                <c:pt idx="288">
                  <c:v>4.7899866907387179E-2</c:v>
                </c:pt>
                <c:pt idx="289">
                  <c:v>4.7941177092974248E-2</c:v>
                </c:pt>
                <c:pt idx="290">
                  <c:v>4.7981757866911875E-2</c:v>
                </c:pt>
                <c:pt idx="291">
                  <c:v>4.8021629913930663E-2</c:v>
                </c:pt>
                <c:pt idx="292">
                  <c:v>4.8060816514670646E-2</c:v>
                </c:pt>
                <c:pt idx="293">
                  <c:v>4.8099343524544327E-2</c:v>
                </c:pt>
                <c:pt idx="294">
                  <c:v>4.8137239336052962E-2</c:v>
                </c:pt>
                <c:pt idx="295">
                  <c:v>4.81745348244043E-2</c:v>
                </c:pt>
                <c:pt idx="296">
                  <c:v>4.8211263276415506E-2</c:v>
                </c:pt>
                <c:pt idx="297">
                  <c:v>4.8247460302822849E-2</c:v>
                </c:pt>
                <c:pt idx="298">
                  <c:v>4.828316373425854E-2</c:v>
                </c:pt>
                <c:pt idx="299">
                  <c:v>4.8318413501294628E-2</c:v>
                </c:pt>
                <c:pt idx="300">
                  <c:v>4.8353251499090387E-2</c:v>
                </c:pt>
                <c:pt idx="301">
                  <c:v>4.8387721437314485E-2</c:v>
                </c:pt>
                <c:pt idx="302">
                  <c:v>4.8421868676144092E-2</c:v>
                </c:pt>
                <c:pt idx="303">
                  <c:v>4.8455740049267476E-2</c:v>
                </c:pt>
                <c:pt idx="304">
                  <c:v>4.8489383674935917E-2</c:v>
                </c:pt>
                <c:pt idx="305">
                  <c:v>4.8522848756221176E-2</c:v>
                </c:pt>
                <c:pt idx="306">
                  <c:v>4.8556185371737171E-2</c:v>
                </c:pt>
                <c:pt idx="307">
                  <c:v>4.8589444258176649E-2</c:v>
                </c:pt>
                <c:pt idx="308">
                  <c:v>4.8622676586095044E-2</c:v>
                </c:pt>
                <c:pt idx="309">
                  <c:v>4.8655933730444141E-2</c:v>
                </c:pt>
                <c:pt idx="310">
                  <c:v>4.8689267037414934E-2</c:v>
                </c:pt>
                <c:pt idx="311">
                  <c:v>4.8722727589194686E-2</c:v>
                </c:pt>
                <c:pt idx="312">
                  <c:v>4.8756365968273943E-2</c:v>
                </c:pt>
                <c:pt idx="313">
                  <c:v>4.879023202295641E-2</c:v>
                </c:pt>
                <c:pt idx="314">
                  <c:v>4.8824374635728834E-2</c:v>
                </c:pt>
                <c:pt idx="315">
                  <c:v>4.8858841496136354E-2</c:v>
                </c:pt>
                <c:pt idx="316">
                  <c:v>4.8893678879784228E-2</c:v>
                </c:pt>
                <c:pt idx="317">
                  <c:v>4.8928931435048152E-2</c:v>
                </c:pt>
                <c:pt idx="318">
                  <c:v>4.8964641979021874E-2</c:v>
                </c:pt>
                <c:pt idx="319">
                  <c:v>4.9000851304165996E-2</c:v>
                </c:pt>
                <c:pt idx="320">
                  <c:v>4.903759799704175E-2</c:v>
                </c:pt>
                <c:pt idx="321">
                  <c:v>4.907491827042422E-2</c:v>
                </c:pt>
                <c:pt idx="322">
                  <c:v>4.9112845809985754E-2</c:v>
                </c:pt>
                <c:pt idx="323">
                  <c:v>4.9151411636629082E-2</c:v>
                </c:pt>
                <c:pt idx="324">
                  <c:v>4.9190643985426753E-2</c:v>
                </c:pt>
                <c:pt idx="325">
                  <c:v>4.9230568201993591E-2</c:v>
                </c:pt>
                <c:pt idx="326">
                  <c:v>4.9271206656980836E-2</c:v>
                </c:pt>
                <c:pt idx="327">
                  <c:v>4.9312578679237863E-2</c:v>
                </c:pt>
                <c:pt idx="328">
                  <c:v>4.9354700508038064E-2</c:v>
                </c:pt>
                <c:pt idx="329">
                  <c:v>4.9397585264615095E-2</c:v>
                </c:pt>
                <c:pt idx="330">
                  <c:v>4.944124294310092E-2</c:v>
                </c:pt>
                <c:pt idx="331">
                  <c:v>4.9485680420804021E-2</c:v>
                </c:pt>
                <c:pt idx="332">
                  <c:v>4.9530901487611863E-2</c:v>
                </c:pt>
                <c:pt idx="333">
                  <c:v>4.9576906894151333E-2</c:v>
                </c:pt>
                <c:pt idx="334">
                  <c:v>4.9623694418192289E-2</c:v>
                </c:pt>
                <c:pt idx="335">
                  <c:v>4.9671258948637505E-2</c:v>
                </c:pt>
                <c:pt idx="336">
                  <c:v>4.9719592586304963E-2</c:v>
                </c:pt>
                <c:pt idx="337">
                  <c:v>4.9768684760579378E-2</c:v>
                </c:pt>
                <c:pt idx="338">
                  <c:v>4.9818522360889302E-2</c:v>
                </c:pt>
                <c:pt idx="339">
                  <c:v>4.9869089881854657E-2</c:v>
                </c:pt>
                <c:pt idx="340">
                  <c:v>4.9920369580848833E-2</c:v>
                </c:pt>
                <c:pt idx="341">
                  <c:v>4.9972341646631134E-2</c:v>
                </c:pt>
                <c:pt idx="342">
                  <c:v>5.0024984377627237E-2</c:v>
                </c:pt>
                <c:pt idx="343">
                  <c:v>5.0078274368372012E-2</c:v>
                </c:pt>
                <c:pt idx="344">
                  <c:v>5.0132186702578387E-2</c:v>
                </c:pt>
                <c:pt idx="345">
                  <c:v>5.0186695151258141E-2</c:v>
                </c:pt>
                <c:pt idx="346">
                  <c:v>5.0241772374298714E-2</c:v>
                </c:pt>
                <c:pt idx="347">
                  <c:v>5.0297390123890576E-2</c:v>
                </c:pt>
                <c:pt idx="348">
                  <c:v>5.03535194482055E-2</c:v>
                </c:pt>
                <c:pt idx="349">
                  <c:v>5.0410130893745381E-2</c:v>
                </c:pt>
                <c:pt idx="350">
                  <c:v>5.0467194704814686E-2</c:v>
                </c:pt>
                <c:pt idx="351">
                  <c:v>5.0524681018615868E-2</c:v>
                </c:pt>
                <c:pt idx="352">
                  <c:v>5.0582560054527041E-2</c:v>
                </c:pt>
                <c:pt idx="353">
                  <c:v>5.0640802296192132E-2</c:v>
                </c:pt>
                <c:pt idx="354">
                  <c:v>5.0699378665137511E-2</c:v>
                </c:pt>
                <c:pt idx="355">
                  <c:v>5.0758260684722396E-2</c:v>
                </c:pt>
                <c:pt idx="356">
                  <c:v>5.0817420633333388E-2</c:v>
                </c:pt>
                <c:pt idx="357">
                  <c:v>5.0876831685845954E-2</c:v>
                </c:pt>
                <c:pt idx="358">
                  <c:v>5.0936468042494437E-2</c:v>
                </c:pt>
                <c:pt idx="359">
                  <c:v>5.0996305044418003E-2</c:v>
                </c:pt>
                <c:pt idx="360">
                  <c:v>5.1056319275280586E-2</c:v>
                </c:pt>
                <c:pt idx="361">
                  <c:v>5.1116488648497424E-2</c:v>
                </c:pt>
                <c:pt idx="362">
                  <c:v>5.1176792479737276E-2</c:v>
                </c:pt>
                <c:pt idx="363">
                  <c:v>5.1237211544507999E-2</c:v>
                </c:pt>
                <c:pt idx="364">
                  <c:v>5.1297728120770582E-2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3.4149464402851234E-4</c:v>
                </c:pt>
                <c:pt idx="1">
                  <c:v>3.3943602120598438E-4</c:v>
                </c:pt>
                <c:pt idx="2">
                  <c:v>3.3710286857945102E-4</c:v>
                </c:pt>
                <c:pt idx="3">
                  <c:v>3.3451696414654638E-4</c:v>
                </c:pt>
                <c:pt idx="4">
                  <c:v>3.3169946458282758E-4</c:v>
                </c:pt>
                <c:pt idx="5">
                  <c:v>3.2867077639228568E-4</c:v>
                </c:pt>
                <c:pt idx="6">
                  <c:v>3.254504520045291E-4</c:v>
                </c:pt>
                <c:pt idx="7">
                  <c:v>3.2205710835860133E-4</c:v>
                </c:pt>
                <c:pt idx="8">
                  <c:v>3.1846447129529697E-4</c:v>
                </c:pt>
                <c:pt idx="9">
                  <c:v>3.1424983501068408E-4</c:v>
                </c:pt>
                <c:pt idx="10">
                  <c:v>3.0929520906511549E-4</c:v>
                </c:pt>
                <c:pt idx="11">
                  <c:v>3.0362414260471526E-4</c:v>
                </c:pt>
                <c:pt idx="12">
                  <c:v>2.9726039475264668E-4</c:v>
                </c:pt>
                <c:pt idx="13">
                  <c:v>2.9022781753024131E-4</c:v>
                </c:pt>
                <c:pt idx="14">
                  <c:v>2.8255024663300618E-4</c:v>
                </c:pt>
                <c:pt idx="15">
                  <c:v>2.7431564003699971E-4</c:v>
                </c:pt>
                <c:pt idx="16">
                  <c:v>2.6586768391890109E-4</c:v>
                </c:pt>
                <c:pt idx="17">
                  <c:v>2.5721889254343042E-4</c:v>
                </c:pt>
                <c:pt idx="18">
                  <c:v>2.4838136648041865E-4</c:v>
                </c:pt>
                <c:pt idx="19">
                  <c:v>2.3936810664485923E-4</c:v>
                </c:pt>
                <c:pt idx="20">
                  <c:v>2.3019203841240731E-4</c:v>
                </c:pt>
                <c:pt idx="21">
                  <c:v>2.2086436447470948E-4</c:v>
                </c:pt>
                <c:pt idx="22">
                  <c:v>2.1137587258694576E-4</c:v>
                </c:pt>
                <c:pt idx="23">
                  <c:v>2.0193446687238352E-4</c:v>
                </c:pt>
                <c:pt idx="24">
                  <c:v>1.9289478887449753E-4</c:v>
                </c:pt>
                <c:pt idx="25">
                  <c:v>1.8425831245468045E-4</c:v>
                </c:pt>
                <c:pt idx="26">
                  <c:v>1.7602467700879971E-4</c:v>
                </c:pt>
                <c:pt idx="27">
                  <c:v>1.6819191759855827E-4</c:v>
                </c:pt>
                <c:pt idx="28">
                  <c:v>1.6075668531526563E-4</c:v>
                </c:pt>
                <c:pt idx="29">
                  <c:v>1.5391730464140723E-4</c:v>
                </c:pt>
                <c:pt idx="30">
                  <c:v>1.4760667472956974E-4</c:v>
                </c:pt>
                <c:pt idx="31">
                  <c:v>1.4181417244371719E-4</c:v>
                </c:pt>
                <c:pt idx="32">
                  <c:v>1.3652876100632736E-4</c:v>
                </c:pt>
                <c:pt idx="33">
                  <c:v>1.3173917580407059E-4</c:v>
                </c:pt>
                <c:pt idx="34">
                  <c:v>1.2743409179121471E-4</c:v>
                </c:pt>
                <c:pt idx="35">
                  <c:v>1.2360227361569396E-4</c:v>
                </c:pt>
                <c:pt idx="36">
                  <c:v>1.2022527641778221E-4</c:v>
                </c:pt>
                <c:pt idx="37">
                  <c:v>1.176445692424985E-4</c:v>
                </c:pt>
                <c:pt idx="38">
                  <c:v>1.1565679020791483E-4</c:v>
                </c:pt>
                <c:pt idx="39">
                  <c:v>1.142476180600553E-4</c:v>
                </c:pt>
                <c:pt idx="40">
                  <c:v>1.1339815742507788E-4</c:v>
                </c:pt>
                <c:pt idx="41">
                  <c:v>1.1309284702065104E-4</c:v>
                </c:pt>
                <c:pt idx="42">
                  <c:v>1.1331669189739582E-4</c:v>
                </c:pt>
                <c:pt idx="43">
                  <c:v>1.142813378936273E-4</c:v>
                </c:pt>
                <c:pt idx="44">
                  <c:v>1.1579098093713751E-4</c:v>
                </c:pt>
                <c:pt idx="45">
                  <c:v>1.1783108874033658E-4</c:v>
                </c:pt>
                <c:pt idx="46">
                  <c:v>1.2038755149559768E-4</c:v>
                </c:pt>
                <c:pt idx="47">
                  <c:v>1.2344664579876034E-4</c:v>
                </c:pt>
                <c:pt idx="48">
                  <c:v>1.2699500289223116E-4</c:v>
                </c:pt>
                <c:pt idx="49">
                  <c:v>1.3101958112000407E-4</c:v>
                </c:pt>
                <c:pt idx="50">
                  <c:v>1.3550710652942145E-4</c:v>
                </c:pt>
                <c:pt idx="51">
                  <c:v>1.3979526783915283E-4</c:v>
                </c:pt>
                <c:pt idx="52">
                  <c:v>1.4357233590003897E-4</c:v>
                </c:pt>
                <c:pt idx="53">
                  <c:v>1.4685143090077682E-4</c:v>
                </c:pt>
                <c:pt idx="54">
                  <c:v>1.4964617160804705E-4</c:v>
                </c:pt>
                <c:pt idx="55">
                  <c:v>1.519699783378548E-4</c:v>
                </c:pt>
                <c:pt idx="56">
                  <c:v>1.538360497733015E-4</c:v>
                </c:pt>
                <c:pt idx="57">
                  <c:v>1.5454617186099544E-4</c:v>
                </c:pt>
                <c:pt idx="58">
                  <c:v>1.5392922216629846E-4</c:v>
                </c:pt>
                <c:pt idx="59">
                  <c:v>1.5201820768472193E-4</c:v>
                </c:pt>
                <c:pt idx="60">
                  <c:v>1.4884499181947949E-4</c:v>
                </c:pt>
                <c:pt idx="61">
                  <c:v>1.4444023221522192E-4</c:v>
                </c:pt>
                <c:pt idx="62">
                  <c:v>1.3883332040817326E-4</c:v>
                </c:pt>
                <c:pt idx="63">
                  <c:v>1.3205232286215066E-4</c:v>
                </c:pt>
                <c:pt idx="64">
                  <c:v>1.241204823380808E-4</c:v>
                </c:pt>
                <c:pt idx="65">
                  <c:v>1.1538549130975972E-4</c:v>
                </c:pt>
                <c:pt idx="66">
                  <c:v>1.0644163009244516E-4</c:v>
                </c:pt>
                <c:pt idx="67">
                  <c:v>9.7293053839900032E-5</c:v>
                </c:pt>
                <c:pt idx="68">
                  <c:v>8.7943435454424019E-5</c:v>
                </c:pt>
                <c:pt idx="69">
                  <c:v>7.8395947902163267E-5</c:v>
                </c:pt>
                <c:pt idx="70">
                  <c:v>6.8653246561651773E-5</c:v>
                </c:pt>
                <c:pt idx="71">
                  <c:v>5.913753359140902E-5</c:v>
                </c:pt>
                <c:pt idx="72">
                  <c:v>5.0480371485785531E-5</c:v>
                </c:pt>
                <c:pt idx="73">
                  <c:v>4.2662744893979478E-5</c:v>
                </c:pt>
                <c:pt idx="74">
                  <c:v>3.5666207579034494E-5</c:v>
                </c:pt>
                <c:pt idx="75">
                  <c:v>2.9472918216633162E-5</c:v>
                </c:pt>
                <c:pt idx="76">
                  <c:v>2.4065675524729617E-5</c:v>
                </c:pt>
                <c:pt idx="77">
                  <c:v>1.9427952668832048E-5</c:v>
                </c:pt>
                <c:pt idx="78">
                  <c:v>1.5543057653995923E-5</c:v>
                </c:pt>
                <c:pt idx="79">
                  <c:v>1.2422138185308937E-5</c:v>
                </c:pt>
                <c:pt idx="80">
                  <c:v>9.7591464782326983E-6</c:v>
                </c:pt>
                <c:pt idx="81">
                  <c:v>7.5459856796348941E-6</c:v>
                </c:pt>
                <c:pt idx="82">
                  <c:v>5.7747519890548559E-6</c:v>
                </c:pt>
                <c:pt idx="83">
                  <c:v>4.437843033048157E-6</c:v>
                </c:pt>
                <c:pt idx="84">
                  <c:v>3.528059260213361E-6</c:v>
                </c:pt>
                <c:pt idx="85">
                  <c:v>3.0614890864436143E-6</c:v>
                </c:pt>
                <c:pt idx="86">
                  <c:v>2.6460571851902791E-6</c:v>
                </c:pt>
                <c:pt idx="87">
                  <c:v>2.2810054200911734E-6</c:v>
                </c:pt>
                <c:pt idx="88">
                  <c:v>1.9656408478728191E-6</c:v>
                </c:pt>
                <c:pt idx="89">
                  <c:v>1.6993466836466785E-6</c:v>
                </c:pt>
                <c:pt idx="90">
                  <c:v>1.4815928520854866E-6</c:v>
                </c:pt>
                <c:pt idx="91">
                  <c:v>1.3119462214494056E-6</c:v>
                </c:pt>
                <c:pt idx="92">
                  <c:v>1.1900184053303928E-6</c:v>
                </c:pt>
                <c:pt idx="93">
                  <c:v>1.1422224964796455E-6</c:v>
                </c:pt>
                <c:pt idx="94">
                  <c:v>1.1430468655226983E-6</c:v>
                </c:pt>
                <c:pt idx="95">
                  <c:v>1.1924119263760243E-6</c:v>
                </c:pt>
                <c:pt idx="96">
                  <c:v>1.290340138403465E-6</c:v>
                </c:pt>
                <c:pt idx="97">
                  <c:v>1.43695838111755E-6</c:v>
                </c:pt>
                <c:pt idx="98">
                  <c:v>1.6325004561440989E-6</c:v>
                </c:pt>
                <c:pt idx="99">
                  <c:v>1.9453753044281275E-6</c:v>
                </c:pt>
                <c:pt idx="100">
                  <c:v>2.3529868066550127E-6</c:v>
                </c:pt>
                <c:pt idx="101">
                  <c:v>2.8556368254349492E-6</c:v>
                </c:pt>
                <c:pt idx="102">
                  <c:v>3.4538091864637475E-6</c:v>
                </c:pt>
                <c:pt idx="103">
                  <c:v>4.1481720359632601E-6</c:v>
                </c:pt>
                <c:pt idx="104">
                  <c:v>4.9395802593220417E-6</c:v>
                </c:pt>
                <c:pt idx="105">
                  <c:v>5.8290779559670757E-6</c:v>
                </c:pt>
                <c:pt idx="106">
                  <c:v>6.8179502296900841E-6</c:v>
                </c:pt>
                <c:pt idx="107">
                  <c:v>8.0241161235100317E-6</c:v>
                </c:pt>
                <c:pt idx="108">
                  <c:v>9.4225141199939399E-6</c:v>
                </c:pt>
                <c:pt idx="109">
                  <c:v>1.1015342453798868E-5</c:v>
                </c:pt>
                <c:pt idx="110">
                  <c:v>1.2805143539752076E-5</c:v>
                </c:pt>
                <c:pt idx="111">
                  <c:v>1.4794780611388615E-5</c:v>
                </c:pt>
                <c:pt idx="112">
                  <c:v>1.6987384304353702E-5</c:v>
                </c:pt>
                <c:pt idx="113">
                  <c:v>1.9564983204044962E-5</c:v>
                </c:pt>
                <c:pt idx="114">
                  <c:v>2.2463398905405861E-5</c:v>
                </c:pt>
                <c:pt idx="115">
                  <c:v>2.5687718599709681E-5</c:v>
                </c:pt>
                <c:pt idx="116">
                  <c:v>2.9243431053201445E-5</c:v>
                </c:pt>
                <c:pt idx="117">
                  <c:v>3.3136404554440372E-5</c:v>
                </c:pt>
                <c:pt idx="118">
                  <c:v>3.7372863354361378E-5</c:v>
                </c:pt>
                <c:pt idx="119">
                  <c:v>4.1959362425326921E-5</c:v>
                </c:pt>
                <c:pt idx="120">
                  <c:v>4.6903547935828994E-5</c:v>
                </c:pt>
                <c:pt idx="121">
                  <c:v>5.2462106495598534E-5</c:v>
                </c:pt>
                <c:pt idx="122">
                  <c:v>5.8525439259696108E-5</c:v>
                </c:pt>
                <c:pt idx="123">
                  <c:v>6.510551403502999E-5</c:v>
                </c:pt>
                <c:pt idx="124">
                  <c:v>7.221491169023269E-5</c:v>
                </c:pt>
                <c:pt idx="125">
                  <c:v>7.9866801851303818E-5</c:v>
                </c:pt>
                <c:pt idx="126">
                  <c:v>8.8074915871697598E-5</c:v>
                </c:pt>
                <c:pt idx="127">
                  <c:v>9.6364700273486606E-5</c:v>
                </c:pt>
                <c:pt idx="128">
                  <c:v>1.0455086206199107E-4</c:v>
                </c:pt>
                <c:pt idx="129">
                  <c:v>1.1263587185128502E-4</c:v>
                </c:pt>
                <c:pt idx="130">
                  <c:v>1.2062185739018113E-4</c:v>
                </c:pt>
                <c:pt idx="131">
                  <c:v>1.2851060682237807E-4</c:v>
                </c:pt>
                <c:pt idx="132">
                  <c:v>1.3630357220584919E-4</c:v>
                </c:pt>
                <c:pt idx="133">
                  <c:v>1.4400187325981745E-4</c:v>
                </c:pt>
                <c:pt idx="134">
                  <c:v>1.5160806094519693E-4</c:v>
                </c:pt>
                <c:pt idx="135">
                  <c:v>1.5818575018245633E-4</c:v>
                </c:pt>
                <c:pt idx="136">
                  <c:v>1.6343000257675622E-4</c:v>
                </c:pt>
                <c:pt idx="137">
                  <c:v>1.6730692628228356E-4</c:v>
                </c:pt>
                <c:pt idx="138">
                  <c:v>1.6978084158884285E-4</c:v>
                </c:pt>
                <c:pt idx="139">
                  <c:v>1.7081441272323423E-4</c:v>
                </c:pt>
                <c:pt idx="140">
                  <c:v>1.703687897105562E-4</c:v>
                </c:pt>
                <c:pt idx="141">
                  <c:v>1.6856763854669257E-4</c:v>
                </c:pt>
                <c:pt idx="142">
                  <c:v>1.6591150291043203E-4</c:v>
                </c:pt>
                <c:pt idx="143">
                  <c:v>1.6237147043852778E-4</c:v>
                </c:pt>
                <c:pt idx="144">
                  <c:v>1.5791904544050074E-4</c:v>
                </c:pt>
                <c:pt idx="145">
                  <c:v>1.5252522168129087E-4</c:v>
                </c:pt>
                <c:pt idx="146">
                  <c:v>1.4616058712057966E-4</c:v>
                </c:pt>
                <c:pt idx="147">
                  <c:v>1.387954344329188E-4</c:v>
                </c:pt>
                <c:pt idx="148">
                  <c:v>1.3040049911554392E-4</c:v>
                </c:pt>
                <c:pt idx="149">
                  <c:v>1.2149893221977004E-4</c:v>
                </c:pt>
                <c:pt idx="150">
                  <c:v>1.1315283770025795E-4</c:v>
                </c:pt>
                <c:pt idx="151">
                  <c:v>1.0537716779262461E-4</c:v>
                </c:pt>
                <c:pt idx="152">
                  <c:v>9.8187183760857619E-5</c:v>
                </c:pt>
                <c:pt idx="153">
                  <c:v>9.1598419350554525E-5</c:v>
                </c:pt>
                <c:pt idx="154">
                  <c:v>8.5626643588653951E-5</c:v>
                </c:pt>
                <c:pt idx="155">
                  <c:v>8.0385616760900175E-5</c:v>
                </c:pt>
                <c:pt idx="156">
                  <c:v>7.5719921701792605E-5</c:v>
                </c:pt>
                <c:pt idx="157">
                  <c:v>7.1646870776428555E-5</c:v>
                </c:pt>
                <c:pt idx="158">
                  <c:v>6.8183942932954463E-5</c:v>
                </c:pt>
                <c:pt idx="159">
                  <c:v>6.5348744308632318E-5</c:v>
                </c:pt>
                <c:pt idx="160">
                  <c:v>6.3158970115982074E-5</c:v>
                </c:pt>
                <c:pt idx="161">
                  <c:v>6.1632368320022074E-5</c:v>
                </c:pt>
                <c:pt idx="162">
                  <c:v>6.0787338468004471E-5</c:v>
                </c:pt>
                <c:pt idx="163">
                  <c:v>6.0643782589312664E-5</c:v>
                </c:pt>
                <c:pt idx="164">
                  <c:v>6.059182496036127E-5</c:v>
                </c:pt>
                <c:pt idx="165">
                  <c:v>6.0634167818528648E-5</c:v>
                </c:pt>
                <c:pt idx="166">
                  <c:v>6.0773545064313063E-5</c:v>
                </c:pt>
                <c:pt idx="167">
                  <c:v>6.1012708982074307E-5</c:v>
                </c:pt>
                <c:pt idx="168">
                  <c:v>6.135441695707322E-5</c:v>
                </c:pt>
                <c:pt idx="169">
                  <c:v>6.1804211340165372E-5</c:v>
                </c:pt>
                <c:pt idx="170">
                  <c:v>6.2252843026658721E-5</c:v>
                </c:pt>
                <c:pt idx="171">
                  <c:v>6.2700651020392508E-5</c:v>
                </c:pt>
                <c:pt idx="172">
                  <c:v>6.3147990682976108E-5</c:v>
                </c:pt>
                <c:pt idx="173">
                  <c:v>6.3594580828779036E-5</c:v>
                </c:pt>
                <c:pt idx="174">
                  <c:v>6.4040098402790423E-5</c:v>
                </c:pt>
                <c:pt idx="175">
                  <c:v>6.448485143798983E-5</c:v>
                </c:pt>
                <c:pt idx="176">
                  <c:v>6.4930264273944881E-5</c:v>
                </c:pt>
                <c:pt idx="177">
                  <c:v>6.5496836300509798E-5</c:v>
                </c:pt>
                <c:pt idx="178">
                  <c:v>6.6183730074618802E-5</c:v>
                </c:pt>
                <c:pt idx="179">
                  <c:v>6.6993761380392423E-5</c:v>
                </c:pt>
                <c:pt idx="180">
                  <c:v>6.7929673098909027E-5</c:v>
                </c:pt>
                <c:pt idx="181">
                  <c:v>6.8994134177952031E-5</c:v>
                </c:pt>
                <c:pt idx="182">
                  <c:v>7.0189739474083883E-5</c:v>
                </c:pt>
                <c:pt idx="183">
                  <c:v>7.2231273070000687E-5</c:v>
                </c:pt>
                <c:pt idx="184">
                  <c:v>7.5127185676471866E-5</c:v>
                </c:pt>
                <c:pt idx="185">
                  <c:v>7.8890034962939267E-5</c:v>
                </c:pt>
                <c:pt idx="186">
                  <c:v>8.3531892262499085E-5</c:v>
                </c:pt>
                <c:pt idx="187">
                  <c:v>8.906437060555895E-5</c:v>
                </c:pt>
                <c:pt idx="188">
                  <c:v>9.5498656470728038E-5</c:v>
                </c:pt>
                <c:pt idx="189">
                  <c:v>1.0284554481764892E-4</c:v>
                </c:pt>
                <c:pt idx="190">
                  <c:v>1.1111589809259638E-4</c:v>
                </c:pt>
                <c:pt idx="191">
                  <c:v>1.2050870015553226E-4</c:v>
                </c:pt>
                <c:pt idx="192">
                  <c:v>1.3090457115867333E-4</c:v>
                </c:pt>
                <c:pt idx="193">
                  <c:v>1.4231173779781376E-4</c:v>
                </c:pt>
                <c:pt idx="194">
                  <c:v>1.5473824501195207E-4</c:v>
                </c:pt>
                <c:pt idx="195">
                  <c:v>1.6819198598215515E-4</c:v>
                </c:pt>
                <c:pt idx="196">
                  <c:v>1.82680730933205E-4</c:v>
                </c:pt>
                <c:pt idx="197">
                  <c:v>1.9673150457517641E-4</c:v>
                </c:pt>
                <c:pt idx="198">
                  <c:v>2.0957356383384762E-4</c:v>
                </c:pt>
                <c:pt idx="199">
                  <c:v>2.2118889136806696E-4</c:v>
                </c:pt>
                <c:pt idx="200">
                  <c:v>2.3156007673861388E-4</c:v>
                </c:pt>
                <c:pt idx="201">
                  <c:v>2.4067026955791975E-4</c:v>
                </c:pt>
                <c:pt idx="202">
                  <c:v>2.4850313255124316E-4</c:v>
                </c:pt>
                <c:pt idx="203">
                  <c:v>2.5504279526511453E-4</c:v>
                </c:pt>
                <c:pt idx="204">
                  <c:v>2.6027455948412771E-4</c:v>
                </c:pt>
                <c:pt idx="205">
                  <c:v>2.6344124098527628E-4</c:v>
                </c:pt>
                <c:pt idx="206">
                  <c:v>2.6433099295374636E-4</c:v>
                </c:pt>
                <c:pt idx="207">
                  <c:v>2.6292294286342971E-4</c:v>
                </c:pt>
                <c:pt idx="208">
                  <c:v>2.5919636988131151E-4</c:v>
                </c:pt>
                <c:pt idx="209">
                  <c:v>2.5313063882528202E-4</c:v>
                </c:pt>
                <c:pt idx="210">
                  <c:v>2.4470514024748242E-4</c:v>
                </c:pt>
                <c:pt idx="211">
                  <c:v>2.3438194497764199E-4</c:v>
                </c:pt>
                <c:pt idx="212">
                  <c:v>2.2370779535397302E-4</c:v>
                </c:pt>
                <c:pt idx="213">
                  <c:v>2.1268260067144795E-4</c:v>
                </c:pt>
                <c:pt idx="214">
                  <c:v>2.0130604700549913E-4</c:v>
                </c:pt>
                <c:pt idx="215">
                  <c:v>1.8957760561435442E-4</c:v>
                </c:pt>
                <c:pt idx="216">
                  <c:v>1.7749654230814787E-4</c:v>
                </c:pt>
                <c:pt idx="217">
                  <c:v>1.6506192760648125E-4</c:v>
                </c:pt>
                <c:pt idx="218">
                  <c:v>1.5227203352179578E-4</c:v>
                </c:pt>
                <c:pt idx="219">
                  <c:v>1.394314888034667E-4</c:v>
                </c:pt>
                <c:pt idx="220">
                  <c:v>1.2731560137782915E-4</c:v>
                </c:pt>
                <c:pt idx="221">
                  <c:v>1.1593214682111462E-4</c:v>
                </c:pt>
                <c:pt idx="222">
                  <c:v>1.0528878442507565E-4</c:v>
                </c:pt>
                <c:pt idx="223">
                  <c:v>9.5393083115364878E-5</c:v>
                </c:pt>
                <c:pt idx="224">
                  <c:v>8.6252545826661105E-5</c:v>
                </c:pt>
                <c:pt idx="225">
                  <c:v>7.8089279241602162E-5</c:v>
                </c:pt>
                <c:pt idx="226">
                  <c:v>7.0404416159857401E-5</c:v>
                </c:pt>
                <c:pt idx="227">
                  <c:v>6.320222991172873E-5</c:v>
                </c:pt>
                <c:pt idx="228">
                  <c:v>5.6487006510243838E-5</c:v>
                </c:pt>
                <c:pt idx="229">
                  <c:v>5.02630560684688E-5</c:v>
                </c:pt>
                <c:pt idx="230">
                  <c:v>4.4534723627151307E-5</c:v>
                </c:pt>
                <c:pt idx="231">
                  <c:v>3.9306399491774587E-5</c:v>
                </c:pt>
                <c:pt idx="232">
                  <c:v>3.4581200122137713E-5</c:v>
                </c:pt>
                <c:pt idx="233">
                  <c:v>3.0494489935936015E-5</c:v>
                </c:pt>
                <c:pt idx="234">
                  <c:v>2.6733454095340865E-5</c:v>
                </c:pt>
                <c:pt idx="235">
                  <c:v>2.3301875249436627E-5</c:v>
                </c:pt>
                <c:pt idx="236">
                  <c:v>2.020330766901748E-5</c:v>
                </c:pt>
                <c:pt idx="237">
                  <c:v>1.744110504321196E-5</c:v>
                </c:pt>
                <c:pt idx="238">
                  <c:v>1.5018489922709109E-5</c:v>
                </c:pt>
                <c:pt idx="239">
                  <c:v>1.3012966702134491E-5</c:v>
                </c:pt>
                <c:pt idx="240">
                  <c:v>1.1203922660542169E-5</c:v>
                </c:pt>
                <c:pt idx="241">
                  <c:v>9.5931816901264817E-6</c:v>
                </c:pt>
                <c:pt idx="242">
                  <c:v>8.182557284408628E-6</c:v>
                </c:pt>
                <c:pt idx="243">
                  <c:v>6.9738855247273462E-6</c:v>
                </c:pt>
                <c:pt idx="244">
                  <c:v>5.9690592410524745E-6</c:v>
                </c:pt>
                <c:pt idx="245">
                  <c:v>5.1700634866554372E-6</c:v>
                </c:pt>
                <c:pt idx="246">
                  <c:v>4.5789067642494443E-6</c:v>
                </c:pt>
                <c:pt idx="247">
                  <c:v>4.2884301674976269E-6</c:v>
                </c:pt>
                <c:pt idx="248">
                  <c:v>4.1642679612131518E-6</c:v>
                </c:pt>
                <c:pt idx="249">
                  <c:v>4.2085578772021345E-6</c:v>
                </c:pt>
                <c:pt idx="250">
                  <c:v>4.4235459507478218E-6</c:v>
                </c:pt>
                <c:pt idx="251">
                  <c:v>4.8115761116450495E-6</c:v>
                </c:pt>
                <c:pt idx="252">
                  <c:v>5.375078959321632E-6</c:v>
                </c:pt>
                <c:pt idx="253">
                  <c:v>6.2141677694655776E-6</c:v>
                </c:pt>
                <c:pt idx="254">
                  <c:v>7.2536701961766839E-6</c:v>
                </c:pt>
                <c:pt idx="255">
                  <c:v>8.4965253701325787E-6</c:v>
                </c:pt>
                <c:pt idx="256">
                  <c:v>9.9457055847227379E-6</c:v>
                </c:pt>
                <c:pt idx="257">
                  <c:v>1.1604198020280126E-5</c:v>
                </c:pt>
                <c:pt idx="258">
                  <c:v>1.3474985038899412E-5</c:v>
                </c:pt>
                <c:pt idx="259">
                  <c:v>1.5561022995133723E-5</c:v>
                </c:pt>
                <c:pt idx="260">
                  <c:v>1.7866293950717796E-5</c:v>
                </c:pt>
                <c:pt idx="261">
                  <c:v>2.1345327543784907E-5</c:v>
                </c:pt>
                <c:pt idx="262">
                  <c:v>2.5918481129561933E-5</c:v>
                </c:pt>
                <c:pt idx="263">
                  <c:v>3.1602662858018908E-5</c:v>
                </c:pt>
                <c:pt idx="264">
                  <c:v>3.8415028614002427E-5</c:v>
                </c:pt>
                <c:pt idx="265">
                  <c:v>4.6373024731586175E-5</c:v>
                </c:pt>
                <c:pt idx="266">
                  <c:v>5.5493969591953166E-5</c:v>
                </c:pt>
                <c:pt idx="267">
                  <c:v>6.6261305639395664E-5</c:v>
                </c:pt>
                <c:pt idx="268">
                  <c:v>7.8592770297022181E-5</c:v>
                </c:pt>
                <c:pt idx="269">
                  <c:v>9.2508867528270943E-5</c:v>
                </c:pt>
                <c:pt idx="270">
                  <c:v>1.0802874715619239E-4</c:v>
                </c:pt>
                <c:pt idx="271">
                  <c:v>1.2516980122743431E-4</c:v>
                </c:pt>
                <c:pt idx="272">
                  <c:v>1.4394724022030885E-4</c:v>
                </c:pt>
                <c:pt idx="273">
                  <c:v>1.643736503962988E-4</c:v>
                </c:pt>
                <c:pt idx="274">
                  <c:v>1.8646760155297567E-4</c:v>
                </c:pt>
                <c:pt idx="275">
                  <c:v>2.0849366845654001E-4</c:v>
                </c:pt>
                <c:pt idx="276">
                  <c:v>2.2942008758963326E-4</c:v>
                </c:pt>
                <c:pt idx="277">
                  <c:v>2.4922509754348588E-4</c:v>
                </c:pt>
                <c:pt idx="278">
                  <c:v>2.6788716027560173E-4</c:v>
                </c:pt>
                <c:pt idx="279">
                  <c:v>2.8538503332461746E-4</c:v>
                </c:pt>
                <c:pt idx="280">
                  <c:v>3.0169784176257899E-4</c:v>
                </c:pt>
                <c:pt idx="281">
                  <c:v>3.1571722953362456E-4</c:v>
                </c:pt>
                <c:pt idx="282">
                  <c:v>3.2691148323562251E-4</c:v>
                </c:pt>
                <c:pt idx="283">
                  <c:v>3.3524317201404118E-4</c:v>
                </c:pt>
                <c:pt idx="284">
                  <c:v>3.4067621982924909E-4</c:v>
                </c:pt>
                <c:pt idx="285">
                  <c:v>3.4317598255393815E-4</c:v>
                </c:pt>
                <c:pt idx="286">
                  <c:v>3.4270930802461999E-4</c:v>
                </c:pt>
                <c:pt idx="287">
                  <c:v>3.3924457695798111E-4</c:v>
                </c:pt>
                <c:pt idx="288">
                  <c:v>3.3275955341252893E-4</c:v>
                </c:pt>
                <c:pt idx="289">
                  <c:v>3.2392263529407698E-4</c:v>
                </c:pt>
                <c:pt idx="290">
                  <c:v>3.1457368013510629E-4</c:v>
                </c:pt>
                <c:pt idx="291">
                  <c:v>3.0470745518239225E-4</c:v>
                </c:pt>
                <c:pt idx="292">
                  <c:v>2.9431923313637384E-4</c:v>
                </c:pt>
                <c:pt idx="293">
                  <c:v>2.8340482513742021E-4</c:v>
                </c:pt>
                <c:pt idx="294">
                  <c:v>2.7196061251003474E-4</c:v>
                </c:pt>
                <c:pt idx="295">
                  <c:v>2.6060830613802894E-4</c:v>
                </c:pt>
                <c:pt idx="296">
                  <c:v>2.504984184657501E-4</c:v>
                </c:pt>
                <c:pt idx="297">
                  <c:v>2.4164526363717486E-4</c:v>
                </c:pt>
                <c:pt idx="298">
                  <c:v>2.3406058808807131E-4</c:v>
                </c:pt>
                <c:pt idx="299">
                  <c:v>2.2775571759638135E-4</c:v>
                </c:pt>
                <c:pt idx="300">
                  <c:v>2.2274145502583522E-4</c:v>
                </c:pt>
                <c:pt idx="301">
                  <c:v>2.1902797915013586E-4</c:v>
                </c:pt>
                <c:pt idx="302">
                  <c:v>2.166371700255213E-4</c:v>
                </c:pt>
                <c:pt idx="303">
                  <c:v>2.1592129383632094E-4</c:v>
                </c:pt>
                <c:pt idx="304">
                  <c:v>2.1616938341103531E-4</c:v>
                </c:pt>
                <c:pt idx="305">
                  <c:v>2.1738736525184151E-4</c:v>
                </c:pt>
                <c:pt idx="306">
                  <c:v>2.1958109538071661E-4</c:v>
                </c:pt>
                <c:pt idx="307">
                  <c:v>2.2275631681525072E-4</c:v>
                </c:pt>
                <c:pt idx="308">
                  <c:v>2.2691861455790673E-4</c:v>
                </c:pt>
                <c:pt idx="309">
                  <c:v>2.3240354820576662E-4</c:v>
                </c:pt>
                <c:pt idx="310">
                  <c:v>2.3857087414870873E-4</c:v>
                </c:pt>
                <c:pt idx="311">
                  <c:v>2.4542336094020143E-4</c:v>
                </c:pt>
                <c:pt idx="312">
                  <c:v>2.5296345379948419E-4</c:v>
                </c:pt>
                <c:pt idx="313">
                  <c:v>2.6119321561433992E-4</c:v>
                </c:pt>
                <c:pt idx="314">
                  <c:v>2.7011426100745042E-4</c:v>
                </c:pt>
                <c:pt idx="315">
                  <c:v>2.7972768266940751E-4</c:v>
                </c:pt>
                <c:pt idx="316">
                  <c:v>2.9004628615478327E-4</c:v>
                </c:pt>
                <c:pt idx="317">
                  <c:v>3.010678087328529E-4</c:v>
                </c:pt>
                <c:pt idx="318">
                  <c:v>3.1245703901439104E-4</c:v>
                </c:pt>
                <c:pt idx="319">
                  <c:v>3.2421853467208013E-4</c:v>
                </c:pt>
                <c:pt idx="320">
                  <c:v>3.3635701036024474E-4</c:v>
                </c:pt>
                <c:pt idx="321">
                  <c:v>3.4887730595535002E-4</c:v>
                </c:pt>
                <c:pt idx="322">
                  <c:v>3.6178434850919219E-4</c:v>
                </c:pt>
                <c:pt idx="323">
                  <c:v>3.7453584686566831E-4</c:v>
                </c:pt>
                <c:pt idx="324">
                  <c:v>3.8679273049448419E-4</c:v>
                </c:pt>
                <c:pt idx="325">
                  <c:v>3.9855374629763849E-4</c:v>
                </c:pt>
                <c:pt idx="326">
                  <c:v>4.098146472292822E-4</c:v>
                </c:pt>
                <c:pt idx="327">
                  <c:v>4.2057214954308237E-4</c:v>
                </c:pt>
                <c:pt idx="328">
                  <c:v>4.308245353848589E-4</c:v>
                </c:pt>
                <c:pt idx="329">
                  <c:v>4.4056959714498036E-4</c:v>
                </c:pt>
                <c:pt idx="330">
                  <c:v>4.4986248597640819E-4</c:v>
                </c:pt>
                <c:pt idx="331">
                  <c:v>4.5832599520817676E-4</c:v>
                </c:pt>
                <c:pt idx="332">
                  <c:v>4.6595547175158663E-4</c:v>
                </c:pt>
                <c:pt idx="333">
                  <c:v>4.7272286821802467E-4</c:v>
                </c:pt>
                <c:pt idx="334">
                  <c:v>4.7859640937222288E-4</c:v>
                </c:pt>
                <c:pt idx="335">
                  <c:v>4.8354096134797515E-4</c:v>
                </c:pt>
                <c:pt idx="336">
                  <c:v>4.8751847802520036E-4</c:v>
                </c:pt>
                <c:pt idx="337">
                  <c:v>4.9066658972432228E-4</c:v>
                </c:pt>
                <c:pt idx="338">
                  <c:v>4.9351609354601007E-4</c:v>
                </c:pt>
                <c:pt idx="339">
                  <c:v>4.9603065227153144E-4</c:v>
                </c:pt>
                <c:pt idx="340">
                  <c:v>4.9817254749729952E-4</c:v>
                </c:pt>
                <c:pt idx="341">
                  <c:v>4.9990305048718258E-4</c:v>
                </c:pt>
                <c:pt idx="342">
                  <c:v>5.0118286411965666E-4</c:v>
                </c:pt>
                <c:pt idx="343">
                  <c:v>5.019726348582229E-4</c:v>
                </c:pt>
                <c:pt idx="344">
                  <c:v>5.0232054688150373E-4</c:v>
                </c:pt>
                <c:pt idx="345">
                  <c:v>5.0229366355114752E-4</c:v>
                </c:pt>
                <c:pt idx="346">
                  <c:v>5.022846844896919E-4</c:v>
                </c:pt>
                <c:pt idx="347">
                  <c:v>5.0228432300754918E-4</c:v>
                </c:pt>
                <c:pt idx="348">
                  <c:v>5.0228324882412077E-4</c:v>
                </c:pt>
                <c:pt idx="349">
                  <c:v>5.0227214839922531E-4</c:v>
                </c:pt>
                <c:pt idx="350">
                  <c:v>5.0224178749394338E-4</c:v>
                </c:pt>
                <c:pt idx="351">
                  <c:v>5.0214716225312065E-4</c:v>
                </c:pt>
                <c:pt idx="352">
                  <c:v>5.0179842038989403E-4</c:v>
                </c:pt>
                <c:pt idx="353">
                  <c:v>5.0118796610779646E-4</c:v>
                </c:pt>
                <c:pt idx="354">
                  <c:v>5.0030904710903238E-4</c:v>
                </c:pt>
                <c:pt idx="355">
                  <c:v>4.9915584166823916E-4</c:v>
                </c:pt>
                <c:pt idx="356">
                  <c:v>4.9772199715068756E-4</c:v>
                </c:pt>
                <c:pt idx="357">
                  <c:v>4.9600464416967548E-4</c:v>
                </c:pt>
                <c:pt idx="358">
                  <c:v>4.939549555202634E-4</c:v>
                </c:pt>
                <c:pt idx="359">
                  <c:v>4.9154636775701856E-4</c:v>
                </c:pt>
                <c:pt idx="360">
                  <c:v>4.8898437595692697E-4</c:v>
                </c:pt>
                <c:pt idx="361">
                  <c:v>4.8633022872776756E-4</c:v>
                </c:pt>
                <c:pt idx="362">
                  <c:v>4.836094506820587E-4</c:v>
                </c:pt>
                <c:pt idx="363">
                  <c:v>4.8084698783159072E-4</c:v>
                </c:pt>
                <c:pt idx="364">
                  <c:v>4.780670608090596E-4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928152"/>
        <c:axId val="545928544"/>
      </c:lineChart>
      <c:dateAx>
        <c:axId val="5459281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8544"/>
        <c:crosses val="autoZero"/>
        <c:auto val="1"/>
        <c:lblOffset val="100"/>
        <c:baseTimeUnit val="days"/>
        <c:majorUnit val="1"/>
        <c:majorTimeUnit val="months"/>
      </c:dateAx>
      <c:valAx>
        <c:axId val="5459285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5928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23.577077448416688</c:v>
                </c:pt>
                <c:pt idx="1">
                  <c:v>23.743702051343401</c:v>
                </c:pt>
                <c:pt idx="2">
                  <c:v>23.917471183356838</c:v>
                </c:pt>
                <c:pt idx="3">
                  <c:v>24.097262948827154</c:v>
                </c:pt>
                <c:pt idx="4">
                  <c:v>24.28195575278049</c:v>
                </c:pt>
                <c:pt idx="5">
                  <c:v>24.470428311142459</c:v>
                </c:pt>
                <c:pt idx="6">
                  <c:v>24.661559644711382</c:v>
                </c:pt>
                <c:pt idx="7">
                  <c:v>24.854229087706869</c:v>
                </c:pt>
                <c:pt idx="8">
                  <c:v>25.050770155416263</c:v>
                </c:pt>
                <c:pt idx="9">
                  <c:v>25.254131630604583</c:v>
                </c:pt>
                <c:pt idx="10">
                  <c:v>25.464100669725777</c:v>
                </c:pt>
                <c:pt idx="11">
                  <c:v>25.680460428746581</c:v>
                </c:pt>
                <c:pt idx="12">
                  <c:v>25.902994097519915</c:v>
                </c:pt>
                <c:pt idx="13">
                  <c:v>26.131484910939651</c:v>
                </c:pt>
                <c:pt idx="14">
                  <c:v>26.365716143523539</c:v>
                </c:pt>
                <c:pt idx="15">
                  <c:v>26.605471570212067</c:v>
                </c:pt>
                <c:pt idx="16">
                  <c:v>26.85052478124382</c:v>
                </c:pt>
                <c:pt idx="17">
                  <c:v>27.100659193517458</c:v>
                </c:pt>
                <c:pt idx="18">
                  <c:v>27.35565828096291</c:v>
                </c:pt>
                <c:pt idx="19">
                  <c:v>27.615305517331276</c:v>
                </c:pt>
                <c:pt idx="20">
                  <c:v>27.879384417247305</c:v>
                </c:pt>
                <c:pt idx="21">
                  <c:v>28.147678607599691</c:v>
                </c:pt>
                <c:pt idx="22">
                  <c:v>28.422633766799276</c:v>
                </c:pt>
                <c:pt idx="23">
                  <c:v>28.706176802800623</c:v>
                </c:pt>
                <c:pt idx="24">
                  <c:v>28.997312577131446</c:v>
                </c:pt>
                <c:pt idx="25">
                  <c:v>29.29505917844903</c:v>
                </c:pt>
                <c:pt idx="26">
                  <c:v>29.598435015255689</c:v>
                </c:pt>
                <c:pt idx="27">
                  <c:v>29.906458805702975</c:v>
                </c:pt>
                <c:pt idx="28">
                  <c:v>30.218149592342137</c:v>
                </c:pt>
                <c:pt idx="29">
                  <c:v>30.532518593398851</c:v>
                </c:pt>
                <c:pt idx="30">
                  <c:v>30.848585032408266</c:v>
                </c:pt>
                <c:pt idx="31">
                  <c:v>31.165368916175243</c:v>
                </c:pt>
                <c:pt idx="32">
                  <c:v>31.481890573304309</c:v>
                </c:pt>
                <c:pt idx="33">
                  <c:v>31.797170657527431</c:v>
                </c:pt>
                <c:pt idx="34">
                  <c:v>32.110230146787039</c:v>
                </c:pt>
                <c:pt idx="35">
                  <c:v>32.420090344165459</c:v>
                </c:pt>
                <c:pt idx="36">
                  <c:v>32.727796618971439</c:v>
                </c:pt>
                <c:pt idx="37">
                  <c:v>33.035161681180092</c:v>
                </c:pt>
                <c:pt idx="38">
                  <c:v>33.342389588815202</c:v>
                </c:pt>
                <c:pt idx="39">
                  <c:v>33.649676342711892</c:v>
                </c:pt>
                <c:pt idx="40">
                  <c:v>33.957217897471217</c:v>
                </c:pt>
                <c:pt idx="41">
                  <c:v>34.265210159756663</c:v>
                </c:pt>
                <c:pt idx="42">
                  <c:v>34.573848985109883</c:v>
                </c:pt>
                <c:pt idx="43">
                  <c:v>34.883312398418369</c:v>
                </c:pt>
                <c:pt idx="44">
                  <c:v>35.193804279488489</c:v>
                </c:pt>
                <c:pt idx="45">
                  <c:v>35.505520303044307</c:v>
                </c:pt>
                <c:pt idx="46">
                  <c:v>35.818656078878206</c:v>
                </c:pt>
                <c:pt idx="47">
                  <c:v>36.133407149474905</c:v>
                </c:pt>
                <c:pt idx="48">
                  <c:v>36.44996898469158</c:v>
                </c:pt>
                <c:pt idx="49">
                  <c:v>36.768536977967514</c:v>
                </c:pt>
                <c:pt idx="50">
                  <c:v>37.08945316886166</c:v>
                </c:pt>
                <c:pt idx="51">
                  <c:v>37.412762102488031</c:v>
                </c:pt>
                <c:pt idx="52">
                  <c:v>37.738185685081945</c:v>
                </c:pt>
                <c:pt idx="53">
                  <c:v>38.06543019489412</c:v>
                </c:pt>
                <c:pt idx="54">
                  <c:v>38.3942019329875</c:v>
                </c:pt>
                <c:pt idx="55">
                  <c:v>38.724207253363332</c:v>
                </c:pt>
                <c:pt idx="56">
                  <c:v>39.055152557269679</c:v>
                </c:pt>
                <c:pt idx="57">
                  <c:v>39.38679213154272</c:v>
                </c:pt>
                <c:pt idx="58">
                  <c:v>39.718850380706527</c:v>
                </c:pt>
                <c:pt idx="59">
                  <c:v>40.051033901965866</c:v>
                </c:pt>
                <c:pt idx="60">
                  <c:v>40.383049330290355</c:v>
                </c:pt>
                <c:pt idx="61">
                  <c:v>40.714603336334527</c:v>
                </c:pt>
                <c:pt idx="62">
                  <c:v>41.045402625357795</c:v>
                </c:pt>
                <c:pt idx="63">
                  <c:v>41.375153936260084</c:v>
                </c:pt>
                <c:pt idx="64">
                  <c:v>41.704720307941244</c:v>
                </c:pt>
                <c:pt idx="65">
                  <c:v>42.035016530246764</c:v>
                </c:pt>
                <c:pt idx="66">
                  <c:v>42.365817843043146</c:v>
                </c:pt>
                <c:pt idx="67">
                  <c:v>42.696928225411085</c:v>
                </c:pt>
                <c:pt idx="68">
                  <c:v>43.028151662673203</c:v>
                </c:pt>
                <c:pt idx="69">
                  <c:v>43.359292148552868</c:v>
                </c:pt>
                <c:pt idx="70">
                  <c:v>43.690153687629802</c:v>
                </c:pt>
                <c:pt idx="71">
                  <c:v>44.020512455478944</c:v>
                </c:pt>
                <c:pt idx="72">
                  <c:v>44.350124254446236</c:v>
                </c:pt>
                <c:pt idx="73">
                  <c:v>44.678792975390479</c:v>
                </c:pt>
                <c:pt idx="74">
                  <c:v>45.006322508699931</c:v>
                </c:pt>
                <c:pt idx="75">
                  <c:v>45.332516744656161</c:v>
                </c:pt>
                <c:pt idx="76">
                  <c:v>45.65717957565338</c:v>
                </c:pt>
                <c:pt idx="77">
                  <c:v>45.980114895854648</c:v>
                </c:pt>
                <c:pt idx="78">
                  <c:v>46.303729478348046</c:v>
                </c:pt>
                <c:pt idx="79">
                  <c:v>46.629905714165929</c:v>
                </c:pt>
                <c:pt idx="80">
                  <c:v>46.957678784024985</c:v>
                </c:pt>
                <c:pt idx="81">
                  <c:v>47.286071017408013</c:v>
                </c:pt>
                <c:pt idx="82">
                  <c:v>47.614104996504025</c:v>
                </c:pt>
                <c:pt idx="83">
                  <c:v>47.940803557767438</c:v>
                </c:pt>
                <c:pt idx="84">
                  <c:v>48.26518979880823</c:v>
                </c:pt>
                <c:pt idx="85">
                  <c:v>48.586284145559752</c:v>
                </c:pt>
                <c:pt idx="86">
                  <c:v>48.903138517534479</c:v>
                </c:pt>
                <c:pt idx="87">
                  <c:v>49.214776964151774</c:v>
                </c:pt>
                <c:pt idx="88">
                  <c:v>49.520223839967805</c:v>
                </c:pt>
                <c:pt idx="89">
                  <c:v>49.818503808617706</c:v>
                </c:pt>
                <c:pt idx="90">
                  <c:v>50.108641854702398</c:v>
                </c:pt>
                <c:pt idx="91">
                  <c:v>50.389663296239938</c:v>
                </c:pt>
                <c:pt idx="92">
                  <c:v>50.663242482271343</c:v>
                </c:pt>
                <c:pt idx="93">
                  <c:v>50.931635658346764</c:v>
                </c:pt>
                <c:pt idx="94">
                  <c:v>51.194748149665493</c:v>
                </c:pt>
                <c:pt idx="95">
                  <c:v>51.45248221529355</c:v>
                </c:pt>
                <c:pt idx="96">
                  <c:v>51.704740166699466</c:v>
                </c:pt>
                <c:pt idx="97">
                  <c:v>51.951424377942978</c:v>
                </c:pt>
                <c:pt idx="98">
                  <c:v>52.192437281681173</c:v>
                </c:pt>
                <c:pt idx="99">
                  <c:v>52.427676915789974</c:v>
                </c:pt>
                <c:pt idx="100">
                  <c:v>52.657048898371052</c:v>
                </c:pt>
                <c:pt idx="101">
                  <c:v>52.880455873771282</c:v>
                </c:pt>
                <c:pt idx="102">
                  <c:v>53.097800565502396</c:v>
                </c:pt>
                <c:pt idx="103">
                  <c:v>53.308985781132563</c:v>
                </c:pt>
                <c:pt idx="104">
                  <c:v>53.513914418038503</c:v>
                </c:pt>
                <c:pt idx="105">
                  <c:v>53.712489467997621</c:v>
                </c:pt>
                <c:pt idx="106">
                  <c:v>53.904224511537613</c:v>
                </c:pt>
                <c:pt idx="107">
                  <c:v>54.088885318324891</c:v>
                </c:pt>
                <c:pt idx="108">
                  <c:v>54.266767341542241</c:v>
                </c:pt>
                <c:pt idx="109">
                  <c:v>54.438163363859545</c:v>
                </c:pt>
                <c:pt idx="110">
                  <c:v>54.603366130008055</c:v>
                </c:pt>
                <c:pt idx="111">
                  <c:v>54.762668350813797</c:v>
                </c:pt>
                <c:pt idx="112">
                  <c:v>54.91636270331599</c:v>
                </c:pt>
                <c:pt idx="113">
                  <c:v>55.064730398999316</c:v>
                </c:pt>
                <c:pt idx="114">
                  <c:v>55.208068655070477</c:v>
                </c:pt>
                <c:pt idx="115">
                  <c:v>55.346669950338125</c:v>
                </c:pt>
                <c:pt idx="116">
                  <c:v>55.480826731772957</c:v>
                </c:pt>
                <c:pt idx="117">
                  <c:v>55.610831418697224</c:v>
                </c:pt>
                <c:pt idx="118">
                  <c:v>55.736976405097451</c:v>
                </c:pt>
                <c:pt idx="119">
                  <c:v>55.859554060723433</c:v>
                </c:pt>
                <c:pt idx="120">
                  <c:v>55.97791672854661</c:v>
                </c:pt>
                <c:pt idx="121">
                  <c:v>56.091267090652366</c:v>
                </c:pt>
                <c:pt idx="122">
                  <c:v>56.199711609888901</c:v>
                </c:pt>
                <c:pt idx="123">
                  <c:v>56.303348562910436</c:v>
                </c:pt>
                <c:pt idx="124">
                  <c:v>56.402276292907779</c:v>
                </c:pt>
                <c:pt idx="125">
                  <c:v>56.496593214880917</c:v>
                </c:pt>
                <c:pt idx="126">
                  <c:v>56.586397815105883</c:v>
                </c:pt>
                <c:pt idx="127">
                  <c:v>56.671820010046076</c:v>
                </c:pt>
                <c:pt idx="128">
                  <c:v>56.752971738792638</c:v>
                </c:pt>
                <c:pt idx="129">
                  <c:v>56.8299527157778</c:v>
                </c:pt>
                <c:pt idx="130">
                  <c:v>56.902862769492721</c:v>
                </c:pt>
                <c:pt idx="131">
                  <c:v>56.971801852686504</c:v>
                </c:pt>
                <c:pt idx="132">
                  <c:v>57.036870031150976</c:v>
                </c:pt>
                <c:pt idx="133">
                  <c:v>57.098167489149375</c:v>
                </c:pt>
                <c:pt idx="134">
                  <c:v>57.155131064038414</c:v>
                </c:pt>
                <c:pt idx="135">
                  <c:v>57.207335463501082</c:v>
                </c:pt>
                <c:pt idx="136">
                  <c:v>57.255003832974928</c:v>
                </c:pt>
                <c:pt idx="137">
                  <c:v>57.298336871354877</c:v>
                </c:pt>
                <c:pt idx="138">
                  <c:v>57.337535394231153</c:v>
                </c:pt>
                <c:pt idx="139">
                  <c:v>57.372800311672037</c:v>
                </c:pt>
                <c:pt idx="140">
                  <c:v>57.404332617265197</c:v>
                </c:pt>
                <c:pt idx="141">
                  <c:v>57.432325614633825</c:v>
                </c:pt>
                <c:pt idx="142">
                  <c:v>57.456945269803093</c:v>
                </c:pt>
                <c:pt idx="143">
                  <c:v>57.478391855153887</c:v>
                </c:pt>
                <c:pt idx="144">
                  <c:v>57.496865564279801</c:v>
                </c:pt>
                <c:pt idx="145">
                  <c:v>57.512566575150224</c:v>
                </c:pt>
                <c:pt idx="146">
                  <c:v>57.525695030387212</c:v>
                </c:pt>
                <c:pt idx="147">
                  <c:v>57.536451018393642</c:v>
                </c:pt>
                <c:pt idx="148">
                  <c:v>57.544759916733639</c:v>
                </c:pt>
                <c:pt idx="149">
                  <c:v>57.550311653218259</c:v>
                </c:pt>
                <c:pt idx="150">
                  <c:v>57.5529316084817</c:v>
                </c:pt>
                <c:pt idx="151">
                  <c:v>57.552526024045683</c:v>
                </c:pt>
                <c:pt idx="152">
                  <c:v>57.549001148753213</c:v>
                </c:pt>
                <c:pt idx="153">
                  <c:v>57.542263227191789</c:v>
                </c:pt>
                <c:pt idx="154">
                  <c:v>57.532218491887804</c:v>
                </c:pt>
                <c:pt idx="155">
                  <c:v>57.518765077128421</c:v>
                </c:pt>
                <c:pt idx="156">
                  <c:v>57.50181717033643</c:v>
                </c:pt>
                <c:pt idx="157">
                  <c:v>57.481280771465755</c:v>
                </c:pt>
                <c:pt idx="158">
                  <c:v>57.457061822707111</c:v>
                </c:pt>
                <c:pt idx="159">
                  <c:v>57.429066198814709</c:v>
                </c:pt>
                <c:pt idx="160">
                  <c:v>57.3971996985671</c:v>
                </c:pt>
                <c:pt idx="161">
                  <c:v>57.361368041450483</c:v>
                </c:pt>
                <c:pt idx="162">
                  <c:v>57.320880062558942</c:v>
                </c:pt>
                <c:pt idx="163">
                  <c:v>57.275366401652853</c:v>
                </c:pt>
                <c:pt idx="164">
                  <c:v>57.225263055757047</c:v>
                </c:pt>
                <c:pt idx="165">
                  <c:v>57.170960022750279</c:v>
                </c:pt>
                <c:pt idx="166">
                  <c:v>57.112846941773583</c:v>
                </c:pt>
                <c:pt idx="167">
                  <c:v>57.051313090695388</c:v>
                </c:pt>
                <c:pt idx="168">
                  <c:v>56.986747386811814</c:v>
                </c:pt>
                <c:pt idx="169">
                  <c:v>56.919537402989988</c:v>
                </c:pt>
                <c:pt idx="170">
                  <c:v>56.850080300789031</c:v>
                </c:pt>
                <c:pt idx="171">
                  <c:v>56.778764049083328</c:v>
                </c:pt>
                <c:pt idx="172">
                  <c:v>56.705976258530292</c:v>
                </c:pt>
                <c:pt idx="173">
                  <c:v>56.632104233585913</c:v>
                </c:pt>
                <c:pt idx="174">
                  <c:v>56.557534938983352</c:v>
                </c:pt>
                <c:pt idx="175">
                  <c:v>56.482654955185573</c:v>
                </c:pt>
                <c:pt idx="176">
                  <c:v>56.406884158055682</c:v>
                </c:pt>
                <c:pt idx="177">
                  <c:v>56.329375446353481</c:v>
                </c:pt>
                <c:pt idx="178">
                  <c:v>56.250129525868886</c:v>
                </c:pt>
                <c:pt idx="179">
                  <c:v>56.169145890925549</c:v>
                </c:pt>
                <c:pt idx="180">
                  <c:v>56.086423884218782</c:v>
                </c:pt>
                <c:pt idx="181">
                  <c:v>56.001962705853579</c:v>
                </c:pt>
                <c:pt idx="182">
                  <c:v>55.915761419461703</c:v>
                </c:pt>
                <c:pt idx="183">
                  <c:v>55.827768015323386</c:v>
                </c:pt>
                <c:pt idx="184">
                  <c:v>55.737981985954747</c:v>
                </c:pt>
                <c:pt idx="185">
                  <c:v>55.64640165835403</c:v>
                </c:pt>
                <c:pt idx="186">
                  <c:v>55.553025309966905</c:v>
                </c:pt>
                <c:pt idx="187">
                  <c:v>55.457851176583944</c:v>
                </c:pt>
                <c:pt idx="188">
                  <c:v>55.360877466353166</c:v>
                </c:pt>
                <c:pt idx="189">
                  <c:v>55.262102364104983</c:v>
                </c:pt>
                <c:pt idx="190">
                  <c:v>55.161314921350673</c:v>
                </c:pt>
                <c:pt idx="191">
                  <c:v>55.058360213793158</c:v>
                </c:pt>
                <c:pt idx="192">
                  <c:v>54.953342878559255</c:v>
                </c:pt>
                <c:pt idx="193">
                  <c:v>54.84635776807837</c:v>
                </c:pt>
                <c:pt idx="194">
                  <c:v>54.737499723154421</c:v>
                </c:pt>
                <c:pt idx="195">
                  <c:v>54.626863583924262</c:v>
                </c:pt>
                <c:pt idx="196">
                  <c:v>54.514544195540864</c:v>
                </c:pt>
                <c:pt idx="197">
                  <c:v>54.400740800770762</c:v>
                </c:pt>
                <c:pt idx="198">
                  <c:v>54.285601321292582</c:v>
                </c:pt>
                <c:pt idx="199">
                  <c:v>54.169221262000832</c:v>
                </c:pt>
                <c:pt idx="200">
                  <c:v>54.051696091885816</c:v>
                </c:pt>
                <c:pt idx="201">
                  <c:v>53.93312125650472</c:v>
                </c:pt>
                <c:pt idx="202">
                  <c:v>53.813592190363551</c:v>
                </c:pt>
                <c:pt idx="203">
                  <c:v>53.693204328637364</c:v>
                </c:pt>
                <c:pt idx="204">
                  <c:v>53.571812104980587</c:v>
                </c:pt>
                <c:pt idx="205">
                  <c:v>53.449250323484357</c:v>
                </c:pt>
                <c:pt idx="206">
                  <c:v>53.325526462582587</c:v>
                </c:pt>
                <c:pt idx="207">
                  <c:v>53.200639803151809</c:v>
                </c:pt>
                <c:pt idx="208">
                  <c:v>53.074589680337269</c:v>
                </c:pt>
                <c:pt idx="209">
                  <c:v>52.947375489419464</c:v>
                </c:pt>
                <c:pt idx="210">
                  <c:v>52.818996688579965</c:v>
                </c:pt>
                <c:pt idx="211">
                  <c:v>52.689418512304776</c:v>
                </c:pt>
                <c:pt idx="212">
                  <c:v>52.558534585667225</c:v>
                </c:pt>
                <c:pt idx="213">
                  <c:v>52.42634432829081</c:v>
                </c:pt>
                <c:pt idx="214">
                  <c:v>52.292847257790378</c:v>
                </c:pt>
                <c:pt idx="215">
                  <c:v>52.158042986812845</c:v>
                </c:pt>
                <c:pt idx="216">
                  <c:v>52.021931217987905</c:v>
                </c:pt>
                <c:pt idx="217">
                  <c:v>51.884511739788472</c:v>
                </c:pt>
                <c:pt idx="218">
                  <c:v>51.74599311466492</c:v>
                </c:pt>
                <c:pt idx="219">
                  <c:v>51.606501629686854</c:v>
                </c:pt>
                <c:pt idx="220">
                  <c:v>51.465896305557742</c:v>
                </c:pt>
                <c:pt idx="221">
                  <c:v>51.324080879897281</c:v>
                </c:pt>
                <c:pt idx="222">
                  <c:v>51.180959184770771</c:v>
                </c:pt>
                <c:pt idx="223">
                  <c:v>51.036435139178401</c:v>
                </c:pt>
                <c:pt idx="224">
                  <c:v>50.89041274419575</c:v>
                </c:pt>
                <c:pt idx="225">
                  <c:v>50.742783132131173</c:v>
                </c:pt>
                <c:pt idx="226">
                  <c:v>50.593484968539812</c:v>
                </c:pt>
                <c:pt idx="227">
                  <c:v>50.442422491115053</c:v>
                </c:pt>
                <c:pt idx="228">
                  <c:v>50.289499994913065</c:v>
                </c:pt>
                <c:pt idx="229">
                  <c:v>50.134621829775426</c:v>
                </c:pt>
                <c:pt idx="230">
                  <c:v>49.977692396989163</c:v>
                </c:pt>
                <c:pt idx="231">
                  <c:v>49.81861614311439</c:v>
                </c:pt>
                <c:pt idx="232">
                  <c:v>49.659206100796851</c:v>
                </c:pt>
                <c:pt idx="233">
                  <c:v>49.500817963291077</c:v>
                </c:pt>
                <c:pt idx="234">
                  <c:v>49.342700175939243</c:v>
                </c:pt>
                <c:pt idx="235">
                  <c:v>49.184083345458646</c:v>
                </c:pt>
                <c:pt idx="236">
                  <c:v>49.024198296504046</c:v>
                </c:pt>
                <c:pt idx="237">
                  <c:v>48.862276068221355</c:v>
                </c:pt>
                <c:pt idx="238">
                  <c:v>48.697547911345779</c:v>
                </c:pt>
                <c:pt idx="239">
                  <c:v>48.529239950732972</c:v>
                </c:pt>
                <c:pt idx="240">
                  <c:v>48.356596750470111</c:v>
                </c:pt>
                <c:pt idx="241">
                  <c:v>48.178850164880679</c:v>
                </c:pt>
                <c:pt idx="242">
                  <c:v>47.995232249991837</c:v>
                </c:pt>
                <c:pt idx="243">
                  <c:v>47.804975258151373</c:v>
                </c:pt>
                <c:pt idx="244">
                  <c:v>47.607311639206991</c:v>
                </c:pt>
                <c:pt idx="245">
                  <c:v>47.40147403116385</c:v>
                </c:pt>
                <c:pt idx="246">
                  <c:v>47.187784887836131</c:v>
                </c:pt>
                <c:pt idx="247">
                  <c:v>46.96732863577477</c:v>
                </c:pt>
                <c:pt idx="248">
                  <c:v>46.740499304309949</c:v>
                </c:pt>
                <c:pt idx="249">
                  <c:v>46.507683034191963</c:v>
                </c:pt>
                <c:pt idx="250">
                  <c:v>46.269265882184371</c:v>
                </c:pt>
                <c:pt idx="251">
                  <c:v>46.025633813786023</c:v>
                </c:pt>
                <c:pt idx="252">
                  <c:v>45.777172712663635</c:v>
                </c:pt>
                <c:pt idx="253">
                  <c:v>45.524261183462222</c:v>
                </c:pt>
                <c:pt idx="254">
                  <c:v>45.267290244310814</c:v>
                </c:pt>
                <c:pt idx="255">
                  <c:v>45.006645528382151</c:v>
                </c:pt>
                <c:pt idx="256">
                  <c:v>44.742712585930747</c:v>
                </c:pt>
                <c:pt idx="257">
                  <c:v>44.475876883275397</c:v>
                </c:pt>
                <c:pt idx="258">
                  <c:v>44.206523802239062</c:v>
                </c:pt>
                <c:pt idx="259">
                  <c:v>43.935038639383301</c:v>
                </c:pt>
                <c:pt idx="260">
                  <c:v>43.65918082157615</c:v>
                </c:pt>
                <c:pt idx="261">
                  <c:v>43.376911166578822</c:v>
                </c:pt>
                <c:pt idx="262">
                  <c:v>43.089006906091335</c:v>
                </c:pt>
                <c:pt idx="263">
                  <c:v>42.796238143737789</c:v>
                </c:pt>
                <c:pt idx="264">
                  <c:v>42.499374816569073</c:v>
                </c:pt>
                <c:pt idx="265">
                  <c:v>42.199186675638188</c:v>
                </c:pt>
                <c:pt idx="266">
                  <c:v>41.896443302358762</c:v>
                </c:pt>
                <c:pt idx="267">
                  <c:v>41.591895592796533</c:v>
                </c:pt>
                <c:pt idx="268">
                  <c:v>41.286319963939668</c:v>
                </c:pt>
                <c:pt idx="269">
                  <c:v>40.980485608827522</c:v>
                </c:pt>
                <c:pt idx="270">
                  <c:v>40.675161567363062</c:v>
                </c:pt>
                <c:pt idx="271">
                  <c:v>40.37111673028145</c:v>
                </c:pt>
                <c:pt idx="272">
                  <c:v>40.069119842265586</c:v>
                </c:pt>
                <c:pt idx="273">
                  <c:v>39.769939505506841</c:v>
                </c:pt>
                <c:pt idx="274">
                  <c:v>39.472424152140491</c:v>
                </c:pt>
                <c:pt idx="275">
                  <c:v>39.17500809875844</c:v>
                </c:pt>
                <c:pt idx="276">
                  <c:v>38.877744514018367</c:v>
                </c:pt>
                <c:pt idx="277">
                  <c:v>38.580632606698529</c:v>
                </c:pt>
                <c:pt idx="278">
                  <c:v>38.283671427737865</c:v>
                </c:pt>
                <c:pt idx="279">
                  <c:v>37.986859862864762</c:v>
                </c:pt>
                <c:pt idx="280">
                  <c:v>37.690196626076471</c:v>
                </c:pt>
                <c:pt idx="281">
                  <c:v>37.393727110163809</c:v>
                </c:pt>
                <c:pt idx="282">
                  <c:v>37.097466783050578</c:v>
                </c:pt>
                <c:pt idx="283">
                  <c:v>36.801412991387075</c:v>
                </c:pt>
                <c:pt idx="284">
                  <c:v>36.505562843253053</c:v>
                </c:pt>
                <c:pt idx="285">
                  <c:v>36.209913207690185</c:v>
                </c:pt>
                <c:pt idx="286">
                  <c:v>35.914460716054229</c:v>
                </c:pt>
                <c:pt idx="287">
                  <c:v>35.619201765271448</c:v>
                </c:pt>
                <c:pt idx="288">
                  <c:v>35.323300895615766</c:v>
                </c:pt>
                <c:pt idx="289">
                  <c:v>35.026140562289925</c:v>
                </c:pt>
                <c:pt idx="290">
                  <c:v>34.72800917503406</c:v>
                </c:pt>
                <c:pt idx="291">
                  <c:v>34.42928822191201</c:v>
                </c:pt>
                <c:pt idx="292">
                  <c:v>34.130359057400007</c:v>
                </c:pt>
                <c:pt idx="293">
                  <c:v>33.831602916186824</c:v>
                </c:pt>
                <c:pt idx="294">
                  <c:v>33.533400924316531</c:v>
                </c:pt>
                <c:pt idx="295">
                  <c:v>33.236108378358331</c:v>
                </c:pt>
                <c:pt idx="296">
                  <c:v>32.940063159763667</c:v>
                </c:pt>
                <c:pt idx="297">
                  <c:v>32.645647389117471</c:v>
                </c:pt>
                <c:pt idx="298">
                  <c:v>32.353243258674674</c:v>
                </c:pt>
                <c:pt idx="299">
                  <c:v>32.063232946925602</c:v>
                </c:pt>
                <c:pt idx="300">
                  <c:v>31.775998627139192</c:v>
                </c:pt>
                <c:pt idx="301">
                  <c:v>31.491922473233757</c:v>
                </c:pt>
                <c:pt idx="302">
                  <c:v>31.209595972657894</c:v>
                </c:pt>
                <c:pt idx="303">
                  <c:v>30.927598045860776</c:v>
                </c:pt>
                <c:pt idx="304">
                  <c:v>30.646345841391859</c:v>
                </c:pt>
                <c:pt idx="305">
                  <c:v>30.366221315881358</c:v>
                </c:pt>
                <c:pt idx="306">
                  <c:v>30.087606450705728</c:v>
                </c:pt>
                <c:pt idx="307">
                  <c:v>29.81088326486643</c:v>
                </c:pt>
                <c:pt idx="308">
                  <c:v>29.536433813800823</c:v>
                </c:pt>
                <c:pt idx="309">
                  <c:v>29.264628132695485</c:v>
                </c:pt>
                <c:pt idx="310">
                  <c:v>28.995871896432437</c:v>
                </c:pt>
                <c:pt idx="311">
                  <c:v>28.73054707365111</c:v>
                </c:pt>
                <c:pt idx="312">
                  <c:v>28.469035689325338</c:v>
                </c:pt>
                <c:pt idx="313">
                  <c:v>28.211719832332307</c:v>
                </c:pt>
                <c:pt idx="314">
                  <c:v>27.958981653875153</c:v>
                </c:pt>
                <c:pt idx="315">
                  <c:v>27.711203371915488</c:v>
                </c:pt>
                <c:pt idx="316">
                  <c:v>27.467600380256112</c:v>
                </c:pt>
                <c:pt idx="317">
                  <c:v>27.227199412685898</c:v>
                </c:pt>
                <c:pt idx="318">
                  <c:v>26.990106682544507</c:v>
                </c:pt>
                <c:pt idx="319">
                  <c:v>26.756416844413828</c:v>
                </c:pt>
                <c:pt idx="320">
                  <c:v>26.526224654058787</c:v>
                </c:pt>
                <c:pt idx="321">
                  <c:v>26.299624977546522</c:v>
                </c:pt>
                <c:pt idx="322">
                  <c:v>26.076712781750341</c:v>
                </c:pt>
                <c:pt idx="323">
                  <c:v>25.857600626141849</c:v>
                </c:pt>
                <c:pt idx="324">
                  <c:v>25.642394269113804</c:v>
                </c:pt>
                <c:pt idx="325">
                  <c:v>25.431188490858414</c:v>
                </c:pt>
                <c:pt idx="326">
                  <c:v>25.224078280761734</c:v>
                </c:pt>
                <c:pt idx="327">
                  <c:v>25.021158702743289</c:v>
                </c:pt>
                <c:pt idx="328">
                  <c:v>24.82252487347591</c:v>
                </c:pt>
                <c:pt idx="329">
                  <c:v>24.62827202493342</c:v>
                </c:pt>
                <c:pt idx="330">
                  <c:v>24.435347661440357</c:v>
                </c:pt>
                <c:pt idx="331">
                  <c:v>24.24154212959963</c:v>
                </c:pt>
                <c:pt idx="332">
                  <c:v>24.048194932096298</c:v>
                </c:pt>
                <c:pt idx="333">
                  <c:v>23.856648306965504</c:v>
                </c:pt>
                <c:pt idx="334">
                  <c:v>23.668244435741435</c:v>
                </c:pt>
                <c:pt idx="335">
                  <c:v>23.484325406204118</c:v>
                </c:pt>
                <c:pt idx="336">
                  <c:v>23.306233199972592</c:v>
                </c:pt>
                <c:pt idx="337">
                  <c:v>23.135305007652828</c:v>
                </c:pt>
                <c:pt idx="338">
                  <c:v>22.972866351570385</c:v>
                </c:pt>
                <c:pt idx="339">
                  <c:v>22.820258967499434</c:v>
                </c:pt>
                <c:pt idx="340">
                  <c:v>22.678824355778971</c:v>
                </c:pt>
                <c:pt idx="341">
                  <c:v>22.549903770329934</c:v>
                </c:pt>
                <c:pt idx="342">
                  <c:v>22.434838195358491</c:v>
                </c:pt>
                <c:pt idx="343">
                  <c:v>22.334968326844262</c:v>
                </c:pt>
                <c:pt idx="344">
                  <c:v>22.247777487038373</c:v>
                </c:pt>
                <c:pt idx="345">
                  <c:v>22.170010122434462</c:v>
                </c:pt>
                <c:pt idx="346">
                  <c:v>22.101888634707361</c:v>
                </c:pt>
                <c:pt idx="347">
                  <c:v>22.04364512154309</c:v>
                </c:pt>
                <c:pt idx="348">
                  <c:v>21.995511584400223</c:v>
                </c:pt>
                <c:pt idx="349">
                  <c:v>21.957719936245059</c:v>
                </c:pt>
                <c:pt idx="350">
                  <c:v>21.93050198711542</c:v>
                </c:pt>
                <c:pt idx="351">
                  <c:v>21.914090556654433</c:v>
                </c:pt>
                <c:pt idx="352">
                  <c:v>21.908721733325248</c:v>
                </c:pt>
                <c:pt idx="353">
                  <c:v>21.914626981121582</c:v>
                </c:pt>
                <c:pt idx="354">
                  <c:v>21.932037667981454</c:v>
                </c:pt>
                <c:pt idx="355">
                  <c:v>21.96118505151534</c:v>
                </c:pt>
                <c:pt idx="356">
                  <c:v>22.002300299390388</c:v>
                </c:pt>
                <c:pt idx="357">
                  <c:v>22.055614435947774</c:v>
                </c:pt>
                <c:pt idx="358">
                  <c:v>22.123327948568669</c:v>
                </c:pt>
                <c:pt idx="359">
                  <c:v>22.206757419861351</c:v>
                </c:pt>
                <c:pt idx="360">
                  <c:v>22.304803690110514</c:v>
                </c:pt>
                <c:pt idx="361">
                  <c:v>22.416371152710337</c:v>
                </c:pt>
                <c:pt idx="362">
                  <c:v>22.540365495700449</c:v>
                </c:pt>
                <c:pt idx="363">
                  <c:v>22.67569261767008</c:v>
                </c:pt>
                <c:pt idx="364">
                  <c:v>22.821258611224252</c:v>
                </c:pt>
                <c:pt idx="365">
                  <c:v>23.19916802982047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22.423895962310816</c:v>
                </c:pt>
                <c:pt idx="1">
                  <c:v>16.123738159748079</c:v>
                </c:pt>
                <c:pt idx="2">
                  <c:v>17.351317899958666</c:v>
                </c:pt>
                <c:pt idx="3">
                  <c:v>18.33385496046904</c:v>
                </c:pt>
                <c:pt idx="4">
                  <c:v>14.597075211656355</c:v>
                </c:pt>
                <c:pt idx="5">
                  <c:v>21.049729956632024</c:v>
                </c:pt>
                <c:pt idx="6">
                  <c:v>10.764820253579531</c:v>
                </c:pt>
                <c:pt idx="7">
                  <c:v>7.5517059175062426</c:v>
                </c:pt>
                <c:pt idx="8">
                  <c:v>2.2290722392908524</c:v>
                </c:pt>
                <c:pt idx="9">
                  <c:v>1.7302124747819154</c:v>
                </c:pt>
                <c:pt idx="10">
                  <c:v>24.934570557244932</c:v>
                </c:pt>
                <c:pt idx="11">
                  <c:v>21.27468256494328</c:v>
                </c:pt>
                <c:pt idx="12">
                  <c:v>5.1233397488445478</c:v>
                </c:pt>
                <c:pt idx="13">
                  <c:v>25.329539613357674</c:v>
                </c:pt>
                <c:pt idx="14">
                  <c:v>26.916522461113836</c:v>
                </c:pt>
                <c:pt idx="15">
                  <c:v>26.436367348297615</c:v>
                </c:pt>
                <c:pt idx="16">
                  <c:v>13.532546103104941</c:v>
                </c:pt>
                <c:pt idx="17">
                  <c:v>3.5728385440603487</c:v>
                </c:pt>
                <c:pt idx="18">
                  <c:v>10.334579523914677</c:v>
                </c:pt>
                <c:pt idx="19">
                  <c:v>6.5012077531882504</c:v>
                </c:pt>
                <c:pt idx="20">
                  <c:v>20.766392580673134</c:v>
                </c:pt>
                <c:pt idx="21">
                  <c:v>28.020063548102453</c:v>
                </c:pt>
                <c:pt idx="22">
                  <c:v>28.085224096478658</c:v>
                </c:pt>
                <c:pt idx="23">
                  <c:v>28.716966413951067</c:v>
                </c:pt>
                <c:pt idx="24">
                  <c:v>27.349740531211538</c:v>
                </c:pt>
                <c:pt idx="25">
                  <c:v>28.326078930676609</c:v>
                </c:pt>
                <c:pt idx="26">
                  <c:v>26.392184276342391</c:v>
                </c:pt>
                <c:pt idx="27">
                  <c:v>4.3109326255793743</c:v>
                </c:pt>
                <c:pt idx="28">
                  <c:v>9.4531311607281054</c:v>
                </c:pt>
                <c:pt idx="29">
                  <c:v>4.4964187424753419</c:v>
                </c:pt>
                <c:pt idx="30">
                  <c:v>9.1966712076237744</c:v>
                </c:pt>
                <c:pt idx="31">
                  <c:v>13.351658070289977</c:v>
                </c:pt>
                <c:pt idx="32">
                  <c:v>5.3636326876222746</c:v>
                </c:pt>
                <c:pt idx="33">
                  <c:v>10.109775015827656</c:v>
                </c:pt>
                <c:pt idx="34">
                  <c:v>10.010682653675106</c:v>
                </c:pt>
                <c:pt idx="35">
                  <c:v>9.6856596712009928</c:v>
                </c:pt>
                <c:pt idx="36">
                  <c:v>22.159403215767483</c:v>
                </c:pt>
                <c:pt idx="37">
                  <c:v>9.5086554649994977</c:v>
                </c:pt>
                <c:pt idx="38">
                  <c:v>33.328719497575555</c:v>
                </c:pt>
                <c:pt idx="39">
                  <c:v>33.548052235429545</c:v>
                </c:pt>
                <c:pt idx="40">
                  <c:v>31.187207038793812</c:v>
                </c:pt>
                <c:pt idx="41">
                  <c:v>17.41005507928876</c:v>
                </c:pt>
                <c:pt idx="42">
                  <c:v>26.450546501790274</c:v>
                </c:pt>
                <c:pt idx="43">
                  <c:v>31.267497111777121</c:v>
                </c:pt>
                <c:pt idx="44">
                  <c:v>15.314091965828494</c:v>
                </c:pt>
                <c:pt idx="45">
                  <c:v>19.254036139618169</c:v>
                </c:pt>
                <c:pt idx="46">
                  <c:v>10.086079705817632</c:v>
                </c:pt>
                <c:pt idx="47">
                  <c:v>10.912189043459033</c:v>
                </c:pt>
                <c:pt idx="48">
                  <c:v>27.789344233073251</c:v>
                </c:pt>
                <c:pt idx="49">
                  <c:v>20.139202767338698</c:v>
                </c:pt>
                <c:pt idx="50">
                  <c:v>19.20959508536334</c:v>
                </c:pt>
                <c:pt idx="51">
                  <c:v>21.235782883669682</c:v>
                </c:pt>
                <c:pt idx="52">
                  <c:v>32.822521834106738</c:v>
                </c:pt>
                <c:pt idx="53">
                  <c:v>33.961441269339403</c:v>
                </c:pt>
                <c:pt idx="54">
                  <c:v>20.87921588824884</c:v>
                </c:pt>
                <c:pt idx="55">
                  <c:v>30.41015888948229</c:v>
                </c:pt>
                <c:pt idx="56">
                  <c:v>39.162480020730904</c:v>
                </c:pt>
                <c:pt idx="57">
                  <c:v>27.292264329508349</c:v>
                </c:pt>
                <c:pt idx="58">
                  <c:v>33.724801460123423</c:v>
                </c:pt>
                <c:pt idx="59">
                  <c:v>39.149041167842817</c:v>
                </c:pt>
                <c:pt idx="60">
                  <c:v>10.781076340340995</c:v>
                </c:pt>
                <c:pt idx="61">
                  <c:v>34.74633886592256</c:v>
                </c:pt>
                <c:pt idx="62">
                  <c:v>3.996536134286595</c:v>
                </c:pt>
                <c:pt idx="63">
                  <c:v>13.230741515070299</c:v>
                </c:pt>
                <c:pt idx="64">
                  <c:v>15.808415945827578</c:v>
                </c:pt>
                <c:pt idx="65">
                  <c:v>36.924260570803057</c:v>
                </c:pt>
                <c:pt idx="66">
                  <c:v>31.9108160957583</c:v>
                </c:pt>
                <c:pt idx="67">
                  <c:v>28.474275346746943</c:v>
                </c:pt>
                <c:pt idx="68">
                  <c:v>24.735968037206423</c:v>
                </c:pt>
                <c:pt idx="69">
                  <c:v>15.696107060508082</c:v>
                </c:pt>
                <c:pt idx="70">
                  <c:v>14.584169785876934</c:v>
                </c:pt>
                <c:pt idx="71">
                  <c:v>9.8996854255094746</c:v>
                </c:pt>
                <c:pt idx="72">
                  <c:v>14.266215180781897</c:v>
                </c:pt>
                <c:pt idx="73">
                  <c:v>14.289909302346086</c:v>
                </c:pt>
                <c:pt idx="74">
                  <c:v>12.8800165037119</c:v>
                </c:pt>
                <c:pt idx="75">
                  <c:v>10.744989694826788</c:v>
                </c:pt>
                <c:pt idx="76">
                  <c:v>14.326167160420543</c:v>
                </c:pt>
                <c:pt idx="77">
                  <c:v>29.073832763533126</c:v>
                </c:pt>
                <c:pt idx="78">
                  <c:v>30.029025495618093</c:v>
                </c:pt>
                <c:pt idx="79">
                  <c:v>43.784240478223829</c:v>
                </c:pt>
                <c:pt idx="80">
                  <c:v>41.200231585247025</c:v>
                </c:pt>
                <c:pt idx="81">
                  <c:v>47.27366031532074</c:v>
                </c:pt>
                <c:pt idx="82">
                  <c:v>46.261786805526427</c:v>
                </c:pt>
                <c:pt idx="83">
                  <c:v>40.523332588610067</c:v>
                </c:pt>
                <c:pt idx="84">
                  <c:v>45.607046527089388</c:v>
                </c:pt>
                <c:pt idx="85">
                  <c:v>44.423803289910197</c:v>
                </c:pt>
                <c:pt idx="86">
                  <c:v>34.781728624093049</c:v>
                </c:pt>
                <c:pt idx="87">
                  <c:v>27.394295670103233</c:v>
                </c:pt>
                <c:pt idx="88">
                  <c:v>7.7039299596970965</c:v>
                </c:pt>
                <c:pt idx="89">
                  <c:v>28.074783877116353</c:v>
                </c:pt>
                <c:pt idx="90">
                  <c:v>30.723643992486373</c:v>
                </c:pt>
                <c:pt idx="91">
                  <c:v>20.945309767031581</c:v>
                </c:pt>
                <c:pt idx="92">
                  <c:v>22.691694828499752</c:v>
                </c:pt>
                <c:pt idx="93">
                  <c:v>47.721453024657386</c:v>
                </c:pt>
                <c:pt idx="94">
                  <c:v>50.724132933750688</c:v>
                </c:pt>
                <c:pt idx="95">
                  <c:v>11.11218560966573</c:v>
                </c:pt>
                <c:pt idx="96">
                  <c:v>37.985350235142725</c:v>
                </c:pt>
                <c:pt idx="97">
                  <c:v>31.289451219008935</c:v>
                </c:pt>
                <c:pt idx="98">
                  <c:v>34.839481987182133</c:v>
                </c:pt>
                <c:pt idx="99">
                  <c:v>52.46221390129525</c:v>
                </c:pt>
                <c:pt idx="100">
                  <c:v>44.054782379917533</c:v>
                </c:pt>
                <c:pt idx="101">
                  <c:v>35.727224911631737</c:v>
                </c:pt>
                <c:pt idx="102">
                  <c:v>7.1639950788855966</c:v>
                </c:pt>
                <c:pt idx="103">
                  <c:v>38.725169636518999</c:v>
                </c:pt>
                <c:pt idx="104">
                  <c:v>44.37914486725132</c:v>
                </c:pt>
                <c:pt idx="105">
                  <c:v>42.823399625916593</c:v>
                </c:pt>
                <c:pt idx="106">
                  <c:v>52.306246016970896</c:v>
                </c:pt>
                <c:pt idx="107">
                  <c:v>36.181017219286147</c:v>
                </c:pt>
                <c:pt idx="108">
                  <c:v>8.6492207385877524</c:v>
                </c:pt>
                <c:pt idx="109">
                  <c:v>9.8976077603823622</c:v>
                </c:pt>
                <c:pt idx="110">
                  <c:v>9.1488694639379311</c:v>
                </c:pt>
                <c:pt idx="111">
                  <c:v>26.774644638808631</c:v>
                </c:pt>
                <c:pt idx="112">
                  <c:v>9.2643820872383511</c:v>
                </c:pt>
                <c:pt idx="113">
                  <c:v>29.396153004884074</c:v>
                </c:pt>
                <c:pt idx="114">
                  <c:v>45.236934610910623</c:v>
                </c:pt>
                <c:pt idx="115">
                  <c:v>52.662066503476154</c:v>
                </c:pt>
                <c:pt idx="116">
                  <c:v>39.668299818048567</c:v>
                </c:pt>
                <c:pt idx="117">
                  <c:v>19.744977988027181</c:v>
                </c:pt>
                <c:pt idx="118">
                  <c:v>39.733535098256276</c:v>
                </c:pt>
                <c:pt idx="119">
                  <c:v>42.234939435071318</c:v>
                </c:pt>
                <c:pt idx="120">
                  <c:v>45.774854179133591</c:v>
                </c:pt>
                <c:pt idx="121">
                  <c:v>29.426322067293878</c:v>
                </c:pt>
                <c:pt idx="122">
                  <c:v>35.061453631007453</c:v>
                </c:pt>
                <c:pt idx="123">
                  <c:v>19.448759976981108</c:v>
                </c:pt>
                <c:pt idx="124">
                  <c:v>40.765062103264256</c:v>
                </c:pt>
                <c:pt idx="125">
                  <c:v>37.291942894050941</c:v>
                </c:pt>
                <c:pt idx="126">
                  <c:v>50.707259747896721</c:v>
                </c:pt>
                <c:pt idx="127">
                  <c:v>48.256237315771848</c:v>
                </c:pt>
                <c:pt idx="128">
                  <c:v>50.496571203983265</c:v>
                </c:pt>
                <c:pt idx="129">
                  <c:v>50.17293135549837</c:v>
                </c:pt>
                <c:pt idx="130">
                  <c:v>54.158483081199407</c:v>
                </c:pt>
                <c:pt idx="131">
                  <c:v>39.489017130178766</c:v>
                </c:pt>
                <c:pt idx="132">
                  <c:v>40.167022872206665</c:v>
                </c:pt>
                <c:pt idx="133">
                  <c:v>48.596459842401238</c:v>
                </c:pt>
                <c:pt idx="134">
                  <c:v>51.41280126186728</c:v>
                </c:pt>
                <c:pt idx="135">
                  <c:v>49.006947763796589</c:v>
                </c:pt>
                <c:pt idx="136">
                  <c:v>52.186364585779444</c:v>
                </c:pt>
                <c:pt idx="137">
                  <c:v>50.201570946984631</c:v>
                </c:pt>
                <c:pt idx="138">
                  <c:v>52.985179774998031</c:v>
                </c:pt>
                <c:pt idx="139">
                  <c:v>48.002406252723333</c:v>
                </c:pt>
                <c:pt idx="140">
                  <c:v>47.921665744423017</c:v>
                </c:pt>
                <c:pt idx="141">
                  <c:v>36.268893226185327</c:v>
                </c:pt>
                <c:pt idx="142">
                  <c:v>18.909124870908581</c:v>
                </c:pt>
                <c:pt idx="143">
                  <c:v>16.395285659227419</c:v>
                </c:pt>
                <c:pt idx="144">
                  <c:v>38.454315319857614</c:v>
                </c:pt>
                <c:pt idx="145">
                  <c:v>23.316676248028894</c:v>
                </c:pt>
                <c:pt idx="146">
                  <c:v>43.371477498144607</c:v>
                </c:pt>
                <c:pt idx="147">
                  <c:v>52.258562240771873</c:v>
                </c:pt>
                <c:pt idx="148">
                  <c:v>56.324591359475534</c:v>
                </c:pt>
                <c:pt idx="149">
                  <c:v>47.964464007307093</c:v>
                </c:pt>
                <c:pt idx="150">
                  <c:v>50.937506588943393</c:v>
                </c:pt>
                <c:pt idx="151">
                  <c:v>53.215485865759398</c:v>
                </c:pt>
                <c:pt idx="152">
                  <c:v>42.74908029745221</c:v>
                </c:pt>
                <c:pt idx="153">
                  <c:v>52.097910076876303</c:v>
                </c:pt>
                <c:pt idx="154">
                  <c:v>23.526152948532239</c:v>
                </c:pt>
                <c:pt idx="155">
                  <c:v>32.453792398255942</c:v>
                </c:pt>
                <c:pt idx="156">
                  <c:v>45.706961669835032</c:v>
                </c:pt>
                <c:pt idx="157">
                  <c:v>23.828425270953794</c:v>
                </c:pt>
                <c:pt idx="158">
                  <c:v>19.481160722298416</c:v>
                </c:pt>
                <c:pt idx="159">
                  <c:v>44.518167794493536</c:v>
                </c:pt>
                <c:pt idx="160">
                  <c:v>54.329036739844881</c:v>
                </c:pt>
                <c:pt idx="161">
                  <c:v>53.121444265809885</c:v>
                </c:pt>
                <c:pt idx="162">
                  <c:v>40.646941480118393</c:v>
                </c:pt>
                <c:pt idx="163">
                  <c:v>51.466334772154454</c:v>
                </c:pt>
                <c:pt idx="164">
                  <c:v>46.939978106270139</c:v>
                </c:pt>
                <c:pt idx="165">
                  <c:v>51.203743167928167</c:v>
                </c:pt>
                <c:pt idx="166">
                  <c:v>49.209695142650695</c:v>
                </c:pt>
                <c:pt idx="167">
                  <c:v>49.277412740919793</c:v>
                </c:pt>
                <c:pt idx="168">
                  <c:v>52.50621483922459</c:v>
                </c:pt>
                <c:pt idx="169">
                  <c:v>53.578346806670552</c:v>
                </c:pt>
                <c:pt idx="170">
                  <c:v>29.838528822545801</c:v>
                </c:pt>
                <c:pt idx="171">
                  <c:v>22.283695302407455</c:v>
                </c:pt>
                <c:pt idx="172">
                  <c:v>37.273249668428569</c:v>
                </c:pt>
                <c:pt idx="173">
                  <c:v>39.810667046789845</c:v>
                </c:pt>
                <c:pt idx="174">
                  <c:v>38.048683308078949</c:v>
                </c:pt>
                <c:pt idx="175">
                  <c:v>33.484482166637456</c:v>
                </c:pt>
                <c:pt idx="176">
                  <c:v>11.235027669749568</c:v>
                </c:pt>
                <c:pt idx="177">
                  <c:v>12.263971790923577</c:v>
                </c:pt>
                <c:pt idx="178">
                  <c:v>55.674888506698913</c:v>
                </c:pt>
                <c:pt idx="179">
                  <c:v>52.858243814166997</c:v>
                </c:pt>
                <c:pt idx="180">
                  <c:v>13.142453602047588</c:v>
                </c:pt>
                <c:pt idx="181">
                  <c:v>47.31180366060979</c:v>
                </c:pt>
                <c:pt idx="182">
                  <c:v>52.704998574092158</c:v>
                </c:pt>
                <c:pt idx="183">
                  <c:v>43.918482361560933</c:v>
                </c:pt>
                <c:pt idx="184">
                  <c:v>41.678695952894707</c:v>
                </c:pt>
                <c:pt idx="185">
                  <c:v>52.221444006234556</c:v>
                </c:pt>
                <c:pt idx="186">
                  <c:v>44.84687683294068</c:v>
                </c:pt>
                <c:pt idx="187">
                  <c:v>51.508925376692957</c:v>
                </c:pt>
                <c:pt idx="188">
                  <c:v>54.17171124815038</c:v>
                </c:pt>
                <c:pt idx="189">
                  <c:v>53.474429216059534</c:v>
                </c:pt>
                <c:pt idx="190">
                  <c:v>52.79455529345185</c:v>
                </c:pt>
                <c:pt idx="191">
                  <c:v>51.398587588800666</c:v>
                </c:pt>
                <c:pt idx="192">
                  <c:v>51.492855592632502</c:v>
                </c:pt>
                <c:pt idx="193">
                  <c:v>50.886537571219506</c:v>
                </c:pt>
                <c:pt idx="194">
                  <c:v>50.343179303403524</c:v>
                </c:pt>
                <c:pt idx="195">
                  <c:v>48.660185900840091</c:v>
                </c:pt>
                <c:pt idx="196">
                  <c:v>50.003547240290111</c:v>
                </c:pt>
                <c:pt idx="197">
                  <c:v>49.607455118666145</c:v>
                </c:pt>
                <c:pt idx="198">
                  <c:v>51.411296131001158</c:v>
                </c:pt>
                <c:pt idx="199">
                  <c:v>41.2462135718485</c:v>
                </c:pt>
                <c:pt idx="200">
                  <c:v>41.661153753470124</c:v>
                </c:pt>
                <c:pt idx="201">
                  <c:v>48.997241887838612</c:v>
                </c:pt>
                <c:pt idx="202">
                  <c:v>39.059123226029932</c:v>
                </c:pt>
                <c:pt idx="203">
                  <c:v>43.650654101976166</c:v>
                </c:pt>
                <c:pt idx="204">
                  <c:v>48.957809819902678</c:v>
                </c:pt>
                <c:pt idx="205">
                  <c:v>25.020027284975168</c:v>
                </c:pt>
                <c:pt idx="206">
                  <c:v>52.594833797311033</c:v>
                </c:pt>
                <c:pt idx="207">
                  <c:v>52.60421801334509</c:v>
                </c:pt>
                <c:pt idx="208">
                  <c:v>42.216737266144328</c:v>
                </c:pt>
                <c:pt idx="209">
                  <c:v>28.558702053334823</c:v>
                </c:pt>
                <c:pt idx="210">
                  <c:v>48.064421508362365</c:v>
                </c:pt>
                <c:pt idx="211">
                  <c:v>50.657501447434086</c:v>
                </c:pt>
                <c:pt idx="212">
                  <c:v>49.774969236905385</c:v>
                </c:pt>
                <c:pt idx="213">
                  <c:v>49.974414637199708</c:v>
                </c:pt>
                <c:pt idx="214">
                  <c:v>47.884647356345091</c:v>
                </c:pt>
                <c:pt idx="215">
                  <c:v>44.935646284704532</c:v>
                </c:pt>
                <c:pt idx="216">
                  <c:v>41.808999778880249</c:v>
                </c:pt>
                <c:pt idx="217">
                  <c:v>45.815228817403387</c:v>
                </c:pt>
                <c:pt idx="218">
                  <c:v>48.697806576770347</c:v>
                </c:pt>
                <c:pt idx="219">
                  <c:v>49.481040271606012</c:v>
                </c:pt>
                <c:pt idx="220">
                  <c:v>47.827229723295929</c:v>
                </c:pt>
                <c:pt idx="221">
                  <c:v>45.859079618410156</c:v>
                </c:pt>
                <c:pt idx="222">
                  <c:v>42.202275453458441</c:v>
                </c:pt>
                <c:pt idx="223">
                  <c:v>44.291804061088278</c:v>
                </c:pt>
                <c:pt idx="224">
                  <c:v>30.854048601332913</c:v>
                </c:pt>
                <c:pt idx="225">
                  <c:v>32.079108007667713</c:v>
                </c:pt>
                <c:pt idx="226">
                  <c:v>36.783560308633092</c:v>
                </c:pt>
                <c:pt idx="227">
                  <c:v>30.899678091781812</c:v>
                </c:pt>
                <c:pt idx="228">
                  <c:v>21.240990391569124</c:v>
                </c:pt>
                <c:pt idx="229">
                  <c:v>36.961679558860787</c:v>
                </c:pt>
                <c:pt idx="230">
                  <c:v>38.271519444520749</c:v>
                </c:pt>
                <c:pt idx="231">
                  <c:v>45.579775367239201</c:v>
                </c:pt>
                <c:pt idx="232">
                  <c:v>30.728005318862735</c:v>
                </c:pt>
                <c:pt idx="233">
                  <c:v>23.941493345867883</c:v>
                </c:pt>
                <c:pt idx="234">
                  <c:v>42.826713045929829</c:v>
                </c:pt>
                <c:pt idx="235">
                  <c:v>44.249488537498983</c:v>
                </c:pt>
                <c:pt idx="236">
                  <c:v>31.575061573245943</c:v>
                </c:pt>
                <c:pt idx="237">
                  <c:v>39.668501036308818</c:v>
                </c:pt>
                <c:pt idx="238">
                  <c:v>46.738733873719795</c:v>
                </c:pt>
                <c:pt idx="239">
                  <c:v>45.870746641008246</c:v>
                </c:pt>
                <c:pt idx="240">
                  <c:v>30.927896804633111</c:v>
                </c:pt>
                <c:pt idx="241">
                  <c:v>44.90901993151639</c:v>
                </c:pt>
                <c:pt idx="242">
                  <c:v>21.136834406858991</c:v>
                </c:pt>
                <c:pt idx="243">
                  <c:v>40.746463806427762</c:v>
                </c:pt>
                <c:pt idx="244">
                  <c:v>37.376124629410008</c:v>
                </c:pt>
                <c:pt idx="245">
                  <c:v>31.20841442563205</c:v>
                </c:pt>
                <c:pt idx="246">
                  <c:v>45.265521270568257</c:v>
                </c:pt>
                <c:pt idx="247">
                  <c:v>38.267787644866161</c:v>
                </c:pt>
                <c:pt idx="248">
                  <c:v>43.400843176928078</c:v>
                </c:pt>
                <c:pt idx="249">
                  <c:v>33.769141929164356</c:v>
                </c:pt>
                <c:pt idx="250">
                  <c:v>36.980364369558252</c:v>
                </c:pt>
                <c:pt idx="251">
                  <c:v>20.587577968960101</c:v>
                </c:pt>
                <c:pt idx="252">
                  <c:v>43.493702541969036</c:v>
                </c:pt>
                <c:pt idx="253">
                  <c:v>44.006692642808297</c:v>
                </c:pt>
                <c:pt idx="254">
                  <c:v>30.821191993011105</c:v>
                </c:pt>
                <c:pt idx="255">
                  <c:v>10.929068199402368</c:v>
                </c:pt>
                <c:pt idx="256">
                  <c:v>36.268915774807972</c:v>
                </c:pt>
                <c:pt idx="257">
                  <c:v>39.84017337528671</c:v>
                </c:pt>
                <c:pt idx="258">
                  <c:v>26.526649359524118</c:v>
                </c:pt>
                <c:pt idx="259">
                  <c:v>45.875468298704625</c:v>
                </c:pt>
                <c:pt idx="260">
                  <c:v>44.356302456657595</c:v>
                </c:pt>
                <c:pt idx="261">
                  <c:v>43.214767342901666</c:v>
                </c:pt>
                <c:pt idx="262">
                  <c:v>44.519309456207793</c:v>
                </c:pt>
                <c:pt idx="263">
                  <c:v>43.435954989413773</c:v>
                </c:pt>
                <c:pt idx="264">
                  <c:v>42.305908916743782</c:v>
                </c:pt>
                <c:pt idx="265">
                  <c:v>26.730559911504848</c:v>
                </c:pt>
                <c:pt idx="266">
                  <c:v>16.757123068109493</c:v>
                </c:pt>
                <c:pt idx="267">
                  <c:v>29.664322105768328</c:v>
                </c:pt>
                <c:pt idx="268">
                  <c:v>31.992351074352481</c:v>
                </c:pt>
                <c:pt idx="269">
                  <c:v>14.460558231800986</c:v>
                </c:pt>
                <c:pt idx="270">
                  <c:v>16.616342978248365</c:v>
                </c:pt>
                <c:pt idx="271">
                  <c:v>22.789744709179416</c:v>
                </c:pt>
                <c:pt idx="272">
                  <c:v>27.849339825159408</c:v>
                </c:pt>
                <c:pt idx="273">
                  <c:v>33.399787735500254</c:v>
                </c:pt>
                <c:pt idx="274">
                  <c:v>37.232092085707045</c:v>
                </c:pt>
                <c:pt idx="275">
                  <c:v>33.865144602138997</c:v>
                </c:pt>
                <c:pt idx="276">
                  <c:v>38.10674568264745</c:v>
                </c:pt>
                <c:pt idx="277">
                  <c:v>39.303898818439826</c:v>
                </c:pt>
                <c:pt idx="278">
                  <c:v>11.474051744811904</c:v>
                </c:pt>
                <c:pt idx="279">
                  <c:v>28.04582137338306</c:v>
                </c:pt>
                <c:pt idx="280">
                  <c:v>15.286504528246898</c:v>
                </c:pt>
                <c:pt idx="281">
                  <c:v>35.954163464871264</c:v>
                </c:pt>
                <c:pt idx="282">
                  <c:v>29.633673352680393</c:v>
                </c:pt>
                <c:pt idx="283">
                  <c:v>21.550025926350369</c:v>
                </c:pt>
                <c:pt idx="284">
                  <c:v>26.91697422943782</c:v>
                </c:pt>
                <c:pt idx="285">
                  <c:v>22.214525611904264</c:v>
                </c:pt>
                <c:pt idx="286">
                  <c:v>18.856751931242069</c:v>
                </c:pt>
                <c:pt idx="287">
                  <c:v>34.921919386025188</c:v>
                </c:pt>
                <c:pt idx="288">
                  <c:v>31.364250334408798</c:v>
                </c:pt>
                <c:pt idx="289">
                  <c:v>19.033233520497479</c:v>
                </c:pt>
                <c:pt idx="290">
                  <c:v>32.309939175076487</c:v>
                </c:pt>
                <c:pt idx="291">
                  <c:v>14.883267358675599</c:v>
                </c:pt>
                <c:pt idx="292">
                  <c:v>6.166078359543345</c:v>
                </c:pt>
                <c:pt idx="293">
                  <c:v>15.617612827280908</c:v>
                </c:pt>
                <c:pt idx="294">
                  <c:v>31.179274375841544</c:v>
                </c:pt>
                <c:pt idx="295">
                  <c:v>16.249028781854925</c:v>
                </c:pt>
                <c:pt idx="296">
                  <c:v>24.086345905787624</c:v>
                </c:pt>
                <c:pt idx="297">
                  <c:v>20.773723848807258</c:v>
                </c:pt>
                <c:pt idx="298">
                  <c:v>13.021944723578269</c:v>
                </c:pt>
                <c:pt idx="299">
                  <c:v>13.909344300063157</c:v>
                </c:pt>
                <c:pt idx="300">
                  <c:v>16.425668587773732</c:v>
                </c:pt>
                <c:pt idx="301">
                  <c:v>25.794376240814806</c:v>
                </c:pt>
                <c:pt idx="302">
                  <c:v>21.338334171089159</c:v>
                </c:pt>
                <c:pt idx="303">
                  <c:v>20.832498794176015</c:v>
                </c:pt>
                <c:pt idx="304">
                  <c:v>22.160962596767114</c:v>
                </c:pt>
                <c:pt idx="305">
                  <c:v>26.635081983281133</c:v>
                </c:pt>
                <c:pt idx="306">
                  <c:v>9.1462068030029187</c:v>
                </c:pt>
                <c:pt idx="307">
                  <c:v>16.041273987705008</c:v>
                </c:pt>
                <c:pt idx="308">
                  <c:v>27.933987808544543</c:v>
                </c:pt>
                <c:pt idx="309">
                  <c:v>28.779471733561799</c:v>
                </c:pt>
                <c:pt idx="310">
                  <c:v>26.597524714423319</c:v>
                </c:pt>
                <c:pt idx="311">
                  <c:v>20.025765160203971</c:v>
                </c:pt>
                <c:pt idx="312">
                  <c:v>9.3643267222306683</c:v>
                </c:pt>
                <c:pt idx="313">
                  <c:v>19.44739631869847</c:v>
                </c:pt>
                <c:pt idx="314">
                  <c:v>26.339804621269433</c:v>
                </c:pt>
                <c:pt idx="315">
                  <c:v>26.384557559129053</c:v>
                </c:pt>
                <c:pt idx="316">
                  <c:v>25.487379104270268</c:v>
                </c:pt>
                <c:pt idx="317">
                  <c:v>8.9748608674183039</c:v>
                </c:pt>
                <c:pt idx="318">
                  <c:v>11.670750726088407</c:v>
                </c:pt>
                <c:pt idx="319">
                  <c:v>25.91147806156869</c:v>
                </c:pt>
                <c:pt idx="320">
                  <c:v>12.128972309158723</c:v>
                </c:pt>
                <c:pt idx="321">
                  <c:v>14.397021770922505</c:v>
                </c:pt>
                <c:pt idx="322">
                  <c:v>7.373457883234007</c:v>
                </c:pt>
                <c:pt idx="323">
                  <c:v>14.737682766104978</c:v>
                </c:pt>
                <c:pt idx="324">
                  <c:v>3.1146595875069787</c:v>
                </c:pt>
                <c:pt idx="325">
                  <c:v>7.7431087992875929</c:v>
                </c:pt>
                <c:pt idx="326">
                  <c:v>11.604829967648099</c:v>
                </c:pt>
                <c:pt idx="327">
                  <c:v>12.773329077067851</c:v>
                </c:pt>
                <c:pt idx="328">
                  <c:v>4.9461534028376875</c:v>
                </c:pt>
                <c:pt idx="329">
                  <c:v>9.9150213711947632</c:v>
                </c:pt>
                <c:pt idx="330">
                  <c:v>14.104419007850113</c:v>
                </c:pt>
                <c:pt idx="331">
                  <c:v>10.224282599261974</c:v>
                </c:pt>
                <c:pt idx="332">
                  <c:v>14.226053857572582</c:v>
                </c:pt>
                <c:pt idx="333">
                  <c:v>3.9635992081119276</c:v>
                </c:pt>
                <c:pt idx="334">
                  <c:v>3.4106920610430476</c:v>
                </c:pt>
                <c:pt idx="335">
                  <c:v>5.6561041099155656</c:v>
                </c:pt>
                <c:pt idx="336">
                  <c:v>8.4488805632394044</c:v>
                </c:pt>
                <c:pt idx="337">
                  <c:v>16.77559368471994</c:v>
                </c:pt>
                <c:pt idx="338">
                  <c:v>22.833930846877749</c:v>
                </c:pt>
                <c:pt idx="339">
                  <c:v>10.575462369952561</c:v>
                </c:pt>
                <c:pt idx="340">
                  <c:v>19.189295733185308</c:v>
                </c:pt>
                <c:pt idx="341">
                  <c:v>3.9616534403456085</c:v>
                </c:pt>
                <c:pt idx="342">
                  <c:v>4.7934696170739546</c:v>
                </c:pt>
                <c:pt idx="343">
                  <c:v>11.283780465196084</c:v>
                </c:pt>
                <c:pt idx="344">
                  <c:v>15.764248608499091</c:v>
                </c:pt>
                <c:pt idx="345">
                  <c:v>5.490277647008738</c:v>
                </c:pt>
                <c:pt idx="346">
                  <c:v>5.2118708673038965</c:v>
                </c:pt>
                <c:pt idx="347">
                  <c:v>16.538005180260292</c:v>
                </c:pt>
                <c:pt idx="348">
                  <c:v>5.4858747033860711</c:v>
                </c:pt>
                <c:pt idx="349">
                  <c:v>4.6746179333959592</c:v>
                </c:pt>
                <c:pt idx="350">
                  <c:v>3.4161992002264641</c:v>
                </c:pt>
                <c:pt idx="351">
                  <c:v>20.514320937259658</c:v>
                </c:pt>
                <c:pt idx="352">
                  <c:v>16.601674297165122</c:v>
                </c:pt>
                <c:pt idx="353">
                  <c:v>4.364366598042583</c:v>
                </c:pt>
                <c:pt idx="354">
                  <c:v>19.684024857854016</c:v>
                </c:pt>
                <c:pt idx="355">
                  <c:v>16.267893220263289</c:v>
                </c:pt>
                <c:pt idx="356">
                  <c:v>16.800284959372249</c:v>
                </c:pt>
                <c:pt idx="357">
                  <c:v>20.190311297655075</c:v>
                </c:pt>
                <c:pt idx="358">
                  <c:v>12.013379757210652</c:v>
                </c:pt>
                <c:pt idx="359">
                  <c:v>20.472014853230593</c:v>
                </c:pt>
                <c:pt idx="360">
                  <c:v>7.3779582217855966</c:v>
                </c:pt>
                <c:pt idx="361">
                  <c:v>19.665341320478749</c:v>
                </c:pt>
                <c:pt idx="362">
                  <c:v>9.6672826420353903</c:v>
                </c:pt>
                <c:pt idx="363">
                  <c:v>12.729271590176769</c:v>
                </c:pt>
                <c:pt idx="364">
                  <c:v>11.812628443115916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22.423895962310816</c:v>
                </c:pt>
                <c:pt idx="1">
                  <c:v>16.123738159748079</c:v>
                </c:pt>
                <c:pt idx="2">
                  <c:v>17.351317899958666</c:v>
                </c:pt>
                <c:pt idx="3">
                  <c:v>18.33385496046904</c:v>
                </c:pt>
                <c:pt idx="4">
                  <c:v>14.597075211656355</c:v>
                </c:pt>
                <c:pt idx="5">
                  <c:v>21.049729956632024</c:v>
                </c:pt>
                <c:pt idx="6">
                  <c:v>10.764820253579531</c:v>
                </c:pt>
                <c:pt idx="7">
                  <c:v>7.5517059175062426</c:v>
                </c:pt>
                <c:pt idx="8">
                  <c:v>2.2290722392908524</c:v>
                </c:pt>
                <c:pt idx="9">
                  <c:v>1.7302124747819154</c:v>
                </c:pt>
                <c:pt idx="10">
                  <c:v>24.934570557244932</c:v>
                </c:pt>
                <c:pt idx="11">
                  <c:v>21.27468256494328</c:v>
                </c:pt>
                <c:pt idx="12">
                  <c:v>5.1233397488445478</c:v>
                </c:pt>
                <c:pt idx="13">
                  <c:v>25.329539613357674</c:v>
                </c:pt>
                <c:pt idx="14">
                  <c:v>26.916522461113836</c:v>
                </c:pt>
                <c:pt idx="15">
                  <c:v>26.436367348297615</c:v>
                </c:pt>
                <c:pt idx="16">
                  <c:v>13.532546103104941</c:v>
                </c:pt>
                <c:pt idx="17">
                  <c:v>3.5728385440603487</c:v>
                </c:pt>
                <c:pt idx="18">
                  <c:v>10.334579523914677</c:v>
                </c:pt>
                <c:pt idx="19">
                  <c:v>6.5012077531882504</c:v>
                </c:pt>
                <c:pt idx="20">
                  <c:v>20.766392580673134</c:v>
                </c:pt>
                <c:pt idx="21">
                  <c:v>28.020063548102453</c:v>
                </c:pt>
                <c:pt idx="22">
                  <c:v>28.085224096478658</c:v>
                </c:pt>
                <c:pt idx="23">
                  <c:v>28.716966413951067</c:v>
                </c:pt>
                <c:pt idx="24">
                  <c:v>27.349740531211538</c:v>
                </c:pt>
                <c:pt idx="25">
                  <c:v>28.326078930676609</c:v>
                </c:pt>
                <c:pt idx="26">
                  <c:v>26.392184276342391</c:v>
                </c:pt>
                <c:pt idx="27">
                  <c:v>4.3109326255793743</c:v>
                </c:pt>
                <c:pt idx="28">
                  <c:v>9.4531311607281054</c:v>
                </c:pt>
                <c:pt idx="29">
                  <c:v>4.4964187424753419</c:v>
                </c:pt>
                <c:pt idx="30">
                  <c:v>9.1966712076237744</c:v>
                </c:pt>
                <c:pt idx="31">
                  <c:v>13.351658070289977</c:v>
                </c:pt>
                <c:pt idx="32">
                  <c:v>5.3636326876222746</c:v>
                </c:pt>
                <c:pt idx="33">
                  <c:v>10.109775015827656</c:v>
                </c:pt>
                <c:pt idx="34">
                  <c:v>10.010682653675106</c:v>
                </c:pt>
                <c:pt idx="35">
                  <c:v>9.6856596712009928</c:v>
                </c:pt>
                <c:pt idx="36">
                  <c:v>22.159403215767483</c:v>
                </c:pt>
                <c:pt idx="37">
                  <c:v>9.5086554649994977</c:v>
                </c:pt>
                <c:pt idx="38">
                  <c:v>33.328719497575555</c:v>
                </c:pt>
                <c:pt idx="39">
                  <c:v>33.548052235429545</c:v>
                </c:pt>
                <c:pt idx="40">
                  <c:v>31.187207038793812</c:v>
                </c:pt>
                <c:pt idx="41">
                  <c:v>17.41005507928876</c:v>
                </c:pt>
                <c:pt idx="42">
                  <c:v>26.450546501790274</c:v>
                </c:pt>
                <c:pt idx="43">
                  <c:v>31.267497111777121</c:v>
                </c:pt>
                <c:pt idx="44">
                  <c:v>15.314091965828494</c:v>
                </c:pt>
                <c:pt idx="45">
                  <c:v>19.254036139618169</c:v>
                </c:pt>
                <c:pt idx="46">
                  <c:v>10.086079705817632</c:v>
                </c:pt>
                <c:pt idx="47">
                  <c:v>10.912189043459033</c:v>
                </c:pt>
                <c:pt idx="48">
                  <c:v>27.789344233073251</c:v>
                </c:pt>
                <c:pt idx="49">
                  <c:v>20.139202767338698</c:v>
                </c:pt>
                <c:pt idx="50">
                  <c:v>19.20959508536334</c:v>
                </c:pt>
                <c:pt idx="51">
                  <c:v>21.235782883669682</c:v>
                </c:pt>
                <c:pt idx="52">
                  <c:v>32.822521834106738</c:v>
                </c:pt>
                <c:pt idx="53">
                  <c:v>33.961441269339403</c:v>
                </c:pt>
                <c:pt idx="54">
                  <c:v>20.87921588824884</c:v>
                </c:pt>
                <c:pt idx="55">
                  <c:v>30.41015888948229</c:v>
                </c:pt>
                <c:pt idx="56">
                  <c:v>39.162480020730904</c:v>
                </c:pt>
                <c:pt idx="57">
                  <c:v>27.292264329508349</c:v>
                </c:pt>
                <c:pt idx="58">
                  <c:v>33.724801460123423</c:v>
                </c:pt>
                <c:pt idx="59">
                  <c:v>39.149041167842817</c:v>
                </c:pt>
                <c:pt idx="60">
                  <c:v>10.781076340340995</c:v>
                </c:pt>
                <c:pt idx="61">
                  <c:v>34.74633886592256</c:v>
                </c:pt>
                <c:pt idx="62">
                  <c:v>3.996536134286595</c:v>
                </c:pt>
                <c:pt idx="63">
                  <c:v>13.230741515070299</c:v>
                </c:pt>
                <c:pt idx="64">
                  <c:v>15.808415945827578</c:v>
                </c:pt>
                <c:pt idx="65">
                  <c:v>36.924260570803057</c:v>
                </c:pt>
                <c:pt idx="66">
                  <c:v>31.9108160957583</c:v>
                </c:pt>
                <c:pt idx="67">
                  <c:v>28.474275346746943</c:v>
                </c:pt>
                <c:pt idx="68">
                  <c:v>24.735968037206423</c:v>
                </c:pt>
                <c:pt idx="69">
                  <c:v>15.696107060508082</c:v>
                </c:pt>
                <c:pt idx="70">
                  <c:v>14.584169785876934</c:v>
                </c:pt>
                <c:pt idx="71">
                  <c:v>9.8996854255094746</c:v>
                </c:pt>
                <c:pt idx="72">
                  <c:v>14.266215180781897</c:v>
                </c:pt>
                <c:pt idx="73">
                  <c:v>14.289909302346086</c:v>
                </c:pt>
                <c:pt idx="74">
                  <c:v>12.8800165037119</c:v>
                </c:pt>
                <c:pt idx="75">
                  <c:v>10.744989694826788</c:v>
                </c:pt>
                <c:pt idx="76">
                  <c:v>14.326167160420543</c:v>
                </c:pt>
                <c:pt idx="77">
                  <c:v>29.073832763533126</c:v>
                </c:pt>
                <c:pt idx="78">
                  <c:v>30.029025495618093</c:v>
                </c:pt>
                <c:pt idx="79">
                  <c:v>43.784240478223829</c:v>
                </c:pt>
                <c:pt idx="80">
                  <c:v>41.200231585247025</c:v>
                </c:pt>
                <c:pt idx="81">
                  <c:v>47.27366031532074</c:v>
                </c:pt>
                <c:pt idx="82">
                  <c:v>46.261786805526427</c:v>
                </c:pt>
                <c:pt idx="83">
                  <c:v>40.523332588610067</c:v>
                </c:pt>
                <c:pt idx="84">
                  <c:v>45.607046527089388</c:v>
                </c:pt>
                <c:pt idx="85">
                  <c:v>44.423803289910197</c:v>
                </c:pt>
                <c:pt idx="86">
                  <c:v>34.781728624093049</c:v>
                </c:pt>
                <c:pt idx="87">
                  <c:v>27.394295670103233</c:v>
                </c:pt>
                <c:pt idx="88">
                  <c:v>7.7039299596970965</c:v>
                </c:pt>
                <c:pt idx="89">
                  <c:v>28.074783877116353</c:v>
                </c:pt>
                <c:pt idx="90">
                  <c:v>30.723643992486373</c:v>
                </c:pt>
                <c:pt idx="91">
                  <c:v>20.945309767031581</c:v>
                </c:pt>
                <c:pt idx="92">
                  <c:v>22.691694828499752</c:v>
                </c:pt>
                <c:pt idx="93">
                  <c:v>47.721453024657386</c:v>
                </c:pt>
                <c:pt idx="94">
                  <c:v>50.724132933750688</c:v>
                </c:pt>
                <c:pt idx="95">
                  <c:v>11.11218560966573</c:v>
                </c:pt>
                <c:pt idx="96">
                  <c:v>37.985350235142725</c:v>
                </c:pt>
                <c:pt idx="97">
                  <c:v>31.289451219008935</c:v>
                </c:pt>
                <c:pt idx="98">
                  <c:v>34.839481987182133</c:v>
                </c:pt>
                <c:pt idx="99">
                  <c:v>52.46221390129525</c:v>
                </c:pt>
                <c:pt idx="100">
                  <c:v>44.054782379917533</c:v>
                </c:pt>
                <c:pt idx="101">
                  <c:v>35.727224911631737</c:v>
                </c:pt>
                <c:pt idx="102">
                  <c:v>7.1639950788855966</c:v>
                </c:pt>
                <c:pt idx="103">
                  <c:v>38.725169636518999</c:v>
                </c:pt>
                <c:pt idx="104">
                  <c:v>44.37914486725132</c:v>
                </c:pt>
                <c:pt idx="105">
                  <c:v>42.823399625916593</c:v>
                </c:pt>
                <c:pt idx="106">
                  <c:v>52.306246016970896</c:v>
                </c:pt>
                <c:pt idx="107">
                  <c:v>36.181017219286147</c:v>
                </c:pt>
                <c:pt idx="108">
                  <c:v>8.6492207385877524</c:v>
                </c:pt>
                <c:pt idx="109">
                  <c:v>9.8976077603823622</c:v>
                </c:pt>
                <c:pt idx="110">
                  <c:v>9.1488694639379311</c:v>
                </c:pt>
                <c:pt idx="111">
                  <c:v>26.774644638808631</c:v>
                </c:pt>
                <c:pt idx="112">
                  <c:v>9.2643820872383511</c:v>
                </c:pt>
                <c:pt idx="113">
                  <c:v>29.396153004884074</c:v>
                </c:pt>
                <c:pt idx="114">
                  <c:v>45.236934610910623</c:v>
                </c:pt>
                <c:pt idx="115">
                  <c:v>52.662066503476154</c:v>
                </c:pt>
                <c:pt idx="116">
                  <c:v>39.668299818048567</c:v>
                </c:pt>
                <c:pt idx="117">
                  <c:v>19.744977988027181</c:v>
                </c:pt>
                <c:pt idx="118">
                  <c:v>39.733535098256276</c:v>
                </c:pt>
                <c:pt idx="119">
                  <c:v>42.234939435071318</c:v>
                </c:pt>
                <c:pt idx="120">
                  <c:v>45.774854179133591</c:v>
                </c:pt>
                <c:pt idx="121">
                  <c:v>29.426322067293878</c:v>
                </c:pt>
                <c:pt idx="122">
                  <c:v>35.061453631007453</c:v>
                </c:pt>
                <c:pt idx="123">
                  <c:v>19.448759976981108</c:v>
                </c:pt>
                <c:pt idx="124">
                  <c:v>40.765062103264256</c:v>
                </c:pt>
                <c:pt idx="125">
                  <c:v>37.291942894050941</c:v>
                </c:pt>
                <c:pt idx="126">
                  <c:v>50.707259747896721</c:v>
                </c:pt>
                <c:pt idx="127">
                  <c:v>48.256237315771848</c:v>
                </c:pt>
                <c:pt idx="128">
                  <c:v>50.496571203983265</c:v>
                </c:pt>
                <c:pt idx="129">
                  <c:v>50.17293135549837</c:v>
                </c:pt>
                <c:pt idx="130">
                  <c:v>54.158483081199407</c:v>
                </c:pt>
                <c:pt idx="131">
                  <c:v>39.489017130178766</c:v>
                </c:pt>
                <c:pt idx="132">
                  <c:v>40.167022872206665</c:v>
                </c:pt>
                <c:pt idx="133">
                  <c:v>48.596459842401238</c:v>
                </c:pt>
                <c:pt idx="134">
                  <c:v>51.41280126186728</c:v>
                </c:pt>
                <c:pt idx="135">
                  <c:v>49.006947763796589</c:v>
                </c:pt>
                <c:pt idx="136">
                  <c:v>52.186364585779444</c:v>
                </c:pt>
                <c:pt idx="137">
                  <c:v>50.201570946984631</c:v>
                </c:pt>
                <c:pt idx="138">
                  <c:v>52.985179774998031</c:v>
                </c:pt>
                <c:pt idx="139">
                  <c:v>48.002406252723333</c:v>
                </c:pt>
                <c:pt idx="140">
                  <c:v>47.921665744423017</c:v>
                </c:pt>
                <c:pt idx="141">
                  <c:v>36.268893226185327</c:v>
                </c:pt>
                <c:pt idx="142">
                  <c:v>18.909124870908581</c:v>
                </c:pt>
                <c:pt idx="143">
                  <c:v>16.395285659227419</c:v>
                </c:pt>
                <c:pt idx="144">
                  <c:v>38.454315319857614</c:v>
                </c:pt>
                <c:pt idx="145">
                  <c:v>23.316676248028894</c:v>
                </c:pt>
                <c:pt idx="146">
                  <c:v>43.371477498144607</c:v>
                </c:pt>
                <c:pt idx="147">
                  <c:v>52.258562240771873</c:v>
                </c:pt>
                <c:pt idx="148">
                  <c:v>56.324591359475534</c:v>
                </c:pt>
                <c:pt idx="149">
                  <c:v>47.964464007307093</c:v>
                </c:pt>
                <c:pt idx="150">
                  <c:v>50.937506588943393</c:v>
                </c:pt>
                <c:pt idx="151">
                  <c:v>53.215485865759398</c:v>
                </c:pt>
                <c:pt idx="152">
                  <c:v>42.74908029745221</c:v>
                </c:pt>
                <c:pt idx="153">
                  <c:v>52.097910076876303</c:v>
                </c:pt>
                <c:pt idx="154">
                  <c:v>23.526152948532239</c:v>
                </c:pt>
                <c:pt idx="155">
                  <c:v>32.453792398255942</c:v>
                </c:pt>
                <c:pt idx="156">
                  <c:v>45.706961669835032</c:v>
                </c:pt>
                <c:pt idx="157">
                  <c:v>23.828425270953794</c:v>
                </c:pt>
                <c:pt idx="158">
                  <c:v>19.481160722298416</c:v>
                </c:pt>
                <c:pt idx="159">
                  <c:v>44.518167794493536</c:v>
                </c:pt>
                <c:pt idx="160">
                  <c:v>54.329036739844881</c:v>
                </c:pt>
                <c:pt idx="161">
                  <c:v>53.121444265809885</c:v>
                </c:pt>
                <c:pt idx="162">
                  <c:v>40.646941480118393</c:v>
                </c:pt>
                <c:pt idx="163">
                  <c:v>51.466334772154454</c:v>
                </c:pt>
                <c:pt idx="164">
                  <c:v>46.939978106270139</c:v>
                </c:pt>
                <c:pt idx="165">
                  <c:v>51.203743167928167</c:v>
                </c:pt>
                <c:pt idx="166">
                  <c:v>49.209695142650695</c:v>
                </c:pt>
                <c:pt idx="167">
                  <c:v>49.277412740919793</c:v>
                </c:pt>
                <c:pt idx="168">
                  <c:v>52.50621483922459</c:v>
                </c:pt>
                <c:pt idx="169">
                  <c:v>53.578346806670552</c:v>
                </c:pt>
                <c:pt idx="170">
                  <c:v>29.838528822545801</c:v>
                </c:pt>
                <c:pt idx="171">
                  <c:v>22.283695302407455</c:v>
                </c:pt>
                <c:pt idx="172">
                  <c:v>37.273249668428569</c:v>
                </c:pt>
                <c:pt idx="173">
                  <c:v>39.810667046789845</c:v>
                </c:pt>
                <c:pt idx="174">
                  <c:v>38.048683308078949</c:v>
                </c:pt>
                <c:pt idx="175">
                  <c:v>33.484482166637456</c:v>
                </c:pt>
                <c:pt idx="176">
                  <c:v>11.235027669749568</c:v>
                </c:pt>
                <c:pt idx="177">
                  <c:v>12.263971790923577</c:v>
                </c:pt>
                <c:pt idx="178">
                  <c:v>55.674888506698913</c:v>
                </c:pt>
                <c:pt idx="179">
                  <c:v>52.858243814166997</c:v>
                </c:pt>
                <c:pt idx="180">
                  <c:v>13.142453602047588</c:v>
                </c:pt>
                <c:pt idx="181">
                  <c:v>47.31180366060979</c:v>
                </c:pt>
                <c:pt idx="182">
                  <c:v>52.704998574092158</c:v>
                </c:pt>
                <c:pt idx="183">
                  <c:v>43.918482361560933</c:v>
                </c:pt>
                <c:pt idx="184">
                  <c:v>41.678695952894707</c:v>
                </c:pt>
                <c:pt idx="185">
                  <c:v>52.221444006234556</c:v>
                </c:pt>
                <c:pt idx="186">
                  <c:v>44.84687683294068</c:v>
                </c:pt>
                <c:pt idx="187">
                  <c:v>51.508925376692957</c:v>
                </c:pt>
                <c:pt idx="188">
                  <c:v>54.17171124815038</c:v>
                </c:pt>
                <c:pt idx="189">
                  <c:v>53.474429216059534</c:v>
                </c:pt>
                <c:pt idx="190">
                  <c:v>52.79455529345185</c:v>
                </c:pt>
                <c:pt idx="191">
                  <c:v>51.398587588800666</c:v>
                </c:pt>
                <c:pt idx="192">
                  <c:v>51.492855592632502</c:v>
                </c:pt>
                <c:pt idx="193">
                  <c:v>50.886537571219506</c:v>
                </c:pt>
                <c:pt idx="194">
                  <c:v>50.343179303403524</c:v>
                </c:pt>
                <c:pt idx="195">
                  <c:v>48.660185900840091</c:v>
                </c:pt>
                <c:pt idx="196">
                  <c:v>50.003547240290111</c:v>
                </c:pt>
                <c:pt idx="197">
                  <c:v>49.607455118666145</c:v>
                </c:pt>
                <c:pt idx="198">
                  <c:v>51.411296131001158</c:v>
                </c:pt>
                <c:pt idx="199">
                  <c:v>41.2462135718485</c:v>
                </c:pt>
                <c:pt idx="200">
                  <c:v>41.661153753470124</c:v>
                </c:pt>
                <c:pt idx="201">
                  <c:v>48.997241887838612</c:v>
                </c:pt>
                <c:pt idx="202">
                  <c:v>39.059123226029932</c:v>
                </c:pt>
                <c:pt idx="203">
                  <c:v>43.650654101976166</c:v>
                </c:pt>
                <c:pt idx="204">
                  <c:v>48.957809819902678</c:v>
                </c:pt>
                <c:pt idx="205">
                  <c:v>25.020027284975168</c:v>
                </c:pt>
                <c:pt idx="206">
                  <c:v>52.594833797311033</c:v>
                </c:pt>
                <c:pt idx="207">
                  <c:v>52.60421801334509</c:v>
                </c:pt>
                <c:pt idx="208">
                  <c:v>42.216737266144328</c:v>
                </c:pt>
                <c:pt idx="209">
                  <c:v>28.558702053334823</c:v>
                </c:pt>
                <c:pt idx="210">
                  <c:v>48.064421508362365</c:v>
                </c:pt>
                <c:pt idx="211">
                  <c:v>50.657501447434086</c:v>
                </c:pt>
                <c:pt idx="212">
                  <c:v>49.774969236905385</c:v>
                </c:pt>
                <c:pt idx="213">
                  <c:v>49.974414637199708</c:v>
                </c:pt>
                <c:pt idx="214">
                  <c:v>47.884647356345091</c:v>
                </c:pt>
                <c:pt idx="215">
                  <c:v>44.935646284704532</c:v>
                </c:pt>
                <c:pt idx="216">
                  <c:v>41.808999778880249</c:v>
                </c:pt>
                <c:pt idx="217">
                  <c:v>45.815228817403387</c:v>
                </c:pt>
                <c:pt idx="218">
                  <c:v>48.697806576770347</c:v>
                </c:pt>
                <c:pt idx="219">
                  <c:v>49.481040271606012</c:v>
                </c:pt>
                <c:pt idx="220">
                  <c:v>47.827229723295929</c:v>
                </c:pt>
                <c:pt idx="221">
                  <c:v>45.859079618410156</c:v>
                </c:pt>
                <c:pt idx="222">
                  <c:v>42.202275453458441</c:v>
                </c:pt>
                <c:pt idx="223">
                  <c:v>44.291804061088278</c:v>
                </c:pt>
                <c:pt idx="224">
                  <c:v>30.854048601332913</c:v>
                </c:pt>
                <c:pt idx="225">
                  <c:v>32.079108007667713</c:v>
                </c:pt>
                <c:pt idx="226">
                  <c:v>36.783560308633092</c:v>
                </c:pt>
                <c:pt idx="227">
                  <c:v>30.899678091781812</c:v>
                </c:pt>
                <c:pt idx="228">
                  <c:v>21.240990391569124</c:v>
                </c:pt>
                <c:pt idx="229">
                  <c:v>36.961679558860787</c:v>
                </c:pt>
                <c:pt idx="230">
                  <c:v>38.271519444520749</c:v>
                </c:pt>
                <c:pt idx="231">
                  <c:v>45.579775367239201</c:v>
                </c:pt>
                <c:pt idx="232">
                  <c:v>30.728005318862735</c:v>
                </c:pt>
                <c:pt idx="233">
                  <c:v>23.941493345867883</c:v>
                </c:pt>
                <c:pt idx="234">
                  <c:v>42.826713045929829</c:v>
                </c:pt>
                <c:pt idx="235">
                  <c:v>44.249488537498983</c:v>
                </c:pt>
                <c:pt idx="236">
                  <c:v>31.575061573245943</c:v>
                </c:pt>
                <c:pt idx="237">
                  <c:v>39.668501036308818</c:v>
                </c:pt>
                <c:pt idx="238">
                  <c:v>46.738733873719795</c:v>
                </c:pt>
                <c:pt idx="239">
                  <c:v>45.870746641008246</c:v>
                </c:pt>
                <c:pt idx="240">
                  <c:v>30.927896804633111</c:v>
                </c:pt>
                <c:pt idx="241">
                  <c:v>44.90901993151639</c:v>
                </c:pt>
                <c:pt idx="242">
                  <c:v>21.136834406858991</c:v>
                </c:pt>
                <c:pt idx="243">
                  <c:v>40.746463806427762</c:v>
                </c:pt>
                <c:pt idx="244">
                  <c:v>37.376124629410008</c:v>
                </c:pt>
                <c:pt idx="245">
                  <c:v>31.20841442563205</c:v>
                </c:pt>
                <c:pt idx="246">
                  <c:v>45.265521270568257</c:v>
                </c:pt>
                <c:pt idx="247">
                  <c:v>38.267787644866161</c:v>
                </c:pt>
                <c:pt idx="248">
                  <c:v>43.400843176928078</c:v>
                </c:pt>
                <c:pt idx="249">
                  <c:v>33.769141929164356</c:v>
                </c:pt>
                <c:pt idx="250">
                  <c:v>36.980364369558252</c:v>
                </c:pt>
                <c:pt idx="251">
                  <c:v>20.587577968960101</c:v>
                </c:pt>
                <c:pt idx="252">
                  <c:v>43.493702541969036</c:v>
                </c:pt>
                <c:pt idx="253">
                  <c:v>44.006692642808297</c:v>
                </c:pt>
                <c:pt idx="254">
                  <c:v>30.821191993011105</c:v>
                </c:pt>
                <c:pt idx="255">
                  <c:v>10.929068199402368</c:v>
                </c:pt>
                <c:pt idx="256">
                  <c:v>36.268915774807972</c:v>
                </c:pt>
                <c:pt idx="257">
                  <c:v>39.84017337528671</c:v>
                </c:pt>
                <c:pt idx="258">
                  <c:v>26.526649359524118</c:v>
                </c:pt>
                <c:pt idx="259">
                  <c:v>45.875468298704625</c:v>
                </c:pt>
                <c:pt idx="260">
                  <c:v>44.356302456657595</c:v>
                </c:pt>
                <c:pt idx="261">
                  <c:v>43.214767342901666</c:v>
                </c:pt>
                <c:pt idx="262">
                  <c:v>44.519309456207793</c:v>
                </c:pt>
                <c:pt idx="263">
                  <c:v>43.435954989413773</c:v>
                </c:pt>
                <c:pt idx="264">
                  <c:v>42.305908916743782</c:v>
                </c:pt>
                <c:pt idx="265">
                  <c:v>26.730559911504848</c:v>
                </c:pt>
                <c:pt idx="266">
                  <c:v>16.757123068109493</c:v>
                </c:pt>
                <c:pt idx="267">
                  <c:v>29.664322105768328</c:v>
                </c:pt>
                <c:pt idx="268">
                  <c:v>31.992351074352481</c:v>
                </c:pt>
                <c:pt idx="269">
                  <c:v>14.460558231800986</c:v>
                </c:pt>
                <c:pt idx="270">
                  <c:v>16.616342978248365</c:v>
                </c:pt>
                <c:pt idx="271">
                  <c:v>22.789744709179416</c:v>
                </c:pt>
                <c:pt idx="272">
                  <c:v>27.849339825159408</c:v>
                </c:pt>
                <c:pt idx="273">
                  <c:v>33.399787735500254</c:v>
                </c:pt>
                <c:pt idx="274">
                  <c:v>37.232092085707045</c:v>
                </c:pt>
                <c:pt idx="275">
                  <c:v>33.865144602138997</c:v>
                </c:pt>
                <c:pt idx="276">
                  <c:v>38.10674568264745</c:v>
                </c:pt>
                <c:pt idx="277">
                  <c:v>39.303898818439826</c:v>
                </c:pt>
                <c:pt idx="278">
                  <c:v>11.474051744811904</c:v>
                </c:pt>
                <c:pt idx="279">
                  <c:v>28.04582137338306</c:v>
                </c:pt>
                <c:pt idx="280">
                  <c:v>15.286504528246898</c:v>
                </c:pt>
                <c:pt idx="281">
                  <c:v>35.954163464871264</c:v>
                </c:pt>
                <c:pt idx="282">
                  <c:v>29.633673352680393</c:v>
                </c:pt>
                <c:pt idx="283">
                  <c:v>21.550025926350369</c:v>
                </c:pt>
                <c:pt idx="284">
                  <c:v>26.91697422943782</c:v>
                </c:pt>
                <c:pt idx="285">
                  <c:v>22.214525611904264</c:v>
                </c:pt>
                <c:pt idx="286">
                  <c:v>18.856751931242069</c:v>
                </c:pt>
                <c:pt idx="287">
                  <c:v>34.921919386025188</c:v>
                </c:pt>
                <c:pt idx="288">
                  <c:v>31.364250334408798</c:v>
                </c:pt>
                <c:pt idx="289">
                  <c:v>19.033233520497479</c:v>
                </c:pt>
                <c:pt idx="290">
                  <c:v>32.309939175076487</c:v>
                </c:pt>
                <c:pt idx="291">
                  <c:v>14.883267358675599</c:v>
                </c:pt>
                <c:pt idx="292">
                  <c:v>6.166078359543345</c:v>
                </c:pt>
                <c:pt idx="293">
                  <c:v>15.617612827280908</c:v>
                </c:pt>
                <c:pt idx="294">
                  <c:v>31.179274375841544</c:v>
                </c:pt>
                <c:pt idx="295">
                  <c:v>16.249028781854925</c:v>
                </c:pt>
                <c:pt idx="296">
                  <c:v>24.086345905787624</c:v>
                </c:pt>
                <c:pt idx="297">
                  <c:v>20.773723848807258</c:v>
                </c:pt>
                <c:pt idx="298">
                  <c:v>13.021944723578269</c:v>
                </c:pt>
                <c:pt idx="299">
                  <c:v>13.909344300063157</c:v>
                </c:pt>
                <c:pt idx="300">
                  <c:v>16.425668587773732</c:v>
                </c:pt>
                <c:pt idx="301">
                  <c:v>25.794376240814806</c:v>
                </c:pt>
                <c:pt idx="302">
                  <c:v>21.338334171089159</c:v>
                </c:pt>
                <c:pt idx="303">
                  <c:v>20.832498794176015</c:v>
                </c:pt>
                <c:pt idx="304">
                  <c:v>22.160962596767114</c:v>
                </c:pt>
                <c:pt idx="305">
                  <c:v>26.635081983281133</c:v>
                </c:pt>
                <c:pt idx="306">
                  <c:v>9.1462068030029187</c:v>
                </c:pt>
                <c:pt idx="307">
                  <c:v>16.041273987705008</c:v>
                </c:pt>
                <c:pt idx="308">
                  <c:v>27.933987808544543</c:v>
                </c:pt>
                <c:pt idx="309">
                  <c:v>28.779471733561799</c:v>
                </c:pt>
                <c:pt idx="310">
                  <c:v>26.597524714423319</c:v>
                </c:pt>
                <c:pt idx="311">
                  <c:v>20.025765160203971</c:v>
                </c:pt>
                <c:pt idx="312">
                  <c:v>9.3643267222306683</c:v>
                </c:pt>
                <c:pt idx="313">
                  <c:v>19.44739631869847</c:v>
                </c:pt>
                <c:pt idx="314">
                  <c:v>26.339804621269433</c:v>
                </c:pt>
                <c:pt idx="315">
                  <c:v>26.384557559129053</c:v>
                </c:pt>
                <c:pt idx="316">
                  <c:v>25.487379104270268</c:v>
                </c:pt>
                <c:pt idx="317">
                  <c:v>8.9748608674183039</c:v>
                </c:pt>
                <c:pt idx="318">
                  <c:v>11.670750726088407</c:v>
                </c:pt>
                <c:pt idx="319">
                  <c:v>25.91147806156869</c:v>
                </c:pt>
                <c:pt idx="320">
                  <c:v>12.128972309158723</c:v>
                </c:pt>
                <c:pt idx="321">
                  <c:v>14.397021770922505</c:v>
                </c:pt>
                <c:pt idx="322">
                  <c:v>7.373457883234007</c:v>
                </c:pt>
                <c:pt idx="323">
                  <c:v>14.737682766104978</c:v>
                </c:pt>
                <c:pt idx="324">
                  <c:v>3.1146595875069787</c:v>
                </c:pt>
                <c:pt idx="325">
                  <c:v>7.7431087992875929</c:v>
                </c:pt>
                <c:pt idx="326">
                  <c:v>11.604829967648099</c:v>
                </c:pt>
                <c:pt idx="327">
                  <c:v>12.773329077067851</c:v>
                </c:pt>
                <c:pt idx="328">
                  <c:v>4.9461534028376875</c:v>
                </c:pt>
                <c:pt idx="329">
                  <c:v>9.9150213711947632</c:v>
                </c:pt>
                <c:pt idx="330">
                  <c:v>14.104419007850113</c:v>
                </c:pt>
                <c:pt idx="331">
                  <c:v>10.224282599261974</c:v>
                </c:pt>
                <c:pt idx="332">
                  <c:v>14.226053857572582</c:v>
                </c:pt>
                <c:pt idx="333">
                  <c:v>3.9635992081119276</c:v>
                </c:pt>
                <c:pt idx="334">
                  <c:v>3.4106920610430476</c:v>
                </c:pt>
                <c:pt idx="335">
                  <c:v>5.6561041099155656</c:v>
                </c:pt>
                <c:pt idx="336">
                  <c:v>8.4488805632394044</c:v>
                </c:pt>
                <c:pt idx="337">
                  <c:v>16.77559368471994</c:v>
                </c:pt>
                <c:pt idx="338">
                  <c:v>22.833930846877749</c:v>
                </c:pt>
                <c:pt idx="339">
                  <c:v>10.575462369952561</c:v>
                </c:pt>
                <c:pt idx="340">
                  <c:v>19.189295733185308</c:v>
                </c:pt>
                <c:pt idx="341">
                  <c:v>3.9616534403456085</c:v>
                </c:pt>
                <c:pt idx="342">
                  <c:v>4.7934696170739546</c:v>
                </c:pt>
                <c:pt idx="343">
                  <c:v>11.283780465196084</c:v>
                </c:pt>
                <c:pt idx="344">
                  <c:v>15.764248608499091</c:v>
                </c:pt>
                <c:pt idx="345">
                  <c:v>5.490277647008738</c:v>
                </c:pt>
                <c:pt idx="346">
                  <c:v>5.2118708673038965</c:v>
                </c:pt>
                <c:pt idx="347">
                  <c:v>16.538005180260292</c:v>
                </c:pt>
                <c:pt idx="348">
                  <c:v>5.4858747033860711</c:v>
                </c:pt>
                <c:pt idx="349">
                  <c:v>4.6746179333959592</c:v>
                </c:pt>
                <c:pt idx="350">
                  <c:v>3.4161992002264641</c:v>
                </c:pt>
                <c:pt idx="351">
                  <c:v>20.514320937259658</c:v>
                </c:pt>
                <c:pt idx="352">
                  <c:v>16.601674297165122</c:v>
                </c:pt>
                <c:pt idx="353">
                  <c:v>4.364366598042583</c:v>
                </c:pt>
                <c:pt idx="354">
                  <c:v>19.684024857854016</c:v>
                </c:pt>
                <c:pt idx="355">
                  <c:v>16.267893220263289</c:v>
                </c:pt>
                <c:pt idx="356">
                  <c:v>16.800284959372249</c:v>
                </c:pt>
                <c:pt idx="357">
                  <c:v>20.190311297655075</c:v>
                </c:pt>
                <c:pt idx="358">
                  <c:v>12.013379757210652</c:v>
                </c:pt>
                <c:pt idx="359">
                  <c:v>20.472014853230593</c:v>
                </c:pt>
                <c:pt idx="360">
                  <c:v>7.3779582217855966</c:v>
                </c:pt>
                <c:pt idx="361">
                  <c:v>19.665341320478749</c:v>
                </c:pt>
                <c:pt idx="362">
                  <c:v>9.6672826420353903</c:v>
                </c:pt>
                <c:pt idx="363">
                  <c:v>12.729271590176769</c:v>
                </c:pt>
                <c:pt idx="364">
                  <c:v>11.812628443115916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6932320"/>
        <c:axId val="536932712"/>
      </c:lineChart>
      <c:dateAx>
        <c:axId val="536932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6932712"/>
        <c:crosses val="autoZero"/>
        <c:auto val="1"/>
        <c:lblOffset val="100"/>
        <c:baseTimeUnit val="days"/>
        <c:majorUnit val="1"/>
        <c:majorTimeUnit val="months"/>
      </c:dateAx>
      <c:valAx>
        <c:axId val="5369327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69323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3.5874572097625346E-2</c:v>
                </c:pt>
                <c:pt idx="1">
                  <c:v>3.5895688918859081E-2</c:v>
                </c:pt>
                <c:pt idx="2">
                  <c:v>3.5916805277580233E-2</c:v>
                </c:pt>
                <c:pt idx="3">
                  <c:v>3.5937921173798903E-2</c:v>
                </c:pt>
                <c:pt idx="4">
                  <c:v>3.5959036607525308E-2</c:v>
                </c:pt>
                <c:pt idx="5">
                  <c:v>3.5980151578769548E-2</c:v>
                </c:pt>
                <c:pt idx="6">
                  <c:v>3.6001266087541728E-2</c:v>
                </c:pt>
                <c:pt idx="7">
                  <c:v>3.602238013385195E-2</c:v>
                </c:pt>
                <c:pt idx="8">
                  <c:v>3.6043493717710318E-2</c:v>
                </c:pt>
                <c:pt idx="9">
                  <c:v>3.6064606839127045E-2</c:v>
                </c:pt>
                <c:pt idx="10">
                  <c:v>3.6085719498112234E-2</c:v>
                </c:pt>
                <c:pt idx="11">
                  <c:v>3.61068316946761E-2</c:v>
                </c:pt>
                <c:pt idx="12">
                  <c:v>3.6127943428828524E-2</c:v>
                </c:pt>
                <c:pt idx="13">
                  <c:v>3.614905470057983E-2</c:v>
                </c:pt>
                <c:pt idx="14">
                  <c:v>3.6170165509940122E-2</c:v>
                </c:pt>
                <c:pt idx="15">
                  <c:v>3.6191275856919614E-2</c:v>
                </c:pt>
                <c:pt idx="16">
                  <c:v>3.6212385741528186E-2</c:v>
                </c:pt>
                <c:pt idx="17">
                  <c:v>3.6233495163776164E-2</c:v>
                </c:pt>
                <c:pt idx="18">
                  <c:v>3.625460412367365E-2</c:v>
                </c:pt>
                <c:pt idx="19">
                  <c:v>3.6275712621230638E-2</c:v>
                </c:pt>
                <c:pt idx="20">
                  <c:v>3.6296820656457451E-2</c:v>
                </c:pt>
                <c:pt idx="21">
                  <c:v>3.6317928229364083E-2</c:v>
                </c:pt>
                <c:pt idx="22">
                  <c:v>3.6339035339960635E-2</c:v>
                </c:pt>
                <c:pt idx="23">
                  <c:v>3.6360141988257433E-2</c:v>
                </c:pt>
                <c:pt idx="24">
                  <c:v>3.6381248174264358E-2</c:v>
                </c:pt>
                <c:pt idx="25">
                  <c:v>3.6402353897991735E-2</c:v>
                </c:pt>
                <c:pt idx="26">
                  <c:v>3.6423459159449445E-2</c:v>
                </c:pt>
                <c:pt idx="27">
                  <c:v>3.6444563958647924E-2</c:v>
                </c:pt>
                <c:pt idx="28">
                  <c:v>3.6465668295597053E-2</c:v>
                </c:pt>
                <c:pt idx="29">
                  <c:v>3.6486772170307047E-2</c:v>
                </c:pt>
                <c:pt idx="30">
                  <c:v>3.6507875582788007E-2</c:v>
                </c:pt>
                <c:pt idx="31">
                  <c:v>3.6528978533050149E-2</c:v>
                </c:pt>
                <c:pt idx="32">
                  <c:v>3.6550081021103464E-2</c:v>
                </c:pt>
                <c:pt idx="33">
                  <c:v>3.6571183046958056E-2</c:v>
                </c:pt>
                <c:pt idx="34">
                  <c:v>3.6592284610624248E-2</c:v>
                </c:pt>
                <c:pt idx="35">
                  <c:v>3.6613385712112034E-2</c:v>
                </c:pt>
                <c:pt idx="36">
                  <c:v>3.6634486351431517E-2</c:v>
                </c:pt>
                <c:pt idx="37">
                  <c:v>3.6655586528592798E-2</c:v>
                </c:pt>
                <c:pt idx="38">
                  <c:v>3.6676686243606094E-2</c:v>
                </c:pt>
                <c:pt idx="39">
                  <c:v>3.6697785496481505E-2</c:v>
                </c:pt>
                <c:pt idx="40">
                  <c:v>3.6718884287229026E-2</c:v>
                </c:pt>
                <c:pt idx="41">
                  <c:v>3.6739982615858979E-2</c:v>
                </c:pt>
                <c:pt idx="42">
                  <c:v>3.6761080482381359E-2</c:v>
                </c:pt>
                <c:pt idx="43">
                  <c:v>3.6782177886806267E-2</c:v>
                </c:pt>
                <c:pt idx="44">
                  <c:v>3.6803274829143917E-2</c:v>
                </c:pt>
                <c:pt idx="45">
                  <c:v>3.6824371309404413E-2</c:v>
                </c:pt>
                <c:pt idx="46">
                  <c:v>3.6845467327597858E-2</c:v>
                </c:pt>
                <c:pt idx="47">
                  <c:v>3.6866562883734355E-2</c:v>
                </c:pt>
                <c:pt idx="48">
                  <c:v>3.6887657977824007E-2</c:v>
                </c:pt>
                <c:pt idx="49">
                  <c:v>3.6908752609876916E-2</c:v>
                </c:pt>
                <c:pt idx="50">
                  <c:v>3.6929846779903297E-2</c:v>
                </c:pt>
                <c:pt idx="51">
                  <c:v>3.6950940487913253E-2</c:v>
                </c:pt>
                <c:pt idx="52">
                  <c:v>3.6972033733916776E-2</c:v>
                </c:pt>
                <c:pt idx="53">
                  <c:v>3.6993126517924191E-2</c:v>
                </c:pt>
                <c:pt idx="54">
                  <c:v>3.7014218839945379E-2</c:v>
                </c:pt>
                <c:pt idx="55">
                  <c:v>3.7035310699990664E-2</c:v>
                </c:pt>
                <c:pt idx="56">
                  <c:v>3.705640209807004E-2</c:v>
                </c:pt>
                <c:pt idx="57">
                  <c:v>3.707749303419372E-2</c:v>
                </c:pt>
                <c:pt idx="58">
                  <c:v>3.7098583508371696E-2</c:v>
                </c:pt>
                <c:pt idx="59">
                  <c:v>3.7119673520614183E-2</c:v>
                </c:pt>
                <c:pt idx="60">
                  <c:v>3.7140763070931393E-2</c:v>
                </c:pt>
                <c:pt idx="61">
                  <c:v>3.7161852159333209E-2</c:v>
                </c:pt>
                <c:pt idx="62">
                  <c:v>3.7182940785829843E-2</c:v>
                </c:pt>
                <c:pt idx="63">
                  <c:v>3.7204028950431511E-2</c:v>
                </c:pt>
                <c:pt idx="64">
                  <c:v>3.7225116653148205E-2</c:v>
                </c:pt>
                <c:pt idx="65">
                  <c:v>3.7246203893990137E-2</c:v>
                </c:pt>
                <c:pt idx="66">
                  <c:v>3.7267290672967301E-2</c:v>
                </c:pt>
                <c:pt idx="67">
                  <c:v>3.7288376990089911E-2</c:v>
                </c:pt>
                <c:pt idx="68">
                  <c:v>3.7309462845368069E-2</c:v>
                </c:pt>
                <c:pt idx="69">
                  <c:v>3.7330548238811878E-2</c:v>
                </c:pt>
                <c:pt idx="70">
                  <c:v>3.7351633170431553E-2</c:v>
                </c:pt>
                <c:pt idx="71">
                  <c:v>3.7372717640236974E-2</c:v>
                </c:pt>
                <c:pt idx="72">
                  <c:v>3.7393801648238467E-2</c:v>
                </c:pt>
                <c:pt idx="73">
                  <c:v>3.7414885194446024E-2</c:v>
                </c:pt>
                <c:pt idx="74">
                  <c:v>3.7435968278869858E-2</c:v>
                </c:pt>
                <c:pt idx="75">
                  <c:v>3.7457050901520073E-2</c:v>
                </c:pt>
                <c:pt idx="76">
                  <c:v>3.747813306240666E-2</c:v>
                </c:pt>
                <c:pt idx="77">
                  <c:v>3.7499214761539834E-2</c:v>
                </c:pt>
                <c:pt idx="78">
                  <c:v>3.7520295998929698E-2</c:v>
                </c:pt>
                <c:pt idx="79">
                  <c:v>3.7541376774586355E-2</c:v>
                </c:pt>
                <c:pt idx="80">
                  <c:v>3.7562457088519907E-2</c:v>
                </c:pt>
                <c:pt idx="81">
                  <c:v>3.7583536940740569E-2</c:v>
                </c:pt>
                <c:pt idx="82">
                  <c:v>3.7604616331258334E-2</c:v>
                </c:pt>
                <c:pt idx="83">
                  <c:v>3.7625695260083303E-2</c:v>
                </c:pt>
                <c:pt idx="84">
                  <c:v>3.764677372722558E-2</c:v>
                </c:pt>
                <c:pt idx="85">
                  <c:v>3.766785173269549E-2</c:v>
                </c:pt>
                <c:pt idx="86">
                  <c:v>3.7688929276502803E-2</c:v>
                </c:pt>
                <c:pt idx="87">
                  <c:v>3.7710006358657955E-2</c:v>
                </c:pt>
                <c:pt idx="88">
                  <c:v>3.7731082979170827E-2</c:v>
                </c:pt>
                <c:pt idx="89">
                  <c:v>3.7752159138051744E-2</c:v>
                </c:pt>
                <c:pt idx="90">
                  <c:v>3.7773234835310587E-2</c:v>
                </c:pt>
                <c:pt idx="91">
                  <c:v>3.7794310070957571E-2</c:v>
                </c:pt>
                <c:pt idx="92">
                  <c:v>3.7815384845002797E-2</c:v>
                </c:pt>
                <c:pt idx="93">
                  <c:v>3.783645915745637E-2</c:v>
                </c:pt>
                <c:pt idx="94">
                  <c:v>3.7857533008328503E-2</c:v>
                </c:pt>
                <c:pt idx="95">
                  <c:v>3.7878606397629189E-2</c:v>
                </c:pt>
                <c:pt idx="96">
                  <c:v>3.7899679325368529E-2</c:v>
                </c:pt>
                <c:pt idx="97">
                  <c:v>3.7920751791556739E-2</c:v>
                </c:pt>
                <c:pt idx="98">
                  <c:v>3.7941823796203811E-2</c:v>
                </c:pt>
                <c:pt idx="99">
                  <c:v>3.7962895339319846E-2</c:v>
                </c:pt>
                <c:pt idx="100">
                  <c:v>3.7983966420915061E-2</c:v>
                </c:pt>
                <c:pt idx="101">
                  <c:v>3.8005037040999556E-2</c:v>
                </c:pt>
                <c:pt idx="102">
                  <c:v>3.8026107199583326E-2</c:v>
                </c:pt>
                <c:pt idx="103">
                  <c:v>3.8047176896676582E-2</c:v>
                </c:pt>
                <c:pt idx="104">
                  <c:v>3.8068246132289318E-2</c:v>
                </c:pt>
                <c:pt idx="105">
                  <c:v>3.8089314906431859E-2</c:v>
                </c:pt>
                <c:pt idx="106">
                  <c:v>3.8110383219114086E-2</c:v>
                </c:pt>
                <c:pt idx="107">
                  <c:v>3.8131451070346212E-2</c:v>
                </c:pt>
                <c:pt idx="108">
                  <c:v>3.815251846013834E-2</c:v>
                </c:pt>
                <c:pt idx="109">
                  <c:v>3.8173585388500464E-2</c:v>
                </c:pt>
                <c:pt idx="110">
                  <c:v>3.8194651855442907E-2</c:v>
                </c:pt>
                <c:pt idx="111">
                  <c:v>3.8215717860975662E-2</c:v>
                </c:pt>
                <c:pt idx="112">
                  <c:v>3.8236783405108832E-2</c:v>
                </c:pt>
                <c:pt idx="113">
                  <c:v>3.8257848487852408E-2</c:v>
                </c:pt>
                <c:pt idx="114">
                  <c:v>3.8278913109216717E-2</c:v>
                </c:pt>
                <c:pt idx="115">
                  <c:v>3.8299977269211749E-2</c:v>
                </c:pt>
                <c:pt idx="116">
                  <c:v>3.8321040967847608E-2</c:v>
                </c:pt>
                <c:pt idx="117">
                  <c:v>3.8342104205134397E-2</c:v>
                </c:pt>
                <c:pt idx="118">
                  <c:v>3.836316698108222E-2</c:v>
                </c:pt>
                <c:pt idx="119">
                  <c:v>3.8384229295701178E-2</c:v>
                </c:pt>
                <c:pt idx="120">
                  <c:v>3.8405291149001486E-2</c:v>
                </c:pt>
                <c:pt idx="121">
                  <c:v>3.8426352540993025E-2</c:v>
                </c:pt>
                <c:pt idx="122">
                  <c:v>3.844741347168612E-2</c:v>
                </c:pt>
                <c:pt idx="123">
                  <c:v>3.8468473941090764E-2</c:v>
                </c:pt>
                <c:pt idx="124">
                  <c:v>3.8489533949217059E-2</c:v>
                </c:pt>
                <c:pt idx="125">
                  <c:v>3.8510593496075107E-2</c:v>
                </c:pt>
                <c:pt idx="126">
                  <c:v>3.8531652581675124E-2</c:v>
                </c:pt>
                <c:pt idx="127">
                  <c:v>3.8552711206026991E-2</c:v>
                </c:pt>
                <c:pt idx="128">
                  <c:v>3.8573769369141031E-2</c:v>
                </c:pt>
                <c:pt idx="129">
                  <c:v>3.8594827071027238E-2</c:v>
                </c:pt>
                <c:pt idx="130">
                  <c:v>3.8615884311695714E-2</c:v>
                </c:pt>
                <c:pt idx="131">
                  <c:v>3.8636941091156562E-2</c:v>
                </c:pt>
                <c:pt idx="132">
                  <c:v>3.8657997409419886E-2</c:v>
                </c:pt>
                <c:pt idx="133">
                  <c:v>3.8679053266495789E-2</c:v>
                </c:pt>
                <c:pt idx="134">
                  <c:v>3.8700108662394483E-2</c:v>
                </c:pt>
                <c:pt idx="135">
                  <c:v>3.8721163597125852E-2</c:v>
                </c:pt>
                <c:pt idx="136">
                  <c:v>3.8742218070700218E-2</c:v>
                </c:pt>
                <c:pt idx="137">
                  <c:v>3.8763272083127576E-2</c:v>
                </c:pt>
                <c:pt idx="138">
                  <c:v>3.8784325634417915E-2</c:v>
                </c:pt>
                <c:pt idx="139">
                  <c:v>3.8805378724581563E-2</c:v>
                </c:pt>
                <c:pt idx="140">
                  <c:v>3.882643135362851E-2</c:v>
                </c:pt>
                <c:pt idx="141">
                  <c:v>3.8847483521568749E-2</c:v>
                </c:pt>
                <c:pt idx="142">
                  <c:v>3.8868535228412493E-2</c:v>
                </c:pt>
                <c:pt idx="143">
                  <c:v>3.8889586474169957E-2</c:v>
                </c:pt>
                <c:pt idx="144">
                  <c:v>3.8910637258851022E-2</c:v>
                </c:pt>
                <c:pt idx="145">
                  <c:v>3.893168758246579E-2</c:v>
                </c:pt>
                <c:pt idx="146">
                  <c:v>3.8952737445024588E-2</c:v>
                </c:pt>
                <c:pt idx="147">
                  <c:v>3.8973786846537295E-2</c:v>
                </c:pt>
                <c:pt idx="148">
                  <c:v>3.8994835787014126E-2</c:v>
                </c:pt>
                <c:pt idx="149">
                  <c:v>3.9015884266465184E-2</c:v>
                </c:pt>
                <c:pt idx="150">
                  <c:v>3.9036932284900461E-2</c:v>
                </c:pt>
                <c:pt idx="151">
                  <c:v>3.9057979842330059E-2</c:v>
                </c:pt>
                <c:pt idx="152">
                  <c:v>3.9079026938764194E-2</c:v>
                </c:pt>
                <c:pt idx="153">
                  <c:v>3.9100073574212968E-2</c:v>
                </c:pt>
                <c:pt idx="154">
                  <c:v>3.9121119748686262E-2</c:v>
                </c:pt>
                <c:pt idx="155">
                  <c:v>3.9142165462194511E-2</c:v>
                </c:pt>
                <c:pt idx="156">
                  <c:v>3.9163210714747487E-2</c:v>
                </c:pt>
                <c:pt idx="157">
                  <c:v>3.9184255506355403E-2</c:v>
                </c:pt>
                <c:pt idx="158">
                  <c:v>3.9205299837028473E-2</c:v>
                </c:pt>
                <c:pt idx="159">
                  <c:v>3.9226343706776579E-2</c:v>
                </c:pt>
                <c:pt idx="160">
                  <c:v>3.9247387115610044E-2</c:v>
                </c:pt>
                <c:pt idx="161">
                  <c:v>3.9268430063538751E-2</c:v>
                </c:pt>
                <c:pt idx="162">
                  <c:v>3.9289472550572913E-2</c:v>
                </c:pt>
                <c:pt idx="163">
                  <c:v>3.9310514576722633E-2</c:v>
                </c:pt>
                <c:pt idx="164">
                  <c:v>3.9331556141998014E-2</c:v>
                </c:pt>
                <c:pt idx="165">
                  <c:v>3.9352597246409049E-2</c:v>
                </c:pt>
                <c:pt idx="166">
                  <c:v>3.9373637889965951E-2</c:v>
                </c:pt>
                <c:pt idx="167">
                  <c:v>3.9394678072678713E-2</c:v>
                </c:pt>
                <c:pt idx="168">
                  <c:v>3.9415717794557548E-2</c:v>
                </c:pt>
                <c:pt idx="169">
                  <c:v>3.9436757055612337E-2</c:v>
                </c:pt>
                <c:pt idx="170">
                  <c:v>3.9457795855853406E-2</c:v>
                </c:pt>
                <c:pt idx="171">
                  <c:v>3.9478834195290746E-2</c:v>
                </c:pt>
                <c:pt idx="172">
                  <c:v>3.9499872073934461E-2</c:v>
                </c:pt>
                <c:pt idx="173">
                  <c:v>3.9520909491794654E-2</c:v>
                </c:pt>
                <c:pt idx="174">
                  <c:v>3.9541946448881427E-2</c:v>
                </c:pt>
                <c:pt idx="175">
                  <c:v>3.9562982945204772E-2</c:v>
                </c:pt>
                <c:pt idx="176">
                  <c:v>3.9584018980774904E-2</c:v>
                </c:pt>
                <c:pt idx="177">
                  <c:v>3.9605054555601815E-2</c:v>
                </c:pt>
                <c:pt idx="178">
                  <c:v>3.9626089669695719E-2</c:v>
                </c:pt>
                <c:pt idx="179">
                  <c:v>3.9647124323066607E-2</c:v>
                </c:pt>
                <c:pt idx="180">
                  <c:v>3.9668158515724694E-2</c:v>
                </c:pt>
                <c:pt idx="181">
                  <c:v>3.9689192247679861E-2</c:v>
                </c:pt>
                <c:pt idx="182">
                  <c:v>3.9710225518942321E-2</c:v>
                </c:pt>
                <c:pt idx="183">
                  <c:v>3.973125832952229E-2</c:v>
                </c:pt>
                <c:pt idx="184">
                  <c:v>3.9752290679429536E-2</c:v>
                </c:pt>
                <c:pt idx="185">
                  <c:v>3.9773322568674496E-2</c:v>
                </c:pt>
                <c:pt idx="186">
                  <c:v>3.9794353997267051E-2</c:v>
                </c:pt>
                <c:pt idx="187">
                  <c:v>3.9815384965217304E-2</c:v>
                </c:pt>
                <c:pt idx="188">
                  <c:v>3.9836415472535469E-2</c:v>
                </c:pt>
                <c:pt idx="189">
                  <c:v>3.9857445519231427E-2</c:v>
                </c:pt>
                <c:pt idx="190">
                  <c:v>3.9878475105315503E-2</c:v>
                </c:pt>
                <c:pt idx="191">
                  <c:v>3.9899504230797689E-2</c:v>
                </c:pt>
                <c:pt idx="192">
                  <c:v>3.9920532895687977E-2</c:v>
                </c:pt>
                <c:pt idx="193">
                  <c:v>3.9941561099996581E-2</c:v>
                </c:pt>
                <c:pt idx="194">
                  <c:v>3.9962588843733493E-2</c:v>
                </c:pt>
                <c:pt idx="195">
                  <c:v>3.9983616126908816E-2</c:v>
                </c:pt>
                <c:pt idx="196">
                  <c:v>4.0004642949532765E-2</c:v>
                </c:pt>
                <c:pt idx="197">
                  <c:v>4.0025669311615331E-2</c:v>
                </c:pt>
                <c:pt idx="198">
                  <c:v>4.0046695213166617E-2</c:v>
                </c:pt>
                <c:pt idx="199">
                  <c:v>4.0067720654196615E-2</c:v>
                </c:pt>
                <c:pt idx="200">
                  <c:v>4.0088745634715539E-2</c:v>
                </c:pt>
                <c:pt idx="201">
                  <c:v>4.0109770154733382E-2</c:v>
                </c:pt>
                <c:pt idx="202">
                  <c:v>4.0130794214260357E-2</c:v>
                </c:pt>
                <c:pt idx="203">
                  <c:v>4.0151817813306456E-2</c:v>
                </c:pt>
                <c:pt idx="204">
                  <c:v>4.0172840951881783E-2</c:v>
                </c:pt>
                <c:pt idx="205">
                  <c:v>4.019386362999644E-2</c:v>
                </c:pt>
                <c:pt idx="206">
                  <c:v>4.021488584766042E-2</c:v>
                </c:pt>
                <c:pt idx="207">
                  <c:v>4.0235907604883936E-2</c:v>
                </c:pt>
                <c:pt idx="208">
                  <c:v>4.025692890167698E-2</c:v>
                </c:pt>
                <c:pt idx="209">
                  <c:v>4.0277949738049657E-2</c:v>
                </c:pt>
                <c:pt idx="210">
                  <c:v>4.0298970114012178E-2</c:v>
                </c:pt>
                <c:pt idx="211">
                  <c:v>4.0319990029574426E-2</c:v>
                </c:pt>
                <c:pt idx="212">
                  <c:v>4.0341009484746615E-2</c:v>
                </c:pt>
                <c:pt idx="213">
                  <c:v>4.0362028479538736E-2</c:v>
                </c:pt>
                <c:pt idx="214">
                  <c:v>4.0383047013961004E-2</c:v>
                </c:pt>
                <c:pt idx="215">
                  <c:v>4.0404065088023411E-2</c:v>
                </c:pt>
                <c:pt idx="216">
                  <c:v>4.0425082701735948E-2</c:v>
                </c:pt>
                <c:pt idx="217">
                  <c:v>4.0446099855108941E-2</c:v>
                </c:pt>
                <c:pt idx="218">
                  <c:v>4.0467116548152271E-2</c:v>
                </c:pt>
                <c:pt idx="219">
                  <c:v>4.0488132780876041E-2</c:v>
                </c:pt>
                <c:pt idx="220">
                  <c:v>4.0509148553290464E-2</c:v>
                </c:pt>
                <c:pt idx="221">
                  <c:v>4.0530163865405533E-2</c:v>
                </c:pt>
                <c:pt idx="222">
                  <c:v>4.055117871723124E-2</c:v>
                </c:pt>
                <c:pt idx="223">
                  <c:v>4.057219310877791E-2</c:v>
                </c:pt>
                <c:pt idx="224">
                  <c:v>4.0593207040055312E-2</c:v>
                </c:pt>
                <c:pt idx="225">
                  <c:v>4.0614220511073773E-2</c:v>
                </c:pt>
                <c:pt idx="226">
                  <c:v>4.0635233521843284E-2</c:v>
                </c:pt>
                <c:pt idx="227">
                  <c:v>4.0656246072373947E-2</c:v>
                </c:pt>
                <c:pt idx="228">
                  <c:v>4.0677258162675756E-2</c:v>
                </c:pt>
                <c:pt idx="229">
                  <c:v>4.0698269792758923E-2</c:v>
                </c:pt>
                <c:pt idx="230">
                  <c:v>4.0719280962633442E-2</c:v>
                </c:pt>
                <c:pt idx="231">
                  <c:v>4.0740291672309414E-2</c:v>
                </c:pt>
                <c:pt idx="232">
                  <c:v>4.0761301921796944E-2</c:v>
                </c:pt>
                <c:pt idx="233">
                  <c:v>4.0782311711106134E-2</c:v>
                </c:pt>
                <c:pt idx="234">
                  <c:v>4.0803321040246976E-2</c:v>
                </c:pt>
                <c:pt idx="235">
                  <c:v>4.0824329909229573E-2</c:v>
                </c:pt>
                <c:pt idx="236">
                  <c:v>4.0845338318064028E-2</c:v>
                </c:pt>
                <c:pt idx="237">
                  <c:v>4.0866346266760334E-2</c:v>
                </c:pt>
                <c:pt idx="238">
                  <c:v>4.0887353755328815E-2</c:v>
                </c:pt>
                <c:pt idx="239">
                  <c:v>4.0908360783779241E-2</c:v>
                </c:pt>
                <c:pt idx="240">
                  <c:v>4.0929367352121937E-2</c:v>
                </c:pt>
                <c:pt idx="241">
                  <c:v>4.0950373460366785E-2</c:v>
                </c:pt>
                <c:pt idx="242">
                  <c:v>4.0971379108523998E-2</c:v>
                </c:pt>
                <c:pt idx="243">
                  <c:v>4.0992384296603568E-2</c:v>
                </c:pt>
                <c:pt idx="244">
                  <c:v>4.1013389024615599E-2</c:v>
                </c:pt>
                <c:pt idx="245">
                  <c:v>4.1034393292570304E-2</c:v>
                </c:pt>
                <c:pt idx="246">
                  <c:v>4.1055397100477453E-2</c:v>
                </c:pt>
                <c:pt idx="247">
                  <c:v>4.1076400448347483E-2</c:v>
                </c:pt>
                <c:pt idx="248">
                  <c:v>4.1097403336190164E-2</c:v>
                </c:pt>
                <c:pt idx="249">
                  <c:v>4.1118405764015709E-2</c:v>
                </c:pt>
                <c:pt idx="250">
                  <c:v>4.1139407731834221E-2</c:v>
                </c:pt>
                <c:pt idx="251">
                  <c:v>4.1160409239655804E-2</c:v>
                </c:pt>
                <c:pt idx="252">
                  <c:v>4.1181410287490339E-2</c:v>
                </c:pt>
                <c:pt idx="253">
                  <c:v>4.120241087534815E-2</c:v>
                </c:pt>
                <c:pt idx="254">
                  <c:v>4.1223411003239119E-2</c:v>
                </c:pt>
                <c:pt idx="255">
                  <c:v>4.1244410671173348E-2</c:v>
                </c:pt>
                <c:pt idx="256">
                  <c:v>4.1265409879161052E-2</c:v>
                </c:pt>
                <c:pt idx="257">
                  <c:v>4.1286408627212112E-2</c:v>
                </c:pt>
                <c:pt idx="258">
                  <c:v>4.1307406915336742E-2</c:v>
                </c:pt>
                <c:pt idx="259">
                  <c:v>4.1328404743545044E-2</c:v>
                </c:pt>
                <c:pt idx="260">
                  <c:v>4.13494021118469E-2</c:v>
                </c:pt>
                <c:pt idx="261">
                  <c:v>4.1370399020252524E-2</c:v>
                </c:pt>
                <c:pt idx="262">
                  <c:v>4.1391395468772019E-2</c:v>
                </c:pt>
                <c:pt idx="263">
                  <c:v>4.1412391457415376E-2</c:v>
                </c:pt>
                <c:pt idx="264">
                  <c:v>4.14333869861927E-2</c:v>
                </c:pt>
                <c:pt idx="265">
                  <c:v>4.1454382055114092E-2</c:v>
                </c:pt>
                <c:pt idx="266">
                  <c:v>4.1475376664189545E-2</c:v>
                </c:pt>
                <c:pt idx="267">
                  <c:v>4.1496370813429273E-2</c:v>
                </c:pt>
                <c:pt idx="268">
                  <c:v>4.1517364502843157E-2</c:v>
                </c:pt>
                <c:pt idx="269">
                  <c:v>4.15383577324413E-2</c:v>
                </c:pt>
                <c:pt idx="270">
                  <c:v>4.1559350502234027E-2</c:v>
                </c:pt>
                <c:pt idx="271">
                  <c:v>4.1580342812231108E-2</c:v>
                </c:pt>
                <c:pt idx="272">
                  <c:v>4.1601334662442646E-2</c:v>
                </c:pt>
                <c:pt idx="273">
                  <c:v>4.1622326052878855E-2</c:v>
                </c:pt>
                <c:pt idx="274">
                  <c:v>4.1643316983549838E-2</c:v>
                </c:pt>
                <c:pt idx="275">
                  <c:v>4.1664307454465477E-2</c:v>
                </c:pt>
                <c:pt idx="276">
                  <c:v>4.1685297465635873E-2</c:v>
                </c:pt>
                <c:pt idx="277">
                  <c:v>4.1706287017071242E-2</c:v>
                </c:pt>
                <c:pt idx="278">
                  <c:v>4.1727276108781575E-2</c:v>
                </c:pt>
                <c:pt idx="279">
                  <c:v>4.1748264740776975E-2</c:v>
                </c:pt>
                <c:pt idx="280">
                  <c:v>4.1769252913067323E-2</c:v>
                </c:pt>
                <c:pt idx="281">
                  <c:v>4.1790240625662944E-2</c:v>
                </c:pt>
                <c:pt idx="282">
                  <c:v>4.181122787857372E-2</c:v>
                </c:pt>
                <c:pt idx="283">
                  <c:v>4.1832214671809864E-2</c:v>
                </c:pt>
                <c:pt idx="284">
                  <c:v>4.1853201005381369E-2</c:v>
                </c:pt>
                <c:pt idx="285">
                  <c:v>4.1874186879298336E-2</c:v>
                </c:pt>
                <c:pt idx="286">
                  <c:v>4.1895172293570648E-2</c:v>
                </c:pt>
                <c:pt idx="287">
                  <c:v>4.1916157248208741E-2</c:v>
                </c:pt>
                <c:pt idx="288">
                  <c:v>4.1937141743222273E-2</c:v>
                </c:pt>
                <c:pt idx="289">
                  <c:v>4.195812577862168E-2</c:v>
                </c:pt>
                <c:pt idx="290">
                  <c:v>4.1979109354416733E-2</c:v>
                </c:pt>
                <c:pt idx="291">
                  <c:v>4.2000092470617645E-2</c:v>
                </c:pt>
                <c:pt idx="292">
                  <c:v>4.202107512723452E-2</c:v>
                </c:pt>
                <c:pt idx="293">
                  <c:v>4.2042057324277349E-2</c:v>
                </c:pt>
                <c:pt idx="294">
                  <c:v>4.2063039061756236E-2</c:v>
                </c:pt>
                <c:pt idx="295">
                  <c:v>4.2084020339681172E-2</c:v>
                </c:pt>
                <c:pt idx="296">
                  <c:v>4.2105001158062261E-2</c:v>
                </c:pt>
                <c:pt idx="297">
                  <c:v>4.2125981516909605E-2</c:v>
                </c:pt>
                <c:pt idx="298">
                  <c:v>4.2146961416233308E-2</c:v>
                </c:pt>
                <c:pt idx="299">
                  <c:v>4.2167940856043251E-2</c:v>
                </c:pt>
                <c:pt idx="300">
                  <c:v>4.2188919836349648E-2</c:v>
                </c:pt>
                <c:pt idx="301">
                  <c:v>4.2209898357162601E-2</c:v>
                </c:pt>
                <c:pt idx="302">
                  <c:v>4.2230876418492103E-2</c:v>
                </c:pt>
                <c:pt idx="303">
                  <c:v>4.2251854020348145E-2</c:v>
                </c:pt>
                <c:pt idx="304">
                  <c:v>4.2272831162740943E-2</c:v>
                </c:pt>
                <c:pt idx="305">
                  <c:v>4.2293807845680487E-2</c:v>
                </c:pt>
                <c:pt idx="306">
                  <c:v>4.231478406917677E-2</c:v>
                </c:pt>
                <c:pt idx="307">
                  <c:v>4.2335759833240005E-2</c:v>
                </c:pt>
                <c:pt idx="308">
                  <c:v>4.2356735137880186E-2</c:v>
                </c:pt>
                <c:pt idx="309">
                  <c:v>4.2377709983107303E-2</c:v>
                </c:pt>
                <c:pt idx="310">
                  <c:v>4.2398684368931461E-2</c:v>
                </c:pt>
                <c:pt idx="311">
                  <c:v>4.2419658295362761E-2</c:v>
                </c:pt>
                <c:pt idx="312">
                  <c:v>4.2440631762411307E-2</c:v>
                </c:pt>
                <c:pt idx="313">
                  <c:v>4.246160477008698E-2</c:v>
                </c:pt>
                <c:pt idx="314">
                  <c:v>4.2482577318400105E-2</c:v>
                </c:pt>
                <c:pt idx="315">
                  <c:v>4.2503549407360453E-2</c:v>
                </c:pt>
                <c:pt idx="316">
                  <c:v>4.2524521036978347E-2</c:v>
                </c:pt>
                <c:pt idx="317">
                  <c:v>4.2545492207263669E-2</c:v>
                </c:pt>
                <c:pt idx="318">
                  <c:v>4.2566462918226522E-2</c:v>
                </c:pt>
                <c:pt idx="319">
                  <c:v>4.2587433169877009E-2</c:v>
                </c:pt>
                <c:pt idx="320">
                  <c:v>4.2608402962225123E-2</c:v>
                </c:pt>
                <c:pt idx="321">
                  <c:v>4.2629372295281076E-2</c:v>
                </c:pt>
                <c:pt idx="322">
                  <c:v>4.2650341169054751E-2</c:v>
                </c:pt>
                <c:pt idx="323">
                  <c:v>4.2671309583556249E-2</c:v>
                </c:pt>
                <c:pt idx="324">
                  <c:v>4.2692277538795675E-2</c:v>
                </c:pt>
                <c:pt idx="325">
                  <c:v>4.2713245034783132E-2</c:v>
                </c:pt>
                <c:pt idx="326">
                  <c:v>4.2734212071528499E-2</c:v>
                </c:pt>
                <c:pt idx="327">
                  <c:v>4.2755178649042103E-2</c:v>
                </c:pt>
                <c:pt idx="328">
                  <c:v>4.2776144767333713E-2</c:v>
                </c:pt>
                <c:pt idx="329">
                  <c:v>4.2797110426413543E-2</c:v>
                </c:pt>
                <c:pt idx="330">
                  <c:v>4.2818075626291696E-2</c:v>
                </c:pt>
                <c:pt idx="331">
                  <c:v>4.2839040366978165E-2</c:v>
                </c:pt>
                <c:pt idx="332">
                  <c:v>4.2860004648482941E-2</c:v>
                </c:pt>
                <c:pt idx="333">
                  <c:v>4.2880968470816239E-2</c:v>
                </c:pt>
                <c:pt idx="334">
                  <c:v>4.2901931833987939E-2</c:v>
                </c:pt>
                <c:pt idx="335">
                  <c:v>4.2922894738008144E-2</c:v>
                </c:pt>
                <c:pt idx="336">
                  <c:v>4.2943857182887069E-2</c:v>
                </c:pt>
                <c:pt idx="337">
                  <c:v>4.2964819168634594E-2</c:v>
                </c:pt>
                <c:pt idx="338">
                  <c:v>4.2985780695260822E-2</c:v>
                </c:pt>
                <c:pt idx="339">
                  <c:v>4.3006741762775857E-2</c:v>
                </c:pt>
                <c:pt idx="340">
                  <c:v>4.3027702371189691E-2</c:v>
                </c:pt>
                <c:pt idx="341">
                  <c:v>4.3048662520512426E-2</c:v>
                </c:pt>
                <c:pt idx="342">
                  <c:v>4.3069622210754166E-2</c:v>
                </c:pt>
                <c:pt idx="343">
                  <c:v>4.3090581441924791E-2</c:v>
                </c:pt>
                <c:pt idx="344">
                  <c:v>4.3111540214034516E-2</c:v>
                </c:pt>
                <c:pt idx="345">
                  <c:v>4.3132498527093333E-2</c:v>
                </c:pt>
                <c:pt idx="346">
                  <c:v>4.3153456381111233E-2</c:v>
                </c:pt>
                <c:pt idx="347">
                  <c:v>4.317441377609843E-2</c:v>
                </c:pt>
                <c:pt idx="348">
                  <c:v>4.3195370712064918E-2</c:v>
                </c:pt>
                <c:pt idx="349">
                  <c:v>4.3216327189020687E-2</c:v>
                </c:pt>
                <c:pt idx="350">
                  <c:v>4.323728320697573E-2</c:v>
                </c:pt>
                <c:pt idx="351">
                  <c:v>4.325823876594026E-2</c:v>
                </c:pt>
                <c:pt idx="352">
                  <c:v>4.3279193865924381E-2</c:v>
                </c:pt>
                <c:pt idx="353">
                  <c:v>4.3300148506937863E-2</c:v>
                </c:pt>
                <c:pt idx="354">
                  <c:v>4.3321102688991031E-2</c:v>
                </c:pt>
                <c:pt idx="355">
                  <c:v>4.3342056412093766E-2</c:v>
                </c:pt>
                <c:pt idx="356">
                  <c:v>4.3363009676256281E-2</c:v>
                </c:pt>
                <c:pt idx="357">
                  <c:v>4.3383962481488458E-2</c:v>
                </c:pt>
                <c:pt idx="358">
                  <c:v>4.3404914827800511E-2</c:v>
                </c:pt>
                <c:pt idx="359">
                  <c:v>4.3425866715202321E-2</c:v>
                </c:pt>
                <c:pt idx="360">
                  <c:v>4.3446818143704102E-2</c:v>
                </c:pt>
                <c:pt idx="361">
                  <c:v>4.3467769113315735E-2</c:v>
                </c:pt>
                <c:pt idx="362">
                  <c:v>4.3488719624047434E-2</c:v>
                </c:pt>
                <c:pt idx="363">
                  <c:v>4.3509669675909191E-2</c:v>
                </c:pt>
                <c:pt idx="364">
                  <c:v>4.3530619268910997E-2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5.1358326016663652E-2</c:v>
                </c:pt>
                <c:pt idx="1">
                  <c:v>5.1409857473447937E-2</c:v>
                </c:pt>
                <c:pt idx="2">
                  <c:v>5.1461451520432133E-2</c:v>
                </c:pt>
                <c:pt idx="3">
                  <c:v>5.1513096514005562E-2</c:v>
                </c:pt>
                <c:pt idx="4">
                  <c:v>5.1564782316503556E-2</c:v>
                </c:pt>
                <c:pt idx="5">
                  <c:v>5.1616500253877311E-2</c:v>
                </c:pt>
                <c:pt idx="6">
                  <c:v>5.1668243061661914E-2</c:v>
                </c:pt>
                <c:pt idx="7">
                  <c:v>5.1720004820150212E-2</c:v>
                </c:pt>
                <c:pt idx="8">
                  <c:v>5.1771780879761545E-2</c:v>
                </c:pt>
                <c:pt idx="9">
                  <c:v>5.1823567777665704E-2</c:v>
                </c:pt>
                <c:pt idx="10">
                  <c:v>5.1875363146782268E-2</c:v>
                </c:pt>
                <c:pt idx="11">
                  <c:v>5.1927165618322939E-2</c:v>
                </c:pt>
                <c:pt idx="12">
                  <c:v>5.1978974719081091E-2</c:v>
                </c:pt>
                <c:pt idx="13">
                  <c:v>5.2030790764695904E-2</c:v>
                </c:pt>
                <c:pt idx="14">
                  <c:v>5.2082614750129937E-2</c:v>
                </c:pt>
                <c:pt idx="15">
                  <c:v>5.2134448238598502E-2</c:v>
                </c:pt>
                <c:pt idx="16">
                  <c:v>5.2186293250175569E-2</c:v>
                </c:pt>
                <c:pt idx="17">
                  <c:v>5.2238152151276918E-2</c:v>
                </c:pt>
                <c:pt idx="18">
                  <c:v>5.2290027546184926E-2</c:v>
                </c:pt>
                <c:pt idx="19">
                  <c:v>5.2341922171732495E-2</c:v>
                </c:pt>
                <c:pt idx="20">
                  <c:v>5.2393838796206856E-2</c:v>
                </c:pt>
                <c:pt idx="21">
                  <c:v>5.2445780123467234E-2</c:v>
                </c:pt>
                <c:pt idx="22">
                  <c:v>5.2497748703195374E-2</c:v>
                </c:pt>
                <c:pt idx="23">
                  <c:v>5.2549746848115121E-2</c:v>
                </c:pt>
                <c:pt idx="24">
                  <c:v>5.2601776558927241E-2</c:v>
                </c:pt>
                <c:pt idx="25">
                  <c:v>5.2653839457610471E-2</c:v>
                </c:pt>
                <c:pt idx="26">
                  <c:v>5.2705936729639316E-2</c:v>
                </c:pt>
                <c:pt idx="27">
                  <c:v>5.2758069075565302E-2</c:v>
                </c:pt>
                <c:pt idx="28">
                  <c:v>5.2810236672301877E-2</c:v>
                </c:pt>
                <c:pt idx="29">
                  <c:v>5.2862439144345304E-2</c:v>
                </c:pt>
                <c:pt idx="30">
                  <c:v>5.29146755450558E-2</c:v>
                </c:pt>
                <c:pt idx="31">
                  <c:v>5.2966944348015674E-2</c:v>
                </c:pt>
                <c:pt idx="32">
                  <c:v>5.301924344837592E-2</c:v>
                </c:pt>
                <c:pt idx="33">
                  <c:v>5.3071570174000306E-2</c:v>
                </c:pt>
                <c:pt idx="34">
                  <c:v>5.3123921306117192E-2</c:v>
                </c:pt>
                <c:pt idx="35">
                  <c:v>5.3176293109096148E-2</c:v>
                </c:pt>
                <c:pt idx="36">
                  <c:v>5.3228681368878317E-2</c:v>
                </c:pt>
                <c:pt idx="37">
                  <c:v>5.3281081439508389E-2</c:v>
                </c:pt>
                <c:pt idx="38">
                  <c:v>5.3333488297142288E-2</c:v>
                </c:pt>
                <c:pt idx="39">
                  <c:v>5.3385896600838624E-2</c:v>
                </c:pt>
                <c:pt idx="40">
                  <c:v>5.3438300759384938E-2</c:v>
                </c:pt>
                <c:pt idx="41">
                  <c:v>5.3490695003360879E-2</c:v>
                </c:pt>
                <c:pt idx="42">
                  <c:v>5.3543073461601837E-2</c:v>
                </c:pt>
                <c:pt idx="43">
                  <c:v>5.3595430241196979E-2</c:v>
                </c:pt>
                <c:pt idx="44">
                  <c:v>5.3647759510135305E-2</c:v>
                </c:pt>
                <c:pt idx="45">
                  <c:v>5.3700055581703918E-2</c:v>
                </c:pt>
                <c:pt idx="46">
                  <c:v>5.3752312999741543E-2</c:v>
                </c:pt>
                <c:pt idx="47">
                  <c:v>5.3804526623859567E-2</c:v>
                </c:pt>
                <c:pt idx="48">
                  <c:v>5.3856691713760882E-2</c:v>
                </c:pt>
                <c:pt idx="49">
                  <c:v>5.3908804011813409E-2</c:v>
                </c:pt>
                <c:pt idx="50">
                  <c:v>5.396085982307066E-2</c:v>
                </c:pt>
                <c:pt idx="51">
                  <c:v>5.4012856091974162E-2</c:v>
                </c:pt>
                <c:pt idx="52">
                  <c:v>5.4064790475022759E-2</c:v>
                </c:pt>
                <c:pt idx="53">
                  <c:v>5.4116661408750273E-2</c:v>
                </c:pt>
                <c:pt idx="54">
                  <c:v>5.4168468172414538E-2</c:v>
                </c:pt>
                <c:pt idx="55">
                  <c:v>5.4220210944868369E-2</c:v>
                </c:pt>
                <c:pt idx="56">
                  <c:v>5.4271890855153174E-2</c:v>
                </c:pt>
                <c:pt idx="57">
                  <c:v>5.4323510026430447E-2</c:v>
                </c:pt>
                <c:pt idx="58">
                  <c:v>5.4375071612942E-2</c:v>
                </c:pt>
                <c:pt idx="59">
                  <c:v>5.4426579829767528E-2</c:v>
                </c:pt>
                <c:pt idx="60">
                  <c:v>5.4478039975225948E-2</c:v>
                </c:pt>
                <c:pt idx="61">
                  <c:v>5.4529458445843636E-2</c:v>
                </c:pt>
                <c:pt idx="62">
                  <c:v>5.458084274388951E-2</c:v>
                </c:pt>
                <c:pt idx="63">
                  <c:v>5.4632201477549248E-2</c:v>
                </c:pt>
                <c:pt idx="64">
                  <c:v>5.4683544353882611E-2</c:v>
                </c:pt>
                <c:pt idx="65">
                  <c:v>5.4734882164773804E-2</c:v>
                </c:pt>
                <c:pt idx="66">
                  <c:v>5.4786226766146875E-2</c:v>
                </c:pt>
                <c:pt idx="67">
                  <c:v>5.4837591050775902E-2</c:v>
                </c:pt>
                <c:pt idx="68">
                  <c:v>5.4888988915069853E-2</c:v>
                </c:pt>
                <c:pt idx="69">
                  <c:v>5.4940435220258162E-2</c:v>
                </c:pt>
                <c:pt idx="70">
                  <c:v>5.4991945748440435E-2</c:v>
                </c:pt>
                <c:pt idx="71">
                  <c:v>5.5043537153996173E-2</c:v>
                </c:pt>
                <c:pt idx="72">
                  <c:v>5.5095226910873832E-2</c:v>
                </c:pt>
                <c:pt idx="73">
                  <c:v>5.5147033256296274E-2</c:v>
                </c:pt>
                <c:pt idx="74">
                  <c:v>5.5198975131428983E-2</c:v>
                </c:pt>
                <c:pt idx="75">
                  <c:v>5.525107211955993E-2</c:v>
                </c:pt>
                <c:pt idx="76">
                  <c:v>5.5303344382335591E-2</c:v>
                </c:pt>
                <c:pt idx="77">
                  <c:v>5.535581259458533E-2</c:v>
                </c:pt>
                <c:pt idx="78">
                  <c:v>5.5408497878248981E-2</c:v>
                </c:pt>
                <c:pt idx="79">
                  <c:v>5.54614217358975E-2</c:v>
                </c:pt>
                <c:pt idx="80">
                  <c:v>5.551460598430661E-2</c:v>
                </c:pt>
                <c:pt idx="81">
                  <c:v>5.5568072688508198E-2</c:v>
                </c:pt>
                <c:pt idx="82">
                  <c:v>5.5621844096704086E-2</c:v>
                </c:pt>
                <c:pt idx="83">
                  <c:v>5.5675942576383274E-2</c:v>
                </c:pt>
                <c:pt idx="84">
                  <c:v>5.5730390551936237E-2</c:v>
                </c:pt>
                <c:pt idx="85">
                  <c:v>5.578521044401083E-2</c:v>
                </c:pt>
                <c:pt idx="86">
                  <c:v>5.584042461080254E-2</c:v>
                </c:pt>
                <c:pt idx="87">
                  <c:v>5.5896055291419729E-2</c:v>
                </c:pt>
                <c:pt idx="88">
                  <c:v>5.5952124551412193E-2</c:v>
                </c:pt>
                <c:pt idx="89">
                  <c:v>5.6008654230499048E-2</c:v>
                </c:pt>
                <c:pt idx="90">
                  <c:v>5.6065665892481777E-2</c:v>
                </c:pt>
                <c:pt idx="91">
                  <c:v>5.6123180777279798E-2</c:v>
                </c:pt>
                <c:pt idx="92">
                  <c:v>5.618121975498009E-2</c:v>
                </c:pt>
                <c:pt idx="93">
                  <c:v>5.6239803281750517E-2</c:v>
                </c:pt>
                <c:pt idx="94">
                  <c:v>5.6298951357428739E-2</c:v>
                </c:pt>
                <c:pt idx="95">
                  <c:v>5.6358683484564569E-2</c:v>
                </c:pt>
                <c:pt idx="96">
                  <c:v>5.641901862866671E-2</c:v>
                </c:pt>
                <c:pt idx="97">
                  <c:v>5.647997517938106E-2</c:v>
                </c:pt>
                <c:pt idx="98">
                  <c:v>5.6541570912312711E-2</c:v>
                </c:pt>
                <c:pt idx="99">
                  <c:v>5.6603822951192442E-2</c:v>
                </c:pt>
                <c:pt idx="100">
                  <c:v>5.6666747730085475E-2</c:v>
                </c:pt>
                <c:pt idx="101">
                  <c:v>5.6730360955343166E-2</c:v>
                </c:pt>
                <c:pt idx="102">
                  <c:v>5.6794677567007332E-2</c:v>
                </c:pt>
                <c:pt idx="103">
                  <c:v>5.6859711699393446E-2</c:v>
                </c:pt>
                <c:pt idx="104">
                  <c:v>5.6925476640600978E-2</c:v>
                </c:pt>
                <c:pt idx="105">
                  <c:v>5.6991984790727583E-2</c:v>
                </c:pt>
                <c:pt idx="106">
                  <c:v>5.7059247618598624E-2</c:v>
                </c:pt>
                <c:pt idx="107">
                  <c:v>5.712727561686208E-2</c:v>
                </c:pt>
                <c:pt idx="108">
                  <c:v>5.7196078255344701E-2</c:v>
                </c:pt>
                <c:pt idx="109">
                  <c:v>5.7265663932612863E-2</c:v>
                </c:pt>
                <c:pt idx="110">
                  <c:v>5.7336039925734564E-2</c:v>
                </c:pt>
                <c:pt idx="111">
                  <c:v>5.7407212338294628E-2</c:v>
                </c:pt>
                <c:pt idx="112">
                  <c:v>5.7479186046772456E-2</c:v>
                </c:pt>
                <c:pt idx="113">
                  <c:v>5.7551964645450843E-2</c:v>
                </c:pt>
                <c:pt idx="114">
                  <c:v>5.7625550390084671E-2</c:v>
                </c:pt>
                <c:pt idx="115">
                  <c:v>5.7699944140617423E-2</c:v>
                </c:pt>
                <c:pt idx="116">
                  <c:v>5.7775145303292405E-2</c:v>
                </c:pt>
                <c:pt idx="117">
                  <c:v>5.7851151772562358E-2</c:v>
                </c:pt>
                <c:pt idx="118">
                  <c:v>5.792795987325506E-2</c:v>
                </c:pt>
                <c:pt idx="119">
                  <c:v>5.8005564303503593E-2</c:v>
                </c:pt>
                <c:pt idx="120">
                  <c:v>5.8083958078995697E-2</c:v>
                </c:pt>
                <c:pt idx="121">
                  <c:v>5.8163132479138485E-2</c:v>
                </c:pt>
                <c:pt idx="122">
                  <c:v>5.8243076995769846E-2</c:v>
                </c:pt>
                <c:pt idx="123">
                  <c:v>5.8323779285077544E-2</c:v>
                </c:pt>
                <c:pt idx="124">
                  <c:v>5.8405225123408865E-2</c:v>
                </c:pt>
                <c:pt idx="125">
                  <c:v>5.848739836766826E-2</c:v>
                </c:pt>
                <c:pt idx="126">
                  <c:v>5.8570280921007987E-2</c:v>
                </c:pt>
                <c:pt idx="127">
                  <c:v>5.8653852704514481E-2</c:v>
                </c:pt>
                <c:pt idx="128">
                  <c:v>5.8738091635583765E-2</c:v>
                </c:pt>
                <c:pt idx="129">
                  <c:v>5.8822973613660998E-2</c:v>
                </c:pt>
                <c:pt idx="130">
                  <c:v>5.8908472513991082E-2</c:v>
                </c:pt>
                <c:pt idx="131">
                  <c:v>5.8994560189992766E-2</c:v>
                </c:pt>
                <c:pt idx="132">
                  <c:v>5.908120648482295E-2</c:v>
                </c:pt>
                <c:pt idx="133">
                  <c:v>5.9168379252646591E-2</c:v>
                </c:pt>
                <c:pt idx="134">
                  <c:v>5.9256044390066223E-2</c:v>
                </c:pt>
                <c:pt idx="135">
                  <c:v>5.9344165878097759E-2</c:v>
                </c:pt>
                <c:pt idx="136">
                  <c:v>5.9432705835004151E-2</c:v>
                </c:pt>
                <c:pt idx="137">
                  <c:v>5.9521624580217702E-2</c:v>
                </c:pt>
                <c:pt idx="138">
                  <c:v>5.9610880709494933E-2</c:v>
                </c:pt>
                <c:pt idx="139">
                  <c:v>5.9700431181356581E-2</c:v>
                </c:pt>
                <c:pt idx="140">
                  <c:v>5.979023141477028E-2</c:v>
                </c:pt>
                <c:pt idx="141">
                  <c:v>5.9880235397934703E-2</c:v>
                </c:pt>
                <c:pt idx="142">
                  <c:v>5.9970395807924015E-2</c:v>
                </c:pt>
                <c:pt idx="143">
                  <c:v>6.0060664140849956E-2</c:v>
                </c:pt>
                <c:pt idx="144">
                  <c:v>6.0150990852097526E-2</c:v>
                </c:pt>
                <c:pt idx="145">
                  <c:v>6.0241325506090113E-2</c:v>
                </c:pt>
                <c:pt idx="146">
                  <c:v>6.0331616934941358E-2</c:v>
                </c:pt>
                <c:pt idx="147">
                  <c:v>6.0421813405256847E-2</c:v>
                </c:pt>
                <c:pt idx="148">
                  <c:v>6.0511862792256885E-2</c:v>
                </c:pt>
                <c:pt idx="149">
                  <c:v>6.0601712760307305E-2</c:v>
                </c:pt>
                <c:pt idx="150">
                  <c:v>6.0691310948864888E-2</c:v>
                </c:pt>
                <c:pt idx="151">
                  <c:v>6.078060516277263E-2</c:v>
                </c:pt>
                <c:pt idx="152">
                  <c:v>6.0869543565775439E-2</c:v>
                </c:pt>
                <c:pt idx="153">
                  <c:v>6.0958074876071598E-2</c:v>
                </c:pt>
                <c:pt idx="154">
                  <c:v>6.1046148562669815E-2</c:v>
                </c:pt>
                <c:pt idx="155">
                  <c:v>6.1133715041285203E-2</c:v>
                </c:pt>
                <c:pt idx="156">
                  <c:v>6.1220725868483511E-2</c:v>
                </c:pt>
                <c:pt idx="157">
                  <c:v>6.1307133932767925E-2</c:v>
                </c:pt>
                <c:pt idx="158">
                  <c:v>6.1392893641301141E-2</c:v>
                </c:pt>
                <c:pt idx="159">
                  <c:v>6.1477961100963575E-2</c:v>
                </c:pt>
                <c:pt idx="160">
                  <c:v>6.1562294292470413E-2</c:v>
                </c:pt>
                <c:pt idx="161">
                  <c:v>6.1645853236301569E-2</c:v>
                </c:pt>
                <c:pt idx="162">
                  <c:v>6.1728600149243369E-2</c:v>
                </c:pt>
                <c:pt idx="163">
                  <c:v>6.1810499590395827E-2</c:v>
                </c:pt>
                <c:pt idx="164">
                  <c:v>6.1891518595565263E-2</c:v>
                </c:pt>
                <c:pt idx="165">
                  <c:v>6.1971626799038962E-2</c:v>
                </c:pt>
                <c:pt idx="166">
                  <c:v>6.2050796541824361E-2</c:v>
                </c:pt>
                <c:pt idx="167">
                  <c:v>6.2129002965530922E-2</c:v>
                </c:pt>
                <c:pt idx="168">
                  <c:v>6.2206224091176314E-2</c:v>
                </c:pt>
                <c:pt idx="169">
                  <c:v>6.2282440882309498E-2</c:v>
                </c:pt>
                <c:pt idx="170">
                  <c:v>6.2357637291960102E-2</c:v>
                </c:pt>
                <c:pt idx="171">
                  <c:v>6.2431800293046853E-2</c:v>
                </c:pt>
                <c:pt idx="172">
                  <c:v>6.2504919892003782E-2</c:v>
                </c:pt>
                <c:pt idx="173">
                  <c:v>6.2576989125512877E-2</c:v>
                </c:pt>
                <c:pt idx="174">
                  <c:v>6.2648004040363595E-2</c:v>
                </c:pt>
                <c:pt idx="175">
                  <c:v>6.2717963656591158E-2</c:v>
                </c:pt>
                <c:pt idx="176">
                  <c:v>6.2786869914177507E-2</c:v>
                </c:pt>
                <c:pt idx="177">
                  <c:v>6.2854727603727595E-2</c:v>
                </c:pt>
                <c:pt idx="178">
                  <c:v>6.2921544281660163E-2</c:v>
                </c:pt>
                <c:pt idx="179">
                  <c:v>6.2987330170574091E-2</c:v>
                </c:pt>
                <c:pt idx="180">
                  <c:v>6.3052098045566995E-2</c:v>
                </c:pt>
                <c:pt idx="181">
                  <c:v>6.3115863107392728E-2</c:v>
                </c:pt>
                <c:pt idx="182">
                  <c:v>6.3178642843445806E-2</c:v>
                </c:pt>
                <c:pt idx="183">
                  <c:v>6.3240456877653645E-2</c:v>
                </c:pt>
                <c:pt idx="184">
                  <c:v>6.3301326810440692E-2</c:v>
                </c:pt>
                <c:pt idx="185">
                  <c:v>6.33612760500009E-2</c:v>
                </c:pt>
                <c:pt idx="186">
                  <c:v>6.3420329636176817E-2</c:v>
                </c:pt>
                <c:pt idx="187">
                  <c:v>6.3478514058292482E-2</c:v>
                </c:pt>
                <c:pt idx="188">
                  <c:v>6.3535857068325041E-2</c:v>
                </c:pt>
                <c:pt idx="189">
                  <c:v>6.359238749082409E-2</c:v>
                </c:pt>
                <c:pt idx="190">
                  <c:v>6.3648135030999531E-2</c:v>
                </c:pt>
                <c:pt idx="191">
                  <c:v>6.37031300823971E-2</c:v>
                </c:pt>
                <c:pt idx="192">
                  <c:v>6.3757403535566179E-2</c:v>
                </c:pt>
                <c:pt idx="193">
                  <c:v>6.381098658909741E-2</c:v>
                </c:pt>
                <c:pt idx="194">
                  <c:v>6.3863910564367271E-2</c:v>
                </c:pt>
                <c:pt idx="195">
                  <c:v>6.3916206725274829E-2</c:v>
                </c:pt>
                <c:pt idx="196">
                  <c:v>6.3967906104192396E-2</c:v>
                </c:pt>
                <c:pt idx="197">
                  <c:v>6.4019039335276862E-2</c:v>
                </c:pt>
                <c:pt idx="198">
                  <c:v>6.4069636496203619E-2</c:v>
                </c:pt>
                <c:pt idx="199">
                  <c:v>6.4119726959291037E-2</c:v>
                </c:pt>
                <c:pt idx="200">
                  <c:v>6.416933925288093E-2</c:v>
                </c:pt>
                <c:pt idx="201">
                  <c:v>6.4218500933730521E-2</c:v>
                </c:pt>
                <c:pt idx="202">
                  <c:v>6.4267238471055949E-2</c:v>
                </c:pt>
                <c:pt idx="203">
                  <c:v>6.4315577142746161E-2</c:v>
                </c:pt>
                <c:pt idx="204">
                  <c:v>6.4363540944141984E-2</c:v>
                </c:pt>
                <c:pt idx="205">
                  <c:v>6.4411152509648101E-2</c:v>
                </c:pt>
                <c:pt idx="206">
                  <c:v>6.4458433047318048E-2</c:v>
                </c:pt>
                <c:pt idx="207">
                  <c:v>6.4505402286424374E-2</c:v>
                </c:pt>
                <c:pt idx="208">
                  <c:v>6.4552078437900742E-2</c:v>
                </c:pt>
                <c:pt idx="209">
                  <c:v>6.4598478167419038E-2</c:v>
                </c:pt>
                <c:pt idx="210">
                  <c:v>6.4644616580746078E-2</c:v>
                </c:pt>
                <c:pt idx="211">
                  <c:v>6.4690507220910937E-2</c:v>
                </c:pt>
                <c:pt idx="212">
                  <c:v>6.4736162076607054E-2</c:v>
                </c:pt>
                <c:pt idx="213">
                  <c:v>6.4781591601154015E-2</c:v>
                </c:pt>
                <c:pt idx="214">
                  <c:v>6.4826804741253824E-2</c:v>
                </c:pt>
                <c:pt idx="215">
                  <c:v>6.4871808974695092E-2</c:v>
                </c:pt>
                <c:pt idx="216">
                  <c:v>6.4916610356089005E-2</c:v>
                </c:pt>
                <c:pt idx="217">
                  <c:v>6.4961213569661308E-2</c:v>
                </c:pt>
                <c:pt idx="218">
                  <c:v>6.5005621988077508E-2</c:v>
                </c:pt>
                <c:pt idx="219">
                  <c:v>6.5049837736243288E-2</c:v>
                </c:pt>
                <c:pt idx="220">
                  <c:v>6.5093861758999963E-2</c:v>
                </c:pt>
                <c:pt idx="221">
                  <c:v>6.5137693891624993E-2</c:v>
                </c:pt>
                <c:pt idx="222">
                  <c:v>6.518133293205057E-2</c:v>
                </c:pt>
                <c:pt idx="223">
                  <c:v>6.5224776713729782E-2</c:v>
                </c:pt>
                <c:pt idx="224">
                  <c:v>6.5268022178108079E-2</c:v>
                </c:pt>
                <c:pt idx="225">
                  <c:v>6.5311065445698341E-2</c:v>
                </c:pt>
                <c:pt idx="226">
                  <c:v>6.5353901884810633E-2</c:v>
                </c:pt>
                <c:pt idx="227">
                  <c:v>6.5396526177051231E-2</c:v>
                </c:pt>
                <c:pt idx="228">
                  <c:v>6.5438932378778764E-2</c:v>
                </c:pt>
                <c:pt idx="229">
                  <c:v>6.5481113977789523E-2</c:v>
                </c:pt>
                <c:pt idx="230">
                  <c:v>6.5523063944595034E-2</c:v>
                </c:pt>
                <c:pt idx="231">
                  <c:v>6.5564774777754672E-2</c:v>
                </c:pt>
                <c:pt idx="232">
                  <c:v>6.5606238542831513E-2</c:v>
                </c:pt>
                <c:pt idx="233">
                  <c:v>6.5647446904650325E-2</c:v>
                </c:pt>
                <c:pt idx="234">
                  <c:v>6.5688391152650544E-2</c:v>
                </c:pt>
                <c:pt idx="235">
                  <c:v>6.5729062219244905E-2</c:v>
                </c:pt>
                <c:pt idx="236">
                  <c:v>6.5769450691211012E-2</c:v>
                </c:pt>
                <c:pt idx="237">
                  <c:v>6.5809546814262029E-2</c:v>
                </c:pt>
                <c:pt idx="238">
                  <c:v>6.5849340491057728E-2</c:v>
                </c:pt>
                <c:pt idx="239">
                  <c:v>6.5888821273030501E-2</c:v>
                </c:pt>
                <c:pt idx="240">
                  <c:v>6.5927978346509264E-2</c:v>
                </c:pt>
                <c:pt idx="241">
                  <c:v>6.5966800513727109E-2</c:v>
                </c:pt>
                <c:pt idx="242">
                  <c:v>6.6005276169394236E-2</c:v>
                </c:pt>
                <c:pt idx="243">
                  <c:v>6.6043393273605644E-2</c:v>
                </c:pt>
                <c:pt idx="244">
                  <c:v>6.6081139321931298E-2</c:v>
                </c:pt>
                <c:pt idx="245">
                  <c:v>6.6118501313604944E-2</c:v>
                </c:pt>
                <c:pt idx="246">
                  <c:v>6.6155465718784889E-2</c:v>
                </c:pt>
                <c:pt idx="247">
                  <c:v>6.6192018445905068E-2</c:v>
                </c:pt>
                <c:pt idx="248">
                  <c:v>6.6228144810167699E-2</c:v>
                </c:pt>
                <c:pt idx="249">
                  <c:v>6.6263829504248348E-2</c:v>
                </c:pt>
                <c:pt idx="250">
                  <c:v>6.6299056572290141E-2</c:v>
                </c:pt>
                <c:pt idx="251">
                  <c:v>6.633380938825699E-2</c:v>
                </c:pt>
                <c:pt idx="252">
                  <c:v>6.6368070639693452E-2</c:v>
                </c:pt>
                <c:pt idx="253">
                  <c:v>6.6401822317904993E-2</c:v>
                </c:pt>
                <c:pt idx="254">
                  <c:v>6.6435045715523208E-2</c:v>
                </c:pt>
                <c:pt idx="255">
                  <c:v>6.6467721432359086E-2</c:v>
                </c:pt>
                <c:pt idx="256">
                  <c:v>6.6499829390373855E-2</c:v>
                </c:pt>
                <c:pt idx="257">
                  <c:v>6.6531348858510184E-2</c:v>
                </c:pt>
                <c:pt idx="258">
                  <c:v>6.6562258488029685E-2</c:v>
                </c:pt>
                <c:pt idx="259">
                  <c:v>6.6592536358895449E-2</c:v>
                </c:pt>
                <c:pt idx="260">
                  <c:v>6.662216003762142E-2</c:v>
                </c:pt>
                <c:pt idx="261">
                  <c:v>6.6651106646886005E-2</c:v>
                </c:pt>
                <c:pt idx="262">
                  <c:v>6.667935294707647E-2</c:v>
                </c:pt>
                <c:pt idx="263">
                  <c:v>6.6706875429792867E-2</c:v>
                </c:pt>
                <c:pt idx="264">
                  <c:v>6.6733650423201188E-2</c:v>
                </c:pt>
                <c:pt idx="265">
                  <c:v>6.6759654208980529E-2</c:v>
                </c:pt>
                <c:pt idx="266">
                  <c:v>6.6784863150466292E-2</c:v>
                </c:pt>
                <c:pt idx="267">
                  <c:v>6.6809253831446577E-2</c:v>
                </c:pt>
                <c:pt idx="268">
                  <c:v>6.683280320492857E-2</c:v>
                </c:pt>
                <c:pt idx="269">
                  <c:v>6.6855488751052822E-2</c:v>
                </c:pt>
                <c:pt idx="270">
                  <c:v>6.6877288643201069E-2</c:v>
                </c:pt>
                <c:pt idx="271">
                  <c:v>6.6898181921217548E-2</c:v>
                </c:pt>
                <c:pt idx="272">
                  <c:v>6.6918148670544811E-2</c:v>
                </c:pt>
                <c:pt idx="273">
                  <c:v>6.6937170205968136E-2</c:v>
                </c:pt>
                <c:pt idx="274">
                  <c:v>6.6955229258563509E-2</c:v>
                </c:pt>
                <c:pt idx="275">
                  <c:v>6.6972310164359908E-2</c:v>
                </c:pt>
                <c:pt idx="276">
                  <c:v>6.6988399053152639E-2</c:v>
                </c:pt>
                <c:pt idx="277">
                  <c:v>6.7003484035847646E-2</c:v>
                </c:pt>
                <c:pt idx="278">
                  <c:v>6.7017555388671282E-2</c:v>
                </c:pt>
                <c:pt idx="279">
                  <c:v>6.703060573255358E-2</c:v>
                </c:pt>
                <c:pt idx="280">
                  <c:v>6.7042630205979462E-2</c:v>
                </c:pt>
                <c:pt idx="281">
                  <c:v>6.7053626629608412E-2</c:v>
                </c:pt>
                <c:pt idx="282">
                  <c:v>6.7063595660982758E-2</c:v>
                </c:pt>
                <c:pt idx="283">
                  <c:v>6.7072540937683486E-2</c:v>
                </c:pt>
                <c:pt idx="284">
                  <c:v>6.708046920734681E-2</c:v>
                </c:pt>
                <c:pt idx="285">
                  <c:v>6.7087390443025016E-2</c:v>
                </c:pt>
                <c:pt idx="286">
                  <c:v>6.7093317942462594E-2</c:v>
                </c:pt>
                <c:pt idx="287">
                  <c:v>6.7098268409959638E-2</c:v>
                </c:pt>
                <c:pt idx="288">
                  <c:v>6.7102262019611419E-2</c:v>
                </c:pt>
                <c:pt idx="289">
                  <c:v>6.7105322458843181E-2</c:v>
                </c:pt>
                <c:pt idx="290">
                  <c:v>6.7107476951300427E-2</c:v>
                </c:pt>
                <c:pt idx="291">
                  <c:v>6.710875625831042E-2</c:v>
                </c:pt>
                <c:pt idx="292">
                  <c:v>6.710919465829232E-2</c:v>
                </c:pt>
                <c:pt idx="293">
                  <c:v>6.7108829903667053E-2</c:v>
                </c:pt>
                <c:pt idx="294">
                  <c:v>6.7107703154996201E-2</c:v>
                </c:pt>
                <c:pt idx="295">
                  <c:v>6.7105858892263823E-2</c:v>
                </c:pt>
                <c:pt idx="296">
                  <c:v>6.7103344803403533E-2</c:v>
                </c:pt>
                <c:pt idx="297">
                  <c:v>6.7100211650363006E-2</c:v>
                </c:pt>
                <c:pt idx="298">
                  <c:v>6.7096513113188164E-2</c:v>
                </c:pt>
                <c:pt idx="299">
                  <c:v>6.7092305612798636E-2</c:v>
                </c:pt>
                <c:pt idx="300">
                  <c:v>6.7087648113310583E-2</c:v>
                </c:pt>
                <c:pt idx="301">
                  <c:v>6.7082601904943612E-2</c:v>
                </c:pt>
                <c:pt idx="302">
                  <c:v>6.7077230368721874E-2</c:v>
                </c:pt>
                <c:pt idx="303">
                  <c:v>6.7071598724343776E-2</c:v>
                </c:pt>
                <c:pt idx="304">
                  <c:v>6.7065773762749983E-2</c:v>
                </c:pt>
                <c:pt idx="305">
                  <c:v>6.7059823565061891E-2</c:v>
                </c:pt>
                <c:pt idx="306">
                  <c:v>6.7053817209692876E-2</c:v>
                </c:pt>
                <c:pt idx="307">
                  <c:v>6.7047824469550682E-2</c:v>
                </c:pt>
                <c:pt idx="308">
                  <c:v>6.7041915501348345E-2</c:v>
                </c:pt>
                <c:pt idx="309">
                  <c:v>6.7036160529126032E-2</c:v>
                </c:pt>
                <c:pt idx="310">
                  <c:v>6.7030629524150981E-2</c:v>
                </c:pt>
                <c:pt idx="311">
                  <c:v>6.7025391883411722E-2</c:v>
                </c:pt>
                <c:pt idx="312">
                  <c:v>6.7020516108951586E-2</c:v>
                </c:pt>
                <c:pt idx="313">
                  <c:v>6.701606949029712E-2</c:v>
                </c:pt>
                <c:pt idx="314">
                  <c:v>6.7012117792227627E-2</c:v>
                </c:pt>
                <c:pt idx="315">
                  <c:v>6.7008724950104792E-2</c:v>
                </c:pt>
                <c:pt idx="316">
                  <c:v>6.7005952774932792E-2</c:v>
                </c:pt>
                <c:pt idx="317">
                  <c:v>6.7003860670254836E-2</c:v>
                </c:pt>
                <c:pt idx="318">
                  <c:v>6.7002505362906167E-2</c:v>
                </c:pt>
                <c:pt idx="319">
                  <c:v>6.7001940649543762E-2</c:v>
                </c:pt>
                <c:pt idx="320">
                  <c:v>6.700221716075265E-2</c:v>
                </c:pt>
                <c:pt idx="321">
                  <c:v>6.7003382144396662E-2</c:v>
                </c:pt>
                <c:pt idx="322">
                  <c:v>6.7005479269731424E-2</c:v>
                </c:pt>
                <c:pt idx="323">
                  <c:v>6.7008548453637046E-2</c:v>
                </c:pt>
                <c:pt idx="324">
                  <c:v>6.70126257101539E-2</c:v>
                </c:pt>
                <c:pt idx="325">
                  <c:v>6.7017743024321938E-2</c:v>
                </c:pt>
                <c:pt idx="326">
                  <c:v>6.7023928251131737E-2</c:v>
                </c:pt>
                <c:pt idx="327">
                  <c:v>6.7031205040196759E-2</c:v>
                </c:pt>
                <c:pt idx="328">
                  <c:v>6.7039592786552762E-2</c:v>
                </c:pt>
                <c:pt idx="329">
                  <c:v>6.7049106607782794E-2</c:v>
                </c:pt>
                <c:pt idx="330">
                  <c:v>6.7059757347458671E-2</c:v>
                </c:pt>
                <c:pt idx="331">
                  <c:v>6.7071551604681146E-2</c:v>
                </c:pt>
                <c:pt idx="332">
                  <c:v>6.7084491789296319E-2</c:v>
                </c:pt>
                <c:pt idx="333">
                  <c:v>6.7098576202164778E-2</c:v>
                </c:pt>
                <c:pt idx="334">
                  <c:v>6.7113799139663977E-2</c:v>
                </c:pt>
                <c:pt idx="335">
                  <c:v>6.7130151021418352E-2</c:v>
                </c:pt>
                <c:pt idx="336">
                  <c:v>6.7147618540072965E-2</c:v>
                </c:pt>
                <c:pt idx="337">
                  <c:v>6.7166184831759859E-2</c:v>
                </c:pt>
                <c:pt idx="338">
                  <c:v>6.7185829665752178E-2</c:v>
                </c:pt>
                <c:pt idx="339">
                  <c:v>6.7206529651660463E-2</c:v>
                </c:pt>
                <c:pt idx="340">
                  <c:v>6.7228258462399798E-2</c:v>
                </c:pt>
                <c:pt idx="341">
                  <c:v>6.7250987071047943E-2</c:v>
                </c:pt>
                <c:pt idx="342">
                  <c:v>6.7274683999620888E-2</c:v>
                </c:pt>
                <c:pt idx="343">
                  <c:v>6.7299315577719079E-2</c:v>
                </c:pt>
                <c:pt idx="344">
                  <c:v>6.7324846208940289E-2</c:v>
                </c:pt>
                <c:pt idx="345">
                  <c:v>6.7351238642917782E-2</c:v>
                </c:pt>
                <c:pt idx="346">
                  <c:v>6.7378454250824088E-2</c:v>
                </c:pt>
                <c:pt idx="347">
                  <c:v>6.7406453302180855E-2</c:v>
                </c:pt>
                <c:pt idx="348">
                  <c:v>6.7435195240834425E-2</c:v>
                </c:pt>
                <c:pt idx="349">
                  <c:v>6.7464638957994663E-2</c:v>
                </c:pt>
                <c:pt idx="350">
                  <c:v>6.7494743060290838E-2</c:v>
                </c:pt>
                <c:pt idx="351">
                  <c:v>6.7525466130870682E-2</c:v>
                </c:pt>
                <c:pt idx="352">
                  <c:v>6.7556766981659688E-2</c:v>
                </c:pt>
                <c:pt idx="353">
                  <c:v>6.7588604895002347E-2</c:v>
                </c:pt>
                <c:pt idx="354">
                  <c:v>6.762093985302782E-2</c:v>
                </c:pt>
                <c:pt idx="355">
                  <c:v>6.7653732753215207E-2</c:v>
                </c:pt>
                <c:pt idx="356">
                  <c:v>6.7686945608778928E-2</c:v>
                </c:pt>
                <c:pt idx="357">
                  <c:v>6.7720541732651171E-2</c:v>
                </c:pt>
                <c:pt idx="358">
                  <c:v>6.7754485904001863E-2</c:v>
                </c:pt>
                <c:pt idx="359">
                  <c:v>6.7788744516409358E-2</c:v>
                </c:pt>
                <c:pt idx="360">
                  <c:v>6.7823285706972533E-2</c:v>
                </c:pt>
                <c:pt idx="361">
                  <c:v>6.7858079465836191E-2</c:v>
                </c:pt>
                <c:pt idx="362">
                  <c:v>6.7893097725785292E-2</c:v>
                </c:pt>
                <c:pt idx="363">
                  <c:v>6.7928314431748335E-2</c:v>
                </c:pt>
                <c:pt idx="364">
                  <c:v>6.7963705590231696E-2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4.7529337045168534E-4</c:v>
                </c:pt>
                <c:pt idx="1">
                  <c:v>4.7217748817013773E-4</c:v>
                </c:pt>
                <c:pt idx="2">
                  <c:v>4.687419930276542E-4</c:v>
                </c:pt>
                <c:pt idx="3">
                  <c:v>4.6501595910478262E-4</c:v>
                </c:pt>
                <c:pt idx="4">
                  <c:v>4.6102752578839143E-4</c:v>
                </c:pt>
                <c:pt idx="5">
                  <c:v>4.56803748477505E-4</c:v>
                </c:pt>
                <c:pt idx="6">
                  <c:v>4.5237048193409447E-4</c:v>
                </c:pt>
                <c:pt idx="7">
                  <c:v>4.4775229280232936E-4</c:v>
                </c:pt>
                <c:pt idx="8">
                  <c:v>4.4291135106128122E-4</c:v>
                </c:pt>
                <c:pt idx="9">
                  <c:v>4.3729131536827948E-4</c:v>
                </c:pt>
                <c:pt idx="10">
                  <c:v>4.3075898427625371E-4</c:v>
                </c:pt>
                <c:pt idx="11">
                  <c:v>4.2334401016396752E-4</c:v>
                </c:pt>
                <c:pt idx="12">
                  <c:v>4.1507628184658162E-4</c:v>
                </c:pt>
                <c:pt idx="13">
                  <c:v>4.0598577837893193E-4</c:v>
                </c:pt>
                <c:pt idx="14">
                  <c:v>3.9610243284042633E-4</c:v>
                </c:pt>
                <c:pt idx="15">
                  <c:v>3.8543892415879359E-4</c:v>
                </c:pt>
                <c:pt idx="16">
                  <c:v>3.7438922608063721E-4</c:v>
                </c:pt>
                <c:pt idx="17">
                  <c:v>3.6297275644698907E-4</c:v>
                </c:pt>
                <c:pt idx="18">
                  <c:v>3.5120840366695516E-4</c:v>
                </c:pt>
                <c:pt idx="19">
                  <c:v>3.3911637763640493E-4</c:v>
                </c:pt>
                <c:pt idx="20">
                  <c:v>3.2671683197140345E-4</c:v>
                </c:pt>
                <c:pt idx="21">
                  <c:v>3.1402751571672549E-4</c:v>
                </c:pt>
                <c:pt idx="22">
                  <c:v>3.0103712642383693E-4</c:v>
                </c:pt>
                <c:pt idx="23">
                  <c:v>2.8802378738115896E-4</c:v>
                </c:pt>
                <c:pt idx="24">
                  <c:v>2.7545480294619831E-4</c:v>
                </c:pt>
                <c:pt idx="25">
                  <c:v>2.6333587166922498E-4</c:v>
                </c:pt>
                <c:pt idx="26">
                  <c:v>2.5167013307705101E-4</c:v>
                </c:pt>
                <c:pt idx="27">
                  <c:v>2.4045844307590109E-4</c:v>
                </c:pt>
                <c:pt idx="28">
                  <c:v>2.2969964113206474E-4</c:v>
                </c:pt>
                <c:pt idx="29">
                  <c:v>2.1965739538064142E-4</c:v>
                </c:pt>
                <c:pt idx="30">
                  <c:v>2.1033392374886198E-4</c:v>
                </c:pt>
                <c:pt idx="31">
                  <c:v>2.0171518214156216E-4</c:v>
                </c:pt>
                <c:pt idx="32">
                  <c:v>1.9378645137905606E-4</c:v>
                </c:pt>
                <c:pt idx="33">
                  <c:v>1.8653259594376083E-4</c:v>
                </c:pt>
                <c:pt idx="34">
                  <c:v>1.7993829750890091E-4</c:v>
                </c:pt>
                <c:pt idx="35">
                  <c:v>1.7398826467059027E-4</c:v>
                </c:pt>
                <c:pt idx="36">
                  <c:v>1.6865699274922603E-4</c:v>
                </c:pt>
                <c:pt idx="37">
                  <c:v>1.6439159900503254E-4</c:v>
                </c:pt>
                <c:pt idx="38">
                  <c:v>1.6092124958178741E-4</c:v>
                </c:pt>
                <c:pt idx="39">
                  <c:v>1.5822324773740346E-4</c:v>
                </c:pt>
                <c:pt idx="40">
                  <c:v>1.5627582099983454E-4</c:v>
                </c:pt>
                <c:pt idx="41">
                  <c:v>1.5505803988717152E-4</c:v>
                </c:pt>
                <c:pt idx="42">
                  <c:v>1.5454974301249823E-4</c:v>
                </c:pt>
                <c:pt idx="43">
                  <c:v>1.5524101161008632E-4</c:v>
                </c:pt>
                <c:pt idx="44">
                  <c:v>1.5686843653411328E-4</c:v>
                </c:pt>
                <c:pt idx="45">
                  <c:v>1.5940704174835892E-4</c:v>
                </c:pt>
                <c:pt idx="46">
                  <c:v>1.6283257111455917E-4</c:v>
                </c:pt>
                <c:pt idx="47">
                  <c:v>1.6712142370217233E-4</c:v>
                </c:pt>
                <c:pt idx="48">
                  <c:v>1.7225059640054455E-4</c:v>
                </c:pt>
                <c:pt idx="49">
                  <c:v>1.7819763366340194E-4</c:v>
                </c:pt>
                <c:pt idx="50">
                  <c:v>1.8493985274215801E-4</c:v>
                </c:pt>
                <c:pt idx="51">
                  <c:v>1.9169051849441657E-4</c:v>
                </c:pt>
                <c:pt idx="52">
                  <c:v>1.9803321096846963E-4</c:v>
                </c:pt>
                <c:pt idx="53">
                  <c:v>2.039781825595596E-4</c:v>
                </c:pt>
                <c:pt idx="54">
                  <c:v>2.0953657231076198E-4</c:v>
                </c:pt>
                <c:pt idx="55">
                  <c:v>2.1471946960343664E-4</c:v>
                </c:pt>
                <c:pt idx="56">
                  <c:v>2.1953789657084552E-4</c:v>
                </c:pt>
                <c:pt idx="57">
                  <c:v>2.2278840191661519E-4</c:v>
                </c:pt>
                <c:pt idx="58">
                  <c:v>2.2406125364175477E-4</c:v>
                </c:pt>
                <c:pt idx="59">
                  <c:v>2.2340596970046734E-4</c:v>
                </c:pt>
                <c:pt idx="60">
                  <c:v>2.2087045933322181E-4</c:v>
                </c:pt>
                <c:pt idx="61">
                  <c:v>2.1650093222176737E-4</c:v>
                </c:pt>
                <c:pt idx="62">
                  <c:v>2.1034181066062403E-4</c:v>
                </c:pt>
                <c:pt idx="63">
                  <c:v>2.0243564409673355E-4</c:v>
                </c:pt>
                <c:pt idx="64">
                  <c:v>1.9281768047713064E-4</c:v>
                </c:pt>
                <c:pt idx="65">
                  <c:v>1.818330920664132E-4</c:v>
                </c:pt>
                <c:pt idx="66">
                  <c:v>1.7019188848123651E-4</c:v>
                </c:pt>
                <c:pt idx="67">
                  <c:v>1.5790888485309065E-4</c:v>
                </c:pt>
                <c:pt idx="68">
                  <c:v>1.4499799902672469E-4</c:v>
                </c:pt>
                <c:pt idx="69">
                  <c:v>1.3147221245506593E-4</c:v>
                </c:pt>
                <c:pt idx="70">
                  <c:v>1.173435316001965E-4</c:v>
                </c:pt>
                <c:pt idx="71">
                  <c:v>1.0325537457396893E-4</c:v>
                </c:pt>
                <c:pt idx="72">
                  <c:v>9.0291054696479652E-5</c:v>
                </c:pt>
                <c:pt idx="73">
                  <c:v>7.8425582369335802E-5</c:v>
                </c:pt>
                <c:pt idx="74">
                  <c:v>6.7634654970385094E-5</c:v>
                </c:pt>
                <c:pt idx="75">
                  <c:v>5.7894702728865907E-5</c:v>
                </c:pt>
                <c:pt idx="76">
                  <c:v>4.9182933761527123E-5</c:v>
                </c:pt>
                <c:pt idx="77">
                  <c:v>4.1477378199222824E-5</c:v>
                </c:pt>
                <c:pt idx="78">
                  <c:v>3.4754978744491452E-5</c:v>
                </c:pt>
                <c:pt idx="79">
                  <c:v>2.9060448129040189E-5</c:v>
                </c:pt>
                <c:pt idx="80">
                  <c:v>2.4095724556404819E-5</c:v>
                </c:pt>
                <c:pt idx="81">
                  <c:v>1.9847616924047294E-5</c:v>
                </c:pt>
                <c:pt idx="82">
                  <c:v>1.6303135918926436E-5</c:v>
                </c:pt>
                <c:pt idx="83">
                  <c:v>1.3449666785856751E-5</c:v>
                </c:pt>
                <c:pt idx="84">
                  <c:v>1.1275130632839203E-5</c:v>
                </c:pt>
                <c:pt idx="85">
                  <c:v>9.828598133495212E-6</c:v>
                </c:pt>
                <c:pt idx="86">
                  <c:v>8.5199317374626737E-6</c:v>
                </c:pt>
                <c:pt idx="87">
                  <c:v>7.3466028826589063E-6</c:v>
                </c:pt>
                <c:pt idx="88">
                  <c:v>6.3062101889495595E-6</c:v>
                </c:pt>
                <c:pt idx="89">
                  <c:v>5.3965065204395507E-6</c:v>
                </c:pt>
                <c:pt idx="90">
                  <c:v>4.6154245006633566E-6</c:v>
                </c:pt>
                <c:pt idx="91">
                  <c:v>3.9611007054593404E-6</c:v>
                </c:pt>
                <c:pt idx="92">
                  <c:v>3.4317193493961737E-6</c:v>
                </c:pt>
                <c:pt idx="93">
                  <c:v>3.0749306992832898E-6</c:v>
                </c:pt>
                <c:pt idx="94">
                  <c:v>2.8278942305238294E-6</c:v>
                </c:pt>
                <c:pt idx="95">
                  <c:v>2.6897970697234364E-6</c:v>
                </c:pt>
                <c:pt idx="96">
                  <c:v>2.6600226449658712E-6</c:v>
                </c:pt>
                <c:pt idx="97">
                  <c:v>2.7381533442580262E-6</c:v>
                </c:pt>
                <c:pt idx="98">
                  <c:v>2.9239732927941721E-6</c:v>
                </c:pt>
                <c:pt idx="99">
                  <c:v>3.3026648700765739E-6</c:v>
                </c:pt>
                <c:pt idx="100">
                  <c:v>3.8154801948268643E-6</c:v>
                </c:pt>
                <c:pt idx="101">
                  <c:v>4.4626380971225909E-6</c:v>
                </c:pt>
                <c:pt idx="102">
                  <c:v>5.2446042401640828E-6</c:v>
                </c:pt>
                <c:pt idx="103">
                  <c:v>6.1620935946588325E-6</c:v>
                </c:pt>
                <c:pt idx="104">
                  <c:v>7.2160729546568929E-6</c:v>
                </c:pt>
                <c:pt idx="105">
                  <c:v>8.4077634872997112E-6</c:v>
                </c:pt>
                <c:pt idx="106">
                  <c:v>9.7387136778873517E-6</c:v>
                </c:pt>
                <c:pt idx="107">
                  <c:v>1.1353232189929983E-5</c:v>
                </c:pt>
                <c:pt idx="108">
                  <c:v>1.3204585123599954E-5</c:v>
                </c:pt>
                <c:pt idx="109">
                  <c:v>1.5295417603297864E-5</c:v>
                </c:pt>
                <c:pt idx="110">
                  <c:v>1.7628789924833048E-5</c:v>
                </c:pt>
                <c:pt idx="111">
                  <c:v>2.0208144344935876E-5</c:v>
                </c:pt>
                <c:pt idx="112">
                  <c:v>2.3037232452621692E-5</c:v>
                </c:pt>
                <c:pt idx="113">
                  <c:v>2.6327888357849692E-5</c:v>
                </c:pt>
                <c:pt idx="114">
                  <c:v>2.9999603899853246E-5</c:v>
                </c:pt>
                <c:pt idx="115">
                  <c:v>3.4058335256127769E-5</c:v>
                </c:pt>
                <c:pt idx="116">
                  <c:v>3.8510493528385113E-5</c:v>
                </c:pt>
                <c:pt idx="117">
                  <c:v>4.3362917612309456E-5</c:v>
                </c:pt>
                <c:pt idx="118">
                  <c:v>4.8622845276875102E-5</c:v>
                </c:pt>
                <c:pt idx="119">
                  <c:v>5.4297882257696985E-5</c:v>
                </c:pt>
                <c:pt idx="120">
                  <c:v>6.039698331134936E-5</c:v>
                </c:pt>
                <c:pt idx="121">
                  <c:v>6.7293701273821776E-5</c:v>
                </c:pt>
                <c:pt idx="122">
                  <c:v>7.4854079920611834E-5</c:v>
                </c:pt>
                <c:pt idx="123">
                  <c:v>8.3092624535359257E-5</c:v>
                </c:pt>
                <c:pt idx="124">
                  <c:v>9.2024596589476441E-5</c:v>
                </c:pt>
                <c:pt idx="125">
                  <c:v>1.0166597910284712E-4</c:v>
                </c:pt>
                <c:pt idx="126">
                  <c:v>1.1203343861636873E-4</c:v>
                </c:pt>
                <c:pt idx="127">
                  <c:v>1.2259112026610609E-4</c:v>
                </c:pt>
                <c:pt idx="128">
                  <c:v>1.3312511370423645E-4</c:v>
                </c:pt>
                <c:pt idx="129">
                  <c:v>1.4363962278251551E-4</c:v>
                </c:pt>
                <c:pt idx="130">
                  <c:v>1.5413849147368616E-4</c:v>
                </c:pt>
                <c:pt idx="131">
                  <c:v>1.6462519984195386E-4</c:v>
                </c:pt>
                <c:pt idx="132">
                  <c:v>1.7510286006743668E-4</c:v>
                </c:pt>
                <c:pt idx="133">
                  <c:v>1.8557421250214211E-4</c:v>
                </c:pt>
                <c:pt idx="134">
                  <c:v>1.9604389711942472E-4</c:v>
                </c:pt>
                <c:pt idx="135">
                  <c:v>2.0524537417630179E-4</c:v>
                </c:pt>
                <c:pt idx="136">
                  <c:v>2.1274499008849221E-4</c:v>
                </c:pt>
                <c:pt idx="137">
                  <c:v>2.1850204462769886E-4</c:v>
                </c:pt>
                <c:pt idx="138">
                  <c:v>2.2247368869653851E-4</c:v>
                </c:pt>
                <c:pt idx="139">
                  <c:v>2.246150960090091E-4</c:v>
                </c:pt>
                <c:pt idx="140">
                  <c:v>2.2487964659172169E-4</c:v>
                </c:pt>
                <c:pt idx="141">
                  <c:v>2.2335408446197958E-4</c:v>
                </c:pt>
                <c:pt idx="142">
                  <c:v>2.2059999303075903E-4</c:v>
                </c:pt>
                <c:pt idx="143">
                  <c:v>2.1658063893777461E-4</c:v>
                </c:pt>
                <c:pt idx="144">
                  <c:v>2.1125996830312856E-4</c:v>
                </c:pt>
                <c:pt idx="145">
                  <c:v>2.0460139038782556E-4</c:v>
                </c:pt>
                <c:pt idx="146">
                  <c:v>1.9656792209612529E-4</c:v>
                </c:pt>
                <c:pt idx="147">
                  <c:v>1.8712233871414139E-4</c:v>
                </c:pt>
                <c:pt idx="148">
                  <c:v>1.7622817114664076E-4</c:v>
                </c:pt>
                <c:pt idx="149">
                  <c:v>1.645728549459904E-4</c:v>
                </c:pt>
                <c:pt idx="150">
                  <c:v>1.5357824300004592E-4</c:v>
                </c:pt>
                <c:pt idx="151">
                  <c:v>1.432617537798902E-4</c:v>
                </c:pt>
                <c:pt idx="152">
                  <c:v>1.3364115434458807E-4</c:v>
                </c:pt>
                <c:pt idx="153">
                  <c:v>1.2473451624747339E-4</c:v>
                </c:pt>
                <c:pt idx="154">
                  <c:v>1.1656017076234077E-4</c:v>
                </c:pt>
                <c:pt idx="155">
                  <c:v>1.0927698878687908E-4</c:v>
                </c:pt>
                <c:pt idx="156">
                  <c:v>1.0276444441247822E-4</c:v>
                </c:pt>
                <c:pt idx="157">
                  <c:v>9.704365655563855E-5</c:v>
                </c:pt>
                <c:pt idx="158">
                  <c:v>9.2135886865668141E-5</c:v>
                </c:pt>
                <c:pt idx="159">
                  <c:v>8.8062492356938448E-5</c:v>
                </c:pt>
                <c:pt idx="160">
                  <c:v>8.484488021770679E-5</c:v>
                </c:pt>
                <c:pt idx="161">
                  <c:v>8.2504465414888318E-5</c:v>
                </c:pt>
                <c:pt idx="162">
                  <c:v>8.1063475650268175E-5</c:v>
                </c:pt>
                <c:pt idx="163">
                  <c:v>8.0559510351600077E-5</c:v>
                </c:pt>
                <c:pt idx="164">
                  <c:v>8.0200398676632612E-5</c:v>
                </c:pt>
                <c:pt idx="165">
                  <c:v>7.9989610793033999E-5</c:v>
                </c:pt>
                <c:pt idx="166">
                  <c:v>7.9930648363935134E-5</c:v>
                </c:pt>
                <c:pt idx="167">
                  <c:v>8.0027026369647539E-5</c:v>
                </c:pt>
                <c:pt idx="168">
                  <c:v>8.0282255123171044E-5</c:v>
                </c:pt>
                <c:pt idx="169">
                  <c:v>8.0717073687360311E-5</c:v>
                </c:pt>
                <c:pt idx="170">
                  <c:v>8.1177288910796314E-5</c:v>
                </c:pt>
                <c:pt idx="171">
                  <c:v>8.1663525175246844E-5</c:v>
                </c:pt>
                <c:pt idx="172">
                  <c:v>8.2176414330419767E-5</c:v>
                </c:pt>
                <c:pt idx="173">
                  <c:v>8.2715745456105966E-5</c:v>
                </c:pt>
                <c:pt idx="174">
                  <c:v>8.3281238025804312E-5</c:v>
                </c:pt>
                <c:pt idx="175">
                  <c:v>8.3873413554211155E-5</c:v>
                </c:pt>
                <c:pt idx="176">
                  <c:v>8.4494225396395078E-5</c:v>
                </c:pt>
                <c:pt idx="177">
                  <c:v>8.5311928237427254E-5</c:v>
                </c:pt>
                <c:pt idx="178">
                  <c:v>8.6311509933598447E-5</c:v>
                </c:pt>
                <c:pt idx="179">
                  <c:v>8.7496404787888908E-5</c:v>
                </c:pt>
                <c:pt idx="180">
                  <c:v>8.8869947370463171E-5</c:v>
                </c:pt>
                <c:pt idx="181">
                  <c:v>9.0435373395823928E-5</c:v>
                </c:pt>
                <c:pt idx="182">
                  <c:v>9.219582170770506E-5</c:v>
                </c:pt>
                <c:pt idx="183">
                  <c:v>9.5066878971771779E-5</c:v>
                </c:pt>
                <c:pt idx="184">
                  <c:v>9.9043953641945448E-5</c:v>
                </c:pt>
                <c:pt idx="185">
                  <c:v>1.0414158864894445E-4</c:v>
                </c:pt>
                <c:pt idx="186">
                  <c:v>1.1037375276980746E-4</c:v>
                </c:pt>
                <c:pt idx="187">
                  <c:v>1.1775388020013458E-4</c:v>
                </c:pt>
                <c:pt idx="188">
                  <c:v>1.2629491434111966E-4</c:v>
                </c:pt>
                <c:pt idx="189">
                  <c:v>1.3600935524908555E-4</c:v>
                </c:pt>
                <c:pt idx="190">
                  <c:v>1.4690986698631095E-4</c:v>
                </c:pt>
                <c:pt idx="191">
                  <c:v>1.5916096661901691E-4</c:v>
                </c:pt>
                <c:pt idx="192">
                  <c:v>1.7259546627175636E-4</c:v>
                </c:pt>
                <c:pt idx="193">
                  <c:v>1.8722260837271588E-4</c:v>
                </c:pt>
                <c:pt idx="194">
                  <c:v>2.0305146123271301E-4</c:v>
                </c:pt>
                <c:pt idx="195">
                  <c:v>2.2009095347964242E-4</c:v>
                </c:pt>
                <c:pt idx="196">
                  <c:v>2.3834990683463273E-4</c:v>
                </c:pt>
                <c:pt idx="197">
                  <c:v>2.5591878555542946E-4</c:v>
                </c:pt>
                <c:pt idx="198">
                  <c:v>2.7181738040742154E-4</c:v>
                </c:pt>
                <c:pt idx="199">
                  <c:v>2.8602464103194618E-4</c:v>
                </c:pt>
                <c:pt idx="200">
                  <c:v>2.9852018492764165E-4</c:v>
                </c:pt>
                <c:pt idx="201">
                  <c:v>3.0928423438585616E-4</c:v>
                </c:pt>
                <c:pt idx="202">
                  <c:v>3.1829755422259289E-4</c:v>
                </c:pt>
                <c:pt idx="203">
                  <c:v>3.2554139121719286E-4</c:v>
                </c:pt>
                <c:pt idx="204">
                  <c:v>3.3099837037176244E-4</c:v>
                </c:pt>
                <c:pt idx="205">
                  <c:v>3.3381866849850199E-4</c:v>
                </c:pt>
                <c:pt idx="206">
                  <c:v>3.3382445139385674E-4</c:v>
                </c:pt>
                <c:pt idx="207">
                  <c:v>3.3099159501565219E-4</c:v>
                </c:pt>
                <c:pt idx="208">
                  <c:v>3.252960581338753E-4</c:v>
                </c:pt>
                <c:pt idx="209">
                  <c:v>3.167138045526175E-4</c:v>
                </c:pt>
                <c:pt idx="210">
                  <c:v>3.0522073311240312E-4</c:v>
                </c:pt>
                <c:pt idx="211">
                  <c:v>2.9144319806942063E-4</c:v>
                </c:pt>
                <c:pt idx="212">
                  <c:v>2.7737723267958121E-4</c:v>
                </c:pt>
                <c:pt idx="213">
                  <c:v>2.630230793280877E-4</c:v>
                </c:pt>
                <c:pt idx="214">
                  <c:v>2.4838073984808799E-4</c:v>
                </c:pt>
                <c:pt idx="215">
                  <c:v>2.3344998824111933E-4</c:v>
                </c:pt>
                <c:pt idx="216">
                  <c:v>2.1823038411436862E-4</c:v>
                </c:pt>
                <c:pt idx="217">
                  <c:v>2.0272128663516141E-4</c:v>
                </c:pt>
                <c:pt idx="218">
                  <c:v>1.8692111511187879E-4</c:v>
                </c:pt>
                <c:pt idx="219">
                  <c:v>1.7117894869446505E-4</c:v>
                </c:pt>
                <c:pt idx="220">
                  <c:v>1.5636386182751234E-4</c:v>
                </c:pt>
                <c:pt idx="221">
                  <c:v>1.4248500447857807E-4</c:v>
                </c:pt>
                <c:pt idx="222">
                  <c:v>1.2955142148163707E-4</c:v>
                </c:pt>
                <c:pt idx="223">
                  <c:v>1.175720838117404E-4</c:v>
                </c:pt>
                <c:pt idx="224">
                  <c:v>1.0655591790312383E-4</c:v>
                </c:pt>
                <c:pt idx="225">
                  <c:v>9.6766961258749372E-5</c:v>
                </c:pt>
                <c:pt idx="226">
                  <c:v>8.7534246705885964E-5</c:v>
                </c:pt>
                <c:pt idx="227">
                  <c:v>7.8862550283308359E-5</c:v>
                </c:pt>
                <c:pt idx="228">
                  <c:v>7.0756669250958537E-5</c:v>
                </c:pt>
                <c:pt idx="229">
                  <c:v>6.322143512526817E-5</c:v>
                </c:pt>
                <c:pt idx="230">
                  <c:v>5.6261726010903443E-5</c:v>
                </c:pt>
                <c:pt idx="231">
                  <c:v>4.988247834669506E-5</c:v>
                </c:pt>
                <c:pt idx="232">
                  <c:v>4.4087003792275874E-5</c:v>
                </c:pt>
                <c:pt idx="233">
                  <c:v>3.9038154905649453E-5</c:v>
                </c:pt>
                <c:pt idx="234">
                  <c:v>3.4378272796917395E-5</c:v>
                </c:pt>
                <c:pt idx="235">
                  <c:v>3.0111809118932536E-5</c:v>
                </c:pt>
                <c:pt idx="236">
                  <c:v>2.624293954717462E-5</c:v>
                </c:pt>
                <c:pt idx="237">
                  <c:v>2.2775594427291994E-5</c:v>
                </c:pt>
                <c:pt idx="238">
                  <c:v>1.9713542985163718E-5</c:v>
                </c:pt>
                <c:pt idx="239">
                  <c:v>1.7170379692152045E-5</c:v>
                </c:pt>
                <c:pt idx="240">
                  <c:v>1.4884194798540884E-5</c:v>
                </c:pt>
                <c:pt idx="241">
                  <c:v>1.2857281474207837E-5</c:v>
                </c:pt>
                <c:pt idx="242">
                  <c:v>1.1091930574793942E-5</c:v>
                </c:pt>
                <c:pt idx="243">
                  <c:v>9.5904734623957435E-6</c:v>
                </c:pt>
                <c:pt idx="244">
                  <c:v>8.3553263666515407E-6</c:v>
                </c:pt>
                <c:pt idx="245">
                  <c:v>7.389036474057034E-6</c:v>
                </c:pt>
                <c:pt idx="246">
                  <c:v>6.6941753960352267E-6</c:v>
                </c:pt>
                <c:pt idx="247">
                  <c:v>6.4232478289287437E-6</c:v>
                </c:pt>
                <c:pt idx="248">
                  <c:v>6.4149357374422568E-6</c:v>
                </c:pt>
                <c:pt idx="249">
                  <c:v>6.6725000577744521E-6</c:v>
                </c:pt>
                <c:pt idx="250">
                  <c:v>7.1993771405215027E-6</c:v>
                </c:pt>
                <c:pt idx="251">
                  <c:v>7.9991614468574469E-6</c:v>
                </c:pt>
                <c:pt idx="252">
                  <c:v>9.0755869955887806E-6</c:v>
                </c:pt>
                <c:pt idx="253">
                  <c:v>1.0590414106050918E-5</c:v>
                </c:pt>
                <c:pt idx="254">
                  <c:v>1.2433084946900577E-5</c:v>
                </c:pt>
                <c:pt idx="255">
                  <c:v>1.4608270717892857E-5</c:v>
                </c:pt>
                <c:pt idx="256">
                  <c:v>1.7120701393976968E-5</c:v>
                </c:pt>
                <c:pt idx="257">
                  <c:v>1.9975135012615004E-5</c:v>
                </c:pt>
                <c:pt idx="258">
                  <c:v>2.3176324674120383E-5</c:v>
                </c:pt>
                <c:pt idx="259">
                  <c:v>2.6728983164917943E-5</c:v>
                </c:pt>
                <c:pt idx="260">
                  <c:v>3.0639587715944429E-5</c:v>
                </c:pt>
                <c:pt idx="261">
                  <c:v>3.6188712981106114E-5</c:v>
                </c:pt>
                <c:pt idx="262">
                  <c:v>4.3240537986329198E-5</c:v>
                </c:pt>
                <c:pt idx="263">
                  <c:v>5.1818084333123713E-5</c:v>
                </c:pt>
                <c:pt idx="264">
                  <c:v>6.1944667209313801E-5</c:v>
                </c:pt>
                <c:pt idx="265">
                  <c:v>7.364400438878838E-5</c:v>
                </c:pt>
                <c:pt idx="266">
                  <c:v>8.6939573869713186E-5</c:v>
                </c:pt>
                <c:pt idx="267">
                  <c:v>1.0229950353955608E-4</c:v>
                </c:pt>
                <c:pt idx="268">
                  <c:v>1.1958203797675046E-4</c:v>
                </c:pt>
                <c:pt idx="269">
                  <c:v>1.3881153196148831E-4</c:v>
                </c:pt>
                <c:pt idx="270">
                  <c:v>1.6001047592116203E-4</c:v>
                </c:pt>
                <c:pt idx="271">
                  <c:v>1.8319899472035749E-4</c:v>
                </c:pt>
                <c:pt idx="272">
                  <c:v>2.0839432223002918E-4</c:v>
                </c:pt>
                <c:pt idx="273">
                  <c:v>2.3561025343635676E-4</c:v>
                </c:pt>
                <c:pt idx="274">
                  <c:v>2.6486945640877903E-4</c:v>
                </c:pt>
                <c:pt idx="275">
                  <c:v>2.9370723729661789E-4</c:v>
                </c:pt>
                <c:pt idx="276">
                  <c:v>3.207375998181637E-4</c:v>
                </c:pt>
                <c:pt idx="277">
                  <c:v>3.4592756576810505E-4</c:v>
                </c:pt>
                <c:pt idx="278">
                  <c:v>3.6924456644009862E-4</c:v>
                </c:pt>
                <c:pt idx="279">
                  <c:v>3.9065655147653232E-4</c:v>
                </c:pt>
                <c:pt idx="280">
                  <c:v>4.1013209594186373E-4</c:v>
                </c:pt>
                <c:pt idx="281">
                  <c:v>4.2638799193014368E-4</c:v>
                </c:pt>
                <c:pt idx="282">
                  <c:v>4.3890331642049293E-4</c:v>
                </c:pt>
                <c:pt idx="283">
                  <c:v>4.4762945431688235E-4</c:v>
                </c:pt>
                <c:pt idx="284">
                  <c:v>4.5251958196208017E-4</c:v>
                </c:pt>
                <c:pt idx="285">
                  <c:v>4.5352876515692249E-4</c:v>
                </c:pt>
                <c:pt idx="286">
                  <c:v>4.5061403424479564E-4</c:v>
                </c:pt>
                <c:pt idx="287">
                  <c:v>4.437344335249341E-4</c:v>
                </c:pt>
                <c:pt idx="288">
                  <c:v>4.3286122870806387E-4</c:v>
                </c:pt>
                <c:pt idx="289">
                  <c:v>4.1904306367673947E-4</c:v>
                </c:pt>
                <c:pt idx="290">
                  <c:v>4.0489225586998548E-4</c:v>
                </c:pt>
                <c:pt idx="291">
                  <c:v>3.9040565181084296E-4</c:v>
                </c:pt>
                <c:pt idx="292">
                  <c:v>3.7558071426143692E-4</c:v>
                </c:pt>
                <c:pt idx="293">
                  <c:v>3.6041553485340917E-4</c:v>
                </c:pt>
                <c:pt idx="294">
                  <c:v>3.4490884559122687E-4</c:v>
                </c:pt>
                <c:pt idx="295">
                  <c:v>3.298341152526691E-4</c:v>
                </c:pt>
                <c:pt idx="296">
                  <c:v>3.1651942043072211E-4</c:v>
                </c:pt>
                <c:pt idx="297">
                  <c:v>3.0498452804100844E-4</c:v>
                </c:pt>
                <c:pt idx="298">
                  <c:v>2.9524587850280324E-4</c:v>
                </c:pt>
                <c:pt idx="299">
                  <c:v>2.8731929437610223E-4</c:v>
                </c:pt>
                <c:pt idx="300">
                  <c:v>2.812198365757545E-4</c:v>
                </c:pt>
                <c:pt idx="301">
                  <c:v>2.7696166213134925E-4</c:v>
                </c:pt>
                <c:pt idx="302">
                  <c:v>2.7457363191938294E-4</c:v>
                </c:pt>
                <c:pt idx="303">
                  <c:v>2.7449420312534116E-4</c:v>
                </c:pt>
                <c:pt idx="304">
                  <c:v>2.7561292284278478E-4</c:v>
                </c:pt>
                <c:pt idx="305">
                  <c:v>2.779370761254251E-4</c:v>
                </c:pt>
                <c:pt idx="306">
                  <c:v>2.8147385117897422E-4</c:v>
                </c:pt>
                <c:pt idx="307">
                  <c:v>2.8623028588331876E-4</c:v>
                </c:pt>
                <c:pt idx="308">
                  <c:v>2.92213210976909E-4</c:v>
                </c:pt>
                <c:pt idx="309">
                  <c:v>2.9984151570071332E-4</c:v>
                </c:pt>
                <c:pt idx="310">
                  <c:v>3.0832185564986251E-4</c:v>
                </c:pt>
                <c:pt idx="311">
                  <c:v>3.1765755343075646E-4</c:v>
                </c:pt>
                <c:pt idx="312">
                  <c:v>3.2785151153141514E-4</c:v>
                </c:pt>
                <c:pt idx="313">
                  <c:v>3.3890613654357829E-4</c:v>
                </c:pt>
                <c:pt idx="314">
                  <c:v>3.5082325446561622E-4</c:v>
                </c:pt>
                <c:pt idx="315">
                  <c:v>3.6360401609798412E-4</c:v>
                </c:pt>
                <c:pt idx="316">
                  <c:v>3.7726481232519326E-4</c:v>
                </c:pt>
                <c:pt idx="317">
                  <c:v>3.9171715914078711E-4</c:v>
                </c:pt>
                <c:pt idx="318">
                  <c:v>4.0654523345141062E-4</c:v>
                </c:pt>
                <c:pt idx="319">
                  <c:v>4.217543743872265E-4</c:v>
                </c:pt>
                <c:pt idx="320">
                  <c:v>4.3735010040579753E-4</c:v>
                </c:pt>
                <c:pt idx="321">
                  <c:v>4.533380633952538E-4</c:v>
                </c:pt>
                <c:pt idx="322">
                  <c:v>4.697239954088702E-4</c:v>
                </c:pt>
                <c:pt idx="323">
                  <c:v>4.8583779297177042E-4</c:v>
                </c:pt>
                <c:pt idx="324">
                  <c:v>5.012556108478733E-4</c:v>
                </c:pt>
                <c:pt idx="325">
                  <c:v>5.1597540833978224E-4</c:v>
                </c:pt>
                <c:pt idx="326">
                  <c:v>5.2999125035405796E-4</c:v>
                </c:pt>
                <c:pt idx="327">
                  <c:v>5.4329843925095842E-4</c:v>
                </c:pt>
                <c:pt idx="328">
                  <c:v>5.5589428522075644E-4</c:v>
                </c:pt>
                <c:pt idx="329">
                  <c:v>5.6777544410830457E-4</c:v>
                </c:pt>
                <c:pt idx="330">
                  <c:v>5.7901237560648467E-4</c:v>
                </c:pt>
                <c:pt idx="331">
                  <c:v>5.8919126503476722E-4</c:v>
                </c:pt>
                <c:pt idx="332">
                  <c:v>5.9839428659628937E-4</c:v>
                </c:pt>
                <c:pt idx="333">
                  <c:v>6.065859563799006E-4</c:v>
                </c:pt>
                <c:pt idx="334">
                  <c:v>6.1372622224765668E-4</c:v>
                </c:pt>
                <c:pt idx="335">
                  <c:v>6.1977089407752942E-4</c:v>
                </c:pt>
                <c:pt idx="336">
                  <c:v>6.2467216838647918E-4</c:v>
                </c:pt>
                <c:pt idx="337">
                  <c:v>6.2858049702233432E-4</c:v>
                </c:pt>
                <c:pt idx="338">
                  <c:v>6.3215026657943197E-4</c:v>
                </c:pt>
                <c:pt idx="339">
                  <c:v>6.3533539995782684E-4</c:v>
                </c:pt>
                <c:pt idx="340">
                  <c:v>6.3808801868175502E-4</c:v>
                </c:pt>
                <c:pt idx="341">
                  <c:v>6.4035888693465609E-4</c:v>
                </c:pt>
                <c:pt idx="342">
                  <c:v>6.4209794508835773E-4</c:v>
                </c:pt>
                <c:pt idx="343">
                  <c:v>6.4325493186638051E-4</c:v>
                </c:pt>
                <c:pt idx="344">
                  <c:v>6.438916309390837E-4</c:v>
                </c:pt>
                <c:pt idx="345">
                  <c:v>6.4409400035365201E-4</c:v>
                </c:pt>
                <c:pt idx="346">
                  <c:v>6.4428736211354217E-4</c:v>
                </c:pt>
                <c:pt idx="347">
                  <c:v>6.4445956852386471E-4</c:v>
                </c:pt>
                <c:pt idx="348">
                  <c:v>6.4459845403314108E-4</c:v>
                </c:pt>
                <c:pt idx="349">
                  <c:v>6.4469191929941055E-4</c:v>
                </c:pt>
                <c:pt idx="350">
                  <c:v>6.4472801803552057E-4</c:v>
                </c:pt>
                <c:pt idx="351">
                  <c:v>6.4464415984508258E-4</c:v>
                </c:pt>
                <c:pt idx="352">
                  <c:v>6.4422447519710778E-4</c:v>
                </c:pt>
                <c:pt idx="353">
                  <c:v>6.4345921327480166E-4</c:v>
                </c:pt>
                <c:pt idx="354">
                  <c:v>6.4233972638066744E-4</c:v>
                </c:pt>
                <c:pt idx="355">
                  <c:v>6.4085858317044239E-4</c:v>
                </c:pt>
                <c:pt idx="356">
                  <c:v>6.3900822845140758E-4</c:v>
                </c:pt>
                <c:pt idx="357">
                  <c:v>6.3678450782386265E-4</c:v>
                </c:pt>
                <c:pt idx="358">
                  <c:v>6.3412485262617801E-4</c:v>
                </c:pt>
                <c:pt idx="359">
                  <c:v>6.3099531354344639E-4</c:v>
                </c:pt>
                <c:pt idx="360">
                  <c:v>6.2763274439106499E-4</c:v>
                </c:pt>
                <c:pt idx="361">
                  <c:v>6.2412105005479673E-4</c:v>
                </c:pt>
                <c:pt idx="362">
                  <c:v>6.2049364192545502E-4</c:v>
                </c:pt>
                <c:pt idx="363">
                  <c:v>6.1678324208609562E-4</c:v>
                </c:pt>
                <c:pt idx="364">
                  <c:v>6.130216776351374E-4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6933496"/>
        <c:axId val="536933888"/>
      </c:lineChart>
      <c:dateAx>
        <c:axId val="5369334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6933888"/>
        <c:crosses val="autoZero"/>
        <c:auto val="1"/>
        <c:lblOffset val="100"/>
        <c:baseTimeUnit val="days"/>
        <c:majorUnit val="1"/>
        <c:majorTimeUnit val="months"/>
      </c:dateAx>
      <c:valAx>
        <c:axId val="5369338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69334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22.975969776065725</c:v>
                </c:pt>
                <c:pt idx="1">
                  <c:v>23.13874197954884</c:v>
                </c:pt>
                <c:pt idx="2">
                  <c:v>23.308482104183533</c:v>
                </c:pt>
                <c:pt idx="3">
                  <c:v>23.48409708742598</c:v>
                </c:pt>
                <c:pt idx="4">
                  <c:v>23.664494076327603</c:v>
                </c:pt>
                <c:pt idx="5">
                  <c:v>23.848580438292871</c:v>
                </c:pt>
                <c:pt idx="6">
                  <c:v>24.03526375598906</c:v>
                </c:pt>
                <c:pt idx="7">
                  <c:v>24.223451836491048</c:v>
                </c:pt>
                <c:pt idx="8">
                  <c:v>24.415419400563312</c:v>
                </c:pt>
                <c:pt idx="9">
                  <c:v>24.614044005894971</c:v>
                </c:pt>
                <c:pt idx="10">
                  <c:v>24.819119014158517</c:v>
                </c:pt>
                <c:pt idx="11">
                  <c:v>25.030433351117857</c:v>
                </c:pt>
                <c:pt idx="12">
                  <c:v>25.247775952459211</c:v>
                </c:pt>
                <c:pt idx="13">
                  <c:v>25.470935775458855</c:v>
                </c:pt>
                <c:pt idx="14">
                  <c:v>25.699701794548279</c:v>
                </c:pt>
                <c:pt idx="15">
                  <c:v>25.933865569971452</c:v>
                </c:pt>
                <c:pt idx="16">
                  <c:v>26.17320549682217</c:v>
                </c:pt>
                <c:pt idx="17">
                  <c:v>26.417510628754606</c:v>
                </c:pt>
                <c:pt idx="18">
                  <c:v>26.666570057165927</c:v>
                </c:pt>
                <c:pt idx="19">
                  <c:v>26.920172841382978</c:v>
                </c:pt>
                <c:pt idx="20">
                  <c:v>27.178108059402337</c:v>
                </c:pt>
                <c:pt idx="21">
                  <c:v>27.440164897064079</c:v>
                </c:pt>
                <c:pt idx="22">
                  <c:v>27.708727948008153</c:v>
                </c:pt>
                <c:pt idx="23">
                  <c:v>27.985674216148936</c:v>
                </c:pt>
                <c:pt idx="24">
                  <c:v>28.270030813352633</c:v>
                </c:pt>
                <c:pt idx="25">
                  <c:v>28.560840648828986</c:v>
                </c:pt>
                <c:pt idx="26">
                  <c:v>28.857146888924898</c:v>
                </c:pt>
                <c:pt idx="27">
                  <c:v>29.157992948246008</c:v>
                </c:pt>
                <c:pt idx="28">
                  <c:v>29.462422505029867</c:v>
                </c:pt>
                <c:pt idx="29">
                  <c:v>29.769469656639817</c:v>
                </c:pt>
                <c:pt idx="30">
                  <c:v>30.078176038823329</c:v>
                </c:pt>
                <c:pt idx="31">
                  <c:v>30.387586117329011</c:v>
                </c:pt>
                <c:pt idx="32">
                  <c:v>30.696744621816933</c:v>
                </c:pt>
                <c:pt idx="33">
                  <c:v>31.004696549550381</c:v>
                </c:pt>
                <c:pt idx="34">
                  <c:v>31.310487164823581</c:v>
                </c:pt>
                <c:pt idx="35">
                  <c:v>31.61316200005761</c:v>
                </c:pt>
                <c:pt idx="36">
                  <c:v>31.913740354935456</c:v>
                </c:pt>
                <c:pt idx="37">
                  <c:v>32.213986248786838</c:v>
                </c:pt>
                <c:pt idx="38">
                  <c:v>32.514100638782928</c:v>
                </c:pt>
                <c:pt idx="39">
                  <c:v>32.814274383267957</c:v>
                </c:pt>
                <c:pt idx="40">
                  <c:v>33.114698955219893</c:v>
                </c:pt>
                <c:pt idx="41">
                  <c:v>33.415565469787161</c:v>
                </c:pt>
                <c:pt idx="42">
                  <c:v>33.717065005041469</c:v>
                </c:pt>
                <c:pt idx="43">
                  <c:v>34.019361614732276</c:v>
                </c:pt>
                <c:pt idx="44">
                  <c:v>34.322656122976696</c:v>
                </c:pt>
                <c:pt idx="45">
                  <c:v>34.627139462381713</c:v>
                </c:pt>
                <c:pt idx="46">
                  <c:v>34.933002511385773</c:v>
                </c:pt>
                <c:pt idx="47">
                  <c:v>35.240436090767311</c:v>
                </c:pt>
                <c:pt idx="48">
                  <c:v>35.549630957234754</c:v>
                </c:pt>
                <c:pt idx="49">
                  <c:v>35.86077779846503</c:v>
                </c:pt>
                <c:pt idx="50">
                  <c:v>36.174210340808742</c:v>
                </c:pt>
                <c:pt idx="51">
                  <c:v>36.489976288442243</c:v>
                </c:pt>
                <c:pt idx="52">
                  <c:v>36.807808141533911</c:v>
                </c:pt>
                <c:pt idx="53">
                  <c:v>37.127419480269154</c:v>
                </c:pt>
                <c:pt idx="54">
                  <c:v>37.448523869113465</c:v>
                </c:pt>
                <c:pt idx="55">
                  <c:v>37.770834893743896</c:v>
                </c:pt>
                <c:pt idx="56">
                  <c:v>38.094066154177575</c:v>
                </c:pt>
                <c:pt idx="57">
                  <c:v>38.417997275818095</c:v>
                </c:pt>
                <c:pt idx="58">
                  <c:v>38.742369045550369</c:v>
                </c:pt>
                <c:pt idx="59">
                  <c:v>39.066895171713377</c:v>
                </c:pt>
                <c:pt idx="60">
                  <c:v>39.391289363481576</c:v>
                </c:pt>
                <c:pt idx="61">
                  <c:v>39.71526532815205</c:v>
                </c:pt>
                <c:pt idx="62">
                  <c:v>40.038536769598061</c:v>
                </c:pt>
                <c:pt idx="63">
                  <c:v>40.360817387033045</c:v>
                </c:pt>
                <c:pt idx="64">
                  <c:v>40.682948891014355</c:v>
                </c:pt>
                <c:pt idx="65">
                  <c:v>41.005824502857052</c:v>
                </c:pt>
                <c:pt idx="66">
                  <c:v>41.329220834180639</c:v>
                </c:pt>
                <c:pt idx="67">
                  <c:v>41.652946531403224</c:v>
                </c:pt>
                <c:pt idx="68">
                  <c:v>41.976810225914008</c:v>
                </c:pt>
                <c:pt idx="69">
                  <c:v>42.300620537514106</c:v>
                </c:pt>
                <c:pt idx="70">
                  <c:v>42.624186078344543</c:v>
                </c:pt>
                <c:pt idx="71">
                  <c:v>42.94727926350545</c:v>
                </c:pt>
                <c:pt idx="72">
                  <c:v>43.269642243031001</c:v>
                </c:pt>
                <c:pt idx="73">
                  <c:v>43.591083456719403</c:v>
                </c:pt>
                <c:pt idx="74">
                  <c:v>43.911411328023028</c:v>
                </c:pt>
                <c:pt idx="75">
                  <c:v>44.230434265687066</c:v>
                </c:pt>
                <c:pt idx="76">
                  <c:v>44.547960667296948</c:v>
                </c:pt>
                <c:pt idx="77">
                  <c:v>44.863798920421971</c:v>
                </c:pt>
                <c:pt idx="78">
                  <c:v>45.180297182599155</c:v>
                </c:pt>
                <c:pt idx="79">
                  <c:v>45.499289888433005</c:v>
                </c:pt>
                <c:pt idx="80">
                  <c:v>45.819833898567076</c:v>
                </c:pt>
                <c:pt idx="81">
                  <c:v>46.140974859486619</c:v>
                </c:pt>
                <c:pt idx="82">
                  <c:v>46.461758600120774</c:v>
                </c:pt>
                <c:pt idx="83">
                  <c:v>46.781231134793124</c:v>
                </c:pt>
                <c:pt idx="84">
                  <c:v>47.098438671485759</c:v>
                </c:pt>
                <c:pt idx="85">
                  <c:v>47.412422818995502</c:v>
                </c:pt>
                <c:pt idx="86">
                  <c:v>47.722266781762166</c:v>
                </c:pt>
                <c:pt idx="87">
                  <c:v>48.027017501251372</c:v>
                </c:pt>
                <c:pt idx="88">
                  <c:v>48.325722163175406</c:v>
                </c:pt>
                <c:pt idx="89">
                  <c:v>48.617428203404863</c:v>
                </c:pt>
                <c:pt idx="90">
                  <c:v>48.901183321692649</c:v>
                </c:pt>
                <c:pt idx="91">
                  <c:v>49.176035496002243</c:v>
                </c:pt>
                <c:pt idx="92">
                  <c:v>49.443617926507386</c:v>
                </c:pt>
                <c:pt idx="93">
                  <c:v>49.706130558955948</c:v>
                </c:pt>
                <c:pt idx="94">
                  <c:v>49.96348287318591</c:v>
                </c:pt>
                <c:pt idx="95">
                  <c:v>50.215578854277382</c:v>
                </c:pt>
                <c:pt idx="96">
                  <c:v>50.462322540009708</c:v>
                </c:pt>
                <c:pt idx="97">
                  <c:v>50.703618031684272</c:v>
                </c:pt>
                <c:pt idx="98">
                  <c:v>50.939369491090069</c:v>
                </c:pt>
                <c:pt idx="99">
                  <c:v>51.169475887300933</c:v>
                </c:pt>
                <c:pt idx="100">
                  <c:v>51.393846619258795</c:v>
                </c:pt>
                <c:pt idx="101">
                  <c:v>51.612386113547906</c:v>
                </c:pt>
                <c:pt idx="102">
                  <c:v>51.82499888447979</c:v>
                </c:pt>
                <c:pt idx="103">
                  <c:v>52.03158953991705</c:v>
                </c:pt>
                <c:pt idx="104">
                  <c:v>52.2320627879444</c:v>
                </c:pt>
                <c:pt idx="105">
                  <c:v>52.426323442417612</c:v>
                </c:pt>
                <c:pt idx="106">
                  <c:v>52.613896240947838</c:v>
                </c:pt>
                <c:pt idx="107">
                  <c:v>52.794550739287246</c:v>
                </c:pt>
                <c:pt idx="108">
                  <c:v>52.968576228484345</c:v>
                </c:pt>
                <c:pt idx="109">
                  <c:v>53.136258085692056</c:v>
                </c:pt>
                <c:pt idx="110">
                  <c:v>53.297881683554365</c:v>
                </c:pt>
                <c:pt idx="111">
                  <c:v>53.453732394883751</c:v>
                </c:pt>
                <c:pt idx="112">
                  <c:v>53.604095594059118</c:v>
                </c:pt>
                <c:pt idx="113">
                  <c:v>53.7492439885756</c:v>
                </c:pt>
                <c:pt idx="114">
                  <c:v>53.889468426846598</c:v>
                </c:pt>
                <c:pt idx="115">
                  <c:v>54.025054198945433</c:v>
                </c:pt>
                <c:pt idx="116">
                  <c:v>54.15628659997077</c:v>
                </c:pt>
                <c:pt idx="117">
                  <c:v>54.28345093459837</c:v>
                </c:pt>
                <c:pt idx="118">
                  <c:v>54.406832519799941</c:v>
                </c:pt>
                <c:pt idx="119">
                  <c:v>54.526716686371614</c:v>
                </c:pt>
                <c:pt idx="120">
                  <c:v>58.65758331860463</c:v>
                </c:pt>
                <c:pt idx="121">
                  <c:v>58.775331589818286</c:v>
                </c:pt>
                <c:pt idx="122">
                  <c:v>58.887969509910853</c:v>
                </c:pt>
                <c:pt idx="123">
                  <c:v>58.995599527896275</c:v>
                </c:pt>
                <c:pt idx="124">
                  <c:v>59.098324026280082</c:v>
                </c:pt>
                <c:pt idx="125">
                  <c:v>59.196245326479612</c:v>
                </c:pt>
                <c:pt idx="126">
                  <c:v>59.289465688590354</c:v>
                </c:pt>
                <c:pt idx="127">
                  <c:v>59.378120801302138</c:v>
                </c:pt>
                <c:pt idx="128">
                  <c:v>59.4623281516444</c:v>
                </c:pt>
                <c:pt idx="129">
                  <c:v>59.542190564632662</c:v>
                </c:pt>
                <c:pt idx="130">
                  <c:v>59.617810830436589</c:v>
                </c:pt>
                <c:pt idx="131">
                  <c:v>59.689291717075371</c:v>
                </c:pt>
                <c:pt idx="132">
                  <c:v>59.756735961358068</c:v>
                </c:pt>
                <c:pt idx="133">
                  <c:v>59.820246277974853</c:v>
                </c:pt>
                <c:pt idx="134">
                  <c:v>59.879230243947489</c:v>
                </c:pt>
                <c:pt idx="135">
                  <c:v>59.933257701917221</c:v>
                </c:pt>
                <c:pt idx="136">
                  <c:v>59.982566520489108</c:v>
                </c:pt>
                <c:pt idx="137">
                  <c:v>60.027364419305563</c:v>
                </c:pt>
                <c:pt idx="138">
                  <c:v>60.067859105197826</c:v>
                </c:pt>
                <c:pt idx="139">
                  <c:v>60.104258255539747</c:v>
                </c:pt>
                <c:pt idx="140">
                  <c:v>60.136769514125263</c:v>
                </c:pt>
                <c:pt idx="141">
                  <c:v>60.165604722998616</c:v>
                </c:pt>
                <c:pt idx="142">
                  <c:v>60.190937211370695</c:v>
                </c:pt>
                <c:pt idx="143">
                  <c:v>60.212975315189674</c:v>
                </c:pt>
                <c:pt idx="144">
                  <c:v>60.231927253884329</c:v>
                </c:pt>
                <c:pt idx="145">
                  <c:v>60.248001227051212</c:v>
                </c:pt>
                <c:pt idx="146">
                  <c:v>60.261405401519347</c:v>
                </c:pt>
                <c:pt idx="147">
                  <c:v>60.272347899187317</c:v>
                </c:pt>
                <c:pt idx="148">
                  <c:v>60.280749070823141</c:v>
                </c:pt>
                <c:pt idx="149">
                  <c:v>60.286274466826882</c:v>
                </c:pt>
                <c:pt idx="150">
                  <c:v>60.288721184457096</c:v>
                </c:pt>
                <c:pt idx="151">
                  <c:v>60.287989621874104</c:v>
                </c:pt>
                <c:pt idx="152">
                  <c:v>60.283980272647725</c:v>
                </c:pt>
                <c:pt idx="153">
                  <c:v>60.276593721822692</c:v>
                </c:pt>
                <c:pt idx="154">
                  <c:v>60.265730645537097</c:v>
                </c:pt>
                <c:pt idx="155">
                  <c:v>60.251272823072924</c:v>
                </c:pt>
                <c:pt idx="156">
                  <c:v>60.233109772875224</c:v>
                </c:pt>
                <c:pt idx="157">
                  <c:v>60.211140098953393</c:v>
                </c:pt>
                <c:pt idx="158">
                  <c:v>60.185262452758153</c:v>
                </c:pt>
                <c:pt idx="159">
                  <c:v>60.155375536293853</c:v>
                </c:pt>
                <c:pt idx="160">
                  <c:v>60.12137810598</c:v>
                </c:pt>
                <c:pt idx="161">
                  <c:v>60.083168981443954</c:v>
                </c:pt>
                <c:pt idx="162">
                  <c:v>60.040021923086023</c:v>
                </c:pt>
                <c:pt idx="163">
                  <c:v>59.991546368639668</c:v>
                </c:pt>
                <c:pt idx="164">
                  <c:v>59.938204951701884</c:v>
                </c:pt>
                <c:pt idx="165">
                  <c:v>59.880404293073845</c:v>
                </c:pt>
                <c:pt idx="166">
                  <c:v>59.818550794577597</c:v>
                </c:pt>
                <c:pt idx="167">
                  <c:v>59.75305064000063</c:v>
                </c:pt>
                <c:pt idx="168">
                  <c:v>59.684309798179036</c:v>
                </c:pt>
                <c:pt idx="169">
                  <c:v>59.612731264371945</c:v>
                </c:pt>
                <c:pt idx="170">
                  <c:v>59.538744046615143</c:v>
                </c:pt>
                <c:pt idx="171">
                  <c:v>59.462754246307881</c:v>
                </c:pt>
                <c:pt idx="172">
                  <c:v>59.385167735846785</c:v>
                </c:pt>
                <c:pt idx="173">
                  <c:v>59.306390222357109</c:v>
                </c:pt>
                <c:pt idx="174">
                  <c:v>59.226827192139389</c:v>
                </c:pt>
                <c:pt idx="175">
                  <c:v>59.146883840914072</c:v>
                </c:pt>
                <c:pt idx="176">
                  <c:v>59.065953180106284</c:v>
                </c:pt>
                <c:pt idx="177">
                  <c:v>58.983133179150563</c:v>
                </c:pt>
                <c:pt idx="178">
                  <c:v>58.898426777344632</c:v>
                </c:pt>
                <c:pt idx="179">
                  <c:v>58.811833968246169</c:v>
                </c:pt>
                <c:pt idx="180">
                  <c:v>58.723354749076556</c:v>
                </c:pt>
                <c:pt idx="181">
                  <c:v>58.632989122457744</c:v>
                </c:pt>
                <c:pt idx="182">
                  <c:v>58.540737094276494</c:v>
                </c:pt>
                <c:pt idx="183">
                  <c:v>58.446538180187126</c:v>
                </c:pt>
                <c:pt idx="184">
                  <c:v>58.350395231947786</c:v>
                </c:pt>
                <c:pt idx="185">
                  <c:v>58.252308044747338</c:v>
                </c:pt>
                <c:pt idx="186">
                  <c:v>58.152276464180012</c:v>
                </c:pt>
                <c:pt idx="187">
                  <c:v>58.050300382523112</c:v>
                </c:pt>
                <c:pt idx="188">
                  <c:v>57.946379741196132</c:v>
                </c:pt>
                <c:pt idx="189">
                  <c:v>57.840514522960056</c:v>
                </c:pt>
                <c:pt idx="190">
                  <c:v>57.732485866807735</c:v>
                </c:pt>
                <c:pt idx="191">
                  <c:v>57.622167850963066</c:v>
                </c:pt>
                <c:pt idx="192">
                  <c:v>57.509691307418159</c:v>
                </c:pt>
                <c:pt idx="193">
                  <c:v>57.395158833795143</c:v>
                </c:pt>
                <c:pt idx="194">
                  <c:v>57.278672925131843</c:v>
                </c:pt>
                <c:pt idx="195">
                  <c:v>57.160335975878894</c:v>
                </c:pt>
                <c:pt idx="196">
                  <c:v>57.040250277309106</c:v>
                </c:pt>
                <c:pt idx="197">
                  <c:v>56.918644297298087</c:v>
                </c:pt>
                <c:pt idx="198">
                  <c:v>56.795681968855568</c:v>
                </c:pt>
                <c:pt idx="199">
                  <c:v>56.671465605329693</c:v>
                </c:pt>
                <c:pt idx="200">
                  <c:v>56.546097358427048</c:v>
                </c:pt>
                <c:pt idx="201">
                  <c:v>56.419679228322472</c:v>
                </c:pt>
                <c:pt idx="202">
                  <c:v>56.292313074442369</c:v>
                </c:pt>
                <c:pt idx="203">
                  <c:v>56.164100626296218</c:v>
                </c:pt>
                <c:pt idx="204">
                  <c:v>56.034891383627375</c:v>
                </c:pt>
                <c:pt idx="205">
                  <c:v>55.904501091533945</c:v>
                </c:pt>
                <c:pt idx="206">
                  <c:v>55.772901001784938</c:v>
                </c:pt>
                <c:pt idx="207">
                  <c:v>55.640091012849062</c:v>
                </c:pt>
                <c:pt idx="208">
                  <c:v>55.506071026275535</c:v>
                </c:pt>
                <c:pt idx="209">
                  <c:v>55.370840952071624</c:v>
                </c:pt>
                <c:pt idx="210">
                  <c:v>55.234400711351505</c:v>
                </c:pt>
                <c:pt idx="211">
                  <c:v>55.096708961356178</c:v>
                </c:pt>
                <c:pt idx="212">
                  <c:v>54.957638617711147</c:v>
                </c:pt>
                <c:pt idx="213">
                  <c:v>54.817189602338601</c:v>
                </c:pt>
                <c:pt idx="214">
                  <c:v>54.675361879664813</c:v>
                </c:pt>
                <c:pt idx="215">
                  <c:v>54.532155455687345</c:v>
                </c:pt>
                <c:pt idx="216">
                  <c:v>54.387570375246831</c:v>
                </c:pt>
                <c:pt idx="217">
                  <c:v>54.241606720587569</c:v>
                </c:pt>
                <c:pt idx="218">
                  <c:v>54.094482782711893</c:v>
                </c:pt>
                <c:pt idx="219">
                  <c:v>53.946329027622681</c:v>
                </c:pt>
                <c:pt idx="220">
                  <c:v>53.797012493770538</c:v>
                </c:pt>
                <c:pt idx="221">
                  <c:v>53.646432833255865</c:v>
                </c:pt>
                <c:pt idx="222">
                  <c:v>53.49448976642158</c:v>
                </c:pt>
                <c:pt idx="223">
                  <c:v>53.341083078390589</c:v>
                </c:pt>
                <c:pt idx="224">
                  <c:v>53.186112618303163</c:v>
                </c:pt>
                <c:pt idx="225">
                  <c:v>53.029463168577472</c:v>
                </c:pt>
                <c:pt idx="226">
                  <c:v>52.871075963795114</c:v>
                </c:pt>
                <c:pt idx="227">
                  <c:v>52.710851024664819</c:v>
                </c:pt>
                <c:pt idx="228">
                  <c:v>52.548688427408543</c:v>
                </c:pt>
                <c:pt idx="229">
                  <c:v>52.384488304306871</c:v>
                </c:pt>
                <c:pt idx="230">
                  <c:v>52.218150843171983</c:v>
                </c:pt>
                <c:pt idx="231">
                  <c:v>52.049576283570332</c:v>
                </c:pt>
                <c:pt idx="232">
                  <c:v>51.880658866920172</c:v>
                </c:pt>
                <c:pt idx="233">
                  <c:v>51.712812603143654</c:v>
                </c:pt>
                <c:pt idx="234">
                  <c:v>51.545253659041379</c:v>
                </c:pt>
                <c:pt idx="235">
                  <c:v>51.377178007524947</c:v>
                </c:pt>
                <c:pt idx="236">
                  <c:v>51.207781994225158</c:v>
                </c:pt>
                <c:pt idx="237">
                  <c:v>51.036262336141654</c:v>
                </c:pt>
                <c:pt idx="238">
                  <c:v>50.861816119682253</c:v>
                </c:pt>
                <c:pt idx="239">
                  <c:v>50.683630308291079</c:v>
                </c:pt>
                <c:pt idx="240">
                  <c:v>50.500917759910756</c:v>
                </c:pt>
                <c:pt idx="241">
                  <c:v>50.312876636735986</c:v>
                </c:pt>
                <c:pt idx="242">
                  <c:v>50.118705467150875</c:v>
                </c:pt>
                <c:pt idx="243">
                  <c:v>49.917603141371302</c:v>
                </c:pt>
                <c:pt idx="244">
                  <c:v>49.708768914033278</c:v>
                </c:pt>
                <c:pt idx="245">
                  <c:v>49.491402395939375</c:v>
                </c:pt>
                <c:pt idx="246">
                  <c:v>49.265841176254611</c:v>
                </c:pt>
                <c:pt idx="247">
                  <c:v>49.033209224922288</c:v>
                </c:pt>
                <c:pt idx="248">
                  <c:v>48.793920685778509</c:v>
                </c:pt>
                <c:pt idx="249">
                  <c:v>48.548379315526411</c:v>
                </c:pt>
                <c:pt idx="250">
                  <c:v>48.296988707193613</c:v>
                </c:pt>
                <c:pt idx="251">
                  <c:v>48.040152282194612</c:v>
                </c:pt>
                <c:pt idx="252">
                  <c:v>47.778273300042848</c:v>
                </c:pt>
                <c:pt idx="253">
                  <c:v>47.511721983493814</c:v>
                </c:pt>
                <c:pt idx="254">
                  <c:v>47.240911740619069</c:v>
                </c:pt>
                <c:pt idx="255">
                  <c:v>46.966245386691227</c:v>
                </c:pt>
                <c:pt idx="256">
                  <c:v>46.688125586902665</c:v>
                </c:pt>
                <c:pt idx="257">
                  <c:v>46.406954856720795</c:v>
                </c:pt>
                <c:pt idx="258">
                  <c:v>46.123135563018813</c:v>
                </c:pt>
                <c:pt idx="259">
                  <c:v>45.837069925276133</c:v>
                </c:pt>
                <c:pt idx="260">
                  <c:v>45.546420565238236</c:v>
                </c:pt>
                <c:pt idx="261">
                  <c:v>45.249053911595546</c:v>
                </c:pt>
                <c:pt idx="262">
                  <c:v>44.945790740070947</c:v>
                </c:pt>
                <c:pt idx="263">
                  <c:v>44.637435292901372</c:v>
                </c:pt>
                <c:pt idx="264">
                  <c:v>44.324791514859164</c:v>
                </c:pt>
                <c:pt idx="265">
                  <c:v>44.008663007779077</c:v>
                </c:pt>
                <c:pt idx="266">
                  <c:v>43.689853079527033</c:v>
                </c:pt>
                <c:pt idx="267">
                  <c:v>43.369195696210767</c:v>
                </c:pt>
                <c:pt idx="268">
                  <c:v>43.047525690800668</c:v>
                </c:pt>
                <c:pt idx="269">
                  <c:v>42.72564516589518</c:v>
                </c:pt>
                <c:pt idx="270">
                  <c:v>42.404355900009371</c:v>
                </c:pt>
                <c:pt idx="271">
                  <c:v>42.084459349969364</c:v>
                </c:pt>
                <c:pt idx="272">
                  <c:v>41.766756652074577</c:v>
                </c:pt>
                <c:pt idx="273">
                  <c:v>41.452048623379568</c:v>
                </c:pt>
                <c:pt idx="274">
                  <c:v>41.139134237116899</c:v>
                </c:pt>
                <c:pt idx="275">
                  <c:v>40.826412957905198</c:v>
                </c:pt>
                <c:pt idx="276">
                  <c:v>40.513946422418094</c:v>
                </c:pt>
                <c:pt idx="277">
                  <c:v>40.201733427047287</c:v>
                </c:pt>
                <c:pt idx="278">
                  <c:v>39.889772614339968</c:v>
                </c:pt>
                <c:pt idx="279">
                  <c:v>39.578062465752822</c:v>
                </c:pt>
                <c:pt idx="280">
                  <c:v>39.266601295220305</c:v>
                </c:pt>
                <c:pt idx="281">
                  <c:v>38.955416000796355</c:v>
                </c:pt>
                <c:pt idx="282">
                  <c:v>38.644474427379279</c:v>
                </c:pt>
                <c:pt idx="283">
                  <c:v>38.333774306892629</c:v>
                </c:pt>
                <c:pt idx="284">
                  <c:v>38.023313194637574</c:v>
                </c:pt>
                <c:pt idx="285">
                  <c:v>37.713088468376732</c:v>
                </c:pt>
                <c:pt idx="286">
                  <c:v>37.403097328838498</c:v>
                </c:pt>
                <c:pt idx="287">
                  <c:v>37.093336801723069</c:v>
                </c:pt>
                <c:pt idx="288">
                  <c:v>36.782937622081228</c:v>
                </c:pt>
                <c:pt idx="289">
                  <c:v>36.471239641833243</c:v>
                </c:pt>
                <c:pt idx="290">
                  <c:v>36.158514912552945</c:v>
                </c:pt>
                <c:pt idx="291">
                  <c:v>35.845162743838877</c:v>
                </c:pt>
                <c:pt idx="292">
                  <c:v>35.531582282106008</c:v>
                </c:pt>
                <c:pt idx="293">
                  <c:v>35.218172516339251</c:v>
                </c:pt>
                <c:pt idx="294">
                  <c:v>34.905332280533685</c:v>
                </c:pt>
                <c:pt idx="295">
                  <c:v>34.593427429645587</c:v>
                </c:pt>
                <c:pt idx="296">
                  <c:v>34.282830392143296</c:v>
                </c:pt>
                <c:pt idx="297">
                  <c:v>33.973940615106137</c:v>
                </c:pt>
                <c:pt idx="298">
                  <c:v>33.667157557332281</c:v>
                </c:pt>
                <c:pt idx="299">
                  <c:v>33.362880560053576</c:v>
                </c:pt>
                <c:pt idx="300">
                  <c:v>33.06150884626301</c:v>
                </c:pt>
                <c:pt idx="301">
                  <c:v>32.763441517408836</c:v>
                </c:pt>
                <c:pt idx="302">
                  <c:v>32.467214512569946</c:v>
                </c:pt>
                <c:pt idx="303">
                  <c:v>32.171347994545677</c:v>
                </c:pt>
                <c:pt idx="304">
                  <c:v>31.876294451902993</c:v>
                </c:pt>
                <c:pt idx="305">
                  <c:v>31.58245273819578</c:v>
                </c:pt>
                <c:pt idx="306">
                  <c:v>31.290221564513633</c:v>
                </c:pt>
                <c:pt idx="307">
                  <c:v>30.999999505522183</c:v>
                </c:pt>
                <c:pt idx="308">
                  <c:v>30.712184991576787</c:v>
                </c:pt>
                <c:pt idx="309">
                  <c:v>30.427169199843021</c:v>
                </c:pt>
                <c:pt idx="310">
                  <c:v>30.14538008121912</c:v>
                </c:pt>
                <c:pt idx="311">
                  <c:v>29.867215164810602</c:v>
                </c:pt>
                <c:pt idx="312">
                  <c:v>29.593071841690207</c:v>
                </c:pt>
                <c:pt idx="313">
                  <c:v>29.323347371450669</c:v>
                </c:pt>
                <c:pt idx="314">
                  <c:v>29.058438880126044</c:v>
                </c:pt>
                <c:pt idx="315">
                  <c:v>28.798743365231505</c:v>
                </c:pt>
                <c:pt idx="316">
                  <c:v>28.543444920398166</c:v>
                </c:pt>
                <c:pt idx="317">
                  <c:v>28.291538043363591</c:v>
                </c:pt>
                <c:pt idx="318">
                  <c:v>28.04313556049339</c:v>
                </c:pt>
                <c:pt idx="319">
                  <c:v>27.798335304951681</c:v>
                </c:pt>
                <c:pt idx="320">
                  <c:v>27.557235107491348</c:v>
                </c:pt>
                <c:pt idx="321">
                  <c:v>27.319932808366396</c:v>
                </c:pt>
                <c:pt idx="322">
                  <c:v>27.086526250357007</c:v>
                </c:pt>
                <c:pt idx="323">
                  <c:v>26.857130082170897</c:v>
                </c:pt>
                <c:pt idx="324">
                  <c:v>26.631848272657255</c:v>
                </c:pt>
                <c:pt idx="325">
                  <c:v>26.410778291765222</c:v>
                </c:pt>
                <c:pt idx="326">
                  <c:v>26.194017760495147</c:v>
                </c:pt>
                <c:pt idx="327">
                  <c:v>25.981664269853049</c:v>
                </c:pt>
                <c:pt idx="328">
                  <c:v>25.773815359172058</c:v>
                </c:pt>
                <c:pt idx="329">
                  <c:v>25.570568608574149</c:v>
                </c:pt>
                <c:pt idx="330">
                  <c:v>25.368753016415742</c:v>
                </c:pt>
                <c:pt idx="331">
                  <c:v>25.166071614032671</c:v>
                </c:pt>
                <c:pt idx="332">
                  <c:v>24.963908863216574</c:v>
                </c:pt>
                <c:pt idx="333">
                  <c:v>24.763657540078647</c:v>
                </c:pt>
                <c:pt idx="334">
                  <c:v>24.566709986882287</c:v>
                </c:pt>
                <c:pt idx="335">
                  <c:v>24.374458091299768</c:v>
                </c:pt>
                <c:pt idx="336">
                  <c:v>24.188293291324204</c:v>
                </c:pt>
                <c:pt idx="337">
                  <c:v>24.009602333212289</c:v>
                </c:pt>
                <c:pt idx="338">
                  <c:v>23.839760211336291</c:v>
                </c:pt>
                <c:pt idx="339">
                  <c:v>23.680157176747294</c:v>
                </c:pt>
                <c:pt idx="340">
                  <c:v>23.532182965337565</c:v>
                </c:pt>
                <c:pt idx="341">
                  <c:v>23.39722680124008</c:v>
                </c:pt>
                <c:pt idx="342">
                  <c:v>23.276677386500733</c:v>
                </c:pt>
                <c:pt idx="343">
                  <c:v>23.171922894695832</c:v>
                </c:pt>
                <c:pt idx="344">
                  <c:v>23.080348875894334</c:v>
                </c:pt>
                <c:pt idx="345">
                  <c:v>22.998574808336699</c:v>
                </c:pt>
                <c:pt idx="346">
                  <c:v>22.926831156603367</c:v>
                </c:pt>
                <c:pt idx="347">
                  <c:v>22.865356494685322</c:v>
                </c:pt>
                <c:pt idx="348">
                  <c:v>22.814389291017868</c:v>
                </c:pt>
                <c:pt idx="349">
                  <c:v>22.774167919049329</c:v>
                </c:pt>
                <c:pt idx="350">
                  <c:v>22.744930644450474</c:v>
                </c:pt>
                <c:pt idx="351">
                  <c:v>22.726917002589353</c:v>
                </c:pt>
                <c:pt idx="352">
                  <c:v>22.720369118056855</c:v>
                </c:pt>
                <c:pt idx="353">
                  <c:v>22.725524905005937</c:v>
                </c:pt>
                <c:pt idx="354">
                  <c:v>22.74262218218481</c:v>
                </c:pt>
                <c:pt idx="355">
                  <c:v>22.771898658822227</c:v>
                </c:pt>
                <c:pt idx="356">
                  <c:v>22.813591962190824</c:v>
                </c:pt>
                <c:pt idx="357">
                  <c:v>22.86793957016387</c:v>
                </c:pt>
                <c:pt idx="358">
                  <c:v>22.937221245853788</c:v>
                </c:pt>
                <c:pt idx="359">
                  <c:v>23.022799885081852</c:v>
                </c:pt>
                <c:pt idx="360">
                  <c:v>23.123533953274741</c:v>
                </c:pt>
                <c:pt idx="361">
                  <c:v>23.238285033714266</c:v>
                </c:pt>
                <c:pt idx="362">
                  <c:v>23.365916498564484</c:v>
                </c:pt>
                <c:pt idx="363">
                  <c:v>23.505292160989146</c:v>
                </c:pt>
                <c:pt idx="364">
                  <c:v>23.655276254757453</c:v>
                </c:pt>
                <c:pt idx="365">
                  <c:v>23.814733451927101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21.852189145109431</c:v>
                </c:pt>
                <c:pt idx="1">
                  <c:v>15.712925314572319</c:v>
                </c:pt>
                <c:pt idx="2">
                  <c:v>16.909516882228495</c:v>
                </c:pt>
                <c:pt idx="3">
                  <c:v>17.867341647587281</c:v>
                </c:pt>
                <c:pt idx="4">
                  <c:v>14.225888696728861</c:v>
                </c:pt>
                <c:pt idx="5">
                  <c:v>20.514809618044016</c:v>
                </c:pt>
                <c:pt idx="6">
                  <c:v>10.491440841864286</c:v>
                </c:pt>
                <c:pt idx="7">
                  <c:v>7.3600506348649928</c:v>
                </c:pt>
                <c:pt idx="8">
                  <c:v>2.1725373415184981</c:v>
                </c:pt>
                <c:pt idx="9">
                  <c:v>1.6863587557380197</c:v>
                </c:pt>
                <c:pt idx="10">
                  <c:v>24.303001400043524</c:v>
                </c:pt>
                <c:pt idx="11">
                  <c:v>20.736175096452232</c:v>
                </c:pt>
                <c:pt idx="12">
                  <c:v>4.9937444922454235</c:v>
                </c:pt>
                <c:pt idx="13">
                  <c:v>24.689261973156462</c:v>
                </c:pt>
                <c:pt idx="14">
                  <c:v>26.236594402796321</c:v>
                </c:pt>
                <c:pt idx="15">
                  <c:v>25.769030071872102</c:v>
                </c:pt>
                <c:pt idx="16">
                  <c:v>13.191180170124714</c:v>
                </c:pt>
                <c:pt idx="17">
                  <c:v>3.4827750697339357</c:v>
                </c:pt>
                <c:pt idx="18">
                  <c:v>10.074251771071715</c:v>
                </c:pt>
                <c:pt idx="19">
                  <c:v>6.3375593032540882</c:v>
                </c:pt>
                <c:pt idx="20">
                  <c:v>20.244035991424198</c:v>
                </c:pt>
                <c:pt idx="21">
                  <c:v>27.315757540963055</c:v>
                </c:pt>
                <c:pt idx="22">
                  <c:v>27.379793168823053</c:v>
                </c:pt>
                <c:pt idx="23">
                  <c:v>27.996193016498058</c:v>
                </c:pt>
                <c:pt idx="24">
                  <c:v>26.663781531406872</c:v>
                </c:pt>
                <c:pt idx="25">
                  <c:v>27.616145835962726</c:v>
                </c:pt>
                <c:pt idx="26">
                  <c:v>25.731196192955448</c:v>
                </c:pt>
                <c:pt idx="27">
                  <c:v>4.203043359752014</c:v>
                </c:pt>
                <c:pt idx="28">
                  <c:v>9.2167173705240781</c:v>
                </c:pt>
                <c:pt idx="29">
                  <c:v>4.3840471564178785</c:v>
                </c:pt>
                <c:pt idx="30">
                  <c:v>8.9669946048896918</c:v>
                </c:pt>
                <c:pt idx="31">
                  <c:v>13.018445586552676</c:v>
                </c:pt>
                <c:pt idx="32">
                  <c:v>5.2298658009054089</c:v>
                </c:pt>
                <c:pt idx="33">
                  <c:v>9.8578112476104334</c:v>
                </c:pt>
                <c:pt idx="34">
                  <c:v>9.7613548487873203</c:v>
                </c:pt>
                <c:pt idx="35">
                  <c:v>9.4445859037591031</c:v>
                </c:pt>
                <c:pt idx="36">
                  <c:v>21.608220341921403</c:v>
                </c:pt>
                <c:pt idx="37">
                  <c:v>9.2722929389641635</c:v>
                </c:pt>
                <c:pt idx="38">
                  <c:v>32.500770138846107</c:v>
                </c:pt>
                <c:pt idx="39">
                  <c:v>32.715173241659507</c:v>
                </c:pt>
                <c:pt idx="40">
                  <c:v>30.413415358761792</c:v>
                </c:pt>
                <c:pt idx="41">
                  <c:v>16.978353047366966</c:v>
                </c:pt>
                <c:pt idx="42">
                  <c:v>25.795068295804338</c:v>
                </c:pt>
                <c:pt idx="43">
                  <c:v>30.49309878844452</c:v>
                </c:pt>
                <c:pt idx="44">
                  <c:v>14.935024023109417</c:v>
                </c:pt>
                <c:pt idx="45">
                  <c:v>18.777705239349242</c:v>
                </c:pt>
                <c:pt idx="46">
                  <c:v>9.8366908830265398</c:v>
                </c:pt>
                <c:pt idx="47">
                  <c:v>10.642514252962654</c:v>
                </c:pt>
                <c:pt idx="48">
                  <c:v>27.102929290398489</c:v>
                </c:pt>
                <c:pt idx="49">
                  <c:v>19.641996523019859</c:v>
                </c:pt>
                <c:pt idx="50">
                  <c:v>18.735566955273789</c:v>
                </c:pt>
                <c:pt idx="51">
                  <c:v>20.712002277962849</c:v>
                </c:pt>
                <c:pt idx="52">
                  <c:v>32.01333250285758</c:v>
                </c:pt>
                <c:pt idx="53">
                  <c:v>33.124561306821079</c:v>
                </c:pt>
                <c:pt idx="54">
                  <c:v>20.36494510093388</c:v>
                </c:pt>
                <c:pt idx="55">
                  <c:v>29.661474616950162</c:v>
                </c:pt>
                <c:pt idx="56">
                  <c:v>38.198752456125995</c:v>
                </c:pt>
                <c:pt idx="57">
                  <c:v>26.620957938391271</c:v>
                </c:pt>
                <c:pt idx="58">
                  <c:v>32.895682821441618</c:v>
                </c:pt>
                <c:pt idx="59">
                  <c:v>38.187066309470133</c:v>
                </c:pt>
                <c:pt idx="60">
                  <c:v>10.516305846513044</c:v>
                </c:pt>
                <c:pt idx="61">
                  <c:v>33.893491626148112</c:v>
                </c:pt>
                <c:pt idx="62">
                  <c:v>3.8984989482062917</c:v>
                </c:pt>
                <c:pt idx="63">
                  <c:v>12.906382004220237</c:v>
                </c:pt>
                <c:pt idx="64">
                  <c:v>15.421107568236993</c:v>
                </c:pt>
                <c:pt idx="65">
                  <c:v>36.020201104824594</c:v>
                </c:pt>
                <c:pt idx="66">
                  <c:v>31.130029645753385</c:v>
                </c:pt>
                <c:pt idx="67">
                  <c:v>27.778051439134515</c:v>
                </c:pt>
                <c:pt idx="68">
                  <c:v>24.131574235219659</c:v>
                </c:pt>
                <c:pt idx="69">
                  <c:v>15.312866880021426</c:v>
                </c:pt>
                <c:pt idx="70">
                  <c:v>14.228340124319502</c:v>
                </c:pt>
                <c:pt idx="71">
                  <c:v>9.6583281491829336</c:v>
                </c:pt>
                <c:pt idx="72">
                  <c:v>13.918653834947145</c:v>
                </c:pt>
                <c:pt idx="73">
                  <c:v>13.942020083904808</c:v>
                </c:pt>
                <c:pt idx="74">
                  <c:v>12.56667221581788</c:v>
                </c:pt>
                <c:pt idx="75">
                  <c:v>10.483767381799838</c:v>
                </c:pt>
                <c:pt idx="76">
                  <c:v>13.97811991689157</c:v>
                </c:pt>
                <c:pt idx="77">
                  <c:v>28.367971456868229</c:v>
                </c:pt>
                <c:pt idx="78">
                  <c:v>29.300454008359832</c:v>
                </c:pt>
                <c:pt idx="79">
                  <c:v>42.722622307562652</c:v>
                </c:pt>
                <c:pt idx="80">
                  <c:v>40.201897042252043</c:v>
                </c:pt>
                <c:pt idx="81">
                  <c:v>46.128864699334244</c:v>
                </c:pt>
                <c:pt idx="82">
                  <c:v>45.142168925078757</c:v>
                </c:pt>
                <c:pt idx="83">
                  <c:v>39.54317090024481</c:v>
                </c:pt>
                <c:pt idx="84">
                  <c:v>44.504552717966448</c:v>
                </c:pt>
                <c:pt idx="85">
                  <c:v>43.350508931677432</c:v>
                </c:pt>
                <c:pt idx="86">
                  <c:v>33.941848782050442</c:v>
                </c:pt>
                <c:pt idx="87">
                  <c:v>26.733156152284074</c:v>
                </c:pt>
                <c:pt idx="88">
                  <c:v>7.5180996758016079</c:v>
                </c:pt>
                <c:pt idx="89">
                  <c:v>27.397928181771398</c:v>
                </c:pt>
                <c:pt idx="90">
                  <c:v>29.983302112707406</c:v>
                </c:pt>
                <c:pt idx="91">
                  <c:v>20.44084499082506</c:v>
                </c:pt>
                <c:pt idx="92">
                  <c:v>22.145433932655497</c:v>
                </c:pt>
                <c:pt idx="93">
                  <c:v>46.573190588627163</c:v>
                </c:pt>
                <c:pt idx="94">
                  <c:v>49.504186243549626</c:v>
                </c:pt>
                <c:pt idx="95">
                  <c:v>10.845051758449012</c:v>
                </c:pt>
                <c:pt idx="96">
                  <c:v>37.072597003311955</c:v>
                </c:pt>
                <c:pt idx="97">
                  <c:v>30.537918873755125</c:v>
                </c:pt>
                <c:pt idx="98">
                  <c:v>34.003034505655158</c:v>
                </c:pt>
                <c:pt idx="99">
                  <c:v>51.203184026798908</c:v>
                </c:pt>
                <c:pt idx="100">
                  <c:v>42.997941887099337</c:v>
                </c:pt>
                <c:pt idx="101">
                  <c:v>34.870488471324109</c:v>
                </c:pt>
                <c:pt idx="102">
                  <c:v>6.9922677214031577</c:v>
                </c:pt>
                <c:pt idx="103">
                  <c:v>37.797232527806827</c:v>
                </c:pt>
                <c:pt idx="104">
                  <c:v>43.316103977626305</c:v>
                </c:pt>
                <c:pt idx="105">
                  <c:v>41.797977005512713</c:v>
                </c:pt>
                <c:pt idx="106">
                  <c:v>51.054169234942883</c:v>
                </c:pt>
                <c:pt idx="107">
                  <c:v>35.315213803000674</c:v>
                </c:pt>
                <c:pt idx="108">
                  <c:v>8.4423106525853537</c:v>
                </c:pt>
                <c:pt idx="109">
                  <c:v>9.6609034524440851</c:v>
                </c:pt>
                <c:pt idx="110">
                  <c:v>8.9301337405876779</c:v>
                </c:pt>
                <c:pt idx="111">
                  <c:v>26.134677739269019</c:v>
                </c:pt>
                <c:pt idx="112">
                  <c:v>9.0430028242607374</c:v>
                </c:pt>
                <c:pt idx="113">
                  <c:v>28.693884247433402</c:v>
                </c:pt>
                <c:pt idx="114">
                  <c:v>44.156486883699337</c:v>
                </c:pt>
                <c:pt idx="115">
                  <c:v>51.404556039805371</c:v>
                </c:pt>
                <c:pt idx="116">
                  <c:v>38.721265352910059</c:v>
                </c:pt>
                <c:pt idx="117">
                  <c:v>19.273683138235437</c:v>
                </c:pt>
                <c:pt idx="118">
                  <c:v>38.785307868130353</c:v>
                </c:pt>
                <c:pt idx="119">
                  <c:v>41.227192296213836</c:v>
                </c:pt>
                <c:pt idx="120">
                  <c:v>47.966099487590192</c:v>
                </c:pt>
                <c:pt idx="121">
                  <c:v>30.834422659391372</c:v>
                </c:pt>
                <c:pt idx="122">
                  <c:v>36.738583762280655</c:v>
                </c:pt>
                <c:pt idx="123">
                  <c:v>20.378739172753097</c:v>
                </c:pt>
                <c:pt idx="124">
                  <c:v>42.713645751086048</c:v>
                </c:pt>
                <c:pt idx="125">
                  <c:v>39.073913569638954</c:v>
                </c:pt>
                <c:pt idx="126">
                  <c:v>53.129487881675935</c:v>
                </c:pt>
                <c:pt idx="127">
                  <c:v>50.560661158301755</c:v>
                </c:pt>
                <c:pt idx="128">
                  <c:v>52.907250412963279</c:v>
                </c:pt>
                <c:pt idx="129">
                  <c:v>52.567459538390899</c:v>
                </c:pt>
                <c:pt idx="130">
                  <c:v>56.742491362480379</c:v>
                </c:pt>
                <c:pt idx="131">
                  <c:v>41.372598135452499</c:v>
                </c:pt>
                <c:pt idx="132">
                  <c:v>42.082431571321763</c:v>
                </c:pt>
                <c:pt idx="133">
                  <c:v>50.913231086840007</c:v>
                </c:pt>
                <c:pt idx="134">
                  <c:v>53.86321239988672</c:v>
                </c:pt>
                <c:pt idx="135">
                  <c:v>51.342122574227368</c:v>
                </c:pt>
                <c:pt idx="136">
                  <c:v>54.672463115375635</c:v>
                </c:pt>
                <c:pt idx="137">
                  <c:v>52.592590958129371</c:v>
                </c:pt>
                <c:pt idx="138">
                  <c:v>55.508251122150213</c:v>
                </c:pt>
                <c:pt idx="139">
                  <c:v>50.287749711147683</c:v>
                </c:pt>
                <c:pt idx="140">
                  <c:v>50.202729240311015</c:v>
                </c:pt>
                <c:pt idx="141">
                  <c:v>37.99497704880153</c:v>
                </c:pt>
                <c:pt idx="142">
                  <c:v>19.808883721233844</c:v>
                </c:pt>
                <c:pt idx="143">
                  <c:v>17.175305342089597</c:v>
                </c:pt>
                <c:pt idx="144">
                  <c:v>40.283544158666793</c:v>
                </c:pt>
                <c:pt idx="145">
                  <c:v>24.425672906918628</c:v>
                </c:pt>
                <c:pt idx="146">
                  <c:v>45.43406536849232</c:v>
                </c:pt>
                <c:pt idx="147">
                  <c:v>54.743491966166005</c:v>
                </c:pt>
                <c:pt idx="148">
                  <c:v>59.00256710029074</c:v>
                </c:pt>
                <c:pt idx="149">
                  <c:v>50.244712126368718</c:v>
                </c:pt>
                <c:pt idx="150">
                  <c:v>53.358830675441752</c:v>
                </c:pt>
                <c:pt idx="151">
                  <c:v>55.744810545022276</c:v>
                </c:pt>
                <c:pt idx="152">
                  <c:v>44.780702738248564</c:v>
                </c:pt>
                <c:pt idx="153">
                  <c:v>54.573532275942419</c:v>
                </c:pt>
                <c:pt idx="154">
                  <c:v>24.643944452131095</c:v>
                </c:pt>
                <c:pt idx="155">
                  <c:v>33.995554273612541</c:v>
                </c:pt>
                <c:pt idx="156">
                  <c:v>47.878007602584191</c:v>
                </c:pt>
                <c:pt idx="157">
                  <c:v>24.960067574539103</c:v>
                </c:pt>
                <c:pt idx="158">
                  <c:v>20.406173475660193</c:v>
                </c:pt>
                <c:pt idx="159">
                  <c:v>46.63156271067443</c:v>
                </c:pt>
                <c:pt idx="160">
                  <c:v>56.90759439700394</c:v>
                </c:pt>
                <c:pt idx="161">
                  <c:v>55.642060525031795</c:v>
                </c:pt>
                <c:pt idx="162">
                  <c:v>42.57511843693343</c:v>
                </c:pt>
                <c:pt idx="163">
                  <c:v>53.907031990956163</c:v>
                </c:pt>
                <c:pt idx="164">
                  <c:v>49.165314022597087</c:v>
                </c:pt>
                <c:pt idx="165">
                  <c:v>53.630389291943843</c:v>
                </c:pt>
                <c:pt idx="166">
                  <c:v>51.540989568903406</c:v>
                </c:pt>
                <c:pt idx="167">
                  <c:v>51.611007344134428</c:v>
                </c:pt>
                <c:pt idx="168">
                  <c:v>54.991683794875897</c:v>
                </c:pt>
                <c:pt idx="169">
                  <c:v>56.113449537760893</c:v>
                </c:pt>
                <c:pt idx="170">
                  <c:v>31.249710130461263</c:v>
                </c:pt>
                <c:pt idx="171">
                  <c:v>23.337068350434663</c:v>
                </c:pt>
                <c:pt idx="172">
                  <c:v>39.034301667397038</c:v>
                </c:pt>
                <c:pt idx="173">
                  <c:v>41.690609714075123</c:v>
                </c:pt>
                <c:pt idx="174">
                  <c:v>39.844430872158838</c:v>
                </c:pt>
                <c:pt idx="175">
                  <c:v>35.063910836957533</c:v>
                </c:pt>
                <c:pt idx="176">
                  <c:v>11.764656534815073</c:v>
                </c:pt>
                <c:pt idx="177">
                  <c:v>12.841745105771782</c:v>
                </c:pt>
                <c:pt idx="178">
                  <c:v>58.296102990137598</c:v>
                </c:pt>
                <c:pt idx="179">
                  <c:v>55.345158088901819</c:v>
                </c:pt>
                <c:pt idx="180">
                  <c:v>13.760352536284181</c:v>
                </c:pt>
                <c:pt idx="181">
                  <c:v>49.534557993383252</c:v>
                </c:pt>
                <c:pt idx="182">
                  <c:v>55.179244398275593</c:v>
                </c:pt>
                <c:pt idx="183">
                  <c:v>45.978611494127762</c:v>
                </c:pt>
                <c:pt idx="184">
                  <c:v>43.632157013083344</c:v>
                </c:pt>
                <c:pt idx="185">
                  <c:v>54.666960524589655</c:v>
                </c:pt>
                <c:pt idx="186">
                  <c:v>46.945201734608283</c:v>
                </c:pt>
                <c:pt idx="187">
                  <c:v>53.916776922660716</c:v>
                </c:pt>
                <c:pt idx="188">
                  <c:v>56.701676253660892</c:v>
                </c:pt>
                <c:pt idx="189">
                  <c:v>55.969432348044627</c:v>
                </c:pt>
                <c:pt idx="190">
                  <c:v>55.255407193780805</c:v>
                </c:pt>
                <c:pt idx="191">
                  <c:v>53.791976910390034</c:v>
                </c:pt>
                <c:pt idx="192">
                  <c:v>53.888227258785371</c:v>
                </c:pt>
                <c:pt idx="193">
                  <c:v>53.251319235311129</c:v>
                </c:pt>
                <c:pt idx="194">
                  <c:v>52.680347401968277</c:v>
                </c:pt>
                <c:pt idx="195">
                  <c:v>50.916937057306583</c:v>
                </c:pt>
                <c:pt idx="196">
                  <c:v>52.320254923321919</c:v>
                </c:pt>
                <c:pt idx="197">
                  <c:v>51.903504452893998</c:v>
                </c:pt>
                <c:pt idx="198">
                  <c:v>53.788473436651444</c:v>
                </c:pt>
                <c:pt idx="199">
                  <c:v>43.151504107496123</c:v>
                </c:pt>
                <c:pt idx="200">
                  <c:v>43.583750863310406</c:v>
                </c:pt>
                <c:pt idx="201">
                  <c:v>51.256233757303129</c:v>
                </c:pt>
                <c:pt idx="202">
                  <c:v>40.858234946943917</c:v>
                </c:pt>
                <c:pt idx="203">
                  <c:v>45.65940438908531</c:v>
                </c:pt>
                <c:pt idx="204">
                  <c:v>51.208750420138998</c:v>
                </c:pt>
                <c:pt idx="205">
                  <c:v>26.169350069415906</c:v>
                </c:pt>
                <c:pt idx="206">
                  <c:v>55.008673203461818</c:v>
                </c:pt>
                <c:pt idx="207">
                  <c:v>55.016321020802344</c:v>
                </c:pt>
                <c:pt idx="208">
                  <c:v>44.150792899306118</c:v>
                </c:pt>
                <c:pt idx="209">
                  <c:v>29.86586841322854</c:v>
                </c:pt>
                <c:pt idx="210">
                  <c:v>50.262399590906789</c:v>
                </c:pt>
                <c:pt idx="211">
                  <c:v>52.97195704118365</c:v>
                </c:pt>
                <c:pt idx="212">
                  <c:v>52.04701373610051</c:v>
                </c:pt>
                <c:pt idx="213">
                  <c:v>52.253442377727822</c:v>
                </c:pt>
                <c:pt idx="214">
                  <c:v>50.066319964978909</c:v>
                </c:pt>
                <c:pt idx="215">
                  <c:v>46.981012100450798</c:v>
                </c:pt>
                <c:pt idx="216">
                  <c:v>43.710217297859053</c:v>
                </c:pt>
                <c:pt idx="217">
                  <c:v>47.89659842595362</c:v>
                </c:pt>
                <c:pt idx="218">
                  <c:v>50.907954430125265</c:v>
                </c:pt>
                <c:pt idx="219">
                  <c:v>51.724499720507481</c:v>
                </c:pt>
                <c:pt idx="220">
                  <c:v>49.993534741737967</c:v>
                </c:pt>
                <c:pt idx="221">
                  <c:v>47.934146941686002</c:v>
                </c:pt>
                <c:pt idx="222">
                  <c:v>44.109943000765369</c:v>
                </c:pt>
                <c:pt idx="223">
                  <c:v>46.291885271208244</c:v>
                </c:pt>
                <c:pt idx="224">
                  <c:v>32.245894956476938</c:v>
                </c:pt>
                <c:pt idx="225">
                  <c:v>33.524725518972268</c:v>
                </c:pt>
                <c:pt idx="226">
                  <c:v>38.439463351968968</c:v>
                </c:pt>
                <c:pt idx="227">
                  <c:v>32.289256704372171</c:v>
                </c:pt>
                <c:pt idx="228">
                  <c:v>22.195213435986638</c:v>
                </c:pt>
                <c:pt idx="229">
                  <c:v>38.620390458570142</c:v>
                </c:pt>
                <c:pt idx="230">
                  <c:v>39.987199878635629</c:v>
                </c:pt>
                <c:pt idx="231">
                  <c:v>47.62091319738547</c:v>
                </c:pt>
                <c:pt idx="232">
                  <c:v>32.102590572490953</c:v>
                </c:pt>
                <c:pt idx="233">
                  <c:v>25.011343443908668</c:v>
                </c:pt>
                <c:pt idx="234">
                  <c:v>44.738406683545655</c:v>
                </c:pt>
                <c:pt idx="235">
                  <c:v>46.2225519862806</c:v>
                </c:pt>
                <c:pt idx="236">
                  <c:v>32.981444382178012</c:v>
                </c:pt>
                <c:pt idx="237">
                  <c:v>41.433436758940964</c:v>
                </c:pt>
                <c:pt idx="238">
                  <c:v>48.815946385629935</c:v>
                </c:pt>
                <c:pt idx="239">
                  <c:v>47.90711676256187</c:v>
                </c:pt>
                <c:pt idx="240">
                  <c:v>32.299360955392281</c:v>
                </c:pt>
                <c:pt idx="241">
                  <c:v>46.898213053206803</c:v>
                </c:pt>
                <c:pt idx="242">
                  <c:v>22.072000248430648</c:v>
                </c:pt>
                <c:pt idx="243">
                  <c:v>42.547157460492414</c:v>
                </c:pt>
                <c:pt idx="244">
                  <c:v>39.025962150220629</c:v>
                </c:pt>
                <c:pt idx="245">
                  <c:v>32.584391689227637</c:v>
                </c:pt>
                <c:pt idx="246">
                  <c:v>47.258924888653588</c:v>
                </c:pt>
                <c:pt idx="247">
                  <c:v>39.951014730192263</c:v>
                </c:pt>
                <c:pt idx="248">
                  <c:v>45.307545516007501</c:v>
                </c:pt>
                <c:pt idx="249">
                  <c:v>35.250887693795057</c:v>
                </c:pt>
                <c:pt idx="250">
                  <c:v>38.601006657254125</c:v>
                </c:pt>
                <c:pt idx="251">
                  <c:v>21.488685734386447</c:v>
                </c:pt>
                <c:pt idx="252">
                  <c:v>45.394983651013014</c:v>
                </c:pt>
                <c:pt idx="253">
                  <c:v>45.927900682059082</c:v>
                </c:pt>
                <c:pt idx="254">
                  <c:v>32.164973932043686</c:v>
                </c:pt>
                <c:pt idx="255">
                  <c:v>11.404922381458512</c:v>
                </c:pt>
                <c:pt idx="256">
                  <c:v>37.845888117375637</c:v>
                </c:pt>
                <c:pt idx="257">
                  <c:v>41.569975835734482</c:v>
                </c:pt>
                <c:pt idx="258">
                  <c:v>27.676734997652702</c:v>
                </c:pt>
                <c:pt idx="259">
                  <c:v>47.861504470774911</c:v>
                </c:pt>
                <c:pt idx="260">
                  <c:v>46.27367642709936</c:v>
                </c:pt>
                <c:pt idx="261">
                  <c:v>45.079911978210191</c:v>
                </c:pt>
                <c:pt idx="262">
                  <c:v>46.437727633688148</c:v>
                </c:pt>
                <c:pt idx="263">
                  <c:v>45.304674296683274</c:v>
                </c:pt>
                <c:pt idx="264">
                  <c:v>44.123015942583038</c:v>
                </c:pt>
                <c:pt idx="265">
                  <c:v>27.876750615996919</c:v>
                </c:pt>
                <c:pt idx="266">
                  <c:v>17.474424728555395</c:v>
                </c:pt>
                <c:pt idx="267">
                  <c:v>30.931934509455608</c:v>
                </c:pt>
                <c:pt idx="268">
                  <c:v>33.357091549577937</c:v>
                </c:pt>
                <c:pt idx="269">
                  <c:v>15.076363072174201</c:v>
                </c:pt>
                <c:pt idx="270">
                  <c:v>17.322741797579646</c:v>
                </c:pt>
                <c:pt idx="271">
                  <c:v>23.756937198872333</c:v>
                </c:pt>
                <c:pt idx="272">
                  <c:v>29.029252551023689</c:v>
                </c:pt>
                <c:pt idx="273">
                  <c:v>34.812464953103749</c:v>
                </c:pt>
                <c:pt idx="274">
                  <c:v>38.80420488842816</c:v>
                </c:pt>
                <c:pt idx="275">
                  <c:v>35.292714552110553</c:v>
                </c:pt>
                <c:pt idx="276">
                  <c:v>39.710499470019776</c:v>
                </c:pt>
                <c:pt idx="277">
                  <c:v>40.955390209651874</c:v>
                </c:pt>
                <c:pt idx="278">
                  <c:v>11.955418537368905</c:v>
                </c:pt>
                <c:pt idx="279">
                  <c:v>29.220611396316407</c:v>
                </c:pt>
                <c:pt idx="280">
                  <c:v>15.925867526330714</c:v>
                </c:pt>
                <c:pt idx="281">
                  <c:v>37.455731294407421</c:v>
                </c:pt>
                <c:pt idx="282">
                  <c:v>30.869432103385218</c:v>
                </c:pt>
                <c:pt idx="283">
                  <c:v>22.447340007345289</c:v>
                </c:pt>
                <c:pt idx="284">
                  <c:v>28.036070715372094</c:v>
                </c:pt>
                <c:pt idx="285">
                  <c:v>23.136713001202132</c:v>
                </c:pt>
                <c:pt idx="286">
                  <c:v>19.638354961424543</c:v>
                </c:pt>
                <c:pt idx="287">
                  <c:v>36.367196718356404</c:v>
                </c:pt>
                <c:pt idx="288">
                  <c:v>32.660290356870057</c:v>
                </c:pt>
                <c:pt idx="289">
                  <c:v>19.818501546025146</c:v>
                </c:pt>
                <c:pt idx="290">
                  <c:v>33.640840498439999</c:v>
                </c:pt>
                <c:pt idx="291">
                  <c:v>15.49532877918336</c:v>
                </c:pt>
                <c:pt idx="292">
                  <c:v>6.4192269475268029</c:v>
                </c:pt>
                <c:pt idx="293">
                  <c:v>16.257692081784615</c:v>
                </c:pt>
                <c:pt idx="294">
                  <c:v>32.4548928040725</c:v>
                </c:pt>
                <c:pt idx="295">
                  <c:v>16.912617794125921</c:v>
                </c:pt>
                <c:pt idx="296">
                  <c:v>25.068200611808926</c:v>
                </c:pt>
                <c:pt idx="297">
                  <c:v>21.6189696587013</c:v>
                </c:pt>
                <c:pt idx="298">
                  <c:v>13.550785657139109</c:v>
                </c:pt>
                <c:pt idx="299">
                  <c:v>14.473144156106233</c:v>
                </c:pt>
                <c:pt idx="300">
                  <c:v>17.090175314164703</c:v>
                </c:pt>
                <c:pt idx="301">
                  <c:v>26.835850944389655</c:v>
                </c:pt>
                <c:pt idx="302">
                  <c:v>22.198181401662431</c:v>
                </c:pt>
                <c:pt idx="303">
                  <c:v>21.670275438447376</c:v>
                </c:pt>
                <c:pt idx="304">
                  <c:v>23.050362112603324</c:v>
                </c:pt>
                <c:pt idx="305">
                  <c:v>27.701873379780807</c:v>
                </c:pt>
                <c:pt idx="306">
                  <c:v>9.5117847878560813</c:v>
                </c:pt>
                <c:pt idx="307">
                  <c:v>16.681138940719315</c:v>
                </c:pt>
                <c:pt idx="308">
                  <c:v>29.045950724342784</c:v>
                </c:pt>
                <c:pt idx="309">
                  <c:v>29.922739901172566</c:v>
                </c:pt>
                <c:pt idx="310">
                  <c:v>27.651953167670051</c:v>
                </c:pt>
                <c:pt idx="311">
                  <c:v>20.818045522993618</c:v>
                </c:pt>
                <c:pt idx="312">
                  <c:v>9.7340562028217672</c:v>
                </c:pt>
                <c:pt idx="313">
                  <c:v>20.213682863457024</c:v>
                </c:pt>
                <c:pt idx="314">
                  <c:v>27.375589432297321</c:v>
                </c:pt>
                <c:pt idx="315">
                  <c:v>27.420032676048084</c:v>
                </c:pt>
                <c:pt idx="316">
                  <c:v>26.485662801144272</c:v>
                </c:pt>
                <c:pt idx="317">
                  <c:v>9.3256972124042701</c:v>
                </c:pt>
                <c:pt idx="318">
                  <c:v>12.126089331691702</c:v>
                </c:pt>
                <c:pt idx="319">
                  <c:v>26.920493860999493</c:v>
                </c:pt>
                <c:pt idx="320">
                  <c:v>12.600396245403765</c:v>
                </c:pt>
                <c:pt idx="321">
                  <c:v>14.955561828657077</c:v>
                </c:pt>
                <c:pt idx="322">
                  <c:v>7.6589929943122952</c:v>
                </c:pt>
                <c:pt idx="323">
                  <c:v>15.307370118435763</c:v>
                </c:pt>
                <c:pt idx="324">
                  <c:v>3.2348438560347352</c:v>
                </c:pt>
                <c:pt idx="325">
                  <c:v>8.0413673887286823</c:v>
                </c:pt>
                <c:pt idx="326">
                  <c:v>12.051069573152345</c:v>
                </c:pt>
                <c:pt idx="327">
                  <c:v>13.26366822701711</c:v>
                </c:pt>
                <c:pt idx="328">
                  <c:v>5.1357082002201606</c:v>
                </c:pt>
                <c:pt idx="329">
                  <c:v>10.294377696126654</c:v>
                </c:pt>
                <c:pt idx="330">
                  <c:v>14.643193426497689</c:v>
                </c:pt>
                <c:pt idx="331">
                  <c:v>10.614218630132362</c:v>
                </c:pt>
                <c:pt idx="332">
                  <c:v>14.767757537995593</c:v>
                </c:pt>
                <c:pt idx="333">
                  <c:v>4.1142918381855251</c:v>
                </c:pt>
                <c:pt idx="334">
                  <c:v>3.5401646685580026</c:v>
                </c:pt>
                <c:pt idx="335">
                  <c:v>5.8704889411362071</c:v>
                </c:pt>
                <c:pt idx="336">
                  <c:v>8.7686413884867278</c:v>
                </c:pt>
                <c:pt idx="337">
                  <c:v>17.409553629850173</c:v>
                </c:pt>
                <c:pt idx="338">
                  <c:v>23.695581898276675</c:v>
                </c:pt>
                <c:pt idx="339">
                  <c:v>10.973960089318574</c:v>
                </c:pt>
                <c:pt idx="340">
                  <c:v>19.91135038947559</c:v>
                </c:pt>
                <c:pt idx="341">
                  <c:v>4.1105143949056879</c:v>
                </c:pt>
                <c:pt idx="342">
                  <c:v>4.9733385579623857</c:v>
                </c:pt>
                <c:pt idx="343">
                  <c:v>11.706615701171302</c:v>
                </c:pt>
                <c:pt idx="344">
                  <c:v>16.354188990898876</c:v>
                </c:pt>
                <c:pt idx="345">
                  <c:v>5.6954670063724739</c:v>
                </c:pt>
                <c:pt idx="346">
                  <c:v>5.406401478154879</c:v>
                </c:pt>
                <c:pt idx="347">
                  <c:v>17.154485207532378</c:v>
                </c:pt>
                <c:pt idx="348">
                  <c:v>5.6901100301554912</c:v>
                </c:pt>
                <c:pt idx="349">
                  <c:v>4.8484329922082301</c:v>
                </c:pt>
                <c:pt idx="350">
                  <c:v>3.5430659053052693</c:v>
                </c:pt>
                <c:pt idx="351">
                  <c:v>21.275227831163942</c:v>
                </c:pt>
                <c:pt idx="352">
                  <c:v>17.216712713804633</c:v>
                </c:pt>
                <c:pt idx="353">
                  <c:v>4.525859459247644</c:v>
                </c:pt>
                <c:pt idx="354">
                  <c:v>20.411525237367947</c:v>
                </c:pt>
                <c:pt idx="355">
                  <c:v>16.868434692180482</c:v>
                </c:pt>
                <c:pt idx="356">
                  <c:v>17.419762511025695</c:v>
                </c:pt>
                <c:pt idx="357">
                  <c:v>20.933935891853672</c:v>
                </c:pt>
                <c:pt idx="358">
                  <c:v>12.455338999729005</c:v>
                </c:pt>
                <c:pt idx="359">
                  <c:v>21.224309893564552</c:v>
                </c:pt>
                <c:pt idx="360">
                  <c:v>7.6487769100135257</c:v>
                </c:pt>
                <c:pt idx="361">
                  <c:v>20.386386528727247</c:v>
                </c:pt>
                <c:pt idx="362">
                  <c:v>10.021351207677094</c:v>
                </c:pt>
                <c:pt idx="363">
                  <c:v>13.194977228194016</c:v>
                </c:pt>
                <c:pt idx="364">
                  <c:v>12.244328583143044</c:v>
                </c:pt>
                <c:pt idx="365">
                  <c:v>15.416209120549466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21.852189145109431</c:v>
                </c:pt>
                <c:pt idx="1">
                  <c:v>15.712925314572319</c:v>
                </c:pt>
                <c:pt idx="2">
                  <c:v>16.909516882228495</c:v>
                </c:pt>
                <c:pt idx="3">
                  <c:v>17.867341647587281</c:v>
                </c:pt>
                <c:pt idx="4">
                  <c:v>14.225888696728861</c:v>
                </c:pt>
                <c:pt idx="5">
                  <c:v>20.514809618044016</c:v>
                </c:pt>
                <c:pt idx="6">
                  <c:v>10.491440841864286</c:v>
                </c:pt>
                <c:pt idx="7">
                  <c:v>7.3600506348649928</c:v>
                </c:pt>
                <c:pt idx="8">
                  <c:v>2.1725373415184981</c:v>
                </c:pt>
                <c:pt idx="9">
                  <c:v>1.6863587557380197</c:v>
                </c:pt>
                <c:pt idx="10">
                  <c:v>24.303001400043524</c:v>
                </c:pt>
                <c:pt idx="11">
                  <c:v>20.736175096452232</c:v>
                </c:pt>
                <c:pt idx="12">
                  <c:v>4.9937444922454235</c:v>
                </c:pt>
                <c:pt idx="13">
                  <c:v>24.689261973156462</c:v>
                </c:pt>
                <c:pt idx="14">
                  <c:v>26.236594402796321</c:v>
                </c:pt>
                <c:pt idx="15">
                  <c:v>25.769030071872102</c:v>
                </c:pt>
                <c:pt idx="16">
                  <c:v>13.191180170124714</c:v>
                </c:pt>
                <c:pt idx="17">
                  <c:v>3.4827750697339357</c:v>
                </c:pt>
                <c:pt idx="18">
                  <c:v>10.074251771071715</c:v>
                </c:pt>
                <c:pt idx="19">
                  <c:v>6.3375593032540882</c:v>
                </c:pt>
                <c:pt idx="20">
                  <c:v>20.244035991424198</c:v>
                </c:pt>
                <c:pt idx="21">
                  <c:v>27.315757540963055</c:v>
                </c:pt>
                <c:pt idx="22">
                  <c:v>27.379793168823053</c:v>
                </c:pt>
                <c:pt idx="23">
                  <c:v>27.996193016498058</c:v>
                </c:pt>
                <c:pt idx="24">
                  <c:v>26.663781531406872</c:v>
                </c:pt>
                <c:pt idx="25">
                  <c:v>27.616145835962726</c:v>
                </c:pt>
                <c:pt idx="26">
                  <c:v>25.731196192955448</c:v>
                </c:pt>
                <c:pt idx="27">
                  <c:v>4.203043359752014</c:v>
                </c:pt>
                <c:pt idx="28">
                  <c:v>9.2167173705240781</c:v>
                </c:pt>
                <c:pt idx="29">
                  <c:v>4.3840471564178785</c:v>
                </c:pt>
                <c:pt idx="30">
                  <c:v>8.9669946048896918</c:v>
                </c:pt>
                <c:pt idx="31">
                  <c:v>13.018445586552676</c:v>
                </c:pt>
                <c:pt idx="32">
                  <c:v>5.2298658009054089</c:v>
                </c:pt>
                <c:pt idx="33">
                  <c:v>9.8578112476104334</c:v>
                </c:pt>
                <c:pt idx="34">
                  <c:v>9.7613548487873203</c:v>
                </c:pt>
                <c:pt idx="35">
                  <c:v>9.4445859037591031</c:v>
                </c:pt>
                <c:pt idx="36">
                  <c:v>21.608220341921403</c:v>
                </c:pt>
                <c:pt idx="37">
                  <c:v>9.2722929389641635</c:v>
                </c:pt>
                <c:pt idx="38">
                  <c:v>32.500770138846107</c:v>
                </c:pt>
                <c:pt idx="39">
                  <c:v>32.715173241659507</c:v>
                </c:pt>
                <c:pt idx="40">
                  <c:v>30.413415358761792</c:v>
                </c:pt>
                <c:pt idx="41">
                  <c:v>16.978353047366966</c:v>
                </c:pt>
                <c:pt idx="42">
                  <c:v>25.795068295804338</c:v>
                </c:pt>
                <c:pt idx="43">
                  <c:v>30.49309878844452</c:v>
                </c:pt>
                <c:pt idx="44">
                  <c:v>14.935024023109417</c:v>
                </c:pt>
                <c:pt idx="45">
                  <c:v>18.777705239349242</c:v>
                </c:pt>
                <c:pt idx="46">
                  <c:v>9.8366908830265398</c:v>
                </c:pt>
                <c:pt idx="47">
                  <c:v>10.642514252962654</c:v>
                </c:pt>
                <c:pt idx="48">
                  <c:v>27.102929290398489</c:v>
                </c:pt>
                <c:pt idx="49">
                  <c:v>19.641996523019859</c:v>
                </c:pt>
                <c:pt idx="50">
                  <c:v>18.735566955273789</c:v>
                </c:pt>
                <c:pt idx="51">
                  <c:v>20.712002277962849</c:v>
                </c:pt>
                <c:pt idx="52">
                  <c:v>32.01333250285758</c:v>
                </c:pt>
                <c:pt idx="53">
                  <c:v>33.124561306821079</c:v>
                </c:pt>
                <c:pt idx="54">
                  <c:v>20.36494510093388</c:v>
                </c:pt>
                <c:pt idx="55">
                  <c:v>29.661474616950162</c:v>
                </c:pt>
                <c:pt idx="56">
                  <c:v>38.198752456125995</c:v>
                </c:pt>
                <c:pt idx="57">
                  <c:v>26.620957938391271</c:v>
                </c:pt>
                <c:pt idx="58">
                  <c:v>32.895682821441618</c:v>
                </c:pt>
                <c:pt idx="59">
                  <c:v>38.187066309470133</c:v>
                </c:pt>
                <c:pt idx="60">
                  <c:v>10.516305846513044</c:v>
                </c:pt>
                <c:pt idx="61">
                  <c:v>33.893491626148112</c:v>
                </c:pt>
                <c:pt idx="62">
                  <c:v>3.8984989482062917</c:v>
                </c:pt>
                <c:pt idx="63">
                  <c:v>12.906382004220237</c:v>
                </c:pt>
                <c:pt idx="64">
                  <c:v>15.421107568236993</c:v>
                </c:pt>
                <c:pt idx="65">
                  <c:v>36.020201104824594</c:v>
                </c:pt>
                <c:pt idx="66">
                  <c:v>31.130029645753385</c:v>
                </c:pt>
                <c:pt idx="67">
                  <c:v>27.778051439134515</c:v>
                </c:pt>
                <c:pt idx="68">
                  <c:v>24.131574235219659</c:v>
                </c:pt>
                <c:pt idx="69">
                  <c:v>15.312866880021426</c:v>
                </c:pt>
                <c:pt idx="70">
                  <c:v>14.228340124319502</c:v>
                </c:pt>
                <c:pt idx="71">
                  <c:v>9.6583281491829336</c:v>
                </c:pt>
                <c:pt idx="72">
                  <c:v>13.918653834947145</c:v>
                </c:pt>
                <c:pt idx="73">
                  <c:v>13.942020083904808</c:v>
                </c:pt>
                <c:pt idx="74">
                  <c:v>12.56667221581788</c:v>
                </c:pt>
                <c:pt idx="75">
                  <c:v>10.483767381799838</c:v>
                </c:pt>
                <c:pt idx="76">
                  <c:v>13.97811991689157</c:v>
                </c:pt>
                <c:pt idx="77">
                  <c:v>28.367971456868229</c:v>
                </c:pt>
                <c:pt idx="78">
                  <c:v>29.300454008359832</c:v>
                </c:pt>
                <c:pt idx="79">
                  <c:v>42.722622307562652</c:v>
                </c:pt>
                <c:pt idx="80">
                  <c:v>40.201897042252043</c:v>
                </c:pt>
                <c:pt idx="81">
                  <c:v>46.128864699334244</c:v>
                </c:pt>
                <c:pt idx="82">
                  <c:v>45.142168925078757</c:v>
                </c:pt>
                <c:pt idx="83">
                  <c:v>39.54317090024481</c:v>
                </c:pt>
                <c:pt idx="84">
                  <c:v>44.504552717966448</c:v>
                </c:pt>
                <c:pt idx="85">
                  <c:v>43.350508931677432</c:v>
                </c:pt>
                <c:pt idx="86">
                  <c:v>33.941848782050442</c:v>
                </c:pt>
                <c:pt idx="87">
                  <c:v>26.733156152284074</c:v>
                </c:pt>
                <c:pt idx="88">
                  <c:v>7.5180996758016079</c:v>
                </c:pt>
                <c:pt idx="89">
                  <c:v>27.397928181771398</c:v>
                </c:pt>
                <c:pt idx="90">
                  <c:v>29.983302112707406</c:v>
                </c:pt>
                <c:pt idx="91">
                  <c:v>20.44084499082506</c:v>
                </c:pt>
                <c:pt idx="92">
                  <c:v>22.145433932655497</c:v>
                </c:pt>
                <c:pt idx="93">
                  <c:v>46.573190588627163</c:v>
                </c:pt>
                <c:pt idx="94">
                  <c:v>49.504186243549626</c:v>
                </c:pt>
                <c:pt idx="95">
                  <c:v>10.845051758449012</c:v>
                </c:pt>
                <c:pt idx="96">
                  <c:v>37.072597003311955</c:v>
                </c:pt>
                <c:pt idx="97">
                  <c:v>30.537918873755125</c:v>
                </c:pt>
                <c:pt idx="98">
                  <c:v>34.003034505655158</c:v>
                </c:pt>
                <c:pt idx="99">
                  <c:v>51.203184026798908</c:v>
                </c:pt>
                <c:pt idx="100">
                  <c:v>42.997941887099337</c:v>
                </c:pt>
                <c:pt idx="101">
                  <c:v>34.870488471324109</c:v>
                </c:pt>
                <c:pt idx="102">
                  <c:v>6.9922677214031577</c:v>
                </c:pt>
                <c:pt idx="103">
                  <c:v>37.797232527806827</c:v>
                </c:pt>
                <c:pt idx="104">
                  <c:v>43.316103977626305</c:v>
                </c:pt>
                <c:pt idx="105">
                  <c:v>41.797977005512713</c:v>
                </c:pt>
                <c:pt idx="106">
                  <c:v>51.054169234942883</c:v>
                </c:pt>
                <c:pt idx="107">
                  <c:v>35.315213803000674</c:v>
                </c:pt>
                <c:pt idx="108">
                  <c:v>8.4423106525853537</c:v>
                </c:pt>
                <c:pt idx="109">
                  <c:v>9.6609034524440851</c:v>
                </c:pt>
                <c:pt idx="110">
                  <c:v>8.9301337405876779</c:v>
                </c:pt>
                <c:pt idx="111">
                  <c:v>26.134677739269019</c:v>
                </c:pt>
                <c:pt idx="112">
                  <c:v>9.0430028242607374</c:v>
                </c:pt>
                <c:pt idx="113">
                  <c:v>28.693884247433402</c:v>
                </c:pt>
                <c:pt idx="114">
                  <c:v>44.156486883699337</c:v>
                </c:pt>
                <c:pt idx="115">
                  <c:v>51.404556039805371</c:v>
                </c:pt>
                <c:pt idx="116">
                  <c:v>38.721265352910059</c:v>
                </c:pt>
                <c:pt idx="117">
                  <c:v>19.273683138235437</c:v>
                </c:pt>
                <c:pt idx="118">
                  <c:v>38.785307868130353</c:v>
                </c:pt>
                <c:pt idx="119">
                  <c:v>41.227192296213836</c:v>
                </c:pt>
                <c:pt idx="120">
                  <c:v>47.966099487590192</c:v>
                </c:pt>
                <c:pt idx="121">
                  <c:v>30.834422659391372</c:v>
                </c:pt>
                <c:pt idx="122">
                  <c:v>36.738583762280655</c:v>
                </c:pt>
                <c:pt idx="123">
                  <c:v>20.378739172753097</c:v>
                </c:pt>
                <c:pt idx="124">
                  <c:v>42.713645751086048</c:v>
                </c:pt>
                <c:pt idx="125">
                  <c:v>39.073913569638954</c:v>
                </c:pt>
                <c:pt idx="126">
                  <c:v>53.129487881675935</c:v>
                </c:pt>
                <c:pt idx="127">
                  <c:v>50.560661158301755</c:v>
                </c:pt>
                <c:pt idx="128">
                  <c:v>52.907250412963279</c:v>
                </c:pt>
                <c:pt idx="129">
                  <c:v>52.567459538390899</c:v>
                </c:pt>
                <c:pt idx="130">
                  <c:v>56.742491362480379</c:v>
                </c:pt>
                <c:pt idx="131">
                  <c:v>41.372598135452499</c:v>
                </c:pt>
                <c:pt idx="132">
                  <c:v>42.082431571321763</c:v>
                </c:pt>
                <c:pt idx="133">
                  <c:v>50.913231086840007</c:v>
                </c:pt>
                <c:pt idx="134">
                  <c:v>53.86321239988672</c:v>
                </c:pt>
                <c:pt idx="135">
                  <c:v>51.342122574227368</c:v>
                </c:pt>
                <c:pt idx="136">
                  <c:v>54.672463115375635</c:v>
                </c:pt>
                <c:pt idx="137">
                  <c:v>52.592590958129371</c:v>
                </c:pt>
                <c:pt idx="138">
                  <c:v>55.508251122150213</c:v>
                </c:pt>
                <c:pt idx="139">
                  <c:v>50.287749711147683</c:v>
                </c:pt>
                <c:pt idx="140">
                  <c:v>50.202729240311015</c:v>
                </c:pt>
                <c:pt idx="141">
                  <c:v>37.99497704880153</c:v>
                </c:pt>
                <c:pt idx="142">
                  <c:v>19.808883721233844</c:v>
                </c:pt>
                <c:pt idx="143">
                  <c:v>17.175305342089597</c:v>
                </c:pt>
                <c:pt idx="144">
                  <c:v>40.283544158666793</c:v>
                </c:pt>
                <c:pt idx="145">
                  <c:v>24.425672906918628</c:v>
                </c:pt>
                <c:pt idx="146">
                  <c:v>45.43406536849232</c:v>
                </c:pt>
                <c:pt idx="147">
                  <c:v>54.743491966166005</c:v>
                </c:pt>
                <c:pt idx="148">
                  <c:v>59.00256710029074</c:v>
                </c:pt>
                <c:pt idx="149">
                  <c:v>50.244712126368718</c:v>
                </c:pt>
                <c:pt idx="150">
                  <c:v>53.358830675441752</c:v>
                </c:pt>
                <c:pt idx="151">
                  <c:v>55.744810545022276</c:v>
                </c:pt>
                <c:pt idx="152">
                  <c:v>44.780702738248564</c:v>
                </c:pt>
                <c:pt idx="153">
                  <c:v>54.573532275942419</c:v>
                </c:pt>
                <c:pt idx="154">
                  <c:v>24.643944452131095</c:v>
                </c:pt>
                <c:pt idx="155">
                  <c:v>33.995554273612541</c:v>
                </c:pt>
                <c:pt idx="156">
                  <c:v>47.878007602584191</c:v>
                </c:pt>
                <c:pt idx="157">
                  <c:v>24.960067574539103</c:v>
                </c:pt>
                <c:pt idx="158">
                  <c:v>20.406173475660193</c:v>
                </c:pt>
                <c:pt idx="159">
                  <c:v>46.63156271067443</c:v>
                </c:pt>
                <c:pt idx="160">
                  <c:v>56.90759439700394</c:v>
                </c:pt>
                <c:pt idx="161">
                  <c:v>55.642060525031795</c:v>
                </c:pt>
                <c:pt idx="162">
                  <c:v>42.57511843693343</c:v>
                </c:pt>
                <c:pt idx="163">
                  <c:v>53.907031990956163</c:v>
                </c:pt>
                <c:pt idx="164">
                  <c:v>49.165314022597087</c:v>
                </c:pt>
                <c:pt idx="165">
                  <c:v>53.630389291943843</c:v>
                </c:pt>
                <c:pt idx="166">
                  <c:v>51.540989568903406</c:v>
                </c:pt>
                <c:pt idx="167">
                  <c:v>51.611007344134428</c:v>
                </c:pt>
                <c:pt idx="168">
                  <c:v>54.991683794875897</c:v>
                </c:pt>
                <c:pt idx="169">
                  <c:v>56.113449537760893</c:v>
                </c:pt>
                <c:pt idx="170">
                  <c:v>31.249710130461263</c:v>
                </c:pt>
                <c:pt idx="171">
                  <c:v>23.337068350434663</c:v>
                </c:pt>
                <c:pt idx="172">
                  <c:v>39.034301667397038</c:v>
                </c:pt>
                <c:pt idx="173">
                  <c:v>41.690609714075123</c:v>
                </c:pt>
                <c:pt idx="174">
                  <c:v>39.844430872158838</c:v>
                </c:pt>
                <c:pt idx="175">
                  <c:v>35.063910836957533</c:v>
                </c:pt>
                <c:pt idx="176">
                  <c:v>11.764656534815073</c:v>
                </c:pt>
                <c:pt idx="177">
                  <c:v>12.841745105771782</c:v>
                </c:pt>
                <c:pt idx="178">
                  <c:v>58.296102990137598</c:v>
                </c:pt>
                <c:pt idx="179">
                  <c:v>55.345158088901819</c:v>
                </c:pt>
                <c:pt idx="180">
                  <c:v>13.760352536284181</c:v>
                </c:pt>
                <c:pt idx="181">
                  <c:v>49.534557993383252</c:v>
                </c:pt>
                <c:pt idx="182">
                  <c:v>55.179244398275593</c:v>
                </c:pt>
                <c:pt idx="183">
                  <c:v>45.978611494127762</c:v>
                </c:pt>
                <c:pt idx="184">
                  <c:v>43.632157013083344</c:v>
                </c:pt>
                <c:pt idx="185">
                  <c:v>54.666960524589655</c:v>
                </c:pt>
                <c:pt idx="186">
                  <c:v>46.945201734608283</c:v>
                </c:pt>
                <c:pt idx="187">
                  <c:v>53.916776922660716</c:v>
                </c:pt>
                <c:pt idx="188">
                  <c:v>56.701676253660892</c:v>
                </c:pt>
                <c:pt idx="189">
                  <c:v>55.969432348044627</c:v>
                </c:pt>
                <c:pt idx="190">
                  <c:v>55.255407193780805</c:v>
                </c:pt>
                <c:pt idx="191">
                  <c:v>53.791976910390034</c:v>
                </c:pt>
                <c:pt idx="192">
                  <c:v>53.888227258785371</c:v>
                </c:pt>
                <c:pt idx="193">
                  <c:v>53.251319235311129</c:v>
                </c:pt>
                <c:pt idx="194">
                  <c:v>52.680347401968277</c:v>
                </c:pt>
                <c:pt idx="195">
                  <c:v>50.916937057306583</c:v>
                </c:pt>
                <c:pt idx="196">
                  <c:v>52.320254923321919</c:v>
                </c:pt>
                <c:pt idx="197">
                  <c:v>51.903504452893998</c:v>
                </c:pt>
                <c:pt idx="198">
                  <c:v>53.788473436651444</c:v>
                </c:pt>
                <c:pt idx="199">
                  <c:v>43.151504107496123</c:v>
                </c:pt>
                <c:pt idx="200">
                  <c:v>43.583750863310406</c:v>
                </c:pt>
                <c:pt idx="201">
                  <c:v>51.256233757303129</c:v>
                </c:pt>
                <c:pt idx="202">
                  <c:v>40.858234946943917</c:v>
                </c:pt>
                <c:pt idx="203">
                  <c:v>45.65940438908531</c:v>
                </c:pt>
                <c:pt idx="204">
                  <c:v>51.208750420138998</c:v>
                </c:pt>
                <c:pt idx="205">
                  <c:v>26.169350069415906</c:v>
                </c:pt>
                <c:pt idx="206">
                  <c:v>55.008673203461818</c:v>
                </c:pt>
                <c:pt idx="207">
                  <c:v>55.016321020802344</c:v>
                </c:pt>
                <c:pt idx="208">
                  <c:v>44.150792899306118</c:v>
                </c:pt>
                <c:pt idx="209">
                  <c:v>29.86586841322854</c:v>
                </c:pt>
                <c:pt idx="210">
                  <c:v>50.262399590906789</c:v>
                </c:pt>
                <c:pt idx="211">
                  <c:v>52.97195704118365</c:v>
                </c:pt>
                <c:pt idx="212">
                  <c:v>52.04701373610051</c:v>
                </c:pt>
                <c:pt idx="213">
                  <c:v>52.253442377727822</c:v>
                </c:pt>
                <c:pt idx="214">
                  <c:v>50.066319964978909</c:v>
                </c:pt>
                <c:pt idx="215">
                  <c:v>46.981012100450798</c:v>
                </c:pt>
                <c:pt idx="216">
                  <c:v>43.710217297859053</c:v>
                </c:pt>
                <c:pt idx="217">
                  <c:v>47.89659842595362</c:v>
                </c:pt>
                <c:pt idx="218">
                  <c:v>50.907954430125265</c:v>
                </c:pt>
                <c:pt idx="219">
                  <c:v>51.724499720507481</c:v>
                </c:pt>
                <c:pt idx="220">
                  <c:v>49.993534741737967</c:v>
                </c:pt>
                <c:pt idx="221">
                  <c:v>47.934146941686002</c:v>
                </c:pt>
                <c:pt idx="222">
                  <c:v>44.109943000765369</c:v>
                </c:pt>
                <c:pt idx="223">
                  <c:v>46.291885271208244</c:v>
                </c:pt>
                <c:pt idx="224">
                  <c:v>32.245894956476938</c:v>
                </c:pt>
                <c:pt idx="225">
                  <c:v>33.524725518972268</c:v>
                </c:pt>
                <c:pt idx="226">
                  <c:v>38.439463351968968</c:v>
                </c:pt>
                <c:pt idx="227">
                  <c:v>32.289256704372171</c:v>
                </c:pt>
                <c:pt idx="228">
                  <c:v>22.195213435986638</c:v>
                </c:pt>
                <c:pt idx="229">
                  <c:v>38.620390458570142</c:v>
                </c:pt>
                <c:pt idx="230">
                  <c:v>39.987199878635629</c:v>
                </c:pt>
                <c:pt idx="231">
                  <c:v>47.62091319738547</c:v>
                </c:pt>
                <c:pt idx="232">
                  <c:v>32.102590572490953</c:v>
                </c:pt>
                <c:pt idx="233">
                  <c:v>25.011343443908668</c:v>
                </c:pt>
                <c:pt idx="234">
                  <c:v>44.738406683545655</c:v>
                </c:pt>
                <c:pt idx="235">
                  <c:v>46.2225519862806</c:v>
                </c:pt>
                <c:pt idx="236">
                  <c:v>32.981444382178012</c:v>
                </c:pt>
                <c:pt idx="237">
                  <c:v>41.433436758940964</c:v>
                </c:pt>
                <c:pt idx="238">
                  <c:v>48.815946385629935</c:v>
                </c:pt>
                <c:pt idx="239">
                  <c:v>47.90711676256187</c:v>
                </c:pt>
                <c:pt idx="240">
                  <c:v>32.299360955392281</c:v>
                </c:pt>
                <c:pt idx="241">
                  <c:v>46.898213053206803</c:v>
                </c:pt>
                <c:pt idx="242">
                  <c:v>22.072000248430648</c:v>
                </c:pt>
                <c:pt idx="243">
                  <c:v>42.547157460492414</c:v>
                </c:pt>
                <c:pt idx="244">
                  <c:v>39.025962150220629</c:v>
                </c:pt>
                <c:pt idx="245">
                  <c:v>32.584391689227637</c:v>
                </c:pt>
                <c:pt idx="246">
                  <c:v>47.258924888653588</c:v>
                </c:pt>
                <c:pt idx="247">
                  <c:v>39.951014730192263</c:v>
                </c:pt>
                <c:pt idx="248">
                  <c:v>45.307545516007501</c:v>
                </c:pt>
                <c:pt idx="249">
                  <c:v>35.250887693795057</c:v>
                </c:pt>
                <c:pt idx="250">
                  <c:v>38.601006657254125</c:v>
                </c:pt>
                <c:pt idx="251">
                  <c:v>21.488685734386447</c:v>
                </c:pt>
                <c:pt idx="252">
                  <c:v>45.394983651013014</c:v>
                </c:pt>
                <c:pt idx="253">
                  <c:v>45.927900682059082</c:v>
                </c:pt>
                <c:pt idx="254">
                  <c:v>32.164973932043686</c:v>
                </c:pt>
                <c:pt idx="255">
                  <c:v>11.404922381458512</c:v>
                </c:pt>
                <c:pt idx="256">
                  <c:v>37.845888117375637</c:v>
                </c:pt>
                <c:pt idx="257">
                  <c:v>41.569975835734482</c:v>
                </c:pt>
                <c:pt idx="258">
                  <c:v>27.676734997652702</c:v>
                </c:pt>
                <c:pt idx="259">
                  <c:v>47.861504470774911</c:v>
                </c:pt>
                <c:pt idx="260">
                  <c:v>46.27367642709936</c:v>
                </c:pt>
                <c:pt idx="261">
                  <c:v>45.079911978210191</c:v>
                </c:pt>
                <c:pt idx="262">
                  <c:v>46.437727633688148</c:v>
                </c:pt>
                <c:pt idx="263">
                  <c:v>45.304674296683274</c:v>
                </c:pt>
                <c:pt idx="264">
                  <c:v>44.123015942583038</c:v>
                </c:pt>
                <c:pt idx="265">
                  <c:v>27.876750615996919</c:v>
                </c:pt>
                <c:pt idx="266">
                  <c:v>17.474424728555395</c:v>
                </c:pt>
                <c:pt idx="267">
                  <c:v>30.931934509455608</c:v>
                </c:pt>
                <c:pt idx="268">
                  <c:v>33.357091549577937</c:v>
                </c:pt>
                <c:pt idx="269">
                  <c:v>15.076363072174201</c:v>
                </c:pt>
                <c:pt idx="270">
                  <c:v>17.322741797579646</c:v>
                </c:pt>
                <c:pt idx="271">
                  <c:v>23.756937198872333</c:v>
                </c:pt>
                <c:pt idx="272">
                  <c:v>29.029252551023689</c:v>
                </c:pt>
                <c:pt idx="273">
                  <c:v>34.812464953103749</c:v>
                </c:pt>
                <c:pt idx="274">
                  <c:v>38.80420488842816</c:v>
                </c:pt>
                <c:pt idx="275">
                  <c:v>35.292714552110553</c:v>
                </c:pt>
                <c:pt idx="276">
                  <c:v>39.710499470019776</c:v>
                </c:pt>
                <c:pt idx="277">
                  <c:v>40.955390209651874</c:v>
                </c:pt>
                <c:pt idx="278">
                  <c:v>11.955418537368905</c:v>
                </c:pt>
                <c:pt idx="279">
                  <c:v>29.220611396316407</c:v>
                </c:pt>
                <c:pt idx="280">
                  <c:v>15.925867526330714</c:v>
                </c:pt>
                <c:pt idx="281">
                  <c:v>37.455731294407421</c:v>
                </c:pt>
                <c:pt idx="282">
                  <c:v>30.869432103385218</c:v>
                </c:pt>
                <c:pt idx="283">
                  <c:v>22.447340007345289</c:v>
                </c:pt>
                <c:pt idx="284">
                  <c:v>28.036070715372094</c:v>
                </c:pt>
                <c:pt idx="285">
                  <c:v>23.136713001202132</c:v>
                </c:pt>
                <c:pt idx="286">
                  <c:v>19.638354961424543</c:v>
                </c:pt>
                <c:pt idx="287">
                  <c:v>36.367196718356404</c:v>
                </c:pt>
                <c:pt idx="288">
                  <c:v>32.660290356870057</c:v>
                </c:pt>
                <c:pt idx="289">
                  <c:v>19.818501546025146</c:v>
                </c:pt>
                <c:pt idx="290">
                  <c:v>33.640840498439999</c:v>
                </c:pt>
                <c:pt idx="291">
                  <c:v>15.49532877918336</c:v>
                </c:pt>
                <c:pt idx="292">
                  <c:v>6.4192269475268029</c:v>
                </c:pt>
                <c:pt idx="293">
                  <c:v>16.257692081784615</c:v>
                </c:pt>
                <c:pt idx="294">
                  <c:v>32.4548928040725</c:v>
                </c:pt>
                <c:pt idx="295">
                  <c:v>16.912617794125921</c:v>
                </c:pt>
                <c:pt idx="296">
                  <c:v>25.068200611808926</c:v>
                </c:pt>
                <c:pt idx="297">
                  <c:v>21.6189696587013</c:v>
                </c:pt>
                <c:pt idx="298">
                  <c:v>13.550785657139109</c:v>
                </c:pt>
                <c:pt idx="299">
                  <c:v>14.473144156106233</c:v>
                </c:pt>
                <c:pt idx="300">
                  <c:v>17.090175314164703</c:v>
                </c:pt>
                <c:pt idx="301">
                  <c:v>26.835850944389655</c:v>
                </c:pt>
                <c:pt idx="302">
                  <c:v>22.198181401662431</c:v>
                </c:pt>
                <c:pt idx="303">
                  <c:v>21.670275438447376</c:v>
                </c:pt>
                <c:pt idx="304">
                  <c:v>23.050362112603324</c:v>
                </c:pt>
                <c:pt idx="305">
                  <c:v>27.701873379780807</c:v>
                </c:pt>
                <c:pt idx="306">
                  <c:v>9.5117847878560813</c:v>
                </c:pt>
                <c:pt idx="307">
                  <c:v>16.681138940719315</c:v>
                </c:pt>
                <c:pt idx="308">
                  <c:v>29.045950724342784</c:v>
                </c:pt>
                <c:pt idx="309">
                  <c:v>29.922739901172566</c:v>
                </c:pt>
                <c:pt idx="310">
                  <c:v>27.651953167670051</c:v>
                </c:pt>
                <c:pt idx="311">
                  <c:v>20.818045522993618</c:v>
                </c:pt>
                <c:pt idx="312">
                  <c:v>9.7340562028217672</c:v>
                </c:pt>
                <c:pt idx="313">
                  <c:v>20.213682863457024</c:v>
                </c:pt>
                <c:pt idx="314">
                  <c:v>27.375589432297321</c:v>
                </c:pt>
                <c:pt idx="315">
                  <c:v>27.420032676048084</c:v>
                </c:pt>
                <c:pt idx="316">
                  <c:v>26.485662801144272</c:v>
                </c:pt>
                <c:pt idx="317">
                  <c:v>9.3256972124042701</c:v>
                </c:pt>
                <c:pt idx="318">
                  <c:v>12.126089331691702</c:v>
                </c:pt>
                <c:pt idx="319">
                  <c:v>26.920493860999493</c:v>
                </c:pt>
                <c:pt idx="320">
                  <c:v>12.600396245403765</c:v>
                </c:pt>
                <c:pt idx="321">
                  <c:v>14.955561828657077</c:v>
                </c:pt>
                <c:pt idx="322">
                  <c:v>7.6589929943122952</c:v>
                </c:pt>
                <c:pt idx="323">
                  <c:v>15.307370118435763</c:v>
                </c:pt>
                <c:pt idx="324">
                  <c:v>3.2348438560347352</c:v>
                </c:pt>
                <c:pt idx="325">
                  <c:v>8.0413673887286823</c:v>
                </c:pt>
                <c:pt idx="326">
                  <c:v>12.051069573152345</c:v>
                </c:pt>
                <c:pt idx="327">
                  <c:v>13.26366822701711</c:v>
                </c:pt>
                <c:pt idx="328">
                  <c:v>5.1357082002201606</c:v>
                </c:pt>
                <c:pt idx="329">
                  <c:v>10.294377696126654</c:v>
                </c:pt>
                <c:pt idx="330">
                  <c:v>14.643193426497689</c:v>
                </c:pt>
                <c:pt idx="331">
                  <c:v>10.614218630132362</c:v>
                </c:pt>
                <c:pt idx="332">
                  <c:v>14.767757537995593</c:v>
                </c:pt>
                <c:pt idx="333">
                  <c:v>4.1142918381855251</c:v>
                </c:pt>
                <c:pt idx="334">
                  <c:v>3.5401646685580026</c:v>
                </c:pt>
                <c:pt idx="335">
                  <c:v>5.8704889411362071</c:v>
                </c:pt>
                <c:pt idx="336">
                  <c:v>8.7686413884867278</c:v>
                </c:pt>
                <c:pt idx="337">
                  <c:v>17.409553629850173</c:v>
                </c:pt>
                <c:pt idx="338">
                  <c:v>23.695581898276675</c:v>
                </c:pt>
                <c:pt idx="339">
                  <c:v>10.973960089318574</c:v>
                </c:pt>
                <c:pt idx="340">
                  <c:v>19.91135038947559</c:v>
                </c:pt>
                <c:pt idx="341">
                  <c:v>4.1105143949056879</c:v>
                </c:pt>
                <c:pt idx="342">
                  <c:v>4.9733385579623857</c:v>
                </c:pt>
                <c:pt idx="343">
                  <c:v>11.706615701171302</c:v>
                </c:pt>
                <c:pt idx="344">
                  <c:v>16.354188990898876</c:v>
                </c:pt>
                <c:pt idx="345">
                  <c:v>5.6954670063724739</c:v>
                </c:pt>
                <c:pt idx="346">
                  <c:v>5.406401478154879</c:v>
                </c:pt>
                <c:pt idx="347">
                  <c:v>17.154485207532378</c:v>
                </c:pt>
                <c:pt idx="348">
                  <c:v>5.6901100301554912</c:v>
                </c:pt>
                <c:pt idx="349">
                  <c:v>4.8484329922082301</c:v>
                </c:pt>
                <c:pt idx="350">
                  <c:v>3.5430659053052693</c:v>
                </c:pt>
                <c:pt idx="351">
                  <c:v>21.275227831163942</c:v>
                </c:pt>
                <c:pt idx="352">
                  <c:v>17.216712713804633</c:v>
                </c:pt>
                <c:pt idx="353">
                  <c:v>4.525859459247644</c:v>
                </c:pt>
                <c:pt idx="354">
                  <c:v>20.411525237367947</c:v>
                </c:pt>
                <c:pt idx="355">
                  <c:v>16.868434692180482</c:v>
                </c:pt>
                <c:pt idx="356">
                  <c:v>17.419762511025695</c:v>
                </c:pt>
                <c:pt idx="357">
                  <c:v>20.933935891853672</c:v>
                </c:pt>
                <c:pt idx="358">
                  <c:v>12.455338999729005</c:v>
                </c:pt>
                <c:pt idx="359">
                  <c:v>21.224309893564552</c:v>
                </c:pt>
                <c:pt idx="360">
                  <c:v>7.6487769100135257</c:v>
                </c:pt>
                <c:pt idx="361">
                  <c:v>20.386386528727247</c:v>
                </c:pt>
                <c:pt idx="362">
                  <c:v>10.021351207677094</c:v>
                </c:pt>
                <c:pt idx="363">
                  <c:v>13.194977228194016</c:v>
                </c:pt>
                <c:pt idx="364">
                  <c:v>12.244328583143044</c:v>
                </c:pt>
                <c:pt idx="365">
                  <c:v>15.416209120549466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6934672"/>
        <c:axId val="536935064"/>
      </c:lineChart>
      <c:dateAx>
        <c:axId val="536934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6935064"/>
        <c:crosses val="autoZero"/>
        <c:auto val="1"/>
        <c:lblOffset val="100"/>
        <c:baseTimeUnit val="days"/>
        <c:majorUnit val="1"/>
        <c:majorTimeUnit val="months"/>
      </c:dateAx>
      <c:valAx>
        <c:axId val="5369350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693467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4.3551568403062957E-2</c:v>
                </c:pt>
                <c:pt idx="1">
                  <c:v>4.3572517078375061E-2</c:v>
                </c:pt>
                <c:pt idx="2">
                  <c:v>4.3593465294857525E-2</c:v>
                </c:pt>
                <c:pt idx="3">
                  <c:v>4.3614413052520229E-2</c:v>
                </c:pt>
                <c:pt idx="4">
                  <c:v>4.3635360351373276E-2</c:v>
                </c:pt>
                <c:pt idx="5">
                  <c:v>4.3656307191426769E-2</c:v>
                </c:pt>
                <c:pt idx="6">
                  <c:v>4.3677253572690589E-2</c:v>
                </c:pt>
                <c:pt idx="7">
                  <c:v>4.3698199495175061E-2</c:v>
                </c:pt>
                <c:pt idx="8">
                  <c:v>4.3719144958889955E-2</c:v>
                </c:pt>
                <c:pt idx="9">
                  <c:v>4.3740089963845485E-2</c:v>
                </c:pt>
                <c:pt idx="10">
                  <c:v>4.3761034510051644E-2</c:v>
                </c:pt>
                <c:pt idx="11">
                  <c:v>4.3781978597518423E-2</c:v>
                </c:pt>
                <c:pt idx="12">
                  <c:v>4.3802922226256036E-2</c:v>
                </c:pt>
                <c:pt idx="13">
                  <c:v>4.3823865396274364E-2</c:v>
                </c:pt>
                <c:pt idx="14">
                  <c:v>4.3844808107583622E-2</c:v>
                </c:pt>
                <c:pt idx="15">
                  <c:v>4.3865750360193578E-2</c:v>
                </c:pt>
                <c:pt idx="16">
                  <c:v>4.3886692154114559E-2</c:v>
                </c:pt>
                <c:pt idx="17">
                  <c:v>4.3907633489356557E-2</c:v>
                </c:pt>
                <c:pt idx="18">
                  <c:v>4.3928574365929451E-2</c:v>
                </c:pt>
                <c:pt idx="19">
                  <c:v>4.3949514783843568E-2</c:v>
                </c:pt>
                <c:pt idx="20">
                  <c:v>4.3970454743108678E-2</c:v>
                </c:pt>
                <c:pt idx="21">
                  <c:v>4.3991394243734883E-2</c:v>
                </c:pt>
                <c:pt idx="22">
                  <c:v>4.4012333285732397E-2</c:v>
                </c:pt>
                <c:pt idx="23">
                  <c:v>4.4033271869111101E-2</c:v>
                </c:pt>
                <c:pt idx="24">
                  <c:v>4.4054209993881099E-2</c:v>
                </c:pt>
                <c:pt idx="25">
                  <c:v>4.4075147660052383E-2</c:v>
                </c:pt>
                <c:pt idx="26">
                  <c:v>4.4096084867635166E-2</c:v>
                </c:pt>
                <c:pt idx="27">
                  <c:v>4.4117021616639218E-2</c:v>
                </c:pt>
                <c:pt idx="28">
                  <c:v>4.4137957907074865E-2</c:v>
                </c:pt>
                <c:pt idx="29">
                  <c:v>4.4158893738951988E-2</c:v>
                </c:pt>
                <c:pt idx="30">
                  <c:v>4.4179829112280578E-2</c:v>
                </c:pt>
                <c:pt idx="31">
                  <c:v>4.4200764027070849E-2</c:v>
                </c:pt>
                <c:pt idx="32">
                  <c:v>4.4221698483332683E-2</c:v>
                </c:pt>
                <c:pt idx="33">
                  <c:v>4.4242632481076294E-2</c:v>
                </c:pt>
                <c:pt idx="34">
                  <c:v>4.4263566020311562E-2</c:v>
                </c:pt>
                <c:pt idx="35">
                  <c:v>4.4284499101048591E-2</c:v>
                </c:pt>
                <c:pt idx="36">
                  <c:v>4.4305431723297484E-2</c:v>
                </c:pt>
                <c:pt idx="37">
                  <c:v>4.4326363887068232E-2</c:v>
                </c:pt>
                <c:pt idx="38">
                  <c:v>4.4347295592370828E-2</c:v>
                </c:pt>
                <c:pt idx="39">
                  <c:v>4.4368226839215374E-2</c:v>
                </c:pt>
                <c:pt idx="40">
                  <c:v>4.4389157627611864E-2</c:v>
                </c:pt>
                <c:pt idx="41">
                  <c:v>4.4410087957570399E-2</c:v>
                </c:pt>
                <c:pt idx="42">
                  <c:v>4.4431017829100972E-2</c:v>
                </c:pt>
                <c:pt idx="43">
                  <c:v>4.4451947242213685E-2</c:v>
                </c:pt>
                <c:pt idx="44">
                  <c:v>4.4472876196918532E-2</c:v>
                </c:pt>
                <c:pt idx="45">
                  <c:v>4.4493804693225503E-2</c:v>
                </c:pt>
                <c:pt idx="46">
                  <c:v>4.4514732731144702E-2</c:v>
                </c:pt>
                <c:pt idx="47">
                  <c:v>4.4535660310686231E-2</c:v>
                </c:pt>
                <c:pt idx="48">
                  <c:v>4.4556587431859973E-2</c:v>
                </c:pt>
                <c:pt idx="49">
                  <c:v>4.4577514094676141E-2</c:v>
                </c:pt>
                <c:pt idx="50">
                  <c:v>4.4598440299144615E-2</c:v>
                </c:pt>
                <c:pt idx="51">
                  <c:v>4.4619366045275499E-2</c:v>
                </c:pt>
                <c:pt idx="52">
                  <c:v>4.4640291333078896E-2</c:v>
                </c:pt>
                <c:pt idx="53">
                  <c:v>4.4661216162564799E-2</c:v>
                </c:pt>
                <c:pt idx="54">
                  <c:v>4.4682140533743198E-2</c:v>
                </c:pt>
                <c:pt idx="55">
                  <c:v>4.4703064446624086E-2</c:v>
                </c:pt>
                <c:pt idx="56">
                  <c:v>4.4723987901217677E-2</c:v>
                </c:pt>
                <c:pt idx="57">
                  <c:v>4.4744910897533963E-2</c:v>
                </c:pt>
                <c:pt idx="58">
                  <c:v>4.4765833435582825E-2</c:v>
                </c:pt>
                <c:pt idx="59">
                  <c:v>4.4786755515374477E-2</c:v>
                </c:pt>
                <c:pt idx="60">
                  <c:v>4.48076771369188E-2</c:v>
                </c:pt>
                <c:pt idx="61">
                  <c:v>4.4828598300226008E-2</c:v>
                </c:pt>
                <c:pt idx="62">
                  <c:v>4.4849519005305982E-2</c:v>
                </c:pt>
                <c:pt idx="63">
                  <c:v>4.4870439252168937E-2</c:v>
                </c:pt>
                <c:pt idx="64">
                  <c:v>4.4891359040824641E-2</c:v>
                </c:pt>
                <c:pt idx="65">
                  <c:v>4.4912278371283421E-2</c:v>
                </c:pt>
                <c:pt idx="66">
                  <c:v>4.4933197243555045E-2</c:v>
                </c:pt>
                <c:pt idx="67">
                  <c:v>4.4954115657649729E-2</c:v>
                </c:pt>
                <c:pt idx="68">
                  <c:v>4.4975033613577575E-2</c:v>
                </c:pt>
                <c:pt idx="69">
                  <c:v>4.4995951111348353E-2</c:v>
                </c:pt>
                <c:pt idx="70">
                  <c:v>4.5016868150972278E-2</c:v>
                </c:pt>
                <c:pt idx="71">
                  <c:v>4.5037784732459341E-2</c:v>
                </c:pt>
                <c:pt idx="72">
                  <c:v>4.5058700855819644E-2</c:v>
                </c:pt>
                <c:pt idx="73">
                  <c:v>4.5079616521063182E-2</c:v>
                </c:pt>
                <c:pt idx="74">
                  <c:v>4.5100531728199944E-2</c:v>
                </c:pt>
                <c:pt idx="75">
                  <c:v>4.5121446477239924E-2</c:v>
                </c:pt>
                <c:pt idx="76">
                  <c:v>4.5142360768193335E-2</c:v>
                </c:pt>
                <c:pt idx="77">
                  <c:v>4.5163274601070058E-2</c:v>
                </c:pt>
                <c:pt idx="78">
                  <c:v>4.5184187975880086E-2</c:v>
                </c:pt>
                <c:pt idx="79">
                  <c:v>4.5205100892633632E-2</c:v>
                </c:pt>
                <c:pt idx="80">
                  <c:v>4.5226013351340577E-2</c:v>
                </c:pt>
                <c:pt idx="81">
                  <c:v>4.5246925352011025E-2</c:v>
                </c:pt>
                <c:pt idx="82">
                  <c:v>4.5267836894654967E-2</c:v>
                </c:pt>
                <c:pt idx="83">
                  <c:v>4.5288747979282507E-2</c:v>
                </c:pt>
                <c:pt idx="84">
                  <c:v>4.5309658605903635E-2</c:v>
                </c:pt>
                <c:pt idx="85">
                  <c:v>4.5330568774528346E-2</c:v>
                </c:pt>
                <c:pt idx="86">
                  <c:v>4.535147848516663E-2</c:v>
                </c:pt>
                <c:pt idx="87">
                  <c:v>4.5372387737828701E-2</c:v>
                </c:pt>
                <c:pt idx="88">
                  <c:v>4.5393296532524441E-2</c:v>
                </c:pt>
                <c:pt idx="89">
                  <c:v>4.5414204869263841E-2</c:v>
                </c:pt>
                <c:pt idx="90">
                  <c:v>4.5435112748057116E-2</c:v>
                </c:pt>
                <c:pt idx="91">
                  <c:v>4.5456020168914146E-2</c:v>
                </c:pt>
                <c:pt idx="92">
                  <c:v>4.5476927131844924E-2</c:v>
                </c:pt>
                <c:pt idx="93">
                  <c:v>4.5497833636859664E-2</c:v>
                </c:pt>
                <c:pt idx="94">
                  <c:v>4.5518739683968246E-2</c:v>
                </c:pt>
                <c:pt idx="95">
                  <c:v>4.5539645273180773E-2</c:v>
                </c:pt>
                <c:pt idx="96">
                  <c:v>4.5560550404507238E-2</c:v>
                </c:pt>
                <c:pt idx="97">
                  <c:v>4.5581455077957633E-2</c:v>
                </c:pt>
                <c:pt idx="98">
                  <c:v>4.5602359293542061E-2</c:v>
                </c:pt>
                <c:pt idx="99">
                  <c:v>4.5623263051270513E-2</c:v>
                </c:pt>
                <c:pt idx="100">
                  <c:v>4.5644166351152982E-2</c:v>
                </c:pt>
                <c:pt idx="101">
                  <c:v>4.566506919319957E-2</c:v>
                </c:pt>
                <c:pt idx="102">
                  <c:v>4.568597157742027E-2</c:v>
                </c:pt>
                <c:pt idx="103">
                  <c:v>4.5706873503825074E-2</c:v>
                </c:pt>
                <c:pt idx="104">
                  <c:v>4.5727774972424085E-2</c:v>
                </c:pt>
                <c:pt idx="105">
                  <c:v>4.5748675983227294E-2</c:v>
                </c:pt>
                <c:pt idx="106">
                  <c:v>4.5769576536244805E-2</c:v>
                </c:pt>
                <c:pt idx="107">
                  <c:v>4.5790476631486499E-2</c:v>
                </c:pt>
                <c:pt idx="108">
                  <c:v>4.5811376268962367E-2</c:v>
                </c:pt>
                <c:pt idx="109">
                  <c:v>4.5832275448682624E-2</c:v>
                </c:pt>
                <c:pt idx="110">
                  <c:v>4.5853174170657263E-2</c:v>
                </c:pt>
                <c:pt idx="111">
                  <c:v>4.5874072434896163E-2</c:v>
                </c:pt>
                <c:pt idx="112">
                  <c:v>4.5894970241409538E-2</c:v>
                </c:pt>
                <c:pt idx="113">
                  <c:v>4.5915867590207271E-2</c:v>
                </c:pt>
                <c:pt idx="114">
                  <c:v>4.5936764481299353E-2</c:v>
                </c:pt>
                <c:pt idx="115">
                  <c:v>4.5957660914695997E-2</c:v>
                </c:pt>
                <c:pt idx="116">
                  <c:v>4.5978556890407085E-2</c:v>
                </c:pt>
                <c:pt idx="117">
                  <c:v>4.599945240844272E-2</c:v>
                </c:pt>
                <c:pt idx="118">
                  <c:v>4.6020347468812783E-2</c:v>
                </c:pt>
                <c:pt idx="119">
                  <c:v>4.6041242071527488E-2</c:v>
                </c:pt>
                <c:pt idx="120">
                  <c:v>4.6062136216596716E-2</c:v>
                </c:pt>
                <c:pt idx="121">
                  <c:v>4.608302990403057E-2</c:v>
                </c:pt>
                <c:pt idx="122">
                  <c:v>4.6103923133839042E-2</c:v>
                </c:pt>
                <c:pt idx="123">
                  <c:v>4.6124815906032124E-2</c:v>
                </c:pt>
                <c:pt idx="124">
                  <c:v>4.6145708220619919E-2</c:v>
                </c:pt>
                <c:pt idx="125">
                  <c:v>4.6166600077612419E-2</c:v>
                </c:pt>
                <c:pt idx="126">
                  <c:v>4.6187491477019615E-2</c:v>
                </c:pt>
                <c:pt idx="127">
                  <c:v>4.6208382418851501E-2</c:v>
                </c:pt>
                <c:pt idx="128">
                  <c:v>4.6229272903118179E-2</c:v>
                </c:pt>
                <c:pt idx="129">
                  <c:v>4.6250162929829641E-2</c:v>
                </c:pt>
                <c:pt idx="130">
                  <c:v>4.627105249899599E-2</c:v>
                </c:pt>
                <c:pt idx="131">
                  <c:v>4.6291941610626997E-2</c:v>
                </c:pt>
                <c:pt idx="132">
                  <c:v>4.6312830264732985E-2</c:v>
                </c:pt>
                <c:pt idx="133">
                  <c:v>4.6333718461323725E-2</c:v>
                </c:pt>
                <c:pt idx="134">
                  <c:v>4.6354606200409432E-2</c:v>
                </c:pt>
                <c:pt idx="135">
                  <c:v>4.6375493482000096E-2</c:v>
                </c:pt>
                <c:pt idx="136">
                  <c:v>4.63963803061056E-2</c:v>
                </c:pt>
                <c:pt idx="137">
                  <c:v>4.6417266672736046E-2</c:v>
                </c:pt>
                <c:pt idx="138">
                  <c:v>4.6438152581901537E-2</c:v>
                </c:pt>
                <c:pt idx="139">
                  <c:v>4.6459038033611955E-2</c:v>
                </c:pt>
                <c:pt idx="140">
                  <c:v>4.6479923027877401E-2</c:v>
                </c:pt>
                <c:pt idx="141">
                  <c:v>4.6500807564707758E-2</c:v>
                </c:pt>
                <c:pt idx="142">
                  <c:v>4.652169164411335E-2</c:v>
                </c:pt>
                <c:pt idx="143">
                  <c:v>4.6542575266103836E-2</c:v>
                </c:pt>
                <c:pt idx="144">
                  <c:v>4.6563458430689542E-2</c:v>
                </c:pt>
                <c:pt idx="145">
                  <c:v>4.6584341137880236E-2</c:v>
                </c:pt>
                <c:pt idx="146">
                  <c:v>4.6605223387686134E-2</c:v>
                </c:pt>
                <c:pt idx="147">
                  <c:v>4.6626105180117117E-2</c:v>
                </c:pt>
                <c:pt idx="148">
                  <c:v>4.6646986515183286E-2</c:v>
                </c:pt>
                <c:pt idx="149">
                  <c:v>4.6667867392894635E-2</c:v>
                </c:pt>
                <c:pt idx="150">
                  <c:v>4.6688747813261156E-2</c:v>
                </c:pt>
                <c:pt idx="151">
                  <c:v>4.6709627776292839E-2</c:v>
                </c:pt>
                <c:pt idx="152">
                  <c:v>4.6730507281999789E-2</c:v>
                </c:pt>
                <c:pt idx="153">
                  <c:v>4.6751386330391997E-2</c:v>
                </c:pt>
                <c:pt idx="154">
                  <c:v>4.6772264921479456E-2</c:v>
                </c:pt>
                <c:pt idx="155">
                  <c:v>4.6793143055272157E-2</c:v>
                </c:pt>
                <c:pt idx="156">
                  <c:v>4.6814020731780204E-2</c:v>
                </c:pt>
                <c:pt idx="157">
                  <c:v>4.6834897951013477E-2</c:v>
                </c:pt>
                <c:pt idx="158">
                  <c:v>4.6855774712982079E-2</c:v>
                </c:pt>
                <c:pt idx="159">
                  <c:v>4.6876651017696003E-2</c:v>
                </c:pt>
                <c:pt idx="160">
                  <c:v>4.6897526865165351E-2</c:v>
                </c:pt>
                <c:pt idx="161">
                  <c:v>4.6918402255400005E-2</c:v>
                </c:pt>
                <c:pt idx="162">
                  <c:v>4.6939277188410067E-2</c:v>
                </c:pt>
                <c:pt idx="163">
                  <c:v>4.6960151664205529E-2</c:v>
                </c:pt>
                <c:pt idx="164">
                  <c:v>4.6981025682796385E-2</c:v>
                </c:pt>
                <c:pt idx="165">
                  <c:v>4.7001899244192624E-2</c:v>
                </c:pt>
                <c:pt idx="166">
                  <c:v>4.7022772348404351E-2</c:v>
                </c:pt>
                <c:pt idx="167">
                  <c:v>4.7043644995441447E-2</c:v>
                </c:pt>
                <c:pt idx="168">
                  <c:v>4.7064517185314125E-2</c:v>
                </c:pt>
                <c:pt idx="169">
                  <c:v>4.7085388918032156E-2</c:v>
                </c:pt>
                <c:pt idx="170">
                  <c:v>4.7106260193605753E-2</c:v>
                </c:pt>
                <c:pt idx="171">
                  <c:v>4.7127131012044798E-2</c:v>
                </c:pt>
                <c:pt idx="172">
                  <c:v>4.7148001373359394E-2</c:v>
                </c:pt>
                <c:pt idx="173">
                  <c:v>4.7168871277559532E-2</c:v>
                </c:pt>
                <c:pt idx="174">
                  <c:v>4.7189740724655205E-2</c:v>
                </c:pt>
                <c:pt idx="175">
                  <c:v>4.7210609714656404E-2</c:v>
                </c:pt>
                <c:pt idx="176">
                  <c:v>4.7231478247573122E-2</c:v>
                </c:pt>
                <c:pt idx="177">
                  <c:v>4.7252346323415462E-2</c:v>
                </c:pt>
                <c:pt idx="178">
                  <c:v>4.7273213942193415E-2</c:v>
                </c:pt>
                <c:pt idx="179">
                  <c:v>4.7294081103916863E-2</c:v>
                </c:pt>
                <c:pt idx="180">
                  <c:v>4.731494780859602E-2</c:v>
                </c:pt>
                <c:pt idx="181">
                  <c:v>4.7335814056240766E-2</c:v>
                </c:pt>
                <c:pt idx="182">
                  <c:v>4.7356679846861094E-2</c:v>
                </c:pt>
                <c:pt idx="183">
                  <c:v>4.7377545180467107E-2</c:v>
                </c:pt>
                <c:pt idx="184">
                  <c:v>4.7398410057068685E-2</c:v>
                </c:pt>
                <c:pt idx="185">
                  <c:v>4.7419274476675932E-2</c:v>
                </c:pt>
                <c:pt idx="186">
                  <c:v>4.7440138439298951E-2</c:v>
                </c:pt>
                <c:pt idx="187">
                  <c:v>4.7461001944947512E-2</c:v>
                </c:pt>
                <c:pt idx="188">
                  <c:v>4.7481864993631828E-2</c:v>
                </c:pt>
                <c:pt idx="189">
                  <c:v>4.7502727585361781E-2</c:v>
                </c:pt>
                <c:pt idx="190">
                  <c:v>4.7523589720147474E-2</c:v>
                </c:pt>
                <c:pt idx="191">
                  <c:v>4.7544451397998899E-2</c:v>
                </c:pt>
                <c:pt idx="192">
                  <c:v>4.7565312618926048E-2</c:v>
                </c:pt>
                <c:pt idx="193">
                  <c:v>4.7586173382938912E-2</c:v>
                </c:pt>
                <c:pt idx="194">
                  <c:v>4.7607033690047484E-2</c:v>
                </c:pt>
                <c:pt idx="195">
                  <c:v>4.7627893540261756E-2</c:v>
                </c:pt>
                <c:pt idx="196">
                  <c:v>4.7648752933591831E-2</c:v>
                </c:pt>
                <c:pt idx="197">
                  <c:v>4.766961187004759E-2</c:v>
                </c:pt>
                <c:pt idx="198">
                  <c:v>4.7690470349639136E-2</c:v>
                </c:pt>
                <c:pt idx="199">
                  <c:v>4.771132837237646E-2</c:v>
                </c:pt>
                <c:pt idx="200">
                  <c:v>4.7732185938269556E-2</c:v>
                </c:pt>
                <c:pt idx="201">
                  <c:v>4.7753043047328414E-2</c:v>
                </c:pt>
                <c:pt idx="202">
                  <c:v>4.7773899699563138E-2</c:v>
                </c:pt>
                <c:pt idx="203">
                  <c:v>4.7794755894983498E-2</c:v>
                </c:pt>
                <c:pt idx="204">
                  <c:v>4.7815611633599708E-2</c:v>
                </c:pt>
                <c:pt idx="205">
                  <c:v>4.783646691542176E-2</c:v>
                </c:pt>
                <c:pt idx="206">
                  <c:v>4.7857321740459646E-2</c:v>
                </c:pt>
                <c:pt idx="207">
                  <c:v>4.7878176108723247E-2</c:v>
                </c:pt>
                <c:pt idx="208">
                  <c:v>4.7899030020222777E-2</c:v>
                </c:pt>
                <c:pt idx="209">
                  <c:v>4.7919883474968006E-2</c:v>
                </c:pt>
                <c:pt idx="210">
                  <c:v>4.7940736472969148E-2</c:v>
                </c:pt>
                <c:pt idx="211">
                  <c:v>4.7961589014236083E-2</c:v>
                </c:pt>
                <c:pt idx="212">
                  <c:v>4.7982441098778805E-2</c:v>
                </c:pt>
                <c:pt idx="213">
                  <c:v>4.8003292726607416E-2</c:v>
                </c:pt>
                <c:pt idx="214">
                  <c:v>4.8024143897731908E-2</c:v>
                </c:pt>
                <c:pt idx="215">
                  <c:v>4.8044994612162162E-2</c:v>
                </c:pt>
                <c:pt idx="216">
                  <c:v>4.8065844869908281E-2</c:v>
                </c:pt>
                <c:pt idx="217">
                  <c:v>4.8086694670980257E-2</c:v>
                </c:pt>
                <c:pt idx="218">
                  <c:v>4.8107544015387971E-2</c:v>
                </c:pt>
                <c:pt idx="219">
                  <c:v>4.8128392903141637E-2</c:v>
                </c:pt>
                <c:pt idx="220">
                  <c:v>4.8149241334251136E-2</c:v>
                </c:pt>
                <c:pt idx="221">
                  <c:v>4.8170089308726571E-2</c:v>
                </c:pt>
                <c:pt idx="222">
                  <c:v>4.8190936826577713E-2</c:v>
                </c:pt>
                <c:pt idx="223">
                  <c:v>4.8211783887814774E-2</c:v>
                </c:pt>
                <c:pt idx="224">
                  <c:v>4.8232630492447748E-2</c:v>
                </c:pt>
                <c:pt idx="225">
                  <c:v>4.8253476640486515E-2</c:v>
                </c:pt>
                <c:pt idx="226">
                  <c:v>4.8274322331941177E-2</c:v>
                </c:pt>
                <c:pt idx="227">
                  <c:v>4.8295167566821617E-2</c:v>
                </c:pt>
                <c:pt idx="228">
                  <c:v>4.8316012345137938E-2</c:v>
                </c:pt>
                <c:pt idx="229">
                  <c:v>4.8336856666900241E-2</c:v>
                </c:pt>
                <c:pt idx="230">
                  <c:v>4.8357700532118297E-2</c:v>
                </c:pt>
                <c:pt idx="231">
                  <c:v>4.837854394080221E-2</c:v>
                </c:pt>
                <c:pt idx="232">
                  <c:v>4.8399386892961971E-2</c:v>
                </c:pt>
                <c:pt idx="233">
                  <c:v>4.8420229388607572E-2</c:v>
                </c:pt>
                <c:pt idx="234">
                  <c:v>4.8441071427749116E-2</c:v>
                </c:pt>
                <c:pt idx="235">
                  <c:v>4.8461913010396485E-2</c:v>
                </c:pt>
                <c:pt idx="236">
                  <c:v>4.8482754136559669E-2</c:v>
                </c:pt>
                <c:pt idx="237">
                  <c:v>4.8503594806248662E-2</c:v>
                </c:pt>
                <c:pt idx="238">
                  <c:v>4.8524435019473566E-2</c:v>
                </c:pt>
                <c:pt idx="239">
                  <c:v>4.8545274776244374E-2</c:v>
                </c:pt>
                <c:pt idx="240">
                  <c:v>4.8566114076570854E-2</c:v>
                </c:pt>
                <c:pt idx="241">
                  <c:v>4.8586952920463333E-2</c:v>
                </c:pt>
                <c:pt idx="242">
                  <c:v>4.860779130793158E-2</c:v>
                </c:pt>
                <c:pt idx="243">
                  <c:v>4.8628629238985699E-2</c:v>
                </c:pt>
                <c:pt idx="244">
                  <c:v>4.864946671363557E-2</c:v>
                </c:pt>
                <c:pt idx="245">
                  <c:v>4.8670303731891407E-2</c:v>
                </c:pt>
                <c:pt idx="246">
                  <c:v>4.869114029376298E-2</c:v>
                </c:pt>
                <c:pt idx="247">
                  <c:v>4.8711976399260282E-2</c:v>
                </c:pt>
                <c:pt idx="248">
                  <c:v>4.8732812048393526E-2</c:v>
                </c:pt>
                <c:pt idx="249">
                  <c:v>4.8753647241172593E-2</c:v>
                </c:pt>
                <c:pt idx="250">
                  <c:v>4.8774481977607365E-2</c:v>
                </c:pt>
                <c:pt idx="251">
                  <c:v>4.8795316257708055E-2</c:v>
                </c:pt>
                <c:pt idx="252">
                  <c:v>4.8816150081484433E-2</c:v>
                </c:pt>
                <c:pt idx="253">
                  <c:v>4.8836983448946714E-2</c:v>
                </c:pt>
                <c:pt idx="254">
                  <c:v>4.8857816360104667E-2</c:v>
                </c:pt>
                <c:pt idx="255">
                  <c:v>4.8878648814968395E-2</c:v>
                </c:pt>
                <c:pt idx="256">
                  <c:v>4.8899480813548002E-2</c:v>
                </c:pt>
                <c:pt idx="257">
                  <c:v>4.8920312355853368E-2</c:v>
                </c:pt>
                <c:pt idx="258">
                  <c:v>4.8941143441894375E-2</c:v>
                </c:pt>
                <c:pt idx="259">
                  <c:v>4.8961974071681236E-2</c:v>
                </c:pt>
                <c:pt idx="260">
                  <c:v>4.8982804245223832E-2</c:v>
                </c:pt>
                <c:pt idx="261">
                  <c:v>4.9003633962532156E-2</c:v>
                </c:pt>
                <c:pt idx="262">
                  <c:v>4.9024463223616199E-2</c:v>
                </c:pt>
                <c:pt idx="263">
                  <c:v>4.9045292028485954E-2</c:v>
                </c:pt>
                <c:pt idx="264">
                  <c:v>4.9066120377151412E-2</c:v>
                </c:pt>
                <c:pt idx="265">
                  <c:v>4.9086948269622677E-2</c:v>
                </c:pt>
                <c:pt idx="266">
                  <c:v>4.9107775705909629E-2</c:v>
                </c:pt>
                <c:pt idx="267">
                  <c:v>4.9128602686022149E-2</c:v>
                </c:pt>
                <c:pt idx="268">
                  <c:v>4.9149429209970452E-2</c:v>
                </c:pt>
                <c:pt idx="269">
                  <c:v>4.9170255277764419E-2</c:v>
                </c:pt>
                <c:pt idx="270">
                  <c:v>4.9191080889414041E-2</c:v>
                </c:pt>
                <c:pt idx="271">
                  <c:v>4.921190604492931E-2</c:v>
                </c:pt>
                <c:pt idx="272">
                  <c:v>4.923273074432033E-2</c:v>
                </c:pt>
                <c:pt idx="273">
                  <c:v>4.925355498759687E-2</c:v>
                </c:pt>
                <c:pt idx="274">
                  <c:v>4.9274378774769034E-2</c:v>
                </c:pt>
                <c:pt idx="275">
                  <c:v>4.9295202105846925E-2</c:v>
                </c:pt>
                <c:pt idx="276">
                  <c:v>4.9316024980840312E-2</c:v>
                </c:pt>
                <c:pt idx="277">
                  <c:v>4.9336847399759298E-2</c:v>
                </c:pt>
                <c:pt idx="278">
                  <c:v>4.9357669362613987E-2</c:v>
                </c:pt>
                <c:pt idx="279">
                  <c:v>4.9378490869414149E-2</c:v>
                </c:pt>
                <c:pt idx="280">
                  <c:v>4.9399311920169886E-2</c:v>
                </c:pt>
                <c:pt idx="281">
                  <c:v>4.9420132514891191E-2</c:v>
                </c:pt>
                <c:pt idx="282">
                  <c:v>4.9440952653588055E-2</c:v>
                </c:pt>
                <c:pt idx="283">
                  <c:v>4.946177233627036E-2</c:v>
                </c:pt>
                <c:pt idx="284">
                  <c:v>4.9482591562948319E-2</c:v>
                </c:pt>
                <c:pt idx="285">
                  <c:v>4.9503410333631703E-2</c:v>
                </c:pt>
                <c:pt idx="286">
                  <c:v>4.9524228648330615E-2</c:v>
                </c:pt>
                <c:pt idx="287">
                  <c:v>4.9545046507054935E-2</c:v>
                </c:pt>
                <c:pt idx="288">
                  <c:v>4.9565863909814767E-2</c:v>
                </c:pt>
                <c:pt idx="289">
                  <c:v>4.9586680856620102E-2</c:v>
                </c:pt>
                <c:pt idx="290">
                  <c:v>4.9607497347480822E-2</c:v>
                </c:pt>
                <c:pt idx="291">
                  <c:v>4.9628313382406919E-2</c:v>
                </c:pt>
                <c:pt idx="292">
                  <c:v>4.9649128961408495E-2</c:v>
                </c:pt>
                <c:pt idx="293">
                  <c:v>4.9669944084495432E-2</c:v>
                </c:pt>
                <c:pt idx="294">
                  <c:v>4.9690758751677833E-2</c:v>
                </c:pt>
                <c:pt idx="295">
                  <c:v>4.9711572962965467E-2</c:v>
                </c:pt>
                <c:pt idx="296">
                  <c:v>4.9732386718368549E-2</c:v>
                </c:pt>
                <c:pt idx="297">
                  <c:v>4.9753200017896959E-2</c:v>
                </c:pt>
                <c:pt idx="298">
                  <c:v>4.977401286156069E-2</c:v>
                </c:pt>
                <c:pt idx="299">
                  <c:v>4.9794825249369734E-2</c:v>
                </c:pt>
                <c:pt idx="300">
                  <c:v>4.9815637181334083E-2</c:v>
                </c:pt>
                <c:pt idx="301">
                  <c:v>4.9836448657463728E-2</c:v>
                </c:pt>
                <c:pt idx="302">
                  <c:v>4.9857259677768551E-2</c:v>
                </c:pt>
                <c:pt idx="303">
                  <c:v>4.9878070242258654E-2</c:v>
                </c:pt>
                <c:pt idx="304">
                  <c:v>4.989888035094403E-2</c:v>
                </c:pt>
                <c:pt idx="305">
                  <c:v>4.991969000383456E-2</c:v>
                </c:pt>
                <c:pt idx="306">
                  <c:v>4.9940499200940347E-2</c:v>
                </c:pt>
                <c:pt idx="307">
                  <c:v>4.9961307942271271E-2</c:v>
                </c:pt>
                <c:pt idx="308">
                  <c:v>4.9982116227837436E-2</c:v>
                </c:pt>
                <c:pt idx="309">
                  <c:v>5.0002924057648612E-2</c:v>
                </c:pt>
                <c:pt idx="310">
                  <c:v>5.0023731431715013E-2</c:v>
                </c:pt>
                <c:pt idx="311">
                  <c:v>5.0044538350046408E-2</c:v>
                </c:pt>
                <c:pt idx="312">
                  <c:v>5.0065344812653012E-2</c:v>
                </c:pt>
                <c:pt idx="313">
                  <c:v>5.0086150819544595E-2</c:v>
                </c:pt>
                <c:pt idx="314">
                  <c:v>5.010695637073137E-2</c:v>
                </c:pt>
                <c:pt idx="315">
                  <c:v>5.0127761466222998E-2</c:v>
                </c:pt>
                <c:pt idx="316">
                  <c:v>5.0148566106029802E-2</c:v>
                </c:pt>
                <c:pt idx="317">
                  <c:v>5.0169370290161441E-2</c:v>
                </c:pt>
                <c:pt idx="318">
                  <c:v>5.0190174018628131E-2</c:v>
                </c:pt>
                <c:pt idx="319">
                  <c:v>5.0210977291439862E-2</c:v>
                </c:pt>
                <c:pt idx="320">
                  <c:v>5.0231780108606405E-2</c:v>
                </c:pt>
                <c:pt idx="321">
                  <c:v>5.0252582470137974E-2</c:v>
                </c:pt>
                <c:pt idx="322">
                  <c:v>5.0273384376044339E-2</c:v>
                </c:pt>
                <c:pt idx="323">
                  <c:v>5.0294185826335602E-2</c:v>
                </c:pt>
                <c:pt idx="324">
                  <c:v>5.0314986821021757E-2</c:v>
                </c:pt>
                <c:pt idx="325">
                  <c:v>5.0335787360112683E-2</c:v>
                </c:pt>
                <c:pt idx="326">
                  <c:v>5.0356587443618483E-2</c:v>
                </c:pt>
                <c:pt idx="327">
                  <c:v>5.037738707154904E-2</c:v>
                </c:pt>
                <c:pt idx="328">
                  <c:v>5.0398186243914345E-2</c:v>
                </c:pt>
                <c:pt idx="329">
                  <c:v>5.0418984960724389E-2</c:v>
                </c:pt>
                <c:pt idx="330">
                  <c:v>5.0439783221989165E-2</c:v>
                </c:pt>
                <c:pt idx="331">
                  <c:v>5.0460581027718665E-2</c:v>
                </c:pt>
                <c:pt idx="332">
                  <c:v>5.0481378377922881E-2</c:v>
                </c:pt>
                <c:pt idx="333">
                  <c:v>5.0502175272611693E-2</c:v>
                </c:pt>
                <c:pt idx="334">
                  <c:v>5.0522971711795095E-2</c:v>
                </c:pt>
                <c:pt idx="335">
                  <c:v>5.0543767695483188E-2</c:v>
                </c:pt>
                <c:pt idx="336">
                  <c:v>5.0564563223685854E-2</c:v>
                </c:pt>
                <c:pt idx="337">
                  <c:v>5.0585358296413085E-2</c:v>
                </c:pt>
                <c:pt idx="338">
                  <c:v>5.0606152913674873E-2</c:v>
                </c:pt>
                <c:pt idx="339">
                  <c:v>5.0626947075481099E-2</c:v>
                </c:pt>
                <c:pt idx="340">
                  <c:v>5.0647740781841866E-2</c:v>
                </c:pt>
                <c:pt idx="341">
                  <c:v>5.0668534032767054E-2</c:v>
                </c:pt>
                <c:pt idx="342">
                  <c:v>5.0689326828266767E-2</c:v>
                </c:pt>
                <c:pt idx="343">
                  <c:v>5.0710119168350776E-2</c:v>
                </c:pt>
                <c:pt idx="344">
                  <c:v>5.0730911053029293E-2</c:v>
                </c:pt>
                <c:pt idx="345">
                  <c:v>5.0751702482312089E-2</c:v>
                </c:pt>
                <c:pt idx="346">
                  <c:v>5.0772493456209267E-2</c:v>
                </c:pt>
                <c:pt idx="347">
                  <c:v>5.0793283974730818E-2</c:v>
                </c:pt>
                <c:pt idx="348">
                  <c:v>5.0814074037886514E-2</c:v>
                </c:pt>
                <c:pt idx="349">
                  <c:v>5.0834863645686568E-2</c:v>
                </c:pt>
                <c:pt idx="350">
                  <c:v>5.085565279814086E-2</c:v>
                </c:pt>
                <c:pt idx="351">
                  <c:v>5.0876441495259384E-2</c:v>
                </c:pt>
                <c:pt idx="352">
                  <c:v>5.0897229737052019E-2</c:v>
                </c:pt>
                <c:pt idx="353">
                  <c:v>5.0918017523528758E-2</c:v>
                </c:pt>
                <c:pt idx="354">
                  <c:v>5.0938804854699704E-2</c:v>
                </c:pt>
                <c:pt idx="355">
                  <c:v>5.0959591730574738E-2</c:v>
                </c:pt>
                <c:pt idx="356">
                  <c:v>5.0980378151163852E-2</c:v>
                </c:pt>
                <c:pt idx="357">
                  <c:v>5.1001164116477038E-2</c:v>
                </c:pt>
                <c:pt idx="358">
                  <c:v>5.1021949626524177E-2</c:v>
                </c:pt>
                <c:pt idx="359">
                  <c:v>5.104273468131526E-2</c:v>
                </c:pt>
                <c:pt idx="360">
                  <c:v>5.1063519280860392E-2</c:v>
                </c:pt>
                <c:pt idx="361">
                  <c:v>5.1084303425169453E-2</c:v>
                </c:pt>
                <c:pt idx="362">
                  <c:v>5.1105087114252323E-2</c:v>
                </c:pt>
                <c:pt idx="363">
                  <c:v>5.1125870348119107E-2</c:v>
                </c:pt>
                <c:pt idx="364">
                  <c:v>5.1146653126779795E-2</c:v>
                </c:pt>
                <c:pt idx="365">
                  <c:v>5.116743545024427E-2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6.7999249298888037E-2</c:v>
                </c:pt>
                <c:pt idx="1">
                  <c:v>6.8034925756595296E-2</c:v>
                </c:pt>
                <c:pt idx="2">
                  <c:v>6.8070717254593266E-2</c:v>
                </c:pt>
                <c:pt idx="3">
                  <c:v>6.8106608149384559E-2</c:v>
                </c:pt>
                <c:pt idx="4">
                  <c:v>6.81425848182588E-2</c:v>
                </c:pt>
                <c:pt idx="5">
                  <c:v>6.8178635598440729E-2</c:v>
                </c:pt>
                <c:pt idx="6">
                  <c:v>6.8214750710991548E-2</c:v>
                </c:pt>
                <c:pt idx="7">
                  <c:v>6.8250922170709868E-2</c:v>
                </c:pt>
                <c:pt idx="8">
                  <c:v>6.8287143683381693E-2</c:v>
                </c:pt>
                <c:pt idx="9">
                  <c:v>6.8323410531816217E-2</c:v>
                </c:pt>
                <c:pt idx="10">
                  <c:v>6.8359719452178655E-2</c:v>
                </c:pt>
                <c:pt idx="11">
                  <c:v>6.8396068502186796E-2</c:v>
                </c:pt>
                <c:pt idx="12">
                  <c:v>6.8432456922780951E-2</c:v>
                </c:pt>
                <c:pt idx="13">
                  <c:v>6.8468884994900586E-2</c:v>
                </c:pt>
                <c:pt idx="14">
                  <c:v>6.8505353893010532E-2</c:v>
                </c:pt>
                <c:pt idx="15">
                  <c:v>6.8541865537011845E-2</c:v>
                </c:pt>
                <c:pt idx="16">
                  <c:v>6.8578422444149759E-2</c:v>
                </c:pt>
                <c:pt idx="17">
                  <c:v>6.8615027582492244E-2</c:v>
                </c:pt>
                <c:pt idx="18">
                  <c:v>6.8651684227500231E-2</c:v>
                </c:pt>
                <c:pt idx="19">
                  <c:v>6.8688395823143344E-2</c:v>
                </c:pt>
                <c:pt idx="20">
                  <c:v>6.8725165848934858E-2</c:v>
                </c:pt>
                <c:pt idx="21">
                  <c:v>6.8761997694167756E-2</c:v>
                </c:pt>
                <c:pt idx="22">
                  <c:v>6.8798894540530786E-2</c:v>
                </c:pt>
                <c:pt idx="23">
                  <c:v>6.8835859254171003E-2</c:v>
                </c:pt>
                <c:pt idx="24">
                  <c:v>6.8872894288147343E-2</c:v>
                </c:pt>
                <c:pt idx="25">
                  <c:v>6.8910001596092896E-2</c:v>
                </c:pt>
                <c:pt idx="26">
                  <c:v>6.8947182557768577E-2</c:v>
                </c:pt>
                <c:pt idx="27">
                  <c:v>6.8984437917053498E-2</c:v>
                </c:pt>
                <c:pt idx="28">
                  <c:v>6.9021767732776504E-2</c:v>
                </c:pt>
                <c:pt idx="29">
                  <c:v>6.9059171342651035E-2</c:v>
                </c:pt>
                <c:pt idx="30">
                  <c:v>6.9096647340433887E-2</c:v>
                </c:pt>
                <c:pt idx="31">
                  <c:v>6.9134193566288096E-2</c:v>
                </c:pt>
                <c:pt idx="32">
                  <c:v>6.9171807110193148E-2</c:v>
                </c:pt>
                <c:pt idx="33">
                  <c:v>6.9209484328112969E-2</c:v>
                </c:pt>
                <c:pt idx="34">
                  <c:v>6.9247220870504722E-2</c:v>
                </c:pt>
                <c:pt idx="35">
                  <c:v>6.9285011722631948E-2</c:v>
                </c:pt>
                <c:pt idx="36">
                  <c:v>6.9322851256032755E-2</c:v>
                </c:pt>
                <c:pt idx="37">
                  <c:v>6.9360733290391274E-2</c:v>
                </c:pt>
                <c:pt idx="38">
                  <c:v>6.9398651164966574E-2</c:v>
                </c:pt>
                <c:pt idx="39">
                  <c:v>6.9436597818651691E-2</c:v>
                </c:pt>
                <c:pt idx="40">
                  <c:v>6.9474565877663777E-2</c:v>
                </c:pt>
                <c:pt idx="41">
                  <c:v>6.9512547749806947E-2</c:v>
                </c:pt>
                <c:pt idx="42">
                  <c:v>6.9550535724203E-2</c:v>
                </c:pt>
                <c:pt idx="43">
                  <c:v>6.9588522075350767E-2</c:v>
                </c:pt>
                <c:pt idx="44">
                  <c:v>6.962649917035231E-2</c:v>
                </c:pt>
                <c:pt idx="45">
                  <c:v>6.9664459578136495E-2</c:v>
                </c:pt>
                <c:pt idx="46">
                  <c:v>6.970239617951246E-2</c:v>
                </c:pt>
                <c:pt idx="47">
                  <c:v>6.9740302276901658E-2</c:v>
                </c:pt>
                <c:pt idx="48">
                  <c:v>6.9778171702625097E-2</c:v>
                </c:pt>
                <c:pt idx="49">
                  <c:v>6.9815998924659339E-2</c:v>
                </c:pt>
                <c:pt idx="50">
                  <c:v>6.9853779148825734E-2</c:v>
                </c:pt>
                <c:pt idx="51">
                  <c:v>6.9891508416434572E-2</c:v>
                </c:pt>
                <c:pt idx="52">
                  <c:v>6.9929183696475203E-2</c:v>
                </c:pt>
                <c:pt idx="53">
                  <c:v>6.996680297151768E-2</c:v>
                </c:pt>
                <c:pt idx="54">
                  <c:v>7.0004365316575043E-2</c:v>
                </c:pt>
                <c:pt idx="55">
                  <c:v>7.0041870970264097E-2</c:v>
                </c:pt>
                <c:pt idx="56">
                  <c:v>7.0079321397695418E-2</c:v>
                </c:pt>
                <c:pt idx="57">
                  <c:v>7.0116719344621298E-2</c:v>
                </c:pt>
                <c:pt idx="58">
                  <c:v>7.0154068882469348E-2</c:v>
                </c:pt>
                <c:pt idx="59">
                  <c:v>7.0191375443990331E-2</c:v>
                </c:pt>
                <c:pt idx="60">
                  <c:v>7.0228645849350416E-2</c:v>
                </c:pt>
                <c:pt idx="61">
                  <c:v>7.0265888322596975E-2</c:v>
                </c:pt>
                <c:pt idx="62">
                  <c:v>7.03031124985255E-2</c:v>
                </c:pt>
                <c:pt idx="63">
                  <c:v>7.0340329420069181E-2</c:v>
                </c:pt>
                <c:pt idx="64">
                  <c:v>7.0377551526423193E-2</c:v>
                </c:pt>
                <c:pt idx="65">
                  <c:v>7.0414792632200199E-2</c:v>
                </c:pt>
                <c:pt idx="66">
                  <c:v>7.0452067897992507E-2</c:v>
                </c:pt>
                <c:pt idx="67">
                  <c:v>7.0489393792788346E-2</c:v>
                </c:pt>
                <c:pt idx="68">
                  <c:v>7.0526788048753328E-2</c:v>
                </c:pt>
                <c:pt idx="69">
                  <c:v>7.0564269608945004E-2</c:v>
                </c:pt>
                <c:pt idx="70">
                  <c:v>7.0601858568574954E-2</c:v>
                </c:pt>
                <c:pt idx="71">
                  <c:v>7.0639576110471627E-2</c:v>
                </c:pt>
                <c:pt idx="72">
                  <c:v>7.0677444435425785E-2</c:v>
                </c:pt>
                <c:pt idx="73">
                  <c:v>7.0715486688120416E-2</c:v>
                </c:pt>
                <c:pt idx="74">
                  <c:v>7.075372687935659E-2</c:v>
                </c:pt>
                <c:pt idx="75">
                  <c:v>7.0792189805287564E-2</c:v>
                </c:pt>
                <c:pt idx="76">
                  <c:v>7.0830900964365617E-2</c:v>
                </c:pt>
                <c:pt idx="77">
                  <c:v>7.0869886472688076E-2</c:v>
                </c:pt>
                <c:pt idx="78">
                  <c:v>7.0909172978404378E-2</c:v>
                </c:pt>
                <c:pt idx="79">
                  <c:v>7.0948787575811967E-2</c:v>
                </c:pt>
                <c:pt idx="80">
                  <c:v>7.0988757719728832E-2</c:v>
                </c:pt>
                <c:pt idx="81">
                  <c:v>7.1029111140683096E-2</c:v>
                </c:pt>
                <c:pt idx="82">
                  <c:v>7.1069875761407983E-2</c:v>
                </c:pt>
                <c:pt idx="83">
                  <c:v>7.1111079615072278E-2</c:v>
                </c:pt>
                <c:pt idx="84">
                  <c:v>7.1152750765615613E-2</c:v>
                </c:pt>
                <c:pt idx="85">
                  <c:v>7.1194917230493149E-2</c:v>
                </c:pt>
                <c:pt idx="86">
                  <c:v>7.1237606906067966E-2</c:v>
                </c:pt>
                <c:pt idx="87">
                  <c:v>7.1280847495822211E-2</c:v>
                </c:pt>
                <c:pt idx="88">
                  <c:v>7.1324666441490381E-2</c:v>
                </c:pt>
                <c:pt idx="89">
                  <c:v>7.1369090857152054E-2</c:v>
                </c:pt>
                <c:pt idx="90">
                  <c:v>7.1414147466256808E-2</c:v>
                </c:pt>
                <c:pt idx="91">
                  <c:v>7.1459862541492364E-2</c:v>
                </c:pt>
                <c:pt idx="92">
                  <c:v>7.1506261847350108E-2</c:v>
                </c:pt>
                <c:pt idx="93">
                  <c:v>7.1553370585187528E-2</c:v>
                </c:pt>
                <c:pt idx="94">
                  <c:v>7.1601213340541647E-2</c:v>
                </c:pt>
                <c:pt idx="95">
                  <c:v>7.1649814032403752E-2</c:v>
                </c:pt>
                <c:pt idx="96">
                  <c:v>7.1699195864133064E-2</c:v>
                </c:pt>
                <c:pt idx="97">
                  <c:v>7.1749381275657803E-2</c:v>
                </c:pt>
                <c:pt idx="98">
                  <c:v>7.1800391896593693E-2</c:v>
                </c:pt>
                <c:pt idx="99">
                  <c:v>7.1852248499897228E-2</c:v>
                </c:pt>
                <c:pt idx="100">
                  <c:v>7.1904970955668251E-2</c:v>
                </c:pt>
                <c:pt idx="101">
                  <c:v>7.1958578184720623E-2</c:v>
                </c:pt>
                <c:pt idx="102">
                  <c:v>7.2013088111553616E-2</c:v>
                </c:pt>
                <c:pt idx="103">
                  <c:v>7.2068517616377226E-2</c:v>
                </c:pt>
                <c:pt idx="104">
                  <c:v>7.2124882485874911E-2</c:v>
                </c:pt>
                <c:pt idx="105">
                  <c:v>7.2182197362423414E-2</c:v>
                </c:pt>
                <c:pt idx="106">
                  <c:v>7.2240475691533898E-2</c:v>
                </c:pt>
                <c:pt idx="107">
                  <c:v>7.2299729667329601E-2</c:v>
                </c:pt>
                <c:pt idx="108">
                  <c:v>7.2359970175931584E-2</c:v>
                </c:pt>
                <c:pt idx="109">
                  <c:v>7.2421206736686339E-2</c:v>
                </c:pt>
                <c:pt idx="110">
                  <c:v>7.2483447441235568E-2</c:v>
                </c:pt>
                <c:pt idx="111">
                  <c:v>7.2546698890498668E-2</c:v>
                </c:pt>
                <c:pt idx="112">
                  <c:v>7.2610966129710255E-2</c:v>
                </c:pt>
                <c:pt idx="113">
                  <c:v>7.2676252581730508E-2</c:v>
                </c:pt>
                <c:pt idx="114">
                  <c:v>7.2742559978919874E-2</c:v>
                </c:pt>
                <c:pt idx="115">
                  <c:v>7.2809888293944858E-2</c:v>
                </c:pt>
                <c:pt idx="116">
                  <c:v>7.2878235669954175E-2</c:v>
                </c:pt>
                <c:pt idx="117">
                  <c:v>7.2947598350634815E-2</c:v>
                </c:pt>
                <c:pt idx="118">
                  <c:v>7.3017970610724542E-2</c:v>
                </c:pt>
                <c:pt idx="119">
                  <c:v>7.3089344687619559E-2</c:v>
                </c:pt>
                <c:pt idx="120">
                  <c:v>5.0579156912699428E-3</c:v>
                </c:pt>
                <c:pt idx="121">
                  <c:v>5.1575878426936604E-3</c:v>
                </c:pt>
                <c:pt idx="122">
                  <c:v>5.2573424421620361E-3</c:v>
                </c:pt>
                <c:pt idx="123">
                  <c:v>5.3571819336698731E-3</c:v>
                </c:pt>
                <c:pt idx="124">
                  <c:v>5.4571084889882037E-3</c:v>
                </c:pt>
                <c:pt idx="125">
                  <c:v>5.5571239896782367E-3</c:v>
                </c:pt>
                <c:pt idx="126">
                  <c:v>5.6572300093520947E-3</c:v>
                </c:pt>
                <c:pt idx="127">
                  <c:v>5.7574277963100776E-3</c:v>
                </c:pt>
                <c:pt idx="128">
                  <c:v>5.8577182566910491E-3</c:v>
                </c:pt>
                <c:pt idx="129">
                  <c:v>5.958101938279275E-3</c:v>
                </c:pt>
                <c:pt idx="130">
                  <c:v>6.0585790151150079E-3</c:v>
                </c:pt>
                <c:pt idx="131">
                  <c:v>6.1591492730605716E-3</c:v>
                </c:pt>
                <c:pt idx="132">
                  <c:v>6.2598120964748385E-3</c:v>
                </c:pt>
                <c:pt idx="133">
                  <c:v>6.360566456150003E-3</c:v>
                </c:pt>
                <c:pt idx="134">
                  <c:v>6.4614108986630735E-3</c:v>
                </c:pt>
                <c:pt idx="135">
                  <c:v>6.5623435372914925E-3</c:v>
                </c:pt>
                <c:pt idx="136">
                  <c:v>6.6633620446377466E-3</c:v>
                </c:pt>
                <c:pt idx="137">
                  <c:v>6.7644636471011453E-3</c:v>
                </c:pt>
                <c:pt idx="138">
                  <c:v>6.865645121326848E-3</c:v>
                </c:pt>
                <c:pt idx="139">
                  <c:v>6.966902792751856E-3</c:v>
                </c:pt>
                <c:pt idx="140">
                  <c:v>7.0682325363562726E-3</c:v>
                </c:pt>
                <c:pt idx="141">
                  <c:v>7.1696297797144053E-3</c:v>
                </c:pt>
                <c:pt idx="142">
                  <c:v>7.2710895084254793E-3</c:v>
                </c:pt>
                <c:pt idx="143">
                  <c:v>7.3726062739871007E-3</c:v>
                </c:pt>
                <c:pt idx="144">
                  <c:v>7.4741742041570264E-3</c:v>
                </c:pt>
                <c:pt idx="145">
                  <c:v>7.5757870158296662E-3</c:v>
                </c:pt>
                <c:pt idx="146">
                  <c:v>7.677438030433875E-3</c:v>
                </c:pt>
                <c:pt idx="147">
                  <c:v>7.7791201918378048E-3</c:v>
                </c:pt>
                <c:pt idx="148">
                  <c:v>7.8808260867250651E-3</c:v>
                </c:pt>
                <c:pt idx="149">
                  <c:v>7.9825479673848107E-3</c:v>
                </c:pt>
                <c:pt idx="150">
                  <c:v>8.084277776836065E-3</c:v>
                </c:pt>
                <c:pt idx="151">
                  <c:v>8.1860071761848535E-3</c:v>
                </c:pt>
                <c:pt idx="152">
                  <c:v>8.2877275740908963E-3</c:v>
                </c:pt>
                <c:pt idx="153">
                  <c:v>8.3894301581993787E-3</c:v>
                </c:pt>
                <c:pt idx="154">
                  <c:v>8.4911059283727802E-3</c:v>
                </c:pt>
                <c:pt idx="155">
                  <c:v>8.5927457315385074E-3</c:v>
                </c:pt>
                <c:pt idx="156">
                  <c:v>8.6943402979494811E-3</c:v>
                </c:pt>
                <c:pt idx="157">
                  <c:v>8.7958802786381081E-3</c:v>
                </c:pt>
                <c:pt idx="158">
                  <c:v>8.8973562838288705E-3</c:v>
                </c:pt>
                <c:pt idx="159">
                  <c:v>8.9987589220614471E-3</c:v>
                </c:pt>
                <c:pt idx="160">
                  <c:v>9.1000788397646217E-3</c:v>
                </c:pt>
                <c:pt idx="161">
                  <c:v>9.2013067610123116E-3</c:v>
                </c:pt>
                <c:pt idx="162">
                  <c:v>9.3024335271861425E-3</c:v>
                </c:pt>
                <c:pt idx="163">
                  <c:v>9.4034501362643772E-3</c:v>
                </c:pt>
                <c:pt idx="164">
                  <c:v>9.5043477814551521E-3</c:v>
                </c:pt>
                <c:pt idx="165">
                  <c:v>9.6051178888927197E-3</c:v>
                </c:pt>
                <c:pt idx="166">
                  <c:v>9.7057521541185771E-3</c:v>
                </c:pt>
                <c:pt idx="167">
                  <c:v>9.8062425770753647E-3</c:v>
                </c:pt>
                <c:pt idx="168">
                  <c:v>9.9065814953499653E-3</c:v>
                </c:pt>
                <c:pt idx="169">
                  <c:v>1.0006761615413359E-2</c:v>
                </c:pt>
                <c:pt idx="170">
                  <c:v>1.0106776041618498E-2</c:v>
                </c:pt>
                <c:pt idx="171">
                  <c:v>1.0206618302733558E-2</c:v>
                </c:pt>
                <c:pt idx="172">
                  <c:v>1.0306282375806148E-2</c:v>
                </c:pt>
                <c:pt idx="173">
                  <c:v>1.0405762707174766E-2</c:v>
                </c:pt>
                <c:pt idx="174">
                  <c:v>1.0505054230465886E-2</c:v>
                </c:pt>
                <c:pt idx="175">
                  <c:v>1.060415238143955E-2</c:v>
                </c:pt>
                <c:pt idx="176">
                  <c:v>1.0703053109571741E-2</c:v>
                </c:pt>
                <c:pt idx="177">
                  <c:v>1.0801752886288934E-2</c:v>
                </c:pt>
                <c:pt idx="178">
                  <c:v>1.0900248709798064E-2</c:v>
                </c:pt>
                <c:pt idx="179">
                  <c:v>1.0998538106483699E-2</c:v>
                </c:pt>
                <c:pt idx="180">
                  <c:v>1.1096619128873811E-2</c:v>
                </c:pt>
                <c:pt idx="181">
                  <c:v>1.1194490350203933E-2</c:v>
                </c:pt>
                <c:pt idx="182">
                  <c:v>1.1292150855639655E-2</c:v>
                </c:pt>
                <c:pt idx="183">
                  <c:v>1.1389600230244996E-2</c:v>
                </c:pt>
                <c:pt idx="184">
                  <c:v>1.1486838543813051E-2</c:v>
                </c:pt>
                <c:pt idx="185">
                  <c:v>1.1583866332701453E-2</c:v>
                </c:pt>
                <c:pt idx="186">
                  <c:v>1.1680684578841111E-2</c:v>
                </c:pt>
                <c:pt idx="187">
                  <c:v>1.177729468611045E-2</c:v>
                </c:pt>
                <c:pt idx="188">
                  <c:v>1.1873698454289545E-2</c:v>
                </c:pt>
                <c:pt idx="189">
                  <c:v>1.1969898050828346E-2</c:v>
                </c:pt>
                <c:pt idx="190">
                  <c:v>1.2065895980680938E-2</c:v>
                </c:pt>
                <c:pt idx="191">
                  <c:v>1.2161695054473018E-2</c:v>
                </c:pt>
                <c:pt idx="192">
                  <c:v>1.225729835528179E-2</c:v>
                </c:pt>
                <c:pt idx="193">
                  <c:v>1.2352709204317608E-2</c:v>
                </c:pt>
                <c:pt idx="194">
                  <c:v>1.2447931125802962E-2</c:v>
                </c:pt>
                <c:pt idx="195">
                  <c:v>1.254296781134826E-2</c:v>
                </c:pt>
                <c:pt idx="196">
                  <c:v>1.2637823084124348E-2</c:v>
                </c:pt>
                <c:pt idx="197">
                  <c:v>1.2732500863129312E-2</c:v>
                </c:pt>
                <c:pt idx="198">
                  <c:v>1.2827005127841386E-2</c:v>
                </c:pt>
                <c:pt idx="199">
                  <c:v>1.2921339883541411E-2</c:v>
                </c:pt>
                <c:pt idx="200">
                  <c:v>1.3015509127576815E-2</c:v>
                </c:pt>
                <c:pt idx="201">
                  <c:v>1.3109516816824715E-2</c:v>
                </c:pt>
                <c:pt idx="202">
                  <c:v>1.3203366836594855E-2</c:v>
                </c:pt>
                <c:pt idx="203">
                  <c:v>1.3297062971194094E-2</c:v>
                </c:pt>
                <c:pt idx="204">
                  <c:v>1.3390608876352034E-2</c:v>
                </c:pt>
                <c:pt idx="205">
                  <c:v>1.3484008053684285E-2</c:v>
                </c:pt>
                <c:pt idx="206">
                  <c:v>1.3577263827344414E-2</c:v>
                </c:pt>
                <c:pt idx="207">
                  <c:v>1.3670379322988778E-2</c:v>
                </c:pt>
                <c:pt idx="208">
                  <c:v>1.376335744915072E-2</c:v>
                </c:pt>
                <c:pt idx="209">
                  <c:v>1.385620088109198E-2</c:v>
                </c:pt>
                <c:pt idx="210">
                  <c:v>1.3948912047169469E-2</c:v>
                </c:pt>
                <c:pt idx="211">
                  <c:v>1.4041493117727226E-2</c:v>
                </c:pt>
                <c:pt idx="212">
                  <c:v>1.4133945996492918E-2</c:v>
                </c:pt>
                <c:pt idx="213">
                  <c:v>1.422627231443078E-2</c:v>
                </c:pt>
                <c:pt idx="214">
                  <c:v>1.43184734259745E-2</c:v>
                </c:pt>
                <c:pt idx="215">
                  <c:v>1.4410550407537028E-2</c:v>
                </c:pt>
                <c:pt idx="216">
                  <c:v>1.4502504058169489E-2</c:v>
                </c:pt>
                <c:pt idx="217">
                  <c:v>1.4594334902218014E-2</c:v>
                </c:pt>
                <c:pt idx="218">
                  <c:v>1.468604319380603E-2</c:v>
                </c:pt>
                <c:pt idx="219">
                  <c:v>1.4777628922951076E-2</c:v>
                </c:pt>
                <c:pt idx="220">
                  <c:v>1.4869091823108698E-2</c:v>
                </c:pt>
                <c:pt idx="221">
                  <c:v>1.4960431379923061E-2</c:v>
                </c:pt>
                <c:pt idx="222">
                  <c:v>1.5051646840952818E-2</c:v>
                </c:pt>
                <c:pt idx="223">
                  <c:v>1.5142737226134382E-2</c:v>
                </c:pt>
                <c:pt idx="224">
                  <c:v>1.5233701338739828E-2</c:v>
                </c:pt>
                <c:pt idx="225">
                  <c:v>1.5324537776586489E-2</c:v>
                </c:pt>
                <c:pt idx="226">
                  <c:v>1.5415244943257691E-2</c:v>
                </c:pt>
                <c:pt idx="227">
                  <c:v>1.5505821059099641E-2</c:v>
                </c:pt>
                <c:pt idx="228">
                  <c:v>1.5596264171769176E-2</c:v>
                </c:pt>
                <c:pt idx="229">
                  <c:v>1.5686572166118812E-2</c:v>
                </c:pt>
                <c:pt idx="230">
                  <c:v>1.5776742773221247E-2</c:v>
                </c:pt>
                <c:pt idx="231">
                  <c:v>1.586677357835346E-2</c:v>
                </c:pt>
                <c:pt idx="232">
                  <c:v>1.595666202778168E-2</c:v>
                </c:pt>
                <c:pt idx="233">
                  <c:v>1.6046405434211479E-2</c:v>
                </c:pt>
                <c:pt idx="234">
                  <c:v>1.6136000980793194E-2</c:v>
                </c:pt>
                <c:pt idx="235">
                  <c:v>1.6225445723599824E-2</c:v>
                </c:pt>
                <c:pt idx="236">
                  <c:v>1.6314736592523919E-2</c:v>
                </c:pt>
                <c:pt idx="237">
                  <c:v>1.6403870390569678E-2</c:v>
                </c:pt>
                <c:pt idx="238">
                  <c:v>1.6492843791547827E-2</c:v>
                </c:pt>
                <c:pt idx="239">
                  <c:v>1.6581653336212223E-2</c:v>
                </c:pt>
                <c:pt idx="240">
                  <c:v>1.667029542690834E-2</c:v>
                </c:pt>
                <c:pt idx="241">
                  <c:v>1.6758766320835519E-2</c:v>
                </c:pt>
                <c:pt idx="242">
                  <c:v>1.6847062122054859E-2</c:v>
                </c:pt>
                <c:pt idx="243">
                  <c:v>1.6935178772404257E-2</c:v>
                </c:pt>
                <c:pt idx="244">
                  <c:v>1.7023112041509851E-2</c:v>
                </c:pt>
                <c:pt idx="245">
                  <c:v>1.7110857516108937E-2</c:v>
                </c:pt>
                <c:pt idx="246">
                  <c:v>1.7198410588923466E-2</c:v>
                </c:pt>
                <c:pt idx="247">
                  <c:v>1.7285766447343975E-2</c:v>
                </c:pt>
                <c:pt idx="248">
                  <c:v>1.737292006220206E-2</c:v>
                </c:pt>
                <c:pt idx="249">
                  <c:v>1.7459866176924774E-2</c:v>
                </c:pt>
                <c:pt idx="250">
                  <c:v>1.7546599297375568E-2</c:v>
                </c:pt>
                <c:pt idx="251">
                  <c:v>1.7633113682694233E-2</c:v>
                </c:pt>
                <c:pt idx="252">
                  <c:v>1.771940333745264E-2</c:v>
                </c:pt>
                <c:pt idx="253">
                  <c:v>1.7805462005442894E-2</c:v>
                </c:pt>
                <c:pt idx="254">
                  <c:v>1.7891283165410259E-2</c:v>
                </c:pt>
                <c:pt idx="255">
                  <c:v>1.7976860029035542E-2</c:v>
                </c:pt>
                <c:pt idx="256">
                  <c:v>1.8062185541458619E-2</c:v>
                </c:pt>
                <c:pt idx="257">
                  <c:v>1.8147252384618902E-2</c:v>
                </c:pt>
                <c:pt idx="258">
                  <c:v>1.823205298366792E-2</c:v>
                </c:pt>
                <c:pt idx="259">
                  <c:v>1.8316579516684476E-2</c:v>
                </c:pt>
                <c:pt idx="260">
                  <c:v>1.8400823927895639E-2</c:v>
                </c:pt>
                <c:pt idx="261">
                  <c:v>1.8484777944574548E-2</c:v>
                </c:pt>
                <c:pt idx="262">
                  <c:v>1.8568433097751885E-2</c:v>
                </c:pt>
                <c:pt idx="263">
                  <c:v>1.8651780746840037E-2</c:v>
                </c:pt>
                <c:pt idx="264">
                  <c:v>1.8734812108229297E-2</c:v>
                </c:pt>
                <c:pt idx="265">
                  <c:v>1.881751828787278E-2</c:v>
                </c:pt>
                <c:pt idx="266">
                  <c:v>1.8899890317833276E-2</c:v>
                </c:pt>
                <c:pt idx="267">
                  <c:v>1.8981919196719921E-2</c:v>
                </c:pt>
                <c:pt idx="268">
                  <c:v>1.9063595933896414E-2</c:v>
                </c:pt>
                <c:pt idx="269">
                  <c:v>1.9144911597296761E-2</c:v>
                </c:pt>
                <c:pt idx="270">
                  <c:v>1.9225857364637545E-2</c:v>
                </c:pt>
                <c:pt idx="271">
                  <c:v>1.9306424577771243E-2</c:v>
                </c:pt>
                <c:pt idx="272">
                  <c:v>1.9386604799880022E-2</c:v>
                </c:pt>
                <c:pt idx="273">
                  <c:v>1.9466389875167321E-2</c:v>
                </c:pt>
                <c:pt idx="274">
                  <c:v>1.9545771990664144E-2</c:v>
                </c:pt>
                <c:pt idx="275">
                  <c:v>1.9624743739728823E-2</c:v>
                </c:pt>
                <c:pt idx="276">
                  <c:v>1.9703298186785009E-2</c:v>
                </c:pt>
                <c:pt idx="277">
                  <c:v>1.9781428932810992E-2</c:v>
                </c:pt>
                <c:pt idx="278">
                  <c:v>1.9859130181066855E-2</c:v>
                </c:pt>
                <c:pt idx="279">
                  <c:v>1.9936396802522703E-2</c:v>
                </c:pt>
                <c:pt idx="280">
                  <c:v>2.0013224400433717E-2</c:v>
                </c:pt>
                <c:pt idx="281">
                  <c:v>2.0089609373493932E-2</c:v>
                </c:pt>
                <c:pt idx="282">
                  <c:v>2.0165548976993321E-2</c:v>
                </c:pt>
                <c:pt idx="283">
                  <c:v>2.0241041381399982E-2</c:v>
                </c:pt>
                <c:pt idx="284">
                  <c:v>2.0316085727791897E-2</c:v>
                </c:pt>
                <c:pt idx="285">
                  <c:v>2.039068217957217E-2</c:v>
                </c:pt>
                <c:pt idx="286">
                  <c:v>2.0464831969914898E-2</c:v>
                </c:pt>
                <c:pt idx="287">
                  <c:v>2.0538537444409598E-2</c:v>
                </c:pt>
                <c:pt idx="288">
                  <c:v>2.061180209839697E-2</c:v>
                </c:pt>
                <c:pt idx="289">
                  <c:v>2.0684630608520081E-2</c:v>
                </c:pt>
                <c:pt idx="290">
                  <c:v>2.0757028858050475E-2</c:v>
                </c:pt>
                <c:pt idx="291">
                  <c:v>2.0829003955590491E-2</c:v>
                </c:pt>
                <c:pt idx="292">
                  <c:v>2.090056424679794E-2</c:v>
                </c:pt>
                <c:pt idx="293">
                  <c:v>2.0971719318829702E-2</c:v>
                </c:pt>
                <c:pt idx="294">
                  <c:v>2.1042479997254313E-2</c:v>
                </c:pt>
                <c:pt idx="295">
                  <c:v>2.1112858335240781E-2</c:v>
                </c:pt>
                <c:pt idx="296">
                  <c:v>2.1182867594891241E-2</c:v>
                </c:pt>
                <c:pt idx="297">
                  <c:v>2.1252522220647177E-2</c:v>
                </c:pt>
                <c:pt idx="298">
                  <c:v>2.1321837804763429E-2</c:v>
                </c:pt>
                <c:pt idx="299">
                  <c:v>2.1390831044910057E-2</c:v>
                </c:pt>
                <c:pt idx="300">
                  <c:v>2.1459519694027752E-2</c:v>
                </c:pt>
                <c:pt idx="301">
                  <c:v>2.1527922502629374E-2</c:v>
                </c:pt>
                <c:pt idx="302">
                  <c:v>2.1596059153805382E-2</c:v>
                </c:pt>
                <c:pt idx="303">
                  <c:v>2.1663950191255537E-2</c:v>
                </c:pt>
                <c:pt idx="304">
                  <c:v>2.1731616940732012E-2</c:v>
                </c:pt>
                <c:pt idx="305">
                  <c:v>2.1799081425338554E-2</c:v>
                </c:pt>
                <c:pt idx="306">
                  <c:v>2.1866366275188197E-2</c:v>
                </c:pt>
                <c:pt idx="307">
                  <c:v>2.1933494631974831E-2</c:v>
                </c:pt>
                <c:pt idx="308">
                  <c:v>2.20004900490633E-2</c:v>
                </c:pt>
                <c:pt idx="309">
                  <c:v>2.2067376387747639E-2</c:v>
                </c:pt>
                <c:pt idx="310">
                  <c:v>2.2134177710365927E-2</c:v>
                </c:pt>
                <c:pt idx="311">
                  <c:v>2.2200918170994552E-2</c:v>
                </c:pt>
                <c:pt idx="312">
                  <c:v>2.2267621904472311E-2</c:v>
                </c:pt>
                <c:pt idx="313">
                  <c:v>2.2334312914526741E-2</c:v>
                </c:pt>
                <c:pt idx="314">
                  <c:v>2.2401014961789881E-2</c:v>
                </c:pt>
                <c:pt idx="315">
                  <c:v>2.2467751452499379E-2</c:v>
                </c:pt>
                <c:pt idx="316">
                  <c:v>2.253454532868248E-2</c:v>
                </c:pt>
                <c:pt idx="317">
                  <c:v>2.2601418960614864E-2</c:v>
                </c:pt>
                <c:pt idx="318">
                  <c:v>2.2668394042334426E-2</c:v>
                </c:pt>
                <c:pt idx="319">
                  <c:v>2.2735491490970709E-2</c:v>
                </c:pt>
                <c:pt idx="320">
                  <c:v>2.2802731350625063E-2</c:v>
                </c:pt>
                <c:pt idx="321">
                  <c:v>2.2870132701504245E-2</c:v>
                </c:pt>
                <c:pt idx="322">
                  <c:v>2.2937713574971378E-2</c:v>
                </c:pt>
                <c:pt idx="323">
                  <c:v>2.3005490875133913E-2</c:v>
                </c:pt>
                <c:pt idx="324">
                  <c:v>2.3073480307537732E-2</c:v>
                </c:pt>
                <c:pt idx="325">
                  <c:v>2.3141696315481484E-2</c:v>
                </c:pt>
                <c:pt idx="326">
                  <c:v>2.3210152024405063E-2</c:v>
                </c:pt>
                <c:pt idx="327">
                  <c:v>2.3278859194742256E-2</c:v>
                </c:pt>
                <c:pt idx="328">
                  <c:v>2.3347828183559627E-2</c:v>
                </c:pt>
                <c:pt idx="329">
                  <c:v>2.341706791523342E-2</c:v>
                </c:pt>
                <c:pt idx="330">
                  <c:v>2.3486585861342984E-2</c:v>
                </c:pt>
                <c:pt idx="331">
                  <c:v>2.3556388029884988E-2</c:v>
                </c:pt>
                <c:pt idx="332">
                  <c:v>2.3626478963836895E-2</c:v>
                </c:pt>
                <c:pt idx="333">
                  <c:v>2.3696861749022524E-2</c:v>
                </c:pt>
                <c:pt idx="334">
                  <c:v>2.3767538031156946E-2</c:v>
                </c:pt>
                <c:pt idx="335">
                  <c:v>2.3838508041874006E-2</c:v>
                </c:pt>
                <c:pt idx="336">
                  <c:v>2.3909770633466939E-2</c:v>
                </c:pt>
                <c:pt idx="337">
                  <c:v>2.3981323322002857E-2</c:v>
                </c:pt>
                <c:pt idx="338">
                  <c:v>2.4053162338404765E-2</c:v>
                </c:pt>
                <c:pt idx="339">
                  <c:v>2.4125282687031825E-2</c:v>
                </c:pt>
                <c:pt idx="340">
                  <c:v>2.4197678211229645E-2</c:v>
                </c:pt>
                <c:pt idx="341">
                  <c:v>2.427034166526847E-2</c:v>
                </c:pt>
                <c:pt idx="342">
                  <c:v>2.4343264792038261E-2</c:v>
                </c:pt>
                <c:pt idx="343">
                  <c:v>2.4416438405827485E-2</c:v>
                </c:pt>
                <c:pt idx="344">
                  <c:v>2.4489852479474727E-2</c:v>
                </c:pt>
                <c:pt idx="345">
                  <c:v>2.4563496235153224E-2</c:v>
                </c:pt>
                <c:pt idx="346">
                  <c:v>2.4637358238024015E-2</c:v>
                </c:pt>
                <c:pt idx="347">
                  <c:v>2.4711426491977731E-2</c:v>
                </c:pt>
                <c:pt idx="348">
                  <c:v>2.4785688536675173E-2</c:v>
                </c:pt>
                <c:pt idx="349">
                  <c:v>2.4860131545094848E-2</c:v>
                </c:pt>
                <c:pt idx="350">
                  <c:v>2.4934742420800658E-2</c:v>
                </c:pt>
                <c:pt idx="351">
                  <c:v>2.5009507894154782E-2</c:v>
                </c:pt>
                <c:pt idx="352">
                  <c:v>2.5084414616719741E-2</c:v>
                </c:pt>
                <c:pt idx="353">
                  <c:v>2.5159449253119401E-2</c:v>
                </c:pt>
                <c:pt idx="354">
                  <c:v>2.5234598569660656E-2</c:v>
                </c:pt>
                <c:pt idx="355">
                  <c:v>2.5309849519055742E-2</c:v>
                </c:pt>
                <c:pt idx="356">
                  <c:v>2.5385189320628863E-2</c:v>
                </c:pt>
                <c:pt idx="357">
                  <c:v>2.5460605535440255E-2</c:v>
                </c:pt>
                <c:pt idx="358">
                  <c:v>2.5536086135814224E-2</c:v>
                </c:pt>
                <c:pt idx="359">
                  <c:v>2.5611619568816264E-2</c:v>
                </c:pt>
                <c:pt idx="360">
                  <c:v>2.568719481328555E-2</c:v>
                </c:pt>
                <c:pt idx="361">
                  <c:v>2.5762801430094327E-2</c:v>
                </c:pt>
                <c:pt idx="362">
                  <c:v>2.5838429605372228E-2</c:v>
                </c:pt>
                <c:pt idx="363">
                  <c:v>2.5914070186502828E-2</c:v>
                </c:pt>
                <c:pt idx="364">
                  <c:v>2.5989714710769145E-2</c:v>
                </c:pt>
                <c:pt idx="365">
                  <c:v>2.6065355426595289E-2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6.0924003727881896E-4</c:v>
                </c:pt>
                <c:pt idx="1">
                  <c:v>6.0506364576036725E-4</c:v>
                </c:pt>
                <c:pt idx="2">
                  <c:v>6.0052266235375825E-4</c:v>
                </c:pt>
                <c:pt idx="3">
                  <c:v>5.956534555787772E-4</c:v>
                </c:pt>
                <c:pt idx="4">
                  <c:v>5.9049114479384072E-4</c:v>
                </c:pt>
                <c:pt idx="5">
                  <c:v>5.850694305034272E-4</c:v>
                </c:pt>
                <c:pt idx="6">
                  <c:v>5.7942046500576976E-4</c:v>
                </c:pt>
                <c:pt idx="7">
                  <c:v>5.735747588859392E-4</c:v>
                </c:pt>
                <c:pt idx="8">
                  <c:v>5.6748290237726656E-4</c:v>
                </c:pt>
                <c:pt idx="9">
                  <c:v>5.6045480348106309E-4</c:v>
                </c:pt>
                <c:pt idx="10">
                  <c:v>5.5234214628483097E-4</c:v>
                </c:pt>
                <c:pt idx="11">
                  <c:v>5.4318067527656328E-4</c:v>
                </c:pt>
                <c:pt idx="12">
                  <c:v>5.3300639724532055E-4</c:v>
                </c:pt>
                <c:pt idx="13">
                  <c:v>5.2185540596212806E-4</c:v>
                </c:pt>
                <c:pt idx="14">
                  <c:v>5.097637189674716E-4</c:v>
                </c:pt>
                <c:pt idx="15">
                  <c:v>4.9666839459655348E-4</c:v>
                </c:pt>
                <c:pt idx="16">
                  <c:v>4.8301352987221372E-4</c:v>
                </c:pt>
                <c:pt idx="17">
                  <c:v>4.688254886975789E-4</c:v>
                </c:pt>
                <c:pt idx="18">
                  <c:v>4.5412999114900234E-4</c:v>
                </c:pt>
                <c:pt idx="19">
                  <c:v>4.3895450177325849E-4</c:v>
                </c:pt>
                <c:pt idx="20">
                  <c:v>4.2332644955067194E-4</c:v>
                </c:pt>
                <c:pt idx="21">
                  <c:v>4.072701778547362E-4</c:v>
                </c:pt>
                <c:pt idx="22">
                  <c:v>3.9077233639577344E-4</c:v>
                </c:pt>
                <c:pt idx="23">
                  <c:v>3.7418134165335417E-4</c:v>
                </c:pt>
                <c:pt idx="24">
                  <c:v>3.5807726184955126E-4</c:v>
                </c:pt>
                <c:pt idx="25">
                  <c:v>3.4247006376075979E-4</c:v>
                </c:pt>
                <c:pt idx="26">
                  <c:v>3.2736643089915934E-4</c:v>
                </c:pt>
                <c:pt idx="27">
                  <c:v>3.1277008427137046E-4</c:v>
                </c:pt>
                <c:pt idx="28">
                  <c:v>2.9868209649565254E-4</c:v>
                </c:pt>
                <c:pt idx="29">
                  <c:v>2.8543158382462753E-4</c:v>
                </c:pt>
                <c:pt idx="30">
                  <c:v>2.7309024022848259E-4</c:v>
                </c:pt>
                <c:pt idx="31">
                  <c:v>2.6164058377448648E-4</c:v>
                </c:pt>
                <c:pt idx="32">
                  <c:v>2.5106419510900313E-4</c:v>
                </c:pt>
                <c:pt idx="33">
                  <c:v>2.4134204922674477E-4</c:v>
                </c:pt>
                <c:pt idx="34">
                  <c:v>2.3245481518462734E-4</c:v>
                </c:pt>
                <c:pt idx="35">
                  <c:v>2.2438312547824507E-4</c:v>
                </c:pt>
                <c:pt idx="36">
                  <c:v>2.1709439451179043E-4</c:v>
                </c:pt>
                <c:pt idx="37">
                  <c:v>2.1114137165108358E-4</c:v>
                </c:pt>
                <c:pt idx="38">
                  <c:v>2.0618571502970426E-4</c:v>
                </c:pt>
                <c:pt idx="39">
                  <c:v>2.0220853805321551E-4</c:v>
                </c:pt>
                <c:pt idx="40">
                  <c:v>1.991723292364492E-4</c:v>
                </c:pt>
                <c:pt idx="41">
                  <c:v>1.970507618679817E-4</c:v>
                </c:pt>
                <c:pt idx="42">
                  <c:v>1.9581851929709423E-4</c:v>
                </c:pt>
                <c:pt idx="43">
                  <c:v>1.9624425021302355E-4</c:v>
                </c:pt>
                <c:pt idx="44">
                  <c:v>1.979970065787894E-4</c:v>
                </c:pt>
                <c:pt idx="45">
                  <c:v>2.010414492224515E-4</c:v>
                </c:pt>
                <c:pt idx="46">
                  <c:v>2.0534325998186782E-4</c:v>
                </c:pt>
                <c:pt idx="47">
                  <c:v>2.1086904869718778E-4</c:v>
                </c:pt>
                <c:pt idx="48">
                  <c:v>2.1758627049146899E-4</c:v>
                </c:pt>
                <c:pt idx="49">
                  <c:v>2.2546315310752006E-4</c:v>
                </c:pt>
                <c:pt idx="50">
                  <c:v>2.3446770670358574E-4</c:v>
                </c:pt>
                <c:pt idx="51">
                  <c:v>2.4369110961184668E-4</c:v>
                </c:pt>
                <c:pt idx="52">
                  <c:v>2.5261289093563732E-4</c:v>
                </c:pt>
                <c:pt idx="53">
                  <c:v>2.6124117758390559E-4</c:v>
                </c:pt>
                <c:pt idx="54">
                  <c:v>2.6958541203214715E-4</c:v>
                </c:pt>
                <c:pt idx="55">
                  <c:v>2.7765517887893036E-4</c:v>
                </c:pt>
                <c:pt idx="56">
                  <c:v>2.8546019568792883E-4</c:v>
                </c:pt>
                <c:pt idx="57">
                  <c:v>2.9129245748888604E-4</c:v>
                </c:pt>
                <c:pt idx="58">
                  <c:v>2.9450395674484166E-4</c:v>
                </c:pt>
                <c:pt idx="59">
                  <c:v>2.951615842117236E-4</c:v>
                </c:pt>
                <c:pt idx="60">
                  <c:v>2.9333020668459453E-4</c:v>
                </c:pt>
                <c:pt idx="61">
                  <c:v>2.8907255095221573E-4</c:v>
                </c:pt>
                <c:pt idx="62">
                  <c:v>2.8244909224340686E-4</c:v>
                </c:pt>
                <c:pt idx="63">
                  <c:v>2.7351794632062628E-4</c:v>
                </c:pt>
                <c:pt idx="64">
                  <c:v>2.6232749265000073E-4</c:v>
                </c:pt>
                <c:pt idx="65">
                  <c:v>2.492113951982257E-4</c:v>
                </c:pt>
                <c:pt idx="66">
                  <c:v>2.3498904887631002E-4</c:v>
                </c:pt>
                <c:pt idx="67">
                  <c:v>2.1968459666838418E-4</c:v>
                </c:pt>
                <c:pt idx="68">
                  <c:v>2.0332078370042866E-4</c:v>
                </c:pt>
                <c:pt idx="69">
                  <c:v>1.85918890756067E-4</c:v>
                </c:pt>
                <c:pt idx="70">
                  <c:v>1.674986682828885E-4</c:v>
                </c:pt>
                <c:pt idx="71">
                  <c:v>1.4892089293098006E-4</c:v>
                </c:pt>
                <c:pt idx="72">
                  <c:v>1.3171903334815185E-4</c:v>
                </c:pt>
                <c:pt idx="73">
                  <c:v>1.1585992863226694E-4</c:v>
                </c:pt>
                <c:pt idx="74">
                  <c:v>1.0131107689258821E-4</c:v>
                </c:pt>
                <c:pt idx="75">
                  <c:v>8.8040680529651502E-5</c:v>
                </c:pt>
                <c:pt idx="76">
                  <c:v>7.6017689674063424E-5</c:v>
                </c:pt>
                <c:pt idx="77">
                  <c:v>6.5211843643750707E-5</c:v>
                </c:pt>
                <c:pt idx="78">
                  <c:v>5.5590587111891115E-5</c:v>
                </c:pt>
                <c:pt idx="79">
                  <c:v>4.7237701874928683E-5</c:v>
                </c:pt>
                <c:pt idx="80">
                  <c:v>3.988129922894334E-5</c:v>
                </c:pt>
                <c:pt idx="81">
                  <c:v>3.3503312817047731E-5</c:v>
                </c:pt>
                <c:pt idx="82">
                  <c:v>2.8085898375104803E-5</c:v>
                </c:pt>
                <c:pt idx="83">
                  <c:v>2.3611671919634296E-5</c:v>
                </c:pt>
                <c:pt idx="84">
                  <c:v>2.0063932261318342E-5</c:v>
                </c:pt>
                <c:pt idx="85">
                  <c:v>1.7528090528002906E-5</c:v>
                </c:pt>
                <c:pt idx="86">
                  <c:v>1.5220723011216698E-5</c:v>
                </c:pt>
                <c:pt idx="87">
                  <c:v>1.3138764044808787E-5</c:v>
                </c:pt>
                <c:pt idx="88">
                  <c:v>1.1279430672535635E-5</c:v>
                </c:pt>
                <c:pt idx="89">
                  <c:v>9.6402757287417043E-6</c:v>
                </c:pt>
                <c:pt idx="90">
                  <c:v>8.2192393122555561E-6</c:v>
                </c:pt>
                <c:pt idx="91">
                  <c:v>7.0146990983816653E-6</c:v>
                </c:pt>
                <c:pt idx="92">
                  <c:v>6.0252049476165085E-6</c:v>
                </c:pt>
                <c:pt idx="93">
                  <c:v>5.3237639522463064E-6</c:v>
                </c:pt>
                <c:pt idx="94">
                  <c:v>4.7963626269216838E-6</c:v>
                </c:pt>
                <c:pt idx="95">
                  <c:v>4.4420583282033072E-6</c:v>
                </c:pt>
                <c:pt idx="96">
                  <c:v>4.2602511667759141E-6</c:v>
                </c:pt>
                <c:pt idx="97">
                  <c:v>4.2506911306536033E-6</c:v>
                </c:pt>
                <c:pt idx="98">
                  <c:v>4.4134855917082967E-6</c:v>
                </c:pt>
                <c:pt idx="99">
                  <c:v>4.8520367673902666E-6</c:v>
                </c:pt>
                <c:pt idx="100">
                  <c:v>5.4667816119321515E-6</c:v>
                </c:pt>
                <c:pt idx="101">
                  <c:v>6.2582294131338883E-6</c:v>
                </c:pt>
                <c:pt idx="102">
                  <c:v>7.2272327004358599E-6</c:v>
                </c:pt>
                <c:pt idx="103">
                  <c:v>8.374992187611191E-6</c:v>
                </c:pt>
                <c:pt idx="104">
                  <c:v>9.7030618688882441E-6</c:v>
                </c:pt>
                <c:pt idx="105">
                  <c:v>1.1213354260752045E-5</c:v>
                </c:pt>
                <c:pt idx="106">
                  <c:v>1.290823905223076E-5</c:v>
                </c:pt>
                <c:pt idx="107">
                  <c:v>1.4958336355944558E-5</c:v>
                </c:pt>
                <c:pt idx="108">
                  <c:v>1.7291849757288963E-5</c:v>
                </c:pt>
                <c:pt idx="109">
                  <c:v>1.9911992658726928E-5</c:v>
                </c:pt>
                <c:pt idx="110">
                  <c:v>2.2822471621047374E-5</c:v>
                </c:pt>
                <c:pt idx="111">
                  <c:v>2.6027442803252673E-5</c:v>
                </c:pt>
                <c:pt idx="112">
                  <c:v>2.9531419020524091E-5</c:v>
                </c:pt>
                <c:pt idx="113">
                  <c:v>3.3575133708644095E-5</c:v>
                </c:pt>
                <c:pt idx="114">
                  <c:v>3.8060664007967532E-5</c:v>
                </c:pt>
                <c:pt idx="115">
                  <c:v>4.2994719531570077E-5</c:v>
                </c:pt>
                <c:pt idx="116">
                  <c:v>4.8384503174864814E-5</c:v>
                </c:pt>
                <c:pt idx="117">
                  <c:v>5.4237677830207411E-5</c:v>
                </c:pt>
                <c:pt idx="118">
                  <c:v>6.0562331006830378E-5</c:v>
                </c:pt>
                <c:pt idx="119">
                  <c:v>6.7366937145744597E-5</c:v>
                </c:pt>
                <c:pt idx="120">
                  <c:v>7.4661571083391604E-5</c:v>
                </c:pt>
                <c:pt idx="121">
                  <c:v>8.2927738680235754E-5</c:v>
                </c:pt>
                <c:pt idx="122">
                  <c:v>9.20070767956545E-5</c:v>
                </c:pt>
                <c:pt idx="123">
                  <c:v>1.0191538953259161E-4</c:v>
                </c:pt>
                <c:pt idx="124">
                  <c:v>1.1266928614691655E-4</c:v>
                </c:pt>
                <c:pt idx="125">
                  <c:v>1.2428613223965874E-4</c:v>
                </c:pt>
                <c:pt idx="126">
                  <c:v>1.3678399709238952E-4</c:v>
                </c:pt>
                <c:pt idx="127">
                  <c:v>1.4961779466644606E-4</c:v>
                </c:pt>
                <c:pt idx="128">
                  <c:v>1.6255148785199576E-4</c:v>
                </c:pt>
                <c:pt idx="129">
                  <c:v>1.7559614751506825E-4</c:v>
                </c:pt>
                <c:pt idx="130">
                  <c:v>1.8876281372256674E-4</c:v>
                </c:pt>
                <c:pt idx="131">
                  <c:v>2.0206249268549977E-4</c:v>
                </c:pt>
                <c:pt idx="132">
                  <c:v>2.1550615211220528E-4</c:v>
                </c:pt>
                <c:pt idx="133">
                  <c:v>2.291047147594532E-4</c:v>
                </c:pt>
                <c:pt idx="134">
                  <c:v>2.428718688621947E-4</c:v>
                </c:pt>
                <c:pt idx="135">
                  <c:v>2.5525138830632293E-4</c:v>
                </c:pt>
                <c:pt idx="136">
                  <c:v>2.6570778657398537E-4</c:v>
                </c:pt>
                <c:pt idx="137">
                  <c:v>2.7420729325856668E-4</c:v>
                </c:pt>
                <c:pt idx="138">
                  <c:v>2.8071431180310471E-4</c:v>
                </c:pt>
                <c:pt idx="139">
                  <c:v>2.8519161993642052E-4</c:v>
                </c:pt>
                <c:pt idx="140">
                  <c:v>2.8760057829780358E-4</c:v>
                </c:pt>
                <c:pt idx="141">
                  <c:v>2.8783080730065356E-4</c:v>
                </c:pt>
                <c:pt idx="142">
                  <c:v>2.8640977196484979E-4</c:v>
                </c:pt>
                <c:pt idx="143">
                  <c:v>2.8328099225351092E-4</c:v>
                </c:pt>
                <c:pt idx="144">
                  <c:v>2.7838822122279851E-4</c:v>
                </c:pt>
                <c:pt idx="145">
                  <c:v>2.7167389834955295E-4</c:v>
                </c:pt>
                <c:pt idx="146">
                  <c:v>2.6307934767621182E-4</c:v>
                </c:pt>
                <c:pt idx="147">
                  <c:v>2.5254498853462617E-4</c:v>
                </c:pt>
                <c:pt idx="148">
                  <c:v>2.4001170342117105E-4</c:v>
                </c:pt>
                <c:pt idx="149">
                  <c:v>2.2627951686880594E-4</c:v>
                </c:pt>
                <c:pt idx="150">
                  <c:v>2.1305462703400914E-4</c:v>
                </c:pt>
                <c:pt idx="151">
                  <c:v>2.0033095619045733E-4</c:v>
                </c:pt>
                <c:pt idx="152">
                  <c:v>1.8810201680548866E-4</c:v>
                </c:pt>
                <c:pt idx="153">
                  <c:v>1.7636092315536487E-4</c:v>
                </c:pt>
                <c:pt idx="154">
                  <c:v>1.6510040748983129E-4</c:v>
                </c:pt>
                <c:pt idx="155">
                  <c:v>1.5462781685197143E-4</c:v>
                </c:pt>
                <c:pt idx="156">
                  <c:v>1.4512345467616511E-4</c:v>
                </c:pt>
                <c:pt idx="157">
                  <c:v>1.3661815032691969E-4</c:v>
                </c:pt>
                <c:pt idx="158">
                  <c:v>1.2914314252748717E-4</c:v>
                </c:pt>
                <c:pt idx="159">
                  <c:v>1.2273000871029994E-4</c:v>
                </c:pt>
                <c:pt idx="160">
                  <c:v>1.1741059575520033E-4</c:v>
                </c:pt>
                <c:pt idx="161">
                  <c:v>1.1321695301820501E-4</c:v>
                </c:pt>
                <c:pt idx="162">
                  <c:v>1.1018241566177447E-4</c:v>
                </c:pt>
                <c:pt idx="163">
                  <c:v>1.0838234605040039E-4</c:v>
                </c:pt>
                <c:pt idx="164">
                  <c:v>1.0690478781513419E-4</c:v>
                </c:pt>
                <c:pt idx="165">
                  <c:v>1.0576648095736827E-4</c:v>
                </c:pt>
                <c:pt idx="166">
                  <c:v>1.0498437592578338E-4</c:v>
                </c:pt>
                <c:pt idx="167">
                  <c:v>1.0457556287838832E-4</c:v>
                </c:pt>
                <c:pt idx="168">
                  <c:v>1.0455719999606437E-4</c:v>
                </c:pt>
                <c:pt idx="169">
                  <c:v>1.0499269794630859E-4</c:v>
                </c:pt>
                <c:pt idx="170">
                  <c:v>1.0550518518100879E-4</c:v>
                </c:pt>
                <c:pt idx="171">
                  <c:v>1.0609732312667335E-4</c:v>
                </c:pt>
                <c:pt idx="172">
                  <c:v>1.0677176395222761E-4</c:v>
                </c:pt>
                <c:pt idx="173">
                  <c:v>1.0753003789458726E-4</c:v>
                </c:pt>
                <c:pt idx="174">
                  <c:v>1.0837354667876649E-4</c:v>
                </c:pt>
                <c:pt idx="175">
                  <c:v>1.0930468665049395E-4</c:v>
                </c:pt>
                <c:pt idx="176">
                  <c:v>1.1032766895849337E-4</c:v>
                </c:pt>
                <c:pt idx="177">
                  <c:v>1.1187922278964244E-4</c:v>
                </c:pt>
                <c:pt idx="178">
                  <c:v>1.1392577774749506E-4</c:v>
                </c:pt>
                <c:pt idx="179">
                  <c:v>1.1648310435189779E-4</c:v>
                </c:pt>
                <c:pt idx="180">
                  <c:v>1.1956653319979719E-4</c:v>
                </c:pt>
                <c:pt idx="181">
                  <c:v>1.2319093883222254E-4</c:v>
                </c:pt>
                <c:pt idx="182">
                  <c:v>1.273707287612012E-4</c:v>
                </c:pt>
                <c:pt idx="183">
                  <c:v>1.3315479897168882E-4</c:v>
                </c:pt>
                <c:pt idx="184">
                  <c:v>1.4051320631934037E-4</c:v>
                </c:pt>
                <c:pt idx="185">
                  <c:v>1.4946806164875653E-4</c:v>
                </c:pt>
                <c:pt idx="186">
                  <c:v>1.600405777475298E-4</c:v>
                </c:pt>
                <c:pt idx="187">
                  <c:v>1.7225112539892337E-4</c:v>
                </c:pt>
                <c:pt idx="188">
                  <c:v>1.8611929601048107E-4</c:v>
                </c:pt>
                <c:pt idx="189">
                  <c:v>2.0166396998654056E-4</c:v>
                </c:pt>
                <c:pt idx="190">
                  <c:v>2.1890421966338754E-4</c:v>
                </c:pt>
                <c:pt idx="191">
                  <c:v>2.3741691351580757E-4</c:v>
                </c:pt>
                <c:pt idx="192">
                  <c:v>2.5670218953864128E-4</c:v>
                </c:pt>
                <c:pt idx="193">
                  <c:v>2.7674705326242397E-4</c:v>
                </c:pt>
                <c:pt idx="194">
                  <c:v>2.9753915338560737E-4</c:v>
                </c:pt>
                <c:pt idx="195">
                  <c:v>3.1906681455454432E-4</c:v>
                </c:pt>
                <c:pt idx="196">
                  <c:v>3.4131906310738659E-4</c:v>
                </c:pt>
                <c:pt idx="197">
                  <c:v>3.6206789761981738E-4</c:v>
                </c:pt>
                <c:pt idx="198">
                  <c:v>3.8020107112957563E-4</c:v>
                </c:pt>
                <c:pt idx="199">
                  <c:v>3.9568229950927107E-4</c:v>
                </c:pt>
                <c:pt idx="200">
                  <c:v>4.0847650174978247E-4</c:v>
                </c:pt>
                <c:pt idx="201">
                  <c:v>4.1854970244816679E-4</c:v>
                </c:pt>
                <c:pt idx="202">
                  <c:v>4.2586893525458795E-4</c:v>
                </c:pt>
                <c:pt idx="203">
                  <c:v>4.3040214874549756E-4</c:v>
                </c:pt>
                <c:pt idx="204">
                  <c:v>4.3211936188249875E-4</c:v>
                </c:pt>
                <c:pt idx="205">
                  <c:v>4.3039338581650992E-4</c:v>
                </c:pt>
                <c:pt idx="206">
                  <c:v>4.257196033166278E-4</c:v>
                </c:pt>
                <c:pt idx="207">
                  <c:v>4.1808320358403752E-4</c:v>
                </c:pt>
                <c:pt idx="208">
                  <c:v>4.0746895376249305E-4</c:v>
                </c:pt>
                <c:pt idx="209">
                  <c:v>3.9386113118332599E-4</c:v>
                </c:pt>
                <c:pt idx="210">
                  <c:v>3.7724346525253033E-4</c:v>
                </c:pt>
                <c:pt idx="211">
                  <c:v>3.583480037763078E-4</c:v>
                </c:pt>
                <c:pt idx="212">
                  <c:v>3.3947368080694063E-4</c:v>
                </c:pt>
                <c:pt idx="213">
                  <c:v>3.2062694917096217E-4</c:v>
                </c:pt>
                <c:pt idx="214">
                  <c:v>3.0181382244179355E-4</c:v>
                </c:pt>
                <c:pt idx="215">
                  <c:v>2.8303990317301751E-4</c:v>
                </c:pt>
                <c:pt idx="216">
                  <c:v>2.6431041113636971E-4</c:v>
                </c:pt>
                <c:pt idx="217">
                  <c:v>2.4563021128518454E-4</c:v>
                </c:pt>
                <c:pt idx="218">
                  <c:v>2.270029258751635E-4</c:v>
                </c:pt>
                <c:pt idx="219">
                  <c:v>2.0881486319952597E-4</c:v>
                </c:pt>
                <c:pt idx="220">
                  <c:v>1.9167500375623858E-4</c:v>
                </c:pt>
                <c:pt idx="221">
                  <c:v>1.7559237207390941E-4</c:v>
                </c:pt>
                <c:pt idx="222">
                  <c:v>1.6057593986538882E-4</c:v>
                </c:pt>
                <c:pt idx="223">
                  <c:v>1.466346588018658E-4</c:v>
                </c:pt>
                <c:pt idx="224">
                  <c:v>1.3377749102853043E-4</c:v>
                </c:pt>
                <c:pt idx="225">
                  <c:v>1.222987364300569E-4</c:v>
                </c:pt>
                <c:pt idx="226">
                  <c:v>1.11429719063795E-4</c:v>
                </c:pt>
                <c:pt idx="227">
                  <c:v>1.0117540834360625E-4</c:v>
                </c:pt>
                <c:pt idx="228">
                  <c:v>9.1540807033934263E-5</c:v>
                </c:pt>
                <c:pt idx="229">
                  <c:v>8.2530965092289976E-5</c:v>
                </c:pt>
                <c:pt idx="230">
                  <c:v>7.4150992708270783E-5</c:v>
                </c:pt>
                <c:pt idx="231">
                  <c:v>6.6406072672851434E-5</c:v>
                </c:pt>
                <c:pt idx="232">
                  <c:v>5.9299193173147924E-5</c:v>
                </c:pt>
                <c:pt idx="233">
                  <c:v>5.303346973468113E-5</c:v>
                </c:pt>
                <c:pt idx="234">
                  <c:v>4.7219518082013864E-5</c:v>
                </c:pt>
                <c:pt idx="235">
                  <c:v>4.1862636787811371E-5</c:v>
                </c:pt>
                <c:pt idx="236">
                  <c:v>3.6967784715575431E-5</c:v>
                </c:pt>
                <c:pt idx="237">
                  <c:v>3.2539609701765998E-5</c:v>
                </c:pt>
                <c:pt idx="238">
                  <c:v>2.8582550972316428E-5</c:v>
                </c:pt>
                <c:pt idx="239">
                  <c:v>2.5307891828854134E-5</c:v>
                </c:pt>
                <c:pt idx="240">
                  <c:v>2.2424373916115648E-5</c:v>
                </c:pt>
                <c:pt idx="241">
                  <c:v>1.9935795991082016E-5</c:v>
                </c:pt>
                <c:pt idx="242">
                  <c:v>1.7845979119296751E-5</c:v>
                </c:pt>
                <c:pt idx="243">
                  <c:v>1.6158833489360287E-5</c:v>
                </c:pt>
                <c:pt idx="244">
                  <c:v>1.4878427723393244E-5</c:v>
                </c:pt>
                <c:pt idx="245">
                  <c:v>1.4009060994517806E-5</c:v>
                </c:pt>
                <c:pt idx="246">
                  <c:v>1.3555025321701834E-5</c:v>
                </c:pt>
                <c:pt idx="247">
                  <c:v>1.3855123060097926E-5</c:v>
                </c:pt>
                <c:pt idx="248">
                  <c:v>1.4710035239865655E-5</c:v>
                </c:pt>
                <c:pt idx="249">
                  <c:v>1.612712162256775E-5</c:v>
                </c:pt>
                <c:pt idx="250">
                  <c:v>1.8114069211032999E-5</c:v>
                </c:pt>
                <c:pt idx="251">
                  <c:v>2.0678856016611857E-5</c:v>
                </c:pt>
                <c:pt idx="252">
                  <c:v>2.3829711982443016E-5</c:v>
                </c:pt>
                <c:pt idx="253">
                  <c:v>2.8266803349493519E-5</c:v>
                </c:pt>
                <c:pt idx="254">
                  <c:v>3.3788798775461691E-5</c:v>
                </c:pt>
                <c:pt idx="255">
                  <c:v>4.041191992307589E-5</c:v>
                </c:pt>
                <c:pt idx="256">
                  <c:v>4.8152558746013503E-5</c:v>
                </c:pt>
                <c:pt idx="257">
                  <c:v>5.702717961173327E-5</c:v>
                </c:pt>
                <c:pt idx="258">
                  <c:v>6.7052213588767544E-5</c:v>
                </c:pt>
                <c:pt idx="259">
                  <c:v>7.8243944603011075E-5</c:v>
                </c:pt>
                <c:pt idx="260">
                  <c:v>9.0623837106346334E-5</c:v>
                </c:pt>
                <c:pt idx="261">
                  <c:v>1.0564012808169999E-4</c:v>
                </c:pt>
                <c:pt idx="262">
                  <c:v>1.2297398351445433E-4</c:v>
                </c:pt>
                <c:pt idx="263">
                  <c:v>1.4266092385209874E-4</c:v>
                </c:pt>
                <c:pt idx="264">
                  <c:v>1.6473642191872534E-4</c:v>
                </c:pt>
                <c:pt idx="265">
                  <c:v>1.8923645910406327E-4</c:v>
                </c:pt>
                <c:pt idx="266">
                  <c:v>2.1619603588744283E-4</c:v>
                </c:pt>
                <c:pt idx="267">
                  <c:v>2.4493525835001385E-4</c:v>
                </c:pt>
                <c:pt idx="268">
                  <c:v>2.747241112668891E-4</c:v>
                </c:pt>
                <c:pt idx="269">
                  <c:v>3.055662526644124E-4</c:v>
                </c:pt>
                <c:pt idx="270">
                  <c:v>3.3746249093809537E-4</c:v>
                </c:pt>
                <c:pt idx="271">
                  <c:v>3.7041046006744784E-4</c:v>
                </c:pt>
                <c:pt idx="272">
                  <c:v>4.0440428768671698E-4</c:v>
                </c:pt>
                <c:pt idx="273">
                  <c:v>4.3943425849867233E-4</c:v>
                </c:pt>
                <c:pt idx="274">
                  <c:v>4.755095986858917E-4</c:v>
                </c:pt>
                <c:pt idx="275">
                  <c:v>5.0937714139462061E-4</c:v>
                </c:pt>
                <c:pt idx="276">
                  <c:v>5.3946267908192187E-4</c:v>
                </c:pt>
                <c:pt idx="277">
                  <c:v>5.6570477214305326E-4</c:v>
                </c:pt>
                <c:pt idx="278">
                  <c:v>5.8804315015316465E-4</c:v>
                </c:pt>
                <c:pt idx="279">
                  <c:v>6.0641889937203741E-4</c:v>
                </c:pt>
                <c:pt idx="280">
                  <c:v>6.207746420618665E-4</c:v>
                </c:pt>
                <c:pt idx="281">
                  <c:v>6.3031696377141447E-4</c:v>
                </c:pt>
                <c:pt idx="282">
                  <c:v>6.3575313408572155E-4</c:v>
                </c:pt>
                <c:pt idx="283">
                  <c:v>6.3703323038679217E-4</c:v>
                </c:pt>
                <c:pt idx="284">
                  <c:v>6.3410934265193178E-4</c:v>
                </c:pt>
                <c:pt idx="285">
                  <c:v>6.2693566890299052E-4</c:v>
                </c:pt>
                <c:pt idx="286">
                  <c:v>6.1546858408849305E-4</c:v>
                </c:pt>
                <c:pt idx="287">
                  <c:v>5.9966667947928382E-4</c:v>
                </c:pt>
                <c:pt idx="288">
                  <c:v>5.795044070290937E-4</c:v>
                </c:pt>
                <c:pt idx="289">
                  <c:v>5.5652882395873797E-4</c:v>
                </c:pt>
                <c:pt idx="290">
                  <c:v>5.3418016171592829E-4</c:v>
                </c:pt>
                <c:pt idx="291">
                  <c:v>5.1246607022312359E-4</c:v>
                </c:pt>
                <c:pt idx="292">
                  <c:v>4.9139475204726672E-4</c:v>
                </c:pt>
                <c:pt idx="293">
                  <c:v>4.7097488704706539E-4</c:v>
                </c:pt>
                <c:pt idx="294">
                  <c:v>4.5121555689231198E-4</c:v>
                </c:pt>
                <c:pt idx="295">
                  <c:v>4.3307479170099408E-4</c:v>
                </c:pt>
                <c:pt idx="296">
                  <c:v>4.173494062836117E-4</c:v>
                </c:pt>
                <c:pt idx="297">
                  <c:v>4.040657023010848E-4</c:v>
                </c:pt>
                <c:pt idx="298">
                  <c:v>3.932455319010252E-4</c:v>
                </c:pt>
                <c:pt idx="299">
                  <c:v>3.8490983398549152E-4</c:v>
                </c:pt>
                <c:pt idx="300">
                  <c:v>3.7907843888322184E-4</c:v>
                </c:pt>
                <c:pt idx="301">
                  <c:v>3.7576987498718392E-4</c:v>
                </c:pt>
                <c:pt idx="302">
                  <c:v>3.7502268710007223E-4</c:v>
                </c:pt>
                <c:pt idx="303">
                  <c:v>3.7738234474106181E-4</c:v>
                </c:pt>
                <c:pt idx="304">
                  <c:v>3.8122555037370799E-4</c:v>
                </c:pt>
                <c:pt idx="305">
                  <c:v>3.865610581539471E-4</c:v>
                </c:pt>
                <c:pt idx="306">
                  <c:v>3.933974708730461E-4</c:v>
                </c:pt>
                <c:pt idx="307">
                  <c:v>4.017431711274664E-4</c:v>
                </c:pt>
                <c:pt idx="308">
                  <c:v>4.1160624755284342E-4</c:v>
                </c:pt>
                <c:pt idx="309">
                  <c:v>4.2322822039326071E-4</c:v>
                </c:pt>
                <c:pt idx="310">
                  <c:v>4.3563470504681001E-4</c:v>
                </c:pt>
                <c:pt idx="311">
                  <c:v>4.4882759247039735E-4</c:v>
                </c:pt>
                <c:pt idx="312">
                  <c:v>4.6280826009756793E-4</c:v>
                </c:pt>
                <c:pt idx="313">
                  <c:v>4.7757748423227973E-4</c:v>
                </c:pt>
                <c:pt idx="314">
                  <c:v>4.9313534274479643E-4</c:v>
                </c:pt>
                <c:pt idx="315">
                  <c:v>5.0948110722018954E-4</c:v>
                </c:pt>
                <c:pt idx="316">
                  <c:v>5.2663548760771279E-4</c:v>
                </c:pt>
                <c:pt idx="317">
                  <c:v>5.4429275221141245E-4</c:v>
                </c:pt>
                <c:pt idx="318">
                  <c:v>5.6193620653580416E-4</c:v>
                </c:pt>
                <c:pt idx="319">
                  <c:v>5.7956983550290454E-4</c:v>
                </c:pt>
                <c:pt idx="320">
                  <c:v>5.9719769439500129E-4</c:v>
                </c:pt>
                <c:pt idx="321">
                  <c:v>6.1482382845756331E-4</c:v>
                </c:pt>
                <c:pt idx="322">
                  <c:v>6.3245218760768778E-4</c:v>
                </c:pt>
                <c:pt idx="323">
                  <c:v>6.49461689968528E-4</c:v>
                </c:pt>
                <c:pt idx="324">
                  <c:v>6.6561091176125413E-4</c:v>
                </c:pt>
                <c:pt idx="325">
                  <c:v>6.808969959551924E-4</c:v>
                </c:pt>
                <c:pt idx="326">
                  <c:v>6.953119734987573E-4</c:v>
                </c:pt>
                <c:pt idx="327">
                  <c:v>7.08849593939693E-4</c:v>
                </c:pt>
                <c:pt idx="328">
                  <c:v>7.2150626203224932E-4</c:v>
                </c:pt>
                <c:pt idx="329">
                  <c:v>7.3327752293055872E-4</c:v>
                </c:pt>
                <c:pt idx="330">
                  <c:v>7.4425378622549666E-4</c:v>
                </c:pt>
                <c:pt idx="331">
                  <c:v>7.5410720713454601E-4</c:v>
                </c:pt>
                <c:pt idx="332">
                  <c:v>7.631420487442909E-4</c:v>
                </c:pt>
                <c:pt idx="333">
                  <c:v>7.7131545543521044E-4</c:v>
                </c:pt>
                <c:pt idx="334">
                  <c:v>7.7857973333898497E-4</c:v>
                </c:pt>
                <c:pt idx="335">
                  <c:v>7.8488270321226032E-4</c:v>
                </c:pt>
                <c:pt idx="336">
                  <c:v>7.9016815256867856E-4</c:v>
                </c:pt>
                <c:pt idx="337">
                  <c:v>7.945525364709495E-4</c:v>
                </c:pt>
                <c:pt idx="338">
                  <c:v>7.9862721001058888E-4</c:v>
                </c:pt>
                <c:pt idx="339">
                  <c:v>8.023353311883614E-4</c:v>
                </c:pt>
                <c:pt idx="340">
                  <c:v>8.0561775424538241E-4</c:v>
                </c:pt>
                <c:pt idx="341">
                  <c:v>8.0841350903756916E-4</c:v>
                </c:pt>
                <c:pt idx="342">
                  <c:v>8.1066038853586987E-4</c:v>
                </c:pt>
                <c:pt idx="343">
                  <c:v>8.1229564457326389E-4</c:v>
                </c:pt>
                <c:pt idx="344">
                  <c:v>8.1339769133675975E-4</c:v>
                </c:pt>
                <c:pt idx="345">
                  <c:v>8.1407531760355634E-4</c:v>
                </c:pt>
                <c:pt idx="346">
                  <c:v>8.1466634219650076E-4</c:v>
                </c:pt>
                <c:pt idx="347">
                  <c:v>8.1515495647615946E-4</c:v>
                </c:pt>
                <c:pt idx="348">
                  <c:v>8.1552542902571501E-4</c:v>
                </c:pt>
                <c:pt idx="349">
                  <c:v>8.1576222729594816E-4</c:v>
                </c:pt>
                <c:pt idx="350">
                  <c:v>8.1585014243207863E-4</c:v>
                </c:pt>
                <c:pt idx="351">
                  <c:v>8.1571378563774727E-4</c:v>
                </c:pt>
                <c:pt idx="352">
                  <c:v>8.1516005512810412E-4</c:v>
                </c:pt>
                <c:pt idx="353">
                  <c:v>8.1417661301308908E-4</c:v>
                </c:pt>
                <c:pt idx="354">
                  <c:v>8.1275250125268294E-4</c:v>
                </c:pt>
                <c:pt idx="355">
                  <c:v>8.1087828379578224E-4</c:v>
                </c:pt>
                <c:pt idx="356">
                  <c:v>8.085444710215872E-4</c:v>
                </c:pt>
                <c:pt idx="357">
                  <c:v>8.057456085664498E-4</c:v>
                </c:pt>
                <c:pt idx="358">
                  <c:v>8.0240243408309891E-4</c:v>
                </c:pt>
                <c:pt idx="359">
                  <c:v>7.9847186956839389E-4</c:v>
                </c:pt>
                <c:pt idx="360">
                  <c:v>7.9417555532861517E-4</c:v>
                </c:pt>
                <c:pt idx="361">
                  <c:v>7.8961711081522348E-4</c:v>
                </c:pt>
                <c:pt idx="362">
                  <c:v>7.8484015713367139E-4</c:v>
                </c:pt>
                <c:pt idx="363">
                  <c:v>7.7988759748828969E-4</c:v>
                </c:pt>
                <c:pt idx="364">
                  <c:v>7.7480131598705476E-4</c:v>
                </c:pt>
                <c:pt idx="365">
                  <c:v>7.6962193118437262E-4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35048"/>
        <c:axId val="537235440"/>
      </c:lineChart>
      <c:dateAx>
        <c:axId val="5372350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5440"/>
        <c:crosses val="autoZero"/>
        <c:auto val="1"/>
        <c:lblOffset val="100"/>
        <c:baseTimeUnit val="days"/>
        <c:majorUnit val="1"/>
        <c:majorTimeUnit val="months"/>
      </c:dateAx>
      <c:valAx>
        <c:axId val="5372354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5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23.812337014176897</c:v>
                </c:pt>
                <c:pt idx="1">
                  <c:v>23.980124935942655</c:v>
                </c:pt>
                <c:pt idx="2">
                  <c:v>24.155123845365225</c:v>
                </c:pt>
                <c:pt idx="3">
                  <c:v>24.336199818655945</c:v>
                </c:pt>
                <c:pt idx="4">
                  <c:v>24.522219356314281</c:v>
                </c:pt>
                <c:pt idx="5">
                  <c:v>24.712049392464756</c:v>
                </c:pt>
                <c:pt idx="6">
                  <c:v>24.904557287775241</c:v>
                </c:pt>
                <c:pt idx="7">
                  <c:v>25.098610837087481</c:v>
                </c:pt>
                <c:pt idx="8">
                  <c:v>25.296566984692529</c:v>
                </c:pt>
                <c:pt idx="9">
                  <c:v>25.501405776687967</c:v>
                </c:pt>
                <c:pt idx="10">
                  <c:v>25.712911730931129</c:v>
                </c:pt>
                <c:pt idx="11">
                  <c:v>25.930865401670925</c:v>
                </c:pt>
                <c:pt idx="12">
                  <c:v>26.155047408826057</c:v>
                </c:pt>
                <c:pt idx="13">
                  <c:v>26.385238448211631</c:v>
                </c:pt>
                <c:pt idx="14">
                  <c:v>26.62121928497276</c:v>
                </c:pt>
                <c:pt idx="15">
                  <c:v>26.862778807233443</c:v>
                </c:pt>
                <c:pt idx="16">
                  <c:v>27.109688592319475</c:v>
                </c:pt>
                <c:pt idx="17">
                  <c:v>27.361729630549647</c:v>
                </c:pt>
                <c:pt idx="18">
                  <c:v>27.618682993542883</c:v>
                </c:pt>
                <c:pt idx="19">
                  <c:v>27.88032973763303</c:v>
                </c:pt>
                <c:pt idx="20">
                  <c:v>28.146450966077587</c:v>
                </c:pt>
                <c:pt idx="21">
                  <c:v>28.416827945995188</c:v>
                </c:pt>
                <c:pt idx="22">
                  <c:v>28.693930030896997</c:v>
                </c:pt>
                <c:pt idx="23">
                  <c:v>28.97970491386981</c:v>
                </c:pt>
                <c:pt idx="24">
                  <c:v>29.273145426476447</c:v>
                </c:pt>
                <c:pt idx="25">
                  <c:v>29.573259679480572</c:v>
                </c:pt>
                <c:pt idx="26">
                  <c:v>29.879056191728989</c:v>
                </c:pt>
                <c:pt idx="27">
                  <c:v>30.189543878403612</c:v>
                </c:pt>
                <c:pt idx="28">
                  <c:v>30.50373206451204</c:v>
                </c:pt>
                <c:pt idx="29">
                  <c:v>30.820617879358288</c:v>
                </c:pt>
                <c:pt idx="30">
                  <c:v>31.139203409064891</c:v>
                </c:pt>
                <c:pt idx="31">
                  <c:v>31.458499193114758</c:v>
                </c:pt>
                <c:pt idx="32">
                  <c:v>31.777516172683271</c:v>
                </c:pt>
                <c:pt idx="33">
                  <c:v>32.095265693085537</c:v>
                </c:pt>
                <c:pt idx="34">
                  <c:v>32.410759502132507</c:v>
                </c:pt>
                <c:pt idx="35">
                  <c:v>32.723009750559548</c:v>
                </c:pt>
                <c:pt idx="36">
                  <c:v>33.033071890172586</c:v>
                </c:pt>
                <c:pt idx="37">
                  <c:v>33.342767666346219</c:v>
                </c:pt>
                <c:pt idx="38">
                  <c:v>33.652300642099846</c:v>
                </c:pt>
                <c:pt idx="39">
                  <c:v>33.96186861945823</c:v>
                </c:pt>
                <c:pt idx="40">
                  <c:v>34.271669329373587</c:v>
                </c:pt>
                <c:pt idx="41">
                  <c:v>34.581900431105595</c:v>
                </c:pt>
                <c:pt idx="42">
                  <c:v>34.892759510239287</c:v>
                </c:pt>
                <c:pt idx="43">
                  <c:v>35.204403322377971</c:v>
                </c:pt>
                <c:pt idx="44">
                  <c:v>35.517041884706124</c:v>
                </c:pt>
                <c:pt idx="45">
                  <c:v>35.830872538004499</c:v>
                </c:pt>
                <c:pt idx="46">
                  <c:v>36.146092540253846</c:v>
                </c:pt>
                <c:pt idx="47">
                  <c:v>36.462899065860526</c:v>
                </c:pt>
                <c:pt idx="48">
                  <c:v>36.781489201905202</c:v>
                </c:pt>
                <c:pt idx="49">
                  <c:v>37.102059945902703</c:v>
                </c:pt>
                <c:pt idx="50">
                  <c:v>37.424956275120294</c:v>
                </c:pt>
                <c:pt idx="51">
                  <c:v>37.750213341276847</c:v>
                </c:pt>
                <c:pt idx="52">
                  <c:v>38.07755850738932</c:v>
                </c:pt>
                <c:pt idx="53">
                  <c:v>38.40669520943225</c:v>
                </c:pt>
                <c:pt idx="54">
                  <c:v>38.737326920986291</c:v>
                </c:pt>
                <c:pt idx="55">
                  <c:v>39.069157207440213</c:v>
                </c:pt>
                <c:pt idx="56">
                  <c:v>39.401889721252637</c:v>
                </c:pt>
                <c:pt idx="57">
                  <c:v>39.735317712058794</c:v>
                </c:pt>
                <c:pt idx="58">
                  <c:v>40.069185943360054</c:v>
                </c:pt>
                <c:pt idx="59">
                  <c:v>40.403198405788245</c:v>
                </c:pt>
                <c:pt idx="60">
                  <c:v>40.737059169848983</c:v>
                </c:pt>
                <c:pt idx="61">
                  <c:v>41.070472384398428</c:v>
                </c:pt>
                <c:pt idx="62">
                  <c:v>41.403142276091174</c:v>
                </c:pt>
                <c:pt idx="63">
                  <c:v>41.734773148899563</c:v>
                </c:pt>
                <c:pt idx="64">
                  <c:v>42.066235911684608</c:v>
                </c:pt>
                <c:pt idx="65">
                  <c:v>42.398487987850125</c:v>
                </c:pt>
                <c:pt idx="66">
                  <c:v>42.731312635267919</c:v>
                </c:pt>
                <c:pt idx="67">
                  <c:v>43.06451243161176</c:v>
                </c:pt>
                <c:pt idx="68">
                  <c:v>43.397890013955298</c:v>
                </c:pt>
                <c:pt idx="69">
                  <c:v>43.731248083369351</c:v>
                </c:pt>
                <c:pt idx="70">
                  <c:v>44.064389409929852</c:v>
                </c:pt>
                <c:pt idx="71">
                  <c:v>44.397075116731109</c:v>
                </c:pt>
                <c:pt idx="72">
                  <c:v>44.729018152642375</c:v>
                </c:pt>
                <c:pt idx="73">
                  <c:v>45.060021334219272</c:v>
                </c:pt>
                <c:pt idx="74">
                  <c:v>45.389887534745696</c:v>
                </c:pt>
                <c:pt idx="75">
                  <c:v>45.718419685221633</c:v>
                </c:pt>
                <c:pt idx="76">
                  <c:v>46.045420777147783</c:v>
                </c:pt>
                <c:pt idx="77">
                  <c:v>46.370693862654157</c:v>
                </c:pt>
                <c:pt idx="78">
                  <c:v>46.69666728499967</c:v>
                </c:pt>
                <c:pt idx="79">
                  <c:v>47.025221522203843</c:v>
                </c:pt>
                <c:pt idx="80">
                  <c:v>47.355349091041248</c:v>
                </c:pt>
                <c:pt idx="81">
                  <c:v>47.686064508572059</c:v>
                </c:pt>
                <c:pt idx="82">
                  <c:v>48.016382629043171</c:v>
                </c:pt>
                <c:pt idx="83">
                  <c:v>48.345318640855233</c:v>
                </c:pt>
                <c:pt idx="84">
                  <c:v>48.67188806865714</c:v>
                </c:pt>
                <c:pt idx="85">
                  <c:v>48.995095915267207</c:v>
                </c:pt>
                <c:pt idx="86">
                  <c:v>49.314000509719968</c:v>
                </c:pt>
                <c:pt idx="87">
                  <c:v>49.627618490275957</c:v>
                </c:pt>
                <c:pt idx="88">
                  <c:v>49.934966853690391</c:v>
                </c:pt>
                <c:pt idx="89">
                  <c:v>50.236346547307484</c:v>
                </c:pt>
                <c:pt idx="90">
                  <c:v>50.528005632649645</c:v>
                </c:pt>
                <c:pt idx="91">
                  <c:v>50.810480759296702</c:v>
                </c:pt>
                <c:pt idx="92">
                  <c:v>51.085461363290619</c:v>
                </c:pt>
                <c:pt idx="93">
                  <c:v>51.355226018852939</c:v>
                </c:pt>
                <c:pt idx="94">
                  <c:v>51.619677044362263</c:v>
                </c:pt>
                <c:pt idx="95">
                  <c:v>51.878716800896193</c:v>
                </c:pt>
                <c:pt idx="96">
                  <c:v>52.132247697665058</c:v>
                </c:pt>
                <c:pt idx="97">
                  <c:v>52.380172200741605</c:v>
                </c:pt>
                <c:pt idx="98">
                  <c:v>52.622392827496192</c:v>
                </c:pt>
                <c:pt idx="99">
                  <c:v>52.858812135684694</c:v>
                </c:pt>
                <c:pt idx="100">
                  <c:v>53.089332759607835</c:v>
                </c:pt>
                <c:pt idx="101">
                  <c:v>53.313857396419763</c:v>
                </c:pt>
                <c:pt idx="102">
                  <c:v>53.532288809121013</c:v>
                </c:pt>
                <c:pt idx="103">
                  <c:v>53.744529829841262</c:v>
                </c:pt>
                <c:pt idx="104">
                  <c:v>53.950483363957311</c:v>
                </c:pt>
                <c:pt idx="105">
                  <c:v>54.150052393006</c:v>
                </c:pt>
                <c:pt idx="106">
                  <c:v>54.342747302358937</c:v>
                </c:pt>
                <c:pt idx="107">
                  <c:v>54.528340406013015</c:v>
                </c:pt>
                <c:pt idx="108">
                  <c:v>54.707127687401943</c:v>
                </c:pt>
                <c:pt idx="109">
                  <c:v>54.879405037217424</c:v>
                </c:pt>
                <c:pt idx="110">
                  <c:v>55.045468268760921</c:v>
                </c:pt>
                <c:pt idx="111">
                  <c:v>55.205613120363587</c:v>
                </c:pt>
                <c:pt idx="112">
                  <c:v>55.360135251661681</c:v>
                </c:pt>
                <c:pt idx="113">
                  <c:v>55.509330079573715</c:v>
                </c:pt>
                <c:pt idx="114">
                  <c:v>55.65349315818051</c:v>
                </c:pt>
                <c:pt idx="115">
                  <c:v>55.792919909717384</c:v>
                </c:pt>
                <c:pt idx="116">
                  <c:v>55.927905683975403</c:v>
                </c:pt>
                <c:pt idx="117">
                  <c:v>56.058745761461957</c:v>
                </c:pt>
                <c:pt idx="118">
                  <c:v>56.185735354590271</c:v>
                </c:pt>
                <c:pt idx="119">
                  <c:v>56.309169607570588</c:v>
                </c:pt>
                <c:pt idx="120">
                  <c:v>56.428396084055329</c:v>
                </c:pt>
                <c:pt idx="121">
                  <c:v>56.542631791648233</c:v>
                </c:pt>
                <c:pt idx="122">
                  <c:v>56.651976530280159</c:v>
                </c:pt>
                <c:pt idx="123">
                  <c:v>56.756529965664448</c:v>
                </c:pt>
                <c:pt idx="124">
                  <c:v>56.856391796258436</c:v>
                </c:pt>
                <c:pt idx="125">
                  <c:v>56.95166175641608</c:v>
                </c:pt>
                <c:pt idx="126">
                  <c:v>57.042439613656043</c:v>
                </c:pt>
                <c:pt idx="127">
                  <c:v>57.128826268688925</c:v>
                </c:pt>
                <c:pt idx="128">
                  <c:v>57.210922142691579</c:v>
                </c:pt>
                <c:pt idx="129">
                  <c:v>57.28882735967148</c:v>
                </c:pt>
                <c:pt idx="130">
                  <c:v>57.362642093077383</c:v>
                </c:pt>
                <c:pt idx="131">
                  <c:v>57.432466576835381</c:v>
                </c:pt>
                <c:pt idx="132">
                  <c:v>57.498401095067713</c:v>
                </c:pt>
                <c:pt idx="133">
                  <c:v>57.560545988861378</c:v>
                </c:pt>
                <c:pt idx="134">
                  <c:v>57.618332942325445</c:v>
                </c:pt>
                <c:pt idx="135">
                  <c:v>57.671261357128529</c:v>
                </c:pt>
                <c:pt idx="136">
                  <c:v>57.71953084207702</c:v>
                </c:pt>
                <c:pt idx="137">
                  <c:v>57.763340562738456</c:v>
                </c:pt>
                <c:pt idx="138">
                  <c:v>57.802889707529829</c:v>
                </c:pt>
                <c:pt idx="139">
                  <c:v>57.838377476462121</c:v>
                </c:pt>
                <c:pt idx="140">
                  <c:v>57.870003081939529</c:v>
                </c:pt>
                <c:pt idx="141">
                  <c:v>57.897964847701886</c:v>
                </c:pt>
                <c:pt idx="142">
                  <c:v>57.922459738291224</c:v>
                </c:pt>
                <c:pt idx="143">
                  <c:v>57.943686591884919</c:v>
                </c:pt>
                <c:pt idx="144">
                  <c:v>57.96184421067835</c:v>
                </c:pt>
                <c:pt idx="145">
                  <c:v>57.977131359435582</c:v>
                </c:pt>
                <c:pt idx="146">
                  <c:v>57.989746756207687</c:v>
                </c:pt>
                <c:pt idx="147">
                  <c:v>57.999889064152029</c:v>
                </c:pt>
                <c:pt idx="148">
                  <c:v>58.00748008405202</c:v>
                </c:pt>
                <c:pt idx="149">
                  <c:v>58.01224431102812</c:v>
                </c:pt>
                <c:pt idx="150">
                  <c:v>58.01408340472441</c:v>
                </c:pt>
                <c:pt idx="151">
                  <c:v>58.012902504173162</c:v>
                </c:pt>
                <c:pt idx="152">
                  <c:v>58.008606774265267</c:v>
                </c:pt>
                <c:pt idx="153">
                  <c:v>58.00110139634927</c:v>
                </c:pt>
                <c:pt idx="154">
                  <c:v>57.990291562652793</c:v>
                </c:pt>
                <c:pt idx="155">
                  <c:v>57.976082188087716</c:v>
                </c:pt>
                <c:pt idx="156">
                  <c:v>57.958379944374784</c:v>
                </c:pt>
                <c:pt idx="157">
                  <c:v>57.93709011338089</c:v>
                </c:pt>
                <c:pt idx="158">
                  <c:v>57.912117955568554</c:v>
                </c:pt>
                <c:pt idx="159">
                  <c:v>57.883368701566098</c:v>
                </c:pt>
                <c:pt idx="160">
                  <c:v>57.850747544795219</c:v>
                </c:pt>
                <c:pt idx="161">
                  <c:v>57.81415963927185</c:v>
                </c:pt>
                <c:pt idx="162">
                  <c:v>57.772908634867719</c:v>
                </c:pt>
                <c:pt idx="163">
                  <c:v>57.726623547854722</c:v>
                </c:pt>
                <c:pt idx="164">
                  <c:v>57.675700362464369</c:v>
                </c:pt>
                <c:pt idx="165">
                  <c:v>57.620531855642703</c:v>
                </c:pt>
                <c:pt idx="166">
                  <c:v>57.561510506971189</c:v>
                </c:pt>
                <c:pt idx="167">
                  <c:v>57.499028495818173</c:v>
                </c:pt>
                <c:pt idx="168">
                  <c:v>57.433477701281689</c:v>
                </c:pt>
                <c:pt idx="169">
                  <c:v>57.365249784727446</c:v>
                </c:pt>
                <c:pt idx="170">
                  <c:v>57.294736434618457</c:v>
                </c:pt>
                <c:pt idx="171">
                  <c:v>57.222328657881818</c:v>
                </c:pt>
                <c:pt idx="172">
                  <c:v>57.148417162219005</c:v>
                </c:pt>
                <c:pt idx="173">
                  <c:v>57.07339236127622</c:v>
                </c:pt>
                <c:pt idx="174">
                  <c:v>56.997644378871804</c:v>
                </c:pt>
                <c:pt idx="175">
                  <c:v>56.921563046244174</c:v>
                </c:pt>
                <c:pt idx="176">
                  <c:v>56.844564112284161</c:v>
                </c:pt>
                <c:pt idx="177">
                  <c:v>56.765803340814045</c:v>
                </c:pt>
                <c:pt idx="178">
                  <c:v>56.685280867285364</c:v>
                </c:pt>
                <c:pt idx="179">
                  <c:v>56.602996811225104</c:v>
                </c:pt>
                <c:pt idx="180">
                  <c:v>56.518951188357221</c:v>
                </c:pt>
                <c:pt idx="181">
                  <c:v>56.433143916014636</c:v>
                </c:pt>
                <c:pt idx="182">
                  <c:v>56.345574815430545</c:v>
                </c:pt>
                <c:pt idx="183">
                  <c:v>56.256239093351013</c:v>
                </c:pt>
                <c:pt idx="184">
                  <c:v>56.16513610663587</c:v>
                </c:pt>
                <c:pt idx="185">
                  <c:v>56.072265253479301</c:v>
                </c:pt>
                <c:pt idx="186">
                  <c:v>55.977625874327941</c:v>
                </c:pt>
                <c:pt idx="187">
                  <c:v>55.881217257484067</c:v>
                </c:pt>
                <c:pt idx="188">
                  <c:v>55.78303865098723</c:v>
                </c:pt>
                <c:pt idx="189">
                  <c:v>55.683089264854907</c:v>
                </c:pt>
                <c:pt idx="190">
                  <c:v>55.581157595823925</c:v>
                </c:pt>
                <c:pt idx="191">
                  <c:v>55.477094050033358</c:v>
                </c:pt>
                <c:pt idx="192">
                  <c:v>55.370995586917481</c:v>
                </c:pt>
                <c:pt idx="193">
                  <c:v>55.262958573048984</c:v>
                </c:pt>
                <c:pt idx="194">
                  <c:v>55.153079342918907</c:v>
                </c:pt>
                <c:pt idx="195">
                  <c:v>55.041454208235635</c:v>
                </c:pt>
                <c:pt idx="196">
                  <c:v>54.928179462008529</c:v>
                </c:pt>
                <c:pt idx="197">
                  <c:v>54.813361114597647</c:v>
                </c:pt>
                <c:pt idx="198">
                  <c:v>54.697100969899829</c:v>
                </c:pt>
                <c:pt idx="199">
                  <c:v>54.579495640887771</c:v>
                </c:pt>
                <c:pt idx="200">
                  <c:v>54.460641724566614</c:v>
                </c:pt>
                <c:pt idx="201">
                  <c:v>54.340635807093058</c:v>
                </c:pt>
                <c:pt idx="202">
                  <c:v>54.219574469216901</c:v>
                </c:pt>
                <c:pt idx="203">
                  <c:v>54.097554291515337</c:v>
                </c:pt>
                <c:pt idx="204">
                  <c:v>53.974429080917737</c:v>
                </c:pt>
                <c:pt idx="205">
                  <c:v>53.84999567447187</c:v>
                </c:pt>
                <c:pt idx="206">
                  <c:v>53.724257190746584</c:v>
                </c:pt>
                <c:pt idx="207">
                  <c:v>53.597213511446391</c:v>
                </c:pt>
                <c:pt idx="208">
                  <c:v>53.468864553849663</c:v>
                </c:pt>
                <c:pt idx="209">
                  <c:v>53.339210273813848</c:v>
                </c:pt>
                <c:pt idx="210">
                  <c:v>53.208250666371391</c:v>
                </c:pt>
                <c:pt idx="211">
                  <c:v>53.075983162484235</c:v>
                </c:pt>
                <c:pt idx="212">
                  <c:v>52.942397164011446</c:v>
                </c:pt>
                <c:pt idx="213">
                  <c:v>52.807492619960868</c:v>
                </c:pt>
                <c:pt idx="214">
                  <c:v>52.671269531009216</c:v>
                </c:pt>
                <c:pt idx="215">
                  <c:v>52.533727948846163</c:v>
                </c:pt>
                <c:pt idx="216">
                  <c:v>52.394867973570854</c:v>
                </c:pt>
                <c:pt idx="217">
                  <c:v>52.254689752127149</c:v>
                </c:pt>
                <c:pt idx="218">
                  <c:v>52.113403616816321</c:v>
                </c:pt>
                <c:pt idx="219">
                  <c:v>51.971152289990229</c:v>
                </c:pt>
                <c:pt idx="220">
                  <c:v>51.827830778602944</c:v>
                </c:pt>
                <c:pt idx="221">
                  <c:v>51.683342261596742</c:v>
                </c:pt>
                <c:pt idx="222">
                  <c:v>51.537589995370233</c:v>
                </c:pt>
                <c:pt idx="223">
                  <c:v>51.390477308470352</c:v>
                </c:pt>
                <c:pt idx="224">
                  <c:v>51.241907598788629</c:v>
                </c:pt>
                <c:pt idx="225">
                  <c:v>51.091782395062914</c:v>
                </c:pt>
                <c:pt idx="226">
                  <c:v>50.94000794676014</c:v>
                </c:pt>
                <c:pt idx="227">
                  <c:v>50.786487847898876</c:v>
                </c:pt>
                <c:pt idx="228">
                  <c:v>50.631125748339279</c:v>
                </c:pt>
                <c:pt idx="229">
                  <c:v>50.473825352430566</c:v>
                </c:pt>
                <c:pt idx="230">
                  <c:v>50.314490416724645</c:v>
                </c:pt>
                <c:pt idx="231">
                  <c:v>50.153024744671185</c:v>
                </c:pt>
                <c:pt idx="232">
                  <c:v>49.991253415570675</c:v>
                </c:pt>
                <c:pt idx="233">
                  <c:v>49.830547687109949</c:v>
                </c:pt>
                <c:pt idx="234">
                  <c:v>49.67013567602455</c:v>
                </c:pt>
                <c:pt idx="235">
                  <c:v>49.509242770119911</c:v>
                </c:pt>
                <c:pt idx="236">
                  <c:v>49.347094636704128</c:v>
                </c:pt>
                <c:pt idx="237">
                  <c:v>49.182917218555218</c:v>
                </c:pt>
                <c:pt idx="238">
                  <c:v>49.015936732602547</c:v>
                </c:pt>
                <c:pt idx="239">
                  <c:v>48.845379290017163</c:v>
                </c:pt>
                <c:pt idx="240">
                  <c:v>48.670473630336026</c:v>
                </c:pt>
                <c:pt idx="241">
                  <c:v>48.490446783248601</c:v>
                </c:pt>
                <c:pt idx="242">
                  <c:v>48.30452604474376</c:v>
                </c:pt>
                <c:pt idx="243">
                  <c:v>48.111938972130567</c:v>
                </c:pt>
                <c:pt idx="244">
                  <c:v>47.911913385690319</c:v>
                </c:pt>
                <c:pt idx="245">
                  <c:v>47.703677359787783</c:v>
                </c:pt>
                <c:pt idx="246">
                  <c:v>47.487555766421849</c:v>
                </c:pt>
                <c:pt idx="247">
                  <c:v>47.264647121491102</c:v>
                </c:pt>
                <c:pt idx="248">
                  <c:v>47.035341571066084</c:v>
                </c:pt>
                <c:pt idx="249">
                  <c:v>46.800027929956144</c:v>
                </c:pt>
                <c:pt idx="250">
                  <c:v>46.559094889426092</c:v>
                </c:pt>
                <c:pt idx="251">
                  <c:v>46.312931009496033</c:v>
                </c:pt>
                <c:pt idx="252">
                  <c:v>46.061924728115514</c:v>
                </c:pt>
                <c:pt idx="253">
                  <c:v>45.806464216777549</c:v>
                </c:pt>
                <c:pt idx="254">
                  <c:v>45.546938040257025</c:v>
                </c:pt>
                <c:pt idx="255">
                  <c:v>45.283734257046987</c:v>
                </c:pt>
                <c:pt idx="256">
                  <c:v>45.01724080091882</c:v>
                </c:pt>
                <c:pt idx="257">
                  <c:v>44.747845479942846</c:v>
                </c:pt>
                <c:pt idx="258">
                  <c:v>44.475935976054991</c:v>
                </c:pt>
                <c:pt idx="259">
                  <c:v>44.201899844502528</c:v>
                </c:pt>
                <c:pt idx="260">
                  <c:v>43.923482913630686</c:v>
                </c:pt>
                <c:pt idx="261">
                  <c:v>43.63868950734188</c:v>
                </c:pt>
                <c:pt idx="262">
                  <c:v>43.348294656754824</c:v>
                </c:pt>
                <c:pt idx="263">
                  <c:v>43.053072928305596</c:v>
                </c:pt>
                <c:pt idx="264">
                  <c:v>42.753798624750253</c:v>
                </c:pt>
                <c:pt idx="265">
                  <c:v>42.451245780984578</c:v>
                </c:pt>
                <c:pt idx="266">
                  <c:v>42.146188164668153</c:v>
                </c:pt>
                <c:pt idx="267">
                  <c:v>41.839394083570575</c:v>
                </c:pt>
                <c:pt idx="268">
                  <c:v>41.531636934895367</c:v>
                </c:pt>
                <c:pt idx="269">
                  <c:v>41.223689719823781</c:v>
                </c:pt>
                <c:pt idx="270">
                  <c:v>40.916325177250926</c:v>
                </c:pt>
                <c:pt idx="271">
                  <c:v>40.610315785569746</c:v>
                </c:pt>
                <c:pt idx="272">
                  <c:v>40.306433763695289</c:v>
                </c:pt>
                <c:pt idx="273">
                  <c:v>40.005451072662041</c:v>
                </c:pt>
                <c:pt idx="274">
                  <c:v>39.706208514598764</c:v>
                </c:pt>
                <c:pt idx="275">
                  <c:v>39.407028871651086</c:v>
                </c:pt>
                <c:pt idx="276">
                  <c:v>39.107911880614822</c:v>
                </c:pt>
                <c:pt idx="277">
                  <c:v>38.808857328768902</c:v>
                </c:pt>
                <c:pt idx="278">
                  <c:v>38.509864938682526</c:v>
                </c:pt>
                <c:pt idx="279">
                  <c:v>38.210934365374705</c:v>
                </c:pt>
                <c:pt idx="280">
                  <c:v>37.912065193819046</c:v>
                </c:pt>
                <c:pt idx="281">
                  <c:v>37.613265177363296</c:v>
                </c:pt>
                <c:pt idx="282">
                  <c:v>37.314538645849765</c:v>
                </c:pt>
                <c:pt idx="283">
                  <c:v>37.015884803703067</c:v>
                </c:pt>
                <c:pt idx="284">
                  <c:v>36.717302768044611</c:v>
                </c:pt>
                <c:pt idx="285">
                  <c:v>36.418791568569141</c:v>
                </c:pt>
                <c:pt idx="286">
                  <c:v>36.12035014802197</c:v>
                </c:pt>
                <c:pt idx="287">
                  <c:v>35.821977363312477</c:v>
                </c:pt>
                <c:pt idx="288">
                  <c:v>35.522835995538891</c:v>
                </c:pt>
                <c:pt idx="289">
                  <c:v>35.222350874620311</c:v>
                </c:pt>
                <c:pt idx="290">
                  <c:v>34.920909795530491</c:v>
                </c:pt>
                <c:pt idx="291">
                  <c:v>34.618897112177706</c:v>
                </c:pt>
                <c:pt idx="292">
                  <c:v>34.316697013157857</c:v>
                </c:pt>
                <c:pt idx="293">
                  <c:v>34.014693531042141</c:v>
                </c:pt>
                <c:pt idx="294">
                  <c:v>33.713270548901832</c:v>
                </c:pt>
                <c:pt idx="295">
                  <c:v>33.412808218293904</c:v>
                </c:pt>
                <c:pt idx="296">
                  <c:v>33.113682548615465</c:v>
                </c:pt>
                <c:pt idx="297">
                  <c:v>32.816277233064476</c:v>
                </c:pt>
                <c:pt idx="298">
                  <c:v>32.520975869673265</c:v>
                </c:pt>
                <c:pt idx="299">
                  <c:v>32.228161961059534</c:v>
                </c:pt>
                <c:pt idx="300">
                  <c:v>31.938218923351641</c:v>
                </c:pt>
                <c:pt idx="301">
                  <c:v>31.651530092940789</c:v>
                </c:pt>
                <c:pt idx="302">
                  <c:v>31.366679465836665</c:v>
                </c:pt>
                <c:pt idx="303">
                  <c:v>31.082248895897205</c:v>
                </c:pt>
                <c:pt idx="304">
                  <c:v>30.798617793663752</c:v>
                </c:pt>
                <c:pt idx="305">
                  <c:v>30.516169924745654</c:v>
                </c:pt>
                <c:pt idx="306">
                  <c:v>30.235289010445165</c:v>
                </c:pt>
                <c:pt idx="307">
                  <c:v>29.956358740626946</c:v>
                </c:pt>
                <c:pt idx="308">
                  <c:v>29.67976277277398</c:v>
                </c:pt>
                <c:pt idx="309">
                  <c:v>29.405883287064565</c:v>
                </c:pt>
                <c:pt idx="310">
                  <c:v>29.135107183496803</c:v>
                </c:pt>
                <c:pt idx="311">
                  <c:v>28.867818033597818</c:v>
                </c:pt>
                <c:pt idx="312">
                  <c:v>28.604399397478357</c:v>
                </c:pt>
                <c:pt idx="313">
                  <c:v>28.345234832107391</c:v>
                </c:pt>
                <c:pt idx="314">
                  <c:v>28.09070789063863</c:v>
                </c:pt>
                <c:pt idx="315">
                  <c:v>27.841202127994716</c:v>
                </c:pt>
                <c:pt idx="316">
                  <c:v>27.595929160859576</c:v>
                </c:pt>
                <c:pt idx="317">
                  <c:v>27.353907280523792</c:v>
                </c:pt>
                <c:pt idx="318">
                  <c:v>27.115233698866767</c:v>
                </c:pt>
                <c:pt idx="319">
                  <c:v>26.880003462378529</c:v>
                </c:pt>
                <c:pt idx="320">
                  <c:v>26.64831168011726</c:v>
                </c:pt>
                <c:pt idx="321">
                  <c:v>26.420253532488989</c:v>
                </c:pt>
                <c:pt idx="322">
                  <c:v>26.195924261478996</c:v>
                </c:pt>
                <c:pt idx="323">
                  <c:v>25.975421680672532</c:v>
                </c:pt>
                <c:pt idx="324">
                  <c:v>25.758842433604034</c:v>
                </c:pt>
                <c:pt idx="325">
                  <c:v>25.546281888825419</c:v>
                </c:pt>
                <c:pt idx="326">
                  <c:v>25.337835483623529</c:v>
                </c:pt>
                <c:pt idx="327">
                  <c:v>25.133598710030405</c:v>
                </c:pt>
                <c:pt idx="328">
                  <c:v>24.933667110083096</c:v>
                </c:pt>
                <c:pt idx="329">
                  <c:v>24.73813627862738</c:v>
                </c:pt>
                <c:pt idx="330">
                  <c:v>24.543941677919669</c:v>
                </c:pt>
                <c:pt idx="331">
                  <c:v>24.348855617738216</c:v>
                </c:pt>
                <c:pt idx="332">
                  <c:v>24.154226752784858</c:v>
                </c:pt>
                <c:pt idx="333">
                  <c:v>23.961402619237017</c:v>
                </c:pt>
                <c:pt idx="334">
                  <c:v>23.771730497254676</c:v>
                </c:pt>
                <c:pt idx="335">
                  <c:v>23.586557381025525</c:v>
                </c:pt>
                <c:pt idx="336">
                  <c:v>23.407229974032106</c:v>
                </c:pt>
                <c:pt idx="337">
                  <c:v>23.235094019327114</c:v>
                </c:pt>
                <c:pt idx="338">
                  <c:v>23.071493264922992</c:v>
                </c:pt>
                <c:pt idx="339">
                  <c:v>22.917773473327351</c:v>
                </c:pt>
                <c:pt idx="340">
                  <c:v>22.775280040234588</c:v>
                </c:pt>
                <c:pt idx="341">
                  <c:v>22.645357990659807</c:v>
                </c:pt>
                <c:pt idx="342">
                  <c:v>22.529351962380606</c:v>
                </c:pt>
                <c:pt idx="343">
                  <c:v>22.428606193806083</c:v>
                </c:pt>
                <c:pt idx="344">
                  <c:v>22.340593593590359</c:v>
                </c:pt>
                <c:pt idx="345">
                  <c:v>22.262045781229101</c:v>
                </c:pt>
                <c:pt idx="346">
                  <c:v>22.193192764824754</c:v>
                </c:pt>
                <c:pt idx="347">
                  <c:v>22.134266411533364</c:v>
                </c:pt>
                <c:pt idx="348">
                  <c:v>22.085498489748861</c:v>
                </c:pt>
                <c:pt idx="349">
                  <c:v>22.047120678606504</c:v>
                </c:pt>
                <c:pt idx="350">
                  <c:v>22.019364555060591</c:v>
                </c:pt>
                <c:pt idx="351">
                  <c:v>22.002461490637938</c:v>
                </c:pt>
                <c:pt idx="352">
                  <c:v>21.996643491705068</c:v>
                </c:pt>
                <c:pt idx="353">
                  <c:v>22.002141817351674</c:v>
                </c:pt>
                <c:pt idx="354">
                  <c:v>22.01918763200565</c:v>
                </c:pt>
                <c:pt idx="355">
                  <c:v>22.04801199216304</c:v>
                </c:pt>
                <c:pt idx="356">
                  <c:v>22.088845854739208</c:v>
                </c:pt>
                <c:pt idx="357">
                  <c:v>22.141920044670101</c:v>
                </c:pt>
                <c:pt idx="358">
                  <c:v>22.209441339575637</c:v>
                </c:pt>
                <c:pt idx="359">
                  <c:v>22.292729557633088</c:v>
                </c:pt>
                <c:pt idx="360">
                  <c:v>22.390684620952182</c:v>
                </c:pt>
                <c:pt idx="361">
                  <c:v>22.502207476838258</c:v>
                </c:pt>
                <c:pt idx="362">
                  <c:v>22.626199262944141</c:v>
                </c:pt>
                <c:pt idx="363">
                  <c:v>22.76156143033926</c:v>
                </c:pt>
                <c:pt idx="364">
                  <c:v>22.907195725445181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22.647648717006014</c:v>
                </c:pt>
                <c:pt idx="1">
                  <c:v>16.284286867696299</c:v>
                </c:pt>
                <c:pt idx="2">
                  <c:v>17.523726883193831</c:v>
                </c:pt>
                <c:pt idx="3">
                  <c:v>18.515644648594709</c:v>
                </c:pt>
                <c:pt idx="4">
                  <c:v>14.741509454396654</c:v>
                </c:pt>
                <c:pt idx="5">
                  <c:v>21.257575052312177</c:v>
                </c:pt>
                <c:pt idx="6">
                  <c:v>10.870889212206277</c:v>
                </c:pt>
                <c:pt idx="7">
                  <c:v>7.6259588382633341</c:v>
                </c:pt>
                <c:pt idx="8">
                  <c:v>2.2509437779799324</c:v>
                </c:pt>
                <c:pt idx="9">
                  <c:v>1.7471537348696724</c:v>
                </c:pt>
                <c:pt idx="10">
                  <c:v>25.178207551989605</c:v>
                </c:pt>
                <c:pt idx="11">
                  <c:v>21.482127689474041</c:v>
                </c:pt>
                <c:pt idx="12">
                  <c:v>5.1731932423743281</c:v>
                </c:pt>
                <c:pt idx="13">
                  <c:v>25.575505745640857</c:v>
                </c:pt>
                <c:pt idx="14">
                  <c:v>27.17736332006363</c:v>
                </c:pt>
                <c:pt idx="15">
                  <c:v>26.692039142023255</c:v>
                </c:pt>
                <c:pt idx="16">
                  <c:v>13.663163521207979</c:v>
                </c:pt>
                <c:pt idx="17">
                  <c:v>3.6072569880355565</c:v>
                </c:pt>
                <c:pt idx="18">
                  <c:v>10.433946528027468</c:v>
                </c:pt>
                <c:pt idx="19">
                  <c:v>6.5635998753658269</c:v>
                </c:pt>
                <c:pt idx="20">
                  <c:v>20.965321248364383</c:v>
                </c:pt>
                <c:pt idx="21">
                  <c:v>28.287992625697342</c:v>
                </c:pt>
                <c:pt idx="22">
                  <c:v>28.353299758862285</c:v>
                </c:pt>
                <c:pt idx="23">
                  <c:v>28.990597334320753</c:v>
                </c:pt>
                <c:pt idx="24">
                  <c:v>27.609901083659423</c:v>
                </c:pt>
                <c:pt idx="25">
                  <c:v>28.595077511726426</c:v>
                </c:pt>
                <c:pt idx="26">
                  <c:v>26.642407161353372</c:v>
                </c:pt>
                <c:pt idx="27">
                  <c:v>4.3517385492645611</c:v>
                </c:pt>
                <c:pt idx="28">
                  <c:v>9.5424698066427851</c:v>
                </c:pt>
                <c:pt idx="29">
                  <c:v>4.5388461310027282</c:v>
                </c:pt>
                <c:pt idx="30">
                  <c:v>9.2833112157212767</c:v>
                </c:pt>
                <c:pt idx="31">
                  <c:v>13.477238975116505</c:v>
                </c:pt>
                <c:pt idx="32">
                  <c:v>5.4139990124919599</c:v>
                </c:pt>
                <c:pt idx="33">
                  <c:v>10.204553063072376</c:v>
                </c:pt>
                <c:pt idx="34">
                  <c:v>10.104375660256625</c:v>
                </c:pt>
                <c:pt idx="35">
                  <c:v>9.7761583171636932</c:v>
                </c:pt>
                <c:pt idx="36">
                  <c:v>22.366099618373077</c:v>
                </c:pt>
                <c:pt idx="37">
                  <c:v>9.5971950447401593</c:v>
                </c:pt>
                <c:pt idx="38">
                  <c:v>33.638503490009832</c:v>
                </c:pt>
                <c:pt idx="39">
                  <c:v>33.859301672158594</c:v>
                </c:pt>
                <c:pt idx="40">
                  <c:v>31.476007550661265</c:v>
                </c:pt>
                <c:pt idx="41">
                  <c:v>17.570964498538007</c:v>
                </c:pt>
                <c:pt idx="42">
                  <c:v>26.694527369482458</c:v>
                </c:pt>
                <c:pt idx="43">
                  <c:v>31.555305489114012</c:v>
                </c:pt>
                <c:pt idx="44">
                  <c:v>15.454744291272096</c:v>
                </c:pt>
                <c:pt idx="45">
                  <c:v>19.430469089665433</c:v>
                </c:pt>
                <c:pt idx="46">
                  <c:v>10.178281664505105</c:v>
                </c:pt>
                <c:pt idx="47">
                  <c:v>11.01169469110023</c:v>
                </c:pt>
                <c:pt idx="48">
                  <c:v>28.0420942269139</c:v>
                </c:pt>
                <c:pt idx="49">
                  <c:v>20.321883048657376</c:v>
                </c:pt>
                <c:pt idx="50">
                  <c:v>19.383360893981969</c:v>
                </c:pt>
                <c:pt idx="51">
                  <c:v>21.427322904722232</c:v>
                </c:pt>
                <c:pt idx="52">
                  <c:v>33.117688961722244</c:v>
                </c:pt>
                <c:pt idx="53">
                  <c:v>34.265913113981043</c:v>
                </c:pt>
                <c:pt idx="54">
                  <c:v>21.065811268290435</c:v>
                </c:pt>
                <c:pt idx="55">
                  <c:v>30.681048435232423</c:v>
                </c:pt>
                <c:pt idx="56">
                  <c:v>39.510170053102826</c:v>
                </c:pt>
                <c:pt idx="57">
                  <c:v>27.533767933997691</c:v>
                </c:pt>
                <c:pt idx="58">
                  <c:v>34.022267201998218</c:v>
                </c:pt>
                <c:pt idx="59">
                  <c:v>39.493274544982143</c:v>
                </c:pt>
                <c:pt idx="60">
                  <c:v>10.875586466961144</c:v>
                </c:pt>
                <c:pt idx="61">
                  <c:v>35.050041850175553</c:v>
                </c:pt>
                <c:pt idx="62">
                  <c:v>4.0313687671608003</c:v>
                </c:pt>
                <c:pt idx="63">
                  <c:v>13.345738763264613</c:v>
                </c:pt>
                <c:pt idx="64">
                  <c:v>15.945450530706303</c:v>
                </c:pt>
                <c:pt idx="65">
                  <c:v>37.243539969704663</c:v>
                </c:pt>
                <c:pt idx="66">
                  <c:v>32.186114383209095</c:v>
                </c:pt>
                <c:pt idx="67">
                  <c:v>28.719414618715557</c:v>
                </c:pt>
                <c:pt idx="68">
                  <c:v>24.948522741185894</c:v>
                </c:pt>
                <c:pt idx="69">
                  <c:v>15.830755480382383</c:v>
                </c:pt>
                <c:pt idx="70">
                  <c:v>14.709093066142472</c:v>
                </c:pt>
                <c:pt idx="71">
                  <c:v>9.9843698528695466</c:v>
                </c:pt>
                <c:pt idx="72">
                  <c:v>14.388094926852947</c:v>
                </c:pt>
                <c:pt idx="73">
                  <c:v>14.411840050881445</c:v>
                </c:pt>
                <c:pt idx="74">
                  <c:v>12.989786055862293</c:v>
                </c:pt>
                <c:pt idx="75">
                  <c:v>10.836458764213241</c:v>
                </c:pt>
                <c:pt idx="76">
                  <c:v>14.447988271642604</c:v>
                </c:pt>
                <c:pt idx="77">
                  <c:v>29.320800992894949</c:v>
                </c:pt>
                <c:pt idx="78">
                  <c:v>30.283854632429875</c:v>
                </c:pt>
                <c:pt idx="79">
                  <c:v>44.155431501213975</c:v>
                </c:pt>
                <c:pt idx="80">
                  <c:v>41.54914382213596</c:v>
                </c:pt>
                <c:pt idx="81">
                  <c:v>47.673548824194043</c:v>
                </c:pt>
                <c:pt idx="82">
                  <c:v>46.652639097605096</c:v>
                </c:pt>
                <c:pt idx="83">
                  <c:v>40.865260508723544</c:v>
                </c:pt>
                <c:pt idx="84">
                  <c:v>45.991346412634314</c:v>
                </c:pt>
                <c:pt idx="85">
                  <c:v>44.797591365278862</c:v>
                </c:pt>
                <c:pt idx="86">
                  <c:v>35.073948934432146</c:v>
                </c:pt>
                <c:pt idx="87">
                  <c:v>27.624094594921694</c:v>
                </c:pt>
                <c:pt idx="88">
                  <c:v>7.7684521060290299</c:v>
                </c:pt>
                <c:pt idx="89">
                  <c:v>28.31025551288452</c:v>
                </c:pt>
                <c:pt idx="90">
                  <c:v>30.980772961464531</c:v>
                </c:pt>
                <c:pt idx="91">
                  <c:v>21.120229612542001</c:v>
                </c:pt>
                <c:pt idx="92">
                  <c:v>22.880803569462643</c:v>
                </c:pt>
                <c:pt idx="93">
                  <c:v>48.11834480379035</c:v>
                </c:pt>
                <c:pt idx="94">
                  <c:v>51.145155607384673</c:v>
                </c:pt>
                <c:pt idx="95">
                  <c:v>11.204239435342339</c:v>
                </c:pt>
                <c:pt idx="96">
                  <c:v>38.299422469903668</c:v>
                </c:pt>
                <c:pt idx="97">
                  <c:v>31.547678673738929</c:v>
                </c:pt>
                <c:pt idx="98">
                  <c:v>35.126485799877599</c:v>
                </c:pt>
                <c:pt idx="99">
                  <c:v>52.893633133599373</c:v>
                </c:pt>
                <c:pt idx="100">
                  <c:v>44.416446617309425</c:v>
                </c:pt>
                <c:pt idx="101">
                  <c:v>36.020040724598026</c:v>
                </c:pt>
                <c:pt idx="102">
                  <c:v>7.222616558607295</c:v>
                </c:pt>
                <c:pt idx="103">
                  <c:v>39.041561271499049</c:v>
                </c:pt>
                <c:pt idx="104">
                  <c:v>44.741191948018468</c:v>
                </c:pt>
                <c:pt idx="105">
                  <c:v>43.172255770636575</c:v>
                </c:pt>
                <c:pt idx="106">
                  <c:v>52.731768899242198</c:v>
                </c:pt>
                <c:pt idx="107">
                  <c:v>36.47497654200415</c:v>
                </c:pt>
                <c:pt idx="108">
                  <c:v>8.7194068584258826</c:v>
                </c:pt>
                <c:pt idx="109">
                  <c:v>9.9778315728802394</c:v>
                </c:pt>
                <c:pt idx="110">
                  <c:v>9.222944288327831</c:v>
                </c:pt>
                <c:pt idx="111">
                  <c:v>26.991209849315549</c:v>
                </c:pt>
                <c:pt idx="112">
                  <c:v>9.33924644906641</c:v>
                </c:pt>
                <c:pt idx="113">
                  <c:v>29.63350130644454</c:v>
                </c:pt>
                <c:pt idx="114">
                  <c:v>45.601910956074533</c:v>
                </c:pt>
                <c:pt idx="115">
                  <c:v>53.086671001977884</c:v>
                </c:pt>
                <c:pt idx="116">
                  <c:v>39.987957309888884</c:v>
                </c:pt>
                <c:pt idx="117">
                  <c:v>19.904012812948675</c:v>
                </c:pt>
                <c:pt idx="118">
                  <c:v>40.053444440678</c:v>
                </c:pt>
                <c:pt idx="119">
                  <c:v>42.574889971903616</c:v>
                </c:pt>
                <c:pt idx="120">
                  <c:v>46.143224922709443</c:v>
                </c:pt>
                <c:pt idx="121">
                  <c:v>29.663114775860194</c:v>
                </c:pt>
                <c:pt idx="122">
                  <c:v>35.34360926990648</c:v>
                </c:pt>
                <c:pt idx="123">
                  <c:v>19.605301578025429</c:v>
                </c:pt>
                <c:pt idx="124">
                  <c:v>41.093276634890742</c:v>
                </c:pt>
                <c:pt idx="125">
                  <c:v>37.592321892113048</c:v>
                </c:pt>
                <c:pt idx="126">
                  <c:v>51.115920324075113</c:v>
                </c:pt>
                <c:pt idx="127">
                  <c:v>48.645379617324068</c:v>
                </c:pt>
                <c:pt idx="128">
                  <c:v>50.904037535170445</c:v>
                </c:pt>
                <c:pt idx="129">
                  <c:v>50.578053740941854</c:v>
                </c:pt>
                <c:pt idx="130">
                  <c:v>54.596087614706207</c:v>
                </c:pt>
                <c:pt idx="131">
                  <c:v>39.808318900381181</c:v>
                </c:pt>
                <c:pt idx="132">
                  <c:v>40.492046471686315</c:v>
                </c:pt>
                <c:pt idx="133">
                  <c:v>48.989991879966439</c:v>
                </c:pt>
                <c:pt idx="134">
                  <c:v>51.829465621989421</c:v>
                </c:pt>
                <c:pt idx="135">
                  <c:v>49.404372182379731</c:v>
                </c:pt>
                <c:pt idx="136">
                  <c:v>52.609768205272026</c:v>
                </c:pt>
                <c:pt idx="137">
                  <c:v>50.608980953596408</c:v>
                </c:pt>
                <c:pt idx="138">
                  <c:v>53.415210151777735</c:v>
                </c:pt>
                <c:pt idx="139">
                  <c:v>48.391943177622181</c:v>
                </c:pt>
                <c:pt idx="140">
                  <c:v>48.310411738631501</c:v>
                </c:pt>
                <c:pt idx="141">
                  <c:v>36.562947479523196</c:v>
                </c:pt>
                <c:pt idx="142">
                  <c:v>19.062326040454273</c:v>
                </c:pt>
                <c:pt idx="143">
                  <c:v>16.528007537453668</c:v>
                </c:pt>
                <c:pt idx="144">
                  <c:v>38.765296367435255</c:v>
                </c:pt>
                <c:pt idx="145">
                  <c:v>23.505019549614349</c:v>
                </c:pt>
                <c:pt idx="146">
                  <c:v>43.721349133311577</c:v>
                </c:pt>
                <c:pt idx="147">
                  <c:v>52.679488549752314</c:v>
                </c:pt>
                <c:pt idx="148">
                  <c:v>56.777500093054542</c:v>
                </c:pt>
                <c:pt idx="149">
                  <c:v>48.349455012617859</c:v>
                </c:pt>
                <c:pt idx="150">
                  <c:v>51.345651265558864</c:v>
                </c:pt>
                <c:pt idx="151">
                  <c:v>53.641169319877747</c:v>
                </c:pt>
                <c:pt idx="152">
                  <c:v>43.090488791048649</c:v>
                </c:pt>
                <c:pt idx="153">
                  <c:v>52.513335337127607</c:v>
                </c:pt>
                <c:pt idx="154">
                  <c:v>23.713468810964009</c:v>
                </c:pt>
                <c:pt idx="155">
                  <c:v>32.711824269408623</c:v>
                </c:pt>
                <c:pt idx="156">
                  <c:v>46.069873630530594</c:v>
                </c:pt>
                <c:pt idx="157">
                  <c:v>24.017377547170629</c:v>
                </c:pt>
                <c:pt idx="158">
                  <c:v>19.635450227899938</c:v>
                </c:pt>
                <c:pt idx="159">
                  <c:v>44.870336415465509</c:v>
                </c:pt>
                <c:pt idx="160">
                  <c:v>54.75834022033542</c:v>
                </c:pt>
                <c:pt idx="161">
                  <c:v>53.540767312817998</c:v>
                </c:pt>
                <c:pt idx="162">
                  <c:v>40.967480503697999</c:v>
                </c:pt>
                <c:pt idx="163">
                  <c:v>51.871824126720718</c:v>
                </c:pt>
                <c:pt idx="164">
                  <c:v>47.309456832728557</c:v>
                </c:pt>
                <c:pt idx="165">
                  <c:v>51.606390957256842</c:v>
                </c:pt>
                <c:pt idx="166">
                  <c:v>49.596273617498888</c:v>
                </c:pt>
                <c:pt idx="167">
                  <c:v>49.664121750993424</c:v>
                </c:pt>
                <c:pt idx="168">
                  <c:v>52.917821378329819</c:v>
                </c:pt>
                <c:pt idx="169">
                  <c:v>53.997895763923715</c:v>
                </c:pt>
                <c:pt idx="170">
                  <c:v>30.07191257143748</c:v>
                </c:pt>
                <c:pt idx="171">
                  <c:v>22.457779024639461</c:v>
                </c:pt>
                <c:pt idx="172">
                  <c:v>37.564069284892426</c:v>
                </c:pt>
                <c:pt idx="173">
                  <c:v>40.120879336460717</c:v>
                </c:pt>
                <c:pt idx="174">
                  <c:v>38.344763834171147</c:v>
                </c:pt>
                <c:pt idx="175">
                  <c:v>33.74467903874811</c:v>
                </c:pt>
                <c:pt idx="176">
                  <c:v>11.322204021885469</c:v>
                </c:pt>
                <c:pt idx="177">
                  <c:v>12.358990408545816</c:v>
                </c:pt>
                <c:pt idx="178">
                  <c:v>56.105589780120184</c:v>
                </c:pt>
                <c:pt idx="179">
                  <c:v>53.26652130104079</c:v>
                </c:pt>
                <c:pt idx="180">
                  <c:v>13.243805580522681</c:v>
                </c:pt>
                <c:pt idx="181">
                  <c:v>47.67607590700289</c:v>
                </c:pt>
                <c:pt idx="182">
                  <c:v>53.110131471268069</c:v>
                </c:pt>
                <c:pt idx="183">
                  <c:v>44.255551174299967</c:v>
                </c:pt>
                <c:pt idx="184">
                  <c:v>41.998105197480932</c:v>
                </c:pt>
                <c:pt idx="185">
                  <c:v>52.621096296847483</c:v>
                </c:pt>
                <c:pt idx="186">
                  <c:v>45.189648610118404</c:v>
                </c:pt>
                <c:pt idx="187">
                  <c:v>51.902145297866447</c:v>
                </c:pt>
                <c:pt idx="188">
                  <c:v>54.584804299431454</c:v>
                </c:pt>
                <c:pt idx="189">
                  <c:v>53.881797616138037</c:v>
                </c:pt>
                <c:pt idx="190">
                  <c:v>53.196384135342811</c:v>
                </c:pt>
                <c:pt idx="191">
                  <c:v>51.789487856713016</c:v>
                </c:pt>
                <c:pt idx="192">
                  <c:v>51.884208137770443</c:v>
                </c:pt>
                <c:pt idx="193">
                  <c:v>51.273060457643076</c:v>
                </c:pt>
                <c:pt idx="194">
                  <c:v>50.725396237287221</c:v>
                </c:pt>
                <c:pt idx="195">
                  <c:v>49.029492420163557</c:v>
                </c:pt>
                <c:pt idx="196">
                  <c:v>50.382954807431759</c:v>
                </c:pt>
                <c:pt idx="197">
                  <c:v>49.983719180476996</c:v>
                </c:pt>
                <c:pt idx="198">
                  <c:v>51.801007763136141</c:v>
                </c:pt>
                <c:pt idx="199">
                  <c:v>41.558609878466612</c:v>
                </c:pt>
                <c:pt idx="200">
                  <c:v>41.976354720539916</c:v>
                </c:pt>
                <c:pt idx="201">
                  <c:v>49.367461310390254</c:v>
                </c:pt>
                <c:pt idx="202">
                  <c:v>39.353794353005114</c:v>
                </c:pt>
                <c:pt idx="203">
                  <c:v>43.979376155100489</c:v>
                </c:pt>
                <c:pt idx="204">
                  <c:v>49.325750432021017</c:v>
                </c:pt>
                <c:pt idx="205">
                  <c:v>25.207619431831326</c:v>
                </c:pt>
                <c:pt idx="206">
                  <c:v>52.988100920372283</c:v>
                </c:pt>
                <c:pt idx="207">
                  <c:v>52.996345812685071</c:v>
                </c:pt>
                <c:pt idx="208">
                  <c:v>42.530352479110952</c:v>
                </c:pt>
                <c:pt idx="209">
                  <c:v>28.770049504614786</c:v>
                </c:pt>
                <c:pt idx="210">
                  <c:v>48.418636249938835</c:v>
                </c:pt>
                <c:pt idx="211">
                  <c:v>51.029158601354268</c:v>
                </c:pt>
                <c:pt idx="212">
                  <c:v>50.138501975763234</c:v>
                </c:pt>
                <c:pt idx="213">
                  <c:v>50.337736989925737</c:v>
                </c:pt>
                <c:pt idx="214">
                  <c:v>48.231169262401203</c:v>
                </c:pt>
                <c:pt idx="215">
                  <c:v>45.25930962791471</c:v>
                </c:pt>
                <c:pt idx="216">
                  <c:v>42.10872169167061</c:v>
                </c:pt>
                <c:pt idx="217">
                  <c:v>46.142104599207499</c:v>
                </c:pt>
                <c:pt idx="218">
                  <c:v>49.043574132692903</c:v>
                </c:pt>
                <c:pt idx="219">
                  <c:v>49.830672458205534</c:v>
                </c:pt>
                <c:pt idx="220">
                  <c:v>48.163575234201637</c:v>
                </c:pt>
                <c:pt idx="221">
                  <c:v>46.180086756282321</c:v>
                </c:pt>
                <c:pt idx="222">
                  <c:v>42.496342464781421</c:v>
                </c:pt>
                <c:pt idx="223">
                  <c:v>44.599058404948281</c:v>
                </c:pt>
                <c:pt idx="224">
                  <c:v>31.067154346441338</c:v>
                </c:pt>
                <c:pt idx="225">
                  <c:v>32.299742043862203</c:v>
                </c:pt>
                <c:pt idx="226">
                  <c:v>37.035496874687404</c:v>
                </c:pt>
                <c:pt idx="227">
                  <c:v>31.110443321564873</c:v>
                </c:pt>
                <c:pt idx="228">
                  <c:v>21.385284316678195</c:v>
                </c:pt>
                <c:pt idx="229">
                  <c:v>37.211756879722714</c:v>
                </c:pt>
                <c:pt idx="230">
                  <c:v>38.529429951048229</c:v>
                </c:pt>
                <c:pt idx="231">
                  <c:v>45.88573065303126</c:v>
                </c:pt>
                <c:pt idx="232">
                  <c:v>30.933468765736496</c:v>
                </c:pt>
                <c:pt idx="233">
                  <c:v>24.100969942690966</c:v>
                </c:pt>
                <c:pt idx="234">
                  <c:v>43.110908806461836</c:v>
                </c:pt>
                <c:pt idx="235">
                  <c:v>44.542025009783103</c:v>
                </c:pt>
                <c:pt idx="236">
                  <c:v>31.783029723218124</c:v>
                </c:pt>
                <c:pt idx="237">
                  <c:v>39.928811337583845</c:v>
                </c:pt>
                <c:pt idx="238">
                  <c:v>47.044315797725062</c:v>
                </c:pt>
                <c:pt idx="239">
                  <c:v>46.169567466355666</c:v>
                </c:pt>
                <c:pt idx="240">
                  <c:v>31.128646079854988</c:v>
                </c:pt>
                <c:pt idx="241">
                  <c:v>45.199468929302526</c:v>
                </c:pt>
                <c:pt idx="242">
                  <c:v>21.273045680693208</c:v>
                </c:pt>
                <c:pt idx="243">
                  <c:v>41.00810364190508</c:v>
                </c:pt>
                <c:pt idx="244">
                  <c:v>37.615265056518709</c:v>
                </c:pt>
                <c:pt idx="245">
                  <c:v>31.407380531924453</c:v>
                </c:pt>
                <c:pt idx="246">
                  <c:v>45.553080542807301</c:v>
                </c:pt>
                <c:pt idx="247">
                  <c:v>38.510035203004257</c:v>
                </c:pt>
                <c:pt idx="248">
                  <c:v>43.674618664393464</c:v>
                </c:pt>
                <c:pt idx="249">
                  <c:v>33.981413012848954</c:v>
                </c:pt>
                <c:pt idx="250">
                  <c:v>37.212008033841961</c:v>
                </c:pt>
                <c:pt idx="251">
                  <c:v>20.716087951915988</c:v>
                </c:pt>
                <c:pt idx="252">
                  <c:v>43.764250475019168</c:v>
                </c:pt>
                <c:pt idx="253">
                  <c:v>44.279488330802614</c:v>
                </c:pt>
                <c:pt idx="254">
                  <c:v>31.011596109598663</c:v>
                </c:pt>
                <c:pt idx="255">
                  <c:v>10.996354298539748</c:v>
                </c:pt>
                <c:pt idx="256">
                  <c:v>36.491451247776631</c:v>
                </c:pt>
                <c:pt idx="257">
                  <c:v>40.083794789931353</c:v>
                </c:pt>
                <c:pt idx="258">
                  <c:v>26.688313332470127</c:v>
                </c:pt>
                <c:pt idx="259">
                  <c:v>46.15411566387678</c:v>
                </c:pt>
                <c:pt idx="260">
                  <c:v>44.624824754018348</c:v>
                </c:pt>
                <c:pt idx="261">
                  <c:v>43.475567150616016</c:v>
                </c:pt>
                <c:pt idx="262">
                  <c:v>44.787204040901969</c:v>
                </c:pt>
                <c:pt idx="263">
                  <c:v>43.696628932406945</c:v>
                </c:pt>
                <c:pt idx="264">
                  <c:v>42.55917453539395</c:v>
                </c:pt>
                <c:pt idx="265">
                  <c:v>26.890223676318392</c:v>
                </c:pt>
                <c:pt idx="266">
                  <c:v>16.857012344226419</c:v>
                </c:pt>
                <c:pt idx="267">
                  <c:v>29.84084387392463</c:v>
                </c:pt>
                <c:pt idx="268">
                  <c:v>32.18244470987549</c:v>
                </c:pt>
                <c:pt idx="269">
                  <c:v>14.546376326853458</c:v>
                </c:pt>
                <c:pt idx="270">
                  <c:v>16.714861511460157</c:v>
                </c:pt>
                <c:pt idx="271">
                  <c:v>22.924774053081819</c:v>
                </c:pt>
                <c:pt idx="272">
                  <c:v>28.014280709040904</c:v>
                </c:pt>
                <c:pt idx="273">
                  <c:v>33.597576227261712</c:v>
                </c:pt>
                <c:pt idx="274">
                  <c:v>37.452607574639153</c:v>
                </c:pt>
                <c:pt idx="275">
                  <c:v>34.065716788490597</c:v>
                </c:pt>
                <c:pt idx="276">
                  <c:v>38.33234851565576</c:v>
                </c:pt>
                <c:pt idx="277">
                  <c:v>39.536402040343013</c:v>
                </c:pt>
                <c:pt idx="278">
                  <c:v>11.541844512645536</c:v>
                </c:pt>
                <c:pt idx="279">
                  <c:v>28.211256302577272</c:v>
                </c:pt>
                <c:pt idx="280">
                  <c:v>15.376490656446771</c:v>
                </c:pt>
                <c:pt idx="281">
                  <c:v>36.165249873337537</c:v>
                </c:pt>
                <c:pt idx="282">
                  <c:v>29.807071625771858</c:v>
                </c:pt>
                <c:pt idx="283">
                  <c:v>21.675615482299285</c:v>
                </c:pt>
                <c:pt idx="284">
                  <c:v>27.073098328206807</c:v>
                </c:pt>
                <c:pt idx="285">
                  <c:v>22.342671008743622</c:v>
                </c:pt>
                <c:pt idx="286">
                  <c:v>18.964853399744548</c:v>
                </c:pt>
                <c:pt idx="287">
                  <c:v>35.120725443917991</c:v>
                </c:pt>
                <c:pt idx="288">
                  <c:v>31.54142145561811</c:v>
                </c:pt>
                <c:pt idx="289">
                  <c:v>19.139854365208375</c:v>
                </c:pt>
                <c:pt idx="290">
                  <c:v>32.489408354656028</c:v>
                </c:pt>
                <c:pt idx="291">
                  <c:v>14.965232451570262</c:v>
                </c:pt>
                <c:pt idx="292">
                  <c:v>6.1997426533946838</c:v>
                </c:pt>
                <c:pt idx="293">
                  <c:v>15.702132568843346</c:v>
                </c:pt>
                <c:pt idx="294">
                  <c:v>31.346516713995143</c:v>
                </c:pt>
                <c:pt idx="295">
                  <c:v>16.335416777470314</c:v>
                </c:pt>
                <c:pt idx="296">
                  <c:v>24.213299416336564</c:v>
                </c:pt>
                <c:pt idx="297">
                  <c:v>20.882302404970364</c:v>
                </c:pt>
                <c:pt idx="298">
                  <c:v>13.089455877600809</c:v>
                </c:pt>
                <c:pt idx="299">
                  <c:v>13.980892120785297</c:v>
                </c:pt>
                <c:pt idx="300">
                  <c:v>16.509523602215999</c:v>
                </c:pt>
                <c:pt idx="301">
                  <c:v>25.925107509987821</c:v>
                </c:pt>
                <c:pt idx="302">
                  <c:v>21.44573383346054</c:v>
                </c:pt>
                <c:pt idx="303">
                  <c:v>20.93666995037524</c:v>
                </c:pt>
                <c:pt idx="304">
                  <c:v>22.271073376574225</c:v>
                </c:pt>
                <c:pt idx="305">
                  <c:v>26.766606200563007</c:v>
                </c:pt>
                <c:pt idx="306">
                  <c:v>9.191100212346953</c:v>
                </c:pt>
                <c:pt idx="307">
                  <c:v>16.119554525199732</c:v>
                </c:pt>
                <c:pt idx="308">
                  <c:v>28.069540713062651</c:v>
                </c:pt>
                <c:pt idx="309">
                  <c:v>28.918385124292467</c:v>
                </c:pt>
                <c:pt idx="310">
                  <c:v>26.7252433773434</c:v>
                </c:pt>
                <c:pt idx="311">
                  <c:v>20.121445761069715</c:v>
                </c:pt>
                <c:pt idx="312">
                  <c:v>9.4088519391474055</c:v>
                </c:pt>
                <c:pt idx="313">
                  <c:v>19.539433214376881</c:v>
                </c:pt>
                <c:pt idx="314">
                  <c:v>26.463902250532126</c:v>
                </c:pt>
                <c:pt idx="315">
                  <c:v>26.508332756342746</c:v>
                </c:pt>
                <c:pt idx="316">
                  <c:v>25.606456280141089</c:v>
                </c:pt>
                <c:pt idx="317">
                  <c:v>9.0166273916728112</c:v>
                </c:pt>
                <c:pt idx="318">
                  <c:v>11.724856707727255</c:v>
                </c:pt>
                <c:pt idx="319">
                  <c:v>26.031161947446119</c:v>
                </c:pt>
                <c:pt idx="320">
                  <c:v>12.18479593945977</c:v>
                </c:pt>
                <c:pt idx="321">
                  <c:v>14.463056626293421</c:v>
                </c:pt>
                <c:pt idx="322">
                  <c:v>7.4071661513095908</c:v>
                </c:pt>
                <c:pt idx="323">
                  <c:v>14.804835529037115</c:v>
                </c:pt>
                <c:pt idx="324">
                  <c:v>3.1288039918153534</c:v>
                </c:pt>
                <c:pt idx="325">
                  <c:v>7.7781516248660596</c:v>
                </c:pt>
                <c:pt idx="326">
                  <c:v>11.657166191081613</c:v>
                </c:pt>
                <c:pt idx="327">
                  <c:v>12.830729824633901</c:v>
                </c:pt>
                <c:pt idx="328">
                  <c:v>4.9682996814534075</c:v>
                </c:pt>
                <c:pt idx="329">
                  <c:v>9.9592512880238111</c:v>
                </c:pt>
                <c:pt idx="330">
                  <c:v>14.16710096889242</c:v>
                </c:pt>
                <c:pt idx="331">
                  <c:v>10.269543887655905</c:v>
                </c:pt>
                <c:pt idx="332">
                  <c:v>14.288778498486012</c:v>
                </c:pt>
                <c:pt idx="333">
                  <c:v>3.9810033339481818</c:v>
                </c:pt>
                <c:pt idx="334">
                  <c:v>3.4256048311637928</c:v>
                </c:pt>
                <c:pt idx="335">
                  <c:v>5.6807262646060037</c:v>
                </c:pt>
                <c:pt idx="336">
                  <c:v>8.4854935016743589</c:v>
                </c:pt>
                <c:pt idx="337">
                  <c:v>16.84795149083029</c:v>
                </c:pt>
                <c:pt idx="338">
                  <c:v>22.931961283509811</c:v>
                </c:pt>
                <c:pt idx="339">
                  <c:v>10.620652960838333</c:v>
                </c:pt>
                <c:pt idx="340">
                  <c:v>19.270910045511599</c:v>
                </c:pt>
                <c:pt idx="341">
                  <c:v>3.9784232032774978</c:v>
                </c:pt>
                <c:pt idx="342">
                  <c:v>4.8136636058458215</c:v>
                </c:pt>
                <c:pt idx="343">
                  <c:v>11.331086963175601</c:v>
                </c:pt>
                <c:pt idx="344">
                  <c:v>15.830015905003693</c:v>
                </c:pt>
                <c:pt idx="345">
                  <c:v>5.5130697574957157</c:v>
                </c:pt>
                <c:pt idx="346">
                  <c:v>5.2334013954722503</c:v>
                </c:pt>
                <c:pt idx="347">
                  <c:v>16.605992818195745</c:v>
                </c:pt>
                <c:pt idx="348">
                  <c:v>5.5083182317302004</c:v>
                </c:pt>
                <c:pt idx="349">
                  <c:v>4.6936506159656952</c:v>
                </c:pt>
                <c:pt idx="350">
                  <c:v>3.4300416664738265</c:v>
                </c:pt>
                <c:pt idx="351">
                  <c:v>20.597047149263584</c:v>
                </c:pt>
                <c:pt idx="352">
                  <c:v>16.668298375649606</c:v>
                </c:pt>
                <c:pt idx="353">
                  <c:v>4.3817954517668474</c:v>
                </c:pt>
                <c:pt idx="354">
                  <c:v>19.762242034214136</c:v>
                </c:pt>
                <c:pt idx="355">
                  <c:v>16.332210851383174</c:v>
                </c:pt>
                <c:pt idx="356">
                  <c:v>16.866368503912707</c:v>
                </c:pt>
                <c:pt idx="357">
                  <c:v>20.269317806945391</c:v>
                </c:pt>
                <c:pt idx="358">
                  <c:v>12.060140934857744</c:v>
                </c:pt>
                <c:pt idx="359">
                  <c:v>20.551271038550691</c:v>
                </c:pt>
                <c:pt idx="360">
                  <c:v>7.4063658208212617</c:v>
                </c:pt>
                <c:pt idx="361">
                  <c:v>19.740643455698201</c:v>
                </c:pt>
                <c:pt idx="362">
                  <c:v>9.7040956781121004</c:v>
                </c:pt>
                <c:pt idx="363">
                  <c:v>12.777475076439423</c:v>
                </c:pt>
                <c:pt idx="364">
                  <c:v>11.857110792536652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22.647648717006014</c:v>
                </c:pt>
                <c:pt idx="1">
                  <c:v>16.284286867696299</c:v>
                </c:pt>
                <c:pt idx="2">
                  <c:v>17.523726883193831</c:v>
                </c:pt>
                <c:pt idx="3">
                  <c:v>18.515644648594709</c:v>
                </c:pt>
                <c:pt idx="4">
                  <c:v>14.741509454396654</c:v>
                </c:pt>
                <c:pt idx="5">
                  <c:v>21.257575052312177</c:v>
                </c:pt>
                <c:pt idx="6">
                  <c:v>10.870889212206277</c:v>
                </c:pt>
                <c:pt idx="7">
                  <c:v>7.6259588382633341</c:v>
                </c:pt>
                <c:pt idx="8">
                  <c:v>2.2509437779799324</c:v>
                </c:pt>
                <c:pt idx="9">
                  <c:v>1.7471537348696724</c:v>
                </c:pt>
                <c:pt idx="10">
                  <c:v>25.178207551989605</c:v>
                </c:pt>
                <c:pt idx="11">
                  <c:v>21.482127689474041</c:v>
                </c:pt>
                <c:pt idx="12">
                  <c:v>5.1731932423743281</c:v>
                </c:pt>
                <c:pt idx="13">
                  <c:v>25.575505745640857</c:v>
                </c:pt>
                <c:pt idx="14">
                  <c:v>27.17736332006363</c:v>
                </c:pt>
                <c:pt idx="15">
                  <c:v>26.692039142023255</c:v>
                </c:pt>
                <c:pt idx="16">
                  <c:v>13.663163521207979</c:v>
                </c:pt>
                <c:pt idx="17">
                  <c:v>3.6072569880355565</c:v>
                </c:pt>
                <c:pt idx="18">
                  <c:v>10.433946528027468</c:v>
                </c:pt>
                <c:pt idx="19">
                  <c:v>6.5635998753658269</c:v>
                </c:pt>
                <c:pt idx="20">
                  <c:v>20.965321248364383</c:v>
                </c:pt>
                <c:pt idx="21">
                  <c:v>28.287992625697342</c:v>
                </c:pt>
                <c:pt idx="22">
                  <c:v>28.353299758862285</c:v>
                </c:pt>
                <c:pt idx="23">
                  <c:v>28.990597334320753</c:v>
                </c:pt>
                <c:pt idx="24">
                  <c:v>27.609901083659423</c:v>
                </c:pt>
                <c:pt idx="25">
                  <c:v>28.595077511726426</c:v>
                </c:pt>
                <c:pt idx="26">
                  <c:v>26.642407161353372</c:v>
                </c:pt>
                <c:pt idx="27">
                  <c:v>4.3517385492645611</c:v>
                </c:pt>
                <c:pt idx="28">
                  <c:v>9.5424698066427851</c:v>
                </c:pt>
                <c:pt idx="29">
                  <c:v>4.5388461310027282</c:v>
                </c:pt>
                <c:pt idx="30">
                  <c:v>9.2833112157212767</c:v>
                </c:pt>
                <c:pt idx="31">
                  <c:v>13.477238975116505</c:v>
                </c:pt>
                <c:pt idx="32">
                  <c:v>5.4139990124919599</c:v>
                </c:pt>
                <c:pt idx="33">
                  <c:v>10.204553063072376</c:v>
                </c:pt>
                <c:pt idx="34">
                  <c:v>10.104375660256625</c:v>
                </c:pt>
                <c:pt idx="35">
                  <c:v>9.7761583171636932</c:v>
                </c:pt>
                <c:pt idx="36">
                  <c:v>22.366099618373077</c:v>
                </c:pt>
                <c:pt idx="37">
                  <c:v>9.5971950447401593</c:v>
                </c:pt>
                <c:pt idx="38">
                  <c:v>33.638503490009832</c:v>
                </c:pt>
                <c:pt idx="39">
                  <c:v>33.859301672158594</c:v>
                </c:pt>
                <c:pt idx="40">
                  <c:v>31.476007550661265</c:v>
                </c:pt>
                <c:pt idx="41">
                  <c:v>17.570964498538007</c:v>
                </c:pt>
                <c:pt idx="42">
                  <c:v>26.694527369482458</c:v>
                </c:pt>
                <c:pt idx="43">
                  <c:v>31.555305489114012</c:v>
                </c:pt>
                <c:pt idx="44">
                  <c:v>15.454744291272096</c:v>
                </c:pt>
                <c:pt idx="45">
                  <c:v>19.430469089665433</c:v>
                </c:pt>
                <c:pt idx="46">
                  <c:v>10.178281664505105</c:v>
                </c:pt>
                <c:pt idx="47">
                  <c:v>11.01169469110023</c:v>
                </c:pt>
                <c:pt idx="48">
                  <c:v>28.0420942269139</c:v>
                </c:pt>
                <c:pt idx="49">
                  <c:v>20.321883048657376</c:v>
                </c:pt>
                <c:pt idx="50">
                  <c:v>19.383360893981969</c:v>
                </c:pt>
                <c:pt idx="51">
                  <c:v>21.427322904722232</c:v>
                </c:pt>
                <c:pt idx="52">
                  <c:v>33.117688961722244</c:v>
                </c:pt>
                <c:pt idx="53">
                  <c:v>34.265913113981043</c:v>
                </c:pt>
                <c:pt idx="54">
                  <c:v>21.065811268290435</c:v>
                </c:pt>
                <c:pt idx="55">
                  <c:v>30.681048435232423</c:v>
                </c:pt>
                <c:pt idx="56">
                  <c:v>39.510170053102826</c:v>
                </c:pt>
                <c:pt idx="57">
                  <c:v>27.533767933997691</c:v>
                </c:pt>
                <c:pt idx="58">
                  <c:v>34.022267201998218</c:v>
                </c:pt>
                <c:pt idx="59">
                  <c:v>39.493274544982143</c:v>
                </c:pt>
                <c:pt idx="60">
                  <c:v>10.875586466961144</c:v>
                </c:pt>
                <c:pt idx="61">
                  <c:v>35.050041850175553</c:v>
                </c:pt>
                <c:pt idx="62">
                  <c:v>4.0313687671608003</c:v>
                </c:pt>
                <c:pt idx="63">
                  <c:v>13.345738763264613</c:v>
                </c:pt>
                <c:pt idx="64">
                  <c:v>15.945450530706303</c:v>
                </c:pt>
                <c:pt idx="65">
                  <c:v>37.243539969704663</c:v>
                </c:pt>
                <c:pt idx="66">
                  <c:v>32.186114383209095</c:v>
                </c:pt>
                <c:pt idx="67">
                  <c:v>28.719414618715557</c:v>
                </c:pt>
                <c:pt idx="68">
                  <c:v>24.948522741185894</c:v>
                </c:pt>
                <c:pt idx="69">
                  <c:v>15.830755480382383</c:v>
                </c:pt>
                <c:pt idx="70">
                  <c:v>14.709093066142472</c:v>
                </c:pt>
                <c:pt idx="71">
                  <c:v>9.9843698528695466</c:v>
                </c:pt>
                <c:pt idx="72">
                  <c:v>14.388094926852947</c:v>
                </c:pt>
                <c:pt idx="73">
                  <c:v>14.411840050881445</c:v>
                </c:pt>
                <c:pt idx="74">
                  <c:v>12.989786055862293</c:v>
                </c:pt>
                <c:pt idx="75">
                  <c:v>10.836458764213241</c:v>
                </c:pt>
                <c:pt idx="76">
                  <c:v>14.447988271642604</c:v>
                </c:pt>
                <c:pt idx="77">
                  <c:v>29.320800992894949</c:v>
                </c:pt>
                <c:pt idx="78">
                  <c:v>30.283854632429875</c:v>
                </c:pt>
                <c:pt idx="79">
                  <c:v>44.155431501213975</c:v>
                </c:pt>
                <c:pt idx="80">
                  <c:v>41.54914382213596</c:v>
                </c:pt>
                <c:pt idx="81">
                  <c:v>47.673548824194043</c:v>
                </c:pt>
                <c:pt idx="82">
                  <c:v>46.652639097605096</c:v>
                </c:pt>
                <c:pt idx="83">
                  <c:v>40.865260508723544</c:v>
                </c:pt>
                <c:pt idx="84">
                  <c:v>45.991346412634314</c:v>
                </c:pt>
                <c:pt idx="85">
                  <c:v>44.797591365278862</c:v>
                </c:pt>
                <c:pt idx="86">
                  <c:v>35.073948934432146</c:v>
                </c:pt>
                <c:pt idx="87">
                  <c:v>27.624094594921694</c:v>
                </c:pt>
                <c:pt idx="88">
                  <c:v>7.7684521060290299</c:v>
                </c:pt>
                <c:pt idx="89">
                  <c:v>28.31025551288452</c:v>
                </c:pt>
                <c:pt idx="90">
                  <c:v>30.980772961464531</c:v>
                </c:pt>
                <c:pt idx="91">
                  <c:v>21.120229612542001</c:v>
                </c:pt>
                <c:pt idx="92">
                  <c:v>22.880803569462643</c:v>
                </c:pt>
                <c:pt idx="93">
                  <c:v>48.11834480379035</c:v>
                </c:pt>
                <c:pt idx="94">
                  <c:v>51.145155607384673</c:v>
                </c:pt>
                <c:pt idx="95">
                  <c:v>11.204239435342339</c:v>
                </c:pt>
                <c:pt idx="96">
                  <c:v>38.299422469903668</c:v>
                </c:pt>
                <c:pt idx="97">
                  <c:v>31.547678673738929</c:v>
                </c:pt>
                <c:pt idx="98">
                  <c:v>35.126485799877599</c:v>
                </c:pt>
                <c:pt idx="99">
                  <c:v>52.893633133599373</c:v>
                </c:pt>
                <c:pt idx="100">
                  <c:v>44.416446617309425</c:v>
                </c:pt>
                <c:pt idx="101">
                  <c:v>36.020040724598026</c:v>
                </c:pt>
                <c:pt idx="102">
                  <c:v>7.222616558607295</c:v>
                </c:pt>
                <c:pt idx="103">
                  <c:v>39.041561271499049</c:v>
                </c:pt>
                <c:pt idx="104">
                  <c:v>44.741191948018468</c:v>
                </c:pt>
                <c:pt idx="105">
                  <c:v>43.172255770636575</c:v>
                </c:pt>
                <c:pt idx="106">
                  <c:v>52.731768899242198</c:v>
                </c:pt>
                <c:pt idx="107">
                  <c:v>36.47497654200415</c:v>
                </c:pt>
                <c:pt idx="108">
                  <c:v>8.7194068584258826</c:v>
                </c:pt>
                <c:pt idx="109">
                  <c:v>9.9778315728802394</c:v>
                </c:pt>
                <c:pt idx="110">
                  <c:v>9.222944288327831</c:v>
                </c:pt>
                <c:pt idx="111">
                  <c:v>26.991209849315549</c:v>
                </c:pt>
                <c:pt idx="112">
                  <c:v>9.33924644906641</c:v>
                </c:pt>
                <c:pt idx="113">
                  <c:v>29.63350130644454</c:v>
                </c:pt>
                <c:pt idx="114">
                  <c:v>45.601910956074533</c:v>
                </c:pt>
                <c:pt idx="115">
                  <c:v>53.086671001977884</c:v>
                </c:pt>
                <c:pt idx="116">
                  <c:v>39.987957309888884</c:v>
                </c:pt>
                <c:pt idx="117">
                  <c:v>19.904012812948675</c:v>
                </c:pt>
                <c:pt idx="118">
                  <c:v>40.053444440678</c:v>
                </c:pt>
                <c:pt idx="119">
                  <c:v>42.574889971903616</c:v>
                </c:pt>
                <c:pt idx="120">
                  <c:v>46.143224922709443</c:v>
                </c:pt>
                <c:pt idx="121">
                  <c:v>29.663114775860194</c:v>
                </c:pt>
                <c:pt idx="122">
                  <c:v>35.34360926990648</c:v>
                </c:pt>
                <c:pt idx="123">
                  <c:v>19.605301578025429</c:v>
                </c:pt>
                <c:pt idx="124">
                  <c:v>41.093276634890742</c:v>
                </c:pt>
                <c:pt idx="125">
                  <c:v>37.592321892113048</c:v>
                </c:pt>
                <c:pt idx="126">
                  <c:v>51.115920324075113</c:v>
                </c:pt>
                <c:pt idx="127">
                  <c:v>48.645379617324068</c:v>
                </c:pt>
                <c:pt idx="128">
                  <c:v>50.904037535170445</c:v>
                </c:pt>
                <c:pt idx="129">
                  <c:v>50.578053740941854</c:v>
                </c:pt>
                <c:pt idx="130">
                  <c:v>54.596087614706207</c:v>
                </c:pt>
                <c:pt idx="131">
                  <c:v>39.808318900381181</c:v>
                </c:pt>
                <c:pt idx="132">
                  <c:v>40.492046471686315</c:v>
                </c:pt>
                <c:pt idx="133">
                  <c:v>48.989991879966439</c:v>
                </c:pt>
                <c:pt idx="134">
                  <c:v>51.829465621989421</c:v>
                </c:pt>
                <c:pt idx="135">
                  <c:v>49.404372182379731</c:v>
                </c:pt>
                <c:pt idx="136">
                  <c:v>52.609768205272026</c:v>
                </c:pt>
                <c:pt idx="137">
                  <c:v>50.608980953596408</c:v>
                </c:pt>
                <c:pt idx="138">
                  <c:v>53.415210151777735</c:v>
                </c:pt>
                <c:pt idx="139">
                  <c:v>48.391943177622181</c:v>
                </c:pt>
                <c:pt idx="140">
                  <c:v>48.310411738631501</c:v>
                </c:pt>
                <c:pt idx="141">
                  <c:v>36.562947479523196</c:v>
                </c:pt>
                <c:pt idx="142">
                  <c:v>19.062326040454273</c:v>
                </c:pt>
                <c:pt idx="143">
                  <c:v>16.528007537453668</c:v>
                </c:pt>
                <c:pt idx="144">
                  <c:v>38.765296367435255</c:v>
                </c:pt>
                <c:pt idx="145">
                  <c:v>23.505019549614349</c:v>
                </c:pt>
                <c:pt idx="146">
                  <c:v>43.721349133311577</c:v>
                </c:pt>
                <c:pt idx="147">
                  <c:v>52.679488549752314</c:v>
                </c:pt>
                <c:pt idx="148">
                  <c:v>56.777500093054542</c:v>
                </c:pt>
                <c:pt idx="149">
                  <c:v>48.349455012617859</c:v>
                </c:pt>
                <c:pt idx="150">
                  <c:v>51.345651265558864</c:v>
                </c:pt>
                <c:pt idx="151">
                  <c:v>53.641169319877747</c:v>
                </c:pt>
                <c:pt idx="152">
                  <c:v>43.090488791048649</c:v>
                </c:pt>
                <c:pt idx="153">
                  <c:v>52.513335337127607</c:v>
                </c:pt>
                <c:pt idx="154">
                  <c:v>23.713468810964009</c:v>
                </c:pt>
                <c:pt idx="155">
                  <c:v>32.711824269408623</c:v>
                </c:pt>
                <c:pt idx="156">
                  <c:v>46.069873630530594</c:v>
                </c:pt>
                <c:pt idx="157">
                  <c:v>24.017377547170629</c:v>
                </c:pt>
                <c:pt idx="158">
                  <c:v>19.635450227899938</c:v>
                </c:pt>
                <c:pt idx="159">
                  <c:v>44.870336415465509</c:v>
                </c:pt>
                <c:pt idx="160">
                  <c:v>54.75834022033542</c:v>
                </c:pt>
                <c:pt idx="161">
                  <c:v>53.540767312817998</c:v>
                </c:pt>
                <c:pt idx="162">
                  <c:v>40.967480503697999</c:v>
                </c:pt>
                <c:pt idx="163">
                  <c:v>51.871824126720718</c:v>
                </c:pt>
                <c:pt idx="164">
                  <c:v>47.309456832728557</c:v>
                </c:pt>
                <c:pt idx="165">
                  <c:v>51.606390957256842</c:v>
                </c:pt>
                <c:pt idx="166">
                  <c:v>49.596273617498888</c:v>
                </c:pt>
                <c:pt idx="167">
                  <c:v>49.664121750993424</c:v>
                </c:pt>
                <c:pt idx="168">
                  <c:v>52.917821378329819</c:v>
                </c:pt>
                <c:pt idx="169">
                  <c:v>53.997895763923715</c:v>
                </c:pt>
                <c:pt idx="170">
                  <c:v>30.07191257143748</c:v>
                </c:pt>
                <c:pt idx="171">
                  <c:v>22.457779024639461</c:v>
                </c:pt>
                <c:pt idx="172">
                  <c:v>37.564069284892426</c:v>
                </c:pt>
                <c:pt idx="173">
                  <c:v>40.120879336460717</c:v>
                </c:pt>
                <c:pt idx="174">
                  <c:v>38.344763834171147</c:v>
                </c:pt>
                <c:pt idx="175">
                  <c:v>33.74467903874811</c:v>
                </c:pt>
                <c:pt idx="176">
                  <c:v>11.322204021885469</c:v>
                </c:pt>
                <c:pt idx="177">
                  <c:v>12.358990408545816</c:v>
                </c:pt>
                <c:pt idx="178">
                  <c:v>56.105589780120184</c:v>
                </c:pt>
                <c:pt idx="179">
                  <c:v>53.26652130104079</c:v>
                </c:pt>
                <c:pt idx="180">
                  <c:v>13.243805580522681</c:v>
                </c:pt>
                <c:pt idx="181">
                  <c:v>47.67607590700289</c:v>
                </c:pt>
                <c:pt idx="182">
                  <c:v>53.110131471268069</c:v>
                </c:pt>
                <c:pt idx="183">
                  <c:v>44.255551174299967</c:v>
                </c:pt>
                <c:pt idx="184">
                  <c:v>41.998105197480932</c:v>
                </c:pt>
                <c:pt idx="185">
                  <c:v>52.621096296847483</c:v>
                </c:pt>
                <c:pt idx="186">
                  <c:v>45.189648610118404</c:v>
                </c:pt>
                <c:pt idx="187">
                  <c:v>51.902145297866447</c:v>
                </c:pt>
                <c:pt idx="188">
                  <c:v>54.584804299431454</c:v>
                </c:pt>
                <c:pt idx="189">
                  <c:v>53.881797616138037</c:v>
                </c:pt>
                <c:pt idx="190">
                  <c:v>53.196384135342811</c:v>
                </c:pt>
                <c:pt idx="191">
                  <c:v>51.789487856713016</c:v>
                </c:pt>
                <c:pt idx="192">
                  <c:v>51.884208137770443</c:v>
                </c:pt>
                <c:pt idx="193">
                  <c:v>51.273060457643076</c:v>
                </c:pt>
                <c:pt idx="194">
                  <c:v>50.725396237287221</c:v>
                </c:pt>
                <c:pt idx="195">
                  <c:v>49.029492420163557</c:v>
                </c:pt>
                <c:pt idx="196">
                  <c:v>50.382954807431759</c:v>
                </c:pt>
                <c:pt idx="197">
                  <c:v>49.983719180476996</c:v>
                </c:pt>
                <c:pt idx="198">
                  <c:v>51.801007763136141</c:v>
                </c:pt>
                <c:pt idx="199">
                  <c:v>41.558609878466612</c:v>
                </c:pt>
                <c:pt idx="200">
                  <c:v>41.976354720539916</c:v>
                </c:pt>
                <c:pt idx="201">
                  <c:v>49.367461310390254</c:v>
                </c:pt>
                <c:pt idx="202">
                  <c:v>39.353794353005114</c:v>
                </c:pt>
                <c:pt idx="203">
                  <c:v>43.979376155100489</c:v>
                </c:pt>
                <c:pt idx="204">
                  <c:v>49.325750432021017</c:v>
                </c:pt>
                <c:pt idx="205">
                  <c:v>25.207619431831326</c:v>
                </c:pt>
                <c:pt idx="206">
                  <c:v>52.988100920372283</c:v>
                </c:pt>
                <c:pt idx="207">
                  <c:v>52.996345812685071</c:v>
                </c:pt>
                <c:pt idx="208">
                  <c:v>42.530352479110952</c:v>
                </c:pt>
                <c:pt idx="209">
                  <c:v>28.770049504614786</c:v>
                </c:pt>
                <c:pt idx="210">
                  <c:v>48.418636249938835</c:v>
                </c:pt>
                <c:pt idx="211">
                  <c:v>51.029158601354268</c:v>
                </c:pt>
                <c:pt idx="212">
                  <c:v>50.138501975763234</c:v>
                </c:pt>
                <c:pt idx="213">
                  <c:v>50.337736989925737</c:v>
                </c:pt>
                <c:pt idx="214">
                  <c:v>48.231169262401203</c:v>
                </c:pt>
                <c:pt idx="215">
                  <c:v>45.25930962791471</c:v>
                </c:pt>
                <c:pt idx="216">
                  <c:v>42.10872169167061</c:v>
                </c:pt>
                <c:pt idx="217">
                  <c:v>46.142104599207499</c:v>
                </c:pt>
                <c:pt idx="218">
                  <c:v>49.043574132692903</c:v>
                </c:pt>
                <c:pt idx="219">
                  <c:v>49.830672458205534</c:v>
                </c:pt>
                <c:pt idx="220">
                  <c:v>48.163575234201637</c:v>
                </c:pt>
                <c:pt idx="221">
                  <c:v>46.180086756282321</c:v>
                </c:pt>
                <c:pt idx="222">
                  <c:v>42.496342464781421</c:v>
                </c:pt>
                <c:pt idx="223">
                  <c:v>44.599058404948281</c:v>
                </c:pt>
                <c:pt idx="224">
                  <c:v>31.067154346441338</c:v>
                </c:pt>
                <c:pt idx="225">
                  <c:v>32.299742043862203</c:v>
                </c:pt>
                <c:pt idx="226">
                  <c:v>37.035496874687404</c:v>
                </c:pt>
                <c:pt idx="227">
                  <c:v>31.110443321564873</c:v>
                </c:pt>
                <c:pt idx="228">
                  <c:v>21.385284316678195</c:v>
                </c:pt>
                <c:pt idx="229">
                  <c:v>37.211756879722714</c:v>
                </c:pt>
                <c:pt idx="230">
                  <c:v>38.529429951048229</c:v>
                </c:pt>
                <c:pt idx="231">
                  <c:v>45.88573065303126</c:v>
                </c:pt>
                <c:pt idx="232">
                  <c:v>30.933468765736496</c:v>
                </c:pt>
                <c:pt idx="233">
                  <c:v>24.100969942690966</c:v>
                </c:pt>
                <c:pt idx="234">
                  <c:v>43.110908806461836</c:v>
                </c:pt>
                <c:pt idx="235">
                  <c:v>44.542025009783103</c:v>
                </c:pt>
                <c:pt idx="236">
                  <c:v>31.783029723218124</c:v>
                </c:pt>
                <c:pt idx="237">
                  <c:v>39.928811337583845</c:v>
                </c:pt>
                <c:pt idx="238">
                  <c:v>47.044315797725062</c:v>
                </c:pt>
                <c:pt idx="239">
                  <c:v>46.169567466355666</c:v>
                </c:pt>
                <c:pt idx="240">
                  <c:v>31.128646079854988</c:v>
                </c:pt>
                <c:pt idx="241">
                  <c:v>45.199468929302526</c:v>
                </c:pt>
                <c:pt idx="242">
                  <c:v>21.273045680693208</c:v>
                </c:pt>
                <c:pt idx="243">
                  <c:v>41.00810364190508</c:v>
                </c:pt>
                <c:pt idx="244">
                  <c:v>37.615265056518709</c:v>
                </c:pt>
                <c:pt idx="245">
                  <c:v>31.407380531924453</c:v>
                </c:pt>
                <c:pt idx="246">
                  <c:v>45.553080542807301</c:v>
                </c:pt>
                <c:pt idx="247">
                  <c:v>38.510035203004257</c:v>
                </c:pt>
                <c:pt idx="248">
                  <c:v>43.674618664393464</c:v>
                </c:pt>
                <c:pt idx="249">
                  <c:v>33.981413012848954</c:v>
                </c:pt>
                <c:pt idx="250">
                  <c:v>37.212008033841961</c:v>
                </c:pt>
                <c:pt idx="251">
                  <c:v>20.716087951915988</c:v>
                </c:pt>
                <c:pt idx="252">
                  <c:v>43.764250475019168</c:v>
                </c:pt>
                <c:pt idx="253">
                  <c:v>44.279488330802614</c:v>
                </c:pt>
                <c:pt idx="254">
                  <c:v>31.011596109598663</c:v>
                </c:pt>
                <c:pt idx="255">
                  <c:v>10.996354298539748</c:v>
                </c:pt>
                <c:pt idx="256">
                  <c:v>36.491451247776631</c:v>
                </c:pt>
                <c:pt idx="257">
                  <c:v>40.083794789931353</c:v>
                </c:pt>
                <c:pt idx="258">
                  <c:v>26.688313332470127</c:v>
                </c:pt>
                <c:pt idx="259">
                  <c:v>46.15411566387678</c:v>
                </c:pt>
                <c:pt idx="260">
                  <c:v>44.624824754018348</c:v>
                </c:pt>
                <c:pt idx="261">
                  <c:v>43.475567150616016</c:v>
                </c:pt>
                <c:pt idx="262">
                  <c:v>44.787204040901969</c:v>
                </c:pt>
                <c:pt idx="263">
                  <c:v>43.696628932406945</c:v>
                </c:pt>
                <c:pt idx="264">
                  <c:v>42.55917453539395</c:v>
                </c:pt>
                <c:pt idx="265">
                  <c:v>26.890223676318392</c:v>
                </c:pt>
                <c:pt idx="266">
                  <c:v>16.857012344226419</c:v>
                </c:pt>
                <c:pt idx="267">
                  <c:v>29.84084387392463</c:v>
                </c:pt>
                <c:pt idx="268">
                  <c:v>32.18244470987549</c:v>
                </c:pt>
                <c:pt idx="269">
                  <c:v>14.546376326853458</c:v>
                </c:pt>
                <c:pt idx="270">
                  <c:v>16.714861511460157</c:v>
                </c:pt>
                <c:pt idx="271">
                  <c:v>22.924774053081819</c:v>
                </c:pt>
                <c:pt idx="272">
                  <c:v>28.014280709040904</c:v>
                </c:pt>
                <c:pt idx="273">
                  <c:v>33.597576227261712</c:v>
                </c:pt>
                <c:pt idx="274">
                  <c:v>37.452607574639153</c:v>
                </c:pt>
                <c:pt idx="275">
                  <c:v>34.065716788490597</c:v>
                </c:pt>
                <c:pt idx="276">
                  <c:v>38.33234851565576</c:v>
                </c:pt>
                <c:pt idx="277">
                  <c:v>39.536402040343013</c:v>
                </c:pt>
                <c:pt idx="278">
                  <c:v>11.541844512645536</c:v>
                </c:pt>
                <c:pt idx="279">
                  <c:v>28.211256302577272</c:v>
                </c:pt>
                <c:pt idx="280">
                  <c:v>15.376490656446771</c:v>
                </c:pt>
                <c:pt idx="281">
                  <c:v>36.165249873337537</c:v>
                </c:pt>
                <c:pt idx="282">
                  <c:v>29.807071625771858</c:v>
                </c:pt>
                <c:pt idx="283">
                  <c:v>21.675615482299285</c:v>
                </c:pt>
                <c:pt idx="284">
                  <c:v>27.073098328206807</c:v>
                </c:pt>
                <c:pt idx="285">
                  <c:v>22.342671008743622</c:v>
                </c:pt>
                <c:pt idx="286">
                  <c:v>18.964853399744548</c:v>
                </c:pt>
                <c:pt idx="287">
                  <c:v>35.120725443917991</c:v>
                </c:pt>
                <c:pt idx="288">
                  <c:v>31.54142145561811</c:v>
                </c:pt>
                <c:pt idx="289">
                  <c:v>19.139854365208375</c:v>
                </c:pt>
                <c:pt idx="290">
                  <c:v>32.489408354656028</c:v>
                </c:pt>
                <c:pt idx="291">
                  <c:v>14.965232451570262</c:v>
                </c:pt>
                <c:pt idx="292">
                  <c:v>6.1997426533946838</c:v>
                </c:pt>
                <c:pt idx="293">
                  <c:v>15.702132568843346</c:v>
                </c:pt>
                <c:pt idx="294">
                  <c:v>31.346516713995143</c:v>
                </c:pt>
                <c:pt idx="295">
                  <c:v>16.335416777470314</c:v>
                </c:pt>
                <c:pt idx="296">
                  <c:v>24.213299416336564</c:v>
                </c:pt>
                <c:pt idx="297">
                  <c:v>20.882302404970364</c:v>
                </c:pt>
                <c:pt idx="298">
                  <c:v>13.089455877600809</c:v>
                </c:pt>
                <c:pt idx="299">
                  <c:v>13.980892120785297</c:v>
                </c:pt>
                <c:pt idx="300">
                  <c:v>16.509523602215999</c:v>
                </c:pt>
                <c:pt idx="301">
                  <c:v>25.925107509987821</c:v>
                </c:pt>
                <c:pt idx="302">
                  <c:v>21.44573383346054</c:v>
                </c:pt>
                <c:pt idx="303">
                  <c:v>20.93666995037524</c:v>
                </c:pt>
                <c:pt idx="304">
                  <c:v>22.271073376574225</c:v>
                </c:pt>
                <c:pt idx="305">
                  <c:v>26.766606200563007</c:v>
                </c:pt>
                <c:pt idx="306">
                  <c:v>9.191100212346953</c:v>
                </c:pt>
                <c:pt idx="307">
                  <c:v>16.119554525199732</c:v>
                </c:pt>
                <c:pt idx="308">
                  <c:v>28.069540713062651</c:v>
                </c:pt>
                <c:pt idx="309">
                  <c:v>28.918385124292467</c:v>
                </c:pt>
                <c:pt idx="310">
                  <c:v>26.7252433773434</c:v>
                </c:pt>
                <c:pt idx="311">
                  <c:v>20.121445761069715</c:v>
                </c:pt>
                <c:pt idx="312">
                  <c:v>9.4088519391474055</c:v>
                </c:pt>
                <c:pt idx="313">
                  <c:v>19.539433214376881</c:v>
                </c:pt>
                <c:pt idx="314">
                  <c:v>26.463902250532126</c:v>
                </c:pt>
                <c:pt idx="315">
                  <c:v>26.508332756342746</c:v>
                </c:pt>
                <c:pt idx="316">
                  <c:v>25.606456280141089</c:v>
                </c:pt>
                <c:pt idx="317">
                  <c:v>9.0166273916728112</c:v>
                </c:pt>
                <c:pt idx="318">
                  <c:v>11.724856707727255</c:v>
                </c:pt>
                <c:pt idx="319">
                  <c:v>26.031161947446119</c:v>
                </c:pt>
                <c:pt idx="320">
                  <c:v>12.18479593945977</c:v>
                </c:pt>
                <c:pt idx="321">
                  <c:v>14.463056626293421</c:v>
                </c:pt>
                <c:pt idx="322">
                  <c:v>7.4071661513095908</c:v>
                </c:pt>
                <c:pt idx="323">
                  <c:v>14.804835529037115</c:v>
                </c:pt>
                <c:pt idx="324">
                  <c:v>3.1288039918153534</c:v>
                </c:pt>
                <c:pt idx="325">
                  <c:v>7.7781516248660596</c:v>
                </c:pt>
                <c:pt idx="326">
                  <c:v>11.657166191081613</c:v>
                </c:pt>
                <c:pt idx="327">
                  <c:v>12.830729824633901</c:v>
                </c:pt>
                <c:pt idx="328">
                  <c:v>4.9682996814534075</c:v>
                </c:pt>
                <c:pt idx="329">
                  <c:v>9.9592512880238111</c:v>
                </c:pt>
                <c:pt idx="330">
                  <c:v>14.16710096889242</c:v>
                </c:pt>
                <c:pt idx="331">
                  <c:v>10.269543887655905</c:v>
                </c:pt>
                <c:pt idx="332">
                  <c:v>14.288778498486012</c:v>
                </c:pt>
                <c:pt idx="333">
                  <c:v>3.9810033339481818</c:v>
                </c:pt>
                <c:pt idx="334">
                  <c:v>3.4256048311637928</c:v>
                </c:pt>
                <c:pt idx="335">
                  <c:v>5.6807262646060037</c:v>
                </c:pt>
                <c:pt idx="336">
                  <c:v>8.4854935016743589</c:v>
                </c:pt>
                <c:pt idx="337">
                  <c:v>16.84795149083029</c:v>
                </c:pt>
                <c:pt idx="338">
                  <c:v>22.931961283509811</c:v>
                </c:pt>
                <c:pt idx="339">
                  <c:v>10.620652960838333</c:v>
                </c:pt>
                <c:pt idx="340">
                  <c:v>19.270910045511599</c:v>
                </c:pt>
                <c:pt idx="341">
                  <c:v>3.9784232032774978</c:v>
                </c:pt>
                <c:pt idx="342">
                  <c:v>4.8136636058458215</c:v>
                </c:pt>
                <c:pt idx="343">
                  <c:v>11.331086963175601</c:v>
                </c:pt>
                <c:pt idx="344">
                  <c:v>15.830015905003693</c:v>
                </c:pt>
                <c:pt idx="345">
                  <c:v>5.5130697574957157</c:v>
                </c:pt>
                <c:pt idx="346">
                  <c:v>5.2334013954722503</c:v>
                </c:pt>
                <c:pt idx="347">
                  <c:v>16.605992818195745</c:v>
                </c:pt>
                <c:pt idx="348">
                  <c:v>5.5083182317302004</c:v>
                </c:pt>
                <c:pt idx="349">
                  <c:v>4.6936506159656952</c:v>
                </c:pt>
                <c:pt idx="350">
                  <c:v>3.4300416664738265</c:v>
                </c:pt>
                <c:pt idx="351">
                  <c:v>20.597047149263584</c:v>
                </c:pt>
                <c:pt idx="352">
                  <c:v>16.668298375649606</c:v>
                </c:pt>
                <c:pt idx="353">
                  <c:v>4.3817954517668474</c:v>
                </c:pt>
                <c:pt idx="354">
                  <c:v>19.762242034214136</c:v>
                </c:pt>
                <c:pt idx="355">
                  <c:v>16.332210851383174</c:v>
                </c:pt>
                <c:pt idx="356">
                  <c:v>16.866368503912707</c:v>
                </c:pt>
                <c:pt idx="357">
                  <c:v>20.269317806945391</c:v>
                </c:pt>
                <c:pt idx="358">
                  <c:v>12.060140934857744</c:v>
                </c:pt>
                <c:pt idx="359">
                  <c:v>20.551271038550691</c:v>
                </c:pt>
                <c:pt idx="360">
                  <c:v>7.4063658208212617</c:v>
                </c:pt>
                <c:pt idx="361">
                  <c:v>19.740643455698201</c:v>
                </c:pt>
                <c:pt idx="362">
                  <c:v>9.7040956781121004</c:v>
                </c:pt>
                <c:pt idx="363">
                  <c:v>12.777475076439423</c:v>
                </c:pt>
                <c:pt idx="364">
                  <c:v>11.857110792536652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36224"/>
        <c:axId val="537236616"/>
      </c:lineChart>
      <c:dateAx>
        <c:axId val="537236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6616"/>
        <c:crosses val="autoZero"/>
        <c:auto val="1"/>
        <c:lblOffset val="100"/>
        <c:baseTimeUnit val="days"/>
        <c:majorUnit val="1"/>
        <c:majorTimeUnit val="months"/>
      </c:dateAx>
      <c:valAx>
        <c:axId val="5372366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62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5.1188217318522411E-2</c:v>
                </c:pt>
                <c:pt idx="1">
                  <c:v>5.1208998731624433E-2</c:v>
                </c:pt>
                <c:pt idx="2">
                  <c:v>5.1229779689560107E-2</c:v>
                </c:pt>
                <c:pt idx="3">
                  <c:v>5.1250560192339534E-2</c:v>
                </c:pt>
                <c:pt idx="4">
                  <c:v>5.1271340239972596E-2</c:v>
                </c:pt>
                <c:pt idx="5">
                  <c:v>5.1292119832469174E-2</c:v>
                </c:pt>
                <c:pt idx="6">
                  <c:v>5.1312898969839482E-2</c:v>
                </c:pt>
                <c:pt idx="7">
                  <c:v>5.133367765209329E-2</c:v>
                </c:pt>
                <c:pt idx="8">
                  <c:v>5.1354455879240701E-2</c:v>
                </c:pt>
                <c:pt idx="9">
                  <c:v>5.1375233651291485E-2</c:v>
                </c:pt>
                <c:pt idx="10">
                  <c:v>5.1396010968255856E-2</c:v>
                </c:pt>
                <c:pt idx="11">
                  <c:v>5.1416787830143584E-2</c:v>
                </c:pt>
                <c:pt idx="12">
                  <c:v>5.1437564236964772E-2</c:v>
                </c:pt>
                <c:pt idx="13">
                  <c:v>5.1458340188729301E-2</c:v>
                </c:pt>
                <c:pt idx="14">
                  <c:v>5.1479115685447163E-2</c:v>
                </c:pt>
                <c:pt idx="15">
                  <c:v>5.149989072712835E-2</c:v>
                </c:pt>
                <c:pt idx="16">
                  <c:v>5.1520665313782743E-2</c:v>
                </c:pt>
                <c:pt idx="17">
                  <c:v>5.1541439445420445E-2</c:v>
                </c:pt>
                <c:pt idx="18">
                  <c:v>5.1562213122051337E-2</c:v>
                </c:pt>
                <c:pt idx="19">
                  <c:v>5.15829863436853E-2</c:v>
                </c:pt>
                <c:pt idx="20">
                  <c:v>5.1603759110332548E-2</c:v>
                </c:pt>
                <c:pt idx="21">
                  <c:v>5.162453142200274E-2</c:v>
                </c:pt>
                <c:pt idx="22">
                  <c:v>5.164530327870609E-2</c:v>
                </c:pt>
                <c:pt idx="23">
                  <c:v>5.1666074680452478E-2</c:v>
                </c:pt>
                <c:pt idx="24">
                  <c:v>5.1686845627251787E-2</c:v>
                </c:pt>
                <c:pt idx="25">
                  <c:v>5.1707616119114119E-2</c:v>
                </c:pt>
                <c:pt idx="26">
                  <c:v>5.1728386156049355E-2</c:v>
                </c:pt>
                <c:pt idx="27">
                  <c:v>5.1749155738067487E-2</c:v>
                </c:pt>
                <c:pt idx="28">
                  <c:v>5.1769924865178507E-2</c:v>
                </c:pt>
                <c:pt idx="29">
                  <c:v>5.1790693537392296E-2</c:v>
                </c:pt>
                <c:pt idx="30">
                  <c:v>5.1811461754718846E-2</c:v>
                </c:pt>
                <c:pt idx="31">
                  <c:v>5.1832229517168149E-2</c:v>
                </c:pt>
                <c:pt idx="32">
                  <c:v>5.1852996824750197E-2</c:v>
                </c:pt>
                <c:pt idx="33">
                  <c:v>5.1873763677474871E-2</c:v>
                </c:pt>
                <c:pt idx="34">
                  <c:v>5.1894530075352163E-2</c:v>
                </c:pt>
                <c:pt idx="35">
                  <c:v>5.1915296018392065E-2</c:v>
                </c:pt>
                <c:pt idx="36">
                  <c:v>5.1936061506604458E-2</c:v>
                </c:pt>
                <c:pt idx="37">
                  <c:v>5.1956826539999446E-2</c:v>
                </c:pt>
                <c:pt idx="38">
                  <c:v>5.1977591118586908E-2</c:v>
                </c:pt>
                <c:pt idx="39">
                  <c:v>5.1998355242376726E-2</c:v>
                </c:pt>
                <c:pt idx="40">
                  <c:v>5.2019118911379003E-2</c:v>
                </c:pt>
                <c:pt idx="41">
                  <c:v>5.2039882125603731E-2</c:v>
                </c:pt>
                <c:pt idx="42">
                  <c:v>5.2060644885060681E-2</c:v>
                </c:pt>
                <c:pt idx="43">
                  <c:v>5.2081407189759843E-2</c:v>
                </c:pt>
                <c:pt idx="44">
                  <c:v>5.2102169039711321E-2</c:v>
                </c:pt>
                <c:pt idx="45">
                  <c:v>5.2122930434925108E-2</c:v>
                </c:pt>
                <c:pt idx="46">
                  <c:v>5.2143691375410861E-2</c:v>
                </c:pt>
                <c:pt idx="47">
                  <c:v>5.2164451861178907E-2</c:v>
                </c:pt>
                <c:pt idx="48">
                  <c:v>5.2185211892238903E-2</c:v>
                </c:pt>
                <c:pt idx="49">
                  <c:v>5.2205971468600954E-2</c:v>
                </c:pt>
                <c:pt idx="50">
                  <c:v>5.222673059027505E-2</c:v>
                </c:pt>
                <c:pt idx="51">
                  <c:v>5.2247489257271185E-2</c:v>
                </c:pt>
                <c:pt idx="52">
                  <c:v>5.2268247469599127E-2</c:v>
                </c:pt>
                <c:pt idx="53">
                  <c:v>5.2289005227268981E-2</c:v>
                </c:pt>
                <c:pt idx="54">
                  <c:v>5.2309762530290627E-2</c:v>
                </c:pt>
                <c:pt idx="55">
                  <c:v>5.2330519378674056E-2</c:v>
                </c:pt>
                <c:pt idx="56">
                  <c:v>5.2351275772429262E-2</c:v>
                </c:pt>
                <c:pt idx="57">
                  <c:v>5.2372031711566236E-2</c:v>
                </c:pt>
                <c:pt idx="58">
                  <c:v>5.2392787196094859E-2</c:v>
                </c:pt>
                <c:pt idx="59">
                  <c:v>5.2413542226025012E-2</c:v>
                </c:pt>
                <c:pt idx="60">
                  <c:v>5.2434296801366798E-2</c:v>
                </c:pt>
                <c:pt idx="61">
                  <c:v>5.2455050922130098E-2</c:v>
                </c:pt>
                <c:pt idx="62">
                  <c:v>5.2475804588324904E-2</c:v>
                </c:pt>
                <c:pt idx="63">
                  <c:v>5.2496557799961208E-2</c:v>
                </c:pt>
                <c:pt idx="64">
                  <c:v>5.2517310557048891E-2</c:v>
                </c:pt>
                <c:pt idx="65">
                  <c:v>5.2538062859597945E-2</c:v>
                </c:pt>
                <c:pt idx="66">
                  <c:v>5.2558814707618251E-2</c:v>
                </c:pt>
                <c:pt idx="67">
                  <c:v>5.2579566101119801E-2</c:v>
                </c:pt>
                <c:pt idx="68">
                  <c:v>5.2600317040112698E-2</c:v>
                </c:pt>
                <c:pt idx="69">
                  <c:v>5.2621067524606713E-2</c:v>
                </c:pt>
                <c:pt idx="70">
                  <c:v>5.2641817554611836E-2</c:v>
                </c:pt>
                <c:pt idx="71">
                  <c:v>5.266256713013806E-2</c:v>
                </c:pt>
                <c:pt idx="72">
                  <c:v>5.2683316251195378E-2</c:v>
                </c:pt>
                <c:pt idx="73">
                  <c:v>5.2704064917793669E-2</c:v>
                </c:pt>
                <c:pt idx="74">
                  <c:v>5.2724813129942816E-2</c:v>
                </c:pt>
                <c:pt idx="75">
                  <c:v>5.2745560887653031E-2</c:v>
                </c:pt>
                <c:pt idx="76">
                  <c:v>5.2766308190933975E-2</c:v>
                </c:pt>
                <c:pt idx="77">
                  <c:v>5.2787055039795749E-2</c:v>
                </c:pt>
                <c:pt idx="78">
                  <c:v>5.2807801434248347E-2</c:v>
                </c:pt>
                <c:pt idx="79">
                  <c:v>5.2828547374301649E-2</c:v>
                </c:pt>
                <c:pt idx="80">
                  <c:v>5.2849292859965646E-2</c:v>
                </c:pt>
                <c:pt idx="81">
                  <c:v>5.2870037891250221E-2</c:v>
                </c:pt>
                <c:pt idx="82">
                  <c:v>5.2890782468165365E-2</c:v>
                </c:pt>
                <c:pt idx="83">
                  <c:v>5.2911526590720959E-2</c:v>
                </c:pt>
                <c:pt idx="84">
                  <c:v>5.2932270258927216E-2</c:v>
                </c:pt>
                <c:pt idx="85">
                  <c:v>5.2953013472793797E-2</c:v>
                </c:pt>
                <c:pt idx="86">
                  <c:v>5.2973756232330693E-2</c:v>
                </c:pt>
                <c:pt idx="87">
                  <c:v>5.2994498537548007E-2</c:v>
                </c:pt>
                <c:pt idx="88">
                  <c:v>5.301524038845562E-2</c:v>
                </c:pt>
                <c:pt idx="89">
                  <c:v>5.3035981785063413E-2</c:v>
                </c:pt>
                <c:pt idx="90">
                  <c:v>5.3056722727381378E-2</c:v>
                </c:pt>
                <c:pt idx="91">
                  <c:v>5.3077463215419507E-2</c:v>
                </c:pt>
                <c:pt idx="92">
                  <c:v>5.3098203249187681E-2</c:v>
                </c:pt>
                <c:pt idx="93">
                  <c:v>5.3118942828696003E-2</c:v>
                </c:pt>
                <c:pt idx="94">
                  <c:v>5.3139681953954243E-2</c:v>
                </c:pt>
                <c:pt idx="95">
                  <c:v>5.3160420624972393E-2</c:v>
                </c:pt>
                <c:pt idx="96">
                  <c:v>5.3181158841760445E-2</c:v>
                </c:pt>
                <c:pt idx="97">
                  <c:v>5.320189660432828E-2</c:v>
                </c:pt>
                <c:pt idx="98">
                  <c:v>5.3222633912685891E-2</c:v>
                </c:pt>
                <c:pt idx="99">
                  <c:v>5.3243370766843268E-2</c:v>
                </c:pt>
                <c:pt idx="100">
                  <c:v>5.3264107166810293E-2</c:v>
                </c:pt>
                <c:pt idx="101">
                  <c:v>5.3284843112596958E-2</c:v>
                </c:pt>
                <c:pt idx="102">
                  <c:v>5.3305578604213255E-2</c:v>
                </c:pt>
                <c:pt idx="103">
                  <c:v>5.3326313641668954E-2</c:v>
                </c:pt>
                <c:pt idx="104">
                  <c:v>5.3347048224974158E-2</c:v>
                </c:pt>
                <c:pt idx="105">
                  <c:v>5.336778235413886E-2</c:v>
                </c:pt>
                <c:pt idx="106">
                  <c:v>5.3388516029172828E-2</c:v>
                </c:pt>
                <c:pt idx="107">
                  <c:v>5.3409249250086055E-2</c:v>
                </c:pt>
                <c:pt idx="108">
                  <c:v>5.3429982016888644E-2</c:v>
                </c:pt>
                <c:pt idx="109">
                  <c:v>5.3450714329590365E-2</c:v>
                </c:pt>
                <c:pt idx="110">
                  <c:v>5.347144618820121E-2</c:v>
                </c:pt>
                <c:pt idx="111">
                  <c:v>5.3492177592731283E-2</c:v>
                </c:pt>
                <c:pt idx="112">
                  <c:v>5.3512908543190241E-2</c:v>
                </c:pt>
                <c:pt idx="113">
                  <c:v>5.3533639039588299E-2</c:v>
                </c:pt>
                <c:pt idx="114">
                  <c:v>5.3554369081935116E-2</c:v>
                </c:pt>
                <c:pt idx="115">
                  <c:v>5.3575098670240906E-2</c:v>
                </c:pt>
                <c:pt idx="116">
                  <c:v>5.359582780451555E-2</c:v>
                </c:pt>
                <c:pt idx="117">
                  <c:v>5.3616556484768929E-2</c:v>
                </c:pt>
                <c:pt idx="118">
                  <c:v>5.3637284711010924E-2</c:v>
                </c:pt>
                <c:pt idx="119">
                  <c:v>5.3658012483251638E-2</c:v>
                </c:pt>
                <c:pt idx="120">
                  <c:v>5.3678739801500952E-2</c:v>
                </c:pt>
                <c:pt idx="121">
                  <c:v>5.3699466665768858E-2</c:v>
                </c:pt>
                <c:pt idx="122">
                  <c:v>5.3720193076065126E-2</c:v>
                </c:pt>
                <c:pt idx="123">
                  <c:v>5.3740919032399859E-2</c:v>
                </c:pt>
                <c:pt idx="124">
                  <c:v>5.3761644534782937E-2</c:v>
                </c:pt>
                <c:pt idx="125">
                  <c:v>5.3782369583224354E-2</c:v>
                </c:pt>
                <c:pt idx="126">
                  <c:v>5.3803094177734101E-2</c:v>
                </c:pt>
                <c:pt idx="127">
                  <c:v>5.3823818318321948E-2</c:v>
                </c:pt>
                <c:pt idx="128">
                  <c:v>5.3844542004997886E-2</c:v>
                </c:pt>
                <c:pt idx="129">
                  <c:v>5.386526523777202E-2</c:v>
                </c:pt>
                <c:pt idx="130">
                  <c:v>5.3885988016654007E-2</c:v>
                </c:pt>
                <c:pt idx="131">
                  <c:v>5.3906710341654063E-2</c:v>
                </c:pt>
                <c:pt idx="132">
                  <c:v>5.3927432212782067E-2</c:v>
                </c:pt>
                <c:pt idx="133">
                  <c:v>5.394815363004779E-2</c:v>
                </c:pt>
                <c:pt idx="134">
                  <c:v>5.3968874593461336E-2</c:v>
                </c:pt>
                <c:pt idx="135">
                  <c:v>5.3989595103032695E-2</c:v>
                </c:pt>
                <c:pt idx="136">
                  <c:v>5.4010315158771638E-2</c:v>
                </c:pt>
                <c:pt idx="137">
                  <c:v>5.4031034760688157E-2</c:v>
                </c:pt>
                <c:pt idx="138">
                  <c:v>5.4051753908792244E-2</c:v>
                </c:pt>
                <c:pt idx="139">
                  <c:v>5.407247260309378E-2</c:v>
                </c:pt>
                <c:pt idx="140">
                  <c:v>5.4093190843602756E-2</c:v>
                </c:pt>
                <c:pt idx="141">
                  <c:v>5.4113908630329166E-2</c:v>
                </c:pt>
                <c:pt idx="142">
                  <c:v>5.4134625963282779E-2</c:v>
                </c:pt>
                <c:pt idx="143">
                  <c:v>5.4155342842473697E-2</c:v>
                </c:pt>
                <c:pt idx="144">
                  <c:v>5.4176059267911802E-2</c:v>
                </c:pt>
                <c:pt idx="145">
                  <c:v>5.4196775239606976E-2</c:v>
                </c:pt>
                <c:pt idx="146">
                  <c:v>5.4217490757569209E-2</c:v>
                </c:pt>
                <c:pt idx="147">
                  <c:v>5.4238205821808494E-2</c:v>
                </c:pt>
                <c:pt idx="148">
                  <c:v>5.4258920432334601E-2</c:v>
                </c:pt>
                <c:pt idx="149">
                  <c:v>5.4279634589157633E-2</c:v>
                </c:pt>
                <c:pt idx="150">
                  <c:v>5.430034829228747E-2</c:v>
                </c:pt>
                <c:pt idx="151">
                  <c:v>5.4321061541733995E-2</c:v>
                </c:pt>
                <c:pt idx="152">
                  <c:v>5.4341774337507309E-2</c:v>
                </c:pt>
                <c:pt idx="153">
                  <c:v>5.4362486679617184E-2</c:v>
                </c:pt>
                <c:pt idx="154">
                  <c:v>5.438319856807361E-2</c:v>
                </c:pt>
                <c:pt idx="155">
                  <c:v>5.4403910002886469E-2</c:v>
                </c:pt>
                <c:pt idx="156">
                  <c:v>5.4424620984065863E-2</c:v>
                </c:pt>
                <c:pt idx="157">
                  <c:v>5.4445331511621453E-2</c:v>
                </c:pt>
                <c:pt idx="158">
                  <c:v>5.4466041585563452E-2</c:v>
                </c:pt>
                <c:pt idx="159">
                  <c:v>5.448675120590174E-2</c:v>
                </c:pt>
                <c:pt idx="160">
                  <c:v>5.4507460372646088E-2</c:v>
                </c:pt>
                <c:pt idx="161">
                  <c:v>5.4528169085806599E-2</c:v>
                </c:pt>
                <c:pt idx="162">
                  <c:v>5.4548877345393043E-2</c:v>
                </c:pt>
                <c:pt idx="163">
                  <c:v>5.4569585151415523E-2</c:v>
                </c:pt>
                <c:pt idx="164">
                  <c:v>5.4590292503883919E-2</c:v>
                </c:pt>
                <c:pt idx="165">
                  <c:v>5.4610999402808114E-2</c:v>
                </c:pt>
                <c:pt idx="166">
                  <c:v>5.4631705848198098E-2</c:v>
                </c:pt>
                <c:pt idx="167">
                  <c:v>5.4652411840063864E-2</c:v>
                </c:pt>
                <c:pt idx="168">
                  <c:v>5.4673117378415181E-2</c:v>
                </c:pt>
                <c:pt idx="169">
                  <c:v>5.4693822463262043E-2</c:v>
                </c:pt>
                <c:pt idx="170">
                  <c:v>5.471452709461444E-2</c:v>
                </c:pt>
                <c:pt idx="171">
                  <c:v>5.4735231272482254E-2</c:v>
                </c:pt>
                <c:pt idx="172">
                  <c:v>5.4755934996875477E-2</c:v>
                </c:pt>
                <c:pt idx="173">
                  <c:v>5.477663826780399E-2</c:v>
                </c:pt>
                <c:pt idx="174">
                  <c:v>5.4797341085277784E-2</c:v>
                </c:pt>
                <c:pt idx="175">
                  <c:v>5.481804344930663E-2</c:v>
                </c:pt>
                <c:pt idx="176">
                  <c:v>5.4838745359900742E-2</c:v>
                </c:pt>
                <c:pt idx="177">
                  <c:v>5.4859446817069779E-2</c:v>
                </c:pt>
                <c:pt idx="178">
                  <c:v>5.4880147820823733E-2</c:v>
                </c:pt>
                <c:pt idx="179">
                  <c:v>5.4900848371172595E-2</c:v>
                </c:pt>
                <c:pt idx="180">
                  <c:v>5.4921548468126358E-2</c:v>
                </c:pt>
                <c:pt idx="181">
                  <c:v>5.4942248111694791E-2</c:v>
                </c:pt>
                <c:pt idx="182">
                  <c:v>5.4962947301887888E-2</c:v>
                </c:pt>
                <c:pt idx="183">
                  <c:v>5.4983646038715639E-2</c:v>
                </c:pt>
                <c:pt idx="184">
                  <c:v>5.5004344322187926E-2</c:v>
                </c:pt>
                <c:pt idx="185">
                  <c:v>5.502504215231474E-2</c:v>
                </c:pt>
                <c:pt idx="186">
                  <c:v>5.5045739529105853E-2</c:v>
                </c:pt>
                <c:pt idx="187">
                  <c:v>5.5066436452571366E-2</c:v>
                </c:pt>
                <c:pt idx="188">
                  <c:v>5.508713292272116E-2</c:v>
                </c:pt>
                <c:pt idx="189">
                  <c:v>5.5107828939565007E-2</c:v>
                </c:pt>
                <c:pt idx="190">
                  <c:v>5.5128524503113119E-2</c:v>
                </c:pt>
                <c:pt idx="191">
                  <c:v>5.5149219613375156E-2</c:v>
                </c:pt>
                <c:pt idx="192">
                  <c:v>5.5169914270361331E-2</c:v>
                </c:pt>
                <c:pt idx="193">
                  <c:v>5.5190608474081193E-2</c:v>
                </c:pt>
                <c:pt idx="194">
                  <c:v>5.5211302224545067E-2</c:v>
                </c:pt>
                <c:pt idx="195">
                  <c:v>5.5231995521762611E-2</c:v>
                </c:pt>
                <c:pt idx="196">
                  <c:v>5.5252688365743818E-2</c:v>
                </c:pt>
                <c:pt idx="197">
                  <c:v>5.527338075649868E-2</c:v>
                </c:pt>
                <c:pt idx="198">
                  <c:v>5.5294072694037077E-2</c:v>
                </c:pt>
                <c:pt idx="199">
                  <c:v>5.5314764178368891E-2</c:v>
                </c:pt>
                <c:pt idx="200">
                  <c:v>5.5335455209504225E-2</c:v>
                </c:pt>
                <c:pt idx="201">
                  <c:v>5.5356145787452737E-2</c:v>
                </c:pt>
                <c:pt idx="202">
                  <c:v>5.5376835912224531E-2</c:v>
                </c:pt>
                <c:pt idx="203">
                  <c:v>5.5397525583829488E-2</c:v>
                </c:pt>
                <c:pt idx="204">
                  <c:v>5.5418214802277599E-2</c:v>
                </c:pt>
                <c:pt idx="205">
                  <c:v>5.5438903567578635E-2</c:v>
                </c:pt>
                <c:pt idx="206">
                  <c:v>5.5459591879742698E-2</c:v>
                </c:pt>
                <c:pt idx="207">
                  <c:v>5.5480279738779559E-2</c:v>
                </c:pt>
                <c:pt idx="208">
                  <c:v>5.5500967144699209E-2</c:v>
                </c:pt>
                <c:pt idx="209">
                  <c:v>5.5521654097511641E-2</c:v>
                </c:pt>
                <c:pt idx="210">
                  <c:v>5.5542340597226625E-2</c:v>
                </c:pt>
                <c:pt idx="211">
                  <c:v>5.5563026643854263E-2</c:v>
                </c:pt>
                <c:pt idx="212">
                  <c:v>5.5583712237404326E-2</c:v>
                </c:pt>
                <c:pt idx="213">
                  <c:v>5.5604397377886916E-2</c:v>
                </c:pt>
                <c:pt idx="214">
                  <c:v>5.5625082065311693E-2</c:v>
                </c:pt>
                <c:pt idx="215">
                  <c:v>5.564576629968887E-2</c:v>
                </c:pt>
                <c:pt idx="216">
                  <c:v>5.5666450081028107E-2</c:v>
                </c:pt>
                <c:pt idx="217">
                  <c:v>5.5687133409339507E-2</c:v>
                </c:pt>
                <c:pt idx="218">
                  <c:v>5.5707816284632949E-2</c:v>
                </c:pt>
                <c:pt idx="219">
                  <c:v>5.5728498706918317E-2</c:v>
                </c:pt>
                <c:pt idx="220">
                  <c:v>5.5749180676205601E-2</c:v>
                </c:pt>
                <c:pt idx="221">
                  <c:v>5.5769862192504571E-2</c:v>
                </c:pt>
                <c:pt idx="222">
                  <c:v>5.5790543255825331E-2</c:v>
                </c:pt>
                <c:pt idx="223">
                  <c:v>5.5811223866177762E-2</c:v>
                </c:pt>
                <c:pt idx="224">
                  <c:v>5.5831904023571632E-2</c:v>
                </c:pt>
                <c:pt idx="225">
                  <c:v>5.5852583728017047E-2</c:v>
                </c:pt>
                <c:pt idx="226">
                  <c:v>5.5873262979523886E-2</c:v>
                </c:pt>
                <c:pt idx="227">
                  <c:v>5.589394177810203E-2</c:v>
                </c:pt>
                <c:pt idx="228">
                  <c:v>5.5914620123761472E-2</c:v>
                </c:pt>
                <c:pt idx="229">
                  <c:v>5.5935298016511981E-2</c:v>
                </c:pt>
                <c:pt idx="230">
                  <c:v>5.595597545636366E-2</c:v>
                </c:pt>
                <c:pt idx="231">
                  <c:v>5.597665244332628E-2</c:v>
                </c:pt>
                <c:pt idx="232">
                  <c:v>5.5997328977409833E-2</c:v>
                </c:pt>
                <c:pt idx="233">
                  <c:v>5.6018005058624198E-2</c:v>
                </c:pt>
                <c:pt idx="234">
                  <c:v>5.603868068697937E-2</c:v>
                </c:pt>
                <c:pt idx="235">
                  <c:v>5.6059355862485116E-2</c:v>
                </c:pt>
                <c:pt idx="236">
                  <c:v>5.6080030585151541E-2</c:v>
                </c:pt>
                <c:pt idx="237">
                  <c:v>5.6100704854988526E-2</c:v>
                </c:pt>
                <c:pt idx="238">
                  <c:v>5.6121378672005839E-2</c:v>
                </c:pt>
                <c:pt idx="239">
                  <c:v>5.6142052036213586E-2</c:v>
                </c:pt>
                <c:pt idx="240">
                  <c:v>5.6162724947621534E-2</c:v>
                </c:pt>
                <c:pt idx="241">
                  <c:v>5.6183397406239677E-2</c:v>
                </c:pt>
                <c:pt idx="242">
                  <c:v>5.6204069412077895E-2</c:v>
                </c:pt>
                <c:pt idx="243">
                  <c:v>5.622474096514618E-2</c:v>
                </c:pt>
                <c:pt idx="244">
                  <c:v>5.6245412065454414E-2</c:v>
                </c:pt>
                <c:pt idx="245">
                  <c:v>5.6266082713012477E-2</c:v>
                </c:pt>
                <c:pt idx="246">
                  <c:v>5.6286752907830362E-2</c:v>
                </c:pt>
                <c:pt idx="247">
                  <c:v>5.6307422649917838E-2</c:v>
                </c:pt>
                <c:pt idx="248">
                  <c:v>5.6328091939285008E-2</c:v>
                </c:pt>
                <c:pt idx="249">
                  <c:v>5.6348760775941642E-2</c:v>
                </c:pt>
                <c:pt idx="250">
                  <c:v>5.6369429159897733E-2</c:v>
                </c:pt>
                <c:pt idx="251">
                  <c:v>5.639009709116316E-2</c:v>
                </c:pt>
                <c:pt idx="252">
                  <c:v>5.6410764569747807E-2</c:v>
                </c:pt>
                <c:pt idx="253">
                  <c:v>5.6431431595661663E-2</c:v>
                </c:pt>
                <c:pt idx="254">
                  <c:v>5.6452098168914611E-2</c:v>
                </c:pt>
                <c:pt idx="255">
                  <c:v>5.647276428951653E-2</c:v>
                </c:pt>
                <c:pt idx="256">
                  <c:v>5.6493429957477415E-2</c:v>
                </c:pt>
                <c:pt idx="257">
                  <c:v>5.6514095172807144E-2</c:v>
                </c:pt>
                <c:pt idx="258">
                  <c:v>5.6534759935515599E-2</c:v>
                </c:pt>
                <c:pt idx="259">
                  <c:v>5.6555424245612773E-2</c:v>
                </c:pt>
                <c:pt idx="260">
                  <c:v>5.6576088103108435E-2</c:v>
                </c:pt>
                <c:pt idx="261">
                  <c:v>5.6596751508012577E-2</c:v>
                </c:pt>
                <c:pt idx="262">
                  <c:v>5.6617414460335191E-2</c:v>
                </c:pt>
                <c:pt idx="263">
                  <c:v>5.6638076960086048E-2</c:v>
                </c:pt>
                <c:pt idx="264">
                  <c:v>5.6658739007275249E-2</c:v>
                </c:pt>
                <c:pt idx="265">
                  <c:v>5.6679400601912455E-2</c:v>
                </c:pt>
                <c:pt idx="266">
                  <c:v>5.6700061744007768E-2</c:v>
                </c:pt>
                <c:pt idx="267">
                  <c:v>5.6720722433571069E-2</c:v>
                </c:pt>
                <c:pt idx="268">
                  <c:v>5.6741382670612239E-2</c:v>
                </c:pt>
                <c:pt idx="269">
                  <c:v>5.676204245514116E-2</c:v>
                </c:pt>
                <c:pt idx="270">
                  <c:v>5.6782701787167822E-2</c:v>
                </c:pt>
                <c:pt idx="271">
                  <c:v>5.6803360666702107E-2</c:v>
                </c:pt>
                <c:pt idx="272">
                  <c:v>5.6824019093753786E-2</c:v>
                </c:pt>
                <c:pt idx="273">
                  <c:v>5.6844677068333072E-2</c:v>
                </c:pt>
                <c:pt idx="274">
                  <c:v>5.6865334590449512E-2</c:v>
                </c:pt>
                <c:pt idx="275">
                  <c:v>5.6885991660113322E-2</c:v>
                </c:pt>
                <c:pt idx="276">
                  <c:v>5.6906648277334271E-2</c:v>
                </c:pt>
                <c:pt idx="277">
                  <c:v>5.692730444212224E-2</c:v>
                </c:pt>
                <c:pt idx="278">
                  <c:v>5.6947960154487332E-2</c:v>
                </c:pt>
                <c:pt idx="279">
                  <c:v>5.6968615414439094E-2</c:v>
                </c:pt>
                <c:pt idx="280">
                  <c:v>5.6989270221987853E-2</c:v>
                </c:pt>
                <c:pt idx="281">
                  <c:v>5.7009924577143156E-2</c:v>
                </c:pt>
                <c:pt idx="282">
                  <c:v>5.7030578479915217E-2</c:v>
                </c:pt>
                <c:pt idx="283">
                  <c:v>5.7051231930313695E-2</c:v>
                </c:pt>
                <c:pt idx="284">
                  <c:v>5.7071884928348693E-2</c:v>
                </c:pt>
                <c:pt idx="285">
                  <c:v>5.7092537474029981E-2</c:v>
                </c:pt>
                <c:pt idx="286">
                  <c:v>5.7113189567367439E-2</c:v>
                </c:pt>
                <c:pt idx="287">
                  <c:v>5.7133841208371172E-2</c:v>
                </c:pt>
                <c:pt idx="288">
                  <c:v>5.7154492397050949E-2</c:v>
                </c:pt>
                <c:pt idx="289">
                  <c:v>5.717514313341665E-2</c:v>
                </c:pt>
                <c:pt idx="290">
                  <c:v>5.7195793417478158E-2</c:v>
                </c:pt>
                <c:pt idx="291">
                  <c:v>5.7216443249245574E-2</c:v>
                </c:pt>
                <c:pt idx="292">
                  <c:v>5.723709262872867E-2</c:v>
                </c:pt>
                <c:pt idx="293">
                  <c:v>5.7257741555937325E-2</c:v>
                </c:pt>
                <c:pt idx="294">
                  <c:v>5.7278390030881421E-2</c:v>
                </c:pt>
                <c:pt idx="295">
                  <c:v>5.729903805357095E-2</c:v>
                </c:pt>
                <c:pt idx="296">
                  <c:v>5.7319685624015904E-2</c:v>
                </c:pt>
                <c:pt idx="297">
                  <c:v>5.7340332742225941E-2</c:v>
                </c:pt>
                <c:pt idx="298">
                  <c:v>5.7360979408211166E-2</c:v>
                </c:pt>
                <c:pt idx="299">
                  <c:v>5.7381625621981347E-2</c:v>
                </c:pt>
                <c:pt idx="300">
                  <c:v>5.7402271383546588E-2</c:v>
                </c:pt>
                <c:pt idx="301">
                  <c:v>5.7422916692916548E-2</c:v>
                </c:pt>
                <c:pt idx="302">
                  <c:v>5.744356155010133E-2</c:v>
                </c:pt>
                <c:pt idx="303">
                  <c:v>5.7464205955110703E-2</c:v>
                </c:pt>
                <c:pt idx="304">
                  <c:v>5.7484849907954549E-2</c:v>
                </c:pt>
                <c:pt idx="305">
                  <c:v>5.7505493408642971E-2</c:v>
                </c:pt>
                <c:pt idx="306">
                  <c:v>5.7526136457185739E-2</c:v>
                </c:pt>
                <c:pt idx="307">
                  <c:v>5.7546779053592734E-2</c:v>
                </c:pt>
                <c:pt idx="308">
                  <c:v>5.7567421197873836E-2</c:v>
                </c:pt>
                <c:pt idx="309">
                  <c:v>5.7588062890039149E-2</c:v>
                </c:pt>
                <c:pt idx="310">
                  <c:v>5.7608704130098332E-2</c:v>
                </c:pt>
                <c:pt idx="311">
                  <c:v>5.7629344918061376E-2</c:v>
                </c:pt>
                <c:pt idx="312">
                  <c:v>5.7649985253938163E-2</c:v>
                </c:pt>
                <c:pt idx="313">
                  <c:v>5.7670625137738685E-2</c:v>
                </c:pt>
                <c:pt idx="314">
                  <c:v>5.7691264569472711E-2</c:v>
                </c:pt>
                <c:pt idx="315">
                  <c:v>5.7711903549150234E-2</c:v>
                </c:pt>
                <c:pt idx="316">
                  <c:v>5.7732542076781246E-2</c:v>
                </c:pt>
                <c:pt idx="317">
                  <c:v>5.7753180152375405E-2</c:v>
                </c:pt>
                <c:pt idx="318">
                  <c:v>5.7773817775942815E-2</c:v>
                </c:pt>
                <c:pt idx="319">
                  <c:v>5.7794454947493246E-2</c:v>
                </c:pt>
                <c:pt idx="320">
                  <c:v>5.7815091667036689E-2</c:v>
                </c:pt>
                <c:pt idx="321">
                  <c:v>5.7835727934583026E-2</c:v>
                </c:pt>
                <c:pt idx="322">
                  <c:v>5.7856363750142137E-2</c:v>
                </c:pt>
                <c:pt idx="323">
                  <c:v>5.7876999113723904E-2</c:v>
                </c:pt>
                <c:pt idx="324">
                  <c:v>5.7897634025338207E-2</c:v>
                </c:pt>
                <c:pt idx="325">
                  <c:v>5.7918268484995039E-2</c:v>
                </c:pt>
                <c:pt idx="326">
                  <c:v>5.7938902492704281E-2</c:v>
                </c:pt>
                <c:pt idx="327">
                  <c:v>5.7959536048475702E-2</c:v>
                </c:pt>
                <c:pt idx="328">
                  <c:v>5.7980169152319405E-2</c:v>
                </c:pt>
                <c:pt idx="329">
                  <c:v>5.8000801804245161E-2</c:v>
                </c:pt>
                <c:pt idx="330">
                  <c:v>5.8021434004262851E-2</c:v>
                </c:pt>
                <c:pt idx="331">
                  <c:v>5.8042065752382355E-2</c:v>
                </c:pt>
                <c:pt idx="332">
                  <c:v>5.8062697048613776E-2</c:v>
                </c:pt>
                <c:pt idx="333">
                  <c:v>5.8083327892966774E-2</c:v>
                </c:pt>
                <c:pt idx="334">
                  <c:v>5.8103958285451229E-2</c:v>
                </c:pt>
                <c:pt idx="335">
                  <c:v>5.8124588226077356E-2</c:v>
                </c:pt>
                <c:pt idx="336">
                  <c:v>5.8145217714854702E-2</c:v>
                </c:pt>
                <c:pt idx="337">
                  <c:v>5.816584675179326E-2</c:v>
                </c:pt>
                <c:pt idx="338">
                  <c:v>5.8186475336903021E-2</c:v>
                </c:pt>
                <c:pt idx="339">
                  <c:v>5.8207103470193866E-2</c:v>
                </c:pt>
                <c:pt idx="340">
                  <c:v>5.8227731151675677E-2</c:v>
                </c:pt>
                <c:pt idx="341">
                  <c:v>5.8248358381358223E-2</c:v>
                </c:pt>
                <c:pt idx="342">
                  <c:v>5.8268985159251607E-2</c:v>
                </c:pt>
                <c:pt idx="343">
                  <c:v>5.8289611485365489E-2</c:v>
                </c:pt>
                <c:pt idx="344">
                  <c:v>5.8310237359709971E-2</c:v>
                </c:pt>
                <c:pt idx="345">
                  <c:v>5.8330862782294823E-2</c:v>
                </c:pt>
                <c:pt idx="346">
                  <c:v>5.8351487753130038E-2</c:v>
                </c:pt>
                <c:pt idx="347">
                  <c:v>5.8372112272225496E-2</c:v>
                </c:pt>
                <c:pt idx="348">
                  <c:v>5.8392736339590967E-2</c:v>
                </c:pt>
                <c:pt idx="349">
                  <c:v>5.8413359955236444E-2</c:v>
                </c:pt>
                <c:pt idx="350">
                  <c:v>5.8433983119171917E-2</c:v>
                </c:pt>
                <c:pt idx="351">
                  <c:v>5.8454605831407047E-2</c:v>
                </c:pt>
                <c:pt idx="352">
                  <c:v>5.8475228091951936E-2</c:v>
                </c:pt>
                <c:pt idx="353">
                  <c:v>5.8495849900816355E-2</c:v>
                </c:pt>
                <c:pt idx="354">
                  <c:v>5.8516471258010183E-2</c:v>
                </c:pt>
                <c:pt idx="355">
                  <c:v>5.8537092163543414E-2</c:v>
                </c:pt>
                <c:pt idx="356">
                  <c:v>5.8557712617425928E-2</c:v>
                </c:pt>
                <c:pt idx="357">
                  <c:v>5.8578332619667495E-2</c:v>
                </c:pt>
                <c:pt idx="358">
                  <c:v>5.8598952170278107E-2</c:v>
                </c:pt>
                <c:pt idx="359">
                  <c:v>5.8619571269267756E-2</c:v>
                </c:pt>
                <c:pt idx="360">
                  <c:v>5.8640189916646102E-2</c:v>
                </c:pt>
                <c:pt idx="361">
                  <c:v>5.8660808112423246E-2</c:v>
                </c:pt>
                <c:pt idx="362">
                  <c:v>5.8681425856608849E-2</c:v>
                </c:pt>
                <c:pt idx="363">
                  <c:v>5.8702043149213123E-2</c:v>
                </c:pt>
                <c:pt idx="364">
                  <c:v>5.8722659990245618E-2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2.6142030543304832E-2</c:v>
                </c:pt>
                <c:pt idx="1">
                  <c:v>2.6217587370236894E-2</c:v>
                </c:pt>
                <c:pt idx="2">
                  <c:v>2.629312730878677E-2</c:v>
                </c:pt>
                <c:pt idx="3">
                  <c:v>2.636864477644528E-2</c:v>
                </c:pt>
                <c:pt idx="4">
                  <c:v>2.6444134916501279E-2</c:v>
                </c:pt>
                <c:pt idx="5">
                  <c:v>2.6519593583777826E-2</c:v>
                </c:pt>
                <c:pt idx="6">
                  <c:v>2.6595017324038343E-2</c:v>
                </c:pt>
                <c:pt idx="7">
                  <c:v>2.6670403347456795E-2</c:v>
                </c:pt>
                <c:pt idx="8">
                  <c:v>2.6745749496595562E-2</c:v>
                </c:pt>
                <c:pt idx="9">
                  <c:v>2.682105420937993E-2</c:v>
                </c:pt>
                <c:pt idx="10">
                  <c:v>2.6896316477597826E-2</c:v>
                </c:pt>
                <c:pt idx="11">
                  <c:v>2.6971535801486753E-2</c:v>
                </c:pt>
                <c:pt idx="12">
                  <c:v>2.7046712140998491E-2</c:v>
                </c:pt>
                <c:pt idx="13">
                  <c:v>2.7121845864353244E-2</c:v>
                </c:pt>
                <c:pt idx="14">
                  <c:v>2.719693769451062E-2</c:v>
                </c:pt>
                <c:pt idx="15">
                  <c:v>2.7271988654193387E-2</c:v>
                </c:pt>
                <c:pt idx="16">
                  <c:v>2.7347000010102877E-2</c:v>
                </c:pt>
                <c:pt idx="17">
                  <c:v>2.7421973216960289E-2</c:v>
                </c:pt>
                <c:pt idx="18">
                  <c:v>2.7496909861998799E-2</c:v>
                </c:pt>
                <c:pt idx="19">
                  <c:v>2.7571811610514127E-2</c:v>
                </c:pt>
                <c:pt idx="20">
                  <c:v>2.7646680153059714E-2</c:v>
                </c:pt>
                <c:pt idx="21">
                  <c:v>2.7721517154844465E-2</c:v>
                </c:pt>
                <c:pt idx="22">
                  <c:v>2.779632420785827E-2</c:v>
                </c:pt>
                <c:pt idx="23">
                  <c:v>2.7871102786212756E-2</c:v>
                </c:pt>
                <c:pt idx="24">
                  <c:v>2.7945854205142021E-2</c:v>
                </c:pt>
                <c:pt idx="25">
                  <c:v>2.8020579584062896E-2</c:v>
                </c:pt>
                <c:pt idx="26">
                  <c:v>2.8095279814044184E-2</c:v>
                </c:pt>
                <c:pt idx="27">
                  <c:v>2.8169955529982277E-2</c:v>
                </c:pt>
                <c:pt idx="28">
                  <c:v>2.8244607087726383E-2</c:v>
                </c:pt>
                <c:pt idx="29">
                  <c:v>2.8319234546340048E-2</c:v>
                </c:pt>
                <c:pt idx="30">
                  <c:v>2.839383765562899E-2</c:v>
                </c:pt>
                <c:pt idx="31">
                  <c:v>2.8468415849007271E-2</c:v>
                </c:pt>
                <c:pt idx="32">
                  <c:v>2.8542968241717016E-2</c:v>
                </c:pt>
                <c:pt idx="33">
                  <c:v>2.8617493634359604E-2</c:v>
                </c:pt>
                <c:pt idx="34">
                  <c:v>2.8691990521641668E-2</c:v>
                </c:pt>
                <c:pt idx="35">
                  <c:v>2.876645710618558E-2</c:v>
                </c:pt>
                <c:pt idx="36">
                  <c:v>2.8840891317203219E-2</c:v>
                </c:pt>
                <c:pt idx="37">
                  <c:v>2.8915290833783958E-2</c:v>
                </c:pt>
                <c:pt idx="38">
                  <c:v>2.8989653112503459E-2</c:v>
                </c:pt>
                <c:pt idx="39">
                  <c:v>2.9063975419018652E-2</c:v>
                </c:pt>
                <c:pt idx="40">
                  <c:v>2.9138254863278631E-2</c:v>
                </c:pt>
                <c:pt idx="41">
                  <c:v>2.9212488437948148E-2</c:v>
                </c:pt>
                <c:pt idx="42">
                  <c:v>2.9286673059614257E-2</c:v>
                </c:pt>
                <c:pt idx="43">
                  <c:v>2.9360805612323827E-2</c:v>
                </c:pt>
                <c:pt idx="44">
                  <c:v>2.9434882992982712E-2</c:v>
                </c:pt>
                <c:pt idx="45">
                  <c:v>2.9508902158135952E-2</c:v>
                </c:pt>
                <c:pt idx="46">
                  <c:v>2.9582860171641519E-2</c:v>
                </c:pt>
                <c:pt idx="47">
                  <c:v>2.96567542527491E-2</c:v>
                </c:pt>
                <c:pt idx="48">
                  <c:v>2.9730581824099534E-2</c:v>
                </c:pt>
                <c:pt idx="49">
                  <c:v>2.9804340559169213E-2</c:v>
                </c:pt>
                <c:pt idx="50">
                  <c:v>2.9878028428698366E-2</c:v>
                </c:pt>
                <c:pt idx="51">
                  <c:v>2.9951643745659676E-2</c:v>
                </c:pt>
                <c:pt idx="52">
                  <c:v>3.0025185208347783E-2</c:v>
                </c:pt>
                <c:pt idx="53">
                  <c:v>3.0098651941196097E-2</c:v>
                </c:pt>
                <c:pt idx="54">
                  <c:v>3.0172043532958298E-2</c:v>
                </c:pt>
                <c:pt idx="55">
                  <c:v>3.0245360071925752E-2</c:v>
                </c:pt>
                <c:pt idx="56">
                  <c:v>3.0318602177888128E-2</c:v>
                </c:pt>
                <c:pt idx="57">
                  <c:v>3.0391771030583638E-2</c:v>
                </c:pt>
                <c:pt idx="58">
                  <c:v>3.0464868394425738E-2</c:v>
                </c:pt>
                <c:pt idx="59">
                  <c:v>3.0537896639334872E-2</c:v>
                </c:pt>
                <c:pt idx="60">
                  <c:v>3.0610858757546898E-2</c:v>
                </c:pt>
                <c:pt idx="61">
                  <c:v>3.0683758376312303E-2</c:v>
                </c:pt>
                <c:pt idx="62">
                  <c:v>3.0756599766443415E-2</c:v>
                </c:pt>
                <c:pt idx="63">
                  <c:v>3.082938784670846E-2</c:v>
                </c:pt>
                <c:pt idx="64">
                  <c:v>3.0902128184112462E-2</c:v>
                </c:pt>
                <c:pt idx="65">
                  <c:v>3.0974826990143849E-2</c:v>
                </c:pt>
                <c:pt idx="66">
                  <c:v>3.1047491113102434E-2</c:v>
                </c:pt>
                <c:pt idx="67">
                  <c:v>3.1120128026659564E-2</c:v>
                </c:pt>
                <c:pt idx="68">
                  <c:v>3.1192745814832033E-2</c:v>
                </c:pt>
                <c:pt idx="69">
                  <c:v>3.1265353153580346E-2</c:v>
                </c:pt>
                <c:pt idx="70">
                  <c:v>3.1337959289266734E-2</c:v>
                </c:pt>
                <c:pt idx="71">
                  <c:v>3.1410574014229156E-2</c:v>
                </c:pt>
                <c:pt idx="72">
                  <c:v>3.1483207639745436E-2</c:v>
                </c:pt>
                <c:pt idx="73">
                  <c:v>3.1555870966674296E-2</c:v>
                </c:pt>
                <c:pt idx="74">
                  <c:v>3.1628575254069681E-2</c:v>
                </c:pt>
                <c:pt idx="75">
                  <c:v>3.1701332186069492E-2</c:v>
                </c:pt>
                <c:pt idx="76">
                  <c:v>3.1774153837360708E-2</c:v>
                </c:pt>
                <c:pt idx="77">
                  <c:v>3.1847052637519781E-2</c:v>
                </c:pt>
                <c:pt idx="78">
                  <c:v>3.1920041334520075E-2</c:v>
                </c:pt>
                <c:pt idx="79">
                  <c:v>3.1993132957687062E-2</c:v>
                </c:pt>
                <c:pt idx="80">
                  <c:v>3.206634078036795E-2</c:v>
                </c:pt>
                <c:pt idx="81">
                  <c:v>3.2139678282564449E-2</c:v>
                </c:pt>
                <c:pt idx="82">
                  <c:v>3.2213159113757238E-2</c:v>
                </c:pt>
                <c:pt idx="83">
                  <c:v>3.2286797056127012E-2</c:v>
                </c:pt>
                <c:pt idx="84">
                  <c:v>3.2360605988352262E-2</c:v>
                </c:pt>
                <c:pt idx="85">
                  <c:v>3.2434599850136393E-2</c:v>
                </c:pt>
                <c:pt idx="86">
                  <c:v>3.2508792607588134E-2</c:v>
                </c:pt>
                <c:pt idx="87">
                  <c:v>3.2583198219550358E-2</c:v>
                </c:pt>
                <c:pt idx="88">
                  <c:v>3.2657830604941818E-2</c:v>
                </c:pt>
                <c:pt idx="89">
                  <c:v>3.2732703611146705E-2</c:v>
                </c:pt>
                <c:pt idx="90">
                  <c:v>3.2807830983457444E-2</c:v>
                </c:pt>
                <c:pt idx="91">
                  <c:v>3.2883226335547446E-2</c:v>
                </c:pt>
                <c:pt idx="92">
                  <c:v>3.2958903120923227E-2</c:v>
                </c:pt>
                <c:pt idx="93">
                  <c:v>3.3034874605280005E-2</c:v>
                </c:pt>
                <c:pt idx="94">
                  <c:v>3.3111153839661296E-2</c:v>
                </c:pt>
                <c:pt idx="95">
                  <c:v>3.3187753634302396E-2</c:v>
                </c:pt>
                <c:pt idx="96">
                  <c:v>3.3264686533019519E-2</c:v>
                </c:pt>
                <c:pt idx="97">
                  <c:v>3.3341964787991715E-2</c:v>
                </c:pt>
                <c:pt idx="98">
                  <c:v>3.341960033477126E-2</c:v>
                </c:pt>
                <c:pt idx="99">
                  <c:v>3.3497604767350392E-2</c:v>
                </c:pt>
                <c:pt idx="100">
                  <c:v>3.3575989313108297E-2</c:v>
                </c:pt>
                <c:pt idx="101">
                  <c:v>3.3654764807462427E-2</c:v>
                </c:pt>
                <c:pt idx="102">
                  <c:v>3.3733941668051694E-2</c:v>
                </c:pt>
                <c:pt idx="103">
                  <c:v>3.3813529868287312E-2</c:v>
                </c:pt>
                <c:pt idx="104">
                  <c:v>3.3893538910118683E-2</c:v>
                </c:pt>
                <c:pt idx="105">
                  <c:v>3.3973977795877096E-2</c:v>
                </c:pt>
                <c:pt idx="106">
                  <c:v>3.4054854999079551E-2</c:v>
                </c:pt>
                <c:pt idx="107">
                  <c:v>3.413617843409758E-2</c:v>
                </c:pt>
                <c:pt idx="108">
                  <c:v>3.4217955424621242E-2</c:v>
                </c:pt>
                <c:pt idx="109">
                  <c:v>3.4300192670878284E-2</c:v>
                </c:pt>
                <c:pt idx="110">
                  <c:v>3.438289621559823E-2</c:v>
                </c:pt>
                <c:pt idx="111">
                  <c:v>3.4466071408745837E-2</c:v>
                </c:pt>
                <c:pt idx="112">
                  <c:v>3.4549722871082503E-2</c:v>
                </c:pt>
                <c:pt idx="113">
                  <c:v>3.4633854456650931E-2</c:v>
                </c:pt>
                <c:pt idx="114">
                  <c:v>3.4718469214315151E-2</c:v>
                </c:pt>
                <c:pt idx="115">
                  <c:v>3.4803569348525666E-2</c:v>
                </c:pt>
                <c:pt idx="116">
                  <c:v>3.4889156179516156E-2</c:v>
                </c:pt>
                <c:pt idx="117">
                  <c:v>3.4975230103174895E-2</c:v>
                </c:pt>
                <c:pt idx="118">
                  <c:v>3.5061790550868513E-2</c:v>
                </c:pt>
                <c:pt idx="119">
                  <c:v>3.5148835949529722E-2</c:v>
                </c:pt>
                <c:pt idx="120">
                  <c:v>3.5236363682350523E-2</c:v>
                </c:pt>
                <c:pt idx="121">
                  <c:v>3.5324370050451338E-2</c:v>
                </c:pt>
                <c:pt idx="122">
                  <c:v>3.5412850235920945E-2</c:v>
                </c:pt>
                <c:pt idx="123">
                  <c:v>3.5501798266642987E-2</c:v>
                </c:pt>
                <c:pt idx="124">
                  <c:v>3.5591206983342463E-2</c:v>
                </c:pt>
                <c:pt idx="125">
                  <c:v>3.5681068009297275E-2</c:v>
                </c:pt>
                <c:pt idx="126">
                  <c:v>3.5771371723168445E-2</c:v>
                </c:pt>
                <c:pt idx="127">
                  <c:v>3.5862107235405047E-2</c:v>
                </c:pt>
                <c:pt idx="128">
                  <c:v>3.5953262368676978E-2</c:v>
                </c:pt>
                <c:pt idx="129">
                  <c:v>3.6044823642781734E-2</c:v>
                </c:pt>
                <c:pt idx="130">
                  <c:v>3.613677626445691E-2</c:v>
                </c:pt>
                <c:pt idx="131">
                  <c:v>3.6229104122511964E-2</c:v>
                </c:pt>
                <c:pt idx="132">
                  <c:v>3.6321789788668339E-2</c:v>
                </c:pt>
                <c:pt idx="133">
                  <c:v>3.64148145244668E-2</c:v>
                </c:pt>
                <c:pt idx="134">
                  <c:v>3.6508158294566641E-2</c:v>
                </c:pt>
                <c:pt idx="135">
                  <c:v>3.6601799786720894E-2</c:v>
                </c:pt>
                <c:pt idx="136">
                  <c:v>3.6695716438667488E-2</c:v>
                </c:pt>
                <c:pt idx="137">
                  <c:v>3.6789884472127034E-2</c:v>
                </c:pt>
                <c:pt idx="138">
                  <c:v>3.6884278934045236E-2</c:v>
                </c:pt>
                <c:pt idx="139">
                  <c:v>3.6978873745161706E-2</c:v>
                </c:pt>
                <c:pt idx="140">
                  <c:v>3.7073641755927214E-2</c:v>
                </c:pt>
                <c:pt idx="141">
                  <c:v>3.7168554809730123E-2</c:v>
                </c:pt>
                <c:pt idx="142">
                  <c:v>3.7263583813329081E-2</c:v>
                </c:pt>
                <c:pt idx="143">
                  <c:v>3.7358698814323868E-2</c:v>
                </c:pt>
                <c:pt idx="144">
                  <c:v>3.745386908543178E-2</c:v>
                </c:pt>
                <c:pt idx="145">
                  <c:v>3.7549063215270809E-2</c:v>
                </c:pt>
                <c:pt idx="146">
                  <c:v>3.7644249205286924E-2</c:v>
                </c:pt>
                <c:pt idx="147">
                  <c:v>3.7739394572399845E-2</c:v>
                </c:pt>
                <c:pt idx="148">
                  <c:v>3.7834466456880302E-2</c:v>
                </c:pt>
                <c:pt idx="149">
                  <c:v>3.7929431734914199E-2</c:v>
                </c:pt>
                <c:pt idx="150">
                  <c:v>3.8024257135254355E-2</c:v>
                </c:pt>
                <c:pt idx="151">
                  <c:v>3.8118909359309769E-2</c:v>
                </c:pt>
                <c:pt idx="152">
                  <c:v>3.8213355203976694E-2</c:v>
                </c:pt>
                <c:pt idx="153">
                  <c:v>3.830756168647504E-2</c:v>
                </c:pt>
                <c:pt idx="154">
                  <c:v>3.8401496170418874E-2</c:v>
                </c:pt>
                <c:pt idx="155">
                  <c:v>3.8495126492320696E-2</c:v>
                </c:pt>
                <c:pt idx="156">
                  <c:v>3.8588421087707492E-2</c:v>
                </c:pt>
                <c:pt idx="157">
                  <c:v>3.8681349116011086E-2</c:v>
                </c:pt>
                <c:pt idx="158">
                  <c:v>3.87738805833873E-2</c:v>
                </c:pt>
                <c:pt idx="159">
                  <c:v>3.8865986462617977E-2</c:v>
                </c:pt>
                <c:pt idx="160">
                  <c:v>3.8957638809256602E-2</c:v>
                </c:pt>
                <c:pt idx="161">
                  <c:v>3.9048810873193243E-2</c:v>
                </c:pt>
                <c:pt idx="162">
                  <c:v>3.9139477204835856E-2</c:v>
                </c:pt>
                <c:pt idx="163">
                  <c:v>3.9229613755135305E-2</c:v>
                </c:pt>
                <c:pt idx="164">
                  <c:v>3.9319197968717683E-2</c:v>
                </c:pt>
                <c:pt idx="165">
                  <c:v>3.940820886943168E-2</c:v>
                </c:pt>
                <c:pt idx="166">
                  <c:v>3.9496627137668994E-2</c:v>
                </c:pt>
                <c:pt idx="167">
                  <c:v>3.9584435178872883E-2</c:v>
                </c:pt>
                <c:pt idx="168">
                  <c:v>3.9671617182712358E-2</c:v>
                </c:pt>
                <c:pt idx="169">
                  <c:v>3.9758159172467521E-2</c:v>
                </c:pt>
                <c:pt idx="170">
                  <c:v>3.984404904424417E-2</c:v>
                </c:pt>
                <c:pt idx="171">
                  <c:v>3.9929276595712458E-2</c:v>
                </c:pt>
                <c:pt idx="172">
                  <c:v>4.0013833544144443E-2</c:v>
                </c:pt>
                <c:pt idx="173">
                  <c:v>4.0097713533607776E-2</c:v>
                </c:pt>
                <c:pt idx="174">
                  <c:v>4.0180912131257879E-2</c:v>
                </c:pt>
                <c:pt idx="175">
                  <c:v>4.0263426812755514E-2</c:v>
                </c:pt>
                <c:pt idx="176">
                  <c:v>4.0345256936923542E-2</c:v>
                </c:pt>
                <c:pt idx="177">
                  <c:v>4.0426403709841144E-2</c:v>
                </c:pt>
                <c:pt idx="178">
                  <c:v>4.0506870138657884E-2</c:v>
                </c:pt>
                <c:pt idx="179">
                  <c:v>4.058666097549167E-2</c:v>
                </c:pt>
                <c:pt idx="180">
                  <c:v>4.0665782651853381E-2</c:v>
                </c:pt>
                <c:pt idx="181">
                  <c:v>4.0744243204115405E-2</c:v>
                </c:pt>
                <c:pt idx="182">
                  <c:v>4.0822052190612454E-2</c:v>
                </c:pt>
                <c:pt idx="183">
                  <c:v>4.0899220601027277E-2</c:v>
                </c:pt>
                <c:pt idx="184">
                  <c:v>4.0975760758774182E-2</c:v>
                </c:pt>
                <c:pt idx="185">
                  <c:v>4.1051686217145375E-2</c:v>
                </c:pt>
                <c:pt idx="186">
                  <c:v>4.1127011650031443E-2</c:v>
                </c:pt>
                <c:pt idx="187">
                  <c:v>4.1201752738065818E-2</c:v>
                </c:pt>
                <c:pt idx="188">
                  <c:v>4.1275926051073497E-2</c:v>
                </c:pt>
                <c:pt idx="189">
                  <c:v>4.1349548927727096E-2</c:v>
                </c:pt>
                <c:pt idx="190">
                  <c:v>4.1422639353327156E-2</c:v>
                </c:pt>
                <c:pt idx="191">
                  <c:v>4.1495215836629532E-2</c:v>
                </c:pt>
                <c:pt idx="192">
                  <c:v>4.1567297286639902E-2</c:v>
                </c:pt>
                <c:pt idx="193">
                  <c:v>4.1638902890283533E-2</c:v>
                </c:pt>
                <c:pt idx="194">
                  <c:v>4.1710051991839005E-2</c:v>
                </c:pt>
                <c:pt idx="195">
                  <c:v>4.178076397499636E-2</c:v>
                </c:pt>
                <c:pt idx="196">
                  <c:v>4.1851058148364068E-2</c:v>
                </c:pt>
                <c:pt idx="197">
                  <c:v>4.1920953635205781E-2</c:v>
                </c:pt>
                <c:pt idx="198">
                  <c:v>4.1990469268136967E-2</c:v>
                </c:pt>
                <c:pt idx="199">
                  <c:v>4.2059623489454495E-2</c:v>
                </c:pt>
                <c:pt idx="200">
                  <c:v>4.2128434257708729E-2</c:v>
                </c:pt>
                <c:pt idx="201">
                  <c:v>4.2196918961059239E-2</c:v>
                </c:pt>
                <c:pt idx="202">
                  <c:v>4.2265094337882218E-2</c:v>
                </c:pt>
                <c:pt idx="203">
                  <c:v>4.233297640502006E-2</c:v>
                </c:pt>
                <c:pt idx="204">
                  <c:v>4.2400580393984241E-2</c:v>
                </c:pt>
                <c:pt idx="205">
                  <c:v>4.2467920695339549E-2</c:v>
                </c:pt>
                <c:pt idx="206">
                  <c:v>4.2535010811414614E-2</c:v>
                </c:pt>
                <c:pt idx="207">
                  <c:v>4.2601863317399416E-2</c:v>
                </c:pt>
                <c:pt idx="208">
                  <c:v>4.266848983080633E-2</c:v>
                </c:pt>
                <c:pt idx="209">
                  <c:v>4.2734900989189709E-2</c:v>
                </c:pt>
                <c:pt idx="210">
                  <c:v>4.2801106435937743E-2</c:v>
                </c:pt>
                <c:pt idx="211">
                  <c:v>4.2867114813874195E-2</c:v>
                </c:pt>
                <c:pt idx="212">
                  <c:v>4.2932933766333177E-2</c:v>
                </c:pt>
                <c:pt idx="213">
                  <c:v>4.2998569945302212E-2</c:v>
                </c:pt>
                <c:pt idx="214">
                  <c:v>4.30640290261649E-2</c:v>
                </c:pt>
                <c:pt idx="215">
                  <c:v>4.3129315728517303E-2</c:v>
                </c:pt>
                <c:pt idx="216">
                  <c:v>4.3194433842481346E-2</c:v>
                </c:pt>
                <c:pt idx="217">
                  <c:v>4.3259386259894769E-2</c:v>
                </c:pt>
                <c:pt idx="218">
                  <c:v>4.3324175009721334E-2</c:v>
                </c:pt>
                <c:pt idx="219">
                  <c:v>4.3388801296996883E-2</c:v>
                </c:pt>
                <c:pt idx="220">
                  <c:v>4.3453265544606927E-2</c:v>
                </c:pt>
                <c:pt idx="221">
                  <c:v>4.3517567437180674E-2</c:v>
                </c:pt>
                <c:pt idx="222">
                  <c:v>4.3581705966383111E-2</c:v>
                </c:pt>
                <c:pt idx="223">
                  <c:v>4.3645679476893295E-2</c:v>
                </c:pt>
                <c:pt idx="224">
                  <c:v>4.3709485712371161E-2</c:v>
                </c:pt>
                <c:pt idx="225">
                  <c:v>4.3773121860738069E-2</c:v>
                </c:pt>
                <c:pt idx="226">
                  <c:v>4.3836584598127358E-2</c:v>
                </c:pt>
                <c:pt idx="227">
                  <c:v>4.3899870130899785E-2</c:v>
                </c:pt>
                <c:pt idx="228">
                  <c:v>4.3962974235164445E-2</c:v>
                </c:pt>
                <c:pt idx="229">
                  <c:v>4.4025892293299104E-2</c:v>
                </c:pt>
                <c:pt idx="230">
                  <c:v>4.408861932702194E-2</c:v>
                </c:pt>
                <c:pt idx="231">
                  <c:v>4.4151150026631628E-2</c:v>
                </c:pt>
                <c:pt idx="232">
                  <c:v>4.4213478776101531E-2</c:v>
                </c:pt>
                <c:pt idx="233">
                  <c:v>4.4275599673786886E-2</c:v>
                </c:pt>
                <c:pt idx="234">
                  <c:v>4.433750654857966E-2</c:v>
                </c:pt>
                <c:pt idx="235">
                  <c:v>4.4399192971424514E-2</c:v>
                </c:pt>
                <c:pt idx="236">
                  <c:v>4.4460652262188483E-2</c:v>
                </c:pt>
                <c:pt idx="237">
                  <c:v>4.452187749195733E-2</c:v>
                </c:pt>
                <c:pt idx="238">
                  <c:v>4.4582861480910292E-2</c:v>
                </c:pt>
                <c:pt idx="239">
                  <c:v>4.4643596792003394E-2</c:v>
                </c:pt>
                <c:pt idx="240">
                  <c:v>4.4704075720766519E-2</c:v>
                </c:pt>
                <c:pt idx="241">
                  <c:v>4.4764290281591082E-2</c:v>
                </c:pt>
                <c:pt idx="242">
                  <c:v>4.482423219095362E-2</c:v>
                </c:pt>
                <c:pt idx="243">
                  <c:v>4.4883892848082363E-2</c:v>
                </c:pt>
                <c:pt idx="244">
                  <c:v>4.4943263313630993E-2</c:v>
                </c:pt>
                <c:pt idx="245">
                  <c:v>4.5002334286973568E-2</c:v>
                </c:pt>
                <c:pt idx="246">
                  <c:v>4.5061096082777731E-2</c:v>
                </c:pt>
                <c:pt idx="247">
                  <c:v>4.5119538607547562E-2</c:v>
                </c:pt>
                <c:pt idx="248">
                  <c:v>4.5177651336854301E-2</c:v>
                </c:pt>
                <c:pt idx="249">
                  <c:v>4.5235423293990738E-2</c:v>
                </c:pt>
                <c:pt idx="250">
                  <c:v>4.5292843030793478E-2</c:v>
                </c:pt>
                <c:pt idx="251">
                  <c:v>4.5349898611376172E-2</c:v>
                </c:pt>
                <c:pt idx="252">
                  <c:v>4.5406577599507239E-2</c:v>
                </c:pt>
                <c:pt idx="253">
                  <c:v>4.5462867050344441E-2</c:v>
                </c:pt>
                <c:pt idx="254">
                  <c:v>4.5518753507210741E-2</c:v>
                </c:pt>
                <c:pt idx="255">
                  <c:v>4.5574223004056155E-2</c:v>
                </c:pt>
                <c:pt idx="256">
                  <c:v>4.5629261074203592E-2</c:v>
                </c:pt>
                <c:pt idx="257">
                  <c:v>4.5683852765920296E-2</c:v>
                </c:pt>
                <c:pt idx="258">
                  <c:v>4.573798266529229E-2</c:v>
                </c:pt>
                <c:pt idx="259">
                  <c:v>4.5791634926807816E-2</c:v>
                </c:pt>
                <c:pt idx="260">
                  <c:v>4.5844793311977543E-2</c:v>
                </c:pt>
                <c:pt idx="261">
                  <c:v>4.5897441236234189E-2</c:v>
                </c:pt>
                <c:pt idx="262">
                  <c:v>4.5949561824265531E-2</c:v>
                </c:pt>
                <c:pt idx="263">
                  <c:v>4.6001137973839833E-2</c:v>
                </c:pt>
                <c:pt idx="264">
                  <c:v>4.6052152428086246E-2</c:v>
                </c:pt>
                <c:pt idx="265">
                  <c:v>4.6102587856092531E-2</c:v>
                </c:pt>
                <c:pt idx="266">
                  <c:v>4.6152426941581511E-2</c:v>
                </c:pt>
                <c:pt idx="267">
                  <c:v>4.6201652479326873E-2</c:v>
                </c:pt>
                <c:pt idx="268">
                  <c:v>4.6250247478867981E-2</c:v>
                </c:pt>
                <c:pt idx="269">
                  <c:v>4.6298195274985479E-2</c:v>
                </c:pt>
                <c:pt idx="270">
                  <c:v>4.6345479644303515E-2</c:v>
                </c:pt>
                <c:pt idx="271">
                  <c:v>4.6392084927293707E-2</c:v>
                </c:pt>
                <c:pt idx="272">
                  <c:v>4.6437996154869349E-2</c:v>
                </c:pt>
                <c:pt idx="273">
                  <c:v>4.6483199178678422E-2</c:v>
                </c:pt>
                <c:pt idx="274">
                  <c:v>4.652768080413125E-2</c:v>
                </c:pt>
                <c:pt idx="275">
                  <c:v>4.657142892513335E-2</c:v>
                </c:pt>
                <c:pt idx="276">
                  <c:v>4.6614432659437793E-2</c:v>
                </c:pt>
                <c:pt idx="277">
                  <c:v>4.6656682483485291E-2</c:v>
                </c:pt>
                <c:pt idx="278">
                  <c:v>4.669817036556273E-2</c:v>
                </c:pt>
                <c:pt idx="279">
                  <c:v>4.6738889896086093E-2</c:v>
                </c:pt>
                <c:pt idx="280">
                  <c:v>4.6778836413798167E-2</c:v>
                </c:pt>
                <c:pt idx="281">
                  <c:v>4.6818007126669121E-2</c:v>
                </c:pt>
                <c:pt idx="282">
                  <c:v>4.6856401226295898E-2</c:v>
                </c:pt>
                <c:pt idx="283">
                  <c:v>4.6894019994617397E-2</c:v>
                </c:pt>
                <c:pt idx="284">
                  <c:v>4.693086690179428E-2</c:v>
                </c:pt>
                <c:pt idx="285">
                  <c:v>4.6966947694146534E-2</c:v>
                </c:pt>
                <c:pt idx="286">
                  <c:v>4.7002270471097257E-2</c:v>
                </c:pt>
                <c:pt idx="287">
                  <c:v>4.7036845750137536E-2</c:v>
                </c:pt>
                <c:pt idx="288">
                  <c:v>4.7070686518904829E-2</c:v>
                </c:pt>
                <c:pt idx="289">
                  <c:v>4.7103808273554135E-2</c:v>
                </c:pt>
                <c:pt idx="290">
                  <c:v>4.7136229042698014E-2</c:v>
                </c:pt>
                <c:pt idx="291">
                  <c:v>4.7167969396296576E-2</c:v>
                </c:pt>
                <c:pt idx="292">
                  <c:v>4.7199052438991244E-2</c:v>
                </c:pt>
                <c:pt idx="293">
                  <c:v>4.7229503787495637E-2</c:v>
                </c:pt>
                <c:pt idx="294">
                  <c:v>4.7259351531782151E-2</c:v>
                </c:pt>
                <c:pt idx="295">
                  <c:v>4.7288626179931896E-2</c:v>
                </c:pt>
                <c:pt idx="296">
                  <c:v>4.7317360586649392E-2</c:v>
                </c:pt>
                <c:pt idx="297">
                  <c:v>4.7345589865577936E-2</c:v>
                </c:pt>
                <c:pt idx="298">
                  <c:v>4.7373351285687641E-2</c:v>
                </c:pt>
                <c:pt idx="299">
                  <c:v>4.7400684152144178E-2</c:v>
                </c:pt>
                <c:pt idx="300">
                  <c:v>4.7427629672199746E-2</c:v>
                </c:pt>
                <c:pt idx="301">
                  <c:v>4.7454230806779109E-2</c:v>
                </c:pt>
                <c:pt idx="302">
                  <c:v>4.7480532108560541E-2</c:v>
                </c:pt>
                <c:pt idx="303">
                  <c:v>4.7506579547472942E-2</c:v>
                </c:pt>
                <c:pt idx="304">
                  <c:v>4.7532420324645219E-2</c:v>
                </c:pt>
                <c:pt idx="305">
                  <c:v>4.7558102675951862E-2</c:v>
                </c:pt>
                <c:pt idx="306">
                  <c:v>4.7583675666396229E-2</c:v>
                </c:pt>
                <c:pt idx="307">
                  <c:v>4.7609188976663233E-2</c:v>
                </c:pt>
                <c:pt idx="308">
                  <c:v>4.7634692683249658E-2</c:v>
                </c:pt>
                <c:pt idx="309">
                  <c:v>4.7660237033648863E-2</c:v>
                </c:pt>
                <c:pt idx="310">
                  <c:v>4.7685872218119638E-2</c:v>
                </c:pt>
                <c:pt idx="311">
                  <c:v>4.7711648139612095E-2</c:v>
                </c:pt>
                <c:pt idx="312">
                  <c:v>4.773761418345171E-2</c:v>
                </c:pt>
                <c:pt idx="313">
                  <c:v>4.7763818988397662E-2</c:v>
                </c:pt>
                <c:pt idx="314">
                  <c:v>4.7790310220693591E-2</c:v>
                </c:pt>
                <c:pt idx="315">
                  <c:v>4.7817134352716117E-2</c:v>
                </c:pt>
                <c:pt idx="316">
                  <c:v>4.7844336447800159E-2</c:v>
                </c:pt>
                <c:pt idx="317">
                  <c:v>4.7871959952780888E-2</c:v>
                </c:pt>
                <c:pt idx="318">
                  <c:v>4.7900046499738086E-2</c:v>
                </c:pt>
                <c:pt idx="319">
                  <c:v>4.7928635718363331E-2</c:v>
                </c:pt>
                <c:pt idx="320">
                  <c:v>4.7957765060291438E-2</c:v>
                </c:pt>
                <c:pt idx="321">
                  <c:v>4.798746963664785E-2</c:v>
                </c:pt>
                <c:pt idx="322">
                  <c:v>4.8017782069962066E-2</c:v>
                </c:pt>
                <c:pt idx="323">
                  <c:v>4.8048732361486435E-2</c:v>
                </c:pt>
                <c:pt idx="324">
                  <c:v>4.8080347774839417E-2</c:v>
                </c:pt>
                <c:pt idx="325">
                  <c:v>4.8112652736763704E-2</c:v>
                </c:pt>
                <c:pt idx="326">
                  <c:v>4.8145668755655187E-2</c:v>
                </c:pt>
                <c:pt idx="327">
                  <c:v>4.817941435837738E-2</c:v>
                </c:pt>
                <c:pt idx="328">
                  <c:v>4.8213905045731323E-2</c:v>
                </c:pt>
                <c:pt idx="329">
                  <c:v>4.8249153266802326E-2</c:v>
                </c:pt>
                <c:pt idx="330">
                  <c:v>4.8285168412255011E-2</c:v>
                </c:pt>
                <c:pt idx="331">
                  <c:v>4.8321956826498182E-2</c:v>
                </c:pt>
                <c:pt idx="332">
                  <c:v>4.835952183849087E-2</c:v>
                </c:pt>
                <c:pt idx="333">
                  <c:v>4.8397863810814519E-2</c:v>
                </c:pt>
                <c:pt idx="334">
                  <c:v>4.8436980206492231E-2</c:v>
                </c:pt>
                <c:pt idx="335">
                  <c:v>4.8476865672897676E-2</c:v>
                </c:pt>
                <c:pt idx="336">
                  <c:v>4.8517512141963967E-2</c:v>
                </c:pt>
                <c:pt idx="337">
                  <c:v>4.8558908945777218E-2</c:v>
                </c:pt>
                <c:pt idx="338">
                  <c:v>4.8601042946523482E-2</c:v>
                </c:pt>
                <c:pt idx="339">
                  <c:v>4.8643898679650015E-2</c:v>
                </c:pt>
                <c:pt idx="340">
                  <c:v>4.868745850900557E-2</c:v>
                </c:pt>
                <c:pt idx="341">
                  <c:v>4.8731702792638533E-2</c:v>
                </c:pt>
                <c:pt idx="342">
                  <c:v>4.8776610057858272E-2</c:v>
                </c:pt>
                <c:pt idx="343">
                  <c:v>4.8822157184104417E-2</c:v>
                </c:pt>
                <c:pt idx="344">
                  <c:v>4.8868319592120617E-2</c:v>
                </c:pt>
                <c:pt idx="345">
                  <c:v>4.8915071437894968E-2</c:v>
                </c:pt>
                <c:pt idx="346">
                  <c:v>4.8962385809809009E-2</c:v>
                </c:pt>
                <c:pt idx="347">
                  <c:v>4.901023492742973E-2</c:v>
                </c:pt>
                <c:pt idx="348">
                  <c:v>4.9058590340386697E-2</c:v>
                </c:pt>
                <c:pt idx="349">
                  <c:v>4.9107423125795975E-2</c:v>
                </c:pt>
                <c:pt idx="350">
                  <c:v>4.9156704082727681E-2</c:v>
                </c:pt>
                <c:pt idx="351">
                  <c:v>4.9206403922259702E-2</c:v>
                </c:pt>
                <c:pt idx="352">
                  <c:v>4.9256493451720305E-2</c:v>
                </c:pt>
                <c:pt idx="353">
                  <c:v>4.9306943751792752E-2</c:v>
                </c:pt>
                <c:pt idx="354">
                  <c:v>4.9357726345237982E-2</c:v>
                </c:pt>
                <c:pt idx="355">
                  <c:v>4.940881335608286E-2</c:v>
                </c:pt>
                <c:pt idx="356">
                  <c:v>4.9460177658223609E-2</c:v>
                </c:pt>
                <c:pt idx="357">
                  <c:v>4.9511793012503844E-2</c:v>
                </c:pt>
                <c:pt idx="358">
                  <c:v>4.9563634191443176E-2</c:v>
                </c:pt>
                <c:pt idx="359">
                  <c:v>4.9615677090915571E-2</c:v>
                </c:pt>
                <c:pt idx="360">
                  <c:v>4.9667898828204098E-2</c:v>
                </c:pt>
                <c:pt idx="361">
                  <c:v>4.9720277825990165E-2</c:v>
                </c:pt>
                <c:pt idx="362">
                  <c:v>4.9772793881968057E-2</c:v>
                </c:pt>
                <c:pt idx="363">
                  <c:v>4.9825428223911096E-2</c:v>
                </c:pt>
                <c:pt idx="364">
                  <c:v>4.9878163550148555E-2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7.6962231496880795E-4</c:v>
                </c:pt>
                <c:pt idx="1">
                  <c:v>7.6406572768105373E-4</c:v>
                </c:pt>
                <c:pt idx="2">
                  <c:v>7.5816777740587006E-4</c:v>
                </c:pt>
                <c:pt idx="3">
                  <c:v>7.519719146627257E-4</c:v>
                </c:pt>
                <c:pt idx="4">
                  <c:v>7.455199152352637E-4</c:v>
                </c:pt>
                <c:pt idx="5">
                  <c:v>7.3885172211689298E-4</c:v>
                </c:pt>
                <c:pt idx="6">
                  <c:v>7.3200533431952983E-4</c:v>
                </c:pt>
                <c:pt idx="7">
                  <c:v>7.2501673682820922E-4</c:v>
                </c:pt>
                <c:pt idx="8">
                  <c:v>7.1782092846354409E-4</c:v>
                </c:pt>
                <c:pt idx="9">
                  <c:v>7.0975747975297399E-4</c:v>
                </c:pt>
                <c:pt idx="10">
                  <c:v>7.0070052547087608E-4</c:v>
                </c:pt>
                <c:pt idx="11">
                  <c:v>6.9068520688047804E-4</c:v>
                </c:pt>
                <c:pt idx="12">
                  <c:v>6.7974681884201888E-4</c:v>
                </c:pt>
                <c:pt idx="13">
                  <c:v>6.6792064190063347E-4</c:v>
                </c:pt>
                <c:pt idx="14">
                  <c:v>6.5524178661623697E-4</c:v>
                </c:pt>
                <c:pt idx="15">
                  <c:v>6.4144562363529557E-4</c:v>
                </c:pt>
                <c:pt idx="16">
                  <c:v>6.2691890153941058E-4</c:v>
                </c:pt>
                <c:pt idx="17">
                  <c:v>6.1169403383844754E-4</c:v>
                </c:pt>
                <c:pt idx="18">
                  <c:v>5.958027468868038E-4</c:v>
                </c:pt>
                <c:pt idx="19">
                  <c:v>5.7927922860473349E-4</c:v>
                </c:pt>
                <c:pt idx="20">
                  <c:v>5.6215786222512428E-4</c:v>
                </c:pt>
                <c:pt idx="21">
                  <c:v>5.4446919218374083E-4</c:v>
                </c:pt>
                <c:pt idx="22">
                  <c:v>5.2619323297840002E-4</c:v>
                </c:pt>
                <c:pt idx="23">
                  <c:v>5.0752348406525594E-4</c:v>
                </c:pt>
                <c:pt idx="24">
                  <c:v>4.8901344268682627E-4</c:v>
                </c:pt>
                <c:pt idx="25">
                  <c:v>4.7068919313846745E-4</c:v>
                </c:pt>
                <c:pt idx="26">
                  <c:v>4.5257293902759081E-4</c:v>
                </c:pt>
                <c:pt idx="27">
                  <c:v>4.3468321634078367E-4</c:v>
                </c:pt>
                <c:pt idx="28">
                  <c:v>4.170351189868062E-4</c:v>
                </c:pt>
                <c:pt idx="29">
                  <c:v>4.0004908204692099E-4</c:v>
                </c:pt>
                <c:pt idx="30">
                  <c:v>3.8397974204636452E-4</c:v>
                </c:pt>
                <c:pt idx="31">
                  <c:v>3.688133199311919E-4</c:v>
                </c:pt>
                <c:pt idx="32">
                  <c:v>3.5453445006261748E-4</c:v>
                </c:pt>
                <c:pt idx="33">
                  <c:v>3.41126549266721E-4</c:v>
                </c:pt>
                <c:pt idx="34">
                  <c:v>3.2857215351068703E-4</c:v>
                </c:pt>
                <c:pt idx="35">
                  <c:v>3.1685322325048003E-4</c:v>
                </c:pt>
                <c:pt idx="36">
                  <c:v>3.0593250358057023E-4</c:v>
                </c:pt>
                <c:pt idx="37">
                  <c:v>2.9648915174136235E-4</c:v>
                </c:pt>
                <c:pt idx="38">
                  <c:v>2.8831115646375913E-4</c:v>
                </c:pt>
                <c:pt idx="39">
                  <c:v>2.8136205121274732E-4</c:v>
                </c:pt>
                <c:pt idx="40">
                  <c:v>2.7560690552519028E-4</c:v>
                </c:pt>
                <c:pt idx="41">
                  <c:v>2.710121935646186E-4</c:v>
                </c:pt>
                <c:pt idx="42">
                  <c:v>2.6754567273936704E-4</c:v>
                </c:pt>
                <c:pt idx="43">
                  <c:v>2.6633364321079317E-4</c:v>
                </c:pt>
                <c:pt idx="44">
                  <c:v>2.6696135811802587E-4</c:v>
                </c:pt>
                <c:pt idx="45">
                  <c:v>2.6937979323633272E-4</c:v>
                </c:pt>
                <c:pt idx="46">
                  <c:v>2.7354136353427124E-4</c:v>
                </c:pt>
                <c:pt idx="47">
                  <c:v>2.7939979130863418E-4</c:v>
                </c:pt>
                <c:pt idx="48">
                  <c:v>2.8690998839580087E-4</c:v>
                </c:pt>
                <c:pt idx="49">
                  <c:v>2.9602795214036642E-4</c:v>
                </c:pt>
                <c:pt idx="50">
                  <c:v>3.0670946171089289E-4</c:v>
                </c:pt>
                <c:pt idx="51">
                  <c:v>3.1840164000518232E-4</c:v>
                </c:pt>
                <c:pt idx="52">
                  <c:v>3.3044769184399999E-4</c:v>
                </c:pt>
                <c:pt idx="53">
                  <c:v>3.428388499959401E-4</c:v>
                </c:pt>
                <c:pt idx="54">
                  <c:v>3.5556850850508906E-4</c:v>
                </c:pt>
                <c:pt idx="55">
                  <c:v>3.6863072724960906E-4</c:v>
                </c:pt>
                <c:pt idx="56">
                  <c:v>3.8202025677805195E-4</c:v>
                </c:pt>
                <c:pt idx="57">
                  <c:v>3.9348072802143386E-4</c:v>
                </c:pt>
                <c:pt idx="58">
                  <c:v>4.020432538614517E-4</c:v>
                </c:pt>
                <c:pt idx="59">
                  <c:v>4.0778229696735672E-4</c:v>
                </c:pt>
                <c:pt idx="60">
                  <c:v>4.1077024756683576E-4</c:v>
                </c:pt>
                <c:pt idx="61">
                  <c:v>4.110772966239784E-4</c:v>
                </c:pt>
                <c:pt idx="62">
                  <c:v>4.0877131425732101E-4</c:v>
                </c:pt>
                <c:pt idx="63">
                  <c:v>4.039177324260772E-4</c:v>
                </c:pt>
                <c:pt idx="64">
                  <c:v>3.9656843797160991E-4</c:v>
                </c:pt>
                <c:pt idx="65">
                  <c:v>3.8627426844850462E-4</c:v>
                </c:pt>
                <c:pt idx="66">
                  <c:v>3.7355413704676002E-4</c:v>
                </c:pt>
                <c:pt idx="67">
                  <c:v>3.584633524599783E-4</c:v>
                </c:pt>
                <c:pt idx="68">
                  <c:v>3.4105488293804319E-4</c:v>
                </c:pt>
                <c:pt idx="69">
                  <c:v>3.213792305410022E-4</c:v>
                </c:pt>
                <c:pt idx="70">
                  <c:v>2.9948430701487498E-4</c:v>
                </c:pt>
                <c:pt idx="71">
                  <c:v>2.7635478278598911E-4</c:v>
                </c:pt>
                <c:pt idx="72">
                  <c:v>2.5402324062746091E-4</c:v>
                </c:pt>
                <c:pt idx="73">
                  <c:v>2.3246912327997714E-4</c:v>
                </c:pt>
                <c:pt idx="74">
                  <c:v>2.1167181872334043E-4</c:v>
                </c:pt>
                <c:pt idx="75">
                  <c:v>1.9161067893140379E-4</c:v>
                </c:pt>
                <c:pt idx="76">
                  <c:v>1.722650378192086E-4</c:v>
                </c:pt>
                <c:pt idx="77">
                  <c:v>1.5361422831662653E-4</c:v>
                </c:pt>
                <c:pt idx="78">
                  <c:v>1.3562997860209038E-4</c:v>
                </c:pt>
                <c:pt idx="79">
                  <c:v>1.1875535020971503E-4</c:v>
                </c:pt>
                <c:pt idx="80">
                  <c:v>1.0342997178772267E-4</c:v>
                </c:pt>
                <c:pt idx="81">
                  <c:v>8.9625817908284188E-5</c:v>
                </c:pt>
                <c:pt idx="82">
                  <c:v>7.731474645305571E-5</c:v>
                </c:pt>
                <c:pt idx="83">
                  <c:v>6.6468877368378918E-5</c:v>
                </c:pt>
                <c:pt idx="84">
                  <c:v>5.70609464346135E-5</c:v>
                </c:pt>
                <c:pt idx="85">
                  <c:v>4.9286236555349929E-5</c:v>
                </c:pt>
                <c:pt idx="86">
                  <c:v>4.2261035864538662E-5</c:v>
                </c:pt>
                <c:pt idx="87">
                  <c:v>3.5971831618811105E-5</c:v>
                </c:pt>
                <c:pt idx="88">
                  <c:v>3.0405829339485956E-5</c:v>
                </c:pt>
                <c:pt idx="89">
                  <c:v>0</c:v>
                </c:pt>
                <c:pt idx="90">
                  <c:v>1.2684384336102926E-10</c:v>
                </c:pt>
                <c:pt idx="91">
                  <c:v>3.0015241489622197E-10</c:v>
                </c:pt>
                <c:pt idx="92">
                  <c:v>6.1085916374901878E-10</c:v>
                </c:pt>
                <c:pt idx="93">
                  <c:v>1.0974193549863354E-9</c:v>
                </c:pt>
                <c:pt idx="94">
                  <c:v>1.7344575826704904E-9</c:v>
                </c:pt>
                <c:pt idx="95">
                  <c:v>2.5835594585258945E-9</c:v>
                </c:pt>
                <c:pt idx="96">
                  <c:v>3.7103544532901558E-9</c:v>
                </c:pt>
                <c:pt idx="97">
                  <c:v>5.1848541315835231E-9</c:v>
                </c:pt>
                <c:pt idx="98">
                  <c:v>7.0818106942391471E-9</c:v>
                </c:pt>
                <c:pt idx="99">
                  <c:v>9.9091001231197081E-9</c:v>
                </c:pt>
                <c:pt idx="100">
                  <c:v>1.3827099017348277E-8</c:v>
                </c:pt>
                <c:pt idx="101">
                  <c:v>1.905644825288514E-8</c:v>
                </c:pt>
                <c:pt idx="102">
                  <c:v>2.5833512788707415E-8</c:v>
                </c:pt>
                <c:pt idx="103">
                  <c:v>3.4411583100903707E-8</c:v>
                </c:pt>
                <c:pt idx="104">
                  <c:v>4.5062138877446679E-8</c:v>
                </c:pt>
                <c:pt idx="105">
                  <c:v>5.80761755899769E-8</c:v>
                </c:pt>
                <c:pt idx="106">
                  <c:v>7.3766127214871636E-8</c:v>
                </c:pt>
                <c:pt idx="107">
                  <c:v>9.3823467361631551E-8</c:v>
                </c:pt>
                <c:pt idx="108">
                  <c:v>1.1863542179206203E-7</c:v>
                </c:pt>
                <c:pt idx="109">
                  <c:v>1.4886622075807734E-7</c:v>
                </c:pt>
                <c:pt idx="110">
                  <c:v>1.8522819951307827E-7</c:v>
                </c:pt>
                <c:pt idx="111">
                  <c:v>2.2848454165680745E-7</c:v>
                </c:pt>
                <c:pt idx="112">
                  <c:v>2.7945148044222801E-7</c:v>
                </c:pt>
                <c:pt idx="113">
                  <c:v>3.4213012541606188E-7</c:v>
                </c:pt>
                <c:pt idx="114">
                  <c:v>4.1670111756104921E-7</c:v>
                </c:pt>
                <c:pt idx="115">
                  <c:v>5.0457054612976385E-7</c:v>
                </c:pt>
                <c:pt idx="116">
                  <c:v>6.0723954555815921E-7</c:v>
                </c:pt>
                <c:pt idx="117">
                  <c:v>7.2630845911814354E-7</c:v>
                </c:pt>
                <c:pt idx="118">
                  <c:v>8.6348082585344528E-7</c:v>
                </c:pt>
                <c:pt idx="119">
                  <c:v>1.0205671367972622E-6</c:v>
                </c:pt>
                <c:pt idx="120">
                  <c:v>1.199508442459714E-6</c:v>
                </c:pt>
                <c:pt idx="121">
                  <c:v>1.4067437400861588E-6</c:v>
                </c:pt>
                <c:pt idx="122">
                  <c:v>1.6417536587244706E-6</c:v>
                </c:pt>
                <c:pt idx="123">
                  <c:v>1.9071077210697128E-6</c:v>
                </c:pt>
                <c:pt idx="124">
                  <c:v>2.2055247084051936E-6</c:v>
                </c:pt>
                <c:pt idx="125">
                  <c:v>2.5398764227964941E-6</c:v>
                </c:pt>
                <c:pt idx="126">
                  <c:v>2.9131909095985819E-6</c:v>
                </c:pt>
                <c:pt idx="127">
                  <c:v>3.309472267197338E-6</c:v>
                </c:pt>
                <c:pt idx="128">
                  <c:v>3.722061473875579E-6</c:v>
                </c:pt>
                <c:pt idx="129">
                  <c:v>4.1503697094017124E-6</c:v>
                </c:pt>
                <c:pt idx="130">
                  <c:v>4.5936986694221281E-6</c:v>
                </c:pt>
                <c:pt idx="131">
                  <c:v>5.0512329974863335E-6</c:v>
                </c:pt>
                <c:pt idx="132">
                  <c:v>5.5220328212248646E-6</c:v>
                </c:pt>
                <c:pt idx="133">
                  <c:v>6.0050264652852094E-6</c:v>
                </c:pt>
                <c:pt idx="134">
                  <c:v>6.4990788501831246E-6</c:v>
                </c:pt>
                <c:pt idx="135">
                  <c:v>6.9663470698165915E-6</c:v>
                </c:pt>
                <c:pt idx="136">
                  <c:v>7.3911522234168754E-6</c:v>
                </c:pt>
                <c:pt idx="137">
                  <c:v>7.7653801041985869E-6</c:v>
                </c:pt>
                <c:pt idx="138">
                  <c:v>8.0803880769946125E-6</c:v>
                </c:pt>
                <c:pt idx="139">
                  <c:v>8.327001773752408E-6</c:v>
                </c:pt>
                <c:pt idx="140">
                  <c:v>8.4955152755205778E-6</c:v>
                </c:pt>
                <c:pt idx="141">
                  <c:v>8.5911158685994928E-6</c:v>
                </c:pt>
                <c:pt idx="142">
                  <c:v>8.6418859286339821E-6</c:v>
                </c:pt>
                <c:pt idx="143">
                  <c:v>8.642891375059474E-6</c:v>
                </c:pt>
                <c:pt idx="144">
                  <c:v>8.58905318532468E-6</c:v>
                </c:pt>
                <c:pt idx="145">
                  <c:v>8.4751063144884113E-6</c:v>
                </c:pt>
                <c:pt idx="146">
                  <c:v>8.295611654627947E-6</c:v>
                </c:pt>
                <c:pt idx="147">
                  <c:v>8.0449698875077342E-6</c:v>
                </c:pt>
                <c:pt idx="148">
                  <c:v>7.717474040888951E-6</c:v>
                </c:pt>
                <c:pt idx="149">
                  <c:v>7.3418099179424919E-6</c:v>
                </c:pt>
                <c:pt idx="150">
                  <c:v>6.981798581305438E-6</c:v>
                </c:pt>
                <c:pt idx="151">
                  <c:v>6.6420887579807787E-6</c:v>
                </c:pt>
                <c:pt idx="152">
                  <c:v>6.3275623496184737E-6</c:v>
                </c:pt>
                <c:pt idx="153">
                  <c:v>6.0433258253768231E-6</c:v>
                </c:pt>
                <c:pt idx="154">
                  <c:v>5.7947001054622678E-6</c:v>
                </c:pt>
                <c:pt idx="155">
                  <c:v>5.5919764791454228E-6</c:v>
                </c:pt>
                <c:pt idx="156">
                  <c:v>5.4152188771976772E-6</c:v>
                </c:pt>
                <c:pt idx="157">
                  <c:v>5.268381951798922E-6</c:v>
                </c:pt>
                <c:pt idx="158">
                  <c:v>5.1555434579456111E-6</c:v>
                </c:pt>
                <c:pt idx="159">
                  <c:v>5.0808935673434829E-6</c:v>
                </c:pt>
                <c:pt idx="160">
                  <c:v>5.0487235689487197E-6</c:v>
                </c:pt>
                <c:pt idx="161">
                  <c:v>5.0634140824580777E-6</c:v>
                </c:pt>
                <c:pt idx="162">
                  <c:v>5.1294763234634604E-6</c:v>
                </c:pt>
                <c:pt idx="163">
                  <c:v>5.2501789527706958E-6</c:v>
                </c:pt>
                <c:pt idx="164">
                  <c:v>5.3754149498592473E-6</c:v>
                </c:pt>
                <c:pt idx="165">
                  <c:v>5.5054004459030325E-6</c:v>
                </c:pt>
                <c:pt idx="166">
                  <c:v>5.6403527598123398E-6</c:v>
                </c:pt>
                <c:pt idx="167">
                  <c:v>5.7804895799094046E-6</c:v>
                </c:pt>
                <c:pt idx="168">
                  <c:v>5.9260281211675672E-6</c:v>
                </c:pt>
                <c:pt idx="169">
                  <c:v>6.0756916765218824E-6</c:v>
                </c:pt>
                <c:pt idx="170">
                  <c:v>6.2224478539263497E-6</c:v>
                </c:pt>
                <c:pt idx="171">
                  <c:v>6.3659224850906389E-6</c:v>
                </c:pt>
                <c:pt idx="172">
                  <c:v>6.505743189233976E-6</c:v>
                </c:pt>
                <c:pt idx="173">
                  <c:v>6.6414728458395091E-6</c:v>
                </c:pt>
                <c:pt idx="174">
                  <c:v>6.7726698267583164E-6</c:v>
                </c:pt>
                <c:pt idx="175">
                  <c:v>6.8989618816942083E-6</c:v>
                </c:pt>
                <c:pt idx="176">
                  <c:v>7.0201044001963056E-6</c:v>
                </c:pt>
                <c:pt idx="177">
                  <c:v>7.1441420428905651E-6</c:v>
                </c:pt>
                <c:pt idx="178">
                  <c:v>7.2730429275145903E-6</c:v>
                </c:pt>
                <c:pt idx="179">
                  <c:v>7.4070762682284809E-6</c:v>
                </c:pt>
                <c:pt idx="180">
                  <c:v>7.5465107900820081E-6</c:v>
                </c:pt>
                <c:pt idx="181">
                  <c:v>7.6916142130982575E-6</c:v>
                </c:pt>
                <c:pt idx="182">
                  <c:v>7.8426527879447867E-6</c:v>
                </c:pt>
                <c:pt idx="183">
                  <c:v>8.0803718831620606E-6</c:v>
                </c:pt>
                <c:pt idx="184">
                  <c:v>8.4106987414369887E-6</c:v>
                </c:pt>
                <c:pt idx="185">
                  <c:v>8.8375463986537109E-6</c:v>
                </c:pt>
                <c:pt idx="186">
                  <c:v>9.3647043452849049E-6</c:v>
                </c:pt>
                <c:pt idx="187">
                  <c:v>9.9958364564939127E-6</c:v>
                </c:pt>
                <c:pt idx="188">
                  <c:v>1.073448016268308E-5</c:v>
                </c:pt>
                <c:pt idx="189">
                  <c:v>1.1584046801832191E-5</c:v>
                </c:pt>
                <c:pt idx="190">
                  <c:v>1.2547870642056104E-5</c:v>
                </c:pt>
                <c:pt idx="191">
                  <c:v>1.3682732002702334E-5</c:v>
                </c:pt>
                <c:pt idx="192">
                  <c:v>1.4983291823021613E-5</c:v>
                </c:pt>
                <c:pt idx="193">
                  <c:v>1.6453955373468504E-5</c:v>
                </c:pt>
                <c:pt idx="194">
                  <c:v>1.8098957310668066E-5</c:v>
                </c:pt>
                <c:pt idx="195">
                  <c:v>1.9922365959529167E-5</c:v>
                </c:pt>
                <c:pt idx="196">
                  <c:v>2.1928088278728427E-5</c:v>
                </c:pt>
                <c:pt idx="197">
                  <c:v>2.394241293369885E-5</c:v>
                </c:pt>
                <c:pt idx="198">
                  <c:v>2.5866779172790608E-5</c:v>
                </c:pt>
                <c:pt idx="199">
                  <c:v>2.769670375949419E-5</c:v>
                </c:pt>
                <c:pt idx="200">
                  <c:v>2.9427865237153475E-5</c:v>
                </c:pt>
                <c:pt idx="201">
                  <c:v>3.1056100636612571E-5</c:v>
                </c:pt>
                <c:pt idx="202">
                  <c:v>3.2577401461217416E-5</c:v>
                </c:pt>
                <c:pt idx="203">
                  <c:v>3.3987909077928906E-5</c:v>
                </c:pt>
                <c:pt idx="204">
                  <c:v>3.5284011364818127E-5</c:v>
                </c:pt>
                <c:pt idx="205">
                  <c:v>3.631989143452448E-5</c:v>
                </c:pt>
                <c:pt idx="206">
                  <c:v>3.7026794216507069E-5</c:v>
                </c:pt>
                <c:pt idx="207">
                  <c:v>3.7396724790446287E-5</c:v>
                </c:pt>
                <c:pt idx="208">
                  <c:v>3.7421967729870582E-5</c:v>
                </c:pt>
                <c:pt idx="209">
                  <c:v>3.709507040642726E-5</c:v>
                </c:pt>
                <c:pt idx="210">
                  <c:v>3.6408826563197276E-5</c:v>
                </c:pt>
                <c:pt idx="211">
                  <c:v>3.5405319775844615E-5</c:v>
                </c:pt>
                <c:pt idx="212">
                  <c:v>3.4279746685678784E-5</c:v>
                </c:pt>
                <c:pt idx="213">
                  <c:v>3.3030627810979751E-5</c:v>
                </c:pt>
                <c:pt idx="214">
                  <c:v>3.1656518925975659E-5</c:v>
                </c:pt>
                <c:pt idx="215">
                  <c:v>3.0156007597157855E-5</c:v>
                </c:pt>
                <c:pt idx="216">
                  <c:v>2.8527710069307805E-5</c:v>
                </c:pt>
                <c:pt idx="217">
                  <c:v>2.6770268491383568E-5</c:v>
                </c:pt>
                <c:pt idx="218">
                  <c:v>2.4882248138130591E-5</c:v>
                </c:pt>
                <c:pt idx="219">
                  <c:v>2.2918550479823322E-5</c:v>
                </c:pt>
                <c:pt idx="220">
                  <c:v>2.103661840915996E-5</c:v>
                </c:pt>
                <c:pt idx="221">
                  <c:v>1.9238928441072407E-5</c:v>
                </c:pt>
                <c:pt idx="222">
                  <c:v>1.7527869740088794E-5</c:v>
                </c:pt>
                <c:pt idx="223">
                  <c:v>1.5905749857505293E-5</c:v>
                </c:pt>
                <c:pt idx="224">
                  <c:v>1.4374800331461121E-5</c:v>
                </c:pt>
                <c:pt idx="225">
                  <c:v>1.2975088080256502E-5</c:v>
                </c:pt>
                <c:pt idx="226">
                  <c:v>1.1655602746795813E-5</c:v>
                </c:pt>
                <c:pt idx="227">
                  <c:v>1.0418127071532986E-5</c:v>
                </c:pt>
                <c:pt idx="228">
                  <c:v>9.2643937023464178E-6</c:v>
                </c:pt>
                <c:pt idx="229">
                  <c:v>8.1960894480130096E-6</c:v>
                </c:pt>
                <c:pt idx="230">
                  <c:v>7.2148594185109583E-6</c:v>
                </c:pt>
                <c:pt idx="231">
                  <c:v>6.3223110606029438E-6</c:v>
                </c:pt>
                <c:pt idx="232">
                  <c:v>5.5198059562948201E-6</c:v>
                </c:pt>
                <c:pt idx="233">
                  <c:v>4.8325707939089878E-6</c:v>
                </c:pt>
                <c:pt idx="234">
                  <c:v>4.201783705137408E-6</c:v>
                </c:pt>
                <c:pt idx="235">
                  <c:v>3.6285360844050627E-6</c:v>
                </c:pt>
                <c:pt idx="236">
                  <c:v>3.1138569554214575E-6</c:v>
                </c:pt>
                <c:pt idx="237">
                  <c:v>2.6587194011892301E-6</c:v>
                </c:pt>
                <c:pt idx="238">
                  <c:v>2.2640536210445767E-6</c:v>
                </c:pt>
                <c:pt idx="239">
                  <c:v>1.9384866148318712E-6</c:v>
                </c:pt>
                <c:pt idx="240">
                  <c:v>1.6422797373244049E-6</c:v>
                </c:pt>
                <c:pt idx="241">
                  <c:v>1.3758585775645994E-6</c:v>
                </c:pt>
                <c:pt idx="242">
                  <c:v>1.1396370006107684E-6</c:v>
                </c:pt>
                <c:pt idx="243">
                  <c:v>9.3402263924836895E-7</c:v>
                </c:pt>
                <c:pt idx="244">
                  <c:v>7.5942257778481503E-7</c:v>
                </c:pt>
                <c:pt idx="245">
                  <c:v>6.1624924561950141E-7</c:v>
                </c:pt>
                <c:pt idx="246">
                  <c:v>5.0491488443018487E-7</c:v>
                </c:pt>
                <c:pt idx="247">
                  <c:v>4.2999382297632405E-7</c:v>
                </c:pt>
                <c:pt idx="248">
                  <c:v>3.6657403985124844E-7</c:v>
                </c:pt>
                <c:pt idx="249">
                  <c:v>3.1481746558980966E-7</c:v>
                </c:pt>
                <c:pt idx="250">
                  <c:v>2.7489369423837111E-7</c:v>
                </c:pt>
                <c:pt idx="251">
                  <c:v>2.4697941333762341E-7</c:v>
                </c:pt>
                <c:pt idx="252">
                  <c:v>2.3125777483780131E-7</c:v>
                </c:pt>
                <c:pt idx="253">
                  <c:v>2.3087700397275315E-7</c:v>
                </c:pt>
                <c:pt idx="254">
                  <c:v>2.3776372621618941E-7</c:v>
                </c:pt>
                <c:pt idx="255">
                  <c:v>2.5203166246333465E-7</c:v>
                </c:pt>
                <c:pt idx="256">
                  <c:v>2.7379631948698287E-7</c:v>
                </c:pt>
                <c:pt idx="257">
                  <c:v>3.031744014147661E-7</c:v>
                </c:pt>
                <c:pt idx="258">
                  <c:v>3.4028316770053E-7</c:v>
                </c:pt>
                <c:pt idx="259">
                  <c:v>3.8523973523701053E-7</c:v>
                </c:pt>
                <c:pt idx="260">
                  <c:v>4.381866740169669E-7</c:v>
                </c:pt>
                <c:pt idx="261">
                  <c:v>4.9665459282328677E-7</c:v>
                </c:pt>
                <c:pt idx="262">
                  <c:v>5.562505465551826E-7</c:v>
                </c:pt>
                <c:pt idx="263">
                  <c:v>6.1698916806561855E-7</c:v>
                </c:pt>
                <c:pt idx="264">
                  <c:v>6.7888117836275519E-7</c:v>
                </c:pt>
                <c:pt idx="265">
                  <c:v>7.4193699305565746E-7</c:v>
                </c:pt>
                <c:pt idx="266">
                  <c:v>8.0616163692328875E-7</c:v>
                </c:pt>
                <c:pt idx="267">
                  <c:v>9.9571693160694629E-7</c:v>
                </c:pt>
                <c:pt idx="268">
                  <c:v>1.3094558705311402E-6</c:v>
                </c:pt>
                <c:pt idx="269">
                  <c:v>1.7493630794118271E-6</c:v>
                </c:pt>
                <c:pt idx="270">
                  <c:v>2.3173694233306899E-6</c:v>
                </c:pt>
                <c:pt idx="271">
                  <c:v>3.0153218822631902E-6</c:v>
                </c:pt>
                <c:pt idx="272">
                  <c:v>3.8449515997025265E-6</c:v>
                </c:pt>
                <c:pt idx="273">
                  <c:v>4.8078401615425833E-6</c:v>
                </c:pt>
                <c:pt idx="274">
                  <c:v>5.9056713803950858E-6</c:v>
                </c:pt>
                <c:pt idx="275">
                  <c:v>7.2269704407383357E-6</c:v>
                </c:pt>
                <c:pt idx="276">
                  <c:v>8.7773998709983662E-6</c:v>
                </c:pt>
                <c:pt idx="277">
                  <c:v>1.0559720293548219E-5</c:v>
                </c:pt>
                <c:pt idx="278">
                  <c:v>1.2576583995968615E-5</c:v>
                </c:pt>
                <c:pt idx="279">
                  <c:v>1.483052947276614E-5</c:v>
                </c:pt>
                <c:pt idx="280">
                  <c:v>1.7323977027629431E-5</c:v>
                </c:pt>
                <c:pt idx="281">
                  <c:v>1.9840144405636842E-5</c:v>
                </c:pt>
                <c:pt idx="282">
                  <c:v>2.2244879652566611E-5</c:v>
                </c:pt>
                <c:pt idx="283">
                  <c:v>2.4535945783389446E-5</c:v>
                </c:pt>
                <c:pt idx="284">
                  <c:v>2.6711161436238904E-5</c:v>
                </c:pt>
                <c:pt idx="285">
                  <c:v>2.8768408025044331E-5</c:v>
                </c:pt>
                <c:pt idx="286">
                  <c:v>3.0705636505798743E-5</c:v>
                </c:pt>
                <c:pt idx="287">
                  <c:v>3.2520873647210436E-5</c:v>
                </c:pt>
                <c:pt idx="288">
                  <c:v>3.4213032817321024E-5</c:v>
                </c:pt>
                <c:pt idx="289">
                  <c:v>3.5646818547610841E-5</c:v>
                </c:pt>
                <c:pt idx="290">
                  <c:v>3.6726685098502126E-5</c:v>
                </c:pt>
                <c:pt idx="291">
                  <c:v>3.7448391901530377E-5</c:v>
                </c:pt>
                <c:pt idx="292">
                  <c:v>3.7807801266073049E-5</c:v>
                </c:pt>
                <c:pt idx="293">
                  <c:v>3.7800908385172459E-5</c:v>
                </c:pt>
                <c:pt idx="294">
                  <c:v>3.7423870863630237E-5</c:v>
                </c:pt>
                <c:pt idx="295">
                  <c:v>3.6780556415735695E-5</c:v>
                </c:pt>
                <c:pt idx="296">
                  <c:v>3.6100073993029379E-5</c:v>
                </c:pt>
                <c:pt idx="297">
                  <c:v>3.5382391206178069E-5</c:v>
                </c:pt>
                <c:pt idx="298">
                  <c:v>3.4627206454746059E-5</c:v>
                </c:pt>
                <c:pt idx="299">
                  <c:v>3.3834260226594601E-5</c:v>
                </c:pt>
                <c:pt idx="300">
                  <c:v>3.3003336653858012E-5</c:v>
                </c:pt>
                <c:pt idx="301">
                  <c:v>3.2134265038857927E-5</c:v>
                </c:pt>
                <c:pt idx="302">
                  <c:v>3.1228712563677103E-5</c:v>
                </c:pt>
                <c:pt idx="303">
                  <c:v>3.0366512592487411E-5</c:v>
                </c:pt>
                <c:pt idx="304">
                  <c:v>2.9688097133141019E-5</c:v>
                </c:pt>
                <c:pt idx="305">
                  <c:v>2.919473709754914E-5</c:v>
                </c:pt>
                <c:pt idx="306">
                  <c:v>2.8887695181778991E-5</c:v>
                </c:pt>
                <c:pt idx="307">
                  <c:v>2.8768218750315059E-5</c:v>
                </c:pt>
                <c:pt idx="308">
                  <c:v>2.8837532466475614E-5</c:v>
                </c:pt>
                <c:pt idx="309">
                  <c:v>2.9146447868647905E-5</c:v>
                </c:pt>
                <c:pt idx="310">
                  <c:v>2.9584851166137118E-5</c:v>
                </c:pt>
                <c:pt idx="311">
                  <c:v>3.0153440395945966E-5</c:v>
                </c:pt>
                <c:pt idx="312">
                  <c:v>3.0852868151000472E-5</c:v>
                </c:pt>
                <c:pt idx="313">
                  <c:v>3.1683732797789783E-5</c:v>
                </c:pt>
                <c:pt idx="314">
                  <c:v>3.2646568611645059E-5</c:v>
                </c:pt>
                <c:pt idx="315">
                  <c:v>3.3741834670774704E-5</c:v>
                </c:pt>
                <c:pt idx="316">
                  <c:v>3.4971387431250799E-5</c:v>
                </c:pt>
                <c:pt idx="317">
                  <c:v>3.6371726361472619E-5</c:v>
                </c:pt>
                <c:pt idx="318">
                  <c:v>3.7863292247639689E-5</c:v>
                </c:pt>
                <c:pt idx="319">
                  <c:v>3.944692957411701E-5</c:v>
                </c:pt>
                <c:pt idx="320">
                  <c:v>4.1123514269212812E-5</c:v>
                </c:pt>
                <c:pt idx="321">
                  <c:v>4.2893951723266247E-5</c:v>
                </c:pt>
                <c:pt idx="322">
                  <c:v>4.4759173629987595E-5</c:v>
                </c:pt>
                <c:pt idx="323">
                  <c:v>4.6623787088039151E-5</c:v>
                </c:pt>
                <c:pt idx="324">
                  <c:v>4.8436916090406748E-5</c:v>
                </c:pt>
                <c:pt idx="325">
                  <c:v>5.0198500587018787E-5</c:v>
                </c:pt>
                <c:pt idx="326">
                  <c:v>5.1908107104403503E-5</c:v>
                </c:pt>
                <c:pt idx="327">
                  <c:v>5.3565422813162648E-5</c:v>
                </c:pt>
                <c:pt idx="328">
                  <c:v>5.5170336810717766E-5</c:v>
                </c:pt>
                <c:pt idx="329">
                  <c:v>5.6722681462863871E-5</c:v>
                </c:pt>
                <c:pt idx="330">
                  <c:v>5.8229719096996333E-5</c:v>
                </c:pt>
                <c:pt idx="331">
                  <c:v>5.9618470097576511E-5</c:v>
                </c:pt>
                <c:pt idx="332">
                  <c:v>6.0850461458163831E-5</c:v>
                </c:pt>
                <c:pt idx="333">
                  <c:v>6.1921707010025793E-5</c:v>
                </c:pt>
                <c:pt idx="334">
                  <c:v>6.2827637989750846E-5</c:v>
                </c:pt>
                <c:pt idx="335">
                  <c:v>6.3563174089106427E-5</c:v>
                </c:pt>
                <c:pt idx="336">
                  <c:v>6.4122806987622634E-5</c:v>
                </c:pt>
                <c:pt idx="337">
                  <c:v>6.4528727701867897E-5</c:v>
                </c:pt>
                <c:pt idx="338">
                  <c:v>6.4875768830141063E-5</c:v>
                </c:pt>
                <c:pt idx="339">
                  <c:v>6.5158971574483994E-5</c:v>
                </c:pt>
                <c:pt idx="340">
                  <c:v>6.5373227219512017E-5</c:v>
                </c:pt>
                <c:pt idx="341">
                  <c:v>6.5513340201532629E-5</c:v>
                </c:pt>
                <c:pt idx="342">
                  <c:v>6.5574101027292264E-5</c:v>
                </c:pt>
                <c:pt idx="343">
                  <c:v>6.5550368622939282E-5</c:v>
                </c:pt>
                <c:pt idx="344">
                  <c:v>6.5448498774452134E-5</c:v>
                </c:pt>
                <c:pt idx="345">
                  <c:v>6.5277291463018236E-5</c:v>
                </c:pt>
                <c:pt idx="346">
                  <c:v>6.5122318026820296E-5</c:v>
                </c:pt>
                <c:pt idx="347">
                  <c:v>6.4982531032111793E-5</c:v>
                </c:pt>
                <c:pt idx="348">
                  <c:v>6.4856865458950942E-5</c:v>
                </c:pt>
                <c:pt idx="349">
                  <c:v>6.4744243452067454E-5</c:v>
                </c:pt>
                <c:pt idx="350">
                  <c:v>6.4643579326499978E-5</c:v>
                </c:pt>
                <c:pt idx="351">
                  <c:v>6.4558390532669287E-5</c:v>
                </c:pt>
                <c:pt idx="352">
                  <c:v>6.4459060173641542E-5</c:v>
                </c:pt>
                <c:pt idx="353">
                  <c:v>6.4344612051008433E-5</c:v>
                </c:pt>
                <c:pt idx="354">
                  <c:v>6.4214139231880547E-5</c:v>
                </c:pt>
                <c:pt idx="355">
                  <c:v>6.406681244418519E-5</c:v>
                </c:pt>
                <c:pt idx="356">
                  <c:v>6.3901033428806202E-5</c:v>
                </c:pt>
                <c:pt idx="357">
                  <c:v>6.3716948039416527E-5</c:v>
                </c:pt>
                <c:pt idx="358">
                  <c:v>6.3508058109306228E-5</c:v>
                </c:pt>
                <c:pt idx="359">
                  <c:v>6.327065504437418E-5</c:v>
                </c:pt>
                <c:pt idx="360">
                  <c:v>6.3035913653930475E-5</c:v>
                </c:pt>
                <c:pt idx="361">
                  <c:v>6.2802291903698681E-5</c:v>
                </c:pt>
                <c:pt idx="362">
                  <c:v>6.2572710117030604E-5</c:v>
                </c:pt>
                <c:pt idx="363">
                  <c:v>6.2350004521322862E-5</c:v>
                </c:pt>
                <c:pt idx="364">
                  <c:v>6.2136915708607332E-5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37400"/>
        <c:axId val="537237792"/>
      </c:lineChart>
      <c:dateAx>
        <c:axId val="5372374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7792"/>
        <c:crosses val="autoZero"/>
        <c:auto val="1"/>
        <c:lblOffset val="100"/>
        <c:baseTimeUnit val="days"/>
        <c:majorUnit val="1"/>
        <c:majorTimeUnit val="months"/>
      </c:dateAx>
      <c:valAx>
        <c:axId val="5372377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74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23.062004205595663</c:v>
                </c:pt>
                <c:pt idx="1">
                  <c:v>23.224891042285098</c:v>
                </c:pt>
                <c:pt idx="2">
                  <c:v>23.394758985408984</c:v>
                </c:pt>
                <c:pt idx="3">
                  <c:v>23.5705110198695</c:v>
                </c:pt>
                <c:pt idx="4">
                  <c:v>23.751050434604572</c:v>
                </c:pt>
                <c:pt idx="5">
                  <c:v>23.935280832636884</c:v>
                </c:pt>
                <c:pt idx="6">
                  <c:v>24.122106125163118</c:v>
                </c:pt>
                <c:pt idx="7">
                  <c:v>24.310430539844454</c:v>
                </c:pt>
                <c:pt idx="8">
                  <c:v>24.502535601251111</c:v>
                </c:pt>
                <c:pt idx="9">
                  <c:v>24.701293991054804</c:v>
                </c:pt>
                <c:pt idx="10">
                  <c:v>24.90649421970577</c:v>
                </c:pt>
                <c:pt idx="11">
                  <c:v>25.117924218668719</c:v>
                </c:pt>
                <c:pt idx="12">
                  <c:v>25.335371957616942</c:v>
                </c:pt>
                <c:pt idx="13">
                  <c:v>25.558625455410901</c:v>
                </c:pt>
                <c:pt idx="14">
                  <c:v>25.787472774824316</c:v>
                </c:pt>
                <c:pt idx="15">
                  <c:v>26.021701227647529</c:v>
                </c:pt>
                <c:pt idx="16">
                  <c:v>26.261097184736123</c:v>
                </c:pt>
                <c:pt idx="17">
                  <c:v>26.505448861172752</c:v>
                </c:pt>
                <c:pt idx="18">
                  <c:v>26.754544532063203</c:v>
                </c:pt>
                <c:pt idx="19">
                  <c:v>27.008172521103468</c:v>
                </c:pt>
                <c:pt idx="20">
                  <c:v>27.266121210852152</c:v>
                </c:pt>
                <c:pt idx="21">
                  <c:v>27.528179057248366</c:v>
                </c:pt>
                <c:pt idx="22">
                  <c:v>27.796737259395591</c:v>
                </c:pt>
                <c:pt idx="23">
                  <c:v>28.073686445975255</c:v>
                </c:pt>
                <c:pt idx="24">
                  <c:v>28.358064034836143</c:v>
                </c:pt>
                <c:pt idx="25">
                  <c:v>28.648909977721551</c:v>
                </c:pt>
                <c:pt idx="26">
                  <c:v>28.945264541482675</c:v>
                </c:pt>
                <c:pt idx="27">
                  <c:v>29.246168298152782</c:v>
                </c:pt>
                <c:pt idx="28">
                  <c:v>29.550662139436902</c:v>
                </c:pt>
                <c:pt idx="29">
                  <c:v>29.857785378726973</c:v>
                </c:pt>
                <c:pt idx="30">
                  <c:v>30.166580338712084</c:v>
                </c:pt>
                <c:pt idx="31">
                  <c:v>30.476088862247046</c:v>
                </c:pt>
                <c:pt idx="32">
                  <c:v>30.785353110299724</c:v>
                </c:pt>
                <c:pt idx="33">
                  <c:v>31.093415565389027</c:v>
                </c:pt>
                <c:pt idx="34">
                  <c:v>31.399319030864863</c:v>
                </c:pt>
                <c:pt idx="35">
                  <c:v>31.702106631984183</c:v>
                </c:pt>
                <c:pt idx="36">
                  <c:v>32.002800435490613</c:v>
                </c:pt>
                <c:pt idx="37">
                  <c:v>32.303185407678512</c:v>
                </c:pt>
                <c:pt idx="38">
                  <c:v>32.603454399607799</c:v>
                </c:pt>
                <c:pt idx="39">
                  <c:v>32.903799035379535</c:v>
                </c:pt>
                <c:pt idx="40">
                  <c:v>33.204410893413389</c:v>
                </c:pt>
                <c:pt idx="41">
                  <c:v>33.505481504909632</c:v>
                </c:pt>
                <c:pt idx="42">
                  <c:v>33.807202350858994</c:v>
                </c:pt>
                <c:pt idx="43">
                  <c:v>34.10976824945643</c:v>
                </c:pt>
                <c:pt idx="44">
                  <c:v>34.413372476124003</c:v>
                </c:pt>
                <c:pt idx="45">
                  <c:v>34.718206352707128</c:v>
                </c:pt>
                <c:pt idx="46">
                  <c:v>35.024461139815244</c:v>
                </c:pt>
                <c:pt idx="47">
                  <c:v>35.332328034778754</c:v>
                </c:pt>
                <c:pt idx="48">
                  <c:v>35.64199816679124</c:v>
                </c:pt>
                <c:pt idx="49">
                  <c:v>35.953662593622681</c:v>
                </c:pt>
                <c:pt idx="50">
                  <c:v>36.267655750861472</c:v>
                </c:pt>
                <c:pt idx="51">
                  <c:v>36.5839989218616</c:v>
                </c:pt>
                <c:pt idx="52">
                  <c:v>36.902407527202207</c:v>
                </c:pt>
                <c:pt idx="53">
                  <c:v>37.222594384506209</c:v>
                </c:pt>
                <c:pt idx="54">
                  <c:v>37.544272367237305</c:v>
                </c:pt>
                <c:pt idx="55">
                  <c:v>37.867154406151982</c:v>
                </c:pt>
                <c:pt idx="56">
                  <c:v>38.190953484364712</c:v>
                </c:pt>
                <c:pt idx="57">
                  <c:v>38.515380296120966</c:v>
                </c:pt>
                <c:pt idx="58">
                  <c:v>38.840144498319546</c:v>
                </c:pt>
                <c:pt idx="59">
                  <c:v>39.164959200763477</c:v>
                </c:pt>
                <c:pt idx="60">
                  <c:v>39.48953755332775</c:v>
                </c:pt>
                <c:pt idx="61">
                  <c:v>39.813592743297029</c:v>
                </c:pt>
                <c:pt idx="62">
                  <c:v>40.136837993369312</c:v>
                </c:pt>
                <c:pt idx="63">
                  <c:v>40.458986559458708</c:v>
                </c:pt>
                <c:pt idx="64">
                  <c:v>40.780882176728788</c:v>
                </c:pt>
                <c:pt idx="65">
                  <c:v>41.10342842959458</c:v>
                </c:pt>
                <c:pt idx="66">
                  <c:v>41.426427839991057</c:v>
                </c:pt>
                <c:pt idx="67">
                  <c:v>41.749688705090065</c:v>
                </c:pt>
                <c:pt idx="68">
                  <c:v>42.073019319260759</c:v>
                </c:pt>
                <c:pt idx="69">
                  <c:v>42.39622797412185</c:v>
                </c:pt>
                <c:pt idx="70">
                  <c:v>42.719122958741316</c:v>
                </c:pt>
                <c:pt idx="71">
                  <c:v>43.041512637183153</c:v>
                </c:pt>
                <c:pt idx="72">
                  <c:v>43.363207667880616</c:v>
                </c:pt>
                <c:pt idx="73">
                  <c:v>43.68401634668799</c:v>
                </c:pt>
                <c:pt idx="74">
                  <c:v>44.003746971931598</c:v>
                </c:pt>
                <c:pt idx="75">
                  <c:v>44.322207845811491</c:v>
                </c:pt>
                <c:pt idx="76">
                  <c:v>44.639207277727941</c:v>
                </c:pt>
                <c:pt idx="77">
                  <c:v>44.954553585202838</c:v>
                </c:pt>
                <c:pt idx="78">
                  <c:v>45.270599809860109</c:v>
                </c:pt>
                <c:pt idx="79">
                  <c:v>45.589189207231598</c:v>
                </c:pt>
                <c:pt idx="80">
                  <c:v>45.909369345869337</c:v>
                </c:pt>
                <c:pt idx="81">
                  <c:v>46.230184482538924</c:v>
                </c:pt>
                <c:pt idx="82">
                  <c:v>46.55067913900097</c:v>
                </c:pt>
                <c:pt idx="83">
                  <c:v>46.869898104972982</c:v>
                </c:pt>
                <c:pt idx="84">
                  <c:v>47.186886446327755</c:v>
                </c:pt>
                <c:pt idx="85">
                  <c:v>47.500689376325667</c:v>
                </c:pt>
                <c:pt idx="86">
                  <c:v>47.810352450333099</c:v>
                </c:pt>
                <c:pt idx="87">
                  <c:v>48.11492159931155</c:v>
                </c:pt>
                <c:pt idx="88">
                  <c:v>48.41344305985541</c:v>
                </c:pt>
                <c:pt idx="89">
                  <c:v>48.704963378162603</c:v>
                </c:pt>
                <c:pt idx="90">
                  <c:v>48.988529421767737</c:v>
                </c:pt>
                <c:pt idx="91">
                  <c:v>49.263188391822474</c:v>
                </c:pt>
                <c:pt idx="92">
                  <c:v>49.530577296053572</c:v>
                </c:pt>
                <c:pt idx="93">
                  <c:v>49.792904204111785</c:v>
                </c:pt>
                <c:pt idx="94">
                  <c:v>50.050073693149869</c:v>
                </c:pt>
                <c:pt idx="95">
                  <c:v>50.301990297816744</c:v>
                </c:pt>
                <c:pt idx="96">
                  <c:v>50.548558608544894</c:v>
                </c:pt>
                <c:pt idx="97">
                  <c:v>50.789683281687012</c:v>
                </c:pt>
                <c:pt idx="98">
                  <c:v>51.025269035783097</c:v>
                </c:pt>
                <c:pt idx="99">
                  <c:v>51.255219790677856</c:v>
                </c:pt>
                <c:pt idx="100">
                  <c:v>51.479440541149131</c:v>
                </c:pt>
                <c:pt idx="101">
                  <c:v>51.697836220414558</c:v>
                </c:pt>
                <c:pt idx="102">
                  <c:v>51.91031184395036</c:v>
                </c:pt>
                <c:pt idx="103">
                  <c:v>52.116772514328829</c:v>
                </c:pt>
                <c:pt idx="104">
                  <c:v>52.317123426879391</c:v>
                </c:pt>
                <c:pt idx="105">
                  <c:v>52.511269874197325</c:v>
                </c:pt>
                <c:pt idx="106">
                  <c:v>52.698736454301269</c:v>
                </c:pt>
                <c:pt idx="107">
                  <c:v>52.879300322833835</c:v>
                </c:pt>
                <c:pt idx="108">
                  <c:v>53.053248219118259</c:v>
                </c:pt>
                <c:pt idx="109">
                  <c:v>53.220866563530556</c:v>
                </c:pt>
                <c:pt idx="110">
                  <c:v>53.382441747922449</c:v>
                </c:pt>
                <c:pt idx="111">
                  <c:v>53.538260138608102</c:v>
                </c:pt>
                <c:pt idx="112">
                  <c:v>53.6886080737683</c:v>
                </c:pt>
                <c:pt idx="113">
                  <c:v>53.833769401880474</c:v>
                </c:pt>
                <c:pt idx="114">
                  <c:v>53.974031325397604</c:v>
                </c:pt>
                <c:pt idx="115">
                  <c:v>54.109680076356426</c:v>
                </c:pt>
                <c:pt idx="116">
                  <c:v>54.241001865057875</c:v>
                </c:pt>
                <c:pt idx="117">
                  <c:v>54.368282883643921</c:v>
                </c:pt>
                <c:pt idx="118">
                  <c:v>54.491809307756974</c:v>
                </c:pt>
                <c:pt idx="119">
                  <c:v>57.602529028308375</c:v>
                </c:pt>
                <c:pt idx="120">
                  <c:v>57.723888772122692</c:v>
                </c:pt>
                <c:pt idx="121">
                  <c:v>57.840157420636615</c:v>
                </c:pt>
                <c:pt idx="122">
                  <c:v>57.951438425550158</c:v>
                </c:pt>
                <c:pt idx="123">
                  <c:v>58.05783339313767</c:v>
                </c:pt>
                <c:pt idx="124">
                  <c:v>58.159443886133339</c:v>
                </c:pt>
                <c:pt idx="125">
                  <c:v>58.256371426839209</c:v>
                </c:pt>
                <c:pt idx="126">
                  <c:v>58.348717494456267</c:v>
                </c:pt>
                <c:pt idx="127">
                  <c:v>58.436591962604886</c:v>
                </c:pt>
                <c:pt idx="128">
                  <c:v>58.520099613331801</c:v>
                </c:pt>
                <c:pt idx="129">
                  <c:v>58.599342259375</c:v>
                </c:pt>
                <c:pt idx="130">
                  <c:v>58.67442169609992</c:v>
                </c:pt>
                <c:pt idx="131">
                  <c:v>58.745439713765805</c:v>
                </c:pt>
                <c:pt idx="132">
                  <c:v>58.81249808827009</c:v>
                </c:pt>
                <c:pt idx="133">
                  <c:v>58.875698589626779</c:v>
                </c:pt>
                <c:pt idx="134">
                  <c:v>58.934458973115859</c:v>
                </c:pt>
                <c:pt idx="135">
                  <c:v>58.988276589643498</c:v>
                </c:pt>
                <c:pt idx="136">
                  <c:v>59.037357372357647</c:v>
                </c:pt>
                <c:pt idx="137">
                  <c:v>59.08190421715063</c:v>
                </c:pt>
                <c:pt idx="138">
                  <c:v>59.122119991690518</c:v>
                </c:pt>
                <c:pt idx="139">
                  <c:v>59.158207526631188</c:v>
                </c:pt>
                <c:pt idx="140">
                  <c:v>59.190369619366393</c:v>
                </c:pt>
                <c:pt idx="141">
                  <c:v>59.218804659243865</c:v>
                </c:pt>
                <c:pt idx="142">
                  <c:v>59.243704931581995</c:v>
                </c:pt>
                <c:pt idx="143">
                  <c:v>59.265272513357083</c:v>
                </c:pt>
                <c:pt idx="144">
                  <c:v>59.283709401413148</c:v>
                </c:pt>
                <c:pt idx="145">
                  <c:v>59.299217527989889</c:v>
                </c:pt>
                <c:pt idx="146">
                  <c:v>59.311998756378202</c:v>
                </c:pt>
                <c:pt idx="147">
                  <c:v>59.322254877828847</c:v>
                </c:pt>
                <c:pt idx="148">
                  <c:v>59.329904492224323</c:v>
                </c:pt>
                <c:pt idx="149">
                  <c:v>59.334658254455526</c:v>
                </c:pt>
                <c:pt idx="150">
                  <c:v>59.336402633298057</c:v>
                </c:pt>
                <c:pt idx="151">
                  <c:v>59.335038898595037</c:v>
                </c:pt>
                <c:pt idx="152">
                  <c:v>59.330468373126131</c:v>
                </c:pt>
                <c:pt idx="153">
                  <c:v>59.322592430519059</c:v>
                </c:pt>
                <c:pt idx="154">
                  <c:v>59.311312497061934</c:v>
                </c:pt>
                <c:pt idx="155">
                  <c:v>59.296529043972619</c:v>
                </c:pt>
                <c:pt idx="156">
                  <c:v>59.278148885031953</c:v>
                </c:pt>
                <c:pt idx="157">
                  <c:v>59.256073753958802</c:v>
                </c:pt>
                <c:pt idx="158">
                  <c:v>59.230205431000726</c:v>
                </c:pt>
                <c:pt idx="159">
                  <c:v>59.200445740836336</c:v>
                </c:pt>
                <c:pt idx="160">
                  <c:v>59.166696551249252</c:v>
                </c:pt>
                <c:pt idx="161">
                  <c:v>59.128859776735105</c:v>
                </c:pt>
                <c:pt idx="162">
                  <c:v>59.086222239780973</c:v>
                </c:pt>
                <c:pt idx="163">
                  <c:v>59.038403806729157</c:v>
                </c:pt>
                <c:pt idx="164">
                  <c:v>58.9858153146821</c:v>
                </c:pt>
                <c:pt idx="165">
                  <c:v>58.928857869472331</c:v>
                </c:pt>
                <c:pt idx="166">
                  <c:v>58.867932358974997</c:v>
                </c:pt>
                <c:pt idx="167">
                  <c:v>58.803439450552084</c:v>
                </c:pt>
                <c:pt idx="168">
                  <c:v>58.735779590696211</c:v>
                </c:pt>
                <c:pt idx="169">
                  <c:v>58.6653532548589</c:v>
                </c:pt>
                <c:pt idx="170">
                  <c:v>58.592561632657038</c:v>
                </c:pt>
                <c:pt idx="171">
                  <c:v>58.517804537586109</c:v>
                </c:pt>
                <c:pt idx="172">
                  <c:v>58.441481555102357</c:v>
                </c:pt>
                <c:pt idx="173">
                  <c:v>58.363992051430536</c:v>
                </c:pt>
                <c:pt idx="174">
                  <c:v>58.285735167598055</c:v>
                </c:pt>
                <c:pt idx="175">
                  <c:v>58.207109805183137</c:v>
                </c:pt>
                <c:pt idx="176">
                  <c:v>58.127518848895264</c:v>
                </c:pt>
                <c:pt idx="177">
                  <c:v>58.046098666682703</c:v>
                </c:pt>
                <c:pt idx="178">
                  <c:v>57.962849778061056</c:v>
                </c:pt>
                <c:pt idx="179">
                  <c:v>57.877772933584147</c:v>
                </c:pt>
                <c:pt idx="180">
                  <c:v>57.790868851306932</c:v>
                </c:pt>
                <c:pt idx="181">
                  <c:v>57.702138217518637</c:v>
                </c:pt>
                <c:pt idx="182">
                  <c:v>57.611581683978798</c:v>
                </c:pt>
                <c:pt idx="183">
                  <c:v>57.519188286259727</c:v>
                </c:pt>
                <c:pt idx="184">
                  <c:v>57.424958115622118</c:v>
                </c:pt>
                <c:pt idx="185">
                  <c:v>57.328891528779842</c:v>
                </c:pt>
                <c:pt idx="186">
                  <c:v>57.230988869162431</c:v>
                </c:pt>
                <c:pt idx="187">
                  <c:v>57.131250466302731</c:v>
                </c:pt>
                <c:pt idx="188">
                  <c:v>57.029676641582888</c:v>
                </c:pt>
                <c:pt idx="189">
                  <c:v>56.926267704111673</c:v>
                </c:pt>
                <c:pt idx="190">
                  <c:v>56.820808566564295</c:v>
                </c:pt>
                <c:pt idx="191">
                  <c:v>56.71314331514337</c:v>
                </c:pt>
                <c:pt idx="192">
                  <c:v>56.603373041845515</c:v>
                </c:pt>
                <c:pt idx="193">
                  <c:v>56.491597433932881</c:v>
                </c:pt>
                <c:pt idx="194">
                  <c:v>56.377916134861628</c:v>
                </c:pt>
                <c:pt idx="195">
                  <c:v>56.262428747784817</c:v>
                </c:pt>
                <c:pt idx="196">
                  <c:v>56.14523483404848</c:v>
                </c:pt>
                <c:pt idx="197">
                  <c:v>56.026456841751752</c:v>
                </c:pt>
                <c:pt idx="198">
                  <c:v>55.906206916889616</c:v>
                </c:pt>
                <c:pt idx="199">
                  <c:v>55.784584844888862</c:v>
                </c:pt>
                <c:pt idx="200">
                  <c:v>55.661690348354632</c:v>
                </c:pt>
                <c:pt idx="201">
                  <c:v>55.537623089524764</c:v>
                </c:pt>
                <c:pt idx="202">
                  <c:v>55.41248267345798</c:v>
                </c:pt>
                <c:pt idx="203">
                  <c:v>55.2863686514143</c:v>
                </c:pt>
                <c:pt idx="204">
                  <c:v>55.159132410138007</c:v>
                </c:pt>
                <c:pt idx="205">
                  <c:v>55.030576715340125</c:v>
                </c:pt>
                <c:pt idx="206">
                  <c:v>54.900709622421672</c:v>
                </c:pt>
                <c:pt idx="207">
                  <c:v>54.769531676951594</c:v>
                </c:pt>
                <c:pt idx="208">
                  <c:v>54.63704341168107</c:v>
                </c:pt>
                <c:pt idx="209">
                  <c:v>54.50324535010467</c:v>
                </c:pt>
                <c:pt idx="210">
                  <c:v>54.368138007823127</c:v>
                </c:pt>
                <c:pt idx="211">
                  <c:v>54.23171603494189</c:v>
                </c:pt>
                <c:pt idx="212">
                  <c:v>54.093956091336565</c:v>
                </c:pt>
                <c:pt idx="213">
                  <c:v>53.954858527266971</c:v>
                </c:pt>
                <c:pt idx="214">
                  <c:v>53.814423704133802</c:v>
                </c:pt>
                <c:pt idx="215">
                  <c:v>53.672651995436894</c:v>
                </c:pt>
                <c:pt idx="216">
                  <c:v>53.529543785912509</c:v>
                </c:pt>
                <c:pt idx="217">
                  <c:v>53.38509947187265</c:v>
                </c:pt>
                <c:pt idx="218">
                  <c:v>53.239534148874171</c:v>
                </c:pt>
                <c:pt idx="219">
                  <c:v>53.09299034083233</c:v>
                </c:pt>
                <c:pt idx="220">
                  <c:v>52.945351335112612</c:v>
                </c:pt>
                <c:pt idx="221">
                  <c:v>52.79651834321411</c:v>
                </c:pt>
                <c:pt idx="222">
                  <c:v>52.646392641075202</c:v>
                </c:pt>
                <c:pt idx="223">
                  <c:v>52.494875565945115</c:v>
                </c:pt>
                <c:pt idx="224">
                  <c:v>52.341868515783666</c:v>
                </c:pt>
                <c:pt idx="225">
                  <c:v>52.187268733904901</c:v>
                </c:pt>
                <c:pt idx="226">
                  <c:v>52.03098369919671</c:v>
                </c:pt>
                <c:pt idx="227">
                  <c:v>51.872914991107287</c:v>
                </c:pt>
                <c:pt idx="228">
                  <c:v>51.712964244223102</c:v>
                </c:pt>
                <c:pt idx="229">
                  <c:v>51.551033148666761</c:v>
                </c:pt>
                <c:pt idx="230">
                  <c:v>51.387023449396395</c:v>
                </c:pt>
                <c:pt idx="231">
                  <c:v>51.220836942268406</c:v>
                </c:pt>
                <c:pt idx="232">
                  <c:v>51.054337572030121</c:v>
                </c:pt>
                <c:pt idx="233">
                  <c:v>50.888924284849061</c:v>
                </c:pt>
                <c:pt idx="234">
                  <c:v>50.72381201928745</c:v>
                </c:pt>
                <c:pt idx="235">
                  <c:v>50.558209578614594</c:v>
                </c:pt>
                <c:pt idx="236">
                  <c:v>50.391326130832354</c:v>
                </c:pt>
                <c:pt idx="237">
                  <c:v>50.222371205674342</c:v>
                </c:pt>
                <c:pt idx="238">
                  <c:v>50.05055469394248</c:v>
                </c:pt>
                <c:pt idx="239">
                  <c:v>49.875086038522255</c:v>
                </c:pt>
                <c:pt idx="240">
                  <c:v>49.695180088092357</c:v>
                </c:pt>
                <c:pt idx="241">
                  <c:v>49.510047806793807</c:v>
                </c:pt>
                <c:pt idx="242">
                  <c:v>49.318900514440607</c:v>
                </c:pt>
                <c:pt idx="243">
                  <c:v>49.120949882140216</c:v>
                </c:pt>
                <c:pt idx="244">
                  <c:v>48.915407934731725</c:v>
                </c:pt>
                <c:pt idx="245">
                  <c:v>48.701487042537451</c:v>
                </c:pt>
                <c:pt idx="246">
                  <c:v>48.479519372066527</c:v>
                </c:pt>
                <c:pt idx="247">
                  <c:v>48.250626620382988</c:v>
                </c:pt>
                <c:pt idx="248">
                  <c:v>48.015208770929853</c:v>
                </c:pt>
                <c:pt idx="249">
                  <c:v>47.773663080279199</c:v>
                </c:pt>
                <c:pt idx="250">
                  <c:v>47.526386634203568</c:v>
                </c:pt>
                <c:pt idx="251">
                  <c:v>47.273776339559227</c:v>
                </c:pt>
                <c:pt idx="252">
                  <c:v>47.016228933493764</c:v>
                </c:pt>
                <c:pt idx="253">
                  <c:v>46.754140686361126</c:v>
                </c:pt>
                <c:pt idx="254">
                  <c:v>46.48790879039926</c:v>
                </c:pt>
                <c:pt idx="255">
                  <c:v>46.217929459207298</c:v>
                </c:pt>
                <c:pt idx="256">
                  <c:v>45.944598734456044</c:v>
                </c:pt>
                <c:pt idx="257">
                  <c:v>45.668312485355393</c:v>
                </c:pt>
                <c:pt idx="258">
                  <c:v>45.389466408812687</c:v>
                </c:pt>
                <c:pt idx="259">
                  <c:v>45.108456029596134</c:v>
                </c:pt>
                <c:pt idx="260">
                  <c:v>44.822981003027664</c:v>
                </c:pt>
                <c:pt idx="261">
                  <c:v>44.531005176544483</c:v>
                </c:pt>
                <c:pt idx="262">
                  <c:v>44.233320021964779</c:v>
                </c:pt>
                <c:pt idx="263">
                  <c:v>43.930716243737606</c:v>
                </c:pt>
                <c:pt idx="264">
                  <c:v>43.623984198296363</c:v>
                </c:pt>
                <c:pt idx="265">
                  <c:v>43.313913890217279</c:v>
                </c:pt>
                <c:pt idx="266">
                  <c:v>43.00129497364113</c:v>
                </c:pt>
                <c:pt idx="267">
                  <c:v>42.68690580294907</c:v>
                </c:pt>
                <c:pt idx="268">
                  <c:v>42.37153568668937</c:v>
                </c:pt>
                <c:pt idx="269">
                  <c:v>42.055973309054416</c:v>
                </c:pt>
                <c:pt idx="270">
                  <c:v>41.74100701330461</c:v>
                </c:pt>
                <c:pt idx="271">
                  <c:v>41.427424803775196</c:v>
                </c:pt>
                <c:pt idx="272">
                  <c:v>41.116014346919563</c:v>
                </c:pt>
                <c:pt idx="273">
                  <c:v>40.807562972732327</c:v>
                </c:pt>
                <c:pt idx="274">
                  <c:v>40.500888115892657</c:v>
                </c:pt>
                <c:pt idx="275">
                  <c:v>40.194275332482952</c:v>
                </c:pt>
                <c:pt idx="276">
                  <c:v>39.887724484480614</c:v>
                </c:pt>
                <c:pt idx="277">
                  <c:v>39.581235654313403</c:v>
                </c:pt>
                <c:pt idx="278">
                  <c:v>39.274808906989783</c:v>
                </c:pt>
                <c:pt idx="279">
                  <c:v>38.968444288574545</c:v>
                </c:pt>
                <c:pt idx="280">
                  <c:v>38.662141824702111</c:v>
                </c:pt>
                <c:pt idx="281">
                  <c:v>38.355918834567007</c:v>
                </c:pt>
                <c:pt idx="282">
                  <c:v>38.049785563331312</c:v>
                </c:pt>
                <c:pt idx="283">
                  <c:v>37.743741617283227</c:v>
                </c:pt>
                <c:pt idx="284">
                  <c:v>37.437786554044955</c:v>
                </c:pt>
                <c:pt idx="285">
                  <c:v>37.131919881717074</c:v>
                </c:pt>
                <c:pt idx="286">
                  <c:v>36.826141058331643</c:v>
                </c:pt>
                <c:pt idx="287">
                  <c:v>36.520449491650446</c:v>
                </c:pt>
                <c:pt idx="288">
                  <c:v>36.213992251095519</c:v>
                </c:pt>
                <c:pt idx="289">
                  <c:v>35.90618881991076</c:v>
                </c:pt>
                <c:pt idx="290">
                  <c:v>35.59743875896821</c:v>
                </c:pt>
                <c:pt idx="291">
                  <c:v>35.288134555120934</c:v>
                </c:pt>
                <c:pt idx="292">
                  <c:v>34.978668484936591</c:v>
                </c:pt>
                <c:pt idx="293">
                  <c:v>34.669432620416814</c:v>
                </c:pt>
                <c:pt idx="294">
                  <c:v>34.360818831868244</c:v>
                </c:pt>
                <c:pt idx="295">
                  <c:v>34.053211262402343</c:v>
                </c:pt>
                <c:pt idx="296">
                  <c:v>33.746985459300362</c:v>
                </c:pt>
                <c:pt idx="297">
                  <c:v>33.44253315235747</c:v>
                </c:pt>
                <c:pt idx="298">
                  <c:v>33.140245928020029</c:v>
                </c:pt>
                <c:pt idx="299">
                  <c:v>32.840515213567564</c:v>
                </c:pt>
                <c:pt idx="300">
                  <c:v>32.543732282015284</c:v>
                </c:pt>
                <c:pt idx="301">
                  <c:v>32.250288254958924</c:v>
                </c:pt>
                <c:pt idx="302">
                  <c:v>31.958740815697499</c:v>
                </c:pt>
                <c:pt idx="303">
                  <c:v>31.667643076179441</c:v>
                </c:pt>
                <c:pt idx="304">
                  <c:v>31.377377799131089</c:v>
                </c:pt>
                <c:pt idx="305">
                  <c:v>31.088336839400768</c:v>
                </c:pt>
                <c:pt idx="306">
                  <c:v>30.800911917685781</c:v>
                </c:pt>
                <c:pt idx="307">
                  <c:v>30.515494629495951</c:v>
                </c:pt>
                <c:pt idx="308">
                  <c:v>30.232476440406334</c:v>
                </c:pt>
                <c:pt idx="309">
                  <c:v>29.952245636917915</c:v>
                </c:pt>
                <c:pt idx="310">
                  <c:v>29.675200312226792</c:v>
                </c:pt>
                <c:pt idx="311">
                  <c:v>29.401731492983632</c:v>
                </c:pt>
                <c:pt idx="312">
                  <c:v>29.132230086986112</c:v>
                </c:pt>
                <c:pt idx="313">
                  <c:v>28.867086890229547</c:v>
                </c:pt>
                <c:pt idx="314">
                  <c:v>28.606692585326684</c:v>
                </c:pt>
                <c:pt idx="315">
                  <c:v>28.351437746785951</c:v>
                </c:pt>
                <c:pt idx="316">
                  <c:v>28.100519428165207</c:v>
                </c:pt>
                <c:pt idx="317">
                  <c:v>27.852936896242074</c:v>
                </c:pt>
                <c:pt idx="318">
                  <c:v>27.608791507067988</c:v>
                </c:pt>
                <c:pt idx="319">
                  <c:v>27.368179940243134</c:v>
                </c:pt>
                <c:pt idx="320">
                  <c:v>27.13119887250944</c:v>
                </c:pt>
                <c:pt idx="321">
                  <c:v>26.897944987308446</c:v>
                </c:pt>
                <c:pt idx="322">
                  <c:v>26.668514965786699</c:v>
                </c:pt>
                <c:pt idx="323">
                  <c:v>26.443010736235461</c:v>
                </c:pt>
                <c:pt idx="324">
                  <c:v>26.221531650697976</c:v>
                </c:pt>
                <c:pt idx="325">
                  <c:v>26.00417425973734</c:v>
                </c:pt>
                <c:pt idx="326">
                  <c:v>25.791035139068292</c:v>
                </c:pt>
                <c:pt idx="327">
                  <c:v>25.582210863862748</c:v>
                </c:pt>
                <c:pt idx="328">
                  <c:v>25.377798004392094</c:v>
                </c:pt>
                <c:pt idx="329">
                  <c:v>25.177893138650813</c:v>
                </c:pt>
                <c:pt idx="330">
                  <c:v>24.97937640743945</c:v>
                </c:pt>
                <c:pt idx="331">
                  <c:v>24.779982118851727</c:v>
                </c:pt>
                <c:pt idx="332">
                  <c:v>24.58108343925317</c:v>
                </c:pt>
                <c:pt idx="333">
                  <c:v>24.384051255417827</c:v>
                </c:pt>
                <c:pt idx="334">
                  <c:v>24.190255995141943</c:v>
                </c:pt>
                <c:pt idx="335">
                  <c:v>24.001067606779284</c:v>
                </c:pt>
                <c:pt idx="336">
                  <c:v>23.817855564293144</c:v>
                </c:pt>
                <c:pt idx="337">
                  <c:v>23.641987495359302</c:v>
                </c:pt>
                <c:pt idx="338">
                  <c:v>23.474827051053229</c:v>
                </c:pt>
                <c:pt idx="339">
                  <c:v>23.317742302997097</c:v>
                </c:pt>
                <c:pt idx="340">
                  <c:v>23.172100803396457</c:v>
                </c:pt>
                <c:pt idx="341">
                  <c:v>23.039269589182638</c:v>
                </c:pt>
                <c:pt idx="342">
                  <c:v>22.920615172707386</c:v>
                </c:pt>
                <c:pt idx="343">
                  <c:v>22.817503536370591</c:v>
                </c:pt>
                <c:pt idx="344">
                  <c:v>22.727361921859082</c:v>
                </c:pt>
                <c:pt idx="345">
                  <c:v>22.646863718081139</c:v>
                </c:pt>
                <c:pt idx="346">
                  <c:v>22.576239631883794</c:v>
                </c:pt>
                <c:pt idx="347">
                  <c:v>22.515724337850617</c:v>
                </c:pt>
                <c:pt idx="348">
                  <c:v>22.465552405434128</c:v>
                </c:pt>
                <c:pt idx="349">
                  <c:v>22.425958310119739</c:v>
                </c:pt>
                <c:pt idx="350">
                  <c:v>22.397176421583016</c:v>
                </c:pt>
                <c:pt idx="351">
                  <c:v>22.379440791729103</c:v>
                </c:pt>
                <c:pt idx="352">
                  <c:v>22.372986900616997</c:v>
                </c:pt>
                <c:pt idx="353">
                  <c:v>22.378048792719941</c:v>
                </c:pt>
                <c:pt idx="354">
                  <c:v>22.394860418236618</c:v>
                </c:pt>
                <c:pt idx="355">
                  <c:v>22.423655620024356</c:v>
                </c:pt>
                <c:pt idx="356">
                  <c:v>22.464668141344855</c:v>
                </c:pt>
                <c:pt idx="357">
                  <c:v>22.518131598553556</c:v>
                </c:pt>
                <c:pt idx="358">
                  <c:v>22.586289229658036</c:v>
                </c:pt>
                <c:pt idx="359">
                  <c:v>22.670482043997069</c:v>
                </c:pt>
                <c:pt idx="360">
                  <c:v>22.769589276394445</c:v>
                </c:pt>
                <c:pt idx="361">
                  <c:v>22.882492107594317</c:v>
                </c:pt>
                <c:pt idx="362">
                  <c:v>23.008071928438287</c:v>
                </c:pt>
                <c:pt idx="363">
                  <c:v>23.145210570375852</c:v>
                </c:pt>
                <c:pt idx="364">
                  <c:v>23.292790285397551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21.934015533523219</c:v>
                </c:pt>
                <c:pt idx="1">
                  <c:v>15.771426930169728</c:v>
                </c:pt>
                <c:pt idx="2">
                  <c:v>16.972107846887059</c:v>
                </c:pt>
                <c:pt idx="3">
                  <c:v>17.933087724531692</c:v>
                </c:pt>
                <c:pt idx="4">
                  <c:v>14.277921971341483</c:v>
                </c:pt>
                <c:pt idx="5">
                  <c:v>20.58939024511232</c:v>
                </c:pt>
                <c:pt idx="6">
                  <c:v>10.529347710206013</c:v>
                </c:pt>
                <c:pt idx="7">
                  <c:v>7.3864782334234933</c:v>
                </c:pt>
                <c:pt idx="8">
                  <c:v>2.1802891313174109</c:v>
                </c:pt>
                <c:pt idx="9">
                  <c:v>1.6923364315875087</c:v>
                </c:pt>
                <c:pt idx="10">
                  <c:v>24.38855962398905</c:v>
                </c:pt>
                <c:pt idx="11">
                  <c:v>20.808655901056206</c:v>
                </c:pt>
                <c:pt idx="12">
                  <c:v>5.0110700606092591</c:v>
                </c:pt>
                <c:pt idx="13">
                  <c:v>24.774260557415946</c:v>
                </c:pt>
                <c:pt idx="14">
                  <c:v>26.326199007092811</c:v>
                </c:pt>
                <c:pt idx="15">
                  <c:v>25.856307446620985</c:v>
                </c:pt>
                <c:pt idx="16">
                  <c:v>13.235477193310127</c:v>
                </c:pt>
                <c:pt idx="17">
                  <c:v>3.4943684816888467</c:v>
                </c:pt>
                <c:pt idx="18">
                  <c:v>10.107487279337047</c:v>
                </c:pt>
                <c:pt idx="19">
                  <c:v>6.3582762277768996</c:v>
                </c:pt>
                <c:pt idx="20">
                  <c:v>20.309593954538276</c:v>
                </c:pt>
                <c:pt idx="21">
                  <c:v>27.403372665317601</c:v>
                </c:pt>
                <c:pt idx="22">
                  <c:v>27.466757707478166</c:v>
                </c:pt>
                <c:pt idx="23">
                  <c:v>28.084238326930787</c:v>
                </c:pt>
                <c:pt idx="24">
                  <c:v>26.746812872994006</c:v>
                </c:pt>
                <c:pt idx="25">
                  <c:v>27.701302133015634</c:v>
                </c:pt>
                <c:pt idx="26">
                  <c:v>25.809768500008335</c:v>
                </c:pt>
                <c:pt idx="27">
                  <c:v>4.2157535905136889</c:v>
                </c:pt>
                <c:pt idx="28">
                  <c:v>9.2443213386318988</c:v>
                </c:pt>
                <c:pt idx="29">
                  <c:v>4.3970531083125186</c:v>
                </c:pt>
                <c:pt idx="30">
                  <c:v>8.9933499556638985</c:v>
                </c:pt>
                <c:pt idx="31">
                  <c:v>13.056361338219405</c:v>
                </c:pt>
                <c:pt idx="32">
                  <c:v>5.2449622063808192</c:v>
                </c:pt>
                <c:pt idx="33">
                  <c:v>9.88601908092412</c:v>
                </c:pt>
                <c:pt idx="34">
                  <c:v>9.7890490638835033</c:v>
                </c:pt>
                <c:pt idx="35">
                  <c:v>9.4711585451452205</c:v>
                </c:pt>
                <c:pt idx="36">
                  <c:v>21.668521322718458</c:v>
                </c:pt>
                <c:pt idx="37">
                  <c:v>9.2979675240578956</c:v>
                </c:pt>
                <c:pt idx="38">
                  <c:v>32.590087265402168</c:v>
                </c:pt>
                <c:pt idx="39">
                  <c:v>32.80442752377531</c:v>
                </c:pt>
                <c:pt idx="40">
                  <c:v>30.4958091755562</c:v>
                </c:pt>
                <c:pt idx="41">
                  <c:v>17.024039127116509</c:v>
                </c:pt>
                <c:pt idx="42">
                  <c:v>25.864027411641317</c:v>
                </c:pt>
                <c:pt idx="43">
                  <c:v>30.574134360922184</c:v>
                </c:pt>
                <c:pt idx="44">
                  <c:v>14.97449797607767</c:v>
                </c:pt>
                <c:pt idx="45">
                  <c:v>18.827089255763667</c:v>
                </c:pt>
                <c:pt idx="46">
                  <c:v>9.8624444739511414</c:v>
                </c:pt>
                <c:pt idx="47">
                  <c:v>10.670265365955562</c:v>
                </c:pt>
                <c:pt idx="48">
                  <c:v>27.173349766840914</c:v>
                </c:pt>
                <c:pt idx="49">
                  <c:v>19.692872241159083</c:v>
                </c:pt>
                <c:pt idx="50">
                  <c:v>18.783964770187001</c:v>
                </c:pt>
                <c:pt idx="51">
                  <c:v>20.765370276400784</c:v>
                </c:pt>
                <c:pt idx="52">
                  <c:v>32.095609653844683</c:v>
                </c:pt>
                <c:pt idx="53">
                  <c:v>33.209475017345632</c:v>
                </c:pt>
                <c:pt idx="54">
                  <c:v>20.41701425363544</c:v>
                </c:pt>
                <c:pt idx="55">
                  <c:v>29.737114426884112</c:v>
                </c:pt>
                <c:pt idx="56">
                  <c:v>38.295906042382043</c:v>
                </c:pt>
                <c:pt idx="57">
                  <c:v>26.688437491497183</c:v>
                </c:pt>
                <c:pt idx="58">
                  <c:v>32.978702790567304</c:v>
                </c:pt>
                <c:pt idx="59">
                  <c:v>38.282921830198113</c:v>
                </c:pt>
                <c:pt idx="60">
                  <c:v>10.542535198991324</c:v>
                </c:pt>
                <c:pt idx="61">
                  <c:v>33.977405441007477</c:v>
                </c:pt>
                <c:pt idx="62">
                  <c:v>3.9080704073154227</c:v>
                </c:pt>
                <c:pt idx="63">
                  <c:v>12.937774055283377</c:v>
                </c:pt>
                <c:pt idx="64">
                  <c:v>15.458229747790861</c:v>
                </c:pt>
                <c:pt idx="65">
                  <c:v>36.105938024209337</c:v>
                </c:pt>
                <c:pt idx="66">
                  <c:v>31.203247986471546</c:v>
                </c:pt>
                <c:pt idx="67">
                  <c:v>27.842568101238616</c:v>
                </c:pt>
                <c:pt idx="68">
                  <c:v>24.186882794057389</c:v>
                </c:pt>
                <c:pt idx="69">
                  <c:v>15.347476867556152</c:v>
                </c:pt>
                <c:pt idx="70">
                  <c:v>14.260030916541183</c:v>
                </c:pt>
                <c:pt idx="71">
                  <c:v>9.679520105022549</c:v>
                </c:pt>
                <c:pt idx="72">
                  <c:v>13.94875125872724</c:v>
                </c:pt>
                <c:pt idx="73">
                  <c:v>13.971743415275633</c:v>
                </c:pt>
                <c:pt idx="74">
                  <c:v>12.593097050177393</c:v>
                </c:pt>
                <c:pt idx="75">
                  <c:v>10.505520115676246</c:v>
                </c:pt>
                <c:pt idx="76">
                  <c:v>14.006750993230618</c:v>
                </c:pt>
                <c:pt idx="77">
                  <c:v>28.425356827747049</c:v>
                </c:pt>
                <c:pt idx="78">
                  <c:v>29.35901732338629</c:v>
                </c:pt>
                <c:pt idx="79">
                  <c:v>42.807035375374419</c:v>
                </c:pt>
                <c:pt idx="80">
                  <c:v>40.280454612802075</c:v>
                </c:pt>
                <c:pt idx="81">
                  <c:v>46.218050908429099</c:v>
                </c:pt>
                <c:pt idx="82">
                  <c:v>45.228563975717854</c:v>
                </c:pt>
                <c:pt idx="83">
                  <c:v>39.618119187623705</c:v>
                </c:pt>
                <c:pt idx="84">
                  <c:v>44.588129345329797</c:v>
                </c:pt>
                <c:pt idx="85">
                  <c:v>43.431213522466166</c:v>
                </c:pt>
                <c:pt idx="86">
                  <c:v>34.004498581486274</c:v>
                </c:pt>
                <c:pt idx="87">
                  <c:v>26.782085985992929</c:v>
                </c:pt>
                <c:pt idx="88">
                  <c:v>7.5317465374597559</c:v>
                </c:pt>
                <c:pt idx="89">
                  <c:v>27.447257867030714</c:v>
                </c:pt>
                <c:pt idx="90">
                  <c:v>30.036857555112345</c:v>
                </c:pt>
                <c:pt idx="91">
                  <c:v>20.477071555573406</c:v>
                </c:pt>
                <c:pt idx="92">
                  <c:v>22.184382396660958</c:v>
                </c:pt>
                <c:pt idx="93">
                  <c:v>46.654494956286989</c:v>
                </c:pt>
                <c:pt idx="94">
                  <c:v>49.589981064726473</c:v>
                </c:pt>
                <c:pt idx="95">
                  <c:v>10.863714026197158</c:v>
                </c:pt>
                <c:pt idx="96">
                  <c:v>37.135951103064698</c:v>
                </c:pt>
                <c:pt idx="97">
                  <c:v>30.58975449662509</c:v>
                </c:pt>
                <c:pt idx="98">
                  <c:v>34.060374147103374</c:v>
                </c:pt>
                <c:pt idx="99">
                  <c:v>51.288984414386505</c:v>
                </c:pt>
                <c:pt idx="100">
                  <c:v>43.069552842912685</c:v>
                </c:pt>
                <c:pt idx="101">
                  <c:v>34.928220484717407</c:v>
                </c:pt>
                <c:pt idx="102">
                  <c:v>7.0037782098848487</c:v>
                </c:pt>
                <c:pt idx="103">
                  <c:v>37.859111873022343</c:v>
                </c:pt>
                <c:pt idx="104">
                  <c:v>43.386644853935749</c:v>
                </c:pt>
                <c:pt idx="105">
                  <c:v>41.865702315416016</c:v>
                </c:pt>
                <c:pt idx="106">
                  <c:v>51.136494379437771</c:v>
                </c:pt>
                <c:pt idx="107">
                  <c:v>35.371904306485455</c:v>
                </c:pt>
                <c:pt idx="108">
                  <c:v>8.455805960547206</c:v>
                </c:pt>
                <c:pt idx="109">
                  <c:v>9.6762864388474146</c:v>
                </c:pt>
                <c:pt idx="110">
                  <c:v>8.9443018962454044</c:v>
                </c:pt>
                <c:pt idx="111">
                  <c:v>26.176005168492182</c:v>
                </c:pt>
                <c:pt idx="112">
                  <c:v>9.0572600668133028</c:v>
                </c:pt>
                <c:pt idx="113">
                  <c:v>28.739007903979196</c:v>
                </c:pt>
                <c:pt idx="114">
                  <c:v>44.225776869845404</c:v>
                </c:pt>
                <c:pt idx="115">
                  <c:v>51.485077118817564</c:v>
                </c:pt>
                <c:pt idx="116">
                  <c:v>38.781836017274664</c:v>
                </c:pt>
                <c:pt idx="117">
                  <c:v>19.303803259151717</c:v>
                </c:pt>
                <c:pt idx="118">
                  <c:v>38.845885753846431</c:v>
                </c:pt>
                <c:pt idx="119">
                  <c:v>43.552788161768468</c:v>
                </c:pt>
                <c:pt idx="120">
                  <c:v>47.202588906795981</c:v>
                </c:pt>
                <c:pt idx="121">
                  <c:v>30.343816229572639</c:v>
                </c:pt>
                <c:pt idx="122">
                  <c:v>36.154307789189509</c:v>
                </c:pt>
                <c:pt idx="123">
                  <c:v>20.054808377605404</c:v>
                </c:pt>
                <c:pt idx="124">
                  <c:v>42.035064854424327</c:v>
                </c:pt>
                <c:pt idx="125">
                  <c:v>38.45352706846198</c:v>
                </c:pt>
                <c:pt idx="126">
                  <c:v>52.286480288346006</c:v>
                </c:pt>
                <c:pt idx="127">
                  <c:v>49.75894631886721</c:v>
                </c:pt>
                <c:pt idx="128">
                  <c:v>52.068892367250491</c:v>
                </c:pt>
                <c:pt idx="129">
                  <c:v>51.735055831582827</c:v>
                </c:pt>
                <c:pt idx="130">
                  <c:v>55.844601133689423</c:v>
                </c:pt>
                <c:pt idx="131">
                  <c:v>40.71838347635817</c:v>
                </c:pt>
                <c:pt idx="132">
                  <c:v>41.417471796628405</c:v>
                </c:pt>
                <c:pt idx="133">
                  <c:v>50.10932308375456</c:v>
                </c:pt>
                <c:pt idx="134">
                  <c:v>53.01336153469029</c:v>
                </c:pt>
                <c:pt idx="135">
                  <c:v>50.532599815795109</c:v>
                </c:pt>
                <c:pt idx="136">
                  <c:v>53.810930918851817</c:v>
                </c:pt>
                <c:pt idx="137">
                  <c:v>51.764232056149446</c:v>
                </c:pt>
                <c:pt idx="138">
                  <c:v>54.634300810109529</c:v>
                </c:pt>
                <c:pt idx="139">
                  <c:v>49.496212411625017</c:v>
                </c:pt>
                <c:pt idx="140">
                  <c:v>49.412665888828883</c:v>
                </c:pt>
                <c:pt idx="141">
                  <c:v>37.397066550639209</c:v>
                </c:pt>
                <c:pt idx="142">
                  <c:v>19.497148849563015</c:v>
                </c:pt>
                <c:pt idx="143">
                  <c:v>16.904980135440621</c:v>
                </c:pt>
                <c:pt idx="144">
                  <c:v>39.649369270470835</c:v>
                </c:pt>
                <c:pt idx="145">
                  <c:v>24.041018149570714</c:v>
                </c:pt>
                <c:pt idx="146">
                  <c:v>44.718260562925401</c:v>
                </c:pt>
                <c:pt idx="147">
                  <c:v>53.880552135634716</c:v>
                </c:pt>
                <c:pt idx="148">
                  <c:v>58.071884056110079</c:v>
                </c:pt>
                <c:pt idx="149">
                  <c:v>49.451601537461876</c:v>
                </c:pt>
                <c:pt idx="150">
                  <c:v>52.515976434680752</c:v>
                </c:pt>
                <c:pt idx="151">
                  <c:v>54.863672231054359</c:v>
                </c:pt>
                <c:pt idx="152">
                  <c:v>44.072406226692031</c:v>
                </c:pt>
                <c:pt idx="153">
                  <c:v>53.709793682774361</c:v>
                </c:pt>
                <c:pt idx="154">
                  <c:v>24.253662486191477</c:v>
                </c:pt>
                <c:pt idx="155">
                  <c:v>33.456859530098853</c:v>
                </c:pt>
                <c:pt idx="156">
                  <c:v>47.118929666533134</c:v>
                </c:pt>
                <c:pt idx="157">
                  <c:v>24.56415212649982</c:v>
                </c:pt>
                <c:pt idx="158">
                  <c:v>20.082355675905198</c:v>
                </c:pt>
                <c:pt idx="159">
                  <c:v>45.891315172625198</c:v>
                </c:pt>
                <c:pt idx="160">
                  <c:v>56.00394527240887</c:v>
                </c:pt>
                <c:pt idx="161">
                  <c:v>54.758290054396269</c:v>
                </c:pt>
                <c:pt idx="162">
                  <c:v>41.898767343427117</c:v>
                </c:pt>
                <c:pt idx="163">
                  <c:v>53.050559876349844</c:v>
                </c:pt>
                <c:pt idx="164">
                  <c:v>48.384100510886547</c:v>
                </c:pt>
                <c:pt idx="165">
                  <c:v>52.778160491394338</c:v>
                </c:pt>
                <c:pt idx="166">
                  <c:v>50.721915649148031</c:v>
                </c:pt>
                <c:pt idx="167">
                  <c:v>50.79079164723256</c:v>
                </c:pt>
                <c:pt idx="168">
                  <c:v>54.117730934967398</c:v>
                </c:pt>
                <c:pt idx="169">
                  <c:v>55.221682846276209</c:v>
                </c:pt>
                <c:pt idx="170">
                  <c:v>30.753093571946337</c:v>
                </c:pt>
                <c:pt idx="171">
                  <c:v>22.966208368927287</c:v>
                </c:pt>
                <c:pt idx="172">
                  <c:v>38.414009893154962</c:v>
                </c:pt>
                <c:pt idx="173">
                  <c:v>41.028132126212306</c:v>
                </c:pt>
                <c:pt idx="174">
                  <c:v>39.211317840550187</c:v>
                </c:pt>
                <c:pt idx="175">
                  <c:v>34.506786761167035</c:v>
                </c:pt>
                <c:pt idx="176">
                  <c:v>11.577740773826473</c:v>
                </c:pt>
                <c:pt idx="177">
                  <c:v>12.637734947005296</c:v>
                </c:pt>
                <c:pt idx="178">
                  <c:v>57.370093653561931</c:v>
                </c:pt>
                <c:pt idx="179">
                  <c:v>54.466155477693256</c:v>
                </c:pt>
                <c:pt idx="180">
                  <c:v>13.541847739627871</c:v>
                </c:pt>
                <c:pt idx="181">
                  <c:v>48.748152783210564</c:v>
                </c:pt>
                <c:pt idx="182">
                  <c:v>54.303442418088203</c:v>
                </c:pt>
                <c:pt idx="183">
                  <c:v>45.249085643331306</c:v>
                </c:pt>
                <c:pt idx="184">
                  <c:v>42.940151116555185</c:v>
                </c:pt>
                <c:pt idx="185">
                  <c:v>53.800378994680628</c:v>
                </c:pt>
                <c:pt idx="186">
                  <c:v>46.201464178085736</c:v>
                </c:pt>
                <c:pt idx="187">
                  <c:v>53.063168776154676</c:v>
                </c:pt>
                <c:pt idx="188">
                  <c:v>55.804664177891055</c:v>
                </c:pt>
                <c:pt idx="189">
                  <c:v>55.084760489590856</c:v>
                </c:pt>
                <c:pt idx="190">
                  <c:v>54.382846456131361</c:v>
                </c:pt>
                <c:pt idx="191">
                  <c:v>52.943375952365272</c:v>
                </c:pt>
                <c:pt idx="192">
                  <c:v>53.038981096031812</c:v>
                </c:pt>
                <c:pt idx="193">
                  <c:v>52.412993537980043</c:v>
                </c:pt>
                <c:pt idx="194">
                  <c:v>51.851903267130503</c:v>
                </c:pt>
                <c:pt idx="195">
                  <c:v>50.117104707905078</c:v>
                </c:pt>
                <c:pt idx="196">
                  <c:v>51.499300668667566</c:v>
                </c:pt>
                <c:pt idx="197">
                  <c:v>51.089928231192545</c:v>
                </c:pt>
                <c:pt idx="198">
                  <c:v>52.946094165081639</c:v>
                </c:pt>
                <c:pt idx="199">
                  <c:v>42.476204141838927</c:v>
                </c:pt>
                <c:pt idx="200">
                  <c:v>42.902080923395147</c:v>
                </c:pt>
                <c:pt idx="201">
                  <c:v>50.45490208977774</c:v>
                </c:pt>
                <c:pt idx="202">
                  <c:v>40.219634127870357</c:v>
                </c:pt>
                <c:pt idx="203">
                  <c:v>44.945839696702436</c:v>
                </c:pt>
                <c:pt idx="204">
                  <c:v>50.408418312870602</c:v>
                </c:pt>
                <c:pt idx="205">
                  <c:v>25.760258985723624</c:v>
                </c:pt>
                <c:pt idx="206">
                  <c:v>54.148433020568426</c:v>
                </c:pt>
                <c:pt idx="207">
                  <c:v>54.15552135244215</c:v>
                </c:pt>
                <c:pt idx="208">
                  <c:v>43.459548544835862</c:v>
                </c:pt>
                <c:pt idx="209">
                  <c:v>29.397905571438407</c:v>
                </c:pt>
                <c:pt idx="210">
                  <c:v>49.474114725049731</c:v>
                </c:pt>
                <c:pt idx="211">
                  <c:v>52.14032174022433</c:v>
                </c:pt>
                <c:pt idx="212">
                  <c:v>51.229072910321264</c:v>
                </c:pt>
                <c:pt idx="213">
                  <c:v>51.431441697491245</c:v>
                </c:pt>
                <c:pt idx="214">
                  <c:v>49.277957443280954</c:v>
                </c:pt>
                <c:pt idx="215">
                  <c:v>46.240525278886984</c:v>
                </c:pt>
                <c:pt idx="216">
                  <c:v>43.020638256023176</c:v>
                </c:pt>
                <c:pt idx="217">
                  <c:v>47.140282634057172</c:v>
                </c:pt>
                <c:pt idx="218">
                  <c:v>50.103368012942283</c:v>
                </c:pt>
                <c:pt idx="219">
                  <c:v>50.906306574431035</c:v>
                </c:pt>
                <c:pt idx="220">
                  <c:v>49.202086485601363</c:v>
                </c:pt>
                <c:pt idx="221">
                  <c:v>47.17473156396354</c:v>
                </c:pt>
                <c:pt idx="222">
                  <c:v>43.410627687702537</c:v>
                </c:pt>
                <c:pt idx="223">
                  <c:v>45.55750683678103</c:v>
                </c:pt>
                <c:pt idx="224">
                  <c:v>31.734043172105313</c:v>
                </c:pt>
                <c:pt idx="225">
                  <c:v>32.992298155597908</c:v>
                </c:pt>
                <c:pt idx="226">
                  <c:v>37.828681459816515</c:v>
                </c:pt>
                <c:pt idx="227">
                  <c:v>31.775959514829129</c:v>
                </c:pt>
                <c:pt idx="228">
                  <c:v>21.842225051794319</c:v>
                </c:pt>
                <c:pt idx="229">
                  <c:v>38.005926815181205</c:v>
                </c:pt>
                <c:pt idx="230">
                  <c:v>39.350745759083821</c:v>
                </c:pt>
                <c:pt idx="231">
                  <c:v>46.862687539209361</c:v>
                </c:pt>
                <c:pt idx="232">
                  <c:v>31.591281449003706</c:v>
                </c:pt>
                <c:pt idx="233">
                  <c:v>24.612862822743661</c:v>
                </c:pt>
                <c:pt idx="234">
                  <c:v>44.025441133134329</c:v>
                </c:pt>
                <c:pt idx="235">
                  <c:v>45.485749922631122</c:v>
                </c:pt>
                <c:pt idx="236">
                  <c:v>32.455588885214098</c:v>
                </c:pt>
                <c:pt idx="237">
                  <c:v>40.772684871179791</c:v>
                </c:pt>
                <c:pt idx="238">
                  <c:v>48.037317203957492</c:v>
                </c:pt>
                <c:pt idx="239">
                  <c:v>47.142865573294181</c:v>
                </c:pt>
                <c:pt idx="240">
                  <c:v>31.784027510935967</c:v>
                </c:pt>
                <c:pt idx="241">
                  <c:v>46.149871077379601</c:v>
                </c:pt>
                <c:pt idx="242">
                  <c:v>21.719770577884038</c:v>
                </c:pt>
                <c:pt idx="243">
                  <c:v>41.86813183568578</c:v>
                </c:pt>
                <c:pt idx="244">
                  <c:v>38.40310070693625</c:v>
                </c:pt>
                <c:pt idx="245">
                  <c:v>32.064323353506062</c:v>
                </c:pt>
                <c:pt idx="246">
                  <c:v>46.504635056282957</c:v>
                </c:pt>
                <c:pt idx="247">
                  <c:v>39.313386280907515</c:v>
                </c:pt>
                <c:pt idx="248">
                  <c:v>44.584473358042011</c:v>
                </c:pt>
                <c:pt idx="249">
                  <c:v>34.688367679980196</c:v>
                </c:pt>
                <c:pt idx="250">
                  <c:v>37.98510871939466</c:v>
                </c:pt>
                <c:pt idx="251">
                  <c:v>21.145880580711076</c:v>
                </c:pt>
                <c:pt idx="252">
                  <c:v>44.670951801984032</c:v>
                </c:pt>
                <c:pt idx="253">
                  <c:v>45.195573645262066</c:v>
                </c:pt>
                <c:pt idx="254">
                  <c:v>31.652275946925275</c:v>
                </c:pt>
                <c:pt idx="255">
                  <c:v>11.223207087857848</c:v>
                </c:pt>
                <c:pt idx="256">
                  <c:v>37.243177391334982</c:v>
                </c:pt>
                <c:pt idx="257">
                  <c:v>40.908321874087775</c:v>
                </c:pt>
                <c:pt idx="258">
                  <c:v>27.23648811267735</c:v>
                </c:pt>
                <c:pt idx="259">
                  <c:v>47.100710700963567</c:v>
                </c:pt>
                <c:pt idx="260">
                  <c:v>45.538685448645964</c:v>
                </c:pt>
                <c:pt idx="261">
                  <c:v>44.364547324721336</c:v>
                </c:pt>
                <c:pt idx="262">
                  <c:v>45.701607062448645</c:v>
                </c:pt>
                <c:pt idx="263">
                  <c:v>44.587391233005157</c:v>
                </c:pt>
                <c:pt idx="264">
                  <c:v>43.425398845139647</c:v>
                </c:pt>
                <c:pt idx="265">
                  <c:v>27.436670264373177</c:v>
                </c:pt>
                <c:pt idx="266">
                  <c:v>17.199025386501344</c:v>
                </c:pt>
                <c:pt idx="267">
                  <c:v>30.445309245693149</c:v>
                </c:pt>
                <c:pt idx="268">
                  <c:v>32.833273743748535</c:v>
                </c:pt>
                <c:pt idx="269">
                  <c:v>14.840059652676455</c:v>
                </c:pt>
                <c:pt idx="270">
                  <c:v>17.051754979310441</c:v>
                </c:pt>
                <c:pt idx="271">
                  <c:v>23.386037139978363</c:v>
                </c:pt>
                <c:pt idx="272">
                  <c:v>28.576965511372933</c:v>
                </c:pt>
                <c:pt idx="273">
                  <c:v>34.271209819255404</c:v>
                </c:pt>
                <c:pt idx="274">
                  <c:v>38.202183632597141</c:v>
                </c:pt>
                <c:pt idx="275">
                  <c:v>34.746258198115434</c:v>
                </c:pt>
                <c:pt idx="276">
                  <c:v>39.096696369346759</c:v>
                </c:pt>
                <c:pt idx="277">
                  <c:v>40.323260044104373</c:v>
                </c:pt>
                <c:pt idx="278">
                  <c:v>11.771106920009109</c:v>
                </c:pt>
                <c:pt idx="279">
                  <c:v>28.770528326411931</c:v>
                </c:pt>
                <c:pt idx="280">
                  <c:v>15.680709016681941</c:v>
                </c:pt>
                <c:pt idx="281">
                  <c:v>36.879313248465209</c:v>
                </c:pt>
                <c:pt idx="282">
                  <c:v>30.394391161998737</c:v>
                </c:pt>
                <c:pt idx="283">
                  <c:v>22.101830997638171</c:v>
                </c:pt>
                <c:pt idx="284">
                  <c:v>27.604339103311943</c:v>
                </c:pt>
                <c:pt idx="285">
                  <c:v>22.780170184346019</c:v>
                </c:pt>
                <c:pt idx="286">
                  <c:v>19.335426251060838</c:v>
                </c:pt>
                <c:pt idx="287">
                  <c:v>35.805524264507682</c:v>
                </c:pt>
                <c:pt idx="288">
                  <c:v>32.15511262461532</c:v>
                </c:pt>
                <c:pt idx="289">
                  <c:v>19.511452465768258</c:v>
                </c:pt>
                <c:pt idx="290">
                  <c:v>33.118831410515057</c:v>
                </c:pt>
                <c:pt idx="291">
                  <c:v>15.254533808181559</c:v>
                </c:pt>
                <c:pt idx="292">
                  <c:v>6.3193361203109051</c:v>
                </c:pt>
                <c:pt idx="293">
                  <c:v>16.004378419448543</c:v>
                </c:pt>
                <c:pt idx="294">
                  <c:v>31.948605527825361</c:v>
                </c:pt>
                <c:pt idx="295">
                  <c:v>16.648507810188253</c:v>
                </c:pt>
                <c:pt idx="296">
                  <c:v>24.676381496535225</c:v>
                </c:pt>
                <c:pt idx="297">
                  <c:v>21.280813954488917</c:v>
                </c:pt>
                <c:pt idx="298">
                  <c:v>13.338707564805196</c:v>
                </c:pt>
                <c:pt idx="299">
                  <c:v>14.246536955680662</c:v>
                </c:pt>
                <c:pt idx="300">
                  <c:v>16.822525936826629</c:v>
                </c:pt>
                <c:pt idx="301">
                  <c:v>26.415537820219964</c:v>
                </c:pt>
                <c:pt idx="302">
                  <c:v>21.850532503208928</c:v>
                </c:pt>
                <c:pt idx="303">
                  <c:v>21.330985200358889</c:v>
                </c:pt>
                <c:pt idx="304">
                  <c:v>22.689585877217727</c:v>
                </c:pt>
                <c:pt idx="305">
                  <c:v>27.268470180326261</c:v>
                </c:pt>
                <c:pt idx="306">
                  <c:v>9.3630415759982668</c:v>
                </c:pt>
                <c:pt idx="307">
                  <c:v>16.420426254159114</c:v>
                </c:pt>
                <c:pt idx="308">
                  <c:v>28.592267896397967</c:v>
                </c:pt>
                <c:pt idx="309">
                  <c:v>29.45568974106699</c:v>
                </c:pt>
                <c:pt idx="310">
                  <c:v>27.220663566492931</c:v>
                </c:pt>
                <c:pt idx="311">
                  <c:v>20.493594106387448</c:v>
                </c:pt>
                <c:pt idx="312">
                  <c:v>9.582471414162649</c:v>
                </c:pt>
                <c:pt idx="313">
                  <c:v>19.899165405620291</c:v>
                </c:pt>
                <c:pt idx="314">
                  <c:v>26.9500049353116</c:v>
                </c:pt>
                <c:pt idx="315">
                  <c:v>26.994141361333135</c:v>
                </c:pt>
                <c:pt idx="316">
                  <c:v>26.07466912935627</c:v>
                </c:pt>
                <c:pt idx="317">
                  <c:v>9.1811217747310288</c:v>
                </c:pt>
                <c:pt idx="318">
                  <c:v>11.938275284251681</c:v>
                </c:pt>
                <c:pt idx="319">
                  <c:v>26.503922338716656</c:v>
                </c:pt>
                <c:pt idx="320">
                  <c:v>12.405593488351673</c:v>
                </c:pt>
                <c:pt idx="321">
                  <c:v>14.724555954922288</c:v>
                </c:pt>
                <c:pt idx="322">
                  <c:v>7.5407960180564242</c:v>
                </c:pt>
                <c:pt idx="323">
                  <c:v>15.07134050238805</c:v>
                </c:pt>
                <c:pt idx="324">
                  <c:v>3.185004648857491</c:v>
                </c:pt>
                <c:pt idx="325">
                  <c:v>7.9175674625336239</c:v>
                </c:pt>
                <c:pt idx="326">
                  <c:v>11.865669545864032</c:v>
                </c:pt>
                <c:pt idx="327">
                  <c:v>13.059746823284904</c:v>
                </c:pt>
                <c:pt idx="328">
                  <c:v>5.0567975093491961</c:v>
                </c:pt>
                <c:pt idx="329">
                  <c:v>10.136291669129218</c:v>
                </c:pt>
                <c:pt idx="330">
                  <c:v>14.418439888264883</c:v>
                </c:pt>
                <c:pt idx="331">
                  <c:v>10.451378820427502</c:v>
                </c:pt>
                <c:pt idx="332">
                  <c:v>14.54129167996636</c:v>
                </c:pt>
                <c:pt idx="333">
                  <c:v>4.0512231644172729</c:v>
                </c:pt>
                <c:pt idx="334">
                  <c:v>3.4859160890124139</c:v>
                </c:pt>
                <c:pt idx="335">
                  <c:v>5.7805593639578161</c:v>
                </c:pt>
                <c:pt idx="336">
                  <c:v>8.6343518151803469</c:v>
                </c:pt>
                <c:pt idx="337">
                  <c:v>17.142993186827876</c:v>
                </c:pt>
                <c:pt idx="338">
                  <c:v>23.332855783994191</c:v>
                </c:pt>
                <c:pt idx="339">
                  <c:v>10.806008232807443</c:v>
                </c:pt>
                <c:pt idx="340">
                  <c:v>19.606673084103193</c:v>
                </c:pt>
                <c:pt idx="341">
                  <c:v>4.0476271012352933</c:v>
                </c:pt>
                <c:pt idx="342">
                  <c:v>4.8972616373826954</c:v>
                </c:pt>
                <c:pt idx="343">
                  <c:v>11.527560590215487</c:v>
                </c:pt>
                <c:pt idx="344">
                  <c:v>16.104070789104988</c:v>
                </c:pt>
                <c:pt idx="345">
                  <c:v>5.6083677436129529</c:v>
                </c:pt>
                <c:pt idx="346">
                  <c:v>5.3237281019466476</c:v>
                </c:pt>
                <c:pt idx="347">
                  <c:v>16.892177481698642</c:v>
                </c:pt>
                <c:pt idx="348">
                  <c:v>5.6031070323443819</c:v>
                </c:pt>
                <c:pt idx="349">
                  <c:v>4.774302031106199</c:v>
                </c:pt>
                <c:pt idx="350">
                  <c:v>3.4888948836509015</c:v>
                </c:pt>
                <c:pt idx="351">
                  <c:v>20.949946775615619</c:v>
                </c:pt>
                <c:pt idx="352">
                  <c:v>16.953478441136355</c:v>
                </c:pt>
                <c:pt idx="353">
                  <c:v>4.4566585032201882</c:v>
                </c:pt>
                <c:pt idx="354">
                  <c:v>20.099408720435235</c:v>
                </c:pt>
                <c:pt idx="355">
                  <c:v>16.610471355658579</c:v>
                </c:pt>
                <c:pt idx="356">
                  <c:v>17.153334931201798</c:v>
                </c:pt>
                <c:pt idx="357">
                  <c:v>20.613712129250068</c:v>
                </c:pt>
                <c:pt idx="358">
                  <c:v>12.264776368766608</c:v>
                </c:pt>
                <c:pt idx="359">
                  <c:v>20.899514339698822</c:v>
                </c:pt>
                <c:pt idx="360">
                  <c:v>7.5316994824276433</c:v>
                </c:pt>
                <c:pt idx="361">
                  <c:v>20.074257982858008</c:v>
                </c:pt>
                <c:pt idx="362">
                  <c:v>9.8678761186423802</c:v>
                </c:pt>
                <c:pt idx="363">
                  <c:v>12.992841115360676</c:v>
                </c:pt>
                <c:pt idx="364">
                  <c:v>12.056700365749931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21.934015533523219</c:v>
                </c:pt>
                <c:pt idx="1">
                  <c:v>15.771426930169728</c:v>
                </c:pt>
                <c:pt idx="2">
                  <c:v>16.972107846887059</c:v>
                </c:pt>
                <c:pt idx="3">
                  <c:v>17.933087724531692</c:v>
                </c:pt>
                <c:pt idx="4">
                  <c:v>14.277921971341483</c:v>
                </c:pt>
                <c:pt idx="5">
                  <c:v>20.58939024511232</c:v>
                </c:pt>
                <c:pt idx="6">
                  <c:v>10.529347710206013</c:v>
                </c:pt>
                <c:pt idx="7">
                  <c:v>7.3864782334234933</c:v>
                </c:pt>
                <c:pt idx="8">
                  <c:v>2.1802891313174109</c:v>
                </c:pt>
                <c:pt idx="9">
                  <c:v>1.6923364315875087</c:v>
                </c:pt>
                <c:pt idx="10">
                  <c:v>24.38855962398905</c:v>
                </c:pt>
                <c:pt idx="11">
                  <c:v>20.808655901056206</c:v>
                </c:pt>
                <c:pt idx="12">
                  <c:v>5.0110700606092591</c:v>
                </c:pt>
                <c:pt idx="13">
                  <c:v>24.774260557415946</c:v>
                </c:pt>
                <c:pt idx="14">
                  <c:v>26.326199007092811</c:v>
                </c:pt>
                <c:pt idx="15">
                  <c:v>25.856307446620985</c:v>
                </c:pt>
                <c:pt idx="16">
                  <c:v>13.235477193310127</c:v>
                </c:pt>
                <c:pt idx="17">
                  <c:v>3.4943684816888467</c:v>
                </c:pt>
                <c:pt idx="18">
                  <c:v>10.107487279337047</c:v>
                </c:pt>
                <c:pt idx="19">
                  <c:v>6.3582762277768996</c:v>
                </c:pt>
                <c:pt idx="20">
                  <c:v>20.309593954538276</c:v>
                </c:pt>
                <c:pt idx="21">
                  <c:v>27.403372665317601</c:v>
                </c:pt>
                <c:pt idx="22">
                  <c:v>27.466757707478166</c:v>
                </c:pt>
                <c:pt idx="23">
                  <c:v>28.084238326930787</c:v>
                </c:pt>
                <c:pt idx="24">
                  <c:v>26.746812872994006</c:v>
                </c:pt>
                <c:pt idx="25">
                  <c:v>27.701302133015634</c:v>
                </c:pt>
                <c:pt idx="26">
                  <c:v>25.809768500008335</c:v>
                </c:pt>
                <c:pt idx="27">
                  <c:v>4.2157535905136889</c:v>
                </c:pt>
                <c:pt idx="28">
                  <c:v>9.2443213386318988</c:v>
                </c:pt>
                <c:pt idx="29">
                  <c:v>4.3970531083125186</c:v>
                </c:pt>
                <c:pt idx="30">
                  <c:v>8.9933499556638985</c:v>
                </c:pt>
                <c:pt idx="31">
                  <c:v>13.056361338219405</c:v>
                </c:pt>
                <c:pt idx="32">
                  <c:v>5.2449622063808192</c:v>
                </c:pt>
                <c:pt idx="33">
                  <c:v>9.88601908092412</c:v>
                </c:pt>
                <c:pt idx="34">
                  <c:v>9.7890490638835033</c:v>
                </c:pt>
                <c:pt idx="35">
                  <c:v>9.4711585451452205</c:v>
                </c:pt>
                <c:pt idx="36">
                  <c:v>21.668521322718458</c:v>
                </c:pt>
                <c:pt idx="37">
                  <c:v>9.2979675240578956</c:v>
                </c:pt>
                <c:pt idx="38">
                  <c:v>32.590087265402168</c:v>
                </c:pt>
                <c:pt idx="39">
                  <c:v>32.80442752377531</c:v>
                </c:pt>
                <c:pt idx="40">
                  <c:v>30.4958091755562</c:v>
                </c:pt>
                <c:pt idx="41">
                  <c:v>17.024039127116509</c:v>
                </c:pt>
                <c:pt idx="42">
                  <c:v>25.864027411641317</c:v>
                </c:pt>
                <c:pt idx="43">
                  <c:v>30.574134360922184</c:v>
                </c:pt>
                <c:pt idx="44">
                  <c:v>14.97449797607767</c:v>
                </c:pt>
                <c:pt idx="45">
                  <c:v>18.827089255763667</c:v>
                </c:pt>
                <c:pt idx="46">
                  <c:v>9.8624444739511414</c:v>
                </c:pt>
                <c:pt idx="47">
                  <c:v>10.670265365955562</c:v>
                </c:pt>
                <c:pt idx="48">
                  <c:v>27.173349766840914</c:v>
                </c:pt>
                <c:pt idx="49">
                  <c:v>19.692872241159083</c:v>
                </c:pt>
                <c:pt idx="50">
                  <c:v>18.783964770187001</c:v>
                </c:pt>
                <c:pt idx="51">
                  <c:v>20.765370276400784</c:v>
                </c:pt>
                <c:pt idx="52">
                  <c:v>32.095609653844683</c:v>
                </c:pt>
                <c:pt idx="53">
                  <c:v>33.209475017345632</c:v>
                </c:pt>
                <c:pt idx="54">
                  <c:v>20.41701425363544</c:v>
                </c:pt>
                <c:pt idx="55">
                  <c:v>29.737114426884112</c:v>
                </c:pt>
                <c:pt idx="56">
                  <c:v>38.295906042382043</c:v>
                </c:pt>
                <c:pt idx="57">
                  <c:v>26.688437491497183</c:v>
                </c:pt>
                <c:pt idx="58">
                  <c:v>32.978702790567304</c:v>
                </c:pt>
                <c:pt idx="59">
                  <c:v>38.282921830198113</c:v>
                </c:pt>
                <c:pt idx="60">
                  <c:v>10.542535198991324</c:v>
                </c:pt>
                <c:pt idx="61">
                  <c:v>33.977405441007477</c:v>
                </c:pt>
                <c:pt idx="62">
                  <c:v>3.9080704073154227</c:v>
                </c:pt>
                <c:pt idx="63">
                  <c:v>12.937774055283377</c:v>
                </c:pt>
                <c:pt idx="64">
                  <c:v>15.458229747790861</c:v>
                </c:pt>
                <c:pt idx="65">
                  <c:v>36.105938024209337</c:v>
                </c:pt>
                <c:pt idx="66">
                  <c:v>31.203247986471546</c:v>
                </c:pt>
                <c:pt idx="67">
                  <c:v>27.842568101238616</c:v>
                </c:pt>
                <c:pt idx="68">
                  <c:v>24.186882794057389</c:v>
                </c:pt>
                <c:pt idx="69">
                  <c:v>15.347476867556152</c:v>
                </c:pt>
                <c:pt idx="70">
                  <c:v>14.260030916541183</c:v>
                </c:pt>
                <c:pt idx="71">
                  <c:v>9.679520105022549</c:v>
                </c:pt>
                <c:pt idx="72">
                  <c:v>13.94875125872724</c:v>
                </c:pt>
                <c:pt idx="73">
                  <c:v>13.971743415275633</c:v>
                </c:pt>
                <c:pt idx="74">
                  <c:v>12.593097050177393</c:v>
                </c:pt>
                <c:pt idx="75">
                  <c:v>10.505520115676246</c:v>
                </c:pt>
                <c:pt idx="76">
                  <c:v>14.006750993230618</c:v>
                </c:pt>
                <c:pt idx="77">
                  <c:v>28.425356827747049</c:v>
                </c:pt>
                <c:pt idx="78">
                  <c:v>29.35901732338629</c:v>
                </c:pt>
                <c:pt idx="79">
                  <c:v>42.807035375374419</c:v>
                </c:pt>
                <c:pt idx="80">
                  <c:v>40.280454612802075</c:v>
                </c:pt>
                <c:pt idx="81">
                  <c:v>46.218050908429099</c:v>
                </c:pt>
                <c:pt idx="82">
                  <c:v>45.228563975717854</c:v>
                </c:pt>
                <c:pt idx="83">
                  <c:v>39.618119187623705</c:v>
                </c:pt>
                <c:pt idx="84">
                  <c:v>44.588129345329797</c:v>
                </c:pt>
                <c:pt idx="85">
                  <c:v>43.431213522466166</c:v>
                </c:pt>
                <c:pt idx="86">
                  <c:v>34.004498581486274</c:v>
                </c:pt>
                <c:pt idx="87">
                  <c:v>26.782085985992929</c:v>
                </c:pt>
                <c:pt idx="88">
                  <c:v>7.5317465374597559</c:v>
                </c:pt>
                <c:pt idx="89">
                  <c:v>27.447257867030714</c:v>
                </c:pt>
                <c:pt idx="90">
                  <c:v>30.036857555112345</c:v>
                </c:pt>
                <c:pt idx="91">
                  <c:v>20.477071555573406</c:v>
                </c:pt>
                <c:pt idx="92">
                  <c:v>22.184382396660958</c:v>
                </c:pt>
                <c:pt idx="93">
                  <c:v>46.654494956286989</c:v>
                </c:pt>
                <c:pt idx="94">
                  <c:v>49.589981064726473</c:v>
                </c:pt>
                <c:pt idx="95">
                  <c:v>10.863714026197158</c:v>
                </c:pt>
                <c:pt idx="96">
                  <c:v>37.135951103064698</c:v>
                </c:pt>
                <c:pt idx="97">
                  <c:v>30.58975449662509</c:v>
                </c:pt>
                <c:pt idx="98">
                  <c:v>34.060374147103374</c:v>
                </c:pt>
                <c:pt idx="99">
                  <c:v>51.288984414386505</c:v>
                </c:pt>
                <c:pt idx="100">
                  <c:v>43.069552842912685</c:v>
                </c:pt>
                <c:pt idx="101">
                  <c:v>34.928220484717407</c:v>
                </c:pt>
                <c:pt idx="102">
                  <c:v>7.0037782098848487</c:v>
                </c:pt>
                <c:pt idx="103">
                  <c:v>37.859111873022343</c:v>
                </c:pt>
                <c:pt idx="104">
                  <c:v>43.386644853935749</c:v>
                </c:pt>
                <c:pt idx="105">
                  <c:v>41.865702315416016</c:v>
                </c:pt>
                <c:pt idx="106">
                  <c:v>51.136494379437771</c:v>
                </c:pt>
                <c:pt idx="107">
                  <c:v>35.371904306485455</c:v>
                </c:pt>
                <c:pt idx="108">
                  <c:v>8.455805960547206</c:v>
                </c:pt>
                <c:pt idx="109">
                  <c:v>9.6762864388474146</c:v>
                </c:pt>
                <c:pt idx="110">
                  <c:v>8.9443018962454044</c:v>
                </c:pt>
                <c:pt idx="111">
                  <c:v>26.176005168492182</c:v>
                </c:pt>
                <c:pt idx="112">
                  <c:v>9.0572600668133028</c:v>
                </c:pt>
                <c:pt idx="113">
                  <c:v>28.739007903979196</c:v>
                </c:pt>
                <c:pt idx="114">
                  <c:v>44.225776869845404</c:v>
                </c:pt>
                <c:pt idx="115">
                  <c:v>51.485077118817564</c:v>
                </c:pt>
                <c:pt idx="116">
                  <c:v>38.781836017274664</c:v>
                </c:pt>
                <c:pt idx="117">
                  <c:v>19.303803259151717</c:v>
                </c:pt>
                <c:pt idx="118">
                  <c:v>38.845885753846431</c:v>
                </c:pt>
                <c:pt idx="119">
                  <c:v>43.552788161768468</c:v>
                </c:pt>
                <c:pt idx="120">
                  <c:v>47.202588906795981</c:v>
                </c:pt>
                <c:pt idx="121">
                  <c:v>30.343816229572639</c:v>
                </c:pt>
                <c:pt idx="122">
                  <c:v>36.154307789189509</c:v>
                </c:pt>
                <c:pt idx="123">
                  <c:v>20.054808377605404</c:v>
                </c:pt>
                <c:pt idx="124">
                  <c:v>42.035064854424327</c:v>
                </c:pt>
                <c:pt idx="125">
                  <c:v>38.45352706846198</c:v>
                </c:pt>
                <c:pt idx="126">
                  <c:v>52.286480288346006</c:v>
                </c:pt>
                <c:pt idx="127">
                  <c:v>49.75894631886721</c:v>
                </c:pt>
                <c:pt idx="128">
                  <c:v>52.068892367250491</c:v>
                </c:pt>
                <c:pt idx="129">
                  <c:v>51.735055831582827</c:v>
                </c:pt>
                <c:pt idx="130">
                  <c:v>55.844601133689423</c:v>
                </c:pt>
                <c:pt idx="131">
                  <c:v>40.71838347635817</c:v>
                </c:pt>
                <c:pt idx="132">
                  <c:v>41.417471796628405</c:v>
                </c:pt>
                <c:pt idx="133">
                  <c:v>50.10932308375456</c:v>
                </c:pt>
                <c:pt idx="134">
                  <c:v>53.01336153469029</c:v>
                </c:pt>
                <c:pt idx="135">
                  <c:v>50.532599815795109</c:v>
                </c:pt>
                <c:pt idx="136">
                  <c:v>53.810930918851817</c:v>
                </c:pt>
                <c:pt idx="137">
                  <c:v>51.764232056149446</c:v>
                </c:pt>
                <c:pt idx="138">
                  <c:v>54.634300810109529</c:v>
                </c:pt>
                <c:pt idx="139">
                  <c:v>49.496212411625017</c:v>
                </c:pt>
                <c:pt idx="140">
                  <c:v>49.412665888828883</c:v>
                </c:pt>
                <c:pt idx="141">
                  <c:v>37.397066550639209</c:v>
                </c:pt>
                <c:pt idx="142">
                  <c:v>19.497148849563015</c:v>
                </c:pt>
                <c:pt idx="143">
                  <c:v>16.904980135440621</c:v>
                </c:pt>
                <c:pt idx="144">
                  <c:v>39.649369270470835</c:v>
                </c:pt>
                <c:pt idx="145">
                  <c:v>24.041018149570714</c:v>
                </c:pt>
                <c:pt idx="146">
                  <c:v>44.718260562925401</c:v>
                </c:pt>
                <c:pt idx="147">
                  <c:v>53.880552135634716</c:v>
                </c:pt>
                <c:pt idx="148">
                  <c:v>58.071884056110079</c:v>
                </c:pt>
                <c:pt idx="149">
                  <c:v>49.451601537461876</c:v>
                </c:pt>
                <c:pt idx="150">
                  <c:v>52.515976434680752</c:v>
                </c:pt>
                <c:pt idx="151">
                  <c:v>54.863672231054359</c:v>
                </c:pt>
                <c:pt idx="152">
                  <c:v>44.072406226692031</c:v>
                </c:pt>
                <c:pt idx="153">
                  <c:v>53.709793682774361</c:v>
                </c:pt>
                <c:pt idx="154">
                  <c:v>24.253662486191477</c:v>
                </c:pt>
                <c:pt idx="155">
                  <c:v>33.456859530098853</c:v>
                </c:pt>
                <c:pt idx="156">
                  <c:v>47.118929666533134</c:v>
                </c:pt>
                <c:pt idx="157">
                  <c:v>24.56415212649982</c:v>
                </c:pt>
                <c:pt idx="158">
                  <c:v>20.082355675905198</c:v>
                </c:pt>
                <c:pt idx="159">
                  <c:v>45.891315172625198</c:v>
                </c:pt>
                <c:pt idx="160">
                  <c:v>56.00394527240887</c:v>
                </c:pt>
                <c:pt idx="161">
                  <c:v>54.758290054396269</c:v>
                </c:pt>
                <c:pt idx="162">
                  <c:v>41.898767343427117</c:v>
                </c:pt>
                <c:pt idx="163">
                  <c:v>53.050559876349844</c:v>
                </c:pt>
                <c:pt idx="164">
                  <c:v>48.384100510886547</c:v>
                </c:pt>
                <c:pt idx="165">
                  <c:v>52.778160491394338</c:v>
                </c:pt>
                <c:pt idx="166">
                  <c:v>50.721915649148031</c:v>
                </c:pt>
                <c:pt idx="167">
                  <c:v>50.79079164723256</c:v>
                </c:pt>
                <c:pt idx="168">
                  <c:v>54.117730934967398</c:v>
                </c:pt>
                <c:pt idx="169">
                  <c:v>55.221682846276209</c:v>
                </c:pt>
                <c:pt idx="170">
                  <c:v>30.753093571946337</c:v>
                </c:pt>
                <c:pt idx="171">
                  <c:v>22.966208368927287</c:v>
                </c:pt>
                <c:pt idx="172">
                  <c:v>38.414009893154962</c:v>
                </c:pt>
                <c:pt idx="173">
                  <c:v>41.028132126212306</c:v>
                </c:pt>
                <c:pt idx="174">
                  <c:v>39.211317840550187</c:v>
                </c:pt>
                <c:pt idx="175">
                  <c:v>34.506786761167035</c:v>
                </c:pt>
                <c:pt idx="176">
                  <c:v>11.577740773826473</c:v>
                </c:pt>
                <c:pt idx="177">
                  <c:v>12.637734947005296</c:v>
                </c:pt>
                <c:pt idx="178">
                  <c:v>57.370093653561931</c:v>
                </c:pt>
                <c:pt idx="179">
                  <c:v>54.466155477693256</c:v>
                </c:pt>
                <c:pt idx="180">
                  <c:v>13.541847739627871</c:v>
                </c:pt>
                <c:pt idx="181">
                  <c:v>48.748152783210564</c:v>
                </c:pt>
                <c:pt idx="182">
                  <c:v>54.303442418088203</c:v>
                </c:pt>
                <c:pt idx="183">
                  <c:v>45.249085643331306</c:v>
                </c:pt>
                <c:pt idx="184">
                  <c:v>42.940151116555185</c:v>
                </c:pt>
                <c:pt idx="185">
                  <c:v>53.800378994680628</c:v>
                </c:pt>
                <c:pt idx="186">
                  <c:v>46.201464178085736</c:v>
                </c:pt>
                <c:pt idx="187">
                  <c:v>53.063168776154676</c:v>
                </c:pt>
                <c:pt idx="188">
                  <c:v>55.804664177891055</c:v>
                </c:pt>
                <c:pt idx="189">
                  <c:v>55.084760489590856</c:v>
                </c:pt>
                <c:pt idx="190">
                  <c:v>54.382846456131361</c:v>
                </c:pt>
                <c:pt idx="191">
                  <c:v>52.943375952365272</c:v>
                </c:pt>
                <c:pt idx="192">
                  <c:v>53.038981096031812</c:v>
                </c:pt>
                <c:pt idx="193">
                  <c:v>52.412993537980043</c:v>
                </c:pt>
                <c:pt idx="194">
                  <c:v>51.851903267130503</c:v>
                </c:pt>
                <c:pt idx="195">
                  <c:v>50.117104707905078</c:v>
                </c:pt>
                <c:pt idx="196">
                  <c:v>51.499300668667566</c:v>
                </c:pt>
                <c:pt idx="197">
                  <c:v>51.089928231192545</c:v>
                </c:pt>
                <c:pt idx="198">
                  <c:v>52.946094165081639</c:v>
                </c:pt>
                <c:pt idx="199">
                  <c:v>42.476204141838927</c:v>
                </c:pt>
                <c:pt idx="200">
                  <c:v>42.902080923395147</c:v>
                </c:pt>
                <c:pt idx="201">
                  <c:v>50.45490208977774</c:v>
                </c:pt>
                <c:pt idx="202">
                  <c:v>40.219634127870357</c:v>
                </c:pt>
                <c:pt idx="203">
                  <c:v>44.945839696702436</c:v>
                </c:pt>
                <c:pt idx="204">
                  <c:v>50.408418312870602</c:v>
                </c:pt>
                <c:pt idx="205">
                  <c:v>25.760258985723624</c:v>
                </c:pt>
                <c:pt idx="206">
                  <c:v>54.148433020568426</c:v>
                </c:pt>
                <c:pt idx="207">
                  <c:v>54.15552135244215</c:v>
                </c:pt>
                <c:pt idx="208">
                  <c:v>43.459548544835862</c:v>
                </c:pt>
                <c:pt idx="209">
                  <c:v>29.397905571438407</c:v>
                </c:pt>
                <c:pt idx="210">
                  <c:v>49.474114725049731</c:v>
                </c:pt>
                <c:pt idx="211">
                  <c:v>52.14032174022433</c:v>
                </c:pt>
                <c:pt idx="212">
                  <c:v>51.229072910321264</c:v>
                </c:pt>
                <c:pt idx="213">
                  <c:v>51.431441697491245</c:v>
                </c:pt>
                <c:pt idx="214">
                  <c:v>49.277957443280954</c:v>
                </c:pt>
                <c:pt idx="215">
                  <c:v>46.240525278886984</c:v>
                </c:pt>
                <c:pt idx="216">
                  <c:v>43.020638256023176</c:v>
                </c:pt>
                <c:pt idx="217">
                  <c:v>47.140282634057172</c:v>
                </c:pt>
                <c:pt idx="218">
                  <c:v>50.103368012942283</c:v>
                </c:pt>
                <c:pt idx="219">
                  <c:v>50.906306574431035</c:v>
                </c:pt>
                <c:pt idx="220">
                  <c:v>49.202086485601363</c:v>
                </c:pt>
                <c:pt idx="221">
                  <c:v>47.17473156396354</c:v>
                </c:pt>
                <c:pt idx="222">
                  <c:v>43.410627687702537</c:v>
                </c:pt>
                <c:pt idx="223">
                  <c:v>45.55750683678103</c:v>
                </c:pt>
                <c:pt idx="224">
                  <c:v>31.734043172105313</c:v>
                </c:pt>
                <c:pt idx="225">
                  <c:v>32.992298155597908</c:v>
                </c:pt>
                <c:pt idx="226">
                  <c:v>37.828681459816515</c:v>
                </c:pt>
                <c:pt idx="227">
                  <c:v>31.775959514829129</c:v>
                </c:pt>
                <c:pt idx="228">
                  <c:v>21.842225051794319</c:v>
                </c:pt>
                <c:pt idx="229">
                  <c:v>38.005926815181205</c:v>
                </c:pt>
                <c:pt idx="230">
                  <c:v>39.350745759083821</c:v>
                </c:pt>
                <c:pt idx="231">
                  <c:v>46.862687539209361</c:v>
                </c:pt>
                <c:pt idx="232">
                  <c:v>31.591281449003706</c:v>
                </c:pt>
                <c:pt idx="233">
                  <c:v>24.612862822743661</c:v>
                </c:pt>
                <c:pt idx="234">
                  <c:v>44.025441133134329</c:v>
                </c:pt>
                <c:pt idx="235">
                  <c:v>45.485749922631122</c:v>
                </c:pt>
                <c:pt idx="236">
                  <c:v>32.455588885214098</c:v>
                </c:pt>
                <c:pt idx="237">
                  <c:v>40.772684871179791</c:v>
                </c:pt>
                <c:pt idx="238">
                  <c:v>48.037317203957492</c:v>
                </c:pt>
                <c:pt idx="239">
                  <c:v>47.142865573294181</c:v>
                </c:pt>
                <c:pt idx="240">
                  <c:v>31.784027510935967</c:v>
                </c:pt>
                <c:pt idx="241">
                  <c:v>46.149871077379601</c:v>
                </c:pt>
                <c:pt idx="242">
                  <c:v>21.719770577884038</c:v>
                </c:pt>
                <c:pt idx="243">
                  <c:v>41.86813183568578</c:v>
                </c:pt>
                <c:pt idx="244">
                  <c:v>38.40310070693625</c:v>
                </c:pt>
                <c:pt idx="245">
                  <c:v>32.064323353506062</c:v>
                </c:pt>
                <c:pt idx="246">
                  <c:v>46.504635056282957</c:v>
                </c:pt>
                <c:pt idx="247">
                  <c:v>39.313386280907515</c:v>
                </c:pt>
                <c:pt idx="248">
                  <c:v>44.584473358042011</c:v>
                </c:pt>
                <c:pt idx="249">
                  <c:v>34.688367679980196</c:v>
                </c:pt>
                <c:pt idx="250">
                  <c:v>37.98510871939466</c:v>
                </c:pt>
                <c:pt idx="251">
                  <c:v>21.145880580711076</c:v>
                </c:pt>
                <c:pt idx="252">
                  <c:v>44.670951801984032</c:v>
                </c:pt>
                <c:pt idx="253">
                  <c:v>45.195573645262066</c:v>
                </c:pt>
                <c:pt idx="254">
                  <c:v>31.652275946925275</c:v>
                </c:pt>
                <c:pt idx="255">
                  <c:v>11.223207087857848</c:v>
                </c:pt>
                <c:pt idx="256">
                  <c:v>37.243177391334982</c:v>
                </c:pt>
                <c:pt idx="257">
                  <c:v>40.908321874087775</c:v>
                </c:pt>
                <c:pt idx="258">
                  <c:v>27.23648811267735</c:v>
                </c:pt>
                <c:pt idx="259">
                  <c:v>47.100710700963567</c:v>
                </c:pt>
                <c:pt idx="260">
                  <c:v>45.538685448645964</c:v>
                </c:pt>
                <c:pt idx="261">
                  <c:v>44.364547324721336</c:v>
                </c:pt>
                <c:pt idx="262">
                  <c:v>45.701607062448645</c:v>
                </c:pt>
                <c:pt idx="263">
                  <c:v>44.587391233005157</c:v>
                </c:pt>
                <c:pt idx="264">
                  <c:v>43.425398845139647</c:v>
                </c:pt>
                <c:pt idx="265">
                  <c:v>27.436670264373177</c:v>
                </c:pt>
                <c:pt idx="266">
                  <c:v>17.199025386501344</c:v>
                </c:pt>
                <c:pt idx="267">
                  <c:v>30.445309245693149</c:v>
                </c:pt>
                <c:pt idx="268">
                  <c:v>32.833273743748535</c:v>
                </c:pt>
                <c:pt idx="269">
                  <c:v>14.840059652676455</c:v>
                </c:pt>
                <c:pt idx="270">
                  <c:v>17.051754979310441</c:v>
                </c:pt>
                <c:pt idx="271">
                  <c:v>23.386037139978363</c:v>
                </c:pt>
                <c:pt idx="272">
                  <c:v>28.576965511372933</c:v>
                </c:pt>
                <c:pt idx="273">
                  <c:v>34.271209819255404</c:v>
                </c:pt>
                <c:pt idx="274">
                  <c:v>38.202183632597141</c:v>
                </c:pt>
                <c:pt idx="275">
                  <c:v>34.746258198115434</c:v>
                </c:pt>
                <c:pt idx="276">
                  <c:v>39.096696369346759</c:v>
                </c:pt>
                <c:pt idx="277">
                  <c:v>40.323260044104373</c:v>
                </c:pt>
                <c:pt idx="278">
                  <c:v>11.771106920009109</c:v>
                </c:pt>
                <c:pt idx="279">
                  <c:v>28.770528326411931</c:v>
                </c:pt>
                <c:pt idx="280">
                  <c:v>15.680709016681941</c:v>
                </c:pt>
                <c:pt idx="281">
                  <c:v>36.879313248465209</c:v>
                </c:pt>
                <c:pt idx="282">
                  <c:v>30.394391161998737</c:v>
                </c:pt>
                <c:pt idx="283">
                  <c:v>22.101830997638171</c:v>
                </c:pt>
                <c:pt idx="284">
                  <c:v>27.604339103311943</c:v>
                </c:pt>
                <c:pt idx="285">
                  <c:v>22.780170184346019</c:v>
                </c:pt>
                <c:pt idx="286">
                  <c:v>19.335426251060838</c:v>
                </c:pt>
                <c:pt idx="287">
                  <c:v>35.805524264507682</c:v>
                </c:pt>
                <c:pt idx="288">
                  <c:v>32.15511262461532</c:v>
                </c:pt>
                <c:pt idx="289">
                  <c:v>19.511452465768258</c:v>
                </c:pt>
                <c:pt idx="290">
                  <c:v>33.118831410515057</c:v>
                </c:pt>
                <c:pt idx="291">
                  <c:v>15.254533808181559</c:v>
                </c:pt>
                <c:pt idx="292">
                  <c:v>6.3193361203109051</c:v>
                </c:pt>
                <c:pt idx="293">
                  <c:v>16.004378419448543</c:v>
                </c:pt>
                <c:pt idx="294">
                  <c:v>31.948605527825361</c:v>
                </c:pt>
                <c:pt idx="295">
                  <c:v>16.648507810188253</c:v>
                </c:pt>
                <c:pt idx="296">
                  <c:v>24.676381496535225</c:v>
                </c:pt>
                <c:pt idx="297">
                  <c:v>21.280813954488917</c:v>
                </c:pt>
                <c:pt idx="298">
                  <c:v>13.338707564805196</c:v>
                </c:pt>
                <c:pt idx="299">
                  <c:v>14.246536955680662</c:v>
                </c:pt>
                <c:pt idx="300">
                  <c:v>16.822525936826629</c:v>
                </c:pt>
                <c:pt idx="301">
                  <c:v>26.415537820219964</c:v>
                </c:pt>
                <c:pt idx="302">
                  <c:v>21.850532503208928</c:v>
                </c:pt>
                <c:pt idx="303">
                  <c:v>21.330985200358889</c:v>
                </c:pt>
                <c:pt idx="304">
                  <c:v>22.689585877217727</c:v>
                </c:pt>
                <c:pt idx="305">
                  <c:v>27.268470180326261</c:v>
                </c:pt>
                <c:pt idx="306">
                  <c:v>9.3630415759982668</c:v>
                </c:pt>
                <c:pt idx="307">
                  <c:v>16.420426254159114</c:v>
                </c:pt>
                <c:pt idx="308">
                  <c:v>28.592267896397967</c:v>
                </c:pt>
                <c:pt idx="309">
                  <c:v>29.45568974106699</c:v>
                </c:pt>
                <c:pt idx="310">
                  <c:v>27.220663566492931</c:v>
                </c:pt>
                <c:pt idx="311">
                  <c:v>20.493594106387448</c:v>
                </c:pt>
                <c:pt idx="312">
                  <c:v>9.582471414162649</c:v>
                </c:pt>
                <c:pt idx="313">
                  <c:v>19.899165405620291</c:v>
                </c:pt>
                <c:pt idx="314">
                  <c:v>26.9500049353116</c:v>
                </c:pt>
                <c:pt idx="315">
                  <c:v>26.994141361333135</c:v>
                </c:pt>
                <c:pt idx="316">
                  <c:v>26.07466912935627</c:v>
                </c:pt>
                <c:pt idx="317">
                  <c:v>9.1811217747310288</c:v>
                </c:pt>
                <c:pt idx="318">
                  <c:v>11.938275284251681</c:v>
                </c:pt>
                <c:pt idx="319">
                  <c:v>26.503922338716656</c:v>
                </c:pt>
                <c:pt idx="320">
                  <c:v>12.405593488351673</c:v>
                </c:pt>
                <c:pt idx="321">
                  <c:v>14.724555954922288</c:v>
                </c:pt>
                <c:pt idx="322">
                  <c:v>7.5407960180564242</c:v>
                </c:pt>
                <c:pt idx="323">
                  <c:v>15.07134050238805</c:v>
                </c:pt>
                <c:pt idx="324">
                  <c:v>3.185004648857491</c:v>
                </c:pt>
                <c:pt idx="325">
                  <c:v>7.9175674625336239</c:v>
                </c:pt>
                <c:pt idx="326">
                  <c:v>11.865669545864032</c:v>
                </c:pt>
                <c:pt idx="327">
                  <c:v>13.059746823284904</c:v>
                </c:pt>
                <c:pt idx="328">
                  <c:v>5.0567975093491961</c:v>
                </c:pt>
                <c:pt idx="329">
                  <c:v>10.136291669129218</c:v>
                </c:pt>
                <c:pt idx="330">
                  <c:v>14.418439888264883</c:v>
                </c:pt>
                <c:pt idx="331">
                  <c:v>10.451378820427502</c:v>
                </c:pt>
                <c:pt idx="332">
                  <c:v>14.54129167996636</c:v>
                </c:pt>
                <c:pt idx="333">
                  <c:v>4.0512231644172729</c:v>
                </c:pt>
                <c:pt idx="334">
                  <c:v>3.4859160890124139</c:v>
                </c:pt>
                <c:pt idx="335">
                  <c:v>5.7805593639578161</c:v>
                </c:pt>
                <c:pt idx="336">
                  <c:v>8.6343518151803469</c:v>
                </c:pt>
                <c:pt idx="337">
                  <c:v>17.142993186827876</c:v>
                </c:pt>
                <c:pt idx="338">
                  <c:v>23.332855783994191</c:v>
                </c:pt>
                <c:pt idx="339">
                  <c:v>10.806008232807443</c:v>
                </c:pt>
                <c:pt idx="340">
                  <c:v>19.606673084103193</c:v>
                </c:pt>
                <c:pt idx="341">
                  <c:v>4.0476271012352933</c:v>
                </c:pt>
                <c:pt idx="342">
                  <c:v>4.8972616373826954</c:v>
                </c:pt>
                <c:pt idx="343">
                  <c:v>11.527560590215487</c:v>
                </c:pt>
                <c:pt idx="344">
                  <c:v>16.104070789104988</c:v>
                </c:pt>
                <c:pt idx="345">
                  <c:v>5.6083677436129529</c:v>
                </c:pt>
                <c:pt idx="346">
                  <c:v>5.3237281019466476</c:v>
                </c:pt>
                <c:pt idx="347">
                  <c:v>16.892177481698642</c:v>
                </c:pt>
                <c:pt idx="348">
                  <c:v>5.6031070323443819</c:v>
                </c:pt>
                <c:pt idx="349">
                  <c:v>4.774302031106199</c:v>
                </c:pt>
                <c:pt idx="350">
                  <c:v>3.4888948836509015</c:v>
                </c:pt>
                <c:pt idx="351">
                  <c:v>20.949946775615619</c:v>
                </c:pt>
                <c:pt idx="352">
                  <c:v>16.953478441136355</c:v>
                </c:pt>
                <c:pt idx="353">
                  <c:v>4.4566585032201882</c:v>
                </c:pt>
                <c:pt idx="354">
                  <c:v>20.099408720435235</c:v>
                </c:pt>
                <c:pt idx="355">
                  <c:v>16.610471355658579</c:v>
                </c:pt>
                <c:pt idx="356">
                  <c:v>17.153334931201798</c:v>
                </c:pt>
                <c:pt idx="357">
                  <c:v>20.613712129250068</c:v>
                </c:pt>
                <c:pt idx="358">
                  <c:v>12.264776368766608</c:v>
                </c:pt>
                <c:pt idx="359">
                  <c:v>20.899514339698822</c:v>
                </c:pt>
                <c:pt idx="360">
                  <c:v>7.5316994824276433</c:v>
                </c:pt>
                <c:pt idx="361">
                  <c:v>20.074257982858008</c:v>
                </c:pt>
                <c:pt idx="362">
                  <c:v>9.8678761186423802</c:v>
                </c:pt>
                <c:pt idx="363">
                  <c:v>12.992841115360676</c:v>
                </c:pt>
                <c:pt idx="364">
                  <c:v>12.056700365749931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38576"/>
        <c:axId val="537238968"/>
      </c:lineChart>
      <c:dateAx>
        <c:axId val="53723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8968"/>
        <c:crosses val="autoZero"/>
        <c:auto val="1"/>
        <c:lblOffset val="100"/>
        <c:baseTimeUnit val="days"/>
        <c:majorUnit val="1"/>
        <c:majorTimeUnit val="months"/>
      </c:dateAx>
      <c:valAx>
        <c:axId val="5372389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85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5.8743276379716436E-2</c:v>
                </c:pt>
                <c:pt idx="1">
                  <c:v>5.8763892317635458E-2</c:v>
                </c:pt>
                <c:pt idx="2">
                  <c:v>5.8784507804012454E-2</c:v>
                </c:pt>
                <c:pt idx="3">
                  <c:v>5.8805122838857415E-2</c:v>
                </c:pt>
                <c:pt idx="4">
                  <c:v>5.8825737422180224E-2</c:v>
                </c:pt>
                <c:pt idx="5">
                  <c:v>5.8846351553990761E-2</c:v>
                </c:pt>
                <c:pt idx="6">
                  <c:v>5.8866965234298907E-2</c:v>
                </c:pt>
                <c:pt idx="7">
                  <c:v>5.8887578463114543E-2</c:v>
                </c:pt>
                <c:pt idx="8">
                  <c:v>5.8908191240447549E-2</c:v>
                </c:pt>
                <c:pt idx="9">
                  <c:v>5.8928803566307808E-2</c:v>
                </c:pt>
                <c:pt idx="10">
                  <c:v>5.8949415440705311E-2</c:v>
                </c:pt>
                <c:pt idx="11">
                  <c:v>5.8970026863649827E-2</c:v>
                </c:pt>
                <c:pt idx="12">
                  <c:v>5.8990637835151238E-2</c:v>
                </c:pt>
                <c:pt idx="13">
                  <c:v>5.9011248355219537E-2</c:v>
                </c:pt>
                <c:pt idx="14">
                  <c:v>5.9031858423864492E-2</c:v>
                </c:pt>
                <c:pt idx="15">
                  <c:v>5.9052468041096096E-2</c:v>
                </c:pt>
                <c:pt idx="16">
                  <c:v>5.9073077206924229E-2</c:v>
                </c:pt>
                <c:pt idx="17">
                  <c:v>5.9093685921358663E-2</c:v>
                </c:pt>
                <c:pt idx="18">
                  <c:v>5.9114294184409388E-2</c:v>
                </c:pt>
                <c:pt idx="19">
                  <c:v>5.9134901996086287E-2</c:v>
                </c:pt>
                <c:pt idx="20">
                  <c:v>5.9155509356399127E-2</c:v>
                </c:pt>
                <c:pt idx="21">
                  <c:v>5.9176116265358014E-2</c:v>
                </c:pt>
                <c:pt idx="22">
                  <c:v>5.9196722722972606E-2</c:v>
                </c:pt>
                <c:pt idx="23">
                  <c:v>5.9217328729253005E-2</c:v>
                </c:pt>
                <c:pt idx="24">
                  <c:v>5.9237934284208871E-2</c:v>
                </c:pt>
                <c:pt idx="25">
                  <c:v>5.9258539387850195E-2</c:v>
                </c:pt>
                <c:pt idx="26">
                  <c:v>5.9279144040186971E-2</c:v>
                </c:pt>
                <c:pt idx="27">
                  <c:v>5.9299748241228967E-2</c:v>
                </c:pt>
                <c:pt idx="28">
                  <c:v>5.9320351990985953E-2</c:v>
                </c:pt>
                <c:pt idx="29">
                  <c:v>5.9340955289468034E-2</c:v>
                </c:pt>
                <c:pt idx="30">
                  <c:v>5.9361558136684978E-2</c:v>
                </c:pt>
                <c:pt idx="31">
                  <c:v>5.9382160532646777E-2</c:v>
                </c:pt>
                <c:pt idx="32">
                  <c:v>5.9402762477363091E-2</c:v>
                </c:pt>
                <c:pt idx="33">
                  <c:v>5.9423363970844023E-2</c:v>
                </c:pt>
                <c:pt idx="34">
                  <c:v>5.9443965013099342E-2</c:v>
                </c:pt>
                <c:pt idx="35">
                  <c:v>5.9464565604139041E-2</c:v>
                </c:pt>
                <c:pt idx="36">
                  <c:v>5.948516574397289E-2</c:v>
                </c:pt>
                <c:pt idx="37">
                  <c:v>5.9505765432610769E-2</c:v>
                </c:pt>
                <c:pt idx="38">
                  <c:v>5.952636467006267E-2</c:v>
                </c:pt>
                <c:pt idx="39">
                  <c:v>5.9546963456338253E-2</c:v>
                </c:pt>
                <c:pt idx="40">
                  <c:v>5.9567561791447732E-2</c:v>
                </c:pt>
                <c:pt idx="41">
                  <c:v>5.9588159675400654E-2</c:v>
                </c:pt>
                <c:pt idx="42">
                  <c:v>5.9608757108207122E-2</c:v>
                </c:pt>
                <c:pt idx="43">
                  <c:v>5.9629354089877018E-2</c:v>
                </c:pt>
                <c:pt idx="44">
                  <c:v>5.9649950620420111E-2</c:v>
                </c:pt>
                <c:pt idx="45">
                  <c:v>5.9670546699846283E-2</c:v>
                </c:pt>
                <c:pt idx="46">
                  <c:v>5.9691142328165525E-2</c:v>
                </c:pt>
                <c:pt idx="47">
                  <c:v>5.9711737505387608E-2</c:v>
                </c:pt>
                <c:pt idx="48">
                  <c:v>5.9732332231522411E-2</c:v>
                </c:pt>
                <c:pt idx="49">
                  <c:v>5.9752926506579929E-2</c:v>
                </c:pt>
                <c:pt idx="50">
                  <c:v>5.9773520330569929E-2</c:v>
                </c:pt>
                <c:pt idx="51">
                  <c:v>5.9794113703502294E-2</c:v>
                </c:pt>
                <c:pt idx="52">
                  <c:v>5.9814706625387015E-2</c:v>
                </c:pt>
                <c:pt idx="53">
                  <c:v>5.9835299096233863E-2</c:v>
                </c:pt>
                <c:pt idx="54">
                  <c:v>5.9855891116052717E-2</c:v>
                </c:pt>
                <c:pt idx="55">
                  <c:v>5.9876482684853571E-2</c:v>
                </c:pt>
                <c:pt idx="56">
                  <c:v>5.9897073802646195E-2</c:v>
                </c:pt>
                <c:pt idx="57">
                  <c:v>5.9917664469440468E-2</c:v>
                </c:pt>
                <c:pt idx="58">
                  <c:v>5.9938254685246273E-2</c:v>
                </c:pt>
                <c:pt idx="59">
                  <c:v>5.995884445007349E-2</c:v>
                </c:pt>
                <c:pt idx="60">
                  <c:v>5.9979433763932111E-2</c:v>
                </c:pt>
                <c:pt idx="61">
                  <c:v>6.0000022626831906E-2</c:v>
                </c:pt>
                <c:pt idx="62">
                  <c:v>6.0020611038782645E-2</c:v>
                </c:pt>
                <c:pt idx="63">
                  <c:v>6.0041198999794432E-2</c:v>
                </c:pt>
                <c:pt idx="64">
                  <c:v>6.0061786509877035E-2</c:v>
                </c:pt>
                <c:pt idx="65">
                  <c:v>6.0082373569040337E-2</c:v>
                </c:pt>
                <c:pt idx="66">
                  <c:v>6.0102960177294107E-2</c:v>
                </c:pt>
                <c:pt idx="67">
                  <c:v>6.0123546334648448E-2</c:v>
                </c:pt>
                <c:pt idx="68">
                  <c:v>6.0144132041113019E-2</c:v>
                </c:pt>
                <c:pt idx="69">
                  <c:v>6.0164717296697812E-2</c:v>
                </c:pt>
                <c:pt idx="70">
                  <c:v>6.0185302101412708E-2</c:v>
                </c:pt>
                <c:pt idx="71">
                  <c:v>6.0205886455267477E-2</c:v>
                </c:pt>
                <c:pt idx="72">
                  <c:v>6.0226470358272111E-2</c:v>
                </c:pt>
                <c:pt idx="73">
                  <c:v>6.0247053810436491E-2</c:v>
                </c:pt>
                <c:pt idx="74">
                  <c:v>6.0267636811770386E-2</c:v>
                </c:pt>
                <c:pt idx="75">
                  <c:v>6.028821936228379E-2</c:v>
                </c:pt>
                <c:pt idx="76">
                  <c:v>6.0308801461986472E-2</c:v>
                </c:pt>
                <c:pt idx="77">
                  <c:v>6.0329383110888313E-2</c:v>
                </c:pt>
                <c:pt idx="78">
                  <c:v>6.0349964308999193E-2</c:v>
                </c:pt>
                <c:pt idx="79">
                  <c:v>6.0370545056329106E-2</c:v>
                </c:pt>
                <c:pt idx="80">
                  <c:v>6.039112535288782E-2</c:v>
                </c:pt>
                <c:pt idx="81">
                  <c:v>6.0411705198685217E-2</c:v>
                </c:pt>
                <c:pt idx="82">
                  <c:v>6.0432284593731178E-2</c:v>
                </c:pt>
                <c:pt idx="83">
                  <c:v>6.0452863538035473E-2</c:v>
                </c:pt>
                <c:pt idx="84">
                  <c:v>6.0473442031608204E-2</c:v>
                </c:pt>
                <c:pt idx="85">
                  <c:v>6.0494020074459032E-2</c:v>
                </c:pt>
                <c:pt idx="86">
                  <c:v>6.0514597666597947E-2</c:v>
                </c:pt>
                <c:pt idx="87">
                  <c:v>6.053517480803472E-2</c:v>
                </c:pt>
                <c:pt idx="88">
                  <c:v>6.0555751498779342E-2</c:v>
                </c:pt>
                <c:pt idx="89">
                  <c:v>6.0576327738841695E-2</c:v>
                </c:pt>
                <c:pt idx="90">
                  <c:v>6.0596903528231438E-2</c:v>
                </c:pt>
                <c:pt idx="91">
                  <c:v>6.0617478866958674E-2</c:v>
                </c:pt>
                <c:pt idx="92">
                  <c:v>6.0638053755033172E-2</c:v>
                </c:pt>
                <c:pt idx="93">
                  <c:v>6.0658628192464814E-2</c:v>
                </c:pt>
                <c:pt idx="94">
                  <c:v>6.0679202179263481E-2</c:v>
                </c:pt>
                <c:pt idx="95">
                  <c:v>6.0699775715439053E-2</c:v>
                </c:pt>
                <c:pt idx="96">
                  <c:v>6.0720348801001411E-2</c:v>
                </c:pt>
                <c:pt idx="97">
                  <c:v>6.0740921435960327E-2</c:v>
                </c:pt>
                <c:pt idx="98">
                  <c:v>6.076149362032579E-2</c:v>
                </c:pt>
                <c:pt idx="99">
                  <c:v>6.0782065354107573E-2</c:v>
                </c:pt>
                <c:pt idx="100">
                  <c:v>6.0802636637315555E-2</c:v>
                </c:pt>
                <c:pt idx="101">
                  <c:v>6.0823207469959728E-2</c:v>
                </c:pt>
                <c:pt idx="102">
                  <c:v>6.0843777852049863E-2</c:v>
                </c:pt>
                <c:pt idx="103">
                  <c:v>6.0864347783595729E-2</c:v>
                </c:pt>
                <c:pt idx="104">
                  <c:v>6.088491726460743E-2</c:v>
                </c:pt>
                <c:pt idx="105">
                  <c:v>6.0905486295094624E-2</c:v>
                </c:pt>
                <c:pt idx="106">
                  <c:v>6.0926054875067304E-2</c:v>
                </c:pt>
                <c:pt idx="107">
                  <c:v>6.094662300453535E-2</c:v>
                </c:pt>
                <c:pt idx="108">
                  <c:v>6.0967190683508532E-2</c:v>
                </c:pt>
                <c:pt idx="109">
                  <c:v>6.0987757911996732E-2</c:v>
                </c:pt>
                <c:pt idx="110">
                  <c:v>6.100832469000983E-2</c:v>
                </c:pt>
                <c:pt idx="111">
                  <c:v>6.1028891017557707E-2</c:v>
                </c:pt>
                <c:pt idx="112">
                  <c:v>6.1049456894650245E-2</c:v>
                </c:pt>
                <c:pt idx="113">
                  <c:v>6.1070022321297324E-2</c:v>
                </c:pt>
                <c:pt idx="114">
                  <c:v>6.1090587297508714E-2</c:v>
                </c:pt>
                <c:pt idx="115">
                  <c:v>6.1111151823294407E-2</c:v>
                </c:pt>
                <c:pt idx="116">
                  <c:v>6.1131715898664174E-2</c:v>
                </c:pt>
                <c:pt idx="117">
                  <c:v>6.1152279523627895E-2</c:v>
                </c:pt>
                <c:pt idx="118">
                  <c:v>6.1172842698195562E-2</c:v>
                </c:pt>
                <c:pt idx="119">
                  <c:v>6.1193405422376834E-2</c:v>
                </c:pt>
                <c:pt idx="120">
                  <c:v>6.1213967696181704E-2</c:v>
                </c:pt>
                <c:pt idx="121">
                  <c:v>6.123452951961994E-2</c:v>
                </c:pt>
                <c:pt idx="122">
                  <c:v>6.1255090892701536E-2</c:v>
                </c:pt>
                <c:pt idx="123">
                  <c:v>6.1275651815436261E-2</c:v>
                </c:pt>
                <c:pt idx="124">
                  <c:v>6.1296212287834106E-2</c:v>
                </c:pt>
                <c:pt idx="125">
                  <c:v>6.1316772309904732E-2</c:v>
                </c:pt>
                <c:pt idx="126">
                  <c:v>6.133733188165813E-2</c:v>
                </c:pt>
                <c:pt idx="127">
                  <c:v>6.1357891003104181E-2</c:v>
                </c:pt>
                <c:pt idx="128">
                  <c:v>6.1378449674252655E-2</c:v>
                </c:pt>
                <c:pt idx="129">
                  <c:v>6.1399007895113544E-2</c:v>
                </c:pt>
                <c:pt idx="130">
                  <c:v>6.1419565665696618E-2</c:v>
                </c:pt>
                <c:pt idx="131">
                  <c:v>6.1440122986011647E-2</c:v>
                </c:pt>
                <c:pt idx="132">
                  <c:v>6.1460679856068734E-2</c:v>
                </c:pt>
                <c:pt idx="133">
                  <c:v>6.1481236275877538E-2</c:v>
                </c:pt>
                <c:pt idx="134">
                  <c:v>6.150179224544805E-2</c:v>
                </c:pt>
                <c:pt idx="135">
                  <c:v>6.1522347764789931E-2</c:v>
                </c:pt>
                <c:pt idx="136">
                  <c:v>6.1542902833913393E-2</c:v>
                </c:pt>
                <c:pt idx="137">
                  <c:v>6.1563457452827985E-2</c:v>
                </c:pt>
                <c:pt idx="138">
                  <c:v>6.1584011621543588E-2</c:v>
                </c:pt>
                <c:pt idx="139">
                  <c:v>6.1604565340070194E-2</c:v>
                </c:pt>
                <c:pt idx="140">
                  <c:v>6.1625118608417684E-2</c:v>
                </c:pt>
                <c:pt idx="141">
                  <c:v>6.1645671426595827E-2</c:v>
                </c:pt>
                <c:pt idx="142">
                  <c:v>6.1666223794614505E-2</c:v>
                </c:pt>
                <c:pt idx="143">
                  <c:v>6.1686775712483488E-2</c:v>
                </c:pt>
                <c:pt idx="144">
                  <c:v>6.1707327180212879E-2</c:v>
                </c:pt>
                <c:pt idx="145">
                  <c:v>6.1727878197812225E-2</c:v>
                </c:pt>
                <c:pt idx="146">
                  <c:v>6.174842876529163E-2</c:v>
                </c:pt>
                <c:pt idx="147">
                  <c:v>6.1768978882660863E-2</c:v>
                </c:pt>
                <c:pt idx="148">
                  <c:v>6.1789528549929806E-2</c:v>
                </c:pt>
                <c:pt idx="149">
                  <c:v>6.1810077767108229E-2</c:v>
                </c:pt>
                <c:pt idx="150">
                  <c:v>6.1830626534206123E-2</c:v>
                </c:pt>
                <c:pt idx="151">
                  <c:v>6.1851174851233259E-2</c:v>
                </c:pt>
                <c:pt idx="152">
                  <c:v>6.1871722718199518E-2</c:v>
                </c:pt>
                <c:pt idx="153">
                  <c:v>6.1892270135114669E-2</c:v>
                </c:pt>
                <c:pt idx="154">
                  <c:v>6.1912817101988815E-2</c:v>
                </c:pt>
                <c:pt idx="155">
                  <c:v>6.1933363618831505E-2</c:v>
                </c:pt>
                <c:pt idx="156">
                  <c:v>6.1953909685652842E-2</c:v>
                </c:pt>
                <c:pt idx="157">
                  <c:v>6.1974455302462594E-2</c:v>
                </c:pt>
                <c:pt idx="158">
                  <c:v>6.1995000469270534E-2</c:v>
                </c:pt>
                <c:pt idx="159">
                  <c:v>6.2015545186086651E-2</c:v>
                </c:pt>
                <c:pt idx="160">
                  <c:v>6.2036089452920717E-2</c:v>
                </c:pt>
                <c:pt idx="161">
                  <c:v>6.2056633269782613E-2</c:v>
                </c:pt>
                <c:pt idx="162">
                  <c:v>6.2077176636682219E-2</c:v>
                </c:pt>
                <c:pt idx="163">
                  <c:v>6.2097719553629305E-2</c:v>
                </c:pt>
                <c:pt idx="164">
                  <c:v>6.2118262020633863E-2</c:v>
                </c:pt>
                <c:pt idx="165">
                  <c:v>6.2138804037705553E-2</c:v>
                </c:pt>
                <c:pt idx="166">
                  <c:v>6.2159345604854477E-2</c:v>
                </c:pt>
                <c:pt idx="167">
                  <c:v>6.2179886722090294E-2</c:v>
                </c:pt>
                <c:pt idx="168">
                  <c:v>6.2200427389422996E-2</c:v>
                </c:pt>
                <c:pt idx="169">
                  <c:v>6.2220967606862354E-2</c:v>
                </c:pt>
                <c:pt idx="170">
                  <c:v>6.2241507374418137E-2</c:v>
                </c:pt>
                <c:pt idx="171">
                  <c:v>6.2262046692100448E-2</c:v>
                </c:pt>
                <c:pt idx="172">
                  <c:v>6.2282585559918835E-2</c:v>
                </c:pt>
                <c:pt idx="173">
                  <c:v>6.2303123977883401E-2</c:v>
                </c:pt>
                <c:pt idx="174">
                  <c:v>6.2323661946003917E-2</c:v>
                </c:pt>
                <c:pt idx="175">
                  <c:v>6.2344199464290151E-2</c:v>
                </c:pt>
                <c:pt idx="176">
                  <c:v>6.2364736532752096E-2</c:v>
                </c:pt>
                <c:pt idx="177">
                  <c:v>6.2385273151399412E-2</c:v>
                </c:pt>
                <c:pt idx="178">
                  <c:v>6.24058093202422E-2</c:v>
                </c:pt>
                <c:pt idx="179">
                  <c:v>6.2426345039290121E-2</c:v>
                </c:pt>
                <c:pt idx="180">
                  <c:v>6.2446880308553165E-2</c:v>
                </c:pt>
                <c:pt idx="181">
                  <c:v>6.2467415128040993E-2</c:v>
                </c:pt>
                <c:pt idx="182">
                  <c:v>6.2487949497763706E-2</c:v>
                </c:pt>
                <c:pt idx="183">
                  <c:v>6.2508483417730965E-2</c:v>
                </c:pt>
                <c:pt idx="184">
                  <c:v>6.2529016887952649E-2</c:v>
                </c:pt>
                <c:pt idx="185">
                  <c:v>6.254954990843864E-2</c:v>
                </c:pt>
                <c:pt idx="186">
                  <c:v>6.2570082479198819E-2</c:v>
                </c:pt>
                <c:pt idx="187">
                  <c:v>6.2590614600242955E-2</c:v>
                </c:pt>
                <c:pt idx="188">
                  <c:v>6.2611146271581042E-2</c:v>
                </c:pt>
                <c:pt idx="189">
                  <c:v>6.2631677493222737E-2</c:v>
                </c:pt>
                <c:pt idx="190">
                  <c:v>6.2652208265178033E-2</c:v>
                </c:pt>
                <c:pt idx="191">
                  <c:v>6.26727385874567E-2</c:v>
                </c:pt>
                <c:pt idx="192">
                  <c:v>6.2693268460068619E-2</c:v>
                </c:pt>
                <c:pt idx="193">
                  <c:v>6.271379788302367E-2</c:v>
                </c:pt>
                <c:pt idx="194">
                  <c:v>6.2734326856331624E-2</c:v>
                </c:pt>
                <c:pt idx="195">
                  <c:v>6.2754855380002472E-2</c:v>
                </c:pt>
                <c:pt idx="196">
                  <c:v>6.2775383454045874E-2</c:v>
                </c:pt>
                <c:pt idx="197">
                  <c:v>6.2795911078471822E-2</c:v>
                </c:pt>
                <c:pt idx="198">
                  <c:v>6.2816438253290086E-2</c:v>
                </c:pt>
                <c:pt idx="199">
                  <c:v>6.2836964978510546E-2</c:v>
                </c:pt>
                <c:pt idx="200">
                  <c:v>6.2857491254143083E-2</c:v>
                </c:pt>
                <c:pt idx="201">
                  <c:v>6.2878017080197468E-2</c:v>
                </c:pt>
                <c:pt idx="202">
                  <c:v>6.2898542456683582E-2</c:v>
                </c:pt>
                <c:pt idx="203">
                  <c:v>6.2919067383611194E-2</c:v>
                </c:pt>
                <c:pt idx="204">
                  <c:v>6.2939591860990296E-2</c:v>
                </c:pt>
                <c:pt idx="205">
                  <c:v>6.296011588883077E-2</c:v>
                </c:pt>
                <c:pt idx="206">
                  <c:v>6.2980639467142274E-2</c:v>
                </c:pt>
                <c:pt idx="207">
                  <c:v>6.300116259593469E-2</c:v>
                </c:pt>
                <c:pt idx="208">
                  <c:v>6.3021685275218009E-2</c:v>
                </c:pt>
                <c:pt idx="209">
                  <c:v>6.304220750500189E-2</c:v>
                </c:pt>
                <c:pt idx="210">
                  <c:v>6.3062729285296326E-2</c:v>
                </c:pt>
                <c:pt idx="211">
                  <c:v>6.3083250616111086E-2</c:v>
                </c:pt>
                <c:pt idx="212">
                  <c:v>6.3103771497456052E-2</c:v>
                </c:pt>
                <c:pt idx="213">
                  <c:v>6.3124291929340992E-2</c:v>
                </c:pt>
                <c:pt idx="214">
                  <c:v>6.31448119117759E-2</c:v>
                </c:pt>
                <c:pt idx="215">
                  <c:v>6.3165331444770545E-2</c:v>
                </c:pt>
                <c:pt idx="216">
                  <c:v>6.3185850528334697E-2</c:v>
                </c:pt>
                <c:pt idx="217">
                  <c:v>6.3206369162478238E-2</c:v>
                </c:pt>
                <c:pt idx="218">
                  <c:v>6.3226887347211047E-2</c:v>
                </c:pt>
                <c:pt idx="219">
                  <c:v>6.3247405082542896E-2</c:v>
                </c:pt>
                <c:pt idx="220">
                  <c:v>6.3267922368483775E-2</c:v>
                </c:pt>
                <c:pt idx="221">
                  <c:v>6.3288439205043456E-2</c:v>
                </c:pt>
                <c:pt idx="222">
                  <c:v>6.3308955592231708E-2</c:v>
                </c:pt>
                <c:pt idx="223">
                  <c:v>6.3329471530058412E-2</c:v>
                </c:pt>
                <c:pt idx="224">
                  <c:v>6.3349987018533449E-2</c:v>
                </c:pt>
                <c:pt idx="225">
                  <c:v>6.3370502057666589E-2</c:v>
                </c:pt>
                <c:pt idx="226">
                  <c:v>6.3391016647467824E-2</c:v>
                </c:pt>
                <c:pt idx="227">
                  <c:v>6.3411530787946813E-2</c:v>
                </c:pt>
                <c:pt idx="228">
                  <c:v>6.3432044479113547E-2</c:v>
                </c:pt>
                <c:pt idx="229">
                  <c:v>6.3452557720977687E-2</c:v>
                </c:pt>
                <c:pt idx="230">
                  <c:v>6.3473070513549223E-2</c:v>
                </c:pt>
                <c:pt idx="231">
                  <c:v>6.3493582856838038E-2</c:v>
                </c:pt>
                <c:pt idx="232">
                  <c:v>6.3514094750853789E-2</c:v>
                </c:pt>
                <c:pt idx="233">
                  <c:v>6.3534606195606469E-2</c:v>
                </c:pt>
                <c:pt idx="234">
                  <c:v>6.3555117191105848E-2</c:v>
                </c:pt>
                <c:pt idx="235">
                  <c:v>6.3575627737361806E-2</c:v>
                </c:pt>
                <c:pt idx="236">
                  <c:v>6.3596137834384225E-2</c:v>
                </c:pt>
                <c:pt idx="237">
                  <c:v>6.3616647482182764E-2</c:v>
                </c:pt>
                <c:pt idx="238">
                  <c:v>6.3637156680767415E-2</c:v>
                </c:pt>
                <c:pt idx="239">
                  <c:v>6.3657665430148058E-2</c:v>
                </c:pt>
                <c:pt idx="240">
                  <c:v>6.3678173730334353E-2</c:v>
                </c:pt>
                <c:pt idx="241">
                  <c:v>6.3698681581336292E-2</c:v>
                </c:pt>
                <c:pt idx="242">
                  <c:v>6.3719188983163644E-2</c:v>
                </c:pt>
                <c:pt idx="243">
                  <c:v>6.373969593582629E-2</c:v>
                </c:pt>
                <c:pt idx="244">
                  <c:v>6.3760202439334002E-2</c:v>
                </c:pt>
                <c:pt idx="245">
                  <c:v>6.3780708493696658E-2</c:v>
                </c:pt>
                <c:pt idx="246">
                  <c:v>6.3801214098924142E-2</c:v>
                </c:pt>
                <c:pt idx="247">
                  <c:v>6.3821719255026221E-2</c:v>
                </c:pt>
                <c:pt idx="248">
                  <c:v>6.3842223962012778E-2</c:v>
                </c:pt>
                <c:pt idx="249">
                  <c:v>6.3862728219893583E-2</c:v>
                </c:pt>
                <c:pt idx="250">
                  <c:v>6.3883232028678516E-2</c:v>
                </c:pt>
                <c:pt idx="251">
                  <c:v>6.3903735388377458E-2</c:v>
                </c:pt>
                <c:pt idx="252">
                  <c:v>6.392423829900018E-2</c:v>
                </c:pt>
                <c:pt idx="253">
                  <c:v>6.3944740760556562E-2</c:v>
                </c:pt>
                <c:pt idx="254">
                  <c:v>6.3965242773056374E-2</c:v>
                </c:pt>
                <c:pt idx="255">
                  <c:v>6.3985744336509609E-2</c:v>
                </c:pt>
                <c:pt idx="256">
                  <c:v>6.4006245450925814E-2</c:v>
                </c:pt>
                <c:pt idx="257">
                  <c:v>6.4026746116315092E-2</c:v>
                </c:pt>
                <c:pt idx="258">
                  <c:v>6.4047246332687213E-2</c:v>
                </c:pt>
                <c:pt idx="259">
                  <c:v>6.4067746100051948E-2</c:v>
                </c:pt>
                <c:pt idx="260">
                  <c:v>6.4088245418419176E-2</c:v>
                </c:pt>
                <c:pt idx="261">
                  <c:v>6.4108744287798669E-2</c:v>
                </c:pt>
                <c:pt idx="262">
                  <c:v>6.4129242708200418E-2</c:v>
                </c:pt>
                <c:pt idx="263">
                  <c:v>6.4149740679634082E-2</c:v>
                </c:pt>
                <c:pt idx="264">
                  <c:v>6.4170238202109542E-2</c:v>
                </c:pt>
                <c:pt idx="265">
                  <c:v>6.4190735275636679E-2</c:v>
                </c:pt>
                <c:pt idx="266">
                  <c:v>6.4211231900225374E-2</c:v>
                </c:pt>
                <c:pt idx="267">
                  <c:v>6.4231728075885286E-2</c:v>
                </c:pt>
                <c:pt idx="268">
                  <c:v>6.4252223802626407E-2</c:v>
                </c:pt>
                <c:pt idx="269">
                  <c:v>6.4272719080458507E-2</c:v>
                </c:pt>
                <c:pt idx="270">
                  <c:v>6.4293213909391356E-2</c:v>
                </c:pt>
                <c:pt idx="271">
                  <c:v>6.4313708289434945E-2</c:v>
                </c:pt>
                <c:pt idx="272">
                  <c:v>6.4334202220598935E-2</c:v>
                </c:pt>
                <c:pt idx="273">
                  <c:v>6.4354695702893316E-2</c:v>
                </c:pt>
                <c:pt idx="274">
                  <c:v>6.4375188736327749E-2</c:v>
                </c:pt>
                <c:pt idx="275">
                  <c:v>6.4395681320912224E-2</c:v>
                </c:pt>
                <c:pt idx="276">
                  <c:v>6.4416173456656511E-2</c:v>
                </c:pt>
                <c:pt idx="277">
                  <c:v>6.4436665143570382E-2</c:v>
                </c:pt>
                <c:pt idx="278">
                  <c:v>6.4457156381663716E-2</c:v>
                </c:pt>
                <c:pt idx="279">
                  <c:v>6.4477647170946395E-2</c:v>
                </c:pt>
                <c:pt idx="280">
                  <c:v>6.4498137511428189E-2</c:v>
                </c:pt>
                <c:pt idx="281">
                  <c:v>6.4518627403118867E-2</c:v>
                </c:pt>
                <c:pt idx="282">
                  <c:v>6.4539116846028421E-2</c:v>
                </c:pt>
                <c:pt idx="283">
                  <c:v>6.4559605840166623E-2</c:v>
                </c:pt>
                <c:pt idx="284">
                  <c:v>6.458009438554313E-2</c:v>
                </c:pt>
                <c:pt idx="285">
                  <c:v>6.4600582482168045E-2</c:v>
                </c:pt>
                <c:pt idx="286">
                  <c:v>6.4621070130051028E-2</c:v>
                </c:pt>
                <c:pt idx="287">
                  <c:v>6.4641557329201849E-2</c:v>
                </c:pt>
                <c:pt idx="288">
                  <c:v>6.4662044079630498E-2</c:v>
                </c:pt>
                <c:pt idx="289">
                  <c:v>6.4682530381346748E-2</c:v>
                </c:pt>
                <c:pt idx="290">
                  <c:v>6.4703016234360478E-2</c:v>
                </c:pt>
                <c:pt idx="291">
                  <c:v>6.4723501638681347E-2</c:v>
                </c:pt>
                <c:pt idx="292">
                  <c:v>6.4743986594319347E-2</c:v>
                </c:pt>
                <c:pt idx="293">
                  <c:v>6.4764471101284138E-2</c:v>
                </c:pt>
                <c:pt idx="294">
                  <c:v>6.4784955159585711E-2</c:v>
                </c:pt>
                <c:pt idx="295">
                  <c:v>6.4805438769233947E-2</c:v>
                </c:pt>
                <c:pt idx="296">
                  <c:v>6.4825921930238395E-2</c:v>
                </c:pt>
                <c:pt idx="297">
                  <c:v>6.4846404642609157E-2</c:v>
                </c:pt>
                <c:pt idx="298">
                  <c:v>6.4866886906355892E-2</c:v>
                </c:pt>
                <c:pt idx="299">
                  <c:v>6.4887368721488592E-2</c:v>
                </c:pt>
                <c:pt idx="300">
                  <c:v>6.4907850088016805E-2</c:v>
                </c:pt>
                <c:pt idx="301">
                  <c:v>6.4928331005950635E-2</c:v>
                </c:pt>
                <c:pt idx="302">
                  <c:v>6.494881147529985E-2</c:v>
                </c:pt>
                <c:pt idx="303">
                  <c:v>6.4969291496074111E-2</c:v>
                </c:pt>
                <c:pt idx="304">
                  <c:v>6.4989771068283408E-2</c:v>
                </c:pt>
                <c:pt idx="305">
                  <c:v>6.5010250191937513E-2</c:v>
                </c:pt>
                <c:pt idx="306">
                  <c:v>6.5030728867046195E-2</c:v>
                </c:pt>
                <c:pt idx="307">
                  <c:v>6.5051207093619445E-2</c:v>
                </c:pt>
                <c:pt idx="308">
                  <c:v>6.5071684871666924E-2</c:v>
                </c:pt>
                <c:pt idx="309">
                  <c:v>6.5092162201198511E-2</c:v>
                </c:pt>
                <c:pt idx="310">
                  <c:v>6.5112639082223978E-2</c:v>
                </c:pt>
                <c:pt idx="311">
                  <c:v>6.5133115514753315E-2</c:v>
                </c:pt>
                <c:pt idx="312">
                  <c:v>6.5153591498796071E-2</c:v>
                </c:pt>
                <c:pt idx="313">
                  <c:v>6.5174067034362348E-2</c:v>
                </c:pt>
                <c:pt idx="314">
                  <c:v>6.5194542121461807E-2</c:v>
                </c:pt>
                <c:pt idx="315">
                  <c:v>6.5215016760104327E-2</c:v>
                </c:pt>
                <c:pt idx="316">
                  <c:v>6.5235490950299679E-2</c:v>
                </c:pt>
                <c:pt idx="317">
                  <c:v>6.5255964692057744E-2</c:v>
                </c:pt>
                <c:pt idx="318">
                  <c:v>6.5276437985388291E-2</c:v>
                </c:pt>
                <c:pt idx="319">
                  <c:v>6.5296910830301202E-2</c:v>
                </c:pt>
                <c:pt idx="320">
                  <c:v>6.5317383226806247E-2</c:v>
                </c:pt>
                <c:pt idx="321">
                  <c:v>6.5337855174913306E-2</c:v>
                </c:pt>
                <c:pt idx="322">
                  <c:v>6.535832667463215E-2</c:v>
                </c:pt>
                <c:pt idx="323">
                  <c:v>6.5378797725972548E-2</c:v>
                </c:pt>
                <c:pt idx="324">
                  <c:v>6.5399268328944493E-2</c:v>
                </c:pt>
                <c:pt idx="325">
                  <c:v>6.5419738483557643E-2</c:v>
                </c:pt>
                <c:pt idx="326">
                  <c:v>6.544020818982188E-2</c:v>
                </c:pt>
                <c:pt idx="327">
                  <c:v>6.5460677447746973E-2</c:v>
                </c:pt>
                <c:pt idx="328">
                  <c:v>6.5481146257342804E-2</c:v>
                </c:pt>
                <c:pt idx="329">
                  <c:v>6.5501614618619142E-2</c:v>
                </c:pt>
                <c:pt idx="330">
                  <c:v>6.5522082531585868E-2</c:v>
                </c:pt>
                <c:pt idx="331">
                  <c:v>6.5542549996252863E-2</c:v>
                </c:pt>
                <c:pt idx="332">
                  <c:v>6.5563017012629787E-2</c:v>
                </c:pt>
                <c:pt idx="333">
                  <c:v>6.5583483580726409E-2</c:v>
                </c:pt>
                <c:pt idx="334">
                  <c:v>6.5603949700552833E-2</c:v>
                </c:pt>
                <c:pt idx="335">
                  <c:v>6.5624415372118605E-2</c:v>
                </c:pt>
                <c:pt idx="336">
                  <c:v>6.5644880595433719E-2</c:v>
                </c:pt>
                <c:pt idx="337">
                  <c:v>6.5665345370507833E-2</c:v>
                </c:pt>
                <c:pt idx="338">
                  <c:v>6.5685809697350939E-2</c:v>
                </c:pt>
                <c:pt idx="339">
                  <c:v>6.5706273575972696E-2</c:v>
                </c:pt>
                <c:pt idx="340">
                  <c:v>6.5726737006382985E-2</c:v>
                </c:pt>
                <c:pt idx="341">
                  <c:v>6.5747199988591687E-2</c:v>
                </c:pt>
                <c:pt idx="342">
                  <c:v>6.5767662522608572E-2</c:v>
                </c:pt>
                <c:pt idx="343">
                  <c:v>6.578812460844341E-2</c:v>
                </c:pt>
                <c:pt idx="344">
                  <c:v>6.5808586246106082E-2</c:v>
                </c:pt>
                <c:pt idx="345">
                  <c:v>6.5829047435606358E-2</c:v>
                </c:pt>
                <c:pt idx="346">
                  <c:v>6.5849508176954008E-2</c:v>
                </c:pt>
                <c:pt idx="347">
                  <c:v>6.5869968470159024E-2</c:v>
                </c:pt>
                <c:pt idx="348">
                  <c:v>6.5890428315231064E-2</c:v>
                </c:pt>
                <c:pt idx="349">
                  <c:v>6.59108877121799E-2</c:v>
                </c:pt>
                <c:pt idx="350">
                  <c:v>6.5931346661015522E-2</c:v>
                </c:pt>
                <c:pt idx="351">
                  <c:v>6.5951805161747701E-2</c:v>
                </c:pt>
                <c:pt idx="352">
                  <c:v>6.5972263214386206E-2</c:v>
                </c:pt>
                <c:pt idx="353">
                  <c:v>6.5992720818940809E-2</c:v>
                </c:pt>
                <c:pt idx="354">
                  <c:v>6.6013177975421278E-2</c:v>
                </c:pt>
                <c:pt idx="355">
                  <c:v>6.6033634683837605E-2</c:v>
                </c:pt>
                <c:pt idx="356">
                  <c:v>6.6054090944199562E-2</c:v>
                </c:pt>
                <c:pt idx="357">
                  <c:v>6.6074546756516916E-2</c:v>
                </c:pt>
                <c:pt idx="358">
                  <c:v>6.609500212079944E-2</c:v>
                </c:pt>
                <c:pt idx="359">
                  <c:v>6.6115457037056902E-2</c:v>
                </c:pt>
                <c:pt idx="360">
                  <c:v>6.6135911505299294E-2</c:v>
                </c:pt>
                <c:pt idx="361">
                  <c:v>6.6156365525536387E-2</c:v>
                </c:pt>
                <c:pt idx="362">
                  <c:v>6.6176819097777839E-2</c:v>
                </c:pt>
                <c:pt idx="363">
                  <c:v>6.6197272222033643E-2</c:v>
                </c:pt>
                <c:pt idx="364">
                  <c:v>6.6217724898313568E-2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4.9930984055546336E-2</c:v>
                </c:pt>
                <c:pt idx="1">
                  <c:v>4.9983875443212596E-2</c:v>
                </c:pt>
                <c:pt idx="2">
                  <c:v>5.0036824922276985E-2</c:v>
                </c:pt>
                <c:pt idx="3">
                  <c:v>5.0089821192211094E-2</c:v>
                </c:pt>
                <c:pt idx="4">
                  <c:v>5.0142854414273109E-2</c:v>
                </c:pt>
                <c:pt idx="5">
                  <c:v>5.0195916170766276E-2</c:v>
                </c:pt>
                <c:pt idx="6">
                  <c:v>5.0248999412899654E-2</c:v>
                </c:pt>
                <c:pt idx="7">
                  <c:v>5.0302098398129727E-2</c:v>
                </c:pt>
                <c:pt idx="8">
                  <c:v>5.0355208617940975E-2</c:v>
                </c:pt>
                <c:pt idx="9">
                  <c:v>5.0408326717093457E-2</c:v>
                </c:pt>
                <c:pt idx="10">
                  <c:v>5.0461450405424081E-2</c:v>
                </c:pt>
                <c:pt idx="11">
                  <c:v>5.0514578363334839E-2</c:v>
                </c:pt>
                <c:pt idx="12">
                  <c:v>5.0567710142137574E-2</c:v>
                </c:pt>
                <c:pt idx="13">
                  <c:v>5.0620846060447769E-2</c:v>
                </c:pt>
                <c:pt idx="14">
                  <c:v>5.0673987097831545E-2</c:v>
                </c:pt>
                <c:pt idx="15">
                  <c:v>5.0727134786910183E-2</c:v>
                </c:pt>
                <c:pt idx="16">
                  <c:v>5.0780291105113805E-2</c:v>
                </c:pt>
                <c:pt idx="17">
                  <c:v>5.0833458367252671E-2</c:v>
                </c:pt>
                <c:pt idx="18">
                  <c:v>5.0886639120040149E-2</c:v>
                </c:pt>
                <c:pt idx="19">
                  <c:v>5.0939836039655892E-2</c:v>
                </c:pt>
                <c:pt idx="20">
                  <c:v>5.0993051833383159E-2</c:v>
                </c:pt>
                <c:pt idx="21">
                  <c:v>5.1046289146289475E-2</c:v>
                </c:pt>
                <c:pt idx="22">
                  <c:v>5.1099550473847392E-2</c:v>
                </c:pt>
                <c:pt idx="23">
                  <c:v>5.1152838081312033E-2</c:v>
                </c:pt>
                <c:pt idx="24">
                  <c:v>5.1206153930584024E-2</c:v>
                </c:pt>
                <c:pt idx="25">
                  <c:v>5.125949961519511E-2</c:v>
                </c:pt>
                <c:pt idx="26">
                  <c:v>5.1312876303955292E-2</c:v>
                </c:pt>
                <c:pt idx="27">
                  <c:v>5.1366284693699749E-2</c:v>
                </c:pt>
                <c:pt idx="28">
                  <c:v>5.141972497147039E-2</c:v>
                </c:pt>
                <c:pt idx="29">
                  <c:v>5.1473196786361697E-2</c:v>
                </c:pt>
                <c:pt idx="30">
                  <c:v>5.1526699231155465E-2</c:v>
                </c:pt>
                <c:pt idx="31">
                  <c:v>5.1580230833764271E-2</c:v>
                </c:pt>
                <c:pt idx="32">
                  <c:v>5.1633789558401089E-2</c:v>
                </c:pt>
                <c:pt idx="33">
                  <c:v>5.1687372816292446E-2</c:v>
                </c:pt>
                <c:pt idx="34">
                  <c:v>5.1740977485656363E-2</c:v>
                </c:pt>
                <c:pt idx="35">
                  <c:v>5.1794599940575156E-2</c:v>
                </c:pt>
                <c:pt idx="36">
                  <c:v>5.1848236088307575E-2</c:v>
                </c:pt>
                <c:pt idx="37">
                  <c:v>5.1901881414505031E-2</c:v>
                </c:pt>
                <c:pt idx="38">
                  <c:v>5.1955531035724985E-2</c:v>
                </c:pt>
                <c:pt idx="39">
                  <c:v>5.2009179758569814E-2</c:v>
                </c:pt>
                <c:pt idx="40">
                  <c:v>5.2062822144723492E-2</c:v>
                </c:pt>
                <c:pt idx="41">
                  <c:v>5.2116452581110591E-2</c:v>
                </c:pt>
                <c:pt idx="42">
                  <c:v>5.2170065354364255E-2</c:v>
                </c:pt>
                <c:pt idx="43">
                  <c:v>5.2223654728760449E-2</c:v>
                </c:pt>
                <c:pt idx="44">
                  <c:v>5.227721502675562E-2</c:v>
                </c:pt>
                <c:pt idx="45">
                  <c:v>5.2330740711255729E-2</c:v>
                </c:pt>
                <c:pt idx="46">
                  <c:v>5.2384226468742565E-2</c:v>
                </c:pt>
                <c:pt idx="47">
                  <c:v>5.2437667292392333E-2</c:v>
                </c:pt>
                <c:pt idx="48">
                  <c:v>5.2491058564338777E-2</c:v>
                </c:pt>
                <c:pt idx="49">
                  <c:v>5.2544396136258192E-2</c:v>
                </c:pt>
                <c:pt idx="50">
                  <c:v>5.2597676407488539E-2</c:v>
                </c:pt>
                <c:pt idx="51">
                  <c:v>5.2650896399935615E-2</c:v>
                </c:pt>
                <c:pt idx="52">
                  <c:v>5.2704053829068016E-2</c:v>
                </c:pt>
                <c:pt idx="53">
                  <c:v>5.2757147170357399E-2</c:v>
                </c:pt>
                <c:pt idx="54">
                  <c:v>5.2810175720580291E-2</c:v>
                </c:pt>
                <c:pt idx="55">
                  <c:v>5.286313965346337E-2</c:v>
                </c:pt>
                <c:pt idx="56">
                  <c:v>5.2916040069222375E-2</c:v>
                </c:pt>
                <c:pt idx="57">
                  <c:v>5.2968879037617329E-2</c:v>
                </c:pt>
                <c:pt idx="58">
                  <c:v>5.3021659634220258E-2</c:v>
                </c:pt>
                <c:pt idx="59">
                  <c:v>5.3074385969667563E-2</c:v>
                </c:pt>
                <c:pt idx="60">
                  <c:v>5.3127063211744721E-2</c:v>
                </c:pt>
                <c:pt idx="61">
                  <c:v>5.3179697600226186E-2</c:v>
                </c:pt>
                <c:pt idx="62">
                  <c:v>5.3232296454467642E-2</c:v>
                </c:pt>
                <c:pt idx="63">
                  <c:v>5.328486817381916E-2</c:v>
                </c:pt>
                <c:pt idx="64">
                  <c:v>5.3337422230997078E-2</c:v>
                </c:pt>
                <c:pt idx="65">
                  <c:v>5.3389969158617052E-2</c:v>
                </c:pt>
                <c:pt idx="66">
                  <c:v>5.3442520529151841E-2</c:v>
                </c:pt>
                <c:pt idx="67">
                  <c:v>5.3495088928632875E-2</c:v>
                </c:pt>
                <c:pt idx="68">
                  <c:v>5.3547687924464786E-2</c:v>
                </c:pt>
                <c:pt idx="69">
                  <c:v>5.3600332027766331E-2</c:v>
                </c:pt>
                <c:pt idx="70">
                  <c:v>5.3653036650688553E-2</c:v>
                </c:pt>
                <c:pt idx="71">
                  <c:v>5.3705818059192306E-2</c:v>
                </c:pt>
                <c:pt idx="72">
                  <c:v>5.3758693321790577E-2</c:v>
                </c:pt>
                <c:pt idx="73">
                  <c:v>5.3811680254778609E-2</c:v>
                </c:pt>
                <c:pt idx="74">
                  <c:v>5.3864797364484053E-2</c:v>
                </c:pt>
                <c:pt idx="75">
                  <c:v>5.3918063787071764E-2</c:v>
                </c:pt>
                <c:pt idx="76">
                  <c:v>5.3971499226434336E-2</c:v>
                </c:pt>
                <c:pt idx="77">
                  <c:v>5.4025123890687268E-2</c:v>
                </c:pt>
                <c:pt idx="78">
                  <c:v>5.4078958427770794E-2</c:v>
                </c:pt>
                <c:pt idx="79">
                  <c:v>5.4133023860636689E-2</c:v>
                </c:pt>
                <c:pt idx="80">
                  <c:v>5.4187341522468881E-2</c:v>
                </c:pt>
                <c:pt idx="81">
                  <c:v>5.4241932992352596E-2</c:v>
                </c:pt>
                <c:pt idx="82">
                  <c:v>5.4296820031768091E-2</c:v>
                </c:pt>
                <c:pt idx="83">
                  <c:v>5.4352024522241978E-2</c:v>
                </c:pt>
                <c:pt idx="84">
                  <c:v>5.4407568404443676E-2</c:v>
                </c:pt>
                <c:pt idx="85">
                  <c:v>5.4463473618966085E-2</c:v>
                </c:pt>
                <c:pt idx="86">
                  <c:v>5.4519762048979382E-2</c:v>
                </c:pt>
                <c:pt idx="87">
                  <c:v>5.4576455464896222E-2</c:v>
                </c:pt>
                <c:pt idx="88">
                  <c:v>5.4633575471134878E-2</c:v>
                </c:pt>
                <c:pt idx="89">
                  <c:v>5.4691143455016716E-2</c:v>
                </c:pt>
                <c:pt idx="90">
                  <c:v>5.4749180537784763E-2</c:v>
                </c:pt>
                <c:pt idx="91">
                  <c:v>5.4807707527682728E-2</c:v>
                </c:pt>
                <c:pt idx="92">
                  <c:v>5.4866744874989833E-2</c:v>
                </c:pt>
                <c:pt idx="93">
                  <c:v>5.4926312628864812E-2</c:v>
                </c:pt>
                <c:pt idx="94">
                  <c:v>5.4986430395816091E-2</c:v>
                </c:pt>
                <c:pt idx="95">
                  <c:v>5.504711729958206E-2</c:v>
                </c:pt>
                <c:pt idx="96">
                  <c:v>5.5108391942178224E-2</c:v>
                </c:pt>
                <c:pt idx="97">
                  <c:v>5.5170272365845638E-2</c:v>
                </c:pt>
                <c:pt idx="98">
                  <c:v>5.5232776015619316E-2</c:v>
                </c:pt>
                <c:pt idx="99">
                  <c:v>5.5295919702224958E-2</c:v>
                </c:pt>
                <c:pt idx="100">
                  <c:v>5.5359719565008833E-2</c:v>
                </c:pt>
                <c:pt idx="101">
                  <c:v>5.5424191034608168E-2</c:v>
                </c:pt>
                <c:pt idx="102">
                  <c:v>5.5489348795078899E-2</c:v>
                </c:pt>
                <c:pt idx="103">
                  <c:v>5.5555206745212894E-2</c:v>
                </c:pt>
                <c:pt idx="104">
                  <c:v>5.5621777958798531E-2</c:v>
                </c:pt>
                <c:pt idx="105">
                  <c:v>5.568907464360652E-2</c:v>
                </c:pt>
                <c:pt idx="106">
                  <c:v>5.5757108098915889E-2</c:v>
                </c:pt>
                <c:pt idx="107">
                  <c:v>5.582588867143401E-2</c:v>
                </c:pt>
                <c:pt idx="108">
                  <c:v>5.5895425709507805E-2</c:v>
                </c:pt>
                <c:pt idx="109">
                  <c:v>5.5965727515570968E-2</c:v>
                </c:pt>
                <c:pt idx="110">
                  <c:v>5.6036801296823063E-2</c:v>
                </c:pt>
                <c:pt idx="111">
                  <c:v>5.6108653114191068E-2</c:v>
                </c:pt>
                <c:pt idx="112">
                  <c:v>5.6181287829679696E-2</c:v>
                </c:pt>
                <c:pt idx="113">
                  <c:v>5.6254709052275191E-2</c:v>
                </c:pt>
                <c:pt idx="114">
                  <c:v>5.6328919082625564E-2</c:v>
                </c:pt>
                <c:pt idx="115">
                  <c:v>5.640391885677868E-2</c:v>
                </c:pt>
                <c:pt idx="116">
                  <c:v>5.6479707889317284E-2</c:v>
                </c:pt>
                <c:pt idx="117">
                  <c:v>5.6556284216285252E-2</c:v>
                </c:pt>
                <c:pt idx="118">
                  <c:v>5.6633644338352725E-2</c:v>
                </c:pt>
                <c:pt idx="119">
                  <c:v>5.0553188945380769E-3</c:v>
                </c:pt>
                <c:pt idx="120">
                  <c:v>5.1548725348463135E-3</c:v>
                </c:pt>
                <c:pt idx="121">
                  <c:v>5.2545072066246482E-3</c:v>
                </c:pt>
                <c:pt idx="122">
                  <c:v>5.3542255838328646E-3</c:v>
                </c:pt>
                <c:pt idx="123">
                  <c:v>5.4540300834266019E-3</c:v>
                </c:pt>
                <c:pt idx="124">
                  <c:v>5.5539228471982649E-3</c:v>
                </c:pt>
                <c:pt idx="125">
                  <c:v>5.653905723751392E-3</c:v>
                </c:pt>
                <c:pt idx="126">
                  <c:v>5.7539802507311846E-3</c:v>
                </c:pt>
                <c:pt idx="127">
                  <c:v>5.8541476374415861E-3</c:v>
                </c:pt>
                <c:pt idx="128">
                  <c:v>5.9544087479871596E-3</c:v>
                </c:pt>
                <c:pt idx="129">
                  <c:v>6.0547640850832215E-3</c:v>
                </c:pt>
                <c:pt idx="130">
                  <c:v>6.1552137746833458E-3</c:v>
                </c:pt>
                <c:pt idx="131">
                  <c:v>6.2557575515760425E-3</c:v>
                </c:pt>
                <c:pt idx="132">
                  <c:v>6.3563947461047921E-3</c:v>
                </c:pt>
                <c:pt idx="133">
                  <c:v>6.4571242721658054E-3</c:v>
                </c:pt>
                <c:pt idx="134">
                  <c:v>6.5579446166363874E-3</c:v>
                </c:pt>
                <c:pt idx="135">
                  <c:v>6.658853830383971E-3</c:v>
                </c:pt>
                <c:pt idx="136">
                  <c:v>6.7598495210007617E-3</c:v>
                </c:pt>
                <c:pt idx="137">
                  <c:v>6.8609288474026026E-3</c:v>
                </c:pt>
                <c:pt idx="138">
                  <c:v>6.9620885164217959E-3</c:v>
                </c:pt>
                <c:pt idx="139">
                  <c:v>7.0633247815138885E-3</c:v>
                </c:pt>
                <c:pt idx="140">
                  <c:v>7.1646334436861235E-3</c:v>
                </c:pt>
                <c:pt idx="141">
                  <c:v>7.2660098547419252E-3</c:v>
                </c:pt>
                <c:pt idx="142">
                  <c:v>7.3674489229203881E-3</c:v>
                </c:pt>
                <c:pt idx="143">
                  <c:v>7.4689451209933883E-3</c:v>
                </c:pt>
                <c:pt idx="144">
                  <c:v>7.5704924968647957E-3</c:v>
                </c:pt>
                <c:pt idx="145">
                  <c:v>7.6720846866972841E-3</c:v>
                </c:pt>
                <c:pt idx="146">
                  <c:v>7.7737149305720727E-3</c:v>
                </c:pt>
                <c:pt idx="147">
                  <c:v>7.875376090665992E-3</c:v>
                </c:pt>
                <c:pt idx="148">
                  <c:v>7.9770606719088439E-3</c:v>
                </c:pt>
                <c:pt idx="149">
                  <c:v>8.0787608450618303E-3</c:v>
                </c:pt>
                <c:pt idx="150">
                  <c:v>8.1804684721359672E-3</c:v>
                </c:pt>
                <c:pt idx="151">
                  <c:v>8.2821751340471528E-3</c:v>
                </c:pt>
                <c:pt idx="152">
                  <c:v>8.3838721603828534E-3</c:v>
                </c:pt>
                <c:pt idx="153">
                  <c:v>8.4855506611338453E-3</c:v>
                </c:pt>
                <c:pt idx="154">
                  <c:v>8.5872015602244632E-3</c:v>
                </c:pt>
                <c:pt idx="155">
                  <c:v>8.6888156306546265E-3</c:v>
                </c:pt>
                <c:pt idx="156">
                  <c:v>8.7903835310491063E-3</c:v>
                </c:pt>
                <c:pt idx="157">
                  <c:v>8.8918958433923979E-3</c:v>
                </c:pt>
                <c:pt idx="158">
                  <c:v>8.9933431117125914E-3</c:v>
                </c:pt>
                <c:pt idx="159">
                  <c:v>9.0947158814639207E-3</c:v>
                </c:pt>
                <c:pt idx="160">
                  <c:v>9.1960047393466627E-3</c:v>
                </c:pt>
                <c:pt idx="161">
                  <c:v>9.2972003532939603E-3</c:v>
                </c:pt>
                <c:pt idx="162">
                  <c:v>9.398293512348074E-3</c:v>
                </c:pt>
                <c:pt idx="163">
                  <c:v>9.4992751661444035E-3</c:v>
                </c:pt>
                <c:pt idx="164">
                  <c:v>9.6001364637198564E-3</c:v>
                </c:pt>
                <c:pt idx="165">
                  <c:v>9.7008687913628065E-3</c:v>
                </c:pt>
                <c:pt idx="166">
                  <c:v>9.8014638092254556E-3</c:v>
                </c:pt>
                <c:pt idx="167">
                  <c:v>9.9019134864254E-3</c:v>
                </c:pt>
                <c:pt idx="168">
                  <c:v>1.0002210134372011E-2</c:v>
                </c:pt>
                <c:pt idx="169">
                  <c:v>1.0102346438064619E-2</c:v>
                </c:pt>
                <c:pt idx="170">
                  <c:v>1.0202315485123205E-2</c:v>
                </c:pt>
                <c:pt idx="171">
                  <c:v>1.0302110792328715E-2</c:v>
                </c:pt>
                <c:pt idx="172">
                  <c:v>1.0401726329468609E-2</c:v>
                </c:pt>
                <c:pt idx="173">
                  <c:v>1.0501156540303843E-2</c:v>
                </c:pt>
                <c:pt idx="174">
                  <c:v>1.0600396360496301E-2</c:v>
                </c:pt>
                <c:pt idx="175">
                  <c:v>1.0699441232359769E-2</c:v>
                </c:pt>
                <c:pt idx="176">
                  <c:v>1.0798287116323732E-2</c:v>
                </c:pt>
                <c:pt idx="177">
                  <c:v>1.0896930499026109E-2</c:v>
                </c:pt>
                <c:pt idx="178">
                  <c:v>1.0995368397979211E-2</c:v>
                </c:pt>
                <c:pt idx="179">
                  <c:v>1.1093598362782399E-2</c:v>
                </c:pt>
                <c:pt idx="180">
                  <c:v>1.1191618472883441E-2</c:v>
                </c:pt>
                <c:pt idx="181">
                  <c:v>1.1289427331920952E-2</c:v>
                </c:pt>
                <c:pt idx="182">
                  <c:v>1.1387024058708511E-2</c:v>
                </c:pt>
                <c:pt idx="183">
                  <c:v>1.1484408274950729E-2</c:v>
                </c:pt>
                <c:pt idx="184">
                  <c:v>1.1581580089808944E-2</c:v>
                </c:pt>
                <c:pt idx="185">
                  <c:v>1.1678540081461401E-2</c:v>
                </c:pt>
                <c:pt idx="186">
                  <c:v>1.1775289275828304E-2</c:v>
                </c:pt>
                <c:pt idx="187">
                  <c:v>1.1871829122656229E-2</c:v>
                </c:pt>
                <c:pt idx="188">
                  <c:v>1.1968161469178219E-2</c:v>
                </c:pt>
                <c:pt idx="189">
                  <c:v>1.2064288531586059E-2</c:v>
                </c:pt>
                <c:pt idx="190">
                  <c:v>1.2160212864568885E-2</c:v>
                </c:pt>
                <c:pt idx="191">
                  <c:v>1.2255937329187085E-2</c:v>
                </c:pt>
                <c:pt idx="192">
                  <c:v>1.2351465059363168E-2</c:v>
                </c:pt>
                <c:pt idx="193">
                  <c:v>1.2446799427280591E-2</c:v>
                </c:pt>
                <c:pt idx="194">
                  <c:v>1.2541944007988281E-2</c:v>
                </c:pt>
                <c:pt idx="195">
                  <c:v>1.2636902543511901E-2</c:v>
                </c:pt>
                <c:pt idx="196">
                  <c:v>1.2731678906773687E-2</c:v>
                </c:pt>
                <c:pt idx="197">
                  <c:v>1.2826277065619748E-2</c:v>
                </c:pt>
                <c:pt idx="198">
                  <c:v>1.2920701047248224E-2</c:v>
                </c:pt>
                <c:pt idx="199">
                  <c:v>1.3014954903322983E-2</c:v>
                </c:pt>
                <c:pt idx="200">
                  <c:v>1.3109042676045818E-2</c:v>
                </c:pt>
                <c:pt idx="201">
                  <c:v>1.3202968365445605E-2</c:v>
                </c:pt>
                <c:pt idx="202">
                  <c:v>1.3296735898126251E-2</c:v>
                </c:pt>
                <c:pt idx="203">
                  <c:v>1.339034909769512E-2</c:v>
                </c:pt>
                <c:pt idx="204">
                  <c:v>1.3483811657072277E-2</c:v>
                </c:pt>
                <c:pt idx="205">
                  <c:v>1.3577127112857201E-2</c:v>
                </c:pt>
                <c:pt idx="206">
                  <c:v>1.367029882190373E-2</c:v>
                </c:pt>
                <c:pt idx="207">
                  <c:v>1.3763329940227513E-2</c:v>
                </c:pt>
                <c:pt idx="208">
                  <c:v>1.3856223404342028E-2</c:v>
                </c:pt>
                <c:pt idx="209">
                  <c:v>1.394898191509005E-2</c:v>
                </c:pt>
                <c:pt idx="210">
                  <c:v>1.4041607924008917E-2</c:v>
                </c:pt>
                <c:pt idx="211">
                  <c:v>1.4134103622237304E-2</c:v>
                </c:pt>
                <c:pt idx="212">
                  <c:v>1.422647093194299E-2</c:v>
                </c:pt>
                <c:pt idx="213">
                  <c:v>1.4318711500221702E-2</c:v>
                </c:pt>
                <c:pt idx="214">
                  <c:v>1.4410826695389393E-2</c:v>
                </c:pt>
                <c:pt idx="215">
                  <c:v>1.4502817605563769E-2</c:v>
                </c:pt>
                <c:pt idx="216">
                  <c:v>1.4594685039405629E-2</c:v>
                </c:pt>
                <c:pt idx="217">
                  <c:v>1.4686429528867347E-2</c:v>
                </c:pt>
                <c:pt idx="218">
                  <c:v>1.4778051333774527E-2</c:v>
                </c:pt>
                <c:pt idx="219">
                  <c:v>1.486955044804828E-2</c:v>
                </c:pt>
                <c:pt idx="220">
                  <c:v>1.496092660735918E-2</c:v>
                </c:pt>
                <c:pt idx="221">
                  <c:v>1.5052179297990643E-2</c:v>
                </c:pt>
                <c:pt idx="222">
                  <c:v>1.5143307766679232E-2</c:v>
                </c:pt>
                <c:pt idx="223">
                  <c:v>1.5234311031191891E-2</c:v>
                </c:pt>
                <c:pt idx="224">
                  <c:v>1.532518789139636E-2</c:v>
                </c:pt>
                <c:pt idx="225">
                  <c:v>1.5415936940580336E-2</c:v>
                </c:pt>
                <c:pt idx="226">
                  <c:v>1.5506556576777165E-2</c:v>
                </c:pt>
                <c:pt idx="227">
                  <c:v>1.559704501386259E-2</c:v>
                </c:pt>
                <c:pt idx="228">
                  <c:v>1.5687400292195439E-2</c:v>
                </c:pt>
                <c:pt idx="229">
                  <c:v>1.5777620288588326E-2</c:v>
                </c:pt>
                <c:pt idx="230">
                  <c:v>1.5867702725409358E-2</c:v>
                </c:pt>
                <c:pt idx="231">
                  <c:v>1.595764517863461E-2</c:v>
                </c:pt>
                <c:pt idx="232">
                  <c:v>1.6047445084691785E-2</c:v>
                </c:pt>
                <c:pt idx="233">
                  <c:v>1.613709974595947E-2</c:v>
                </c:pt>
                <c:pt idx="234">
                  <c:v>1.6226606334811464E-2</c:v>
                </c:pt>
                <c:pt idx="235">
                  <c:v>1.6315961896123832E-2</c:v>
                </c:pt>
                <c:pt idx="236">
                  <c:v>1.6405163348190886E-2</c:v>
                </c:pt>
                <c:pt idx="237">
                  <c:v>1.6494207482026936E-2</c:v>
                </c:pt>
                <c:pt idx="238">
                  <c:v>1.6583090959061877E-2</c:v>
                </c:pt>
                <c:pt idx="239">
                  <c:v>1.6671810307269722E-2</c:v>
                </c:pt>
                <c:pt idx="240">
                  <c:v>1.6760361915801655E-2</c:v>
                </c:pt>
                <c:pt idx="241">
                  <c:v>1.6848742028225769E-2</c:v>
                </c:pt>
                <c:pt idx="242">
                  <c:v>1.6936946734506804E-2</c:v>
                </c:pt>
                <c:pt idx="243">
                  <c:v>1.7024971961888263E-2</c:v>
                </c:pt>
                <c:pt idx="244">
                  <c:v>1.7112813464867333E-2</c:v>
                </c:pt>
                <c:pt idx="245">
                  <c:v>1.7200466814479277E-2</c:v>
                </c:pt>
                <c:pt idx="246">
                  <c:v>1.7287927387131374E-2</c:v>
                </c:pt>
                <c:pt idx="247">
                  <c:v>1.737519035324778E-2</c:v>
                </c:pt>
                <c:pt idx="248">
                  <c:v>1.7462250666005007E-2</c:v>
                </c:pt>
                <c:pt idx="249">
                  <c:v>1.754910305045259E-2</c:v>
                </c:pt>
                <c:pt idx="250">
                  <c:v>1.7635741993324947E-2</c:v>
                </c:pt>
                <c:pt idx="251">
                  <c:v>1.7722161733858575E-2</c:v>
                </c:pt>
                <c:pt idx="252">
                  <c:v>1.7808356255932457E-2</c:v>
                </c:pt>
                <c:pt idx="253">
                  <c:v>1.7894319281849525E-2</c:v>
                </c:pt>
                <c:pt idx="254">
                  <c:v>1.7980044268073078E-2</c:v>
                </c:pt>
                <c:pt idx="255">
                  <c:v>1.8065524403223388E-2</c:v>
                </c:pt>
                <c:pt idx="256">
                  <c:v>1.8150752608627748E-2</c:v>
                </c:pt>
                <c:pt idx="257">
                  <c:v>1.8235721541700282E-2</c:v>
                </c:pt>
                <c:pt idx="258">
                  <c:v>1.8320423602407231E-2</c:v>
                </c:pt>
                <c:pt idx="259">
                  <c:v>1.8404850943049365E-2</c:v>
                </c:pt>
                <c:pt idx="260">
                  <c:v>1.8488995481564453E-2</c:v>
                </c:pt>
                <c:pt idx="261">
                  <c:v>1.8572848918521477E-2</c:v>
                </c:pt>
                <c:pt idx="262">
                  <c:v>1.8656402757943346E-2</c:v>
                </c:pt>
                <c:pt idx="263">
                  <c:v>1.8739648332057015E-2</c:v>
                </c:pt>
                <c:pt idx="264">
                  <c:v>1.8822576830030024E-2</c:v>
                </c:pt>
                <c:pt idx="265">
                  <c:v>1.8905179330709641E-2</c:v>
                </c:pt>
                <c:pt idx="266">
                  <c:v>1.8987446839337271E-2</c:v>
                </c:pt>
                <c:pt idx="267">
                  <c:v>1.9069370328164855E-2</c:v>
                </c:pt>
                <c:pt idx="268">
                  <c:v>1.9150940780854428E-2</c:v>
                </c:pt>
                <c:pt idx="269">
                  <c:v>1.9232149240494996E-2</c:v>
                </c:pt>
                <c:pt idx="270">
                  <c:v>1.9312986861025064E-2</c:v>
                </c:pt>
                <c:pt idx="271">
                  <c:v>1.9393444961803175E-2</c:v>
                </c:pt>
                <c:pt idx="272">
                  <c:v>1.9473515085024699E-2</c:v>
                </c:pt>
                <c:pt idx="273">
                  <c:v>1.9553189055640335E-2</c:v>
                </c:pt>
                <c:pt idx="274">
                  <c:v>1.9632459043391053E-2</c:v>
                </c:pt>
                <c:pt idx="275">
                  <c:v>1.9711317626536894E-2</c:v>
                </c:pt>
                <c:pt idx="276">
                  <c:v>1.9789757856821674E-2</c:v>
                </c:pt>
                <c:pt idx="277">
                  <c:v>1.9867773325185262E-2</c:v>
                </c:pt>
                <c:pt idx="278">
                  <c:v>1.994535822770719E-2</c:v>
                </c:pt>
                <c:pt idx="279">
                  <c:v>2.0022507431243487E-2</c:v>
                </c:pt>
                <c:pt idx="280">
                  <c:v>2.0099216538199471E-2</c:v>
                </c:pt>
                <c:pt idx="281">
                  <c:v>2.0175481949869206E-2</c:v>
                </c:pt>
                <c:pt idx="282">
                  <c:v>2.0251300927763647E-2</c:v>
                </c:pt>
                <c:pt idx="283">
                  <c:v>2.0326671652347306E-2</c:v>
                </c:pt>
                <c:pt idx="284">
                  <c:v>2.0401593278606626E-2</c:v>
                </c:pt>
                <c:pt idx="285">
                  <c:v>2.0476065987881407E-2</c:v>
                </c:pt>
                <c:pt idx="286">
                  <c:v>2.0550091035405518E-2</c:v>
                </c:pt>
                <c:pt idx="287">
                  <c:v>2.0623670793023016E-2</c:v>
                </c:pt>
                <c:pt idx="288">
                  <c:v>2.0696808786571347E-2</c:v>
                </c:pt>
                <c:pt idx="289">
                  <c:v>2.0769509727454304E-2</c:v>
                </c:pt>
                <c:pt idx="290">
                  <c:v>2.0841779537963789E-2</c:v>
                </c:pt>
                <c:pt idx="291">
                  <c:v>2.0913625369950593E-2</c:v>
                </c:pt>
                <c:pt idx="292">
                  <c:v>2.0985055616489945E-2</c:v>
                </c:pt>
                <c:pt idx="293">
                  <c:v>2.1056079916238261E-2</c:v>
                </c:pt>
                <c:pt idx="294">
                  <c:v>2.1126709150230842E-2</c:v>
                </c:pt>
                <c:pt idx="295">
                  <c:v>2.1196955430928373E-2</c:v>
                </c:pt>
                <c:pt idx="296">
                  <c:v>2.1266832083379806E-2</c:v>
                </c:pt>
                <c:pt idx="297">
                  <c:v>2.1336353618432273E-2</c:v>
                </c:pt>
                <c:pt idx="298">
                  <c:v>2.1405535697983265E-2</c:v>
                </c:pt>
                <c:pt idx="299">
                  <c:v>2.1474395092335809E-2</c:v>
                </c:pt>
                <c:pt idx="300">
                  <c:v>2.1542949629784279E-2</c:v>
                </c:pt>
                <c:pt idx="301">
                  <c:v>2.1611218138624353E-2</c:v>
                </c:pt>
                <c:pt idx="302">
                  <c:v>2.1679220381847077E-2</c:v>
                </c:pt>
                <c:pt idx="303">
                  <c:v>2.1746976984841262E-2</c:v>
                </c:pt>
                <c:pt idx="304">
                  <c:v>2.1814509356491041E-2</c:v>
                </c:pt>
                <c:pt idx="305">
                  <c:v>2.1881839604116143E-2</c:v>
                </c:pt>
                <c:pt idx="306">
                  <c:v>2.1948990442759227E-2</c:v>
                </c:pt>
                <c:pt idx="307">
                  <c:v>2.2015985099378209E-2</c:v>
                </c:pt>
                <c:pt idx="308">
                  <c:v>2.2082847212551038E-2</c:v>
                </c:pt>
                <c:pt idx="309">
                  <c:v>2.2149600728344935E-2</c:v>
                </c:pt>
                <c:pt idx="310">
                  <c:v>2.2216269793041352E-2</c:v>
                </c:pt>
                <c:pt idx="311">
                  <c:v>2.2282878643442212E-2</c:v>
                </c:pt>
                <c:pt idx="312">
                  <c:v>2.2349451495510729E-2</c:v>
                </c:pt>
                <c:pt idx="313">
                  <c:v>2.2416012432121463E-2</c:v>
                </c:pt>
                <c:pt idx="314">
                  <c:v>2.2482585290710018E-2</c:v>
                </c:pt>
                <c:pt idx="315">
                  <c:v>2.2549193551620592E-2</c:v>
                </c:pt>
                <c:pt idx="316">
                  <c:v>2.2615860227951392E-2</c:v>
                </c:pt>
                <c:pt idx="317">
                  <c:v>2.2682607757692562E-2</c:v>
                </c:pt>
                <c:pt idx="318">
                  <c:v>2.2749457898938612E-2</c:v>
                </c:pt>
                <c:pt idx="319">
                  <c:v>2.2816431628938507E-2</c:v>
                </c:pt>
                <c:pt idx="320">
                  <c:v>2.2883549047720268E-2</c:v>
                </c:pt>
                <c:pt idx="321">
                  <c:v>2.2950829286994507E-2</c:v>
                </c:pt>
                <c:pt idx="322">
                  <c:v>2.3018290425002634E-2</c:v>
                </c:pt>
                <c:pt idx="323">
                  <c:v>2.3085949407930403E-2</c:v>
                </c:pt>
                <c:pt idx="324">
                  <c:v>2.3153821978457289E-2</c:v>
                </c:pt>
                <c:pt idx="325">
                  <c:v>2.3221922611956578E-2</c:v>
                </c:pt>
                <c:pt idx="326">
                  <c:v>2.3290264460800812E-2</c:v>
                </c:pt>
                <c:pt idx="327">
                  <c:v>2.3358859307162843E-2</c:v>
                </c:pt>
                <c:pt idx="328">
                  <c:v>2.3427717524634961E-2</c:v>
                </c:pt>
                <c:pt idx="329">
                  <c:v>2.3496848048917524E-2</c:v>
                </c:pt>
                <c:pt idx="330">
                  <c:v>2.3566258357755492E-2</c:v>
                </c:pt>
                <c:pt idx="331">
                  <c:v>2.3635954460226358E-2</c:v>
                </c:pt>
                <c:pt idx="332">
                  <c:v>2.3705940895407208E-2</c:v>
                </c:pt>
                <c:pt idx="333">
                  <c:v>2.3776220740372663E-2</c:v>
                </c:pt>
                <c:pt idx="334">
                  <c:v>2.3846795627399713E-2</c:v>
                </c:pt>
                <c:pt idx="335">
                  <c:v>2.3917665770181163E-2</c:v>
                </c:pt>
                <c:pt idx="336">
                  <c:v>2.3988829998776655E-2</c:v>
                </c:pt>
                <c:pt idx="337">
                  <c:v>2.4060285802959918E-2</c:v>
                </c:pt>
                <c:pt idx="338">
                  <c:v>2.4132029383554212E-2</c:v>
                </c:pt>
                <c:pt idx="339">
                  <c:v>2.420405571128436E-2</c:v>
                </c:pt>
                <c:pt idx="340">
                  <c:v>2.4276358592614837E-2</c:v>
                </c:pt>
                <c:pt idx="341">
                  <c:v>2.4348930741989454E-2</c:v>
                </c:pt>
                <c:pt idx="342">
                  <c:v>2.4421763859839428E-2</c:v>
                </c:pt>
                <c:pt idx="343">
                  <c:v>2.4494848715683498E-2</c:v>
                </c:pt>
                <c:pt idx="344">
                  <c:v>2.4568175235607555E-2</c:v>
                </c:pt>
                <c:pt idx="345">
                  <c:v>2.46417325933804E-2</c:v>
                </c:pt>
                <c:pt idx="346">
                  <c:v>2.471550930443954E-2</c:v>
                </c:pt>
                <c:pt idx="347">
                  <c:v>2.4789493321963972E-2</c:v>
                </c:pt>
                <c:pt idx="348">
                  <c:v>2.4863672134241979E-2</c:v>
                </c:pt>
                <c:pt idx="349">
                  <c:v>2.4938032862539514E-2</c:v>
                </c:pt>
                <c:pt idx="350">
                  <c:v>2.5012562358680244E-2</c:v>
                </c:pt>
                <c:pt idx="351">
                  <c:v>2.5087247301559829E-2</c:v>
                </c:pt>
                <c:pt idx="352">
                  <c:v>2.516207429183669E-2</c:v>
                </c:pt>
                <c:pt idx="353">
                  <c:v>2.5237029944066829E-2</c:v>
                </c:pt>
                <c:pt idx="354">
                  <c:v>2.5312100975582948E-2</c:v>
                </c:pt>
                <c:pt idx="355">
                  <c:v>2.5387274291455889E-2</c:v>
                </c:pt>
                <c:pt idx="356">
                  <c:v>2.5462537064921121E-2</c:v>
                </c:pt>
                <c:pt idx="357">
                  <c:v>2.5537876812701716E-2</c:v>
                </c:pt>
                <c:pt idx="358">
                  <c:v>2.5613281464713911E-2</c:v>
                </c:pt>
                <c:pt idx="359">
                  <c:v>2.5688739427698875E-2</c:v>
                </c:pt>
                <c:pt idx="360">
                  <c:v>2.576423964238719E-2</c:v>
                </c:pt>
                <c:pt idx="361">
                  <c:v>2.5839771633866502E-2</c:v>
                </c:pt>
                <c:pt idx="362">
                  <c:v>2.5915325554890629E-2</c:v>
                </c:pt>
                <c:pt idx="363">
                  <c:v>2.5990892221937411E-2</c:v>
                </c:pt>
                <c:pt idx="364">
                  <c:v>2.6066463143892219E-2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6.1936236854216075E-5</c:v>
                </c:pt>
                <c:pt idx="1">
                  <c:v>6.167251464071641E-5</c:v>
                </c:pt>
                <c:pt idx="2">
                  <c:v>6.1346443178307073E-5</c:v>
                </c:pt>
                <c:pt idx="3">
                  <c:v>6.096218093359992E-5</c:v>
                </c:pt>
                <c:pt idx="4">
                  <c:v>6.0523798555209998E-5</c:v>
                </c:pt>
                <c:pt idx="5">
                  <c:v>6.0035249153966065E-5</c:v>
                </c:pt>
                <c:pt idx="6">
                  <c:v>5.950034348345893E-5</c:v>
                </c:pt>
                <c:pt idx="7">
                  <c:v>5.8922729603372499E-5</c:v>
                </c:pt>
                <c:pt idx="8">
                  <c:v>5.8297841351726706E-5</c:v>
                </c:pt>
                <c:pt idx="9">
                  <c:v>5.7530027230697331E-5</c:v>
                </c:pt>
                <c:pt idx="10">
                  <c:v>5.6598598558088411E-5</c:v>
                </c:pt>
                <c:pt idx="11">
                  <c:v>5.5508541852021942E-5</c:v>
                </c:pt>
                <c:pt idx="12">
                  <c:v>5.4264897068923106E-5</c:v>
                </c:pt>
                <c:pt idx="13">
                  <c:v>5.2872732134902662E-5</c:v>
                </c:pt>
                <c:pt idx="14">
                  <c:v>5.1337119110797519E-5</c:v>
                </c:pt>
                <c:pt idx="15">
                  <c:v>4.9693888313298862E-5</c:v>
                </c:pt>
                <c:pt idx="16">
                  <c:v>4.80155228832378E-5</c:v>
                </c:pt>
                <c:pt idx="17">
                  <c:v>4.6304265952858412E-5</c:v>
                </c:pt>
                <c:pt idx="18">
                  <c:v>4.4562277573273737E-5</c:v>
                </c:pt>
                <c:pt idx="19">
                  <c:v>4.2791870137673588E-5</c:v>
                </c:pt>
                <c:pt idx="20">
                  <c:v>4.0995330571778409E-5</c:v>
                </c:pt>
                <c:pt idx="21">
                  <c:v>3.9174626757258548E-5</c:v>
                </c:pt>
                <c:pt idx="22">
                  <c:v>3.7328110978122822E-5</c:v>
                </c:pt>
                <c:pt idx="23">
                  <c:v>3.5497564390142114E-5</c:v>
                </c:pt>
                <c:pt idx="24">
                  <c:v>3.3763928430795082E-5</c:v>
                </c:pt>
                <c:pt idx="25">
                  <c:v>3.2126790102164626E-5</c:v>
                </c:pt>
                <c:pt idx="26">
                  <c:v>3.0585389599536273E-5</c:v>
                </c:pt>
                <c:pt idx="27">
                  <c:v>2.9138672213840867E-5</c:v>
                </c:pt>
                <c:pt idx="28">
                  <c:v>2.7785337386065719E-5</c:v>
                </c:pt>
                <c:pt idx="29">
                  <c:v>2.6587214053595363E-5</c:v>
                </c:pt>
                <c:pt idx="30">
                  <c:v>2.5514148437028348E-5</c:v>
                </c:pt>
                <c:pt idx="31">
                  <c:v>2.4563316534652082E-5</c:v>
                </c:pt>
                <c:pt idx="32">
                  <c:v>2.3731867578948051E-5</c:v>
                </c:pt>
                <c:pt idx="33">
                  <c:v>2.3016964368757347E-5</c:v>
                </c:pt>
                <c:pt idx="34">
                  <c:v>2.241581933108022E-5</c:v>
                </c:pt>
                <c:pt idx="35">
                  <c:v>2.1925726650510624E-5</c:v>
                </c:pt>
                <c:pt idx="36">
                  <c:v>2.1542758878532525E-5</c:v>
                </c:pt>
                <c:pt idx="37">
                  <c:v>2.1344983715023255E-5</c:v>
                </c:pt>
                <c:pt idx="38">
                  <c:v>2.1290969544612226E-5</c:v>
                </c:pt>
                <c:pt idx="39">
                  <c:v>2.1376782755959883E-5</c:v>
                </c:pt>
                <c:pt idx="40">
                  <c:v>2.1598646523110129E-5</c:v>
                </c:pt>
                <c:pt idx="41">
                  <c:v>2.1952926844126021E-5</c:v>
                </c:pt>
                <c:pt idx="42">
                  <c:v>2.2436119754348707E-5</c:v>
                </c:pt>
                <c:pt idx="43">
                  <c:v>2.2945472987219637E-5</c:v>
                </c:pt>
                <c:pt idx="44">
                  <c:v>2.3425066158064002E-5</c:v>
                </c:pt>
                <c:pt idx="45">
                  <c:v>2.3875535011230506E-5</c:v>
                </c:pt>
                <c:pt idx="46">
                  <c:v>2.4297489507791145E-5</c:v>
                </c:pt>
                <c:pt idx="47">
                  <c:v>2.4691516981274428E-5</c:v>
                </c:pt>
                <c:pt idx="48">
                  <c:v>2.505818512080584E-5</c:v>
                </c:pt>
                <c:pt idx="49">
                  <c:v>2.5398044775774708E-5</c:v>
                </c:pt>
                <c:pt idx="50">
                  <c:v>2.5711530881813863E-5</c:v>
                </c:pt>
                <c:pt idx="51">
                  <c:v>2.5842722420835166E-5</c:v>
                </c:pt>
                <c:pt idx="52">
                  <c:v>2.5723648856624904E-5</c:v>
                </c:pt>
                <c:pt idx="53">
                  <c:v>2.536039065436427E-5</c:v>
                </c:pt>
                <c:pt idx="54">
                  <c:v>2.4758984658983567E-5</c:v>
                </c:pt>
                <c:pt idx="55">
                  <c:v>2.3925282551382521E-5</c:v>
                </c:pt>
                <c:pt idx="56">
                  <c:v>2.2864937506723007E-5</c:v>
                </c:pt>
                <c:pt idx="57">
                  <c:v>2.1644110695099251E-5</c:v>
                </c:pt>
                <c:pt idx="58">
                  <c:v>2.0354631146778292E-5</c:v>
                </c:pt>
                <c:pt idx="59">
                  <c:v>1.8998146800487765E-5</c:v>
                </c:pt>
                <c:pt idx="60">
                  <c:v>1.7576198688978121E-5</c:v>
                </c:pt>
                <c:pt idx="61">
                  <c:v>1.6090217261919515E-5</c:v>
                </c:pt>
                <c:pt idx="62">
                  <c:v>1.4541518649718496E-5</c:v>
                </c:pt>
                <c:pt idx="63">
                  <c:v>1.2931300853370584E-5</c:v>
                </c:pt>
                <c:pt idx="64">
                  <c:v>1.1260327705916706E-5</c:v>
                </c:pt>
                <c:pt idx="65">
                  <c:v>9.6149131825764413E-6</c:v>
                </c:pt>
                <c:pt idx="66">
                  <c:v>8.1342702076846629E-6</c:v>
                </c:pt>
                <c:pt idx="67">
                  <c:v>6.8149089851634024E-6</c:v>
                </c:pt>
                <c:pt idx="68">
                  <c:v>5.6534355650065714E-6</c:v>
                </c:pt>
                <c:pt idx="69">
                  <c:v>4.6465596442752699E-6</c:v>
                </c:pt>
                <c:pt idx="70">
                  <c:v>3.7911023316041235E-6</c:v>
                </c:pt>
                <c:pt idx="71">
                  <c:v>3.0822087060910085E-6</c:v>
                </c:pt>
                <c:pt idx="72">
                  <c:v>2.4622624862819389E-6</c:v>
                </c:pt>
                <c:pt idx="73">
                  <c:v>1.9294745397399802E-6</c:v>
                </c:pt>
                <c:pt idx="74">
                  <c:v>1.4821326915685623E-6</c:v>
                </c:pt>
                <c:pt idx="75">
                  <c:v>1.1186061986928994E-6</c:v>
                </c:pt>
                <c:pt idx="76">
                  <c:v>8.3735019975220136E-7</c:v>
                </c:pt>
                <c:pt idx="77">
                  <c:v>6.3691013827385584E-7</c:v>
                </c:pt>
                <c:pt idx="78">
                  <c:v>5.1589717320242142E-7</c:v>
                </c:pt>
                <c:pt idx="79">
                  <c:v>4.750605045057748E-7</c:v>
                </c:pt>
                <c:pt idx="80">
                  <c:v>4.349839652000636E-7</c:v>
                </c:pt>
                <c:pt idx="81">
                  <c:v>3.9565453993418795E-7</c:v>
                </c:pt>
                <c:pt idx="82">
                  <c:v>3.5705549519034213E-7</c:v>
                </c:pt>
                <c:pt idx="83">
                  <c:v>3.1916665158441583E-7</c:v>
                </c:pt>
                <c:pt idx="84">
                  <c:v>2.819646401784229E-7</c:v>
                </c:pt>
                <c:pt idx="85">
                  <c:v>2.4826547045549315E-7</c:v>
                </c:pt>
                <c:pt idx="86">
                  <c:v>2.1967614642874512E-7</c:v>
                </c:pt>
                <c:pt idx="87">
                  <c:v>1.9612430319019217E-7</c:v>
                </c:pt>
                <c:pt idx="88">
                  <c:v>1.7754475733986462E-7</c:v>
                </c:pt>
                <c:pt idx="89">
                  <c:v>1.6388053778373449E-7</c:v>
                </c:pt>
                <c:pt idx="90">
                  <c:v>1.5508387535719804E-7</c:v>
                </c:pt>
                <c:pt idx="91">
                  <c:v>1.5111716092327135E-7</c:v>
                </c:pt>
                <c:pt idx="92">
                  <c:v>1.5194593791621618E-7</c:v>
                </c:pt>
                <c:pt idx="93">
                  <c:v>1.629434890305244E-7</c:v>
                </c:pt>
                <c:pt idx="94">
                  <c:v>1.8215847314855055E-7</c:v>
                </c:pt>
                <c:pt idx="95">
                  <c:v>2.0959357512539133E-7</c:v>
                </c:pt>
                <c:pt idx="96">
                  <c:v>2.452686227857616E-7</c:v>
                </c:pt>
                <c:pt idx="97">
                  <c:v>2.8922096121029042E-7</c:v>
                </c:pt>
                <c:pt idx="98">
                  <c:v>3.4150584529311676E-7</c:v>
                </c:pt>
                <c:pt idx="99">
                  <c:v>4.1924672129134504E-7</c:v>
                </c:pt>
                <c:pt idx="100">
                  <c:v>5.1981020805052632E-7</c:v>
                </c:pt>
                <c:pt idx="101">
                  <c:v>6.434014786207118E-7</c:v>
                </c:pt>
                <c:pt idx="102">
                  <c:v>7.9027764050606457E-7</c:v>
                </c:pt>
                <c:pt idx="103">
                  <c:v>9.6074899786818732E-7</c:v>
                </c:pt>
                <c:pt idx="104">
                  <c:v>1.1551803644347876E-6</c:v>
                </c:pt>
                <c:pt idx="105">
                  <c:v>1.3739924262656968E-6</c:v>
                </c:pt>
                <c:pt idx="106">
                  <c:v>1.6176748420798955E-6</c:v>
                </c:pt>
                <c:pt idx="107">
                  <c:v>1.9157371614725107E-6</c:v>
                </c:pt>
                <c:pt idx="108">
                  <c:v>2.2636083631099874E-6</c:v>
                </c:pt>
                <c:pt idx="109">
                  <c:v>2.6623064487044443E-6</c:v>
                </c:pt>
                <c:pt idx="110">
                  <c:v>3.1129684243984709E-6</c:v>
                </c:pt>
                <c:pt idx="111">
                  <c:v>3.6168469711799099E-6</c:v>
                </c:pt>
                <c:pt idx="112">
                  <c:v>4.1752996145597729E-6</c:v>
                </c:pt>
                <c:pt idx="113">
                  <c:v>4.8356968148982071E-6</c:v>
                </c:pt>
                <c:pt idx="114">
                  <c:v>5.5824243877141281E-6</c:v>
                </c:pt>
                <c:pt idx="115">
                  <c:v>6.4178110534736218E-6</c:v>
                </c:pt>
                <c:pt idx="116">
                  <c:v>7.3443582129649687E-6</c:v>
                </c:pt>
                <c:pt idx="117">
                  <c:v>8.3647380375601263E-6</c:v>
                </c:pt>
                <c:pt idx="118">
                  <c:v>9.4817910641261031E-6</c:v>
                </c:pt>
                <c:pt idx="119">
                  <c:v>1.0698523209874306E-5</c:v>
                </c:pt>
                <c:pt idx="120">
                  <c:v>1.2018303920851323E-5</c:v>
                </c:pt>
                <c:pt idx="121">
                  <c:v>1.3489699656704503E-5</c:v>
                </c:pt>
                <c:pt idx="122">
                  <c:v>1.5085543922996415E-5</c:v>
                </c:pt>
                <c:pt idx="123">
                  <c:v>1.6810158995668987E-5</c:v>
                </c:pt>
                <c:pt idx="124">
                  <c:v>1.8668088181125055E-5</c:v>
                </c:pt>
                <c:pt idx="125">
                  <c:v>2.0664092911827267E-5</c:v>
                </c:pt>
                <c:pt idx="126">
                  <c:v>2.280314889143974E-5</c:v>
                </c:pt>
                <c:pt idx="127">
                  <c:v>2.4946136170258962E-5</c:v>
                </c:pt>
                <c:pt idx="128">
                  <c:v>2.704135229496225E-5</c:v>
                </c:pt>
                <c:pt idx="129">
                  <c:v>2.9087602316148137E-5</c:v>
                </c:pt>
                <c:pt idx="130">
                  <c:v>3.1083450115643665E-5</c:v>
                </c:pt>
                <c:pt idx="131">
                  <c:v>3.3027214488289835E-5</c:v>
                </c:pt>
                <c:pt idx="132">
                  <c:v>3.491696573485196E-5</c:v>
                </c:pt>
                <c:pt idx="133">
                  <c:v>3.6750522843518621E-5</c:v>
                </c:pt>
                <c:pt idx="134">
                  <c:v>3.8525898491295058E-5</c:v>
                </c:pt>
                <c:pt idx="135">
                  <c:v>4.002838806258815E-5</c:v>
                </c:pt>
                <c:pt idx="136">
                  <c:v>4.1194076373446283E-5</c:v>
                </c:pt>
                <c:pt idx="137">
                  <c:v>4.2009312729236276E-5</c:v>
                </c:pt>
                <c:pt idx="138">
                  <c:v>4.2459681814519605E-5</c:v>
                </c:pt>
                <c:pt idx="139">
                  <c:v>4.2530032259404919E-5</c:v>
                </c:pt>
                <c:pt idx="140">
                  <c:v>4.2204509983991958E-5</c:v>
                </c:pt>
                <c:pt idx="141">
                  <c:v>4.1540379556986032E-5</c:v>
                </c:pt>
                <c:pt idx="142">
                  <c:v>4.0696498435996271E-5</c:v>
                </c:pt>
                <c:pt idx="143">
                  <c:v>3.9664982056321645E-5</c:v>
                </c:pt>
                <c:pt idx="144">
                  <c:v>3.843801774279298E-5</c:v>
                </c:pt>
                <c:pt idx="145">
                  <c:v>3.7007634594172919E-5</c:v>
                </c:pt>
                <c:pt idx="146">
                  <c:v>3.5365729488727059E-5</c:v>
                </c:pt>
                <c:pt idx="147">
                  <c:v>3.3504095013340074E-5</c:v>
                </c:pt>
                <c:pt idx="148">
                  <c:v>3.1414599117511672E-5</c:v>
                </c:pt>
                <c:pt idx="149">
                  <c:v>2.9227041770193132E-5</c:v>
                </c:pt>
                <c:pt idx="150">
                  <c:v>2.7197329046971142E-5</c:v>
                </c:pt>
                <c:pt idx="151">
                  <c:v>2.533303169717945E-5</c:v>
                </c:pt>
                <c:pt idx="152">
                  <c:v>2.3641967491212127E-5</c:v>
                </c:pt>
                <c:pt idx="153">
                  <c:v>2.2132184582371615E-5</c:v>
                </c:pt>
                <c:pt idx="154">
                  <c:v>2.0811943602795141E-5</c:v>
                </c:pt>
                <c:pt idx="155">
                  <c:v>1.9706615407327607E-5</c:v>
                </c:pt>
                <c:pt idx="156">
                  <c:v>1.8735609287204334E-5</c:v>
                </c:pt>
                <c:pt idx="157">
                  <c:v>1.7904923220986388E-5</c:v>
                </c:pt>
                <c:pt idx="158">
                  <c:v>1.7220662597957222E-5</c:v>
                </c:pt>
                <c:pt idx="159">
                  <c:v>1.668902554184879E-5</c:v>
                </c:pt>
                <c:pt idx="160">
                  <c:v>1.6316288137307255E-5</c:v>
                </c:pt>
                <c:pt idx="161">
                  <c:v>1.6108789742445013E-5</c:v>
                </c:pt>
                <c:pt idx="162">
                  <c:v>1.6073085911849656E-5</c:v>
                </c:pt>
                <c:pt idx="163">
                  <c:v>1.6211643424444822E-5</c:v>
                </c:pt>
                <c:pt idx="164">
                  <c:v>1.6363877575425505E-5</c:v>
                </c:pt>
                <c:pt idx="165">
                  <c:v>1.6530067503256144E-5</c:v>
                </c:pt>
                <c:pt idx="166">
                  <c:v>1.6710494132311756E-5</c:v>
                </c:pt>
                <c:pt idx="167">
                  <c:v>1.6905438635175936E-5</c:v>
                </c:pt>
                <c:pt idx="168">
                  <c:v>1.7115180898336849E-5</c:v>
                </c:pt>
                <c:pt idx="169">
                  <c:v>1.7335669664851484E-5</c:v>
                </c:pt>
                <c:pt idx="170">
                  <c:v>1.7546794451821248E-5</c:v>
                </c:pt>
                <c:pt idx="171">
                  <c:v>1.7748030449087886E-5</c:v>
                </c:pt>
                <c:pt idx="172">
                  <c:v>1.7938860522928562E-5</c:v>
                </c:pt>
                <c:pt idx="173">
                  <c:v>1.8118591683855223E-5</c:v>
                </c:pt>
                <c:pt idx="174">
                  <c:v>1.8286525258168107E-5</c:v>
                </c:pt>
                <c:pt idx="175">
                  <c:v>1.8442152893518647E-5</c:v>
                </c:pt>
                <c:pt idx="176">
                  <c:v>1.858529996055251E-5</c:v>
                </c:pt>
                <c:pt idx="177">
                  <c:v>1.8737610471459994E-5</c:v>
                </c:pt>
                <c:pt idx="178">
                  <c:v>1.8904100351412629E-5</c:v>
                </c:pt>
                <c:pt idx="179">
                  <c:v>1.9085177237605032E-5</c:v>
                </c:pt>
                <c:pt idx="180">
                  <c:v>1.928124604066987E-5</c:v>
                </c:pt>
                <c:pt idx="181">
                  <c:v>1.9492708540186764E-5</c:v>
                </c:pt>
                <c:pt idx="182">
                  <c:v>1.9719963065038967E-5</c:v>
                </c:pt>
                <c:pt idx="183">
                  <c:v>2.0164823410101088E-5</c:v>
                </c:pt>
                <c:pt idx="184">
                  <c:v>2.0837372376683237E-5</c:v>
                </c:pt>
                <c:pt idx="185">
                  <c:v>2.1742654226963629E-5</c:v>
                </c:pt>
                <c:pt idx="186">
                  <c:v>2.288553780540051E-5</c:v>
                </c:pt>
                <c:pt idx="187">
                  <c:v>2.4270720496401818E-5</c:v>
                </c:pt>
                <c:pt idx="188">
                  <c:v>2.5902733726972243E-5</c:v>
                </c:pt>
                <c:pt idx="189">
                  <c:v>2.7785949892536996E-5</c:v>
                </c:pt>
                <c:pt idx="190">
                  <c:v>2.9924703991668749E-5</c:v>
                </c:pt>
                <c:pt idx="191">
                  <c:v>3.2449904784194168E-5</c:v>
                </c:pt>
                <c:pt idx="192">
                  <c:v>3.534357973488832E-5</c:v>
                </c:pt>
                <c:pt idx="193">
                  <c:v>3.8611423836959039E-5</c:v>
                </c:pt>
                <c:pt idx="194">
                  <c:v>4.2258945000642016E-5</c:v>
                </c:pt>
                <c:pt idx="195">
                  <c:v>4.6291474336173944E-5</c:v>
                </c:pt>
                <c:pt idx="196">
                  <c:v>5.0714176809550781E-5</c:v>
                </c:pt>
                <c:pt idx="197">
                  <c:v>5.5122899553851525E-5</c:v>
                </c:pt>
                <c:pt idx="198">
                  <c:v>5.9293411425976055E-5</c:v>
                </c:pt>
                <c:pt idx="199">
                  <c:v>6.3220205329743992E-5</c:v>
                </c:pt>
                <c:pt idx="200">
                  <c:v>6.6897968655609181E-5</c:v>
                </c:pt>
                <c:pt idx="201">
                  <c:v>7.0321573578200825E-5</c:v>
                </c:pt>
                <c:pt idx="202">
                  <c:v>7.3486066829892661E-5</c:v>
                </c:pt>
                <c:pt idx="203">
                  <c:v>7.6386659149758196E-5</c:v>
                </c:pt>
                <c:pt idx="204">
                  <c:v>7.9018942411149493E-5</c:v>
                </c:pt>
                <c:pt idx="205">
                  <c:v>8.1061354771535854E-5</c:v>
                </c:pt>
                <c:pt idx="206">
                  <c:v>8.2367597602325785E-5</c:v>
                </c:pt>
                <c:pt idx="207">
                  <c:v>8.2927205303273772E-5</c:v>
                </c:pt>
                <c:pt idx="208">
                  <c:v>8.2729953416985864E-5</c:v>
                </c:pt>
                <c:pt idx="209">
                  <c:v>8.176583173682564E-5</c:v>
                </c:pt>
                <c:pt idx="210">
                  <c:v>8.0025018921108936E-5</c:v>
                </c:pt>
                <c:pt idx="211">
                  <c:v>7.7605893095630598E-5</c:v>
                </c:pt>
                <c:pt idx="212">
                  <c:v>7.4940531886848771E-5</c:v>
                </c:pt>
                <c:pt idx="213">
                  <c:v>7.2026617558751917E-5</c:v>
                </c:pt>
                <c:pt idx="214">
                  <c:v>6.8861833448328165E-5</c:v>
                </c:pt>
                <c:pt idx="215">
                  <c:v>6.5443860767006327E-5</c:v>
                </c:pt>
                <c:pt idx="216">
                  <c:v>6.177037606217859E-5</c:v>
                </c:pt>
                <c:pt idx="217">
                  <c:v>5.7839049298584285E-5</c:v>
                </c:pt>
                <c:pt idx="218">
                  <c:v>5.3647326197437202E-5</c:v>
                </c:pt>
                <c:pt idx="219">
                  <c:v>4.9313942810537988E-5</c:v>
                </c:pt>
                <c:pt idx="220">
                  <c:v>4.5176771766332512E-5</c:v>
                </c:pt>
                <c:pt idx="221">
                  <c:v>4.1239048980114597E-5</c:v>
                </c:pt>
                <c:pt idx="222">
                  <c:v>3.7503923510891305E-5</c:v>
                </c:pt>
                <c:pt idx="223">
                  <c:v>3.3974466788905757E-5</c:v>
                </c:pt>
                <c:pt idx="224">
                  <c:v>3.0653681424665778E-5</c:v>
                </c:pt>
                <c:pt idx="225">
                  <c:v>2.7625288312104741E-5</c:v>
                </c:pt>
                <c:pt idx="226">
                  <c:v>2.4778307742372098E-5</c:v>
                </c:pt>
                <c:pt idx="227">
                  <c:v>2.2115198561810468E-5</c:v>
                </c:pt>
                <c:pt idx="228">
                  <c:v>1.963838346291111E-5</c:v>
                </c:pt>
                <c:pt idx="229">
                  <c:v>1.7350255155676855E-5</c:v>
                </c:pt>
                <c:pt idx="230">
                  <c:v>1.5253182307487934E-5</c:v>
                </c:pt>
                <c:pt idx="231">
                  <c:v>1.3349515282307946E-5</c:v>
                </c:pt>
                <c:pt idx="232">
                  <c:v>1.1641144307935541E-5</c:v>
                </c:pt>
                <c:pt idx="233">
                  <c:v>1.0180268605975264E-5</c:v>
                </c:pt>
                <c:pt idx="234">
                  <c:v>8.8418508737812371E-6</c:v>
                </c:pt>
                <c:pt idx="235">
                  <c:v>7.6276158059957127E-6</c:v>
                </c:pt>
                <c:pt idx="236">
                  <c:v>6.539188458139521E-6</c:v>
                </c:pt>
                <c:pt idx="237">
                  <c:v>5.5781067298491371E-6</c:v>
                </c:pt>
                <c:pt idx="238">
                  <c:v>4.7458476685397184E-6</c:v>
                </c:pt>
                <c:pt idx="239">
                  <c:v>4.0600354612734865E-6</c:v>
                </c:pt>
                <c:pt idx="240">
                  <c:v>3.4369427220884834E-6</c:v>
                </c:pt>
                <c:pt idx="241">
                  <c:v>2.877236693545846E-6</c:v>
                </c:pt>
                <c:pt idx="242">
                  <c:v>2.381573269407805E-6</c:v>
                </c:pt>
                <c:pt idx="243">
                  <c:v>1.9506078182308569E-6</c:v>
                </c:pt>
                <c:pt idx="244">
                  <c:v>1.5850063848361199E-6</c:v>
                </c:pt>
                <c:pt idx="245">
                  <c:v>1.2854573107869173E-6</c:v>
                </c:pt>
                <c:pt idx="246">
                  <c:v>1.0526590181257506E-6</c:v>
                </c:pt>
                <c:pt idx="247">
                  <c:v>8.9600031320456814E-7</c:v>
                </c:pt>
                <c:pt idx="248">
                  <c:v>7.6350355308718791E-7</c:v>
                </c:pt>
                <c:pt idx="249">
                  <c:v>6.5545174506601911E-7</c:v>
                </c:pt>
                <c:pt idx="250">
                  <c:v>5.7214709546361803E-7</c:v>
                </c:pt>
                <c:pt idx="251">
                  <c:v>5.1390959840701632E-7</c:v>
                </c:pt>
                <c:pt idx="252">
                  <c:v>4.8107551996348385E-7</c:v>
                </c:pt>
                <c:pt idx="253">
                  <c:v>4.8015619012222937E-7</c:v>
                </c:pt>
                <c:pt idx="254">
                  <c:v>4.9435708669041143E-7</c:v>
                </c:pt>
                <c:pt idx="255">
                  <c:v>5.2389350465902617E-7</c:v>
                </c:pt>
                <c:pt idx="256">
                  <c:v>5.6898571424469663E-7</c:v>
                </c:pt>
                <c:pt idx="257">
                  <c:v>6.2985765967120292E-7</c:v>
                </c:pt>
                <c:pt idx="258">
                  <c:v>7.0673555428084993E-7</c:v>
                </c:pt>
                <c:pt idx="259">
                  <c:v>7.9984636673695901E-7</c:v>
                </c:pt>
                <c:pt idx="260">
                  <c:v>9.0947088704900572E-7</c:v>
                </c:pt>
                <c:pt idx="261">
                  <c:v>1.0304712751247339E-6</c:v>
                </c:pt>
                <c:pt idx="262">
                  <c:v>1.1537412660734473E-6</c:v>
                </c:pt>
                <c:pt idx="263">
                  <c:v>1.2793133975128316E-6</c:v>
                </c:pt>
                <c:pt idx="264">
                  <c:v>1.4072119959207249E-6</c:v>
                </c:pt>
                <c:pt idx="265">
                  <c:v>1.5374606664783298E-6</c:v>
                </c:pt>
                <c:pt idx="266">
                  <c:v>1.6700717620768489E-6</c:v>
                </c:pt>
                <c:pt idx="267">
                  <c:v>2.0616130977850185E-6</c:v>
                </c:pt>
                <c:pt idx="268">
                  <c:v>2.7094969775630004E-6</c:v>
                </c:pt>
                <c:pt idx="269">
                  <c:v>3.6176368886319407E-6</c:v>
                </c:pt>
                <c:pt idx="270">
                  <c:v>4.7898464879579689E-6</c:v>
                </c:pt>
                <c:pt idx="271">
                  <c:v>6.2297769194875944E-6</c:v>
                </c:pt>
                <c:pt idx="272">
                  <c:v>7.9408504602243171E-6</c:v>
                </c:pt>
                <c:pt idx="273">
                  <c:v>9.9261906071386096E-6</c:v>
                </c:pt>
                <c:pt idx="274">
                  <c:v>1.2189141526937518E-5</c:v>
                </c:pt>
                <c:pt idx="275">
                  <c:v>1.4912169327215383E-5</c:v>
                </c:pt>
                <c:pt idx="276">
                  <c:v>1.8106749518420916E-5</c:v>
                </c:pt>
                <c:pt idx="277">
                  <c:v>2.1778371634817711E-5</c:v>
                </c:pt>
                <c:pt idx="278">
                  <c:v>2.5932315687942955E-5</c:v>
                </c:pt>
                <c:pt idx="279">
                  <c:v>3.0573640261885915E-5</c:v>
                </c:pt>
                <c:pt idx="280">
                  <c:v>3.5707172827138406E-5</c:v>
                </c:pt>
                <c:pt idx="281">
                  <c:v>4.0886080554631001E-5</c:v>
                </c:pt>
                <c:pt idx="282">
                  <c:v>4.5834066221467629E-5</c:v>
                </c:pt>
                <c:pt idx="283">
                  <c:v>5.0546706247187096E-5</c:v>
                </c:pt>
                <c:pt idx="284">
                  <c:v>5.5019681467523629E-5</c:v>
                </c:pt>
                <c:pt idx="285">
                  <c:v>5.9248792309981911E-5</c:v>
                </c:pt>
                <c:pt idx="286">
                  <c:v>6.3229973147990875E-5</c:v>
                </c:pt>
                <c:pt idx="287">
                  <c:v>6.6959305611050362E-5</c:v>
                </c:pt>
                <c:pt idx="288">
                  <c:v>7.0434688137984742E-5</c:v>
                </c:pt>
                <c:pt idx="289">
                  <c:v>7.3377803878026048E-5</c:v>
                </c:pt>
                <c:pt idx="290">
                  <c:v>7.5592226891485245E-5</c:v>
                </c:pt>
                <c:pt idx="291">
                  <c:v>7.7069483715654476E-5</c:v>
                </c:pt>
                <c:pt idx="292">
                  <c:v>7.7801296198934421E-5</c:v>
                </c:pt>
                <c:pt idx="293">
                  <c:v>7.7779644095719917E-5</c:v>
                </c:pt>
                <c:pt idx="294">
                  <c:v>7.6996826606354524E-5</c:v>
                </c:pt>
                <c:pt idx="295">
                  <c:v>7.5666705485966619E-5</c:v>
                </c:pt>
                <c:pt idx="296">
                  <c:v>7.4260673791571091E-5</c:v>
                </c:pt>
                <c:pt idx="297">
                  <c:v>7.2778659317610314E-5</c:v>
                </c:pt>
                <c:pt idx="298">
                  <c:v>7.12200358251804E-5</c:v>
                </c:pt>
                <c:pt idx="299">
                  <c:v>6.9584263504529303E-5</c:v>
                </c:pt>
                <c:pt idx="300">
                  <c:v>6.7870892164200683E-5</c:v>
                </c:pt>
                <c:pt idx="301">
                  <c:v>6.6079564358956786E-5</c:v>
                </c:pt>
                <c:pt idx="302">
                  <c:v>6.4213701620227266E-5</c:v>
                </c:pt>
                <c:pt idx="303">
                  <c:v>6.2437461561152822E-5</c:v>
                </c:pt>
                <c:pt idx="304">
                  <c:v>6.1039463420048954E-5</c:v>
                </c:pt>
                <c:pt idx="305">
                  <c:v>6.0022233952148801E-5</c:v>
                </c:pt>
                <c:pt idx="306">
                  <c:v>5.9388288742093225E-5</c:v>
                </c:pt>
                <c:pt idx="307">
                  <c:v>5.9140117234843225E-5</c:v>
                </c:pt>
                <c:pt idx="308">
                  <c:v>5.9280167267693079E-5</c:v>
                </c:pt>
                <c:pt idx="309">
                  <c:v>5.9912991075206445E-5</c:v>
                </c:pt>
                <c:pt idx="310">
                  <c:v>6.0812213359377881E-5</c:v>
                </c:pt>
                <c:pt idx="311">
                  <c:v>6.1979232185503704E-5</c:v>
                </c:pt>
                <c:pt idx="312">
                  <c:v>6.3415354857231505E-5</c:v>
                </c:pt>
                <c:pt idx="313">
                  <c:v>6.5121779705628487E-5</c:v>
                </c:pt>
                <c:pt idx="314">
                  <c:v>6.7099575663990762E-5</c:v>
                </c:pt>
                <c:pt idx="315">
                  <c:v>6.9349659301345062E-5</c:v>
                </c:pt>
                <c:pt idx="316">
                  <c:v>7.1875821237805352E-5</c:v>
                </c:pt>
                <c:pt idx="317">
                  <c:v>7.4753045621348503E-5</c:v>
                </c:pt>
                <c:pt idx="318">
                  <c:v>7.7817816734918307E-5</c:v>
                </c:pt>
                <c:pt idx="319">
                  <c:v>8.1071860357929306E-5</c:v>
                </c:pt>
                <c:pt idx="320">
                  <c:v>8.4516967762362531E-5</c:v>
                </c:pt>
                <c:pt idx="321">
                  <c:v>8.8154991579378106E-5</c:v>
                </c:pt>
                <c:pt idx="322">
                  <c:v>9.1987839250790484E-5</c:v>
                </c:pt>
                <c:pt idx="323">
                  <c:v>9.5819291615217121E-5</c:v>
                </c:pt>
                <c:pt idx="324">
                  <c:v>9.9544660261363129E-5</c:v>
                </c:pt>
                <c:pt idx="325">
                  <c:v>1.0316383736066833E-4</c:v>
                </c:pt>
                <c:pt idx="326">
                  <c:v>1.0667594646383907E-4</c:v>
                </c:pt>
                <c:pt idx="327">
                  <c:v>1.1008035796251379E-4</c:v>
                </c:pt>
                <c:pt idx="328">
                  <c:v>1.1337685618213521E-4</c:v>
                </c:pt>
                <c:pt idx="329">
                  <c:v>1.1656510786930827E-4</c:v>
                </c:pt>
                <c:pt idx="330">
                  <c:v>1.1966004715089177E-4</c:v>
                </c:pt>
                <c:pt idx="331">
                  <c:v>1.2251174269113009E-4</c:v>
                </c:pt>
                <c:pt idx="332">
                  <c:v>1.2504117780995583E-4</c:v>
                </c:pt>
                <c:pt idx="333">
                  <c:v>1.2724018119926762E-4</c:v>
                </c:pt>
                <c:pt idx="334">
                  <c:v>1.2909938319916349E-4</c:v>
                </c:pt>
                <c:pt idx="335">
                  <c:v>1.3060836200664351E-4</c:v>
                </c:pt>
                <c:pt idx="336">
                  <c:v>1.3175581551088427E-4</c:v>
                </c:pt>
                <c:pt idx="337">
                  <c:v>1.325873969466624E-4</c:v>
                </c:pt>
                <c:pt idx="338">
                  <c:v>1.3329812599388968E-4</c:v>
                </c:pt>
                <c:pt idx="339">
                  <c:v>1.3387781834639197E-4</c:v>
                </c:pt>
                <c:pt idx="340">
                  <c:v>1.343159818778255E-4</c:v>
                </c:pt>
                <c:pt idx="341">
                  <c:v>1.3460194616695138E-4</c:v>
                </c:pt>
                <c:pt idx="342">
                  <c:v>1.3472501224692898E-4</c:v>
                </c:pt>
                <c:pt idx="343">
                  <c:v>1.3467462171723235E-4</c:v>
                </c:pt>
                <c:pt idx="344">
                  <c:v>1.3446383637137881E-4</c:v>
                </c:pt>
                <c:pt idx="345">
                  <c:v>1.3411073843207561E-4</c:v>
                </c:pt>
                <c:pt idx="346">
                  <c:v>1.3379107626264718E-4</c:v>
                </c:pt>
                <c:pt idx="347">
                  <c:v>1.3350269388778645E-4</c:v>
                </c:pt>
                <c:pt idx="348">
                  <c:v>1.3324339945902774E-4</c:v>
                </c:pt>
                <c:pt idx="349">
                  <c:v>1.3301097499466549E-4</c:v>
                </c:pt>
                <c:pt idx="350">
                  <c:v>1.3280318664391324E-4</c:v>
                </c:pt>
                <c:pt idx="351">
                  <c:v>1.3262722873566861E-4</c:v>
                </c:pt>
                <c:pt idx="352">
                  <c:v>1.3242221178934839E-4</c:v>
                </c:pt>
                <c:pt idx="353">
                  <c:v>1.3218612898898891E-4</c:v>
                </c:pt>
                <c:pt idx="354">
                  <c:v>1.3191711602555801E-4</c:v>
                </c:pt>
                <c:pt idx="355">
                  <c:v>1.3161346834080374E-4</c:v>
                </c:pt>
                <c:pt idx="356">
                  <c:v>1.3127284920153078E-4</c:v>
                </c:pt>
                <c:pt idx="357">
                  <c:v>1.3089456684602465E-4</c:v>
                </c:pt>
                <c:pt idx="358">
                  <c:v>1.3046527270518595E-4</c:v>
                </c:pt>
                <c:pt idx="359">
                  <c:v>1.2997734908423567E-4</c:v>
                </c:pt>
                <c:pt idx="360">
                  <c:v>1.2949488130208162E-4</c:v>
                </c:pt>
                <c:pt idx="361">
                  <c:v>1.2901472980687034E-4</c:v>
                </c:pt>
                <c:pt idx="362">
                  <c:v>1.2854289390186173E-4</c:v>
                </c:pt>
                <c:pt idx="363">
                  <c:v>1.2808520004779572E-4</c:v>
                </c:pt>
                <c:pt idx="364">
                  <c:v>1.2764727816610489E-4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39752"/>
        <c:axId val="537240144"/>
      </c:lineChart>
      <c:dateAx>
        <c:axId val="5372397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40144"/>
        <c:crosses val="autoZero"/>
        <c:auto val="1"/>
        <c:lblOffset val="100"/>
        <c:baseTimeUnit val="days"/>
        <c:majorUnit val="1"/>
        <c:majorTimeUnit val="months"/>
      </c:dateAx>
      <c:valAx>
        <c:axId val="5372401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39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23.449693760361036</c:v>
                </c:pt>
                <c:pt idx="1">
                  <c:v>23.614807976625002</c:v>
                </c:pt>
                <c:pt idx="2">
                  <c:v>23.787016557978067</c:v>
                </c:pt>
                <c:pt idx="3">
                  <c:v>23.965203482607098</c:v>
                </c:pt>
                <c:pt idx="4">
                  <c:v>24.148253152143969</c:v>
                </c:pt>
                <c:pt idx="5">
                  <c:v>24.335050400777732</c:v>
                </c:pt>
                <c:pt idx="6">
                  <c:v>24.524480488152005</c:v>
                </c:pt>
                <c:pt idx="7">
                  <c:v>24.715429106688447</c:v>
                </c:pt>
                <c:pt idx="8">
                  <c:v>24.910215758968203</c:v>
                </c:pt>
                <c:pt idx="9">
                  <c:v>25.111763167406099</c:v>
                </c:pt>
                <c:pt idx="10">
                  <c:v>25.319856551662912</c:v>
                </c:pt>
                <c:pt idx="11">
                  <c:v>25.534279906546786</c:v>
                </c:pt>
                <c:pt idx="12">
                  <c:v>25.754817296046852</c:v>
                </c:pt>
                <c:pt idx="13">
                  <c:v>25.981252863325796</c:v>
                </c:pt>
                <c:pt idx="14">
                  <c:v>26.213370824143428</c:v>
                </c:pt>
                <c:pt idx="15">
                  <c:v>26.450953800819736</c:v>
                </c:pt>
                <c:pt idx="16">
                  <c:v>26.693782422357486</c:v>
                </c:pt>
                <c:pt idx="17">
                  <c:v>26.941641136345311</c:v>
                </c:pt>
                <c:pt idx="18">
                  <c:v>27.19431447438981</c:v>
                </c:pt>
                <c:pt idx="19">
                  <c:v>27.451587032262701</c:v>
                </c:pt>
                <c:pt idx="20">
                  <c:v>27.713243483789309</c:v>
                </c:pt>
                <c:pt idx="21">
                  <c:v>27.979068602758172</c:v>
                </c:pt>
                <c:pt idx="22">
                  <c:v>28.251492609362689</c:v>
                </c:pt>
                <c:pt idx="23">
                  <c:v>28.532435485661367</c:v>
                </c:pt>
                <c:pt idx="24">
                  <c:v>28.820916051433958</c:v>
                </c:pt>
                <c:pt idx="25">
                  <c:v>29.115958168096707</c:v>
                </c:pt>
                <c:pt idx="26">
                  <c:v>29.416586094949523</c:v>
                </c:pt>
                <c:pt idx="27">
                  <c:v>29.721824477540807</c:v>
                </c:pt>
                <c:pt idx="28">
                  <c:v>30.03069836093001</c:v>
                </c:pt>
                <c:pt idx="29">
                  <c:v>30.342229241602951</c:v>
                </c:pt>
                <c:pt idx="30">
                  <c:v>30.655444620220596</c:v>
                </c:pt>
                <c:pt idx="31">
                  <c:v>30.969370725067279</c:v>
                </c:pt>
                <c:pt idx="32">
                  <c:v>31.283034177646897</c:v>
                </c:pt>
                <c:pt idx="33">
                  <c:v>31.595461995402786</c:v>
                </c:pt>
                <c:pt idx="34">
                  <c:v>31.905681590399958</c:v>
                </c:pt>
                <c:pt idx="35">
                  <c:v>32.212720770031154</c:v>
                </c:pt>
                <c:pt idx="36">
                  <c:v>32.517618231176797</c:v>
                </c:pt>
                <c:pt idx="37">
                  <c:v>32.822184923279629</c:v>
                </c:pt>
                <c:pt idx="38">
                  <c:v>33.126618036528711</c:v>
                </c:pt>
                <c:pt idx="39">
                  <c:v>33.431112226163165</c:v>
                </c:pt>
                <c:pt idx="40">
                  <c:v>33.735862078683709</c:v>
                </c:pt>
                <c:pt idx="41">
                  <c:v>34.041062111380718</c:v>
                </c:pt>
                <c:pt idx="42">
                  <c:v>34.346906770497903</c:v>
                </c:pt>
                <c:pt idx="43">
                  <c:v>34.653597474203906</c:v>
                </c:pt>
                <c:pt idx="44">
                  <c:v>34.96133247252974</c:v>
                </c:pt>
                <c:pt idx="45">
                  <c:v>35.270305998404964</c:v>
                </c:pt>
                <c:pt idx="46">
                  <c:v>35.580712208428281</c:v>
                </c:pt>
                <c:pt idx="47">
                  <c:v>35.892745182339127</c:v>
                </c:pt>
                <c:pt idx="48">
                  <c:v>36.206598919663897</c:v>
                </c:pt>
                <c:pt idx="49">
                  <c:v>36.522467337979997</c:v>
                </c:pt>
                <c:pt idx="50">
                  <c:v>36.840689994196552</c:v>
                </c:pt>
                <c:pt idx="51">
                  <c:v>37.161294390546388</c:v>
                </c:pt>
                <c:pt idx="52">
                  <c:v>37.483994118596556</c:v>
                </c:pt>
                <c:pt idx="53">
                  <c:v>37.80849733326788</c:v>
                </c:pt>
                <c:pt idx="54">
                  <c:v>38.134512277987859</c:v>
                </c:pt>
                <c:pt idx="55">
                  <c:v>38.461747292467365</c:v>
                </c:pt>
                <c:pt idx="56">
                  <c:v>38.789910809061901</c:v>
                </c:pt>
                <c:pt idx="57">
                  <c:v>39.118706508367914</c:v>
                </c:pt>
                <c:pt idx="58">
                  <c:v>39.447835922877182</c:v>
                </c:pt>
                <c:pt idx="59">
                  <c:v>39.777007738649317</c:v>
                </c:pt>
                <c:pt idx="60">
                  <c:v>40.105930726807692</c:v>
                </c:pt>
                <c:pt idx="61">
                  <c:v>40.434313741774211</c:v>
                </c:pt>
                <c:pt idx="62">
                  <c:v>40.761865720047268</c:v>
                </c:pt>
                <c:pt idx="63">
                  <c:v>41.088295678632385</c:v>
                </c:pt>
                <c:pt idx="64">
                  <c:v>41.41446073775338</c:v>
                </c:pt>
                <c:pt idx="65">
                  <c:v>41.741275067753762</c:v>
                </c:pt>
                <c:pt idx="66">
                  <c:v>42.068532266677707</c:v>
                </c:pt>
                <c:pt idx="67">
                  <c:v>42.396037909414233</c:v>
                </c:pt>
                <c:pt idx="68">
                  <c:v>42.723597608020626</c:v>
                </c:pt>
                <c:pt idx="69">
                  <c:v>43.05101701135353</c:v>
                </c:pt>
                <c:pt idx="70">
                  <c:v>43.378101804672454</c:v>
                </c:pt>
                <c:pt idx="71">
                  <c:v>43.704657868548523</c:v>
                </c:pt>
                <c:pt idx="72">
                  <c:v>44.030495842010389</c:v>
                </c:pt>
                <c:pt idx="73">
                  <c:v>44.355421530870672</c:v>
                </c:pt>
                <c:pt idx="74">
                  <c:v>44.679240778969799</c:v>
                </c:pt>
                <c:pt idx="75">
                  <c:v>45.001759468313494</c:v>
                </c:pt>
                <c:pt idx="76">
                  <c:v>45.322783521037842</c:v>
                </c:pt>
                <c:pt idx="77">
                  <c:v>45.642118898815575</c:v>
                </c:pt>
                <c:pt idx="78">
                  <c:v>45.962155191741068</c:v>
                </c:pt>
                <c:pt idx="79">
                  <c:v>46.284764168183322</c:v>
                </c:pt>
                <c:pt idx="80">
                  <c:v>46.608982981990742</c:v>
                </c:pt>
                <c:pt idx="81">
                  <c:v>46.933841813139125</c:v>
                </c:pt>
                <c:pt idx="82">
                  <c:v>47.258371194033387</c:v>
                </c:pt>
                <c:pt idx="83">
                  <c:v>47.581602009676168</c:v>
                </c:pt>
                <c:pt idx="84">
                  <c:v>47.90256550297012</c:v>
                </c:pt>
                <c:pt idx="85">
                  <c:v>48.220293002447789</c:v>
                </c:pt>
                <c:pt idx="86">
                  <c:v>48.533816311119153</c:v>
                </c:pt>
                <c:pt idx="87">
                  <c:v>48.84216776207392</c:v>
                </c:pt>
                <c:pt idx="88">
                  <c:v>49.144380062341227</c:v>
                </c:pt>
                <c:pt idx="89">
                  <c:v>49.439486293105873</c:v>
                </c:pt>
                <c:pt idx="90">
                  <c:v>49.726519917674686</c:v>
                </c:pt>
                <c:pt idx="91">
                  <c:v>50.004514789877462</c:v>
                </c:pt>
                <c:pt idx="92">
                  <c:v>50.275133535522073</c:v>
                </c:pt>
                <c:pt idx="93">
                  <c:v>50.540618047325026</c:v>
                </c:pt>
                <c:pt idx="94">
                  <c:v>50.800872390514726</c:v>
                </c:pt>
                <c:pt idx="95">
                  <c:v>51.055800466919749</c:v>
                </c:pt>
                <c:pt idx="96">
                  <c:v>51.305306224864793</c:v>
                </c:pt>
                <c:pt idx="97">
                  <c:v>51.549293667721606</c:v>
                </c:pt>
                <c:pt idx="98">
                  <c:v>51.787666848393251</c:v>
                </c:pt>
                <c:pt idx="99">
                  <c:v>52.020328129045851</c:v>
                </c:pt>
                <c:pt idx="100">
                  <c:v>52.247181950974749</c:v>
                </c:pt>
                <c:pt idx="101">
                  <c:v>52.468132529155746</c:v>
                </c:pt>
                <c:pt idx="102">
                  <c:v>52.683084141108623</c:v>
                </c:pt>
                <c:pt idx="103">
                  <c:v>52.891941130079253</c:v>
                </c:pt>
                <c:pt idx="104">
                  <c:v>53.094607909051064</c:v>
                </c:pt>
                <c:pt idx="105">
                  <c:v>53.290988963578364</c:v>
                </c:pt>
                <c:pt idx="106">
                  <c:v>53.480602407966117</c:v>
                </c:pt>
                <c:pt idx="107">
                  <c:v>53.663221160993245</c:v>
                </c:pt>
                <c:pt idx="108">
                  <c:v>53.839137003006456</c:v>
                </c:pt>
                <c:pt idx="109">
                  <c:v>54.008641055164389</c:v>
                </c:pt>
                <c:pt idx="110">
                  <c:v>54.172024356841362</c:v>
                </c:pt>
                <c:pt idx="111">
                  <c:v>54.329577868329658</c:v>
                </c:pt>
                <c:pt idx="112">
                  <c:v>54.481592468273867</c:v>
                </c:pt>
                <c:pt idx="113">
                  <c:v>54.628354110844818</c:v>
                </c:pt>
                <c:pt idx="114">
                  <c:v>54.770155324917638</c:v>
                </c:pt>
                <c:pt idx="115">
                  <c:v>54.907286694209716</c:v>
                </c:pt>
                <c:pt idx="116">
                  <c:v>55.040038723825297</c:v>
                </c:pt>
                <c:pt idx="117">
                  <c:v>55.168701843564961</c:v>
                </c:pt>
                <c:pt idx="118">
                  <c:v>55.293566409338325</c:v>
                </c:pt>
                <c:pt idx="119">
                  <c:v>55.414922703343386</c:v>
                </c:pt>
                <c:pt idx="120">
                  <c:v>55.532128451392296</c:v>
                </c:pt>
                <c:pt idx="121">
                  <c:v>55.644408166237021</c:v>
                </c:pt>
                <c:pt idx="122">
                  <c:v>55.751862955586411</c:v>
                </c:pt>
                <c:pt idx="123">
                  <c:v>55.854590637653779</c:v>
                </c:pt>
                <c:pt idx="124">
                  <c:v>55.95268905468393</c:v>
                </c:pt>
                <c:pt idx="125">
                  <c:v>56.04625607659122</c:v>
                </c:pt>
                <c:pt idx="126">
                  <c:v>56.135389598870688</c:v>
                </c:pt>
                <c:pt idx="127">
                  <c:v>56.220202590684856</c:v>
                </c:pt>
                <c:pt idx="128">
                  <c:v>56.300798943038721</c:v>
                </c:pt>
                <c:pt idx="129">
                  <c:v>56.37727724903511</c:v>
                </c:pt>
                <c:pt idx="130">
                  <c:v>56.449736156548575</c:v>
                </c:pt>
                <c:pt idx="131">
                  <c:v>56.518274378786046</c:v>
                </c:pt>
                <c:pt idx="132">
                  <c:v>56.582990683831888</c:v>
                </c:pt>
                <c:pt idx="133">
                  <c:v>56.643983900937158</c:v>
                </c:pt>
                <c:pt idx="134">
                  <c:v>56.700694813246578</c:v>
                </c:pt>
                <c:pt idx="135">
                  <c:v>56.752651700672367</c:v>
                </c:pt>
                <c:pt idx="136">
                  <c:v>56.800057034266786</c:v>
                </c:pt>
                <c:pt idx="137">
                  <c:v>56.843107612348916</c:v>
                </c:pt>
                <c:pt idx="138">
                  <c:v>56.882000273930728</c:v>
                </c:pt>
                <c:pt idx="139">
                  <c:v>56.916931884915726</c:v>
                </c:pt>
                <c:pt idx="140">
                  <c:v>56.948099335983954</c:v>
                </c:pt>
                <c:pt idx="141">
                  <c:v>56.975692450484104</c:v>
                </c:pt>
                <c:pt idx="142">
                  <c:v>56.999890540890263</c:v>
                </c:pt>
                <c:pt idx="143">
                  <c:v>57.020889810340577</c:v>
                </c:pt>
                <c:pt idx="144">
                  <c:v>57.038886407382108</c:v>
                </c:pt>
                <c:pt idx="145">
                  <c:v>57.054076446973852</c:v>
                </c:pt>
                <c:pt idx="146">
                  <c:v>57.066655999775755</c:v>
                </c:pt>
                <c:pt idx="147">
                  <c:v>57.07682108246123</c:v>
                </c:pt>
                <c:pt idx="148">
                  <c:v>57.084495239244681</c:v>
                </c:pt>
                <c:pt idx="149">
                  <c:v>57.089395333006721</c:v>
                </c:pt>
                <c:pt idx="150">
                  <c:v>57.091401200103341</c:v>
                </c:pt>
                <c:pt idx="151">
                  <c:v>57.090419137129658</c:v>
                </c:pt>
                <c:pt idx="152">
                  <c:v>57.086355467229978</c:v>
                </c:pt>
                <c:pt idx="153">
                  <c:v>57.079116532116878</c:v>
                </c:pt>
                <c:pt idx="154">
                  <c:v>57.068608687841895</c:v>
                </c:pt>
                <c:pt idx="155">
                  <c:v>57.054736295597969</c:v>
                </c:pt>
                <c:pt idx="156">
                  <c:v>57.037413632797517</c:v>
                </c:pt>
                <c:pt idx="157">
                  <c:v>57.016547149414166</c:v>
                </c:pt>
                <c:pt idx="158">
                  <c:v>56.992043277487781</c:v>
                </c:pt>
                <c:pt idx="159">
                  <c:v>56.963808423976467</c:v>
                </c:pt>
                <c:pt idx="160">
                  <c:v>56.931748964618436</c:v>
                </c:pt>
                <c:pt idx="161">
                  <c:v>56.895771242843622</c:v>
                </c:pt>
                <c:pt idx="162">
                  <c:v>56.855189646434695</c:v>
                </c:pt>
                <c:pt idx="163">
                  <c:v>56.809639016259823</c:v>
                </c:pt>
                <c:pt idx="164">
                  <c:v>56.759522593698712</c:v>
                </c:pt>
                <c:pt idx="165">
                  <c:v>56.70522687691124</c:v>
                </c:pt>
                <c:pt idx="166">
                  <c:v>56.64713807148258</c:v>
                </c:pt>
                <c:pt idx="167">
                  <c:v>56.585642087775</c:v>
                </c:pt>
                <c:pt idx="168">
                  <c:v>56.521124541021159</c:v>
                </c:pt>
                <c:pt idx="169">
                  <c:v>56.45397106758562</c:v>
                </c:pt>
                <c:pt idx="170">
                  <c:v>56.384569074754133</c:v>
                </c:pt>
                <c:pt idx="171">
                  <c:v>56.313303364288565</c:v>
                </c:pt>
                <c:pt idx="172">
                  <c:v>56.24055844246449</c:v>
                </c:pt>
                <c:pt idx="173">
                  <c:v>56.166718539324357</c:v>
                </c:pt>
                <c:pt idx="174">
                  <c:v>56.092167599692672</c:v>
                </c:pt>
                <c:pt idx="175">
                  <c:v>56.017289265875029</c:v>
                </c:pt>
                <c:pt idx="176">
                  <c:v>55.941508547740582</c:v>
                </c:pt>
                <c:pt idx="177">
                  <c:v>55.863992512779717</c:v>
                </c:pt>
                <c:pt idx="178">
                  <c:v>55.784741021550715</c:v>
                </c:pt>
                <c:pt idx="179">
                  <c:v>55.703754150143425</c:v>
                </c:pt>
                <c:pt idx="180">
                  <c:v>55.621031874229509</c:v>
                </c:pt>
                <c:pt idx="181">
                  <c:v>55.536574074439145</c:v>
                </c:pt>
                <c:pt idx="182">
                  <c:v>55.450380538651039</c:v>
                </c:pt>
                <c:pt idx="183">
                  <c:v>55.362431554660965</c:v>
                </c:pt>
                <c:pt idx="184">
                  <c:v>55.272726123557092</c:v>
                </c:pt>
                <c:pt idx="185">
                  <c:v>55.181263524690273</c:v>
                </c:pt>
                <c:pt idx="186">
                  <c:v>55.088042994195391</c:v>
                </c:pt>
                <c:pt idx="187">
                  <c:v>54.993063729861923</c:v>
                </c:pt>
                <c:pt idx="188">
                  <c:v>54.896324902122522</c:v>
                </c:pt>
                <c:pt idx="189">
                  <c:v>54.797825655503196</c:v>
                </c:pt>
                <c:pt idx="190">
                  <c:v>54.697357774279908</c:v>
                </c:pt>
                <c:pt idx="191">
                  <c:v>54.59476750866304</c:v>
                </c:pt>
                <c:pt idx="192">
                  <c:v>54.490152499040875</c:v>
                </c:pt>
                <c:pt idx="193">
                  <c:v>54.383607601325693</c:v>
                </c:pt>
                <c:pt idx="194">
                  <c:v>54.275227645962104</c:v>
                </c:pt>
                <c:pt idx="195">
                  <c:v>54.165107445996973</c:v>
                </c:pt>
                <c:pt idx="196">
                  <c:v>54.053341800060323</c:v>
                </c:pt>
                <c:pt idx="197">
                  <c:v>53.940064136143498</c:v>
                </c:pt>
                <c:pt idx="198">
                  <c:v>53.825390120574838</c:v>
                </c:pt>
                <c:pt idx="199">
                  <c:v>53.709415000454136</c:v>
                </c:pt>
                <c:pt idx="200">
                  <c:v>53.592233989547772</c:v>
                </c:pt>
                <c:pt idx="201">
                  <c:v>53.473942274625507</c:v>
                </c:pt>
                <c:pt idx="202">
                  <c:v>53.354635022114223</c:v>
                </c:pt>
                <c:pt idx="203">
                  <c:v>53.23440738453349</c:v>
                </c:pt>
                <c:pt idx="204">
                  <c:v>53.113115587486746</c:v>
                </c:pt>
                <c:pt idx="205">
                  <c:v>52.990577580880519</c:v>
                </c:pt>
                <c:pt idx="206">
                  <c:v>52.866802776381881</c:v>
                </c:pt>
                <c:pt idx="207">
                  <c:v>52.741791063579278</c:v>
                </c:pt>
                <c:pt idx="208">
                  <c:v>52.615542358542875</c:v>
                </c:pt>
                <c:pt idx="209">
                  <c:v>52.488056607922736</c:v>
                </c:pt>
                <c:pt idx="210">
                  <c:v>52.359333790521134</c:v>
                </c:pt>
                <c:pt idx="211">
                  <c:v>52.229363048288924</c:v>
                </c:pt>
                <c:pt idx="212">
                  <c:v>52.098104524993353</c:v>
                </c:pt>
                <c:pt idx="213">
                  <c:v>51.965558088362904</c:v>
                </c:pt>
                <c:pt idx="214">
                  <c:v>51.831723661258522</c:v>
                </c:pt>
                <c:pt idx="215">
                  <c:v>51.696601220784103</c:v>
                </c:pt>
                <c:pt idx="216">
                  <c:v>51.560190795451554</c:v>
                </c:pt>
                <c:pt idx="217">
                  <c:v>51.422492463344682</c:v>
                </c:pt>
                <c:pt idx="218">
                  <c:v>51.283713157119692</c:v>
                </c:pt>
                <c:pt idx="219">
                  <c:v>51.143986503847458</c:v>
                </c:pt>
                <c:pt idx="220">
                  <c:v>51.003191467176862</c:v>
                </c:pt>
                <c:pt idx="221">
                  <c:v>50.861232743090191</c:v>
                </c:pt>
                <c:pt idx="222">
                  <c:v>50.718015106550936</c:v>
                </c:pt>
                <c:pt idx="223">
                  <c:v>50.57344340608828</c:v>
                </c:pt>
                <c:pt idx="224">
                  <c:v>50.427422560888971</c:v>
                </c:pt>
                <c:pt idx="225">
                  <c:v>50.279851223471063</c:v>
                </c:pt>
                <c:pt idx="226">
                  <c:v>50.130645508862386</c:v>
                </c:pt>
                <c:pt idx="227">
                  <c:v>49.979710547618929</c:v>
                </c:pt>
                <c:pt idx="228">
                  <c:v>49.826951525858057</c:v>
                </c:pt>
                <c:pt idx="229">
                  <c:v>49.672273683969301</c:v>
                </c:pt>
                <c:pt idx="230">
                  <c:v>49.515582314425117</c:v>
                </c:pt>
                <c:pt idx="231">
                  <c:v>49.356782756638111</c:v>
                </c:pt>
                <c:pt idx="232">
                  <c:v>49.197671151660899</c:v>
                </c:pt>
                <c:pt idx="233">
                  <c:v>49.03959443361164</c:v>
                </c:pt>
                <c:pt idx="234">
                  <c:v>48.881799706918208</c:v>
                </c:pt>
                <c:pt idx="235">
                  <c:v>48.723524653170855</c:v>
                </c:pt>
                <c:pt idx="236">
                  <c:v>48.564007229803025</c:v>
                </c:pt>
                <c:pt idx="237">
                  <c:v>48.402485666522701</c:v>
                </c:pt>
                <c:pt idx="238">
                  <c:v>48.238198463718383</c:v>
                </c:pt>
                <c:pt idx="239">
                  <c:v>48.070383065391333</c:v>
                </c:pt>
                <c:pt idx="240">
                  <c:v>47.89828485149318</c:v>
                </c:pt>
                <c:pt idx="241">
                  <c:v>47.721143117095991</c:v>
                </c:pt>
                <c:pt idx="242">
                  <c:v>47.538197419880944</c:v>
                </c:pt>
                <c:pt idx="243">
                  <c:v>47.348687575271761</c:v>
                </c:pt>
                <c:pt idx="244">
                  <c:v>47.151853658097117</c:v>
                </c:pt>
                <c:pt idx="245">
                  <c:v>46.946935993881795</c:v>
                </c:pt>
                <c:pt idx="246">
                  <c:v>46.734254309172755</c:v>
                </c:pt>
                <c:pt idx="247">
                  <c:v>46.514888953841222</c:v>
                </c:pt>
                <c:pt idx="248">
                  <c:v>46.289226449669854</c:v>
                </c:pt>
                <c:pt idx="249">
                  <c:v>46.057649447281825</c:v>
                </c:pt>
                <c:pt idx="250">
                  <c:v>45.820540476229517</c:v>
                </c:pt>
                <c:pt idx="251">
                  <c:v>45.578281937438518</c:v>
                </c:pt>
                <c:pt idx="252">
                  <c:v>45.331256112260782</c:v>
                </c:pt>
                <c:pt idx="253">
                  <c:v>45.07984418858409</c:v>
                </c:pt>
                <c:pt idx="254">
                  <c:v>44.824429516930927</c:v>
                </c:pt>
                <c:pt idx="255">
                  <c:v>44.56539400574794</c:v>
                </c:pt>
                <c:pt idx="256">
                  <c:v>44.303119441478948</c:v>
                </c:pt>
                <c:pt idx="257">
                  <c:v>44.037987487630815</c:v>
                </c:pt>
                <c:pt idx="258">
                  <c:v>43.77037968437925</c:v>
                </c:pt>
                <c:pt idx="259">
                  <c:v>43.500677448057637</c:v>
                </c:pt>
                <c:pt idx="260">
                  <c:v>43.226662371784187</c:v>
                </c:pt>
                <c:pt idx="261">
                  <c:v>42.946357817005207</c:v>
                </c:pt>
                <c:pt idx="262">
                  <c:v>42.660527315657639</c:v>
                </c:pt>
                <c:pt idx="263">
                  <c:v>42.369933209086057</c:v>
                </c:pt>
                <c:pt idx="264">
                  <c:v>42.075337587892896</c:v>
                </c:pt>
                <c:pt idx="265">
                  <c:v>41.777502286020521</c:v>
                </c:pt>
                <c:pt idx="266">
                  <c:v>41.477188882932616</c:v>
                </c:pt>
                <c:pt idx="267">
                  <c:v>41.175143513081949</c:v>
                </c:pt>
                <c:pt idx="268">
                  <c:v>40.872128299078902</c:v>
                </c:pt>
                <c:pt idx="269">
                  <c:v>40.568904168910919</c:v>
                </c:pt>
                <c:pt idx="270">
                  <c:v>40.266231808234799</c:v>
                </c:pt>
                <c:pt idx="271">
                  <c:v>39.964871662855479</c:v>
                </c:pt>
                <c:pt idx="272">
                  <c:v>39.665583940395862</c:v>
                </c:pt>
                <c:pt idx="273">
                  <c:v>39.36912861245689</c:v>
                </c:pt>
                <c:pt idx="274">
                  <c:v>39.074365141857285</c:v>
                </c:pt>
                <c:pt idx="275">
                  <c:v>38.77966151795296</c:v>
                </c:pt>
                <c:pt idx="276">
                  <c:v>38.485029903378596</c:v>
                </c:pt>
                <c:pt idx="277">
                  <c:v>38.190470143609126</c:v>
                </c:pt>
                <c:pt idx="278">
                  <c:v>37.89598201332258</c:v>
                </c:pt>
                <c:pt idx="279">
                  <c:v>37.60156521309613</c:v>
                </c:pt>
                <c:pt idx="280">
                  <c:v>37.307219366438993</c:v>
                </c:pt>
                <c:pt idx="281">
                  <c:v>37.012969238257035</c:v>
                </c:pt>
                <c:pt idx="282">
                  <c:v>36.718828506218095</c:v>
                </c:pt>
                <c:pt idx="283">
                  <c:v>36.424796047105644</c:v>
                </c:pt>
                <c:pt idx="284">
                  <c:v>36.130870620685513</c:v>
                </c:pt>
                <c:pt idx="285">
                  <c:v>35.83705086929254</c:v>
                </c:pt>
                <c:pt idx="286">
                  <c:v>35.543335318241965</c:v>
                </c:pt>
                <c:pt idx="287">
                  <c:v>35.249722377114345</c:v>
                </c:pt>
                <c:pt idx="288">
                  <c:v>34.955387610618793</c:v>
                </c:pt>
                <c:pt idx="289">
                  <c:v>34.659759995767331</c:v>
                </c:pt>
                <c:pt idx="290">
                  <c:v>34.363203398370985</c:v>
                </c:pt>
                <c:pt idx="291">
                  <c:v>34.066095825802243</c:v>
                </c:pt>
                <c:pt idx="292">
                  <c:v>33.768815114329257</c:v>
                </c:pt>
                <c:pt idx="293">
                  <c:v>33.471738938934948</c:v>
                </c:pt>
                <c:pt idx="294">
                  <c:v>33.175244820521407</c:v>
                </c:pt>
                <c:pt idx="295">
                  <c:v>32.879698793496587</c:v>
                </c:pt>
                <c:pt idx="296">
                  <c:v>32.58545488648091</c:v>
                </c:pt>
                <c:pt idx="297">
                  <c:v>32.292890847015123</c:v>
                </c:pt>
                <c:pt idx="298">
                  <c:v>32.002384363955528</c:v>
                </c:pt>
                <c:pt idx="299">
                  <c:v>31.7143130395993</c:v>
                </c:pt>
                <c:pt idx="300">
                  <c:v>31.429054397811345</c:v>
                </c:pt>
                <c:pt idx="301">
                  <c:v>31.146985889936364</c:v>
                </c:pt>
                <c:pt idx="302">
                  <c:v>30.866714173048187</c:v>
                </c:pt>
                <c:pt idx="303">
                  <c:v>30.586839877421681</c:v>
                </c:pt>
                <c:pt idx="304">
                  <c:v>30.307740770336917</c:v>
                </c:pt>
                <c:pt idx="305">
                  <c:v>30.029794741729496</c:v>
                </c:pt>
                <c:pt idx="306">
                  <c:v>29.753379638639732</c:v>
                </c:pt>
                <c:pt idx="307">
                  <c:v>29.478873276897229</c:v>
                </c:pt>
                <c:pt idx="308">
                  <c:v>29.206653439192586</c:v>
                </c:pt>
                <c:pt idx="309">
                  <c:v>28.937092887238514</c:v>
                </c:pt>
                <c:pt idx="310">
                  <c:v>28.670579719082138</c:v>
                </c:pt>
                <c:pt idx="311">
                  <c:v>28.407491547473914</c:v>
                </c:pt>
                <c:pt idx="312">
                  <c:v>28.148205969836148</c:v>
                </c:pt>
                <c:pt idx="313">
                  <c:v>27.893100575835405</c:v>
                </c:pt>
                <c:pt idx="314">
                  <c:v>27.642552946185095</c:v>
                </c:pt>
                <c:pt idx="315">
                  <c:v>27.396940657649203</c:v>
                </c:pt>
                <c:pt idx="316">
                  <c:v>27.155487931789736</c:v>
                </c:pt>
                <c:pt idx="317">
                  <c:v>26.917227708018007</c:v>
                </c:pt>
                <c:pt idx="318">
                  <c:v>26.682259292161159</c:v>
                </c:pt>
                <c:pt idx="319">
                  <c:v>26.450676250983218</c:v>
                </c:pt>
                <c:pt idx="320">
                  <c:v>26.222572207592254</c:v>
                </c:pt>
                <c:pt idx="321">
                  <c:v>25.998040850141159</c:v>
                </c:pt>
                <c:pt idx="322">
                  <c:v>25.777175922324762</c:v>
                </c:pt>
                <c:pt idx="323">
                  <c:v>25.560079043806631</c:v>
                </c:pt>
                <c:pt idx="324">
                  <c:v>25.346848448353587</c:v>
                </c:pt>
                <c:pt idx="325">
                  <c:v>25.137577839151035</c:v>
                </c:pt>
                <c:pt idx="326">
                  <c:v>24.932361014429731</c:v>
                </c:pt>
                <c:pt idx="327">
                  <c:v>24.731291818807634</c:v>
                </c:pt>
                <c:pt idx="328">
                  <c:v>24.534464133866287</c:v>
                </c:pt>
                <c:pt idx="329">
                  <c:v>24.341971899046488</c:v>
                </c:pt>
                <c:pt idx="330">
                  <c:v>24.15079905336842</c:v>
                </c:pt>
                <c:pt idx="331">
                  <c:v>23.958757567285861</c:v>
                </c:pt>
                <c:pt idx="332">
                  <c:v>23.767175448239232</c:v>
                </c:pt>
                <c:pt idx="333">
                  <c:v>23.577378673933897</c:v>
                </c:pt>
                <c:pt idx="334">
                  <c:v>23.390692984726176</c:v>
                </c:pt>
                <c:pt idx="335">
                  <c:v>23.208443854302828</c:v>
                </c:pt>
                <c:pt idx="336">
                  <c:v>23.031956485048291</c:v>
                </c:pt>
                <c:pt idx="337">
                  <c:v>22.862553400522362</c:v>
                </c:pt>
                <c:pt idx="338">
                  <c:v>22.7015519839597</c:v>
                </c:pt>
                <c:pt idx="339">
                  <c:v>22.550276626051346</c:v>
                </c:pt>
                <c:pt idx="340">
                  <c:v>22.410051362081209</c:v>
                </c:pt>
                <c:pt idx="341">
                  <c:v>22.282199867858644</c:v>
                </c:pt>
                <c:pt idx="342">
                  <c:v>22.168045443130339</c:v>
                </c:pt>
                <c:pt idx="343">
                  <c:v>22.068910999323926</c:v>
                </c:pt>
                <c:pt idx="344">
                  <c:v>21.982309529142576</c:v>
                </c:pt>
                <c:pt idx="345">
                  <c:v>21.905024498408686</c:v>
                </c:pt>
                <c:pt idx="346">
                  <c:v>21.837278263092998</c:v>
                </c:pt>
                <c:pt idx="347">
                  <c:v>21.77929904887667</c:v>
                </c:pt>
                <c:pt idx="348">
                  <c:v>21.731314983155606</c:v>
                </c:pt>
                <c:pt idx="349">
                  <c:v>21.693554104268038</c:v>
                </c:pt>
                <c:pt idx="350">
                  <c:v>21.666244348660868</c:v>
                </c:pt>
                <c:pt idx="351">
                  <c:v>21.649613653083463</c:v>
                </c:pt>
                <c:pt idx="352">
                  <c:v>21.643892056147546</c:v>
                </c:pt>
                <c:pt idx="353">
                  <c:v>21.649307169877204</c:v>
                </c:pt>
                <c:pt idx="354">
                  <c:v>21.666086512898261</c:v>
                </c:pt>
                <c:pt idx="355">
                  <c:v>21.694457497195099</c:v>
                </c:pt>
                <c:pt idx="356">
                  <c:v>21.734647446190664</c:v>
                </c:pt>
                <c:pt idx="357">
                  <c:v>21.786883537920286</c:v>
                </c:pt>
                <c:pt idx="358">
                  <c:v>21.853337582247747</c:v>
                </c:pt>
                <c:pt idx="359">
                  <c:v>21.93530849735156</c:v>
                </c:pt>
                <c:pt idx="360">
                  <c:v>22.031712016247063</c:v>
                </c:pt>
                <c:pt idx="361">
                  <c:v>22.141466351452454</c:v>
                </c:pt>
                <c:pt idx="362">
                  <c:v>22.26349010311441</c:v>
                </c:pt>
                <c:pt idx="363">
                  <c:v>22.396702177709404</c:v>
                </c:pt>
                <c:pt idx="364">
                  <c:v>22.540021770346765</c:v>
                </c:pt>
                <c:pt idx="365">
                  <c:v>22.994857765353899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22.302742754305925</c:v>
                </c:pt>
                <c:pt idx="1">
                  <c:v>16.03620950450264</c:v>
                </c:pt>
                <c:pt idx="2">
                  <c:v>17.256677473338552</c:v>
                </c:pt>
                <c:pt idx="3">
                  <c:v>18.233380516339139</c:v>
                </c:pt>
                <c:pt idx="4">
                  <c:v>14.516700017114545</c:v>
                </c:pt>
                <c:pt idx="5">
                  <c:v>20.933276398114902</c:v>
                </c:pt>
                <c:pt idx="6">
                  <c:v>10.704984926774058</c:v>
                </c:pt>
                <c:pt idx="7">
                  <c:v>7.5095329482981565</c:v>
                </c:pt>
                <c:pt idx="8">
                  <c:v>2.2165654021242149</c:v>
                </c:pt>
                <c:pt idx="9">
                  <c:v>1.7204585186909038</c:v>
                </c:pt>
                <c:pt idx="10">
                  <c:v>24.793326019063301</c:v>
                </c:pt>
                <c:pt idx="11">
                  <c:v>21.153580989852475</c:v>
                </c:pt>
                <c:pt idx="12">
                  <c:v>5.0940319362424411</c:v>
                </c:pt>
                <c:pt idx="13">
                  <c:v>25.183918014960181</c:v>
                </c:pt>
                <c:pt idx="14">
                  <c:v>26.760994494848159</c:v>
                </c:pt>
                <c:pt idx="15">
                  <c:v>26.282831692945102</c:v>
                </c:pt>
                <c:pt idx="16">
                  <c:v>13.453548645318923</c:v>
                </c:pt>
                <c:pt idx="17">
                  <c:v>3.5518742627190982</c:v>
                </c:pt>
                <c:pt idx="18">
                  <c:v>10.273626123247247</c:v>
                </c:pt>
                <c:pt idx="19">
                  <c:v>6.4626650731588704</c:v>
                </c:pt>
                <c:pt idx="20">
                  <c:v>20.642639925439692</c:v>
                </c:pt>
                <c:pt idx="21">
                  <c:v>27.852217981994929</c:v>
                </c:pt>
                <c:pt idx="22">
                  <c:v>27.916114583328898</c:v>
                </c:pt>
                <c:pt idx="23">
                  <c:v>28.543159793749492</c:v>
                </c:pt>
                <c:pt idx="24">
                  <c:v>27.183366519978573</c:v>
                </c:pt>
                <c:pt idx="25">
                  <c:v>28.152901968483068</c:v>
                </c:pt>
                <c:pt idx="26">
                  <c:v>26.230034141961958</c:v>
                </c:pt>
                <c:pt idx="27">
                  <c:v>4.2843181021332066</c:v>
                </c:pt>
                <c:pt idx="28">
                  <c:v>9.3944908700192435</c:v>
                </c:pt>
                <c:pt idx="29">
                  <c:v>4.4683954857207038</c:v>
                </c:pt>
                <c:pt idx="30">
                  <c:v>9.139091617962567</c:v>
                </c:pt>
                <c:pt idx="31">
                  <c:v>13.267689841416848</c:v>
                </c:pt>
                <c:pt idx="32">
                  <c:v>5.3297531256116235</c:v>
                </c:pt>
                <c:pt idx="33">
                  <c:v>10.04564260559571</c:v>
                </c:pt>
                <c:pt idx="34">
                  <c:v>9.9469126129155772</c:v>
                </c:pt>
                <c:pt idx="35">
                  <c:v>9.6237070023495246</c:v>
                </c:pt>
                <c:pt idx="36">
                  <c:v>22.017095204733167</c:v>
                </c:pt>
                <c:pt idx="37">
                  <c:v>9.4473534307466487</c:v>
                </c:pt>
                <c:pt idx="38">
                  <c:v>33.113036409758564</c:v>
                </c:pt>
                <c:pt idx="39">
                  <c:v>33.330148196053685</c:v>
                </c:pt>
                <c:pt idx="40">
                  <c:v>30.983908000262101</c:v>
                </c:pt>
                <c:pt idx="41">
                  <c:v>17.296166098309342</c:v>
                </c:pt>
                <c:pt idx="42">
                  <c:v>26.276925520122926</c:v>
                </c:pt>
                <c:pt idx="43">
                  <c:v>31.06159319280945</c:v>
                </c:pt>
                <c:pt idx="44">
                  <c:v>15.212935108702268</c:v>
                </c:pt>
                <c:pt idx="45">
                  <c:v>19.126483446869916</c:v>
                </c:pt>
                <c:pt idx="46">
                  <c:v>10.019077726804692</c:v>
                </c:pt>
                <c:pt idx="47">
                  <c:v>10.839509794859735</c:v>
                </c:pt>
                <c:pt idx="48">
                  <c:v>27.603799644107479</c:v>
                </c:pt>
                <c:pt idx="49">
                  <c:v>20.004423230759254</c:v>
                </c:pt>
                <c:pt idx="50">
                  <c:v>19.080754149485696</c:v>
                </c:pt>
                <c:pt idx="51">
                  <c:v>21.09304779989219</c:v>
                </c:pt>
                <c:pt idx="52">
                  <c:v>32.601440505220523</c:v>
                </c:pt>
                <c:pt idx="53">
                  <c:v>33.732209385038956</c:v>
                </c:pt>
                <c:pt idx="54">
                  <c:v>20.737993617757425</c:v>
                </c:pt>
                <c:pt idx="55">
                  <c:v>30.204048818312778</c:v>
                </c:pt>
                <c:pt idx="56">
                  <c:v>38.896509361683577</c:v>
                </c:pt>
                <c:pt idx="57">
                  <c:v>27.106499932494451</c:v>
                </c:pt>
                <c:pt idx="58">
                  <c:v>33.494686320951175</c:v>
                </c:pt>
                <c:pt idx="59">
                  <c:v>38.881186371010244</c:v>
                </c:pt>
                <c:pt idx="60">
                  <c:v>10.70709389302654</c:v>
                </c:pt>
                <c:pt idx="61">
                  <c:v>34.507136308728697</c:v>
                </c:pt>
                <c:pt idx="62">
                  <c:v>3.9689285238114276</c:v>
                </c:pt>
                <c:pt idx="63">
                  <c:v>13.13901140419307</c:v>
                </c:pt>
                <c:pt idx="64">
                  <c:v>15.698391373455294</c:v>
                </c:pt>
                <c:pt idx="65">
                  <c:v>36.66623316420656</c:v>
                </c:pt>
                <c:pt idx="66">
                  <c:v>31.686894409873112</c:v>
                </c:pt>
                <c:pt idx="67">
                  <c:v>28.273613752038475</c:v>
                </c:pt>
                <c:pt idx="68">
                  <c:v>24.560886397154867</c:v>
                </c:pt>
                <c:pt idx="69">
                  <c:v>15.584511152968915</c:v>
                </c:pt>
                <c:pt idx="70">
                  <c:v>14.48000403549778</c:v>
                </c:pt>
                <c:pt idx="71">
                  <c:v>9.8286535161472699</c:v>
                </c:pt>
                <c:pt idx="72">
                  <c:v>14.163399511460648</c:v>
                </c:pt>
                <c:pt idx="73">
                  <c:v>14.186483307474157</c:v>
                </c:pt>
                <c:pt idx="74">
                  <c:v>12.786411475747832</c:v>
                </c:pt>
                <c:pt idx="75">
                  <c:v>10.666591587220953</c:v>
                </c:pt>
                <c:pt idx="76">
                  <c:v>14.221241411157617</c:v>
                </c:pt>
                <c:pt idx="77">
                  <c:v>28.860113439105259</c:v>
                </c:pt>
                <c:pt idx="78">
                  <c:v>29.807506773978947</c:v>
                </c:pt>
                <c:pt idx="79">
                  <c:v>43.460161751988331</c:v>
                </c:pt>
                <c:pt idx="80">
                  <c:v>40.894289124532769</c:v>
                </c:pt>
                <c:pt idx="81">
                  <c:v>46.921523557127976</c:v>
                </c:pt>
                <c:pt idx="82">
                  <c:v>45.916156422877755</c:v>
                </c:pt>
                <c:pt idx="83">
                  <c:v>40.219707227343299</c:v>
                </c:pt>
                <c:pt idx="84">
                  <c:v>45.26439329810426</c:v>
                </c:pt>
                <c:pt idx="85">
                  <c:v>44.089167315305801</c:v>
                </c:pt>
                <c:pt idx="86">
                  <c:v>34.519052952391867</c:v>
                </c:pt>
                <c:pt idx="87">
                  <c:v>27.186891161116897</c:v>
                </c:pt>
                <c:pt idx="88">
                  <c:v>7.6454594215189919</c:v>
                </c:pt>
                <c:pt idx="89">
                  <c:v>27.86119185768289</c:v>
                </c:pt>
                <c:pt idx="90">
                  <c:v>30.489349509131564</c:v>
                </c:pt>
                <c:pt idx="91">
                  <c:v>20.78521632237716</c:v>
                </c:pt>
                <c:pt idx="92">
                  <c:v>22.517863676991304</c:v>
                </c:pt>
                <c:pt idx="93">
                  <c:v>47.355080959142747</c:v>
                </c:pt>
                <c:pt idx="94">
                  <c:v>50.33387793516885</c:v>
                </c:pt>
                <c:pt idx="95">
                  <c:v>11.026514306239552</c:v>
                </c:pt>
                <c:pt idx="96">
                  <c:v>37.691902513957473</c:v>
                </c:pt>
                <c:pt idx="97">
                  <c:v>31.047254794333444</c:v>
                </c:pt>
                <c:pt idx="98">
                  <c:v>34.569289734167192</c:v>
                </c:pt>
                <c:pt idx="99">
                  <c:v>52.0545967715695</c:v>
                </c:pt>
                <c:pt idx="100">
                  <c:v>43.711872939490767</c:v>
                </c:pt>
                <c:pt idx="101">
                  <c:v>35.448649989649994</c:v>
                </c:pt>
                <c:pt idx="102">
                  <c:v>7.108041227843783</c:v>
                </c:pt>
                <c:pt idx="103">
                  <c:v>38.422216492290204</c:v>
                </c:pt>
                <c:pt idx="104">
                  <c:v>44.031413543379735</c:v>
                </c:pt>
                <c:pt idx="105">
                  <c:v>42.487349580162778</c:v>
                </c:pt>
                <c:pt idx="106">
                  <c:v>51.895182094459692</c:v>
                </c:pt>
                <c:pt idx="107">
                  <c:v>35.896282895119327</c:v>
                </c:pt>
                <c:pt idx="108">
                  <c:v>8.5810635703297926</c:v>
                </c:pt>
                <c:pt idx="109">
                  <c:v>9.8195146897660077</c:v>
                </c:pt>
                <c:pt idx="110">
                  <c:v>9.0765975536742012</c:v>
                </c:pt>
                <c:pt idx="111">
                  <c:v>26.562897400878601</c:v>
                </c:pt>
                <c:pt idx="112">
                  <c:v>9.1910364143038716</c:v>
                </c:pt>
                <c:pt idx="113">
                  <c:v>29.163194738470292</c:v>
                </c:pt>
                <c:pt idx="114">
                  <c:v>44.8781128451079</c:v>
                </c:pt>
                <c:pt idx="115">
                  <c:v>52.243995637143811</c:v>
                </c:pt>
                <c:pt idx="116">
                  <c:v>39.35314029564271</c:v>
                </c:pt>
                <c:pt idx="117">
                  <c:v>19.587997081499907</c:v>
                </c:pt>
                <c:pt idx="118">
                  <c:v>39.417438894878416</c:v>
                </c:pt>
                <c:pt idx="119">
                  <c:v>41.898757402012727</c:v>
                </c:pt>
                <c:pt idx="120">
                  <c:v>45.410319473770052</c:v>
                </c:pt>
                <c:pt idx="121">
                  <c:v>29.191893156867607</c:v>
                </c:pt>
                <c:pt idx="122">
                  <c:v>34.782053178999206</c:v>
                </c:pt>
                <c:pt idx="123">
                  <c:v>19.29374636946303</c:v>
                </c:pt>
                <c:pt idx="124">
                  <c:v>40.440120400701538</c:v>
                </c:pt>
                <c:pt idx="125">
                  <c:v>36.994686973144432</c:v>
                </c:pt>
                <c:pt idx="126">
                  <c:v>50.303109781613323</c:v>
                </c:pt>
                <c:pt idx="127">
                  <c:v>47.871683628228936</c:v>
                </c:pt>
                <c:pt idx="128">
                  <c:v>50.094245562211022</c:v>
                </c:pt>
                <c:pt idx="129">
                  <c:v>49.77328197988146</c:v>
                </c:pt>
                <c:pt idx="130">
                  <c:v>53.727210403404825</c:v>
                </c:pt>
                <c:pt idx="131">
                  <c:v>39.174662421297164</c:v>
                </c:pt>
                <c:pt idx="132">
                  <c:v>39.84738783411585</c:v>
                </c:pt>
                <c:pt idx="133">
                  <c:v>48.209902524080526</c:v>
                </c:pt>
                <c:pt idx="134">
                  <c:v>51.004021853733803</c:v>
                </c:pt>
                <c:pt idx="135">
                  <c:v>48.617440662417778</c:v>
                </c:pt>
                <c:pt idx="136">
                  <c:v>51.771693065124637</c:v>
                </c:pt>
                <c:pt idx="137">
                  <c:v>49.802724746711128</c:v>
                </c:pt>
                <c:pt idx="138">
                  <c:v>52.564223239685006</c:v>
                </c:pt>
                <c:pt idx="139">
                  <c:v>47.620992389358278</c:v>
                </c:pt>
                <c:pt idx="140">
                  <c:v>47.540797997857396</c:v>
                </c:pt>
                <c:pt idx="141">
                  <c:v>35.980526364895262</c:v>
                </c:pt>
                <c:pt idx="142">
                  <c:v>18.758707808162399</c:v>
                </c:pt>
                <c:pt idx="143">
                  <c:v>16.264786588667178</c:v>
                </c:pt>
                <c:pt idx="144">
                  <c:v>38.14801558096876</c:v>
                </c:pt>
                <c:pt idx="145">
                  <c:v>23.130795726288714</c:v>
                </c:pt>
                <c:pt idx="146">
                  <c:v>43.02538518276419</c:v>
                </c:pt>
                <c:pt idx="147">
                  <c:v>51.841094719061729</c:v>
                </c:pt>
                <c:pt idx="148">
                  <c:v>55.874086049969016</c:v>
                </c:pt>
                <c:pt idx="149">
                  <c:v>47.580320053676026</c:v>
                </c:pt>
                <c:pt idx="150">
                  <c:v>50.529026819785884</c:v>
                </c:pt>
                <c:pt idx="151">
                  <c:v>52.788202404754138</c:v>
                </c:pt>
                <c:pt idx="152">
                  <c:v>42.405413561385245</c:v>
                </c:pt>
                <c:pt idx="153">
                  <c:v>51.678583941281886</c:v>
                </c:pt>
                <c:pt idx="154">
                  <c:v>23.336572997605074</c:v>
                </c:pt>
                <c:pt idx="155">
                  <c:v>32.191973603599777</c:v>
                </c:pt>
                <c:pt idx="156">
                  <c:v>45.337817254333373</c:v>
                </c:pt>
                <c:pt idx="157">
                  <c:v>23.635773502667984</c:v>
                </c:pt>
                <c:pt idx="158">
                  <c:v>19.323493401156583</c:v>
                </c:pt>
                <c:pt idx="159">
                  <c:v>44.157506807664383</c:v>
                </c:pt>
                <c:pt idx="160">
                  <c:v>53.888466639594583</c:v>
                </c:pt>
                <c:pt idx="161">
                  <c:v>52.690262527437447</c:v>
                </c:pt>
                <c:pt idx="162">
                  <c:v>40.316714674957765</c:v>
                </c:pt>
                <c:pt idx="163">
                  <c:v>51.047842791481486</c:v>
                </c:pt>
                <c:pt idx="164">
                  <c:v>46.557946710959271</c:v>
                </c:pt>
                <c:pt idx="165">
                  <c:v>50.78662090209874</c:v>
                </c:pt>
                <c:pt idx="166">
                  <c:v>48.80843005503192</c:v>
                </c:pt>
                <c:pt idx="167">
                  <c:v>48.87519479063517</c:v>
                </c:pt>
                <c:pt idx="168">
                  <c:v>52.077201177343035</c:v>
                </c:pt>
                <c:pt idx="169">
                  <c:v>53.140109327627101</c:v>
                </c:pt>
                <c:pt idx="170">
                  <c:v>29.594198998176704</c:v>
                </c:pt>
                <c:pt idx="171">
                  <c:v>22.101018129895387</c:v>
                </c:pt>
                <c:pt idx="172">
                  <c:v>36.967327160732637</c:v>
                </c:pt>
                <c:pt idx="173">
                  <c:v>39.483514892136228</c:v>
                </c:pt>
                <c:pt idx="174">
                  <c:v>37.73561070804967</c:v>
                </c:pt>
                <c:pt idx="175">
                  <c:v>33.208600497529524</c:v>
                </c:pt>
                <c:pt idx="176">
                  <c:v>11.142334943732896</c:v>
                </c:pt>
                <c:pt idx="177">
                  <c:v>12.162649112940729</c:v>
                </c:pt>
                <c:pt idx="178">
                  <c:v>55.214259290222223</c:v>
                </c:pt>
                <c:pt idx="179">
                  <c:v>52.420284687084468</c:v>
                </c:pt>
                <c:pt idx="180">
                  <c:v>13.033400600011412</c:v>
                </c:pt>
                <c:pt idx="181">
                  <c:v>46.918632162835515</c:v>
                </c:pt>
                <c:pt idx="182">
                  <c:v>52.266340527829755</c:v>
                </c:pt>
                <c:pt idx="183">
                  <c:v>43.55241235972629</c:v>
                </c:pt>
                <c:pt idx="184">
                  <c:v>41.33079570716891</c:v>
                </c:pt>
                <c:pt idx="185">
                  <c:v>51.784934469617653</c:v>
                </c:pt>
                <c:pt idx="186">
                  <c:v>44.471505653269574</c:v>
                </c:pt>
                <c:pt idx="187">
                  <c:v>51.077233535027496</c:v>
                </c:pt>
                <c:pt idx="188">
                  <c:v>53.717137395263286</c:v>
                </c:pt>
                <c:pt idx="189">
                  <c:v>53.025171389652307</c:v>
                </c:pt>
                <c:pt idx="190">
                  <c:v>52.350504761122373</c:v>
                </c:pt>
                <c:pt idx="191">
                  <c:v>50.9658102563913</c:v>
                </c:pt>
                <c:pt idx="192">
                  <c:v>51.058832945872965</c:v>
                </c:pt>
                <c:pt idx="193">
                  <c:v>50.457197233869827</c:v>
                </c:pt>
                <c:pt idx="194">
                  <c:v>49.918018377406661</c:v>
                </c:pt>
                <c:pt idx="195">
                  <c:v>48.248865571642064</c:v>
                </c:pt>
                <c:pt idx="196">
                  <c:v>49.580508652880766</c:v>
                </c:pt>
                <c:pt idx="197">
                  <c:v>49.187368983287833</c:v>
                </c:pt>
                <c:pt idx="198">
                  <c:v>50.975452118094857</c:v>
                </c:pt>
                <c:pt idx="199">
                  <c:v>40.896102072668938</c:v>
                </c:pt>
                <c:pt idx="200">
                  <c:v>41.307016461333028</c:v>
                </c:pt>
                <c:pt idx="201">
                  <c:v>48.580086286219625</c:v>
                </c:pt>
                <c:pt idx="202">
                  <c:v>38.726001725300037</c:v>
                </c:pt>
                <c:pt idx="203">
                  <c:v>43.277668601100771</c:v>
                </c:pt>
                <c:pt idx="204">
                  <c:v>48.53861965279561</c:v>
                </c:pt>
                <c:pt idx="205">
                  <c:v>24.805318856599325</c:v>
                </c:pt>
                <c:pt idx="206">
                  <c:v>52.142395769314348</c:v>
                </c:pt>
                <c:pt idx="207">
                  <c:v>52.150513335714649</c:v>
                </c:pt>
                <c:pt idx="208">
                  <c:v>41.851600572791796</c:v>
                </c:pt>
                <c:pt idx="209">
                  <c:v>28.310955097741957</c:v>
                </c:pt>
                <c:pt idx="210">
                  <c:v>47.646135803044679</c:v>
                </c:pt>
                <c:pt idx="211">
                  <c:v>50.21518758267127</c:v>
                </c:pt>
                <c:pt idx="212">
                  <c:v>49.338924124794552</c:v>
                </c:pt>
                <c:pt idx="213">
                  <c:v>49.535178926445653</c:v>
                </c:pt>
                <c:pt idx="214">
                  <c:v>47.46239571074689</c:v>
                </c:pt>
                <c:pt idx="215">
                  <c:v>44.538101001333771</c:v>
                </c:pt>
                <c:pt idx="216">
                  <c:v>41.437908110967562</c:v>
                </c:pt>
                <c:pt idx="217">
                  <c:v>45.407255066499012</c:v>
                </c:pt>
                <c:pt idx="218">
                  <c:v>48.262758013551739</c:v>
                </c:pt>
                <c:pt idx="219">
                  <c:v>49.037574257728394</c:v>
                </c:pt>
                <c:pt idx="220">
                  <c:v>47.397238366146802</c:v>
                </c:pt>
                <c:pt idx="221">
                  <c:v>45.445515669613108</c:v>
                </c:pt>
                <c:pt idx="222">
                  <c:v>41.820545727799178</c:v>
                </c:pt>
                <c:pt idx="223">
                  <c:v>43.88999819302542</c:v>
                </c:pt>
                <c:pt idx="224">
                  <c:v>30.573345010079045</c:v>
                </c:pt>
                <c:pt idx="225">
                  <c:v>31.786446829438027</c:v>
                </c:pt>
                <c:pt idx="226">
                  <c:v>36.44705684007689</c:v>
                </c:pt>
                <c:pt idx="227">
                  <c:v>30.616233138166205</c:v>
                </c:pt>
                <c:pt idx="228">
                  <c:v>21.045621823819864</c:v>
                </c:pt>
                <c:pt idx="229">
                  <c:v>36.620814037466346</c:v>
                </c:pt>
                <c:pt idx="230">
                  <c:v>37.917648464046565</c:v>
                </c:pt>
                <c:pt idx="231">
                  <c:v>45.157237295282144</c:v>
                </c:pt>
                <c:pt idx="232">
                  <c:v>30.442417821891798</c:v>
                </c:pt>
                <c:pt idx="233">
                  <c:v>23.718418646880757</c:v>
                </c:pt>
                <c:pt idx="234">
                  <c:v>42.426677132631276</c:v>
                </c:pt>
                <c:pt idx="235">
                  <c:v>43.835137284226818</c:v>
                </c:pt>
                <c:pt idx="236">
                  <c:v>31.278665879456923</c:v>
                </c:pt>
                <c:pt idx="237">
                  <c:v>39.295223377265636</c:v>
                </c:pt>
                <c:pt idx="238">
                  <c:v>46.297861334782468</c:v>
                </c:pt>
                <c:pt idx="239">
                  <c:v>45.437026517772104</c:v>
                </c:pt>
                <c:pt idx="240">
                  <c:v>30.634769825721886</c:v>
                </c:pt>
                <c:pt idx="241">
                  <c:v>44.482376811943944</c:v>
                </c:pt>
                <c:pt idx="242">
                  <c:v>20.935558799483999</c:v>
                </c:pt>
                <c:pt idx="243">
                  <c:v>40.357548019830794</c:v>
                </c:pt>
                <c:pt idx="244">
                  <c:v>37.018548163121956</c:v>
                </c:pt>
                <c:pt idx="245">
                  <c:v>30.909153448423076</c:v>
                </c:pt>
                <c:pt idx="246">
                  <c:v>44.830465925119483</c:v>
                </c:pt>
                <c:pt idx="247">
                  <c:v>37.899151272024724</c:v>
                </c:pt>
                <c:pt idx="248">
                  <c:v>42.981814225895164</c:v>
                </c:pt>
                <c:pt idx="249">
                  <c:v>33.442373380877697</c:v>
                </c:pt>
                <c:pt idx="250">
                  <c:v>36.621723948153218</c:v>
                </c:pt>
                <c:pt idx="251">
                  <c:v>20.387474442496416</c:v>
                </c:pt>
                <c:pt idx="252">
                  <c:v>43.07002928241269</c:v>
                </c:pt>
                <c:pt idx="253">
                  <c:v>43.577090457282942</c:v>
                </c:pt>
                <c:pt idx="254">
                  <c:v>30.519660900006141</c:v>
                </c:pt>
                <c:pt idx="255">
                  <c:v>10.821918067964148</c:v>
                </c:pt>
                <c:pt idx="256">
                  <c:v>35.912576925197889</c:v>
                </c:pt>
                <c:pt idx="257">
                  <c:v>39.447925022601851</c:v>
                </c:pt>
                <c:pt idx="258">
                  <c:v>26.264935904368883</c:v>
                </c:pt>
                <c:pt idx="259">
                  <c:v>45.421923162978125</c:v>
                </c:pt>
                <c:pt idx="260">
                  <c:v>43.916877831274427</c:v>
                </c:pt>
                <c:pt idx="261">
                  <c:v>42.785823410977201</c:v>
                </c:pt>
                <c:pt idx="262">
                  <c:v>44.076606854039206</c:v>
                </c:pt>
                <c:pt idx="263">
                  <c:v>43.003277661768628</c:v>
                </c:pt>
                <c:pt idx="264">
                  <c:v>41.8838019927923</c:v>
                </c:pt>
                <c:pt idx="265">
                  <c:v>26.463449080031673</c:v>
                </c:pt>
                <c:pt idx="266">
                  <c:v>16.58943585293299</c:v>
                </c:pt>
                <c:pt idx="267">
                  <c:v>29.367084681152281</c:v>
                </c:pt>
                <c:pt idx="268">
                  <c:v>31.671398149367405</c:v>
                </c:pt>
                <c:pt idx="269">
                  <c:v>14.315325756133092</c:v>
                </c:pt>
                <c:pt idx="270">
                  <c:v>16.449289747975769</c:v>
                </c:pt>
                <c:pt idx="271">
                  <c:v>22.560416859819806</c:v>
                </c:pt>
                <c:pt idx="272">
                  <c:v>27.568869265609759</c:v>
                </c:pt>
                <c:pt idx="273">
                  <c:v>33.063176744475463</c:v>
                </c:pt>
                <c:pt idx="274">
                  <c:v>36.856625667194564</c:v>
                </c:pt>
                <c:pt idx="275">
                  <c:v>33.523384133495654</c:v>
                </c:pt>
                <c:pt idx="276">
                  <c:v>37.721819139696542</c:v>
                </c:pt>
                <c:pt idx="277">
                  <c:v>38.906422029286389</c:v>
                </c:pt>
                <c:pt idx="278">
                  <c:v>11.357856817940448</c:v>
                </c:pt>
                <c:pt idx="279">
                  <c:v>27.761357088560853</c:v>
                </c:pt>
                <c:pt idx="280">
                  <c:v>15.131175447007415</c:v>
                </c:pt>
                <c:pt idx="281">
                  <c:v>35.588063805248098</c:v>
                </c:pt>
                <c:pt idx="282">
                  <c:v>29.331214883478339</c:v>
                </c:pt>
                <c:pt idx="283">
                  <c:v>21.329488065060445</c:v>
                </c:pt>
                <c:pt idx="284">
                  <c:v>26.640699050717071</c:v>
                </c:pt>
                <c:pt idx="285">
                  <c:v>21.985777204844016</c:v>
                </c:pt>
                <c:pt idx="286">
                  <c:v>18.661893943055681</c:v>
                </c:pt>
                <c:pt idx="287">
                  <c:v>34.559672935555874</c:v>
                </c:pt>
                <c:pt idx="288">
                  <c:v>31.037572926595189</c:v>
                </c:pt>
                <c:pt idx="289">
                  <c:v>18.834142020033838</c:v>
                </c:pt>
                <c:pt idx="290">
                  <c:v>31.970534391021832</c:v>
                </c:pt>
                <c:pt idx="291">
                  <c:v>14.726264707354467</c:v>
                </c:pt>
                <c:pt idx="292">
                  <c:v>6.1007609018616575</c:v>
                </c:pt>
                <c:pt idx="293">
                  <c:v>15.451489564332695</c:v>
                </c:pt>
                <c:pt idx="294">
                  <c:v>30.846261704242441</c:v>
                </c:pt>
                <c:pt idx="295">
                  <c:v>16.074781257547343</c:v>
                </c:pt>
                <c:pt idx="296">
                  <c:v>23.827050181613796</c:v>
                </c:pt>
                <c:pt idx="297">
                  <c:v>20.549250830883981</c:v>
                </c:pt>
                <c:pt idx="298">
                  <c:v>12.880726574402962</c:v>
                </c:pt>
                <c:pt idx="299">
                  <c:v>13.757979428898068</c:v>
                </c:pt>
                <c:pt idx="300">
                  <c:v>16.246325965178308</c:v>
                </c:pt>
                <c:pt idx="301">
                  <c:v>25.511845886678554</c:v>
                </c:pt>
                <c:pt idx="302">
                  <c:v>21.103902221772476</c:v>
                </c:pt>
                <c:pt idx="303">
                  <c:v>20.602967741600043</c:v>
                </c:pt>
                <c:pt idx="304">
                  <c:v>21.916110751997113</c:v>
                </c:pt>
                <c:pt idx="305">
                  <c:v>26.339992604504761</c:v>
                </c:pt>
                <c:pt idx="306">
                  <c:v>9.0446065794267323</c:v>
                </c:pt>
                <c:pt idx="307">
                  <c:v>15.862618993273985</c:v>
                </c:pt>
                <c:pt idx="308">
                  <c:v>27.622099074045408</c:v>
                </c:pt>
                <c:pt idx="309">
                  <c:v>28.457366450158496</c:v>
                </c:pt>
                <c:pt idx="310">
                  <c:v>26.299138559408348</c:v>
                </c:pt>
                <c:pt idx="311">
                  <c:v>19.800589005905685</c:v>
                </c:pt>
                <c:pt idx="312">
                  <c:v>9.2587961258211475</c:v>
                </c:pt>
                <c:pt idx="313">
                  <c:v>19.227760118116223</c:v>
                </c:pt>
                <c:pt idx="314">
                  <c:v>26.041701119493226</c:v>
                </c:pt>
                <c:pt idx="315">
                  <c:v>26.085339854218763</c:v>
                </c:pt>
                <c:pt idx="316">
                  <c:v>25.197767773571623</c:v>
                </c:pt>
                <c:pt idx="317">
                  <c:v>8.8726853597553799</c:v>
                </c:pt>
                <c:pt idx="318">
                  <c:v>11.53763490712929</c:v>
                </c:pt>
                <c:pt idx="319">
                  <c:v>25.615392426288185</c:v>
                </c:pt>
                <c:pt idx="320">
                  <c:v>11.99012887543106</c:v>
                </c:pt>
                <c:pt idx="321">
                  <c:v>14.231927658298215</c:v>
                </c:pt>
                <c:pt idx="322">
                  <c:v>7.2887607653136692</c:v>
                </c:pt>
                <c:pt idx="323">
                  <c:v>14.568108691544749</c:v>
                </c:pt>
                <c:pt idx="324">
                  <c:v>3.0787610433025012</c:v>
                </c:pt>
                <c:pt idx="325">
                  <c:v>7.6537123001181904</c:v>
                </c:pt>
                <c:pt idx="326">
                  <c:v>11.470619740549653</c:v>
                </c:pt>
                <c:pt idx="327">
                  <c:v>12.625351713547575</c:v>
                </c:pt>
                <c:pt idx="328">
                  <c:v>4.8887542214608359</c:v>
                </c:pt>
                <c:pt idx="329">
                  <c:v>9.7997606714643553</c:v>
                </c:pt>
                <c:pt idx="330">
                  <c:v>13.94017363463284</c:v>
                </c:pt>
                <c:pt idx="331">
                  <c:v>10.105013401603371</c:v>
                </c:pt>
                <c:pt idx="332">
                  <c:v>14.059812760323235</c:v>
                </c:pt>
                <c:pt idx="333">
                  <c:v>3.9172006997342614</c:v>
                </c:pt>
                <c:pt idx="334">
                  <c:v>3.3706957472869159</c:v>
                </c:pt>
                <c:pt idx="335">
                  <c:v>5.5896591619526772</c:v>
                </c:pt>
                <c:pt idx="336">
                  <c:v>8.3494508876762232</c:v>
                </c:pt>
                <c:pt idx="337">
                  <c:v>16.577819324859046</c:v>
                </c:pt>
                <c:pt idx="338">
                  <c:v>22.564257336703726</c:v>
                </c:pt>
                <c:pt idx="339">
                  <c:v>10.450345994340772</c:v>
                </c:pt>
                <c:pt idx="340">
                  <c:v>18.961878104288434</c:v>
                </c:pt>
                <c:pt idx="341">
                  <c:v>3.9146221936928076</c:v>
                </c:pt>
                <c:pt idx="342">
                  <c:v>4.7364661771237717</c:v>
                </c:pt>
                <c:pt idx="343">
                  <c:v>11.149366463306142</c:v>
                </c:pt>
                <c:pt idx="344">
                  <c:v>15.576144296133593</c:v>
                </c:pt>
                <c:pt idx="345">
                  <c:v>5.4246554555738689</c:v>
                </c:pt>
                <c:pt idx="346">
                  <c:v>5.1494728021522294</c:v>
                </c:pt>
                <c:pt idx="347">
                  <c:v>16.339682412177524</c:v>
                </c:pt>
                <c:pt idx="348">
                  <c:v>5.4199817394544523</c:v>
                </c:pt>
                <c:pt idx="349">
                  <c:v>4.6183792009986178</c:v>
                </c:pt>
                <c:pt idx="350">
                  <c:v>3.3750347647898034</c:v>
                </c:pt>
                <c:pt idx="351">
                  <c:v>20.266737581412841</c:v>
                </c:pt>
                <c:pt idx="352">
                  <c:v>16.400995494529184</c:v>
                </c:pt>
                <c:pt idx="353">
                  <c:v>4.3115273266741294</c:v>
                </c:pt>
                <c:pt idx="354">
                  <c:v>19.445333440901219</c:v>
                </c:pt>
                <c:pt idx="355">
                  <c:v>16.070313018538958</c:v>
                </c:pt>
                <c:pt idx="356">
                  <c:v>16.595913409908896</c:v>
                </c:pt>
                <c:pt idx="357">
                  <c:v>19.944307700601339</c:v>
                </c:pt>
                <c:pt idx="358">
                  <c:v>11.866769951988672</c:v>
                </c:pt>
                <c:pt idx="359">
                  <c:v>20.221770917637205</c:v>
                </c:pt>
                <c:pt idx="360">
                  <c:v>7.2876252608469896</c:v>
                </c:pt>
                <c:pt idx="361">
                  <c:v>19.424173974053861</c:v>
                </c:pt>
                <c:pt idx="362">
                  <c:v>9.548534227007945</c:v>
                </c:pt>
                <c:pt idx="363">
                  <c:v>12.572656965821041</c:v>
                </c:pt>
                <c:pt idx="364">
                  <c:v>11.667056002857626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22.302742754305925</c:v>
                </c:pt>
                <c:pt idx="1">
                  <c:v>16.03620950450264</c:v>
                </c:pt>
                <c:pt idx="2">
                  <c:v>17.256677473338552</c:v>
                </c:pt>
                <c:pt idx="3">
                  <c:v>18.233380516339139</c:v>
                </c:pt>
                <c:pt idx="4">
                  <c:v>14.516700017114545</c:v>
                </c:pt>
                <c:pt idx="5">
                  <c:v>20.933276398114902</c:v>
                </c:pt>
                <c:pt idx="6">
                  <c:v>10.704984926774058</c:v>
                </c:pt>
                <c:pt idx="7">
                  <c:v>7.5095329482981565</c:v>
                </c:pt>
                <c:pt idx="8">
                  <c:v>2.2165654021242149</c:v>
                </c:pt>
                <c:pt idx="9">
                  <c:v>1.7204585186909038</c:v>
                </c:pt>
                <c:pt idx="10">
                  <c:v>24.793326019063301</c:v>
                </c:pt>
                <c:pt idx="11">
                  <c:v>21.153580989852475</c:v>
                </c:pt>
                <c:pt idx="12">
                  <c:v>5.0940319362424411</c:v>
                </c:pt>
                <c:pt idx="13">
                  <c:v>25.183918014960181</c:v>
                </c:pt>
                <c:pt idx="14">
                  <c:v>26.760994494848159</c:v>
                </c:pt>
                <c:pt idx="15">
                  <c:v>26.282831692945102</c:v>
                </c:pt>
                <c:pt idx="16">
                  <c:v>13.453548645318923</c:v>
                </c:pt>
                <c:pt idx="17">
                  <c:v>3.5518742627190982</c:v>
                </c:pt>
                <c:pt idx="18">
                  <c:v>10.273626123247247</c:v>
                </c:pt>
                <c:pt idx="19">
                  <c:v>6.4626650731588704</c:v>
                </c:pt>
                <c:pt idx="20">
                  <c:v>20.642639925439692</c:v>
                </c:pt>
                <c:pt idx="21">
                  <c:v>27.852217981994929</c:v>
                </c:pt>
                <c:pt idx="22">
                  <c:v>27.916114583328898</c:v>
                </c:pt>
                <c:pt idx="23">
                  <c:v>28.543159793749492</c:v>
                </c:pt>
                <c:pt idx="24">
                  <c:v>27.183366519978573</c:v>
                </c:pt>
                <c:pt idx="25">
                  <c:v>28.152901968483068</c:v>
                </c:pt>
                <c:pt idx="26">
                  <c:v>26.230034141961958</c:v>
                </c:pt>
                <c:pt idx="27">
                  <c:v>4.2843181021332066</c:v>
                </c:pt>
                <c:pt idx="28">
                  <c:v>9.3944908700192435</c:v>
                </c:pt>
                <c:pt idx="29">
                  <c:v>4.4683954857207038</c:v>
                </c:pt>
                <c:pt idx="30">
                  <c:v>9.139091617962567</c:v>
                </c:pt>
                <c:pt idx="31">
                  <c:v>13.267689841416848</c:v>
                </c:pt>
                <c:pt idx="32">
                  <c:v>5.3297531256116235</c:v>
                </c:pt>
                <c:pt idx="33">
                  <c:v>10.04564260559571</c:v>
                </c:pt>
                <c:pt idx="34">
                  <c:v>9.9469126129155772</c:v>
                </c:pt>
                <c:pt idx="35">
                  <c:v>9.6237070023495246</c:v>
                </c:pt>
                <c:pt idx="36">
                  <c:v>22.017095204733167</c:v>
                </c:pt>
                <c:pt idx="37">
                  <c:v>9.4473534307466487</c:v>
                </c:pt>
                <c:pt idx="38">
                  <c:v>33.113036409758564</c:v>
                </c:pt>
                <c:pt idx="39">
                  <c:v>33.330148196053685</c:v>
                </c:pt>
                <c:pt idx="40">
                  <c:v>30.983908000262101</c:v>
                </c:pt>
                <c:pt idx="41">
                  <c:v>17.296166098309342</c:v>
                </c:pt>
                <c:pt idx="42">
                  <c:v>26.276925520122926</c:v>
                </c:pt>
                <c:pt idx="43">
                  <c:v>31.06159319280945</c:v>
                </c:pt>
                <c:pt idx="44">
                  <c:v>15.212935108702268</c:v>
                </c:pt>
                <c:pt idx="45">
                  <c:v>19.126483446869916</c:v>
                </c:pt>
                <c:pt idx="46">
                  <c:v>10.019077726804692</c:v>
                </c:pt>
                <c:pt idx="47">
                  <c:v>10.839509794859735</c:v>
                </c:pt>
                <c:pt idx="48">
                  <c:v>27.603799644107479</c:v>
                </c:pt>
                <c:pt idx="49">
                  <c:v>20.004423230759254</c:v>
                </c:pt>
                <c:pt idx="50">
                  <c:v>19.080754149485696</c:v>
                </c:pt>
                <c:pt idx="51">
                  <c:v>21.09304779989219</c:v>
                </c:pt>
                <c:pt idx="52">
                  <c:v>32.601440505220523</c:v>
                </c:pt>
                <c:pt idx="53">
                  <c:v>33.732209385038956</c:v>
                </c:pt>
                <c:pt idx="54">
                  <c:v>20.737993617757425</c:v>
                </c:pt>
                <c:pt idx="55">
                  <c:v>30.204048818312778</c:v>
                </c:pt>
                <c:pt idx="56">
                  <c:v>38.896509361683577</c:v>
                </c:pt>
                <c:pt idx="57">
                  <c:v>27.106499932494451</c:v>
                </c:pt>
                <c:pt idx="58">
                  <c:v>33.494686320951175</c:v>
                </c:pt>
                <c:pt idx="59">
                  <c:v>38.881186371010244</c:v>
                </c:pt>
                <c:pt idx="60">
                  <c:v>10.70709389302654</c:v>
                </c:pt>
                <c:pt idx="61">
                  <c:v>34.507136308728697</c:v>
                </c:pt>
                <c:pt idx="62">
                  <c:v>3.9689285238114276</c:v>
                </c:pt>
                <c:pt idx="63">
                  <c:v>13.13901140419307</c:v>
                </c:pt>
                <c:pt idx="64">
                  <c:v>15.698391373455294</c:v>
                </c:pt>
                <c:pt idx="65">
                  <c:v>36.66623316420656</c:v>
                </c:pt>
                <c:pt idx="66">
                  <c:v>31.686894409873112</c:v>
                </c:pt>
                <c:pt idx="67">
                  <c:v>28.273613752038475</c:v>
                </c:pt>
                <c:pt idx="68">
                  <c:v>24.560886397154867</c:v>
                </c:pt>
                <c:pt idx="69">
                  <c:v>15.584511152968915</c:v>
                </c:pt>
                <c:pt idx="70">
                  <c:v>14.48000403549778</c:v>
                </c:pt>
                <c:pt idx="71">
                  <c:v>9.8286535161472699</c:v>
                </c:pt>
                <c:pt idx="72">
                  <c:v>14.163399511460648</c:v>
                </c:pt>
                <c:pt idx="73">
                  <c:v>14.186483307474157</c:v>
                </c:pt>
                <c:pt idx="74">
                  <c:v>12.786411475747832</c:v>
                </c:pt>
                <c:pt idx="75">
                  <c:v>10.666591587220953</c:v>
                </c:pt>
                <c:pt idx="76">
                  <c:v>14.221241411157617</c:v>
                </c:pt>
                <c:pt idx="77">
                  <c:v>28.860113439105259</c:v>
                </c:pt>
                <c:pt idx="78">
                  <c:v>29.807506773978947</c:v>
                </c:pt>
                <c:pt idx="79">
                  <c:v>43.460161751988331</c:v>
                </c:pt>
                <c:pt idx="80">
                  <c:v>40.894289124532769</c:v>
                </c:pt>
                <c:pt idx="81">
                  <c:v>46.921523557127976</c:v>
                </c:pt>
                <c:pt idx="82">
                  <c:v>45.916156422877755</c:v>
                </c:pt>
                <c:pt idx="83">
                  <c:v>40.219707227343299</c:v>
                </c:pt>
                <c:pt idx="84">
                  <c:v>45.26439329810426</c:v>
                </c:pt>
                <c:pt idx="85">
                  <c:v>44.089167315305801</c:v>
                </c:pt>
                <c:pt idx="86">
                  <c:v>34.519052952391867</c:v>
                </c:pt>
                <c:pt idx="87">
                  <c:v>27.186891161116897</c:v>
                </c:pt>
                <c:pt idx="88">
                  <c:v>7.6454594215189919</c:v>
                </c:pt>
                <c:pt idx="89">
                  <c:v>27.86119185768289</c:v>
                </c:pt>
                <c:pt idx="90">
                  <c:v>30.489349509131564</c:v>
                </c:pt>
                <c:pt idx="91">
                  <c:v>20.78521632237716</c:v>
                </c:pt>
                <c:pt idx="92">
                  <c:v>22.517863676991304</c:v>
                </c:pt>
                <c:pt idx="93">
                  <c:v>47.355080959142747</c:v>
                </c:pt>
                <c:pt idx="94">
                  <c:v>50.33387793516885</c:v>
                </c:pt>
                <c:pt idx="95">
                  <c:v>11.026514306239552</c:v>
                </c:pt>
                <c:pt idx="96">
                  <c:v>37.691902513957473</c:v>
                </c:pt>
                <c:pt idx="97">
                  <c:v>31.047254794333444</c:v>
                </c:pt>
                <c:pt idx="98">
                  <c:v>34.569289734167192</c:v>
                </c:pt>
                <c:pt idx="99">
                  <c:v>52.0545967715695</c:v>
                </c:pt>
                <c:pt idx="100">
                  <c:v>43.711872939490767</c:v>
                </c:pt>
                <c:pt idx="101">
                  <c:v>35.448649989649994</c:v>
                </c:pt>
                <c:pt idx="102">
                  <c:v>7.108041227843783</c:v>
                </c:pt>
                <c:pt idx="103">
                  <c:v>38.422216492290204</c:v>
                </c:pt>
                <c:pt idx="104">
                  <c:v>44.031413543379735</c:v>
                </c:pt>
                <c:pt idx="105">
                  <c:v>42.487349580162778</c:v>
                </c:pt>
                <c:pt idx="106">
                  <c:v>51.895182094459692</c:v>
                </c:pt>
                <c:pt idx="107">
                  <c:v>35.896282895119327</c:v>
                </c:pt>
                <c:pt idx="108">
                  <c:v>8.5810635703297926</c:v>
                </c:pt>
                <c:pt idx="109">
                  <c:v>9.8195146897660077</c:v>
                </c:pt>
                <c:pt idx="110">
                  <c:v>9.0765975536742012</c:v>
                </c:pt>
                <c:pt idx="111">
                  <c:v>26.562897400878601</c:v>
                </c:pt>
                <c:pt idx="112">
                  <c:v>9.1910364143038716</c:v>
                </c:pt>
                <c:pt idx="113">
                  <c:v>29.163194738470292</c:v>
                </c:pt>
                <c:pt idx="114">
                  <c:v>44.8781128451079</c:v>
                </c:pt>
                <c:pt idx="115">
                  <c:v>52.243995637143811</c:v>
                </c:pt>
                <c:pt idx="116">
                  <c:v>39.35314029564271</c:v>
                </c:pt>
                <c:pt idx="117">
                  <c:v>19.587997081499907</c:v>
                </c:pt>
                <c:pt idx="118">
                  <c:v>39.417438894878416</c:v>
                </c:pt>
                <c:pt idx="119">
                  <c:v>41.898757402012727</c:v>
                </c:pt>
                <c:pt idx="120">
                  <c:v>45.410319473770052</c:v>
                </c:pt>
                <c:pt idx="121">
                  <c:v>29.191893156867607</c:v>
                </c:pt>
                <c:pt idx="122">
                  <c:v>34.782053178999206</c:v>
                </c:pt>
                <c:pt idx="123">
                  <c:v>19.29374636946303</c:v>
                </c:pt>
                <c:pt idx="124">
                  <c:v>40.440120400701538</c:v>
                </c:pt>
                <c:pt idx="125">
                  <c:v>36.994686973144432</c:v>
                </c:pt>
                <c:pt idx="126">
                  <c:v>50.303109781613323</c:v>
                </c:pt>
                <c:pt idx="127">
                  <c:v>47.871683628228936</c:v>
                </c:pt>
                <c:pt idx="128">
                  <c:v>50.094245562211022</c:v>
                </c:pt>
                <c:pt idx="129">
                  <c:v>49.77328197988146</c:v>
                </c:pt>
                <c:pt idx="130">
                  <c:v>53.727210403404825</c:v>
                </c:pt>
                <c:pt idx="131">
                  <c:v>39.174662421297164</c:v>
                </c:pt>
                <c:pt idx="132">
                  <c:v>39.84738783411585</c:v>
                </c:pt>
                <c:pt idx="133">
                  <c:v>48.209902524080526</c:v>
                </c:pt>
                <c:pt idx="134">
                  <c:v>51.004021853733803</c:v>
                </c:pt>
                <c:pt idx="135">
                  <c:v>48.617440662417778</c:v>
                </c:pt>
                <c:pt idx="136">
                  <c:v>51.771693065124637</c:v>
                </c:pt>
                <c:pt idx="137">
                  <c:v>49.802724746711128</c:v>
                </c:pt>
                <c:pt idx="138">
                  <c:v>52.564223239685006</c:v>
                </c:pt>
                <c:pt idx="139">
                  <c:v>47.620992389358278</c:v>
                </c:pt>
                <c:pt idx="140">
                  <c:v>47.540797997857396</c:v>
                </c:pt>
                <c:pt idx="141">
                  <c:v>35.980526364895262</c:v>
                </c:pt>
                <c:pt idx="142">
                  <c:v>18.758707808162399</c:v>
                </c:pt>
                <c:pt idx="143">
                  <c:v>16.264786588667178</c:v>
                </c:pt>
                <c:pt idx="144">
                  <c:v>38.14801558096876</c:v>
                </c:pt>
                <c:pt idx="145">
                  <c:v>23.130795726288714</c:v>
                </c:pt>
                <c:pt idx="146">
                  <c:v>43.02538518276419</c:v>
                </c:pt>
                <c:pt idx="147">
                  <c:v>51.841094719061729</c:v>
                </c:pt>
                <c:pt idx="148">
                  <c:v>55.874086049969016</c:v>
                </c:pt>
                <c:pt idx="149">
                  <c:v>47.580320053676026</c:v>
                </c:pt>
                <c:pt idx="150">
                  <c:v>50.529026819785884</c:v>
                </c:pt>
                <c:pt idx="151">
                  <c:v>52.788202404754138</c:v>
                </c:pt>
                <c:pt idx="152">
                  <c:v>42.405413561385245</c:v>
                </c:pt>
                <c:pt idx="153">
                  <c:v>51.678583941281886</c:v>
                </c:pt>
                <c:pt idx="154">
                  <c:v>23.336572997605074</c:v>
                </c:pt>
                <c:pt idx="155">
                  <c:v>32.191973603599777</c:v>
                </c:pt>
                <c:pt idx="156">
                  <c:v>45.337817254333373</c:v>
                </c:pt>
                <c:pt idx="157">
                  <c:v>23.635773502667984</c:v>
                </c:pt>
                <c:pt idx="158">
                  <c:v>19.323493401156583</c:v>
                </c:pt>
                <c:pt idx="159">
                  <c:v>44.157506807664383</c:v>
                </c:pt>
                <c:pt idx="160">
                  <c:v>53.888466639594583</c:v>
                </c:pt>
                <c:pt idx="161">
                  <c:v>52.690262527437447</c:v>
                </c:pt>
                <c:pt idx="162">
                  <c:v>40.316714674957765</c:v>
                </c:pt>
                <c:pt idx="163">
                  <c:v>51.047842791481486</c:v>
                </c:pt>
                <c:pt idx="164">
                  <c:v>46.557946710959271</c:v>
                </c:pt>
                <c:pt idx="165">
                  <c:v>50.78662090209874</c:v>
                </c:pt>
                <c:pt idx="166">
                  <c:v>48.80843005503192</c:v>
                </c:pt>
                <c:pt idx="167">
                  <c:v>48.87519479063517</c:v>
                </c:pt>
                <c:pt idx="168">
                  <c:v>52.077201177343035</c:v>
                </c:pt>
                <c:pt idx="169">
                  <c:v>53.140109327627101</c:v>
                </c:pt>
                <c:pt idx="170">
                  <c:v>29.594198998176704</c:v>
                </c:pt>
                <c:pt idx="171">
                  <c:v>22.101018129895387</c:v>
                </c:pt>
                <c:pt idx="172">
                  <c:v>36.967327160732637</c:v>
                </c:pt>
                <c:pt idx="173">
                  <c:v>39.483514892136228</c:v>
                </c:pt>
                <c:pt idx="174">
                  <c:v>37.73561070804967</c:v>
                </c:pt>
                <c:pt idx="175">
                  <c:v>33.208600497529524</c:v>
                </c:pt>
                <c:pt idx="176">
                  <c:v>11.142334943732896</c:v>
                </c:pt>
                <c:pt idx="177">
                  <c:v>12.162649112940729</c:v>
                </c:pt>
                <c:pt idx="178">
                  <c:v>55.214259290222223</c:v>
                </c:pt>
                <c:pt idx="179">
                  <c:v>52.420284687084468</c:v>
                </c:pt>
                <c:pt idx="180">
                  <c:v>13.033400600011412</c:v>
                </c:pt>
                <c:pt idx="181">
                  <c:v>46.918632162835515</c:v>
                </c:pt>
                <c:pt idx="182">
                  <c:v>52.266340527829755</c:v>
                </c:pt>
                <c:pt idx="183">
                  <c:v>43.55241235972629</c:v>
                </c:pt>
                <c:pt idx="184">
                  <c:v>41.33079570716891</c:v>
                </c:pt>
                <c:pt idx="185">
                  <c:v>51.784934469617653</c:v>
                </c:pt>
                <c:pt idx="186">
                  <c:v>44.471505653269574</c:v>
                </c:pt>
                <c:pt idx="187">
                  <c:v>51.077233535027496</c:v>
                </c:pt>
                <c:pt idx="188">
                  <c:v>53.717137395263286</c:v>
                </c:pt>
                <c:pt idx="189">
                  <c:v>53.025171389652307</c:v>
                </c:pt>
                <c:pt idx="190">
                  <c:v>52.350504761122373</c:v>
                </c:pt>
                <c:pt idx="191">
                  <c:v>50.9658102563913</c:v>
                </c:pt>
                <c:pt idx="192">
                  <c:v>51.058832945872965</c:v>
                </c:pt>
                <c:pt idx="193">
                  <c:v>50.457197233869827</c:v>
                </c:pt>
                <c:pt idx="194">
                  <c:v>49.918018377406661</c:v>
                </c:pt>
                <c:pt idx="195">
                  <c:v>48.248865571642064</c:v>
                </c:pt>
                <c:pt idx="196">
                  <c:v>49.580508652880766</c:v>
                </c:pt>
                <c:pt idx="197">
                  <c:v>49.187368983287833</c:v>
                </c:pt>
                <c:pt idx="198">
                  <c:v>50.975452118094857</c:v>
                </c:pt>
                <c:pt idx="199">
                  <c:v>40.896102072668938</c:v>
                </c:pt>
                <c:pt idx="200">
                  <c:v>41.307016461333028</c:v>
                </c:pt>
                <c:pt idx="201">
                  <c:v>48.580086286219625</c:v>
                </c:pt>
                <c:pt idx="202">
                  <c:v>38.726001725300037</c:v>
                </c:pt>
                <c:pt idx="203">
                  <c:v>43.277668601100771</c:v>
                </c:pt>
                <c:pt idx="204">
                  <c:v>48.53861965279561</c:v>
                </c:pt>
                <c:pt idx="205">
                  <c:v>24.805318856599325</c:v>
                </c:pt>
                <c:pt idx="206">
                  <c:v>52.142395769314348</c:v>
                </c:pt>
                <c:pt idx="207">
                  <c:v>52.150513335714649</c:v>
                </c:pt>
                <c:pt idx="208">
                  <c:v>41.851600572791796</c:v>
                </c:pt>
                <c:pt idx="209">
                  <c:v>28.310955097741957</c:v>
                </c:pt>
                <c:pt idx="210">
                  <c:v>47.646135803044679</c:v>
                </c:pt>
                <c:pt idx="211">
                  <c:v>50.21518758267127</c:v>
                </c:pt>
                <c:pt idx="212">
                  <c:v>49.338924124794552</c:v>
                </c:pt>
                <c:pt idx="213">
                  <c:v>49.535178926445653</c:v>
                </c:pt>
                <c:pt idx="214">
                  <c:v>47.46239571074689</c:v>
                </c:pt>
                <c:pt idx="215">
                  <c:v>44.538101001333771</c:v>
                </c:pt>
                <c:pt idx="216">
                  <c:v>41.437908110967562</c:v>
                </c:pt>
                <c:pt idx="217">
                  <c:v>45.407255066499012</c:v>
                </c:pt>
                <c:pt idx="218">
                  <c:v>48.262758013551739</c:v>
                </c:pt>
                <c:pt idx="219">
                  <c:v>49.037574257728394</c:v>
                </c:pt>
                <c:pt idx="220">
                  <c:v>47.397238366146802</c:v>
                </c:pt>
                <c:pt idx="221">
                  <c:v>45.445515669613108</c:v>
                </c:pt>
                <c:pt idx="222">
                  <c:v>41.820545727799178</c:v>
                </c:pt>
                <c:pt idx="223">
                  <c:v>43.88999819302542</c:v>
                </c:pt>
                <c:pt idx="224">
                  <c:v>30.573345010079045</c:v>
                </c:pt>
                <c:pt idx="225">
                  <c:v>31.786446829438027</c:v>
                </c:pt>
                <c:pt idx="226">
                  <c:v>36.44705684007689</c:v>
                </c:pt>
                <c:pt idx="227">
                  <c:v>30.616233138166205</c:v>
                </c:pt>
                <c:pt idx="228">
                  <c:v>21.045621823819864</c:v>
                </c:pt>
                <c:pt idx="229">
                  <c:v>36.620814037466346</c:v>
                </c:pt>
                <c:pt idx="230">
                  <c:v>37.917648464046565</c:v>
                </c:pt>
                <c:pt idx="231">
                  <c:v>45.157237295282144</c:v>
                </c:pt>
                <c:pt idx="232">
                  <c:v>30.442417821891798</c:v>
                </c:pt>
                <c:pt idx="233">
                  <c:v>23.718418646880757</c:v>
                </c:pt>
                <c:pt idx="234">
                  <c:v>42.426677132631276</c:v>
                </c:pt>
                <c:pt idx="235">
                  <c:v>43.835137284226818</c:v>
                </c:pt>
                <c:pt idx="236">
                  <c:v>31.278665879456923</c:v>
                </c:pt>
                <c:pt idx="237">
                  <c:v>39.295223377265636</c:v>
                </c:pt>
                <c:pt idx="238">
                  <c:v>46.297861334782468</c:v>
                </c:pt>
                <c:pt idx="239">
                  <c:v>45.437026517772104</c:v>
                </c:pt>
                <c:pt idx="240">
                  <c:v>30.634769825721886</c:v>
                </c:pt>
                <c:pt idx="241">
                  <c:v>44.482376811943944</c:v>
                </c:pt>
                <c:pt idx="242">
                  <c:v>20.935558799483999</c:v>
                </c:pt>
                <c:pt idx="243">
                  <c:v>40.357548019830794</c:v>
                </c:pt>
                <c:pt idx="244">
                  <c:v>37.018548163121956</c:v>
                </c:pt>
                <c:pt idx="245">
                  <c:v>30.909153448423076</c:v>
                </c:pt>
                <c:pt idx="246">
                  <c:v>44.830465925119483</c:v>
                </c:pt>
                <c:pt idx="247">
                  <c:v>37.899151272024724</c:v>
                </c:pt>
                <c:pt idx="248">
                  <c:v>42.981814225895164</c:v>
                </c:pt>
                <c:pt idx="249">
                  <c:v>33.442373380877697</c:v>
                </c:pt>
                <c:pt idx="250">
                  <c:v>36.621723948153218</c:v>
                </c:pt>
                <c:pt idx="251">
                  <c:v>20.387474442496416</c:v>
                </c:pt>
                <c:pt idx="252">
                  <c:v>43.07002928241269</c:v>
                </c:pt>
                <c:pt idx="253">
                  <c:v>43.577090457282942</c:v>
                </c:pt>
                <c:pt idx="254">
                  <c:v>30.519660900006141</c:v>
                </c:pt>
                <c:pt idx="255">
                  <c:v>10.821918067964148</c:v>
                </c:pt>
                <c:pt idx="256">
                  <c:v>35.912576925197889</c:v>
                </c:pt>
                <c:pt idx="257">
                  <c:v>39.447925022601851</c:v>
                </c:pt>
                <c:pt idx="258">
                  <c:v>26.264935904368883</c:v>
                </c:pt>
                <c:pt idx="259">
                  <c:v>45.421923162978125</c:v>
                </c:pt>
                <c:pt idx="260">
                  <c:v>43.916877831274427</c:v>
                </c:pt>
                <c:pt idx="261">
                  <c:v>42.785823410977201</c:v>
                </c:pt>
                <c:pt idx="262">
                  <c:v>44.076606854039206</c:v>
                </c:pt>
                <c:pt idx="263">
                  <c:v>43.003277661768628</c:v>
                </c:pt>
                <c:pt idx="264">
                  <c:v>41.8838019927923</c:v>
                </c:pt>
                <c:pt idx="265">
                  <c:v>26.463449080031673</c:v>
                </c:pt>
                <c:pt idx="266">
                  <c:v>16.58943585293299</c:v>
                </c:pt>
                <c:pt idx="267">
                  <c:v>29.367084681152281</c:v>
                </c:pt>
                <c:pt idx="268">
                  <c:v>31.671398149367405</c:v>
                </c:pt>
                <c:pt idx="269">
                  <c:v>14.315325756133092</c:v>
                </c:pt>
                <c:pt idx="270">
                  <c:v>16.449289747975769</c:v>
                </c:pt>
                <c:pt idx="271">
                  <c:v>22.560416859819806</c:v>
                </c:pt>
                <c:pt idx="272">
                  <c:v>27.568869265609759</c:v>
                </c:pt>
                <c:pt idx="273">
                  <c:v>33.063176744475463</c:v>
                </c:pt>
                <c:pt idx="274">
                  <c:v>36.856625667194564</c:v>
                </c:pt>
                <c:pt idx="275">
                  <c:v>33.523384133495654</c:v>
                </c:pt>
                <c:pt idx="276">
                  <c:v>37.721819139696542</c:v>
                </c:pt>
                <c:pt idx="277">
                  <c:v>38.906422029286389</c:v>
                </c:pt>
                <c:pt idx="278">
                  <c:v>11.357856817940448</c:v>
                </c:pt>
                <c:pt idx="279">
                  <c:v>27.761357088560853</c:v>
                </c:pt>
                <c:pt idx="280">
                  <c:v>15.131175447007415</c:v>
                </c:pt>
                <c:pt idx="281">
                  <c:v>35.588063805248098</c:v>
                </c:pt>
                <c:pt idx="282">
                  <c:v>29.331214883478339</c:v>
                </c:pt>
                <c:pt idx="283">
                  <c:v>21.329488065060445</c:v>
                </c:pt>
                <c:pt idx="284">
                  <c:v>26.640699050717071</c:v>
                </c:pt>
                <c:pt idx="285">
                  <c:v>21.985777204844016</c:v>
                </c:pt>
                <c:pt idx="286">
                  <c:v>18.661893943055681</c:v>
                </c:pt>
                <c:pt idx="287">
                  <c:v>34.559672935555874</c:v>
                </c:pt>
                <c:pt idx="288">
                  <c:v>31.037572926595189</c:v>
                </c:pt>
                <c:pt idx="289">
                  <c:v>18.834142020033838</c:v>
                </c:pt>
                <c:pt idx="290">
                  <c:v>31.970534391021832</c:v>
                </c:pt>
                <c:pt idx="291">
                  <c:v>14.726264707354467</c:v>
                </c:pt>
                <c:pt idx="292">
                  <c:v>6.1007609018616575</c:v>
                </c:pt>
                <c:pt idx="293">
                  <c:v>15.451489564332695</c:v>
                </c:pt>
                <c:pt idx="294">
                  <c:v>30.846261704242441</c:v>
                </c:pt>
                <c:pt idx="295">
                  <c:v>16.074781257547343</c:v>
                </c:pt>
                <c:pt idx="296">
                  <c:v>23.827050181613796</c:v>
                </c:pt>
                <c:pt idx="297">
                  <c:v>20.549250830883981</c:v>
                </c:pt>
                <c:pt idx="298">
                  <c:v>12.880726574402962</c:v>
                </c:pt>
                <c:pt idx="299">
                  <c:v>13.757979428898068</c:v>
                </c:pt>
                <c:pt idx="300">
                  <c:v>16.246325965178308</c:v>
                </c:pt>
                <c:pt idx="301">
                  <c:v>25.511845886678554</c:v>
                </c:pt>
                <c:pt idx="302">
                  <c:v>21.103902221772476</c:v>
                </c:pt>
                <c:pt idx="303">
                  <c:v>20.602967741600043</c:v>
                </c:pt>
                <c:pt idx="304">
                  <c:v>21.916110751997113</c:v>
                </c:pt>
                <c:pt idx="305">
                  <c:v>26.339992604504761</c:v>
                </c:pt>
                <c:pt idx="306">
                  <c:v>9.0446065794267323</c:v>
                </c:pt>
                <c:pt idx="307">
                  <c:v>15.862618993273985</c:v>
                </c:pt>
                <c:pt idx="308">
                  <c:v>27.622099074045408</c:v>
                </c:pt>
                <c:pt idx="309">
                  <c:v>28.457366450158496</c:v>
                </c:pt>
                <c:pt idx="310">
                  <c:v>26.299138559408348</c:v>
                </c:pt>
                <c:pt idx="311">
                  <c:v>19.800589005905685</c:v>
                </c:pt>
                <c:pt idx="312">
                  <c:v>9.2587961258211475</c:v>
                </c:pt>
                <c:pt idx="313">
                  <c:v>19.227760118116223</c:v>
                </c:pt>
                <c:pt idx="314">
                  <c:v>26.041701119493226</c:v>
                </c:pt>
                <c:pt idx="315">
                  <c:v>26.085339854218763</c:v>
                </c:pt>
                <c:pt idx="316">
                  <c:v>25.197767773571623</c:v>
                </c:pt>
                <c:pt idx="317">
                  <c:v>8.8726853597553799</c:v>
                </c:pt>
                <c:pt idx="318">
                  <c:v>11.53763490712929</c:v>
                </c:pt>
                <c:pt idx="319">
                  <c:v>25.615392426288185</c:v>
                </c:pt>
                <c:pt idx="320">
                  <c:v>11.99012887543106</c:v>
                </c:pt>
                <c:pt idx="321">
                  <c:v>14.231927658298215</c:v>
                </c:pt>
                <c:pt idx="322">
                  <c:v>7.2887607653136692</c:v>
                </c:pt>
                <c:pt idx="323">
                  <c:v>14.568108691544749</c:v>
                </c:pt>
                <c:pt idx="324">
                  <c:v>3.0787610433025012</c:v>
                </c:pt>
                <c:pt idx="325">
                  <c:v>7.6537123001181904</c:v>
                </c:pt>
                <c:pt idx="326">
                  <c:v>11.470619740549653</c:v>
                </c:pt>
                <c:pt idx="327">
                  <c:v>12.625351713547575</c:v>
                </c:pt>
                <c:pt idx="328">
                  <c:v>4.8887542214608359</c:v>
                </c:pt>
                <c:pt idx="329">
                  <c:v>9.7997606714643553</c:v>
                </c:pt>
                <c:pt idx="330">
                  <c:v>13.94017363463284</c:v>
                </c:pt>
                <c:pt idx="331">
                  <c:v>10.105013401603371</c:v>
                </c:pt>
                <c:pt idx="332">
                  <c:v>14.059812760323235</c:v>
                </c:pt>
                <c:pt idx="333">
                  <c:v>3.9172006997342614</c:v>
                </c:pt>
                <c:pt idx="334">
                  <c:v>3.3706957472869159</c:v>
                </c:pt>
                <c:pt idx="335">
                  <c:v>5.5896591619526772</c:v>
                </c:pt>
                <c:pt idx="336">
                  <c:v>8.3494508876762232</c:v>
                </c:pt>
                <c:pt idx="337">
                  <c:v>16.577819324859046</c:v>
                </c:pt>
                <c:pt idx="338">
                  <c:v>22.564257336703726</c:v>
                </c:pt>
                <c:pt idx="339">
                  <c:v>10.450345994340772</c:v>
                </c:pt>
                <c:pt idx="340">
                  <c:v>18.961878104288434</c:v>
                </c:pt>
                <c:pt idx="341">
                  <c:v>3.9146221936928076</c:v>
                </c:pt>
                <c:pt idx="342">
                  <c:v>4.7364661771237717</c:v>
                </c:pt>
                <c:pt idx="343">
                  <c:v>11.149366463306142</c:v>
                </c:pt>
                <c:pt idx="344">
                  <c:v>15.576144296133593</c:v>
                </c:pt>
                <c:pt idx="345">
                  <c:v>5.4246554555738689</c:v>
                </c:pt>
                <c:pt idx="346">
                  <c:v>5.1494728021522294</c:v>
                </c:pt>
                <c:pt idx="347">
                  <c:v>16.339682412177524</c:v>
                </c:pt>
                <c:pt idx="348">
                  <c:v>5.4199817394544523</c:v>
                </c:pt>
                <c:pt idx="349">
                  <c:v>4.6183792009986178</c:v>
                </c:pt>
                <c:pt idx="350">
                  <c:v>3.3750347647898034</c:v>
                </c:pt>
                <c:pt idx="351">
                  <c:v>20.266737581412841</c:v>
                </c:pt>
                <c:pt idx="352">
                  <c:v>16.400995494529184</c:v>
                </c:pt>
                <c:pt idx="353">
                  <c:v>4.3115273266741294</c:v>
                </c:pt>
                <c:pt idx="354">
                  <c:v>19.445333440901219</c:v>
                </c:pt>
                <c:pt idx="355">
                  <c:v>16.070313018538958</c:v>
                </c:pt>
                <c:pt idx="356">
                  <c:v>16.595913409908896</c:v>
                </c:pt>
                <c:pt idx="357">
                  <c:v>19.944307700601339</c:v>
                </c:pt>
                <c:pt idx="358">
                  <c:v>11.866769951988672</c:v>
                </c:pt>
                <c:pt idx="359">
                  <c:v>20.221770917637205</c:v>
                </c:pt>
                <c:pt idx="360">
                  <c:v>7.2876252608469896</c:v>
                </c:pt>
                <c:pt idx="361">
                  <c:v>19.424173974053861</c:v>
                </c:pt>
                <c:pt idx="362">
                  <c:v>9.548534227007945</c:v>
                </c:pt>
                <c:pt idx="363">
                  <c:v>12.572656965821041</c:v>
                </c:pt>
                <c:pt idx="364">
                  <c:v>11.667056002857626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41320"/>
        <c:axId val="537241712"/>
      </c:lineChart>
      <c:dateAx>
        <c:axId val="537241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41712"/>
        <c:crosses val="autoZero"/>
        <c:auto val="1"/>
        <c:lblOffset val="100"/>
        <c:baseTimeUnit val="days"/>
        <c:majorUnit val="1"/>
        <c:majorTimeUnit val="months"/>
      </c:dateAx>
      <c:valAx>
        <c:axId val="5372417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413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Garderie Labège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51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Masques!$AA$56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Masques!$AA$57:$AA$80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5.0627258977557856</c:v>
                </c:pt>
                <c:pt idx="3">
                  <c:v>8.73171949212926</c:v>
                </c:pt>
                <c:pt idx="4">
                  <c:v>8.0678386648466702</c:v>
                </c:pt>
                <c:pt idx="5">
                  <c:v>8.3557152493257512</c:v>
                </c:pt>
                <c:pt idx="6">
                  <c:v>8.0581574014382564</c:v>
                </c:pt>
                <c:pt idx="7">
                  <c:v>8.2715132725246985</c:v>
                </c:pt>
                <c:pt idx="8">
                  <c:v>5.6076172114512319</c:v>
                </c:pt>
                <c:pt idx="9">
                  <c:v>10.586748509460785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Masques!$Z$56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Masques!$Z$57:$Z$80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4.4445133522811977</c:v>
                </c:pt>
                <c:pt idx="3">
                  <c:v>7.6599349934451482</c:v>
                </c:pt>
                <c:pt idx="4">
                  <c:v>7.3972734579457402</c:v>
                </c:pt>
                <c:pt idx="5">
                  <c:v>7.7204690571255838</c:v>
                </c:pt>
                <c:pt idx="6">
                  <c:v>6.140943618553564</c:v>
                </c:pt>
                <c:pt idx="7">
                  <c:v>7.2072712725908614</c:v>
                </c:pt>
                <c:pt idx="8">
                  <c:v>4.3716047690839384</c:v>
                </c:pt>
                <c:pt idx="9">
                  <c:v>9.8993652451429099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Masques!$Y$56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Masques!$Y$57:$Y$80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3.8252621572189676</c:v>
                </c:pt>
                <c:pt idx="3">
                  <c:v>6.5827309523564956</c:v>
                </c:pt>
                <c:pt idx="4">
                  <c:v>6.7246643365011094</c:v>
                </c:pt>
                <c:pt idx="5">
                  <c:v>7.0833075426879777</c:v>
                </c:pt>
                <c:pt idx="6">
                  <c:v>4.2098302344441336</c:v>
                </c:pt>
                <c:pt idx="7">
                  <c:v>6.1380066545587315</c:v>
                </c:pt>
                <c:pt idx="8">
                  <c:v>3.1315027138687968</c:v>
                </c:pt>
                <c:pt idx="9">
                  <c:v>9.2090916790635493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Masques!$X$56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Masques!$X$57:$X$80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3.2051146964836721</c:v>
                </c:pt>
                <c:pt idx="3">
                  <c:v>5.5008329390793929</c:v>
                </c:pt>
                <c:pt idx="4">
                  <c:v>6.0501881247839515</c:v>
                </c:pt>
                <c:pt idx="5">
                  <c:v>6.4443802983207119</c:v>
                </c:pt>
                <c:pt idx="6">
                  <c:v>2.2690909462967142</c:v>
                </c:pt>
                <c:pt idx="7">
                  <c:v>5.0644333567537405</c:v>
                </c:pt>
                <c:pt idx="8">
                  <c:v>1.8884572760714167</c:v>
                </c:pt>
                <c:pt idx="9">
                  <c:v>8.5161111316969738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Masques!$W$56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Masques!$W$57:$W$80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2.5842146060394704</c:v>
                </c:pt>
                <c:pt idx="3">
                  <c:v>4.4149862319355577</c:v>
                </c:pt>
                <c:pt idx="4">
                  <c:v>5.3740246988833285</c:v>
                </c:pt>
                <c:pt idx="5">
                  <c:v>5.8038395023505096</c:v>
                </c:pt>
                <c:pt idx="6">
                  <c:v>1</c:v>
                </c:pt>
                <c:pt idx="7">
                  <c:v>3.9872831682494478</c:v>
                </c:pt>
                <c:pt idx="8">
                  <c:v>1</c:v>
                </c:pt>
                <c:pt idx="9">
                  <c:v>7.8206115303318198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Masques!$V$56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Masques!$V$57:$V$80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1.9627065774564294</c:v>
                </c:pt>
                <c:pt idx="3">
                  <c:v>3.3259528893225832</c:v>
                </c:pt>
                <c:pt idx="4">
                  <c:v>4.696356714752798</c:v>
                </c:pt>
                <c:pt idx="5">
                  <c:v>5.1618397152417588</c:v>
                </c:pt>
                <c:pt idx="6">
                  <c:v>1</c:v>
                </c:pt>
                <c:pt idx="7">
                  <c:v>2.9073028621022723</c:v>
                </c:pt>
                <c:pt idx="8">
                  <c:v>1</c:v>
                </c:pt>
                <c:pt idx="9">
                  <c:v>7.1227851388083225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Masques!$U$56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Masques!$U$57:$U$80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1.3407361577831629</c:v>
                </c:pt>
                <c:pt idx="3">
                  <c:v>2.2345086459584587</c:v>
                </c:pt>
                <c:pt idx="4">
                  <c:v>4.0173693249894473</c:v>
                </c:pt>
                <c:pt idx="5">
                  <c:v>4.5185376670815902</c:v>
                </c:pt>
                <c:pt idx="6">
                  <c:v>1</c:v>
                </c:pt>
                <c:pt idx="7">
                  <c:v>1.825251173591806</c:v>
                </c:pt>
                <c:pt idx="8">
                  <c:v>1</c:v>
                </c:pt>
                <c:pt idx="9">
                  <c:v>6.422828269187419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Masques!$T$56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Masques!$T$57:$T$80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1.1414396638194959</c:v>
                </c:pt>
                <c:pt idx="4">
                  <c:v>3.337249885386826</c:v>
                </c:pt>
                <c:pt idx="5">
                  <c:v>3.8740920371171077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5.7209409762830896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Masques!$S$56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Masques!$S$57:$S$80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2.6561876523804475</c:v>
                </c:pt>
                <c:pt idx="5">
                  <c:v>3.2286632260840942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5.0173267361208564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Masques!$R$56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Masques!$R$57:$R$80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1.9743734725740234</c:v>
                </c:pt>
                <c:pt idx="5">
                  <c:v>2.5824131221156374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4.3121921095111064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Masques!$Q$56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Masques!$Q$57:$Q$80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1.2919994655957467</c:v>
                </c:pt>
                <c:pt idx="5">
                  <c:v>1.9355048610634349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3.6057463920445221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Masques!$AN$55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Masques!$AN$57:$AN$80</c:f>
              <c:numCache>
                <c:formatCode>0.0</c:formatCode>
                <c:ptCount val="24"/>
                <c:pt idx="0">
                  <c:v>-129</c:v>
                </c:pt>
                <c:pt idx="1">
                  <c:v>231</c:v>
                </c:pt>
                <c:pt idx="2">
                  <c:v>232</c:v>
                </c:pt>
                <c:pt idx="3">
                  <c:v>232</c:v>
                </c:pt>
                <c:pt idx="4">
                  <c:v>232</c:v>
                </c:pt>
                <c:pt idx="5">
                  <c:v>232</c:v>
                </c:pt>
                <c:pt idx="6">
                  <c:v>232</c:v>
                </c:pt>
                <c:pt idx="7">
                  <c:v>232</c:v>
                </c:pt>
                <c:pt idx="8">
                  <c:v>232</c:v>
                </c:pt>
                <c:pt idx="9">
                  <c:v>232</c:v>
                </c:pt>
                <c:pt idx="10">
                  <c:v>232</c:v>
                </c:pt>
                <c:pt idx="11">
                  <c:v>232</c:v>
                </c:pt>
                <c:pt idx="12">
                  <c:v>232</c:v>
                </c:pt>
                <c:pt idx="13">
                  <c:v>232</c:v>
                </c:pt>
                <c:pt idx="14">
                  <c:v>232</c:v>
                </c:pt>
                <c:pt idx="15">
                  <c:v>232</c:v>
                </c:pt>
                <c:pt idx="16">
                  <c:v>232</c:v>
                </c:pt>
                <c:pt idx="17">
                  <c:v>232</c:v>
                </c:pt>
                <c:pt idx="18">
                  <c:v>232</c:v>
                </c:pt>
                <c:pt idx="19">
                  <c:v>232</c:v>
                </c:pt>
                <c:pt idx="20">
                  <c:v>232</c:v>
                </c:pt>
                <c:pt idx="21">
                  <c:v>232</c:v>
                </c:pt>
                <c:pt idx="22">
                  <c:v>232</c:v>
                </c:pt>
                <c:pt idx="23">
                  <c:v>232</c:v>
                </c:pt>
              </c:numCache>
            </c:numRef>
          </c:xVal>
          <c:yVal>
            <c:numRef>
              <c:f>Masques!$AO$57:$AO$80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18.262889942194128</c:v>
                </c:pt>
                <c:pt idx="3">
                  <c:v>18.262889942194128</c:v>
                </c:pt>
                <c:pt idx="4">
                  <c:v>18.262889942194128</c:v>
                </c:pt>
                <c:pt idx="5">
                  <c:v>18.262889942194128</c:v>
                </c:pt>
                <c:pt idx="6">
                  <c:v>18.262889942194128</c:v>
                </c:pt>
                <c:pt idx="7">
                  <c:v>18.262889942194128</c:v>
                </c:pt>
                <c:pt idx="8">
                  <c:v>18.262889942194128</c:v>
                </c:pt>
                <c:pt idx="9">
                  <c:v>18.262889942194128</c:v>
                </c:pt>
                <c:pt idx="10">
                  <c:v>18.262889942194128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664024"/>
        <c:axId val="539664416"/>
      </c:scatterChart>
      <c:valAx>
        <c:axId val="53966402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539664416"/>
        <c:crosses val="autoZero"/>
        <c:crossBetween val="midCat"/>
        <c:majorUnit val="30"/>
      </c:valAx>
      <c:valAx>
        <c:axId val="539664416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402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6.6238177126627273E-2</c:v>
                </c:pt>
                <c:pt idx="1">
                  <c:v>6.6258628906984751E-2</c:v>
                </c:pt>
                <c:pt idx="2">
                  <c:v>6.6279080239395771E-2</c:v>
                </c:pt>
                <c:pt idx="3">
                  <c:v>6.6299531123870103E-2</c:v>
                </c:pt>
                <c:pt idx="4">
                  <c:v>6.6319981560417518E-2</c:v>
                </c:pt>
                <c:pt idx="5">
                  <c:v>6.6340431549048007E-2</c:v>
                </c:pt>
                <c:pt idx="6">
                  <c:v>6.6360881089771118E-2</c:v>
                </c:pt>
                <c:pt idx="7">
                  <c:v>6.6381330182596954E-2</c:v>
                </c:pt>
                <c:pt idx="8">
                  <c:v>6.6401778827535063E-2</c:v>
                </c:pt>
                <c:pt idx="9">
                  <c:v>6.6422227024595437E-2</c:v>
                </c:pt>
                <c:pt idx="10">
                  <c:v>6.6442674773787735E-2</c:v>
                </c:pt>
                <c:pt idx="11">
                  <c:v>6.646312207512195E-2</c:v>
                </c:pt>
                <c:pt idx="12">
                  <c:v>6.6483568928607739E-2</c:v>
                </c:pt>
                <c:pt idx="13">
                  <c:v>6.6504015334254984E-2</c:v>
                </c:pt>
                <c:pt idx="14">
                  <c:v>6.6524461292073456E-2</c:v>
                </c:pt>
                <c:pt idx="15">
                  <c:v>6.6544906802072923E-2</c:v>
                </c:pt>
                <c:pt idx="16">
                  <c:v>6.6565351864263378E-2</c:v>
                </c:pt>
                <c:pt idx="17">
                  <c:v>6.6585796478654369E-2</c:v>
                </c:pt>
                <c:pt idx="18">
                  <c:v>6.6606240645255888E-2</c:v>
                </c:pt>
                <c:pt idx="19">
                  <c:v>6.6626684364077704E-2</c:v>
                </c:pt>
                <c:pt idx="20">
                  <c:v>6.6647127635129588E-2</c:v>
                </c:pt>
                <c:pt idx="21">
                  <c:v>6.6667570458421421E-2</c:v>
                </c:pt>
                <c:pt idx="22">
                  <c:v>6.6688012833962862E-2</c:v>
                </c:pt>
                <c:pt idx="23">
                  <c:v>6.6708454761763902E-2</c:v>
                </c:pt>
                <c:pt idx="24">
                  <c:v>6.6728896241834201E-2</c:v>
                </c:pt>
                <c:pt idx="25">
                  <c:v>6.6749337274183751E-2</c:v>
                </c:pt>
                <c:pt idx="26">
                  <c:v>6.6769777858822099E-2</c:v>
                </c:pt>
                <c:pt idx="27">
                  <c:v>6.6790217995759238E-2</c:v>
                </c:pt>
                <c:pt idx="28">
                  <c:v>6.6810657685004826E-2</c:v>
                </c:pt>
                <c:pt idx="29">
                  <c:v>6.6831096926568856E-2</c:v>
                </c:pt>
                <c:pt idx="30">
                  <c:v>6.6851535720461097E-2</c:v>
                </c:pt>
                <c:pt idx="31">
                  <c:v>6.6871974066691209E-2</c:v>
                </c:pt>
                <c:pt idx="32">
                  <c:v>6.6892411965269072E-2</c:v>
                </c:pt>
                <c:pt idx="33">
                  <c:v>6.6912849416204456E-2</c:v>
                </c:pt>
                <c:pt idx="34">
                  <c:v>6.6933286419507354E-2</c:v>
                </c:pt>
                <c:pt idx="35">
                  <c:v>6.6953722975187313E-2</c:v>
                </c:pt>
                <c:pt idx="36">
                  <c:v>6.6974159083254325E-2</c:v>
                </c:pt>
                <c:pt idx="37">
                  <c:v>6.6994594743718161E-2</c:v>
                </c:pt>
                <c:pt idx="38">
                  <c:v>6.7015029956588479E-2</c:v>
                </c:pt>
                <c:pt idx="39">
                  <c:v>6.7035464721875271E-2</c:v>
                </c:pt>
                <c:pt idx="40">
                  <c:v>6.7055899039588196E-2</c:v>
                </c:pt>
                <c:pt idx="41">
                  <c:v>6.7076332909737135E-2</c:v>
                </c:pt>
                <c:pt idx="42">
                  <c:v>6.7096766332331859E-2</c:v>
                </c:pt>
                <c:pt idx="43">
                  <c:v>6.7117199307382247E-2</c:v>
                </c:pt>
                <c:pt idx="44">
                  <c:v>6.7137631834897959E-2</c:v>
                </c:pt>
                <c:pt idx="45">
                  <c:v>6.7158063914888988E-2</c:v>
                </c:pt>
                <c:pt idx="46">
                  <c:v>6.7178495547364991E-2</c:v>
                </c:pt>
                <c:pt idx="47">
                  <c:v>6.719892673233574E-2</c:v>
                </c:pt>
                <c:pt idx="48">
                  <c:v>6.7219357469811225E-2</c:v>
                </c:pt>
                <c:pt idx="49">
                  <c:v>6.7239787759800995E-2</c:v>
                </c:pt>
                <c:pt idx="50">
                  <c:v>6.7260217602315042E-2</c:v>
                </c:pt>
                <c:pt idx="51">
                  <c:v>6.7280646997363136E-2</c:v>
                </c:pt>
                <c:pt idx="52">
                  <c:v>6.7301075944954936E-2</c:v>
                </c:pt>
                <c:pt idx="53">
                  <c:v>6.7321504445100433E-2</c:v>
                </c:pt>
                <c:pt idx="54">
                  <c:v>6.7341932497809398E-2</c:v>
                </c:pt>
                <c:pt idx="55">
                  <c:v>6.736236010309149E-2</c:v>
                </c:pt>
                <c:pt idx="56">
                  <c:v>6.73827872609567E-2</c:v>
                </c:pt>
                <c:pt idx="57">
                  <c:v>6.7403213971414577E-2</c:v>
                </c:pt>
                <c:pt idx="58">
                  <c:v>6.7423640234475224E-2</c:v>
                </c:pt>
                <c:pt idx="59">
                  <c:v>6.7444066050148188E-2</c:v>
                </c:pt>
                <c:pt idx="60">
                  <c:v>6.7464491418443462E-2</c:v>
                </c:pt>
                <c:pt idx="61">
                  <c:v>6.7484916339370704E-2</c:v>
                </c:pt>
                <c:pt idx="62">
                  <c:v>6.7505340812939685E-2</c:v>
                </c:pt>
                <c:pt idx="63">
                  <c:v>6.7525764839160396E-2</c:v>
                </c:pt>
                <c:pt idx="64">
                  <c:v>6.7546188418042385E-2</c:v>
                </c:pt>
                <c:pt idx="65">
                  <c:v>6.7566611549595645E-2</c:v>
                </c:pt>
                <c:pt idx="66">
                  <c:v>6.7587034233829946E-2</c:v>
                </c:pt>
                <c:pt idx="67">
                  <c:v>6.7607456470755056E-2</c:v>
                </c:pt>
                <c:pt idx="68">
                  <c:v>6.7627878260380636E-2</c:v>
                </c:pt>
                <c:pt idx="69">
                  <c:v>6.7648299602716788E-2</c:v>
                </c:pt>
                <c:pt idx="70">
                  <c:v>6.7668720497773061E-2</c:v>
                </c:pt>
                <c:pt idx="71">
                  <c:v>6.7689140945559223E-2</c:v>
                </c:pt>
                <c:pt idx="72">
                  <c:v>6.7709560946085268E-2</c:v>
                </c:pt>
                <c:pt idx="73">
                  <c:v>6.7729980499360964E-2</c:v>
                </c:pt>
                <c:pt idx="74">
                  <c:v>6.7750399605395972E-2</c:v>
                </c:pt>
                <c:pt idx="75">
                  <c:v>6.7770818264200061E-2</c:v>
                </c:pt>
                <c:pt idx="76">
                  <c:v>6.7791236475783223E-2</c:v>
                </c:pt>
                <c:pt idx="77">
                  <c:v>6.7811654240155117E-2</c:v>
                </c:pt>
                <c:pt idx="78">
                  <c:v>6.7832071557325624E-2</c:v>
                </c:pt>
                <c:pt idx="79">
                  <c:v>6.7852488427304403E-2</c:v>
                </c:pt>
                <c:pt idx="80">
                  <c:v>6.7872904850101445E-2</c:v>
                </c:pt>
                <c:pt idx="81">
                  <c:v>6.78933208257263E-2</c:v>
                </c:pt>
                <c:pt idx="82">
                  <c:v>6.7913736354188958E-2</c:v>
                </c:pt>
                <c:pt idx="83">
                  <c:v>6.793415143549919E-2</c:v>
                </c:pt>
                <c:pt idx="84">
                  <c:v>6.7954566069666655E-2</c:v>
                </c:pt>
                <c:pt idx="85">
                  <c:v>6.7974980256701234E-2</c:v>
                </c:pt>
                <c:pt idx="86">
                  <c:v>6.7995393996612807E-2</c:v>
                </c:pt>
                <c:pt idx="87">
                  <c:v>6.8015807289411034E-2</c:v>
                </c:pt>
                <c:pt idx="88">
                  <c:v>6.8036220135105796E-2</c:v>
                </c:pt>
                <c:pt idx="89">
                  <c:v>6.8056632533706862E-2</c:v>
                </c:pt>
                <c:pt idx="90">
                  <c:v>6.8077044485223892E-2</c:v>
                </c:pt>
                <c:pt idx="91">
                  <c:v>6.8097455989666877E-2</c:v>
                </c:pt>
                <c:pt idx="92">
                  <c:v>6.8117867047045588E-2</c:v>
                </c:pt>
                <c:pt idx="93">
                  <c:v>6.8138277657369684E-2</c:v>
                </c:pt>
                <c:pt idx="94">
                  <c:v>6.8158687820649044E-2</c:v>
                </c:pt>
                <c:pt idx="95">
                  <c:v>6.817909753689344E-2</c:v>
                </c:pt>
                <c:pt idx="96">
                  <c:v>6.8199506806112753E-2</c:v>
                </c:pt>
                <c:pt idx="97">
                  <c:v>6.8219915628316641E-2</c:v>
                </c:pt>
                <c:pt idx="98">
                  <c:v>6.8240324003514874E-2</c:v>
                </c:pt>
                <c:pt idx="99">
                  <c:v>6.8260731931717333E-2</c:v>
                </c:pt>
                <c:pt idx="100">
                  <c:v>6.82811394129339E-2</c:v>
                </c:pt>
                <c:pt idx="101">
                  <c:v>6.8301546447174122E-2</c:v>
                </c:pt>
                <c:pt idx="102">
                  <c:v>6.8321953034447991E-2</c:v>
                </c:pt>
                <c:pt idx="103">
                  <c:v>6.8342359174765277E-2</c:v>
                </c:pt>
                <c:pt idx="104">
                  <c:v>6.8362764868135639E-2</c:v>
                </c:pt>
                <c:pt idx="105">
                  <c:v>6.8383170114568959E-2</c:v>
                </c:pt>
                <c:pt idx="106">
                  <c:v>6.8403574914075005E-2</c:v>
                </c:pt>
                <c:pt idx="107">
                  <c:v>6.8423979266663548E-2</c:v>
                </c:pt>
                <c:pt idx="108">
                  <c:v>6.844438317234447E-2</c:v>
                </c:pt>
                <c:pt idx="109">
                  <c:v>6.8464786631127428E-2</c:v>
                </c:pt>
                <c:pt idx="110">
                  <c:v>6.8485189643022304E-2</c:v>
                </c:pt>
                <c:pt idx="111">
                  <c:v>6.8505592208038868E-2</c:v>
                </c:pt>
                <c:pt idx="112">
                  <c:v>6.852599432618689E-2</c:v>
                </c:pt>
                <c:pt idx="113">
                  <c:v>6.8546395997476139E-2</c:v>
                </c:pt>
                <c:pt idx="114">
                  <c:v>6.8566797221916498E-2</c:v>
                </c:pt>
                <c:pt idx="115">
                  <c:v>6.8587197999517624E-2</c:v>
                </c:pt>
                <c:pt idx="116">
                  <c:v>6.8607598330289399E-2</c:v>
                </c:pt>
                <c:pt idx="117">
                  <c:v>6.8627998214241592E-2</c:v>
                </c:pt>
                <c:pt idx="118">
                  <c:v>6.8648397651383863E-2</c:v>
                </c:pt>
                <c:pt idx="119">
                  <c:v>6.8668796641726204E-2</c:v>
                </c:pt>
                <c:pt idx="120">
                  <c:v>6.8689195185278273E-2</c:v>
                </c:pt>
                <c:pt idx="121">
                  <c:v>6.8709593282049841E-2</c:v>
                </c:pt>
                <c:pt idx="122">
                  <c:v>6.8729990932050788E-2</c:v>
                </c:pt>
                <c:pt idx="123">
                  <c:v>6.8750388135290885E-2</c:v>
                </c:pt>
                <c:pt idx="124">
                  <c:v>6.8770784891779901E-2</c:v>
                </c:pt>
                <c:pt idx="125">
                  <c:v>6.8791181201527496E-2</c:v>
                </c:pt>
                <c:pt idx="126">
                  <c:v>6.8811577064543661E-2</c:v>
                </c:pt>
                <c:pt idx="127">
                  <c:v>6.8831972480838055E-2</c:v>
                </c:pt>
                <c:pt idx="128">
                  <c:v>6.8852367450420449E-2</c:v>
                </c:pt>
                <c:pt idx="129">
                  <c:v>6.8872761973300611E-2</c:v>
                </c:pt>
                <c:pt idx="130">
                  <c:v>6.8893156049488535E-2</c:v>
                </c:pt>
                <c:pt idx="131">
                  <c:v>6.8913549678993768E-2</c:v>
                </c:pt>
                <c:pt idx="132">
                  <c:v>6.8933942861826192E-2</c:v>
                </c:pt>
                <c:pt idx="133">
                  <c:v>6.8954335597995575E-2</c:v>
                </c:pt>
                <c:pt idx="134">
                  <c:v>6.8974727887511689E-2</c:v>
                </c:pt>
                <c:pt idx="135">
                  <c:v>6.8995119730384302E-2</c:v>
                </c:pt>
                <c:pt idx="136">
                  <c:v>6.9015511126623186E-2</c:v>
                </c:pt>
                <c:pt idx="137">
                  <c:v>6.903590207623822E-2</c:v>
                </c:pt>
                <c:pt idx="138">
                  <c:v>6.9056292579239176E-2</c:v>
                </c:pt>
                <c:pt idx="139">
                  <c:v>6.9076682635635711E-2</c:v>
                </c:pt>
                <c:pt idx="140">
                  <c:v>6.9097072245437707E-2</c:v>
                </c:pt>
                <c:pt idx="141">
                  <c:v>6.9117461408654934E-2</c:v>
                </c:pt>
                <c:pt idx="142">
                  <c:v>6.9137850125297162E-2</c:v>
                </c:pt>
                <c:pt idx="143">
                  <c:v>6.9158238395374161E-2</c:v>
                </c:pt>
                <c:pt idx="144">
                  <c:v>6.91786262188957E-2</c:v>
                </c:pt>
                <c:pt idx="145">
                  <c:v>6.919901359587155E-2</c:v>
                </c:pt>
                <c:pt idx="146">
                  <c:v>6.9219400526311592E-2</c:v>
                </c:pt>
                <c:pt idx="147">
                  <c:v>6.9239787010225484E-2</c:v>
                </c:pt>
                <c:pt idx="148">
                  <c:v>6.9260173047623108E-2</c:v>
                </c:pt>
                <c:pt idx="149">
                  <c:v>6.9280558638514123E-2</c:v>
                </c:pt>
                <c:pt idx="150">
                  <c:v>6.9300943782908409E-2</c:v>
                </c:pt>
                <c:pt idx="151">
                  <c:v>6.9321328480815736E-2</c:v>
                </c:pt>
                <c:pt idx="152">
                  <c:v>6.9341712732245875E-2</c:v>
                </c:pt>
                <c:pt idx="153">
                  <c:v>6.9362096537208595E-2</c:v>
                </c:pt>
                <c:pt idx="154">
                  <c:v>6.9382479895713556E-2</c:v>
                </c:pt>
                <c:pt idx="155">
                  <c:v>6.9402862807770749E-2</c:v>
                </c:pt>
                <c:pt idx="156">
                  <c:v>6.9423245273389944E-2</c:v>
                </c:pt>
                <c:pt idx="157">
                  <c:v>6.944362729258069E-2</c:v>
                </c:pt>
                <c:pt idx="158">
                  <c:v>6.9464008865352977E-2</c:v>
                </c:pt>
                <c:pt idx="159">
                  <c:v>6.9484389991716466E-2</c:v>
                </c:pt>
                <c:pt idx="160">
                  <c:v>6.9504770671681038E-2</c:v>
                </c:pt>
                <c:pt idx="161">
                  <c:v>6.952515090525635E-2</c:v>
                </c:pt>
                <c:pt idx="162">
                  <c:v>6.9545530692452284E-2</c:v>
                </c:pt>
                <c:pt idx="163">
                  <c:v>6.9565910033278611E-2</c:v>
                </c:pt>
                <c:pt idx="164">
                  <c:v>6.9586288927744988E-2</c:v>
                </c:pt>
                <c:pt idx="165">
                  <c:v>6.9606667375861297E-2</c:v>
                </c:pt>
                <c:pt idx="166">
                  <c:v>6.9627045377637309E-2</c:v>
                </c:pt>
                <c:pt idx="167">
                  <c:v>6.9647422933082792E-2</c:v>
                </c:pt>
                <c:pt idx="168">
                  <c:v>6.9667800042207517E-2</c:v>
                </c:pt>
                <c:pt idx="169">
                  <c:v>6.9688176705021254E-2</c:v>
                </c:pt>
                <c:pt idx="170">
                  <c:v>6.9708552921533773E-2</c:v>
                </c:pt>
                <c:pt idx="171">
                  <c:v>6.9728928691754843E-2</c:v>
                </c:pt>
                <c:pt idx="172">
                  <c:v>6.9749304015694236E-2</c:v>
                </c:pt>
                <c:pt idx="173">
                  <c:v>6.9769678893361831E-2</c:v>
                </c:pt>
                <c:pt idx="174">
                  <c:v>6.9790053324767176E-2</c:v>
                </c:pt>
                <c:pt idx="175">
                  <c:v>6.9810427309920264E-2</c:v>
                </c:pt>
                <c:pt idx="176">
                  <c:v>6.9830800848830754E-2</c:v>
                </c:pt>
                <c:pt idx="177">
                  <c:v>6.9851173941508526E-2</c:v>
                </c:pt>
                <c:pt idx="178">
                  <c:v>6.987154658796324E-2</c:v>
                </c:pt>
                <c:pt idx="179">
                  <c:v>6.9891918788204666E-2</c:v>
                </c:pt>
                <c:pt idx="180">
                  <c:v>6.9912290542242683E-2</c:v>
                </c:pt>
                <c:pt idx="181">
                  <c:v>6.9932661850087063E-2</c:v>
                </c:pt>
                <c:pt idx="182">
                  <c:v>6.9953032711747465E-2</c:v>
                </c:pt>
                <c:pt idx="183">
                  <c:v>6.9973403127233658E-2</c:v>
                </c:pt>
                <c:pt idx="184">
                  <c:v>6.9993773096555523E-2</c:v>
                </c:pt>
                <c:pt idx="185">
                  <c:v>7.0014142619722719E-2</c:v>
                </c:pt>
                <c:pt idx="186">
                  <c:v>7.0034511696745128E-2</c:v>
                </c:pt>
                <c:pt idx="187">
                  <c:v>7.0054880327632518E-2</c:v>
                </c:pt>
                <c:pt idx="188">
                  <c:v>7.007524851239455E-2</c:v>
                </c:pt>
                <c:pt idx="189">
                  <c:v>7.0095616251041104E-2</c:v>
                </c:pt>
                <c:pt idx="190">
                  <c:v>7.011598354358195E-2</c:v>
                </c:pt>
                <c:pt idx="191">
                  <c:v>7.0136350390026747E-2</c:v>
                </c:pt>
                <c:pt idx="192">
                  <c:v>7.0156716790385376E-2</c:v>
                </c:pt>
                <c:pt idx="193">
                  <c:v>7.0177082744667496E-2</c:v>
                </c:pt>
                <c:pt idx="194">
                  <c:v>7.0197448252882988E-2</c:v>
                </c:pt>
                <c:pt idx="195">
                  <c:v>7.0217813315041622E-2</c:v>
                </c:pt>
                <c:pt idx="196">
                  <c:v>7.0238177931153056E-2</c:v>
                </c:pt>
                <c:pt idx="197">
                  <c:v>7.0258542101227173E-2</c:v>
                </c:pt>
                <c:pt idx="198">
                  <c:v>7.0278905825273741E-2</c:v>
                </c:pt>
                <c:pt idx="199">
                  <c:v>7.029926910330242E-2</c:v>
                </c:pt>
                <c:pt idx="200">
                  <c:v>7.031963193532309E-2</c:v>
                </c:pt>
                <c:pt idx="201">
                  <c:v>7.0339994321345523E-2</c:v>
                </c:pt>
                <c:pt idx="202">
                  <c:v>7.0360356261379375E-2</c:v>
                </c:pt>
                <c:pt idx="203">
                  <c:v>7.038071775543453E-2</c:v>
                </c:pt>
                <c:pt idx="204">
                  <c:v>7.0401078803520645E-2</c:v>
                </c:pt>
                <c:pt idx="205">
                  <c:v>7.0421439405647601E-2</c:v>
                </c:pt>
                <c:pt idx="206">
                  <c:v>7.0441799561825058E-2</c:v>
                </c:pt>
                <c:pt idx="207">
                  <c:v>7.0462159272062896E-2</c:v>
                </c:pt>
                <c:pt idx="208">
                  <c:v>7.0482518536370886E-2</c:v>
                </c:pt>
                <c:pt idx="209">
                  <c:v>7.0502877354758686E-2</c:v>
                </c:pt>
                <c:pt idx="210">
                  <c:v>7.0523235727236067E-2</c:v>
                </c:pt>
                <c:pt idx="211">
                  <c:v>7.0543593653812908E-2</c:v>
                </c:pt>
                <c:pt idx="212">
                  <c:v>7.056395113449887E-2</c:v>
                </c:pt>
                <c:pt idx="213">
                  <c:v>7.0584308169303722E-2</c:v>
                </c:pt>
                <c:pt idx="214">
                  <c:v>7.0604664758237345E-2</c:v>
                </c:pt>
                <c:pt idx="215">
                  <c:v>7.0625020901309399E-2</c:v>
                </c:pt>
                <c:pt idx="216">
                  <c:v>7.0645376598529652E-2</c:v>
                </c:pt>
                <c:pt idx="217">
                  <c:v>7.0665731849907876E-2</c:v>
                </c:pt>
                <c:pt idx="218">
                  <c:v>7.068608665545395E-2</c:v>
                </c:pt>
                <c:pt idx="219">
                  <c:v>7.0706441015177424E-2</c:v>
                </c:pt>
                <c:pt idx="220">
                  <c:v>7.0726794929088288E-2</c:v>
                </c:pt>
                <c:pt idx="221">
                  <c:v>7.0747148397196091E-2</c:v>
                </c:pt>
                <c:pt idx="222">
                  <c:v>7.0767501419510825E-2</c:v>
                </c:pt>
                <c:pt idx="223">
                  <c:v>7.0787853996042038E-2</c:v>
                </c:pt>
                <c:pt idx="224">
                  <c:v>7.0808206126799611E-2</c:v>
                </c:pt>
                <c:pt idx="225">
                  <c:v>7.0828557811793313E-2</c:v>
                </c:pt>
                <c:pt idx="226">
                  <c:v>7.0848909051032916E-2</c:v>
                </c:pt>
                <c:pt idx="227">
                  <c:v>7.0869259844528076E-2</c:v>
                </c:pt>
                <c:pt idx="228">
                  <c:v>7.0889610192288677E-2</c:v>
                </c:pt>
                <c:pt idx="229">
                  <c:v>7.0909960094324487E-2</c:v>
                </c:pt>
                <c:pt idx="230">
                  <c:v>7.0930309550645054E-2</c:v>
                </c:pt>
                <c:pt idx="231">
                  <c:v>7.0950658561260482E-2</c:v>
                </c:pt>
                <c:pt idx="232">
                  <c:v>7.0971007126180208E-2</c:v>
                </c:pt>
                <c:pt idx="233">
                  <c:v>7.0991355245414223E-2</c:v>
                </c:pt>
                <c:pt idx="234">
                  <c:v>7.1011702918972186E-2</c:v>
                </c:pt>
                <c:pt idx="235">
                  <c:v>7.1032050146863868E-2</c:v>
                </c:pt>
                <c:pt idx="236">
                  <c:v>7.1052396929099038E-2</c:v>
                </c:pt>
                <c:pt idx="237">
                  <c:v>7.1072743265687466E-2</c:v>
                </c:pt>
                <c:pt idx="238">
                  <c:v>7.1093089156638922E-2</c:v>
                </c:pt>
                <c:pt idx="239">
                  <c:v>7.1113434601963177E-2</c:v>
                </c:pt>
                <c:pt idx="240">
                  <c:v>7.1133779601669889E-2</c:v>
                </c:pt>
                <c:pt idx="241">
                  <c:v>7.1154124155768939E-2</c:v>
                </c:pt>
                <c:pt idx="242">
                  <c:v>7.1174468264269986E-2</c:v>
                </c:pt>
                <c:pt idx="243">
                  <c:v>7.1194811927182911E-2</c:v>
                </c:pt>
                <c:pt idx="244">
                  <c:v>7.1215155144517372E-2</c:v>
                </c:pt>
                <c:pt idx="245">
                  <c:v>7.1235497916283141E-2</c:v>
                </c:pt>
                <c:pt idx="246">
                  <c:v>7.1255840242490098E-2</c:v>
                </c:pt>
                <c:pt idx="247">
                  <c:v>7.1276182123147791E-2</c:v>
                </c:pt>
                <c:pt idx="248">
                  <c:v>7.1296523558266212E-2</c:v>
                </c:pt>
                <c:pt idx="249">
                  <c:v>7.1316864547854908E-2</c:v>
                </c:pt>
                <c:pt idx="250">
                  <c:v>7.1337205091923761E-2</c:v>
                </c:pt>
                <c:pt idx="251">
                  <c:v>7.135754519048243E-2</c:v>
                </c:pt>
                <c:pt idx="252">
                  <c:v>7.1377884843540795E-2</c:v>
                </c:pt>
                <c:pt idx="253">
                  <c:v>7.1398224051108627E-2</c:v>
                </c:pt>
                <c:pt idx="254">
                  <c:v>7.1418562813195474E-2</c:v>
                </c:pt>
                <c:pt idx="255">
                  <c:v>7.1438901129811327E-2</c:v>
                </c:pt>
                <c:pt idx="256">
                  <c:v>7.1459239000965846E-2</c:v>
                </c:pt>
                <c:pt idx="257">
                  <c:v>7.1479576426668689E-2</c:v>
                </c:pt>
                <c:pt idx="258">
                  <c:v>7.1499913406929849E-2</c:v>
                </c:pt>
                <c:pt idx="259">
                  <c:v>7.1520249941758873E-2</c:v>
                </c:pt>
                <c:pt idx="260">
                  <c:v>7.1540586031165643E-2</c:v>
                </c:pt>
                <c:pt idx="261">
                  <c:v>7.1560921675159817E-2</c:v>
                </c:pt>
                <c:pt idx="262">
                  <c:v>7.1581256873751165E-2</c:v>
                </c:pt>
                <c:pt idx="263">
                  <c:v>7.1601591626949568E-2</c:v>
                </c:pt>
                <c:pt idx="264">
                  <c:v>7.1621925934764685E-2</c:v>
                </c:pt>
                <c:pt idx="265">
                  <c:v>7.1642259797206176E-2</c:v>
                </c:pt>
                <c:pt idx="266">
                  <c:v>7.1662593214283921E-2</c:v>
                </c:pt>
                <c:pt idx="267">
                  <c:v>7.1682926186007689E-2</c:v>
                </c:pt>
                <c:pt idx="268">
                  <c:v>7.1703258712387252E-2</c:v>
                </c:pt>
                <c:pt idx="269">
                  <c:v>7.1723590793432157E-2</c:v>
                </c:pt>
                <c:pt idx="270">
                  <c:v>7.1743922429152396E-2</c:v>
                </c:pt>
                <c:pt idx="271">
                  <c:v>7.1764253619557627E-2</c:v>
                </c:pt>
                <c:pt idx="272">
                  <c:v>7.1784584364657622E-2</c:v>
                </c:pt>
                <c:pt idx="273">
                  <c:v>7.1804914664462149E-2</c:v>
                </c:pt>
                <c:pt idx="274">
                  <c:v>7.1825244518980869E-2</c:v>
                </c:pt>
                <c:pt idx="275">
                  <c:v>7.1845573928223549E-2</c:v>
                </c:pt>
                <c:pt idx="276">
                  <c:v>7.1865902892200073E-2</c:v>
                </c:pt>
                <c:pt idx="277">
                  <c:v>7.1886231410920098E-2</c:v>
                </c:pt>
                <c:pt idx="278">
                  <c:v>7.1906559484393395E-2</c:v>
                </c:pt>
                <c:pt idx="279">
                  <c:v>7.1926887112629734E-2</c:v>
                </c:pt>
                <c:pt idx="280">
                  <c:v>7.1947214295638884E-2</c:v>
                </c:pt>
                <c:pt idx="281">
                  <c:v>7.1967541033430504E-2</c:v>
                </c:pt>
                <c:pt idx="282">
                  <c:v>7.1987867326014365E-2</c:v>
                </c:pt>
                <c:pt idx="283">
                  <c:v>7.2008193173400237E-2</c:v>
                </c:pt>
                <c:pt idx="284">
                  <c:v>7.2028518575598E-2</c:v>
                </c:pt>
                <c:pt idx="285">
                  <c:v>7.2048843532617202E-2</c:v>
                </c:pt>
                <c:pt idx="286">
                  <c:v>7.2069168044467724E-2</c:v>
                </c:pt>
                <c:pt idx="287">
                  <c:v>7.2089492111159226E-2</c:v>
                </c:pt>
                <c:pt idx="288">
                  <c:v>7.2109815732701477E-2</c:v>
                </c:pt>
                <c:pt idx="289">
                  <c:v>7.2130138909104358E-2</c:v>
                </c:pt>
                <c:pt idx="290">
                  <c:v>7.2150461640377417E-2</c:v>
                </c:pt>
                <c:pt idx="291">
                  <c:v>7.2170783926530646E-2</c:v>
                </c:pt>
                <c:pt idx="292">
                  <c:v>7.2191105767573482E-2</c:v>
                </c:pt>
                <c:pt idx="293">
                  <c:v>7.2211427163516029E-2</c:v>
                </c:pt>
                <c:pt idx="294">
                  <c:v>7.2231748114367722E-2</c:v>
                </c:pt>
                <c:pt idx="295">
                  <c:v>7.2252068620138443E-2</c:v>
                </c:pt>
                <c:pt idx="296">
                  <c:v>7.2272388680837962E-2</c:v>
                </c:pt>
                <c:pt idx="297">
                  <c:v>7.2292708296476049E-2</c:v>
                </c:pt>
                <c:pt idx="298">
                  <c:v>7.2313027467062252E-2</c:v>
                </c:pt>
                <c:pt idx="299">
                  <c:v>7.2333346192606673E-2</c:v>
                </c:pt>
                <c:pt idx="300">
                  <c:v>7.2353664473118751E-2</c:v>
                </c:pt>
                <c:pt idx="301">
                  <c:v>7.2373982308608364E-2</c:v>
                </c:pt>
                <c:pt idx="302">
                  <c:v>7.2394299699085174E-2</c:v>
                </c:pt>
                <c:pt idx="303">
                  <c:v>7.241461664455906E-2</c:v>
                </c:pt>
                <c:pt idx="304">
                  <c:v>7.2434933145039682E-2</c:v>
                </c:pt>
                <c:pt idx="305">
                  <c:v>7.2455249200536809E-2</c:v>
                </c:pt>
                <c:pt idx="306">
                  <c:v>7.24755648110601E-2</c:v>
                </c:pt>
                <c:pt idx="307">
                  <c:v>7.2495879976619437E-2</c:v>
                </c:pt>
                <c:pt idx="308">
                  <c:v>7.251619469722459E-2</c:v>
                </c:pt>
                <c:pt idx="309">
                  <c:v>7.2536508972885105E-2</c:v>
                </c:pt>
                <c:pt idx="310">
                  <c:v>7.2556822803610976E-2</c:v>
                </c:pt>
                <c:pt idx="311">
                  <c:v>7.2577136189411751E-2</c:v>
                </c:pt>
                <c:pt idx="312">
                  <c:v>7.2597449130297198E-2</c:v>
                </c:pt>
                <c:pt idx="313">
                  <c:v>7.26177616262772E-2</c:v>
                </c:pt>
                <c:pt idx="314">
                  <c:v>7.2638073677361303E-2</c:v>
                </c:pt>
                <c:pt idx="315">
                  <c:v>7.265838528355939E-2</c:v>
                </c:pt>
                <c:pt idx="316">
                  <c:v>7.267869644488123E-2</c:v>
                </c:pt>
                <c:pt idx="317">
                  <c:v>7.2699007161336482E-2</c:v>
                </c:pt>
                <c:pt idx="318">
                  <c:v>7.2719317432934916E-2</c:v>
                </c:pt>
                <c:pt idx="319">
                  <c:v>7.2739627259686301E-2</c:v>
                </c:pt>
                <c:pt idx="320">
                  <c:v>7.2759936641600298E-2</c:v>
                </c:pt>
                <c:pt idx="321">
                  <c:v>7.2780245578686675E-2</c:v>
                </c:pt>
                <c:pt idx="322">
                  <c:v>7.2800554070955315E-2</c:v>
                </c:pt>
                <c:pt idx="323">
                  <c:v>7.2820862118415763E-2</c:v>
                </c:pt>
                <c:pt idx="324">
                  <c:v>7.2841169721077903E-2</c:v>
                </c:pt>
                <c:pt idx="325">
                  <c:v>7.2861476878951503E-2</c:v>
                </c:pt>
                <c:pt idx="326">
                  <c:v>7.2881783592046112E-2</c:v>
                </c:pt>
                <c:pt idx="327">
                  <c:v>7.2902089860371611E-2</c:v>
                </c:pt>
                <c:pt idx="328">
                  <c:v>7.2922395683937768E-2</c:v>
                </c:pt>
                <c:pt idx="329">
                  <c:v>7.2942701062754245E-2</c:v>
                </c:pt>
                <c:pt idx="330">
                  <c:v>7.296300599683081E-2</c:v>
                </c:pt>
                <c:pt idx="331">
                  <c:v>7.2983310486177233E-2</c:v>
                </c:pt>
                <c:pt idx="332">
                  <c:v>7.3003614530803174E-2</c:v>
                </c:pt>
                <c:pt idx="333">
                  <c:v>7.3023918130718402E-2</c:v>
                </c:pt>
                <c:pt idx="334">
                  <c:v>7.3044221285932798E-2</c:v>
                </c:pt>
                <c:pt idx="335">
                  <c:v>7.306452399645591E-2</c:v>
                </c:pt>
                <c:pt idx="336">
                  <c:v>7.308482626229762E-2</c:v>
                </c:pt>
                <c:pt idx="337">
                  <c:v>7.3105128083467474E-2</c:v>
                </c:pt>
                <c:pt idx="338">
                  <c:v>7.3125429459975466E-2</c:v>
                </c:pt>
                <c:pt idx="339">
                  <c:v>7.3145730391831143E-2</c:v>
                </c:pt>
                <c:pt idx="340">
                  <c:v>7.3166030879044386E-2</c:v>
                </c:pt>
                <c:pt idx="341">
                  <c:v>7.3186330921624743E-2</c:v>
                </c:pt>
                <c:pt idx="342">
                  <c:v>7.3206630519582205E-2</c:v>
                </c:pt>
                <c:pt idx="343">
                  <c:v>7.3226929672926322E-2</c:v>
                </c:pt>
                <c:pt idx="344">
                  <c:v>7.3247228381666862E-2</c:v>
                </c:pt>
                <c:pt idx="345">
                  <c:v>7.3267526645813597E-2</c:v>
                </c:pt>
                <c:pt idx="346">
                  <c:v>7.3287824465376183E-2</c:v>
                </c:pt>
                <c:pt idx="347">
                  <c:v>7.3308121840364504E-2</c:v>
                </c:pt>
                <c:pt idx="348">
                  <c:v>7.3328418770788217E-2</c:v>
                </c:pt>
                <c:pt idx="349">
                  <c:v>7.3348715256657093E-2</c:v>
                </c:pt>
                <c:pt idx="350">
                  <c:v>7.3369011297980791E-2</c:v>
                </c:pt>
                <c:pt idx="351">
                  <c:v>7.338930689476908E-2</c:v>
                </c:pt>
                <c:pt idx="352">
                  <c:v>7.340960204703173E-2</c:v>
                </c:pt>
                <c:pt idx="353">
                  <c:v>7.3429896754778512E-2</c:v>
                </c:pt>
                <c:pt idx="354">
                  <c:v>7.3450191018019084E-2</c:v>
                </c:pt>
                <c:pt idx="355">
                  <c:v>7.3470484836763217E-2</c:v>
                </c:pt>
                <c:pt idx="356">
                  <c:v>7.3490778211020569E-2</c:v>
                </c:pt>
                <c:pt idx="357">
                  <c:v>7.3511071140801021E-2</c:v>
                </c:pt>
                <c:pt idx="358">
                  <c:v>7.3531363626114121E-2</c:v>
                </c:pt>
                <c:pt idx="359">
                  <c:v>7.3551655666969862E-2</c:v>
                </c:pt>
                <c:pt idx="360">
                  <c:v>7.3571947263377679E-2</c:v>
                </c:pt>
                <c:pt idx="361">
                  <c:v>7.3592238415347566E-2</c:v>
                </c:pt>
                <c:pt idx="362">
                  <c:v>7.361252912288907E-2</c:v>
                </c:pt>
                <c:pt idx="363">
                  <c:v>7.3632819386012072E-2</c:v>
                </c:pt>
                <c:pt idx="364">
                  <c:v>7.365310920472623E-2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2.6142030543304832E-2</c:v>
                </c:pt>
                <c:pt idx="1">
                  <c:v>2.6217587370236894E-2</c:v>
                </c:pt>
                <c:pt idx="2">
                  <c:v>2.629312730878677E-2</c:v>
                </c:pt>
                <c:pt idx="3">
                  <c:v>2.636864477644528E-2</c:v>
                </c:pt>
                <c:pt idx="4">
                  <c:v>2.6444134916501279E-2</c:v>
                </c:pt>
                <c:pt idx="5">
                  <c:v>2.6519593583777826E-2</c:v>
                </c:pt>
                <c:pt idx="6">
                  <c:v>2.6595017324038343E-2</c:v>
                </c:pt>
                <c:pt idx="7">
                  <c:v>2.6670403347456795E-2</c:v>
                </c:pt>
                <c:pt idx="8">
                  <c:v>2.6745749496595562E-2</c:v>
                </c:pt>
                <c:pt idx="9">
                  <c:v>2.682105420937993E-2</c:v>
                </c:pt>
                <c:pt idx="10">
                  <c:v>2.6896316477597826E-2</c:v>
                </c:pt>
                <c:pt idx="11">
                  <c:v>2.6971535801486753E-2</c:v>
                </c:pt>
                <c:pt idx="12">
                  <c:v>2.7046712140998491E-2</c:v>
                </c:pt>
                <c:pt idx="13">
                  <c:v>2.7121845864353244E-2</c:v>
                </c:pt>
                <c:pt idx="14">
                  <c:v>2.719693769451062E-2</c:v>
                </c:pt>
                <c:pt idx="15">
                  <c:v>2.7271988654193387E-2</c:v>
                </c:pt>
                <c:pt idx="16">
                  <c:v>2.7347000010102877E-2</c:v>
                </c:pt>
                <c:pt idx="17">
                  <c:v>2.7421973216960289E-2</c:v>
                </c:pt>
                <c:pt idx="18">
                  <c:v>2.7496909861998799E-2</c:v>
                </c:pt>
                <c:pt idx="19">
                  <c:v>2.7571811610514127E-2</c:v>
                </c:pt>
                <c:pt idx="20">
                  <c:v>2.7646680153059714E-2</c:v>
                </c:pt>
                <c:pt idx="21">
                  <c:v>2.7721517154844465E-2</c:v>
                </c:pt>
                <c:pt idx="22">
                  <c:v>2.779632420785827E-2</c:v>
                </c:pt>
                <c:pt idx="23">
                  <c:v>2.7871102786212756E-2</c:v>
                </c:pt>
                <c:pt idx="24">
                  <c:v>2.7945854205142021E-2</c:v>
                </c:pt>
                <c:pt idx="25">
                  <c:v>2.8020579584062896E-2</c:v>
                </c:pt>
                <c:pt idx="26">
                  <c:v>2.8095279814044184E-2</c:v>
                </c:pt>
                <c:pt idx="27">
                  <c:v>2.8169955529982277E-2</c:v>
                </c:pt>
                <c:pt idx="28">
                  <c:v>2.8244607087726383E-2</c:v>
                </c:pt>
                <c:pt idx="29">
                  <c:v>2.8319234546340048E-2</c:v>
                </c:pt>
                <c:pt idx="30">
                  <c:v>2.839383765562899E-2</c:v>
                </c:pt>
                <c:pt idx="31">
                  <c:v>2.8468415849007271E-2</c:v>
                </c:pt>
                <c:pt idx="32">
                  <c:v>2.8542968241717016E-2</c:v>
                </c:pt>
                <c:pt idx="33">
                  <c:v>2.8617493634359604E-2</c:v>
                </c:pt>
                <c:pt idx="34">
                  <c:v>2.8691990521641668E-2</c:v>
                </c:pt>
                <c:pt idx="35">
                  <c:v>2.876645710618558E-2</c:v>
                </c:pt>
                <c:pt idx="36">
                  <c:v>2.8840891317203219E-2</c:v>
                </c:pt>
                <c:pt idx="37">
                  <c:v>2.8915290833783958E-2</c:v>
                </c:pt>
                <c:pt idx="38">
                  <c:v>2.8989653112503459E-2</c:v>
                </c:pt>
                <c:pt idx="39">
                  <c:v>2.9063975419018652E-2</c:v>
                </c:pt>
                <c:pt idx="40">
                  <c:v>2.9138254863278631E-2</c:v>
                </c:pt>
                <c:pt idx="41">
                  <c:v>2.9212488437948148E-2</c:v>
                </c:pt>
                <c:pt idx="42">
                  <c:v>2.9286673059614257E-2</c:v>
                </c:pt>
                <c:pt idx="43">
                  <c:v>2.9360805612323827E-2</c:v>
                </c:pt>
                <c:pt idx="44">
                  <c:v>2.9434882992982712E-2</c:v>
                </c:pt>
                <c:pt idx="45">
                  <c:v>2.9508902158135952E-2</c:v>
                </c:pt>
                <c:pt idx="46">
                  <c:v>2.9582860171641519E-2</c:v>
                </c:pt>
                <c:pt idx="47">
                  <c:v>2.96567542527491E-2</c:v>
                </c:pt>
                <c:pt idx="48">
                  <c:v>2.9730581824099534E-2</c:v>
                </c:pt>
                <c:pt idx="49">
                  <c:v>2.9804340559169213E-2</c:v>
                </c:pt>
                <c:pt idx="50">
                  <c:v>2.9878028428698366E-2</c:v>
                </c:pt>
                <c:pt idx="51">
                  <c:v>2.9951643745659676E-2</c:v>
                </c:pt>
                <c:pt idx="52">
                  <c:v>3.0025185208347783E-2</c:v>
                </c:pt>
                <c:pt idx="53">
                  <c:v>3.0098651941196097E-2</c:v>
                </c:pt>
                <c:pt idx="54">
                  <c:v>3.0172043532958298E-2</c:v>
                </c:pt>
                <c:pt idx="55">
                  <c:v>3.0245360071925752E-2</c:v>
                </c:pt>
                <c:pt idx="56">
                  <c:v>3.0318602177888128E-2</c:v>
                </c:pt>
                <c:pt idx="57">
                  <c:v>3.0391771030583638E-2</c:v>
                </c:pt>
                <c:pt idx="58">
                  <c:v>3.0464868394425738E-2</c:v>
                </c:pt>
                <c:pt idx="59">
                  <c:v>3.0537896639334872E-2</c:v>
                </c:pt>
                <c:pt idx="60">
                  <c:v>3.0610858757546898E-2</c:v>
                </c:pt>
                <c:pt idx="61">
                  <c:v>3.0683758376312303E-2</c:v>
                </c:pt>
                <c:pt idx="62">
                  <c:v>3.0756599766443415E-2</c:v>
                </c:pt>
                <c:pt idx="63">
                  <c:v>3.082938784670846E-2</c:v>
                </c:pt>
                <c:pt idx="64">
                  <c:v>3.0902128184112462E-2</c:v>
                </c:pt>
                <c:pt idx="65">
                  <c:v>3.0974826990143849E-2</c:v>
                </c:pt>
                <c:pt idx="66">
                  <c:v>3.1047491113102434E-2</c:v>
                </c:pt>
                <c:pt idx="67">
                  <c:v>3.1120128026659564E-2</c:v>
                </c:pt>
                <c:pt idx="68">
                  <c:v>3.1192745814832033E-2</c:v>
                </c:pt>
                <c:pt idx="69">
                  <c:v>3.1265353153580346E-2</c:v>
                </c:pt>
                <c:pt idx="70">
                  <c:v>3.1337959289266734E-2</c:v>
                </c:pt>
                <c:pt idx="71">
                  <c:v>3.1410574014229156E-2</c:v>
                </c:pt>
                <c:pt idx="72">
                  <c:v>3.1483207639745436E-2</c:v>
                </c:pt>
                <c:pt idx="73">
                  <c:v>3.1555870966674296E-2</c:v>
                </c:pt>
                <c:pt idx="74">
                  <c:v>3.1628575254069681E-2</c:v>
                </c:pt>
                <c:pt idx="75">
                  <c:v>3.1701332186069492E-2</c:v>
                </c:pt>
                <c:pt idx="76">
                  <c:v>3.1774153837360708E-2</c:v>
                </c:pt>
                <c:pt idx="77">
                  <c:v>3.1847052637519781E-2</c:v>
                </c:pt>
                <c:pt idx="78">
                  <c:v>3.1920041334520075E-2</c:v>
                </c:pt>
                <c:pt idx="79">
                  <c:v>3.1993132957687062E-2</c:v>
                </c:pt>
                <c:pt idx="80">
                  <c:v>3.206634078036795E-2</c:v>
                </c:pt>
                <c:pt idx="81">
                  <c:v>3.2139678282564449E-2</c:v>
                </c:pt>
                <c:pt idx="82">
                  <c:v>3.2213159113757238E-2</c:v>
                </c:pt>
                <c:pt idx="83">
                  <c:v>3.2286797056127012E-2</c:v>
                </c:pt>
                <c:pt idx="84">
                  <c:v>3.2360605988352262E-2</c:v>
                </c:pt>
                <c:pt idx="85">
                  <c:v>3.2434599850136393E-2</c:v>
                </c:pt>
                <c:pt idx="86">
                  <c:v>3.2508792607588134E-2</c:v>
                </c:pt>
                <c:pt idx="87">
                  <c:v>3.2583198219550358E-2</c:v>
                </c:pt>
                <c:pt idx="88">
                  <c:v>3.2657830604941818E-2</c:v>
                </c:pt>
                <c:pt idx="89">
                  <c:v>3.2732703611146705E-2</c:v>
                </c:pt>
                <c:pt idx="90">
                  <c:v>3.2807830983457444E-2</c:v>
                </c:pt>
                <c:pt idx="91">
                  <c:v>3.2883226335547446E-2</c:v>
                </c:pt>
                <c:pt idx="92">
                  <c:v>3.2958903120923227E-2</c:v>
                </c:pt>
                <c:pt idx="93">
                  <c:v>3.3034874605280005E-2</c:v>
                </c:pt>
                <c:pt idx="94">
                  <c:v>3.3111153839661296E-2</c:v>
                </c:pt>
                <c:pt idx="95">
                  <c:v>3.3187753634302396E-2</c:v>
                </c:pt>
                <c:pt idx="96">
                  <c:v>3.3264686533019519E-2</c:v>
                </c:pt>
                <c:pt idx="97">
                  <c:v>3.3341964787991715E-2</c:v>
                </c:pt>
                <c:pt idx="98">
                  <c:v>3.341960033477126E-2</c:v>
                </c:pt>
                <c:pt idx="99">
                  <c:v>3.3497604767350392E-2</c:v>
                </c:pt>
                <c:pt idx="100">
                  <c:v>3.3575989313108297E-2</c:v>
                </c:pt>
                <c:pt idx="101">
                  <c:v>3.3654764807462427E-2</c:v>
                </c:pt>
                <c:pt idx="102">
                  <c:v>3.3733941668051694E-2</c:v>
                </c:pt>
                <c:pt idx="103">
                  <c:v>3.3813529868287312E-2</c:v>
                </c:pt>
                <c:pt idx="104">
                  <c:v>3.3893538910118683E-2</c:v>
                </c:pt>
                <c:pt idx="105">
                  <c:v>3.3973977795877096E-2</c:v>
                </c:pt>
                <c:pt idx="106">
                  <c:v>3.4054854999079551E-2</c:v>
                </c:pt>
                <c:pt idx="107">
                  <c:v>3.413617843409758E-2</c:v>
                </c:pt>
                <c:pt idx="108">
                  <c:v>3.4217955424621242E-2</c:v>
                </c:pt>
                <c:pt idx="109">
                  <c:v>3.4300192670878284E-2</c:v>
                </c:pt>
                <c:pt idx="110">
                  <c:v>3.438289621559823E-2</c:v>
                </c:pt>
                <c:pt idx="111">
                  <c:v>3.4466071408745837E-2</c:v>
                </c:pt>
                <c:pt idx="112">
                  <c:v>3.4549722871082503E-2</c:v>
                </c:pt>
                <c:pt idx="113">
                  <c:v>3.4633854456650931E-2</c:v>
                </c:pt>
                <c:pt idx="114">
                  <c:v>3.4718469214315151E-2</c:v>
                </c:pt>
                <c:pt idx="115">
                  <c:v>3.4803569348525666E-2</c:v>
                </c:pt>
                <c:pt idx="116">
                  <c:v>3.4889156179516156E-2</c:v>
                </c:pt>
                <c:pt idx="117">
                  <c:v>3.4975230103174895E-2</c:v>
                </c:pt>
                <c:pt idx="118">
                  <c:v>3.5061790550868513E-2</c:v>
                </c:pt>
                <c:pt idx="119">
                  <c:v>3.5148835949529722E-2</c:v>
                </c:pt>
                <c:pt idx="120">
                  <c:v>3.5236363682350523E-2</c:v>
                </c:pt>
                <c:pt idx="121">
                  <c:v>3.5324370050451338E-2</c:v>
                </c:pt>
                <c:pt idx="122">
                  <c:v>3.5412850235920945E-2</c:v>
                </c:pt>
                <c:pt idx="123">
                  <c:v>3.5501798266642987E-2</c:v>
                </c:pt>
                <c:pt idx="124">
                  <c:v>3.5591206983342463E-2</c:v>
                </c:pt>
                <c:pt idx="125">
                  <c:v>3.5681068009297275E-2</c:v>
                </c:pt>
                <c:pt idx="126">
                  <c:v>3.5771371723168445E-2</c:v>
                </c:pt>
                <c:pt idx="127">
                  <c:v>3.5862107235405047E-2</c:v>
                </c:pt>
                <c:pt idx="128">
                  <c:v>3.5953262368676978E-2</c:v>
                </c:pt>
                <c:pt idx="129">
                  <c:v>3.6044823642781734E-2</c:v>
                </c:pt>
                <c:pt idx="130">
                  <c:v>3.613677626445691E-2</c:v>
                </c:pt>
                <c:pt idx="131">
                  <c:v>3.6229104122511964E-2</c:v>
                </c:pt>
                <c:pt idx="132">
                  <c:v>3.6321789788668339E-2</c:v>
                </c:pt>
                <c:pt idx="133">
                  <c:v>3.64148145244668E-2</c:v>
                </c:pt>
                <c:pt idx="134">
                  <c:v>3.6508158294566641E-2</c:v>
                </c:pt>
                <c:pt idx="135">
                  <c:v>3.6601799786720894E-2</c:v>
                </c:pt>
                <c:pt idx="136">
                  <c:v>3.6695716438667488E-2</c:v>
                </c:pt>
                <c:pt idx="137">
                  <c:v>3.6789884472127034E-2</c:v>
                </c:pt>
                <c:pt idx="138">
                  <c:v>3.6884278934045236E-2</c:v>
                </c:pt>
                <c:pt idx="139">
                  <c:v>3.6978873745161706E-2</c:v>
                </c:pt>
                <c:pt idx="140">
                  <c:v>3.7073641755927214E-2</c:v>
                </c:pt>
                <c:pt idx="141">
                  <c:v>3.7168554809730123E-2</c:v>
                </c:pt>
                <c:pt idx="142">
                  <c:v>3.7263583813329081E-2</c:v>
                </c:pt>
                <c:pt idx="143">
                  <c:v>3.7358698814323868E-2</c:v>
                </c:pt>
                <c:pt idx="144">
                  <c:v>3.745386908543178E-2</c:v>
                </c:pt>
                <c:pt idx="145">
                  <c:v>3.7549063215270809E-2</c:v>
                </c:pt>
                <c:pt idx="146">
                  <c:v>3.7644249205286924E-2</c:v>
                </c:pt>
                <c:pt idx="147">
                  <c:v>3.7739394572399845E-2</c:v>
                </c:pt>
                <c:pt idx="148">
                  <c:v>3.7834466456880302E-2</c:v>
                </c:pt>
                <c:pt idx="149">
                  <c:v>3.7929431734914199E-2</c:v>
                </c:pt>
                <c:pt idx="150">
                  <c:v>3.8024257135254355E-2</c:v>
                </c:pt>
                <c:pt idx="151">
                  <c:v>3.8118909359309769E-2</c:v>
                </c:pt>
                <c:pt idx="152">
                  <c:v>3.8213355203976694E-2</c:v>
                </c:pt>
                <c:pt idx="153">
                  <c:v>3.830756168647504E-2</c:v>
                </c:pt>
                <c:pt idx="154">
                  <c:v>3.8401496170418874E-2</c:v>
                </c:pt>
                <c:pt idx="155">
                  <c:v>3.8495126492320696E-2</c:v>
                </c:pt>
                <c:pt idx="156">
                  <c:v>3.8588421087707492E-2</c:v>
                </c:pt>
                <c:pt idx="157">
                  <c:v>3.8681349116011086E-2</c:v>
                </c:pt>
                <c:pt idx="158">
                  <c:v>3.87738805833873E-2</c:v>
                </c:pt>
                <c:pt idx="159">
                  <c:v>3.8865986462617977E-2</c:v>
                </c:pt>
                <c:pt idx="160">
                  <c:v>3.8957638809256602E-2</c:v>
                </c:pt>
                <c:pt idx="161">
                  <c:v>3.9048810873193243E-2</c:v>
                </c:pt>
                <c:pt idx="162">
                  <c:v>3.9139477204835856E-2</c:v>
                </c:pt>
                <c:pt idx="163">
                  <c:v>3.9229613755135305E-2</c:v>
                </c:pt>
                <c:pt idx="164">
                  <c:v>3.9319197968717683E-2</c:v>
                </c:pt>
                <c:pt idx="165">
                  <c:v>3.940820886943168E-2</c:v>
                </c:pt>
                <c:pt idx="166">
                  <c:v>3.9496627137668994E-2</c:v>
                </c:pt>
                <c:pt idx="167">
                  <c:v>3.9584435178872883E-2</c:v>
                </c:pt>
                <c:pt idx="168">
                  <c:v>3.9671617182712358E-2</c:v>
                </c:pt>
                <c:pt idx="169">
                  <c:v>3.9758159172467521E-2</c:v>
                </c:pt>
                <c:pt idx="170">
                  <c:v>3.984404904424417E-2</c:v>
                </c:pt>
                <c:pt idx="171">
                  <c:v>3.9929276595712458E-2</c:v>
                </c:pt>
                <c:pt idx="172">
                  <c:v>4.0013833544144443E-2</c:v>
                </c:pt>
                <c:pt idx="173">
                  <c:v>4.0097713533607776E-2</c:v>
                </c:pt>
                <c:pt idx="174">
                  <c:v>4.0180912131257879E-2</c:v>
                </c:pt>
                <c:pt idx="175">
                  <c:v>4.0263426812755514E-2</c:v>
                </c:pt>
                <c:pt idx="176">
                  <c:v>4.0345256936923542E-2</c:v>
                </c:pt>
                <c:pt idx="177">
                  <c:v>4.0426403709841144E-2</c:v>
                </c:pt>
                <c:pt idx="178">
                  <c:v>4.0506870138657884E-2</c:v>
                </c:pt>
                <c:pt idx="179">
                  <c:v>4.058666097549167E-2</c:v>
                </c:pt>
                <c:pt idx="180">
                  <c:v>4.0665782651853381E-2</c:v>
                </c:pt>
                <c:pt idx="181">
                  <c:v>4.0744243204115405E-2</c:v>
                </c:pt>
                <c:pt idx="182">
                  <c:v>4.0822052190612454E-2</c:v>
                </c:pt>
                <c:pt idx="183">
                  <c:v>4.0899220601027277E-2</c:v>
                </c:pt>
                <c:pt idx="184">
                  <c:v>4.0975760758774182E-2</c:v>
                </c:pt>
                <c:pt idx="185">
                  <c:v>4.1051686217145375E-2</c:v>
                </c:pt>
                <c:pt idx="186">
                  <c:v>4.1127011650031443E-2</c:v>
                </c:pt>
                <c:pt idx="187">
                  <c:v>4.1201752738065818E-2</c:v>
                </c:pt>
                <c:pt idx="188">
                  <c:v>4.1275926051073497E-2</c:v>
                </c:pt>
                <c:pt idx="189">
                  <c:v>4.1349548927727096E-2</c:v>
                </c:pt>
                <c:pt idx="190">
                  <c:v>4.1422639353327156E-2</c:v>
                </c:pt>
                <c:pt idx="191">
                  <c:v>4.1495215836629532E-2</c:v>
                </c:pt>
                <c:pt idx="192">
                  <c:v>4.1567297286639902E-2</c:v>
                </c:pt>
                <c:pt idx="193">
                  <c:v>4.1638902890283533E-2</c:v>
                </c:pt>
                <c:pt idx="194">
                  <c:v>4.1710051991839005E-2</c:v>
                </c:pt>
                <c:pt idx="195">
                  <c:v>4.178076397499636E-2</c:v>
                </c:pt>
                <c:pt idx="196">
                  <c:v>4.1851058148364068E-2</c:v>
                </c:pt>
                <c:pt idx="197">
                  <c:v>4.1920953635205781E-2</c:v>
                </c:pt>
                <c:pt idx="198">
                  <c:v>4.1990469268136967E-2</c:v>
                </c:pt>
                <c:pt idx="199">
                  <c:v>4.2059623489454495E-2</c:v>
                </c:pt>
                <c:pt idx="200">
                  <c:v>4.2128434257708729E-2</c:v>
                </c:pt>
                <c:pt idx="201">
                  <c:v>4.2196918961059239E-2</c:v>
                </c:pt>
                <c:pt idx="202">
                  <c:v>4.2265094337882218E-2</c:v>
                </c:pt>
                <c:pt idx="203">
                  <c:v>4.233297640502006E-2</c:v>
                </c:pt>
                <c:pt idx="204">
                  <c:v>4.2400580393984241E-2</c:v>
                </c:pt>
                <c:pt idx="205">
                  <c:v>4.2467920695339549E-2</c:v>
                </c:pt>
                <c:pt idx="206">
                  <c:v>4.2535010811414614E-2</c:v>
                </c:pt>
                <c:pt idx="207">
                  <c:v>4.2601863317399416E-2</c:v>
                </c:pt>
                <c:pt idx="208">
                  <c:v>4.266848983080633E-2</c:v>
                </c:pt>
                <c:pt idx="209">
                  <c:v>4.2734900989189709E-2</c:v>
                </c:pt>
                <c:pt idx="210">
                  <c:v>4.2801106435937743E-2</c:v>
                </c:pt>
                <c:pt idx="211">
                  <c:v>4.2867114813874195E-2</c:v>
                </c:pt>
                <c:pt idx="212">
                  <c:v>4.2932933766333177E-2</c:v>
                </c:pt>
                <c:pt idx="213">
                  <c:v>4.2998569945302212E-2</c:v>
                </c:pt>
                <c:pt idx="214">
                  <c:v>4.30640290261649E-2</c:v>
                </c:pt>
                <c:pt idx="215">
                  <c:v>4.3129315728517303E-2</c:v>
                </c:pt>
                <c:pt idx="216">
                  <c:v>4.3194433842481346E-2</c:v>
                </c:pt>
                <c:pt idx="217">
                  <c:v>4.3259386259894769E-2</c:v>
                </c:pt>
                <c:pt idx="218">
                  <c:v>4.3324175009721334E-2</c:v>
                </c:pt>
                <c:pt idx="219">
                  <c:v>4.3388801296996883E-2</c:v>
                </c:pt>
                <c:pt idx="220">
                  <c:v>4.3453265544606927E-2</c:v>
                </c:pt>
                <c:pt idx="221">
                  <c:v>4.3517567437180674E-2</c:v>
                </c:pt>
                <c:pt idx="222">
                  <c:v>4.3581705966383111E-2</c:v>
                </c:pt>
                <c:pt idx="223">
                  <c:v>4.3645679476893295E-2</c:v>
                </c:pt>
                <c:pt idx="224">
                  <c:v>4.3709485712371161E-2</c:v>
                </c:pt>
                <c:pt idx="225">
                  <c:v>4.3773121860738069E-2</c:v>
                </c:pt>
                <c:pt idx="226">
                  <c:v>4.3836584598127358E-2</c:v>
                </c:pt>
                <c:pt idx="227">
                  <c:v>4.3899870130899785E-2</c:v>
                </c:pt>
                <c:pt idx="228">
                  <c:v>4.3962974235164445E-2</c:v>
                </c:pt>
                <c:pt idx="229">
                  <c:v>4.4025892293299104E-2</c:v>
                </c:pt>
                <c:pt idx="230">
                  <c:v>4.408861932702194E-2</c:v>
                </c:pt>
                <c:pt idx="231">
                  <c:v>4.4151150026631628E-2</c:v>
                </c:pt>
                <c:pt idx="232">
                  <c:v>4.4213478776101531E-2</c:v>
                </c:pt>
                <c:pt idx="233">
                  <c:v>4.4275599673786886E-2</c:v>
                </c:pt>
                <c:pt idx="234">
                  <c:v>4.433750654857966E-2</c:v>
                </c:pt>
                <c:pt idx="235">
                  <c:v>4.4399192971424514E-2</c:v>
                </c:pt>
                <c:pt idx="236">
                  <c:v>4.4460652262188483E-2</c:v>
                </c:pt>
                <c:pt idx="237">
                  <c:v>4.452187749195733E-2</c:v>
                </c:pt>
                <c:pt idx="238">
                  <c:v>4.4582861480910292E-2</c:v>
                </c:pt>
                <c:pt idx="239">
                  <c:v>4.4643596792003394E-2</c:v>
                </c:pt>
                <c:pt idx="240">
                  <c:v>4.4704075720766519E-2</c:v>
                </c:pt>
                <c:pt idx="241">
                  <c:v>4.4764290281591082E-2</c:v>
                </c:pt>
                <c:pt idx="242">
                  <c:v>4.482423219095362E-2</c:v>
                </c:pt>
                <c:pt idx="243">
                  <c:v>4.4883892848082363E-2</c:v>
                </c:pt>
                <c:pt idx="244">
                  <c:v>4.4943263313630993E-2</c:v>
                </c:pt>
                <c:pt idx="245">
                  <c:v>4.5002334286973568E-2</c:v>
                </c:pt>
                <c:pt idx="246">
                  <c:v>4.5061096082777731E-2</c:v>
                </c:pt>
                <c:pt idx="247">
                  <c:v>4.5119538607547562E-2</c:v>
                </c:pt>
                <c:pt idx="248">
                  <c:v>4.5177651336854301E-2</c:v>
                </c:pt>
                <c:pt idx="249">
                  <c:v>4.5235423293990738E-2</c:v>
                </c:pt>
                <c:pt idx="250">
                  <c:v>4.5292843030793478E-2</c:v>
                </c:pt>
                <c:pt idx="251">
                  <c:v>4.5349898611376172E-2</c:v>
                </c:pt>
                <c:pt idx="252">
                  <c:v>4.5406577599507239E-2</c:v>
                </c:pt>
                <c:pt idx="253">
                  <c:v>4.5462867050344441E-2</c:v>
                </c:pt>
                <c:pt idx="254">
                  <c:v>4.5518753507210741E-2</c:v>
                </c:pt>
                <c:pt idx="255">
                  <c:v>4.5574223004056155E-2</c:v>
                </c:pt>
                <c:pt idx="256">
                  <c:v>4.5629261074203592E-2</c:v>
                </c:pt>
                <c:pt idx="257">
                  <c:v>4.5683852765920296E-2</c:v>
                </c:pt>
                <c:pt idx="258">
                  <c:v>4.573798266529229E-2</c:v>
                </c:pt>
                <c:pt idx="259">
                  <c:v>4.5791634926807816E-2</c:v>
                </c:pt>
                <c:pt idx="260">
                  <c:v>4.5844793311977543E-2</c:v>
                </c:pt>
                <c:pt idx="261">
                  <c:v>4.5897441236234189E-2</c:v>
                </c:pt>
                <c:pt idx="262">
                  <c:v>4.5949561824265531E-2</c:v>
                </c:pt>
                <c:pt idx="263">
                  <c:v>4.6001137973839833E-2</c:v>
                </c:pt>
                <c:pt idx="264">
                  <c:v>4.6052152428086246E-2</c:v>
                </c:pt>
                <c:pt idx="265">
                  <c:v>4.6102587856092531E-2</c:v>
                </c:pt>
                <c:pt idx="266">
                  <c:v>4.6152426941581511E-2</c:v>
                </c:pt>
                <c:pt idx="267">
                  <c:v>4.6201652479326873E-2</c:v>
                </c:pt>
                <c:pt idx="268">
                  <c:v>4.6250247478867981E-2</c:v>
                </c:pt>
                <c:pt idx="269">
                  <c:v>4.6298195274985479E-2</c:v>
                </c:pt>
                <c:pt idx="270">
                  <c:v>4.6345479644303515E-2</c:v>
                </c:pt>
                <c:pt idx="271">
                  <c:v>4.6392084927293707E-2</c:v>
                </c:pt>
                <c:pt idx="272">
                  <c:v>4.6437996154869349E-2</c:v>
                </c:pt>
                <c:pt idx="273">
                  <c:v>4.6483199178678422E-2</c:v>
                </c:pt>
                <c:pt idx="274">
                  <c:v>4.652768080413125E-2</c:v>
                </c:pt>
                <c:pt idx="275">
                  <c:v>4.657142892513335E-2</c:v>
                </c:pt>
                <c:pt idx="276">
                  <c:v>4.6614432659437793E-2</c:v>
                </c:pt>
                <c:pt idx="277">
                  <c:v>4.6656682483485291E-2</c:v>
                </c:pt>
                <c:pt idx="278">
                  <c:v>4.669817036556273E-2</c:v>
                </c:pt>
                <c:pt idx="279">
                  <c:v>4.6738889896086093E-2</c:v>
                </c:pt>
                <c:pt idx="280">
                  <c:v>4.6778836413798167E-2</c:v>
                </c:pt>
                <c:pt idx="281">
                  <c:v>4.6818007126669121E-2</c:v>
                </c:pt>
                <c:pt idx="282">
                  <c:v>4.6856401226295898E-2</c:v>
                </c:pt>
                <c:pt idx="283">
                  <c:v>4.6894019994617397E-2</c:v>
                </c:pt>
                <c:pt idx="284">
                  <c:v>4.693086690179428E-2</c:v>
                </c:pt>
                <c:pt idx="285">
                  <c:v>4.6966947694146534E-2</c:v>
                </c:pt>
                <c:pt idx="286">
                  <c:v>4.7002270471097257E-2</c:v>
                </c:pt>
                <c:pt idx="287">
                  <c:v>4.7036845750137536E-2</c:v>
                </c:pt>
                <c:pt idx="288">
                  <c:v>4.7070686518904829E-2</c:v>
                </c:pt>
                <c:pt idx="289">
                  <c:v>4.7103808273554135E-2</c:v>
                </c:pt>
                <c:pt idx="290">
                  <c:v>4.7136229042698014E-2</c:v>
                </c:pt>
                <c:pt idx="291">
                  <c:v>4.7167969396296576E-2</c:v>
                </c:pt>
                <c:pt idx="292">
                  <c:v>4.7199052438991244E-2</c:v>
                </c:pt>
                <c:pt idx="293">
                  <c:v>4.7229503787495637E-2</c:v>
                </c:pt>
                <c:pt idx="294">
                  <c:v>4.7259351531782151E-2</c:v>
                </c:pt>
                <c:pt idx="295">
                  <c:v>4.7288626179931896E-2</c:v>
                </c:pt>
                <c:pt idx="296">
                  <c:v>4.7317360586649392E-2</c:v>
                </c:pt>
                <c:pt idx="297">
                  <c:v>4.7345589865577936E-2</c:v>
                </c:pt>
                <c:pt idx="298">
                  <c:v>4.7373351285687641E-2</c:v>
                </c:pt>
                <c:pt idx="299">
                  <c:v>4.7400684152144178E-2</c:v>
                </c:pt>
                <c:pt idx="300">
                  <c:v>4.7427629672199746E-2</c:v>
                </c:pt>
                <c:pt idx="301">
                  <c:v>4.7454230806779109E-2</c:v>
                </c:pt>
                <c:pt idx="302">
                  <c:v>4.7480532108560541E-2</c:v>
                </c:pt>
                <c:pt idx="303">
                  <c:v>4.7506579547472942E-2</c:v>
                </c:pt>
                <c:pt idx="304">
                  <c:v>4.7532420324645219E-2</c:v>
                </c:pt>
                <c:pt idx="305">
                  <c:v>4.7558102675951862E-2</c:v>
                </c:pt>
                <c:pt idx="306">
                  <c:v>4.7583675666396229E-2</c:v>
                </c:pt>
                <c:pt idx="307">
                  <c:v>4.7609188976663233E-2</c:v>
                </c:pt>
                <c:pt idx="308">
                  <c:v>4.7634692683249658E-2</c:v>
                </c:pt>
                <c:pt idx="309">
                  <c:v>4.7660237033648863E-2</c:v>
                </c:pt>
                <c:pt idx="310">
                  <c:v>4.7685872218119638E-2</c:v>
                </c:pt>
                <c:pt idx="311">
                  <c:v>4.7711648139612095E-2</c:v>
                </c:pt>
                <c:pt idx="312">
                  <c:v>4.773761418345171E-2</c:v>
                </c:pt>
                <c:pt idx="313">
                  <c:v>4.7763818988397662E-2</c:v>
                </c:pt>
                <c:pt idx="314">
                  <c:v>4.7790310220693591E-2</c:v>
                </c:pt>
                <c:pt idx="315">
                  <c:v>4.7817134352716117E-2</c:v>
                </c:pt>
                <c:pt idx="316">
                  <c:v>4.7844336447800159E-2</c:v>
                </c:pt>
                <c:pt idx="317">
                  <c:v>4.7871959952780888E-2</c:v>
                </c:pt>
                <c:pt idx="318">
                  <c:v>4.7900046499738086E-2</c:v>
                </c:pt>
                <c:pt idx="319">
                  <c:v>4.7928635718363331E-2</c:v>
                </c:pt>
                <c:pt idx="320">
                  <c:v>4.7957765060291438E-2</c:v>
                </c:pt>
                <c:pt idx="321">
                  <c:v>4.798746963664785E-2</c:v>
                </c:pt>
                <c:pt idx="322">
                  <c:v>4.8017782069962066E-2</c:v>
                </c:pt>
                <c:pt idx="323">
                  <c:v>4.8048732361486435E-2</c:v>
                </c:pt>
                <c:pt idx="324">
                  <c:v>4.8080347774839417E-2</c:v>
                </c:pt>
                <c:pt idx="325">
                  <c:v>4.8112652736763704E-2</c:v>
                </c:pt>
                <c:pt idx="326">
                  <c:v>4.8145668755655187E-2</c:v>
                </c:pt>
                <c:pt idx="327">
                  <c:v>4.817941435837738E-2</c:v>
                </c:pt>
                <c:pt idx="328">
                  <c:v>4.8213905045731323E-2</c:v>
                </c:pt>
                <c:pt idx="329">
                  <c:v>4.8249153266802326E-2</c:v>
                </c:pt>
                <c:pt idx="330">
                  <c:v>4.8285168412255011E-2</c:v>
                </c:pt>
                <c:pt idx="331">
                  <c:v>4.8321956826498182E-2</c:v>
                </c:pt>
                <c:pt idx="332">
                  <c:v>4.835952183849087E-2</c:v>
                </c:pt>
                <c:pt idx="333">
                  <c:v>4.8397863810814519E-2</c:v>
                </c:pt>
                <c:pt idx="334">
                  <c:v>4.8436980206492231E-2</c:v>
                </c:pt>
                <c:pt idx="335">
                  <c:v>4.8476865672897676E-2</c:v>
                </c:pt>
                <c:pt idx="336">
                  <c:v>4.8517512141963967E-2</c:v>
                </c:pt>
                <c:pt idx="337">
                  <c:v>4.8558908945777218E-2</c:v>
                </c:pt>
                <c:pt idx="338">
                  <c:v>4.8601042946523482E-2</c:v>
                </c:pt>
                <c:pt idx="339">
                  <c:v>4.8643898679650015E-2</c:v>
                </c:pt>
                <c:pt idx="340">
                  <c:v>4.868745850900557E-2</c:v>
                </c:pt>
                <c:pt idx="341">
                  <c:v>4.8731702792638533E-2</c:v>
                </c:pt>
                <c:pt idx="342">
                  <c:v>4.8776610057858272E-2</c:v>
                </c:pt>
                <c:pt idx="343">
                  <c:v>4.8822157184104417E-2</c:v>
                </c:pt>
                <c:pt idx="344">
                  <c:v>4.8868319592120617E-2</c:v>
                </c:pt>
                <c:pt idx="345">
                  <c:v>4.8915071437894968E-2</c:v>
                </c:pt>
                <c:pt idx="346">
                  <c:v>4.8962385809809009E-2</c:v>
                </c:pt>
                <c:pt idx="347">
                  <c:v>4.901023492742973E-2</c:v>
                </c:pt>
                <c:pt idx="348">
                  <c:v>4.9058590340386697E-2</c:v>
                </c:pt>
                <c:pt idx="349">
                  <c:v>4.9107423125795975E-2</c:v>
                </c:pt>
                <c:pt idx="350">
                  <c:v>4.9156704082727681E-2</c:v>
                </c:pt>
                <c:pt idx="351">
                  <c:v>4.9206403922259702E-2</c:v>
                </c:pt>
                <c:pt idx="352">
                  <c:v>4.9256493451720305E-2</c:v>
                </c:pt>
                <c:pt idx="353">
                  <c:v>4.9306943751792752E-2</c:v>
                </c:pt>
                <c:pt idx="354">
                  <c:v>4.9357726345237982E-2</c:v>
                </c:pt>
                <c:pt idx="355">
                  <c:v>4.940881335608286E-2</c:v>
                </c:pt>
                <c:pt idx="356">
                  <c:v>4.9460177658223609E-2</c:v>
                </c:pt>
                <c:pt idx="357">
                  <c:v>4.9511793012503844E-2</c:v>
                </c:pt>
                <c:pt idx="358">
                  <c:v>4.9563634191443176E-2</c:v>
                </c:pt>
                <c:pt idx="359">
                  <c:v>4.9615677090915571E-2</c:v>
                </c:pt>
                <c:pt idx="360">
                  <c:v>4.9667898828204098E-2</c:v>
                </c:pt>
                <c:pt idx="361">
                  <c:v>4.9720277825990165E-2</c:v>
                </c:pt>
                <c:pt idx="362">
                  <c:v>4.9772793881968057E-2</c:v>
                </c:pt>
                <c:pt idx="363">
                  <c:v>4.9825428223911096E-2</c:v>
                </c:pt>
                <c:pt idx="364">
                  <c:v>4.9878163550148555E-2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1.2723470152725471E-4</c:v>
                </c:pt>
                <c:pt idx="1">
                  <c:v>1.2668884424827339E-4</c:v>
                </c:pt>
                <c:pt idx="2">
                  <c:v>1.2601484703110531E-4</c:v>
                </c:pt>
                <c:pt idx="3">
                  <c:v>1.2522125870838448E-4</c:v>
                </c:pt>
                <c:pt idx="4">
                  <c:v>1.2431644740748134E-4</c:v>
                </c:pt>
                <c:pt idx="5">
                  <c:v>1.2330853951649382E-4</c:v>
                </c:pt>
                <c:pt idx="6">
                  <c:v>1.2220536872483768E-4</c:v>
                </c:pt>
                <c:pt idx="7">
                  <c:v>1.210144342800061E-4</c:v>
                </c:pt>
                <c:pt idx="8">
                  <c:v>1.19726365584047E-4</c:v>
                </c:pt>
                <c:pt idx="9">
                  <c:v>1.1814460025184013E-4</c:v>
                </c:pt>
                <c:pt idx="10">
                  <c:v>1.1622665666703299E-4</c:v>
                </c:pt>
                <c:pt idx="11">
                  <c:v>1.1398282497640587E-4</c:v>
                </c:pt>
                <c:pt idx="12">
                  <c:v>1.1142350722238254E-4</c:v>
                </c:pt>
                <c:pt idx="13">
                  <c:v>1.085591650789529E-4</c:v>
                </c:pt>
                <c:pt idx="14">
                  <c:v>1.0540027095561374E-4</c:v>
                </c:pt>
                <c:pt idx="15">
                  <c:v>1.0202042485071556E-4</c:v>
                </c:pt>
                <c:pt idx="16">
                  <c:v>9.8568455555982405E-5</c:v>
                </c:pt>
                <c:pt idx="17">
                  <c:v>9.5048999560981079E-5</c:v>
                </c:pt>
                <c:pt idx="18">
                  <c:v>9.1466523684992663E-5</c:v>
                </c:pt>
                <c:pt idx="19">
                  <c:v>8.7825808303699385E-5</c:v>
                </c:pt>
                <c:pt idx="20">
                  <c:v>8.413158229330854E-5</c:v>
                </c:pt>
                <c:pt idx="21">
                  <c:v>8.0387920574815096E-5</c:v>
                </c:pt>
                <c:pt idx="22">
                  <c:v>7.659148035078813E-5</c:v>
                </c:pt>
                <c:pt idx="23">
                  <c:v>7.2828142813933288E-5</c:v>
                </c:pt>
                <c:pt idx="24">
                  <c:v>6.9264117862519487E-5</c:v>
                </c:pt>
                <c:pt idx="25">
                  <c:v>6.5898532654061996E-5</c:v>
                </c:pt>
                <c:pt idx="26">
                  <c:v>6.2729800521931284E-5</c:v>
                </c:pt>
                <c:pt idx="27">
                  <c:v>5.9755727652618491E-5</c:v>
                </c:pt>
                <c:pt idx="28">
                  <c:v>5.6973613886005138E-5</c:v>
                </c:pt>
                <c:pt idx="29">
                  <c:v>5.4510177201786635E-5</c:v>
                </c:pt>
                <c:pt idx="30">
                  <c:v>5.2303527434454805E-5</c:v>
                </c:pt>
                <c:pt idx="31">
                  <c:v>5.0347811143950718E-5</c:v>
                </c:pt>
                <c:pt idx="32">
                  <c:v>4.8637117164210797E-5</c:v>
                </c:pt>
                <c:pt idx="33">
                  <c:v>4.7165559212007253E-5</c:v>
                </c:pt>
                <c:pt idx="34">
                  <c:v>4.592734968224118E-5</c:v>
                </c:pt>
                <c:pt idx="35">
                  <c:v>4.4916865322407724E-5</c:v>
                </c:pt>
                <c:pt idx="36">
                  <c:v>4.4125977298555839E-5</c:v>
                </c:pt>
                <c:pt idx="37">
                  <c:v>4.3714458474951833E-5</c:v>
                </c:pt>
                <c:pt idx="38">
                  <c:v>4.3597183665242245E-5</c:v>
                </c:pt>
                <c:pt idx="39">
                  <c:v>4.3765966221886767E-5</c:v>
                </c:pt>
                <c:pt idx="40">
                  <c:v>4.4212934789077948E-5</c:v>
                </c:pt>
                <c:pt idx="41">
                  <c:v>4.4930504280845019E-5</c:v>
                </c:pt>
                <c:pt idx="42">
                  <c:v>4.5911349261656971E-5</c:v>
                </c:pt>
                <c:pt idx="43">
                  <c:v>4.6945127640794173E-5</c:v>
                </c:pt>
                <c:pt idx="44">
                  <c:v>4.7917372977953544E-5</c:v>
                </c:pt>
                <c:pt idx="45">
                  <c:v>4.8829383263441162E-5</c:v>
                </c:pt>
                <c:pt idx="46">
                  <c:v>4.9682403921263098E-5</c:v>
                </c:pt>
                <c:pt idx="47">
                  <c:v>5.0477634321853999E-5</c:v>
                </c:pt>
                <c:pt idx="48">
                  <c:v>5.1216233940369279E-5</c:v>
                </c:pt>
                <c:pt idx="49">
                  <c:v>5.1899328148391522E-5</c:v>
                </c:pt>
                <c:pt idx="50">
                  <c:v>5.2527805868771745E-5</c:v>
                </c:pt>
                <c:pt idx="51">
                  <c:v>5.2783215739631982E-5</c:v>
                </c:pt>
                <c:pt idx="52">
                  <c:v>5.2527008836445688E-5</c:v>
                </c:pt>
                <c:pt idx="53">
                  <c:v>5.177196477801242E-5</c:v>
                </c:pt>
                <c:pt idx="54">
                  <c:v>5.0530791317477743E-5</c:v>
                </c:pt>
                <c:pt idx="55">
                  <c:v>4.8815836291405693E-5</c:v>
                </c:pt>
                <c:pt idx="56">
                  <c:v>4.6639061582125452E-5</c:v>
                </c:pt>
                <c:pt idx="57">
                  <c:v>4.4135819211564467E-5</c:v>
                </c:pt>
                <c:pt idx="58">
                  <c:v>4.1493629233426124E-5</c:v>
                </c:pt>
                <c:pt idx="59">
                  <c:v>3.8716058466656673E-5</c:v>
                </c:pt>
                <c:pt idx="60">
                  <c:v>3.5806466011001918E-5</c:v>
                </c:pt>
                <c:pt idx="61">
                  <c:v>3.2767996509684977E-5</c:v>
                </c:pt>
                <c:pt idx="62">
                  <c:v>2.9603573353662603E-5</c:v>
                </c:pt>
                <c:pt idx="63">
                  <c:v>2.6315891802061527E-5</c:v>
                </c:pt>
                <c:pt idx="64">
                  <c:v>2.2906777011315943E-5</c:v>
                </c:pt>
                <c:pt idx="65">
                  <c:v>1.9551997388710928E-5</c:v>
                </c:pt>
                <c:pt idx="66">
                  <c:v>1.6534557651435084E-5</c:v>
                </c:pt>
                <c:pt idx="67">
                  <c:v>1.3847075654567717E-5</c:v>
                </c:pt>
                <c:pt idx="68">
                  <c:v>1.1482350080494083E-5</c:v>
                </c:pt>
                <c:pt idx="69">
                  <c:v>9.4333753450217713E-6</c:v>
                </c:pt>
                <c:pt idx="70">
                  <c:v>7.6933563411429154E-6</c:v>
                </c:pt>
                <c:pt idx="71">
                  <c:v>6.2520759009773473E-6</c:v>
                </c:pt>
                <c:pt idx="72">
                  <c:v>4.9924085675999705E-6</c:v>
                </c:pt>
                <c:pt idx="73">
                  <c:v>3.9105124647650152E-6</c:v>
                </c:pt>
                <c:pt idx="74">
                  <c:v>3.0026910655356092E-6</c:v>
                </c:pt>
                <c:pt idx="75">
                  <c:v>2.2654014482856802E-6</c:v>
                </c:pt>
                <c:pt idx="76">
                  <c:v>1.6952624294172006E-6</c:v>
                </c:pt>
                <c:pt idx="77">
                  <c:v>1.2890625628868469E-6</c:v>
                </c:pt>
                <c:pt idx="78">
                  <c:v>1.0437093598319162E-6</c:v>
                </c:pt>
                <c:pt idx="79">
                  <c:v>9.6041781885096804E-7</c:v>
                </c:pt>
                <c:pt idx="80">
                  <c:v>8.7875498150200744E-7</c:v>
                </c:pt>
                <c:pt idx="81">
                  <c:v>7.9869676415558363E-7</c:v>
                </c:pt>
                <c:pt idx="82">
                  <c:v>7.2021165739667595E-7</c:v>
                </c:pt>
                <c:pt idx="83">
                  <c:v>6.4326130489133983E-7</c:v>
                </c:pt>
                <c:pt idx="84">
                  <c:v>5.6780105028984619E-7</c:v>
                </c:pt>
                <c:pt idx="85">
                  <c:v>4.9949203684152825E-7</c:v>
                </c:pt>
                <c:pt idx="86">
                  <c:v>4.415522407713179E-7</c:v>
                </c:pt>
                <c:pt idx="87">
                  <c:v>3.9381374770548113E-7</c:v>
                </c:pt>
                <c:pt idx="88">
                  <c:v>3.5612187024127394E-7</c:v>
                </c:pt>
                <c:pt idx="89">
                  <c:v>3.2833710901355002E-7</c:v>
                </c:pt>
                <c:pt idx="90">
                  <c:v>3.1033701351468605E-7</c:v>
                </c:pt>
                <c:pt idx="91">
                  <c:v>3.0201796105361953E-7</c:v>
                </c:pt>
                <c:pt idx="92">
                  <c:v>3.0354638418467145E-7</c:v>
                </c:pt>
                <c:pt idx="93">
                  <c:v>3.2545572506840798E-7</c:v>
                </c:pt>
                <c:pt idx="94">
                  <c:v>3.6352460139208708E-7</c:v>
                </c:pt>
                <c:pt idx="95">
                  <c:v>4.1773852225174838E-7</c:v>
                </c:pt>
                <c:pt idx="96">
                  <c:v>4.8811584824298192E-7</c:v>
                </c:pt>
                <c:pt idx="97">
                  <c:v>5.7470844747046351E-7</c:v>
                </c:pt>
                <c:pt idx="98">
                  <c:v>6.7760238363638215E-7</c:v>
                </c:pt>
                <c:pt idx="99">
                  <c:v>8.3059306560749349E-7</c:v>
                </c:pt>
                <c:pt idx="100">
                  <c:v>1.0282092176043214E-6</c:v>
                </c:pt>
                <c:pt idx="101">
                  <c:v>1.270661003066277E-6</c:v>
                </c:pt>
                <c:pt idx="102">
                  <c:v>1.558248160472432E-6</c:v>
                </c:pt>
                <c:pt idx="103">
                  <c:v>1.8913614395255545E-6</c:v>
                </c:pt>
                <c:pt idx="104">
                  <c:v>2.2704840824865122E-6</c:v>
                </c:pt>
                <c:pt idx="105">
                  <c:v>2.6961933484201577E-6</c:v>
                </c:pt>
                <c:pt idx="106">
                  <c:v>3.1691849774542071E-6</c:v>
                </c:pt>
                <c:pt idx="107">
                  <c:v>3.7468953094736611E-6</c:v>
                </c:pt>
                <c:pt idx="108">
                  <c:v>4.419750002280147E-6</c:v>
                </c:pt>
                <c:pt idx="109">
                  <c:v>5.1891536114036355E-6</c:v>
                </c:pt>
                <c:pt idx="110">
                  <c:v>6.0567028727517411E-6</c:v>
                </c:pt>
                <c:pt idx="111">
                  <c:v>7.0241774083910139E-6</c:v>
                </c:pt>
                <c:pt idx="112">
                  <c:v>8.0935159313768703E-6</c:v>
                </c:pt>
                <c:pt idx="113">
                  <c:v>9.3556374400337773E-6</c:v>
                </c:pt>
                <c:pt idx="114">
                  <c:v>1.0779195419996941E-5</c:v>
                </c:pt>
                <c:pt idx="115">
                  <c:v>1.2367517272245932E-5</c:v>
                </c:pt>
                <c:pt idx="116">
                  <c:v>1.4124185748540156E-5</c:v>
                </c:pt>
                <c:pt idx="117">
                  <c:v>1.6053031182132167E-5</c:v>
                </c:pt>
                <c:pt idx="118">
                  <c:v>1.815812289439279E-5</c:v>
                </c:pt>
                <c:pt idx="119">
                  <c:v>2.0443759659042557E-5</c:v>
                </c:pt>
                <c:pt idx="120">
                  <c:v>2.2914843871676053E-5</c:v>
                </c:pt>
                <c:pt idx="121">
                  <c:v>2.566594500431579E-5</c:v>
                </c:pt>
                <c:pt idx="122">
                  <c:v>2.8643795605638876E-5</c:v>
                </c:pt>
                <c:pt idx="123">
                  <c:v>3.1855244416697763E-5</c:v>
                </c:pt>
                <c:pt idx="124">
                  <c:v>3.5307486376492473E-5</c:v>
                </c:pt>
                <c:pt idx="125">
                  <c:v>3.9008055130377548E-5</c:v>
                </c:pt>
                <c:pt idx="126">
                  <c:v>4.2964814045892886E-5</c:v>
                </c:pt>
                <c:pt idx="127">
                  <c:v>4.6918379007782665E-5</c:v>
                </c:pt>
                <c:pt idx="128">
                  <c:v>5.0773028192187459E-5</c:v>
                </c:pt>
                <c:pt idx="129">
                  <c:v>5.452833801080865E-5</c:v>
                </c:pt>
                <c:pt idx="130">
                  <c:v>5.8183592069562514E-5</c:v>
                </c:pt>
                <c:pt idx="131">
                  <c:v>6.1737782131055487E-5</c:v>
                </c:pt>
                <c:pt idx="132">
                  <c:v>6.5189609594246692E-5</c:v>
                </c:pt>
                <c:pt idx="133">
                  <c:v>6.8537487528248293E-5</c:v>
                </c:pt>
                <c:pt idx="134">
                  <c:v>7.1780376417150834E-5</c:v>
                </c:pt>
                <c:pt idx="135">
                  <c:v>7.4513094181385899E-5</c:v>
                </c:pt>
                <c:pt idx="136">
                  <c:v>7.6615500045148149E-5</c:v>
                </c:pt>
                <c:pt idx="137">
                  <c:v>7.8067188344375154E-5</c:v>
                </c:pt>
                <c:pt idx="138">
                  <c:v>7.8846647280551556E-5</c:v>
                </c:pt>
                <c:pt idx="139">
                  <c:v>7.8931316819807023E-5</c:v>
                </c:pt>
                <c:pt idx="140">
                  <c:v>7.8297653236457506E-5</c:v>
                </c:pt>
                <c:pt idx="141">
                  <c:v>7.7045471238814319E-5</c:v>
                </c:pt>
                <c:pt idx="142">
                  <c:v>7.5458014836270513E-5</c:v>
                </c:pt>
                <c:pt idx="143">
                  <c:v>7.3521101996289374E-5</c:v>
                </c:pt>
                <c:pt idx="144">
                  <c:v>7.1220679707005753E-5</c:v>
                </c:pt>
                <c:pt idx="145">
                  <c:v>6.854239479521446E-5</c:v>
                </c:pt>
                <c:pt idx="146">
                  <c:v>6.5471639750445216E-5</c:v>
                </c:pt>
                <c:pt idx="147">
                  <c:v>6.1993601988242797E-5</c:v>
                </c:pt>
                <c:pt idx="148">
                  <c:v>5.8093593595359052E-5</c:v>
                </c:pt>
                <c:pt idx="149">
                  <c:v>5.4010407736475476E-5</c:v>
                </c:pt>
                <c:pt idx="150">
                  <c:v>5.021697937590406E-5</c:v>
                </c:pt>
                <c:pt idx="151">
                  <c:v>4.6723557374834417E-5</c:v>
                </c:pt>
                <c:pt idx="152">
                  <c:v>4.3540670217473344E-5</c:v>
                </c:pt>
                <c:pt idx="153">
                  <c:v>4.067910275054384E-5</c:v>
                </c:pt>
                <c:pt idx="154">
                  <c:v>3.8149871788796321E-5</c:v>
                </c:pt>
                <c:pt idx="155">
                  <c:v>3.5999233144025175E-5</c:v>
                </c:pt>
                <c:pt idx="156">
                  <c:v>3.4099812345728012E-5</c:v>
                </c:pt>
                <c:pt idx="157">
                  <c:v>3.2461366620850174E-5</c:v>
                </c:pt>
                <c:pt idx="158">
                  <c:v>3.1093804555834487E-5</c:v>
                </c:pt>
                <c:pt idx="159">
                  <c:v>3.0007162789156445E-5</c:v>
                </c:pt>
                <c:pt idx="160">
                  <c:v>2.9211582808272287E-5</c:v>
                </c:pt>
                <c:pt idx="161">
                  <c:v>2.8717288145670901E-5</c:v>
                </c:pt>
                <c:pt idx="162">
                  <c:v>2.8534859348783581E-5</c:v>
                </c:pt>
                <c:pt idx="163">
                  <c:v>2.8669268276019722E-5</c:v>
                </c:pt>
                <c:pt idx="164">
                  <c:v>2.8832369260446813E-5</c:v>
                </c:pt>
                <c:pt idx="165">
                  <c:v>2.9025148275177334E-5</c:v>
                </c:pt>
                <c:pt idx="166">
                  <c:v>2.9248603795578401E-5</c:v>
                </c:pt>
                <c:pt idx="167">
                  <c:v>2.9503742118462865E-5</c:v>
                </c:pt>
                <c:pt idx="168">
                  <c:v>2.9791572632772353E-5</c:v>
                </c:pt>
                <c:pt idx="169">
                  <c:v>3.0107449869624641E-5</c:v>
                </c:pt>
                <c:pt idx="170">
                  <c:v>3.0410025601716956E-5</c:v>
                </c:pt>
                <c:pt idx="171">
                  <c:v>3.0698793837784756E-5</c:v>
                </c:pt>
                <c:pt idx="172">
                  <c:v>3.0973261534878826E-5</c:v>
                </c:pt>
                <c:pt idx="173">
                  <c:v>3.1232630648060651E-5</c:v>
                </c:pt>
                <c:pt idx="174">
                  <c:v>3.1476091814984592E-5</c:v>
                </c:pt>
                <c:pt idx="175">
                  <c:v>3.1703159397721345E-5</c:v>
                </c:pt>
                <c:pt idx="176">
                  <c:v>3.1913913907943468E-5</c:v>
                </c:pt>
                <c:pt idx="177">
                  <c:v>3.2154096884063635E-5</c:v>
                </c:pt>
                <c:pt idx="178">
                  <c:v>3.2430686830630543E-5</c:v>
                </c:pt>
                <c:pt idx="179">
                  <c:v>3.2744847027193614E-5</c:v>
                </c:pt>
                <c:pt idx="180">
                  <c:v>3.3097720272174008E-5</c:v>
                </c:pt>
                <c:pt idx="181">
                  <c:v>3.3490427584509899E-5</c:v>
                </c:pt>
                <c:pt idx="182">
                  <c:v>3.3924067219114792E-5</c:v>
                </c:pt>
                <c:pt idx="183">
                  <c:v>3.4750416402996412E-5</c:v>
                </c:pt>
                <c:pt idx="184">
                  <c:v>3.5983539000618597E-5</c:v>
                </c:pt>
                <c:pt idx="185">
                  <c:v>3.7631290964978456E-5</c:v>
                </c:pt>
                <c:pt idx="186">
                  <c:v>3.9701243626704542E-5</c:v>
                </c:pt>
                <c:pt idx="187">
                  <c:v>4.2200693217468132E-5</c:v>
                </c:pt>
                <c:pt idx="188">
                  <c:v>4.513667278648191E-5</c:v>
                </c:pt>
                <c:pt idx="189">
                  <c:v>4.8515966295073558E-5</c:v>
                </c:pt>
                <c:pt idx="190">
                  <c:v>5.2345323054552762E-5</c:v>
                </c:pt>
                <c:pt idx="191">
                  <c:v>5.6803372394540787E-5</c:v>
                </c:pt>
                <c:pt idx="192">
                  <c:v>6.1846935487180495E-5</c:v>
                </c:pt>
                <c:pt idx="193">
                  <c:v>6.7482827398038879E-5</c:v>
                </c:pt>
                <c:pt idx="194">
                  <c:v>7.3717659775725955E-5</c:v>
                </c:pt>
                <c:pt idx="195">
                  <c:v>8.055785817232214E-5</c:v>
                </c:pt>
                <c:pt idx="196">
                  <c:v>8.8009679311938031E-5</c:v>
                </c:pt>
                <c:pt idx="197">
                  <c:v>9.5363012485621886E-5</c:v>
                </c:pt>
                <c:pt idx="198">
                  <c:v>1.0223142425695828E-4</c:v>
                </c:pt>
                <c:pt idx="199">
                  <c:v>1.0860505871636896E-4</c:v>
                </c:pt>
                <c:pt idx="200">
                  <c:v>1.1447441121999843E-4</c:v>
                </c:pt>
                <c:pt idx="201">
                  <c:v>1.1983030875449634E-4</c:v>
                </c:pt>
                <c:pt idx="202">
                  <c:v>1.2466388961378491E-4</c:v>
                </c:pt>
                <c:pt idx="203">
                  <c:v>1.2896658275548045E-4</c:v>
                </c:pt>
                <c:pt idx="204">
                  <c:v>1.3273046984915279E-4</c:v>
                </c:pt>
                <c:pt idx="205">
                  <c:v>1.3546979990078299E-4</c:v>
                </c:pt>
                <c:pt idx="206">
                  <c:v>1.3699067988295189E-4</c:v>
                </c:pt>
                <c:pt idx="207">
                  <c:v>1.3727880387379767E-4</c:v>
                </c:pt>
                <c:pt idx="208">
                  <c:v>1.3632011471680219E-4</c:v>
                </c:pt>
                <c:pt idx="209">
                  <c:v>1.3410076359252692E-4</c:v>
                </c:pt>
                <c:pt idx="210">
                  <c:v>1.3060707247006503E-4</c:v>
                </c:pt>
                <c:pt idx="211">
                  <c:v>1.2603360438662403E-4</c:v>
                </c:pt>
                <c:pt idx="212">
                  <c:v>1.2113432531060888E-4</c:v>
                </c:pt>
                <c:pt idx="213">
                  <c:v>1.1590750444860461E-4</c:v>
                </c:pt>
                <c:pt idx="214">
                  <c:v>1.1035133018137963E-4</c:v>
                </c:pt>
                <c:pt idx="215">
                  <c:v>1.0446390976145665E-4</c:v>
                </c:pt>
                <c:pt idx="216">
                  <c:v>9.8243269920606673E-5</c:v>
                </c:pt>
                <c:pt idx="217">
                  <c:v>9.1687358296986486E-5</c:v>
                </c:pt>
                <c:pt idx="218">
                  <c:v>8.4793703684015191E-5</c:v>
                </c:pt>
                <c:pt idx="219">
                  <c:v>7.7748603748034939E-5</c:v>
                </c:pt>
                <c:pt idx="220">
                  <c:v>7.1055867836335417E-5</c:v>
                </c:pt>
                <c:pt idx="221">
                  <c:v>6.4720380931638681E-5</c:v>
                </c:pt>
                <c:pt idx="222">
                  <c:v>5.8746915094915428E-5</c:v>
                </c:pt>
                <c:pt idx="223">
                  <c:v>5.3140144386865958E-5</c:v>
                </c:pt>
                <c:pt idx="224">
                  <c:v>4.7904659032528982E-5</c:v>
                </c:pt>
                <c:pt idx="225">
                  <c:v>4.3170977279297054E-5</c:v>
                </c:pt>
                <c:pt idx="226">
                  <c:v>3.8723987345267897E-5</c:v>
                </c:pt>
                <c:pt idx="227">
                  <c:v>3.4566918639786982E-5</c:v>
                </c:pt>
                <c:pt idx="228">
                  <c:v>3.0702975647611914E-5</c:v>
                </c:pt>
                <c:pt idx="229">
                  <c:v>2.7135346241855638E-5</c:v>
                </c:pt>
                <c:pt idx="230">
                  <c:v>2.3867209641096624E-5</c:v>
                </c:pt>
                <c:pt idx="231">
                  <c:v>2.0901744064299302E-5</c:v>
                </c:pt>
                <c:pt idx="232">
                  <c:v>1.8241433066421706E-5</c:v>
                </c:pt>
                <c:pt idx="233">
                  <c:v>1.5965723253425249E-5</c:v>
                </c:pt>
                <c:pt idx="234">
                  <c:v>1.3880696737415273E-5</c:v>
                </c:pt>
                <c:pt idx="235">
                  <c:v>1.1988763994679128E-5</c:v>
                </c:pt>
                <c:pt idx="236">
                  <c:v>1.0292195199612651E-5</c:v>
                </c:pt>
                <c:pt idx="237">
                  <c:v>8.7931388039531594E-6</c:v>
                </c:pt>
                <c:pt idx="238">
                  <c:v>7.4936617599993877E-6</c:v>
                </c:pt>
                <c:pt idx="239">
                  <c:v>6.4233398958122779E-6</c:v>
                </c:pt>
                <c:pt idx="240">
                  <c:v>5.4520134296618317E-6</c:v>
                </c:pt>
                <c:pt idx="241">
                  <c:v>4.5806346055738359E-6</c:v>
                </c:pt>
                <c:pt idx="242">
                  <c:v>3.8101441114631006E-6</c:v>
                </c:pt>
                <c:pt idx="243">
                  <c:v>3.1414877883142099E-6</c:v>
                </c:pt>
                <c:pt idx="244">
                  <c:v>2.5756339239473922E-6</c:v>
                </c:pt>
                <c:pt idx="245">
                  <c:v>2.1135911981372143E-6</c:v>
                </c:pt>
                <c:pt idx="246">
                  <c:v>1.7563868045488975E-6</c:v>
                </c:pt>
                <c:pt idx="247">
                  <c:v>1.5253889531252621E-6</c:v>
                </c:pt>
                <c:pt idx="248">
                  <c:v>1.3414917469711295E-6</c:v>
                </c:pt>
                <c:pt idx="249">
                  <c:v>1.2052550771660508E-6</c:v>
                </c:pt>
                <c:pt idx="250">
                  <c:v>1.1172745092586915E-6</c:v>
                </c:pt>
                <c:pt idx="251">
                  <c:v>1.0781784341789834E-6</c:v>
                </c:pt>
                <c:pt idx="252">
                  <c:v>1.0886250092190497E-6</c:v>
                </c:pt>
                <c:pt idx="253">
                  <c:v>1.1707103366071961E-6</c:v>
                </c:pt>
                <c:pt idx="254">
                  <c:v>1.2961490864954534E-6</c:v>
                </c:pt>
                <c:pt idx="255">
                  <c:v>1.4655780348267625E-6</c:v>
                </c:pt>
                <c:pt idx="256">
                  <c:v>1.6796443959051015E-6</c:v>
                </c:pt>
                <c:pt idx="257">
                  <c:v>1.939002029396691E-6</c:v>
                </c:pt>
                <c:pt idx="258">
                  <c:v>2.2443073404855428E-6</c:v>
                </c:pt>
                <c:pt idx="259">
                  <c:v>2.5962148597758204E-6</c:v>
                </c:pt>
                <c:pt idx="260">
                  <c:v>2.9955526365053347E-6</c:v>
                </c:pt>
                <c:pt idx="261">
                  <c:v>3.7346448056418811E-6</c:v>
                </c:pt>
                <c:pt idx="262">
                  <c:v>4.797291647076236E-6</c:v>
                </c:pt>
                <c:pt idx="263">
                  <c:v>6.1888836155146315E-6</c:v>
                </c:pt>
                <c:pt idx="264">
                  <c:v>7.9148837697246444E-6</c:v>
                </c:pt>
                <c:pt idx="265">
                  <c:v>9.9808226700474759E-6</c:v>
                </c:pt>
                <c:pt idx="266">
                  <c:v>1.2392201053713677E-5</c:v>
                </c:pt>
                <c:pt idx="267">
                  <c:v>1.5523401852835869E-5</c:v>
                </c:pt>
                <c:pt idx="268">
                  <c:v>1.9362190018989542E-5</c:v>
                </c:pt>
                <c:pt idx="269">
                  <c:v>2.3918810277391618E-5</c:v>
                </c:pt>
                <c:pt idx="270">
                  <c:v>2.920303710894906E-5</c:v>
                </c:pt>
                <c:pt idx="271">
                  <c:v>3.5223997204601546E-5</c:v>
                </c:pt>
                <c:pt idx="272">
                  <c:v>4.1989982191820803E-5</c:v>
                </c:pt>
                <c:pt idx="273">
                  <c:v>4.9508252099493429E-5</c:v>
                </c:pt>
                <c:pt idx="274">
                  <c:v>5.7787640324993225E-5</c:v>
                </c:pt>
                <c:pt idx="275">
                  <c:v>6.6452828948621056E-5</c:v>
                </c:pt>
                <c:pt idx="276">
                  <c:v>7.5190423945723501E-5</c:v>
                </c:pt>
                <c:pt idx="277">
                  <c:v>8.3998088738487862E-5</c:v>
                </c:pt>
                <c:pt idx="278">
                  <c:v>9.2873409955167676E-5</c:v>
                </c:pt>
                <c:pt idx="279">
                  <c:v>1.0181390687486791E-4</c:v>
                </c:pt>
                <c:pt idx="280">
                  <c:v>1.1081704272044041E-4</c:v>
                </c:pt>
                <c:pt idx="281">
                  <c:v>1.1919890809310864E-4</c:v>
                </c:pt>
                <c:pt idx="282">
                  <c:v>1.265534386995774E-4</c:v>
                </c:pt>
                <c:pt idx="283">
                  <c:v>1.3286554497682167E-4</c:v>
                </c:pt>
                <c:pt idx="284">
                  <c:v>1.3812064632096093E-4</c:v>
                </c:pt>
                <c:pt idx="285">
                  <c:v>1.4230470501396217E-4</c:v>
                </c:pt>
                <c:pt idx="286">
                  <c:v>1.4540425446915982E-4</c:v>
                </c:pt>
                <c:pt idx="287">
                  <c:v>1.4740642098843315E-4</c:v>
                </c:pt>
                <c:pt idx="288">
                  <c:v>1.4830242818596642E-4</c:v>
                </c:pt>
                <c:pt idx="289">
                  <c:v>1.4807728584408317E-4</c:v>
                </c:pt>
                <c:pt idx="290">
                  <c:v>1.4712905596823701E-4</c:v>
                </c:pt>
                <c:pt idx="291">
                  <c:v>1.4544982191219168E-4</c:v>
                </c:pt>
                <c:pt idx="292">
                  <c:v>1.4303195146656716E-4</c:v>
                </c:pt>
                <c:pt idx="293">
                  <c:v>1.3986815648172932E-4</c:v>
                </c:pt>
                <c:pt idx="294">
                  <c:v>1.3595155123934127E-4</c:v>
                </c:pt>
                <c:pt idx="295">
                  <c:v>1.3162067172679134E-4</c:v>
                </c:pt>
                <c:pt idx="296">
                  <c:v>1.2759132301212348E-4</c:v>
                </c:pt>
                <c:pt idx="297">
                  <c:v>1.2386776102385702E-4</c:v>
                </c:pt>
                <c:pt idx="298">
                  <c:v>1.2045307848791785E-4</c:v>
                </c:pt>
                <c:pt idx="299">
                  <c:v>1.17350303010521E-4</c:v>
                </c:pt>
                <c:pt idx="300">
                  <c:v>1.1456237037041383E-4</c:v>
                </c:pt>
                <c:pt idx="301">
                  <c:v>1.1209209804591471E-4</c:v>
                </c:pt>
                <c:pt idx="302">
                  <c:v>1.0994846528309281E-4</c:v>
                </c:pt>
                <c:pt idx="303">
                  <c:v>1.0834659978098778E-4</c:v>
                </c:pt>
                <c:pt idx="304">
                  <c:v>1.0729547145820227E-4</c:v>
                </c:pt>
                <c:pt idx="305">
                  <c:v>1.067985929055699E-4</c:v>
                </c:pt>
                <c:pt idx="306">
                  <c:v>1.0685945109243267E-4</c:v>
                </c:pt>
                <c:pt idx="307">
                  <c:v>1.0748148422131076E-4</c:v>
                </c:pt>
                <c:pt idx="308">
                  <c:v>1.0866805754243989E-4</c:v>
                </c:pt>
                <c:pt idx="309">
                  <c:v>1.1059523358989003E-4</c:v>
                </c:pt>
                <c:pt idx="310">
                  <c:v>1.1290966406688487E-4</c:v>
                </c:pt>
                <c:pt idx="311">
                  <c:v>1.1561314537398537E-4</c:v>
                </c:pt>
                <c:pt idx="312">
                  <c:v>1.1870731809968132E-4</c:v>
                </c:pt>
                <c:pt idx="313">
                  <c:v>1.2219363711227677E-4</c:v>
                </c:pt>
                <c:pt idx="314">
                  <c:v>1.26073338107871E-4</c:v>
                </c:pt>
                <c:pt idx="315">
                  <c:v>1.3034740015029357E-4</c:v>
                </c:pt>
                <c:pt idx="316">
                  <c:v>1.3502223754030489E-4</c:v>
                </c:pt>
                <c:pt idx="317">
                  <c:v>1.4017794669819429E-4</c:v>
                </c:pt>
                <c:pt idx="318">
                  <c:v>1.4560529282971204E-4</c:v>
                </c:pt>
                <c:pt idx="319">
                  <c:v>1.5130700398134343E-4</c:v>
                </c:pt>
                <c:pt idx="320">
                  <c:v>1.5728590697121835E-4</c:v>
                </c:pt>
                <c:pt idx="321">
                  <c:v>1.6354491681215436E-4</c:v>
                </c:pt>
                <c:pt idx="322">
                  <c:v>1.7008702236139434E-4</c:v>
                </c:pt>
                <c:pt idx="323">
                  <c:v>1.76609645222854E-4</c:v>
                </c:pt>
                <c:pt idx="324">
                  <c:v>1.8293565569132208E-4</c:v>
                </c:pt>
                <c:pt idx="325">
                  <c:v>1.8906477761890413E-4</c:v>
                </c:pt>
                <c:pt idx="326">
                  <c:v>1.9499532635239704E-4</c:v>
                </c:pt>
                <c:pt idx="327">
                  <c:v>2.0072607707936609E-4</c:v>
                </c:pt>
                <c:pt idx="328">
                  <c:v>2.0625656132068851E-4</c:v>
                </c:pt>
                <c:pt idx="329">
                  <c:v>2.1158609253362927E-4</c:v>
                </c:pt>
                <c:pt idx="330">
                  <c:v>2.1674163503692677E-4</c:v>
                </c:pt>
                <c:pt idx="331">
                  <c:v>2.2148087712366835E-4</c:v>
                </c:pt>
                <c:pt idx="332">
                  <c:v>2.2571795911186085E-4</c:v>
                </c:pt>
                <c:pt idx="333">
                  <c:v>2.2943868941913432E-4</c:v>
                </c:pt>
                <c:pt idx="334">
                  <c:v>2.3262686044213146E-4</c:v>
                </c:pt>
                <c:pt idx="335">
                  <c:v>2.3526447359015071E-4</c:v>
                </c:pt>
                <c:pt idx="336">
                  <c:v>2.3733200658529764E-4</c:v>
                </c:pt>
                <c:pt idx="337">
                  <c:v>2.3891321033262314E-4</c:v>
                </c:pt>
                <c:pt idx="338">
                  <c:v>2.403065663971626E-4</c:v>
                </c:pt>
                <c:pt idx="339">
                  <c:v>2.4149395942395346E-4</c:v>
                </c:pt>
                <c:pt idx="340">
                  <c:v>2.4245665210000271E-4</c:v>
                </c:pt>
                <c:pt idx="341">
                  <c:v>2.4317549621828813E-4</c:v>
                </c:pt>
                <c:pt idx="342">
                  <c:v>2.4363117965472343E-4</c:v>
                </c:pt>
                <c:pt idx="343">
                  <c:v>2.4380450818513387E-4</c:v>
                </c:pt>
                <c:pt idx="344">
                  <c:v>2.4371893851531996E-4</c:v>
                </c:pt>
                <c:pt idx="345">
                  <c:v>2.4340708140147533E-4</c:v>
                </c:pt>
                <c:pt idx="346">
                  <c:v>2.4313446408250427E-4</c:v>
                </c:pt>
                <c:pt idx="347">
                  <c:v>2.4289687494183316E-4</c:v>
                </c:pt>
                <c:pt idx="348">
                  <c:v>2.4269005015989774E-4</c:v>
                </c:pt>
                <c:pt idx="349">
                  <c:v>2.425096963477167E-4</c:v>
                </c:pt>
                <c:pt idx="350">
                  <c:v>2.4235151425959107E-4</c:v>
                </c:pt>
                <c:pt idx="351">
                  <c:v>2.4220641248570379E-4</c:v>
                </c:pt>
                <c:pt idx="352">
                  <c:v>2.419638959277951E-4</c:v>
                </c:pt>
                <c:pt idx="353">
                  <c:v>2.4162029918522676E-4</c:v>
                </c:pt>
                <c:pt idx="354">
                  <c:v>2.411723107232861E-4</c:v>
                </c:pt>
                <c:pt idx="355">
                  <c:v>2.406170110675507E-4</c:v>
                </c:pt>
                <c:pt idx="356">
                  <c:v>2.399505917850963E-4</c:v>
                </c:pt>
                <c:pt idx="357">
                  <c:v>2.3917203511312322E-4</c:v>
                </c:pt>
                <c:pt idx="358">
                  <c:v>2.3825749041961536E-4</c:v>
                </c:pt>
                <c:pt idx="359">
                  <c:v>2.3719374704842241E-4</c:v>
                </c:pt>
                <c:pt idx="360">
                  <c:v>2.3609791431688517E-4</c:v>
                </c:pt>
                <c:pt idx="361">
                  <c:v>2.3498657622125381E-4</c:v>
                </c:pt>
                <c:pt idx="362">
                  <c:v>2.3387133924099201E-4</c:v>
                </c:pt>
                <c:pt idx="363">
                  <c:v>2.3276349477297089E-4</c:v>
                </c:pt>
                <c:pt idx="364">
                  <c:v>2.3167396461519087E-4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242104"/>
        <c:axId val="537242496"/>
      </c:lineChart>
      <c:dateAx>
        <c:axId val="5372421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42496"/>
        <c:crosses val="autoZero"/>
        <c:auto val="1"/>
        <c:lblOffset val="100"/>
        <c:baseTimeUnit val="days"/>
        <c:majorUnit val="1"/>
        <c:majorTimeUnit val="months"/>
      </c:dateAx>
      <c:valAx>
        <c:axId val="5372424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72421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69710218426086568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663632"/>
        <c:axId val="539665200"/>
      </c:lineChart>
      <c:dateAx>
        <c:axId val="53966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5200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3966520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5.1861063850512916E-4</c:v>
                </c:pt>
                <c:pt idx="1">
                  <c:v>5.1797775669451117E-4</c:v>
                </c:pt>
                <c:pt idx="2">
                  <c:v>5.1738984055470802E-4</c:v>
                </c:pt>
                <c:pt idx="3">
                  <c:v>5.168456182867131E-4</c:v>
                </c:pt>
                <c:pt idx="4">
                  <c:v>5.1634382728210442E-4</c:v>
                </c:pt>
                <c:pt idx="5">
                  <c:v>5.1588321303286909E-4</c:v>
                </c:pt>
                <c:pt idx="6">
                  <c:v>5.1546252804782167E-4</c:v>
                </c:pt>
                <c:pt idx="7">
                  <c:v>5.1508053075740082E-4</c:v>
                </c:pt>
                <c:pt idx="8">
                  <c:v>5.1473598442569937E-4</c:v>
                </c:pt>
                <c:pt idx="9">
                  <c:v>5.1423954889435141E-4</c:v>
                </c:pt>
                <c:pt idx="10">
                  <c:v>5.1325772117355375E-4</c:v>
                </c:pt>
                <c:pt idx="11">
                  <c:v>5.1178863408927913E-4</c:v>
                </c:pt>
                <c:pt idx="12">
                  <c:v>5.0983048352214904E-4</c:v>
                </c:pt>
                <c:pt idx="13">
                  <c:v>5.0738154054133836E-4</c:v>
                </c:pt>
                <c:pt idx="14">
                  <c:v>5.0444016352980991E-4</c:v>
                </c:pt>
                <c:pt idx="15">
                  <c:v>5.0104429178496053E-4</c:v>
                </c:pt>
                <c:pt idx="16">
                  <c:v>4.9748233263185104E-4</c:v>
                </c:pt>
                <c:pt idx="17">
                  <c:v>4.9375323215843884E-4</c:v>
                </c:pt>
                <c:pt idx="18">
                  <c:v>4.8985600351452308E-4</c:v>
                </c:pt>
                <c:pt idx="19">
                  <c:v>4.8579244038545995E-4</c:v>
                </c:pt>
                <c:pt idx="20">
                  <c:v>4.8156553008673085E-4</c:v>
                </c:pt>
                <c:pt idx="21">
                  <c:v>4.7717613005064473E-4</c:v>
                </c:pt>
                <c:pt idx="22">
                  <c:v>4.7262509792610143E-4</c:v>
                </c:pt>
                <c:pt idx="23">
                  <c:v>4.6843846084154874E-4</c:v>
                </c:pt>
                <c:pt idx="24">
                  <c:v>4.6480602597828523E-4</c:v>
                </c:pt>
                <c:pt idx="25">
                  <c:v>4.6172873026986211E-4</c:v>
                </c:pt>
                <c:pt idx="26">
                  <c:v>4.5920742693361666E-4</c:v>
                </c:pt>
                <c:pt idx="27">
                  <c:v>4.5724289252688E-4</c:v>
                </c:pt>
                <c:pt idx="28">
                  <c:v>4.5583583401314064E-4</c:v>
                </c:pt>
                <c:pt idx="29">
                  <c:v>4.5503061390630745E-4</c:v>
                </c:pt>
                <c:pt idx="30">
                  <c:v>4.5478827102891987E-4</c:v>
                </c:pt>
                <c:pt idx="31">
                  <c:v>4.55109343874412E-4</c:v>
                </c:pt>
                <c:pt idx="32">
                  <c:v>4.5599432952785112E-4</c:v>
                </c:pt>
                <c:pt idx="33">
                  <c:v>4.5744369077805718E-4</c:v>
                </c:pt>
                <c:pt idx="34">
                  <c:v>4.5945786323178085E-4</c:v>
                </c:pt>
                <c:pt idx="35">
                  <c:v>4.6203726242752805E-4</c:v>
                </c:pt>
                <c:pt idx="36">
                  <c:v>4.6518229094846147E-4</c:v>
                </c:pt>
                <c:pt idx="37">
                  <c:v>4.6708099316541718E-4</c:v>
                </c:pt>
                <c:pt idx="38">
                  <c:v>4.672092518120557E-4</c:v>
                </c:pt>
                <c:pt idx="39">
                  <c:v>4.6556810398556861E-4</c:v>
                </c:pt>
                <c:pt idx="40">
                  <c:v>4.6215860661572619E-4</c:v>
                </c:pt>
                <c:pt idx="41">
                  <c:v>4.5698181434716579E-4</c:v>
                </c:pt>
                <c:pt idx="42">
                  <c:v>4.5003875741841107E-4</c:v>
                </c:pt>
                <c:pt idx="43">
                  <c:v>4.4059066479977283E-4</c:v>
                </c:pt>
                <c:pt idx="44">
                  <c:v>4.2859495869458988E-4</c:v>
                </c:pt>
                <c:pt idx="45">
                  <c:v>4.1405262848878449E-4</c:v>
                </c:pt>
                <c:pt idx="46">
                  <c:v>3.9696451617788394E-4</c:v>
                </c:pt>
                <c:pt idx="47">
                  <c:v>3.7733128444611814E-4</c:v>
                </c:pt>
                <c:pt idx="48">
                  <c:v>3.5515338474003836E-4</c:v>
                </c:pt>
                <c:pt idx="49">
                  <c:v>3.3043102534583172E-4</c:v>
                </c:pt>
                <c:pt idx="50">
                  <c:v>3.0316413946431545E-4</c:v>
                </c:pt>
                <c:pt idx="51">
                  <c:v>2.7476405242099949E-4</c:v>
                </c:pt>
                <c:pt idx="52">
                  <c:v>2.4703930545943748E-4</c:v>
                </c:pt>
                <c:pt idx="53">
                  <c:v>2.1998799681433121E-4</c:v>
                </c:pt>
                <c:pt idx="54">
                  <c:v>1.9360978091172295E-4</c:v>
                </c:pt>
                <c:pt idx="55">
                  <c:v>1.679043632966664E-4</c:v>
                </c:pt>
                <c:pt idx="56">
                  <c:v>1.4287149814608708E-4</c:v>
                </c:pt>
                <c:pt idx="57">
                  <c:v>1.1938881444866482E-4</c:v>
                </c:pt>
                <c:pt idx="58">
                  <c:v>9.8195606055514169E-5</c:v>
                </c:pt>
                <c:pt idx="59">
                  <c:v>7.9291791488076329E-5</c:v>
                </c:pt>
                <c:pt idx="60">
                  <c:v>6.2677332986549287E-5</c:v>
                </c:pt>
                <c:pt idx="61">
                  <c:v>4.8352228039582213E-5</c:v>
                </c:pt>
                <c:pt idx="62">
                  <c:v>3.6316500913890271E-5</c:v>
                </c:pt>
                <c:pt idx="63">
                  <c:v>2.6570194184029043E-5</c:v>
                </c:pt>
                <c:pt idx="64">
                  <c:v>1.9113360261981808E-5</c:v>
                </c:pt>
                <c:pt idx="65">
                  <c:v>1.3945122670253917E-5</c:v>
                </c:pt>
                <c:pt idx="66">
                  <c:v>9.6537681694003703E-6</c:v>
                </c:pt>
                <c:pt idx="67">
                  <c:v>6.2393228401994648E-6</c:v>
                </c:pt>
                <c:pt idx="68">
                  <c:v>3.7018082737708399E-6</c:v>
                </c:pt>
                <c:pt idx="69">
                  <c:v>2.0412383273551459E-6</c:v>
                </c:pt>
                <c:pt idx="70">
                  <c:v>1.2576158801408745E-6</c:v>
                </c:pt>
                <c:pt idx="71">
                  <c:v>1.3422706816784258E-6</c:v>
                </c:pt>
                <c:pt idx="72">
                  <c:v>1.4173293295093285E-6</c:v>
                </c:pt>
                <c:pt idx="73">
                  <c:v>1.4827908262822237E-6</c:v>
                </c:pt>
                <c:pt idx="74">
                  <c:v>1.5386543097878977E-6</c:v>
                </c:pt>
                <c:pt idx="75">
                  <c:v>1.5849190884364819E-6</c:v>
                </c:pt>
                <c:pt idx="76">
                  <c:v>1.6215846767300462E-6</c:v>
                </c:pt>
                <c:pt idx="77">
                  <c:v>1.6486508307401742E-6</c:v>
                </c:pt>
                <c:pt idx="78">
                  <c:v>1.666117638897085E-6</c:v>
                </c:pt>
                <c:pt idx="79">
                  <c:v>1.6811100995464042E-6</c:v>
                </c:pt>
                <c:pt idx="80">
                  <c:v>1.6945624203001024E-6</c:v>
                </c:pt>
                <c:pt idx="81">
                  <c:v>1.7064742691412928E-6</c:v>
                </c:pt>
                <c:pt idx="82">
                  <c:v>1.7168453011597309E-6</c:v>
                </c:pt>
                <c:pt idx="83">
                  <c:v>1.7256751634794188E-6</c:v>
                </c:pt>
                <c:pt idx="84">
                  <c:v>1.7329635001919499E-6</c:v>
                </c:pt>
                <c:pt idx="85">
                  <c:v>1.7838589452193703E-6</c:v>
                </c:pt>
                <c:pt idx="86">
                  <c:v>1.8870075995178436E-6</c:v>
                </c:pt>
                <c:pt idx="87">
                  <c:v>2.0423997207430079E-6</c:v>
                </c:pt>
                <c:pt idx="88">
                  <c:v>2.2500246802738655E-6</c:v>
                </c:pt>
                <c:pt idx="89">
                  <c:v>2.5098707957407201E-6</c:v>
                </c:pt>
                <c:pt idx="90">
                  <c:v>2.8219251635479807E-6</c:v>
                </c:pt>
                <c:pt idx="91">
                  <c:v>3.1861734914057933E-6</c:v>
                </c:pt>
                <c:pt idx="92">
                  <c:v>3.6025999308565536E-6</c:v>
                </c:pt>
                <c:pt idx="93">
                  <c:v>4.0475639076281305E-6</c:v>
                </c:pt>
                <c:pt idx="94">
                  <c:v>4.5139399882024306E-6</c:v>
                </c:pt>
                <c:pt idx="95">
                  <c:v>5.0017149538311124E-6</c:v>
                </c:pt>
                <c:pt idx="96">
                  <c:v>5.5108743459666878E-6</c:v>
                </c:pt>
                <c:pt idx="97">
                  <c:v>6.0414023973517596E-6</c:v>
                </c:pt>
                <c:pt idx="98">
                  <c:v>6.5932819630674204E-6</c:v>
                </c:pt>
                <c:pt idx="99">
                  <c:v>7.6420002695410464E-6</c:v>
                </c:pt>
                <c:pt idx="100">
                  <c:v>9.1422775369802208E-6</c:v>
                </c:pt>
                <c:pt idx="101">
                  <c:v>1.1093924479742412E-5</c:v>
                </c:pt>
                <c:pt idx="102">
                  <c:v>1.3496731183530714E-5</c:v>
                </c:pt>
                <c:pt idx="103">
                  <c:v>1.6350465655686381E-5</c:v>
                </c:pt>
                <c:pt idx="104">
                  <c:v>1.9654872375762173E-5</c:v>
                </c:pt>
                <c:pt idx="105">
                  <c:v>2.3409670845842434E-5</c:v>
                </c:pt>
                <c:pt idx="106">
                  <c:v>2.7614554141027607E-5</c:v>
                </c:pt>
                <c:pt idx="107">
                  <c:v>3.3813515510734106E-5</c:v>
                </c:pt>
                <c:pt idx="108">
                  <c:v>4.2028940095031604E-5</c:v>
                </c:pt>
                <c:pt idx="109">
                  <c:v>5.2259503497856427E-5</c:v>
                </c:pt>
                <c:pt idx="110">
                  <c:v>6.4503939676869196E-5</c:v>
                </c:pt>
                <c:pt idx="111">
                  <c:v>7.8761018746603391E-5</c:v>
                </c:pt>
                <c:pt idx="112">
                  <c:v>9.5029329539806794E-5</c:v>
                </c:pt>
                <c:pt idx="113">
                  <c:v>1.1251550906886317E-4</c:v>
                </c:pt>
                <c:pt idx="114">
                  <c:v>1.3074420651929724E-4</c:v>
                </c:pt>
                <c:pt idx="115">
                  <c:v>1.4971463884694313E-4</c:v>
                </c:pt>
                <c:pt idx="116">
                  <c:v>1.6942598361628449E-4</c:v>
                </c:pt>
                <c:pt idx="117">
                  <c:v>1.8987737736018365E-4</c:v>
                </c:pt>
                <c:pt idx="118">
                  <c:v>2.1106791393834913E-4</c:v>
                </c:pt>
                <c:pt idx="119">
                  <c:v>2.3299664289612454E-4</c:v>
                </c:pt>
                <c:pt idx="120">
                  <c:v>2.5566256782286846E-4</c:v>
                </c:pt>
                <c:pt idx="121">
                  <c:v>2.7601402411384074E-4</c:v>
                </c:pt>
                <c:pt idx="122">
                  <c:v>2.9251307784010778E-4</c:v>
                </c:pt>
                <c:pt idx="123">
                  <c:v>3.0516234267755467E-4</c:v>
                </c:pt>
                <c:pt idx="124">
                  <c:v>3.1396457825021379E-4</c:v>
                </c:pt>
                <c:pt idx="125">
                  <c:v>3.1892269854652354E-4</c:v>
                </c:pt>
                <c:pt idx="126">
                  <c:v>3.2003978033142143E-4</c:v>
                </c:pt>
                <c:pt idx="127">
                  <c:v>3.1731975635128595E-4</c:v>
                </c:pt>
                <c:pt idx="128">
                  <c:v>3.1155489339430089E-4</c:v>
                </c:pt>
                <c:pt idx="129">
                  <c:v>3.0274806123315958E-4</c:v>
                </c:pt>
                <c:pt idx="130">
                  <c:v>2.9090228609246889E-4</c:v>
                </c:pt>
                <c:pt idx="131">
                  <c:v>2.7602075732631568E-4</c:v>
                </c:pt>
                <c:pt idx="132">
                  <c:v>2.5810683409907824E-4</c:v>
                </c:pt>
                <c:pt idx="133">
                  <c:v>2.3716405206793535E-4</c:v>
                </c:pt>
                <c:pt idx="134">
                  <c:v>2.1319613006364022E-4</c:v>
                </c:pt>
                <c:pt idx="135">
                  <c:v>1.878918863240703E-4</c:v>
                </c:pt>
                <c:pt idx="136">
                  <c:v>1.6428965543458223E-4</c:v>
                </c:pt>
                <c:pt idx="137">
                  <c:v>1.4238817786618423E-4</c:v>
                </c:pt>
                <c:pt idx="138">
                  <c:v>1.2218611292292783E-4</c:v>
                </c:pt>
                <c:pt idx="139">
                  <c:v>1.0368203503670122E-4</c:v>
                </c:pt>
                <c:pt idx="140">
                  <c:v>8.6874430054453551E-5</c:v>
                </c:pt>
                <c:pt idx="141">
                  <c:v>7.2180526891287738E-5</c:v>
                </c:pt>
                <c:pt idx="142">
                  <c:v>5.9597056337938775E-5</c:v>
                </c:pt>
                <c:pt idx="143">
                  <c:v>4.9121584288742531E-5</c:v>
                </c:pt>
                <c:pt idx="144">
                  <c:v>4.0751869435697757E-5</c:v>
                </c:pt>
                <c:pt idx="145">
                  <c:v>3.4485368378942211E-5</c:v>
                </c:pt>
                <c:pt idx="146">
                  <c:v>3.0319263826959986E-5</c:v>
                </c:pt>
                <c:pt idx="147">
                  <c:v>2.8250492798163495E-5</c:v>
                </c:pt>
                <c:pt idx="148">
                  <c:v>2.8275774821479525E-5</c:v>
                </c:pt>
                <c:pt idx="149">
                  <c:v>3.0164143932672673E-5</c:v>
                </c:pt>
                <c:pt idx="150">
                  <c:v>3.2239452418793164E-5</c:v>
                </c:pt>
                <c:pt idx="151">
                  <c:v>3.4501339170577698E-5</c:v>
                </c:pt>
                <c:pt idx="152">
                  <c:v>3.6949442817274881E-5</c:v>
                </c:pt>
                <c:pt idx="153">
                  <c:v>3.9583404283801163E-5</c:v>
                </c:pt>
                <c:pt idx="154">
                  <c:v>4.2402869348067084E-5</c:v>
                </c:pt>
                <c:pt idx="155">
                  <c:v>4.5223395828146211E-5</c:v>
                </c:pt>
                <c:pt idx="156">
                  <c:v>4.7629663958632507E-5</c:v>
                </c:pt>
                <c:pt idx="157">
                  <c:v>4.9622489416672757E-5</c:v>
                </c:pt>
                <c:pt idx="158">
                  <c:v>5.1202706185994612E-5</c:v>
                </c:pt>
                <c:pt idx="159">
                  <c:v>5.2371160996530584E-5</c:v>
                </c:pt>
                <c:pt idx="160">
                  <c:v>5.3128707764660237E-5</c:v>
                </c:pt>
                <c:pt idx="161">
                  <c:v>5.3476202032882172E-5</c:v>
                </c:pt>
                <c:pt idx="162">
                  <c:v>5.3414495409754073E-5</c:v>
                </c:pt>
                <c:pt idx="163">
                  <c:v>5.3046818640677165E-5</c:v>
                </c:pt>
                <c:pt idx="164">
                  <c:v>5.2599196978845469E-5</c:v>
                </c:pt>
                <c:pt idx="165">
                  <c:v>5.2071841878413015E-5</c:v>
                </c:pt>
                <c:pt idx="166">
                  <c:v>5.1464958270367253E-5</c:v>
                </c:pt>
                <c:pt idx="167">
                  <c:v>5.0778743462733692E-5</c:v>
                </c:pt>
                <c:pt idx="168">
                  <c:v>5.0013386042443499E-5</c:v>
                </c:pt>
                <c:pt idx="169">
                  <c:v>4.927109071890189E-5</c:v>
                </c:pt>
                <c:pt idx="170">
                  <c:v>4.8734277062501588E-5</c:v>
                </c:pt>
                <c:pt idx="171">
                  <c:v>4.8402652970007324E-5</c:v>
                </c:pt>
                <c:pt idx="172">
                  <c:v>4.8275944390968992E-5</c:v>
                </c:pt>
                <c:pt idx="173">
                  <c:v>4.8353403645661677E-5</c:v>
                </c:pt>
                <c:pt idx="174">
                  <c:v>4.8634268808055712E-5</c:v>
                </c:pt>
                <c:pt idx="175">
                  <c:v>4.9118259958947888E-5</c:v>
                </c:pt>
                <c:pt idx="176">
                  <c:v>4.9805098521073225E-5</c:v>
                </c:pt>
                <c:pt idx="177">
                  <c:v>5.0512738727132593E-5</c:v>
                </c:pt>
                <c:pt idx="178">
                  <c:v>5.1139625450267349E-5</c:v>
                </c:pt>
                <c:pt idx="179">
                  <c:v>5.1685913665448729E-5</c:v>
                </c:pt>
                <c:pt idx="180">
                  <c:v>5.2151758503815762E-5</c:v>
                </c:pt>
                <c:pt idx="181">
                  <c:v>5.2537314781804147E-5</c:v>
                </c:pt>
                <c:pt idx="182">
                  <c:v>5.2842736530722466E-5</c:v>
                </c:pt>
                <c:pt idx="183">
                  <c:v>5.2845033321967974E-5</c:v>
                </c:pt>
                <c:pt idx="184">
                  <c:v>5.244341772759151E-5</c:v>
                </c:pt>
                <c:pt idx="185">
                  <c:v>5.1638493488936465E-5</c:v>
                </c:pt>
                <c:pt idx="186">
                  <c:v>5.0430847926140912E-5</c:v>
                </c:pt>
                <c:pt idx="187">
                  <c:v>4.882104955750291E-5</c:v>
                </c:pt>
                <c:pt idx="188">
                  <c:v>4.6809645719097236E-5</c:v>
                </c:pt>
                <c:pt idx="189">
                  <c:v>4.4397160182897608E-5</c:v>
                </c:pt>
                <c:pt idx="190">
                  <c:v>4.1584090776964152E-5</c:v>
                </c:pt>
                <c:pt idx="191">
                  <c:v>3.8778557813482335E-5</c:v>
                </c:pt>
                <c:pt idx="192">
                  <c:v>3.6160997385107731E-5</c:v>
                </c:pt>
                <c:pt idx="193">
                  <c:v>3.3731118808270858E-5</c:v>
                </c:pt>
                <c:pt idx="194">
                  <c:v>3.1488637648208202E-5</c:v>
                </c:pt>
                <c:pt idx="195">
                  <c:v>2.943327681480875E-5</c:v>
                </c:pt>
                <c:pt idx="196">
                  <c:v>2.7564767657112731E-5</c:v>
                </c:pt>
                <c:pt idx="197">
                  <c:v>2.7515012569909543E-5</c:v>
                </c:pt>
                <c:pt idx="198">
                  <c:v>2.950385047339095E-5</c:v>
                </c:pt>
                <c:pt idx="199">
                  <c:v>3.3529309125466304E-5</c:v>
                </c:pt>
                <c:pt idx="200">
                  <c:v>3.958960124571837E-5</c:v>
                </c:pt>
                <c:pt idx="201">
                  <c:v>4.7683136590977777E-5</c:v>
                </c:pt>
                <c:pt idx="202">
                  <c:v>5.7808534030877021E-5</c:v>
                </c:pt>
                <c:pt idx="203">
                  <c:v>6.9964633624626545E-5</c:v>
                </c:pt>
                <c:pt idx="204">
                  <c:v>8.4150372807435692E-5</c:v>
                </c:pt>
                <c:pt idx="205">
                  <c:v>1.0036542905468327E-4</c:v>
                </c:pt>
                <c:pt idx="206">
                  <c:v>1.1820335498296294E-4</c:v>
                </c:pt>
                <c:pt idx="207">
                  <c:v>1.3766379617070941E-4</c:v>
                </c:pt>
                <c:pt idx="208">
                  <c:v>1.5874650870865674E-4</c:v>
                </c:pt>
                <c:pt idx="209">
                  <c:v>1.814513541450859E-4</c:v>
                </c:pt>
                <c:pt idx="210">
                  <c:v>2.0577829443623979E-4</c:v>
                </c:pt>
                <c:pt idx="211">
                  <c:v>2.2879512715516382E-4</c:v>
                </c:pt>
                <c:pt idx="212">
                  <c:v>2.4887681852077864E-4</c:v>
                </c:pt>
                <c:pt idx="213">
                  <c:v>2.660252488764382E-4</c:v>
                </c:pt>
                <c:pt idx="214">
                  <c:v>2.8024206733451664E-4</c:v>
                </c:pt>
                <c:pt idx="215">
                  <c:v>2.9152870088006497E-4</c:v>
                </c:pt>
                <c:pt idx="216">
                  <c:v>2.9988636347370493E-4</c:v>
                </c:pt>
                <c:pt idx="217">
                  <c:v>3.0531606515569554E-4</c:v>
                </c:pt>
                <c:pt idx="218">
                  <c:v>3.0781862114835634E-4</c:v>
                </c:pt>
                <c:pt idx="219">
                  <c:v>3.0663553312098446E-4</c:v>
                </c:pt>
                <c:pt idx="220">
                  <c:v>3.0176671819382421E-4</c:v>
                </c:pt>
                <c:pt idx="221">
                  <c:v>2.9321254223181272E-4</c:v>
                </c:pt>
                <c:pt idx="222">
                  <c:v>2.8097317241606575E-4</c:v>
                </c:pt>
                <c:pt idx="223">
                  <c:v>2.6504858871338798E-4</c:v>
                </c:pt>
                <c:pt idx="224">
                  <c:v>2.4543859533834606E-4</c:v>
                </c:pt>
                <c:pt idx="225">
                  <c:v>2.2362125883454236E-4</c:v>
                </c:pt>
                <c:pt idx="226">
                  <c:v>2.0252538919753426E-4</c:v>
                </c:pt>
                <c:pt idx="227">
                  <c:v>1.8215043067466949E-4</c:v>
                </c:pt>
                <c:pt idx="228">
                  <c:v>1.624958856227659E-4</c:v>
                </c:pt>
                <c:pt idx="229">
                  <c:v>1.4356131226972262E-4</c:v>
                </c:pt>
                <c:pt idx="230">
                  <c:v>1.2534632247944411E-4</c:v>
                </c:pt>
                <c:pt idx="231">
                  <c:v>1.0785057951659947E-4</c:v>
                </c:pt>
                <c:pt idx="232">
                  <c:v>9.1073795808625663E-5</c:v>
                </c:pt>
                <c:pt idx="233">
                  <c:v>7.5470507962587473E-5</c:v>
                </c:pt>
                <c:pt idx="234">
                  <c:v>6.179973741924765E-5</c:v>
                </c:pt>
                <c:pt idx="235">
                  <c:v>5.0061573285101981E-5</c:v>
                </c:pt>
                <c:pt idx="236">
                  <c:v>4.0256159902342204E-5</c:v>
                </c:pt>
                <c:pt idx="237">
                  <c:v>3.2383662267295384E-5</c:v>
                </c:pt>
                <c:pt idx="238">
                  <c:v>2.644431809335704E-5</c:v>
                </c:pt>
                <c:pt idx="239">
                  <c:v>2.2415852062741511E-5</c:v>
                </c:pt>
                <c:pt idx="240">
                  <c:v>1.8819263413004527E-5</c:v>
                </c:pt>
                <c:pt idx="241">
                  <c:v>1.5654591626394494E-5</c:v>
                </c:pt>
                <c:pt idx="242">
                  <c:v>1.2921893279272024E-5</c:v>
                </c:pt>
                <c:pt idx="243">
                  <c:v>1.0621242805346025E-5</c:v>
                </c:pt>
                <c:pt idx="244">
                  <c:v>8.7527332587027513E-6</c:v>
                </c:pt>
                <c:pt idx="245">
                  <c:v>7.3164770767390469E-6</c:v>
                </c:pt>
                <c:pt idx="246">
                  <c:v>6.3126068431635391E-6</c:v>
                </c:pt>
                <c:pt idx="247">
                  <c:v>5.784467252628144E-6</c:v>
                </c:pt>
                <c:pt idx="248">
                  <c:v>5.2768037412598459E-6</c:v>
                </c:pt>
                <c:pt idx="249">
                  <c:v>4.7896133473176993E-6</c:v>
                </c:pt>
                <c:pt idx="250">
                  <c:v>4.322893858299732E-6</c:v>
                </c:pt>
                <c:pt idx="251">
                  <c:v>3.8766438473653242E-6</c:v>
                </c:pt>
                <c:pt idx="252">
                  <c:v>3.4508627095375618E-6</c:v>
                </c:pt>
                <c:pt idx="253">
                  <c:v>3.0523653462772746E-6</c:v>
                </c:pt>
                <c:pt idx="254">
                  <c:v>2.7037962606185266E-6</c:v>
                </c:pt>
                <c:pt idx="255">
                  <c:v>2.4051771775848758E-6</c:v>
                </c:pt>
                <c:pt idx="256">
                  <c:v>2.1565325851245854E-6</c:v>
                </c:pt>
                <c:pt idx="257">
                  <c:v>1.9578898222446977E-6</c:v>
                </c:pt>
                <c:pt idx="258">
                  <c:v>1.8092791671728264E-6</c:v>
                </c:pt>
                <c:pt idx="259">
                  <c:v>1.7107339255382021E-6</c:v>
                </c:pt>
                <c:pt idx="260">
                  <c:v>1.6622905184947984E-6</c:v>
                </c:pt>
                <c:pt idx="261">
                  <c:v>1.6556844846510925E-6</c:v>
                </c:pt>
                <c:pt idx="262">
                  <c:v>1.6476164136070419E-6</c:v>
                </c:pt>
                <c:pt idx="263">
                  <c:v>1.6380850039938622E-6</c:v>
                </c:pt>
                <c:pt idx="264">
                  <c:v>1.6270889255352098E-6</c:v>
                </c:pt>
                <c:pt idx="265">
                  <c:v>1.6146353879613167E-6</c:v>
                </c:pt>
                <c:pt idx="266">
                  <c:v>1.6007269766832187E-6</c:v>
                </c:pt>
                <c:pt idx="267">
                  <c:v>1.5844656168773561E-6</c:v>
                </c:pt>
                <c:pt idx="268">
                  <c:v>1.559001718374708E-6</c:v>
                </c:pt>
                <c:pt idx="269">
                  <c:v>1.5243214096518141E-6</c:v>
                </c:pt>
                <c:pt idx="270">
                  <c:v>1.4804100268657456E-6</c:v>
                </c:pt>
                <c:pt idx="271">
                  <c:v>1.4272522153397674E-6</c:v>
                </c:pt>
                <c:pt idx="272">
                  <c:v>1.3648320310923813E-6</c:v>
                </c:pt>
                <c:pt idx="273">
                  <c:v>1.2931330423478298E-6</c:v>
                </c:pt>
                <c:pt idx="274">
                  <c:v>1.2121384310650953E-6</c:v>
                </c:pt>
                <c:pt idx="275">
                  <c:v>1.9683612755401185E-6</c:v>
                </c:pt>
                <c:pt idx="276">
                  <c:v>3.571388145067397E-6</c:v>
                </c:pt>
                <c:pt idx="277">
                  <c:v>6.0225043423418847E-6</c:v>
                </c:pt>
                <c:pt idx="278">
                  <c:v>9.3230265430400068E-6</c:v>
                </c:pt>
                <c:pt idx="279">
                  <c:v>1.3474293511935319E-5</c:v>
                </c:pt>
                <c:pt idx="280">
                  <c:v>1.8477656819107688E-5</c:v>
                </c:pt>
                <c:pt idx="281">
                  <c:v>2.5699975221644056E-5</c:v>
                </c:pt>
                <c:pt idx="282">
                  <c:v>3.5145635423778261E-5</c:v>
                </c:pt>
                <c:pt idx="283">
                  <c:v>4.681812125713889E-5</c:v>
                </c:pt>
                <c:pt idx="284">
                  <c:v>6.0720888289744903E-5</c:v>
                </c:pt>
                <c:pt idx="285">
                  <c:v>7.6857339586331588E-5</c:v>
                </c:pt>
                <c:pt idx="286">
                  <c:v>9.5230801469238695E-5</c:v>
                </c:pt>
                <c:pt idx="287">
                  <c:v>1.1584449927883321E-4</c:v>
                </c:pt>
                <c:pt idx="288">
                  <c:v>1.3870153313408259E-4</c:v>
                </c:pt>
                <c:pt idx="289">
                  <c:v>1.6308664274680449E-4</c:v>
                </c:pt>
                <c:pt idx="290">
                  <c:v>1.8814846651040684E-4</c:v>
                </c:pt>
                <c:pt idx="291">
                  <c:v>2.1388727915763143E-4</c:v>
                </c:pt>
                <c:pt idx="292">
                  <c:v>2.403032162183399E-4</c:v>
                </c:pt>
                <c:pt idx="293">
                  <c:v>2.6739626690290514E-4</c:v>
                </c:pt>
                <c:pt idx="294">
                  <c:v>2.9516626698503534E-4</c:v>
                </c:pt>
                <c:pt idx="295">
                  <c:v>3.2184923566934849E-4</c:v>
                </c:pt>
                <c:pt idx="296">
                  <c:v>3.4607086003289708E-4</c:v>
                </c:pt>
                <c:pt idx="297">
                  <c:v>3.6783044406330786E-4</c:v>
                </c:pt>
                <c:pt idx="298">
                  <c:v>3.8712466389153292E-4</c:v>
                </c:pt>
                <c:pt idx="299">
                  <c:v>4.0395003333967009E-4</c:v>
                </c:pt>
                <c:pt idx="300">
                  <c:v>4.1830292687677532E-4</c:v>
                </c:pt>
                <c:pt idx="301">
                  <c:v>4.3017960257353159E-4</c:v>
                </c:pt>
                <c:pt idx="302">
                  <c:v>4.3957622505780329E-4</c:v>
                </c:pt>
                <c:pt idx="303">
                  <c:v>4.4653157218291629E-4</c:v>
                </c:pt>
                <c:pt idx="304">
                  <c:v>4.517650585718819E-4</c:v>
                </c:pt>
                <c:pt idx="305">
                  <c:v>4.5527379958393998E-4</c:v>
                </c:pt>
                <c:pt idx="306">
                  <c:v>4.5705490171621876E-4</c:v>
                </c:pt>
                <c:pt idx="307">
                  <c:v>4.5710547851051455E-4</c:v>
                </c:pt>
                <c:pt idx="308">
                  <c:v>4.5542266645621636E-4</c:v>
                </c:pt>
                <c:pt idx="309">
                  <c:v>4.5251793444750071E-4</c:v>
                </c:pt>
                <c:pt idx="310">
                  <c:v>4.5016532904841545E-4</c:v>
                </c:pt>
                <c:pt idx="311">
                  <c:v>4.4836524412883915E-4</c:v>
                </c:pt>
                <c:pt idx="312">
                  <c:v>4.4711806144787574E-4</c:v>
                </c:pt>
                <c:pt idx="313">
                  <c:v>4.4642414554105529E-4</c:v>
                </c:pt>
                <c:pt idx="314">
                  <c:v>4.4628383860343513E-4</c:v>
                </c:pt>
                <c:pt idx="315">
                  <c:v>4.4669745537831662E-4</c:v>
                </c:pt>
                <c:pt idx="316">
                  <c:v>4.4766527803905568E-4</c:v>
                </c:pt>
                <c:pt idx="317">
                  <c:v>4.4922640589954298E-4</c:v>
                </c:pt>
                <c:pt idx="318">
                  <c:v>4.5133811692653776E-4</c:v>
                </c:pt>
                <c:pt idx="319">
                  <c:v>4.5400055880883918E-4</c:v>
                </c:pt>
                <c:pt idx="320">
                  <c:v>4.5721382641710851E-4</c:v>
                </c:pt>
                <c:pt idx="321">
                  <c:v>4.6097795672787206E-4</c:v>
                </c:pt>
                <c:pt idx="322">
                  <c:v>4.6529292374952914E-4</c:v>
                </c:pt>
                <c:pt idx="323">
                  <c:v>4.6997270377395955E-4</c:v>
                </c:pt>
                <c:pt idx="324">
                  <c:v>4.7449969002128222E-4</c:v>
                </c:pt>
                <c:pt idx="325">
                  <c:v>4.7887305440980755E-4</c:v>
                </c:pt>
                <c:pt idx="326">
                  <c:v>4.8308896413488495E-4</c:v>
                </c:pt>
                <c:pt idx="327">
                  <c:v>4.8714550766732525E-4</c:v>
                </c:pt>
                <c:pt idx="328">
                  <c:v>4.9104326728927462E-4</c:v>
                </c:pt>
                <c:pt idx="329">
                  <c:v>4.9478288148738063E-4</c:v>
                </c:pt>
                <c:pt idx="330">
                  <c:v>4.9836504188621852E-4</c:v>
                </c:pt>
                <c:pt idx="331">
                  <c:v>5.0150431935193558E-4</c:v>
                </c:pt>
                <c:pt idx="332">
                  <c:v>5.0416241681877985E-4</c:v>
                </c:pt>
                <c:pt idx="333">
                  <c:v>5.0634010205761028E-4</c:v>
                </c:pt>
                <c:pt idx="334">
                  <c:v>5.0803820977783154E-4</c:v>
                </c:pt>
                <c:pt idx="335">
                  <c:v>5.092576318052553E-4</c:v>
                </c:pt>
                <c:pt idx="336">
                  <c:v>5.0999930725332588E-4</c:v>
                </c:pt>
                <c:pt idx="337">
                  <c:v>5.1059290866868905E-4</c:v>
                </c:pt>
                <c:pt idx="338">
                  <c:v>5.1122577393211655E-4</c:v>
                </c:pt>
                <c:pt idx="339">
                  <c:v>5.1189895949478473E-4</c:v>
                </c:pt>
                <c:pt idx="340">
                  <c:v>5.1261352606110872E-4</c:v>
                </c:pt>
                <c:pt idx="341">
                  <c:v>5.1337053947272493E-4</c:v>
                </c:pt>
                <c:pt idx="342">
                  <c:v>5.1417107159207808E-4</c:v>
                </c:pt>
                <c:pt idx="343">
                  <c:v>5.1501620117981562E-4</c:v>
                </c:pt>
                <c:pt idx="344">
                  <c:v>5.1590701478023641E-4</c:v>
                </c:pt>
                <c:pt idx="345">
                  <c:v>5.1684460760131922E-4</c:v>
                </c:pt>
                <c:pt idx="346">
                  <c:v>5.1792391899867761E-4</c:v>
                </c:pt>
                <c:pt idx="347">
                  <c:v>5.1914608285101593E-4</c:v>
                </c:pt>
                <c:pt idx="348">
                  <c:v>5.2051225253512768E-4</c:v>
                </c:pt>
                <c:pt idx="349">
                  <c:v>5.2202360375405092E-4</c:v>
                </c:pt>
                <c:pt idx="350">
                  <c:v>5.2368133737740988E-4</c:v>
                </c:pt>
                <c:pt idx="351">
                  <c:v>5.2529405963229795E-4</c:v>
                </c:pt>
                <c:pt idx="352">
                  <c:v>5.265339312926356E-4</c:v>
                </c:pt>
                <c:pt idx="353">
                  <c:v>5.2740194223337155E-4</c:v>
                </c:pt>
                <c:pt idx="354">
                  <c:v>5.2789903274427883E-4</c:v>
                </c:pt>
                <c:pt idx="355">
                  <c:v>5.2802608549946104E-4</c:v>
                </c:pt>
                <c:pt idx="356">
                  <c:v>5.2778428228276032E-4</c:v>
                </c:pt>
                <c:pt idx="357">
                  <c:v>5.2717319052683555E-4</c:v>
                </c:pt>
                <c:pt idx="358">
                  <c:v>5.2619103764965159E-4</c:v>
                </c:pt>
                <c:pt idx="359">
                  <c:v>5.2483599361986464E-4</c:v>
                </c:pt>
                <c:pt idx="360">
                  <c:v>5.2343594131694512E-4</c:v>
                </c:pt>
                <c:pt idx="361">
                  <c:v>5.2218253858059835E-4</c:v>
                </c:pt>
                <c:pt idx="362">
                  <c:v>5.2107452493156865E-4</c:v>
                </c:pt>
                <c:pt idx="363">
                  <c:v>5.2011066960576456E-4</c:v>
                </c:pt>
                <c:pt idx="364">
                  <c:v>5.1928976806564747E-4</c:v>
                </c:pt>
                <c:pt idx="365" formatCode="0.0000">
                  <c:v>5.1861063850512916E-4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9.5194527570198917E-4</c:v>
                </c:pt>
                <c:pt idx="1">
                  <c:v>9.5177281058244376E-4</c:v>
                </c:pt>
                <c:pt idx="2">
                  <c:v>9.5072019539327486E-4</c:v>
                </c:pt>
                <c:pt idx="3">
                  <c:v>9.4878371555041029E-4</c:v>
                </c:pt>
                <c:pt idx="4">
                  <c:v>9.4595965802720923E-4</c:v>
                </c:pt>
                <c:pt idx="5">
                  <c:v>9.4224433393682574E-4</c:v>
                </c:pt>
                <c:pt idx="6">
                  <c:v>9.3763410112663085E-4</c:v>
                </c:pt>
                <c:pt idx="7">
                  <c:v>9.3212538675134342E-4</c:v>
                </c:pt>
                <c:pt idx="8">
                  <c:v>9.2571470985947785E-4</c:v>
                </c:pt>
                <c:pt idx="9">
                  <c:v>9.1895298341914094E-4</c:v>
                </c:pt>
                <c:pt idx="10">
                  <c:v>9.1240246718356309E-4</c:v>
                </c:pt>
                <c:pt idx="11">
                  <c:v>9.0606145740808677E-4</c:v>
                </c:pt>
                <c:pt idx="12">
                  <c:v>8.9992829642613909E-4</c:v>
                </c:pt>
                <c:pt idx="13">
                  <c:v>8.9400136678691004E-4</c:v>
                </c:pt>
                <c:pt idx="14">
                  <c:v>8.8827908537777349E-4</c:v>
                </c:pt>
                <c:pt idx="15">
                  <c:v>8.824293484010759E-4</c:v>
                </c:pt>
                <c:pt idx="16">
                  <c:v>8.767748385120651E-4</c:v>
                </c:pt>
                <c:pt idx="17">
                  <c:v>8.7131406750531578E-4</c:v>
                </c:pt>
                <c:pt idx="18">
                  <c:v>8.6604556268585588E-4</c:v>
                </c:pt>
                <c:pt idx="19">
                  <c:v>8.6097266356373022E-4</c:v>
                </c:pt>
                <c:pt idx="20">
                  <c:v>8.5610076200668826E-4</c:v>
                </c:pt>
                <c:pt idx="21">
                  <c:v>8.5143142691123026E-4</c:v>
                </c:pt>
                <c:pt idx="22">
                  <c:v>8.4696616924832217E-4</c:v>
                </c:pt>
                <c:pt idx="23">
                  <c:v>8.4287805372655167E-4</c:v>
                </c:pt>
                <c:pt idx="24">
                  <c:v>8.3861209983020538E-4</c:v>
                </c:pt>
                <c:pt idx="25">
                  <c:v>8.3416958627499779E-4</c:v>
                </c:pt>
                <c:pt idx="26">
                  <c:v>8.295517885820717E-4</c:v>
                </c:pt>
                <c:pt idx="27">
                  <c:v>8.2475997707597687E-4</c:v>
                </c:pt>
                <c:pt idx="28">
                  <c:v>8.197954149006297E-4</c:v>
                </c:pt>
                <c:pt idx="29">
                  <c:v>8.1581939570507652E-4</c:v>
                </c:pt>
                <c:pt idx="30">
                  <c:v>8.131641795928199E-4</c:v>
                </c:pt>
                <c:pt idx="31">
                  <c:v>8.1183079469850843E-4</c:v>
                </c:pt>
                <c:pt idx="32">
                  <c:v>8.1182016177250857E-4</c:v>
                </c:pt>
                <c:pt idx="33">
                  <c:v>8.1313311082692702E-4</c:v>
                </c:pt>
                <c:pt idx="34">
                  <c:v>8.1577039778529814E-4</c:v>
                </c:pt>
                <c:pt idx="35">
                  <c:v>8.1973272113162218E-4</c:v>
                </c:pt>
                <c:pt idx="36">
                  <c:v>8.2502073855776582E-4</c:v>
                </c:pt>
                <c:pt idx="37">
                  <c:v>8.3101469767937189E-4</c:v>
                </c:pt>
                <c:pt idx="38">
                  <c:v>8.3754383725754568E-4</c:v>
                </c:pt>
                <c:pt idx="39">
                  <c:v>8.4460900622519068E-4</c:v>
                </c:pt>
                <c:pt idx="40">
                  <c:v>8.5221108074758902E-4</c:v>
                </c:pt>
                <c:pt idx="41">
                  <c:v>8.6035097097021402E-4</c:v>
                </c:pt>
                <c:pt idx="42">
                  <c:v>8.6902962776081046E-4</c:v>
                </c:pt>
                <c:pt idx="43">
                  <c:v>8.7530880255637595E-4</c:v>
                </c:pt>
                <c:pt idx="44">
                  <c:v>8.7803145153993135E-4</c:v>
                </c:pt>
                <c:pt idx="45">
                  <c:v>8.771995665901762E-4</c:v>
                </c:pt>
                <c:pt idx="46">
                  <c:v>8.7281503146155156E-4</c:v>
                </c:pt>
                <c:pt idx="47">
                  <c:v>8.648795772511613E-4</c:v>
                </c:pt>
                <c:pt idx="48">
                  <c:v>8.533947378542323E-4</c:v>
                </c:pt>
                <c:pt idx="49">
                  <c:v>8.3836180542747421E-4</c:v>
                </c:pt>
                <c:pt idx="50">
                  <c:v>8.1978178584716328E-4</c:v>
                </c:pt>
                <c:pt idx="51">
                  <c:v>7.9612303721142712E-4</c:v>
                </c:pt>
                <c:pt idx="52">
                  <c:v>7.6800144641491006E-4</c:v>
                </c:pt>
                <c:pt idx="53">
                  <c:v>7.3541248897719008E-4</c:v>
                </c:pt>
                <c:pt idx="54">
                  <c:v>6.9835566148105895E-4</c:v>
                </c:pt>
                <c:pt idx="55">
                  <c:v>6.5683043499165658E-4</c:v>
                </c:pt>
                <c:pt idx="56">
                  <c:v>6.1083627159450266E-4</c:v>
                </c:pt>
                <c:pt idx="57">
                  <c:v>5.6267465612795165E-4</c:v>
                </c:pt>
                <c:pt idx="58">
                  <c:v>5.1528309904650587E-4</c:v>
                </c:pt>
                <c:pt idx="59">
                  <c:v>4.6866124118739004E-4</c:v>
                </c:pt>
                <c:pt idx="60">
                  <c:v>4.2280879767785773E-4</c:v>
                </c:pt>
                <c:pt idx="61">
                  <c:v>3.777255550876734E-4</c:v>
                </c:pt>
                <c:pt idx="62">
                  <c:v>3.3341136858100218E-4</c:v>
                </c:pt>
                <c:pt idx="63">
                  <c:v>2.8986615906947629E-4</c:v>
                </c:pt>
                <c:pt idx="64">
                  <c:v>2.470899103637935E-4</c:v>
                </c:pt>
                <c:pt idx="65">
                  <c:v>2.0696809985340221E-4</c:v>
                </c:pt>
                <c:pt idx="66">
                  <c:v>1.7103322919690756E-4</c:v>
                </c:pt>
                <c:pt idx="67">
                  <c:v>1.3928545502434178E-4</c:v>
                </c:pt>
                <c:pt idx="68">
                  <c:v>1.1172493537951041E-4</c:v>
                </c:pt>
                <c:pt idx="69">
                  <c:v>8.8351814227829455E-5</c:v>
                </c:pt>
                <c:pt idx="70">
                  <c:v>6.9166205964977869E-5</c:v>
                </c:pt>
                <c:pt idx="71">
                  <c:v>5.4159521017829996E-5</c:v>
                </c:pt>
                <c:pt idx="72">
                  <c:v>4.1029710617371279E-5</c:v>
                </c:pt>
                <c:pt idx="73">
                  <c:v>2.9776833803868659E-5</c:v>
                </c:pt>
                <c:pt idx="74">
                  <c:v>2.0400920852446888E-5</c:v>
                </c:pt>
                <c:pt idx="75">
                  <c:v>1.2901966330143547E-5</c:v>
                </c:pt>
                <c:pt idx="76">
                  <c:v>7.2799221528707874E-6</c:v>
                </c:pt>
                <c:pt idx="77">
                  <c:v>3.5346906424468268E-6</c:v>
                </c:pt>
                <c:pt idx="78">
                  <c:v>1.6661176388970848E-6</c:v>
                </c:pt>
                <c:pt idx="79">
                  <c:v>1.6852636426629632E-6</c:v>
                </c:pt>
                <c:pt idx="80">
                  <c:v>1.7070224641846702E-6</c:v>
                </c:pt>
                <c:pt idx="81">
                  <c:v>1.7313931766420043E-6</c:v>
                </c:pt>
                <c:pt idx="82">
                  <c:v>1.7583748176778756E-6</c:v>
                </c:pt>
                <c:pt idx="83">
                  <c:v>1.7879663810205444E-6</c:v>
                </c:pt>
                <c:pt idx="84">
                  <c:v>1.8201668081117938E-6</c:v>
                </c:pt>
                <c:pt idx="85">
                  <c:v>2.0335050255492805E-6</c:v>
                </c:pt>
                <c:pt idx="86">
                  <c:v>2.4366046637209328E-6</c:v>
                </c:pt>
                <c:pt idx="87">
                  <c:v>3.029431581962472E-6</c:v>
                </c:pt>
                <c:pt idx="88">
                  <c:v>3.811948384881769E-6</c:v>
                </c:pt>
                <c:pt idx="89">
                  <c:v>4.7841138141879473E-6</c:v>
                </c:pt>
                <c:pt idx="90">
                  <c:v>5.9458821405108203E-6</c:v>
                </c:pt>
                <c:pt idx="91">
                  <c:v>7.2972025552359286E-6</c:v>
                </c:pt>
                <c:pt idx="92">
                  <c:v>8.8380185623326562E-6</c:v>
                </c:pt>
                <c:pt idx="93">
                  <c:v>1.0939560548612132E-5</c:v>
                </c:pt>
                <c:pt idx="94">
                  <c:v>1.3590406506443399E-5</c:v>
                </c:pt>
                <c:pt idx="95">
                  <c:v>1.6790380587539592E-5</c:v>
                </c:pt>
                <c:pt idx="96">
                  <c:v>2.0539287149031594E-5</c:v>
                </c:pt>
                <c:pt idx="97">
                  <c:v>2.4836908991133968E-5</c:v>
                </c:pt>
                <c:pt idx="98">
                  <c:v>2.9683005594685692E-5</c:v>
                </c:pt>
                <c:pt idx="99">
                  <c:v>3.5968938327322023E-5</c:v>
                </c:pt>
                <c:pt idx="100">
                  <c:v>4.3515789593516221E-5</c:v>
                </c:pt>
                <c:pt idx="101">
                  <c:v>5.232295848549159E-5</c:v>
                </c:pt>
                <c:pt idx="102">
                  <c:v>6.2389782146873623E-5</c:v>
                </c:pt>
                <c:pt idx="103">
                  <c:v>7.3715531721621331E-5</c:v>
                </c:pt>
                <c:pt idx="104">
                  <c:v>8.6299408304273538E-5</c:v>
                </c:pt>
                <c:pt idx="105">
                  <c:v>1.0014053888900463E-4</c:v>
                </c:pt>
                <c:pt idx="106">
                  <c:v>1.1523797231942882E-4</c:v>
                </c:pt>
                <c:pt idx="107">
                  <c:v>1.3345041089376228E-4</c:v>
                </c:pt>
                <c:pt idx="108">
                  <c:v>1.5440514045001597E-4</c:v>
                </c:pt>
                <c:pt idx="109">
                  <c:v>1.7810005727431319E-4</c:v>
                </c:pt>
                <c:pt idx="110">
                  <c:v>2.0453345686620582E-4</c:v>
                </c:pt>
                <c:pt idx="111">
                  <c:v>2.3370379145378338E-4</c:v>
                </c:pt>
                <c:pt idx="112">
                  <c:v>2.6560898452567525E-4</c:v>
                </c:pt>
                <c:pt idx="113">
                  <c:v>3.0041111235207685E-4</c:v>
                </c:pt>
                <c:pt idx="114">
                  <c:v>3.37218404969899E-4</c:v>
                </c:pt>
                <c:pt idx="115">
                  <c:v>3.7602894029978908E-4</c:v>
                </c:pt>
                <c:pt idx="116">
                  <c:v>4.1684070091509845E-4</c:v>
                </c:pt>
                <c:pt idx="117">
                  <c:v>4.5965156962376335E-4</c:v>
                </c:pt>
                <c:pt idx="118">
                  <c:v>5.0445932504689626E-4</c:v>
                </c:pt>
                <c:pt idx="119">
                  <c:v>5.5126163719823498E-4</c:v>
                </c:pt>
                <c:pt idx="120">
                  <c:v>6.0005606306262865E-4</c:v>
                </c:pt>
                <c:pt idx="121">
                  <c:v>6.4661182805500267E-4</c:v>
                </c:pt>
                <c:pt idx="122">
                  <c:v>6.8907596564282865E-4</c:v>
                </c:pt>
                <c:pt idx="123">
                  <c:v>7.2745065030687924E-4</c:v>
                </c:pt>
                <c:pt idx="124">
                  <c:v>7.6173818895939791E-4</c:v>
                </c:pt>
                <c:pt idx="125">
                  <c:v>7.9194102985270408E-4</c:v>
                </c:pt>
                <c:pt idx="126">
                  <c:v>8.1806177147792064E-4</c:v>
                </c:pt>
                <c:pt idx="127">
                  <c:v>8.3683545387115428E-4</c:v>
                </c:pt>
                <c:pt idx="128">
                  <c:v>8.4810438616327163E-4</c:v>
                </c:pt>
                <c:pt idx="129">
                  <c:v>8.5187499185442278E-4</c:v>
                </c:pt>
                <c:pt idx="130">
                  <c:v>8.4815405688719889E-4</c:v>
                </c:pt>
                <c:pt idx="131">
                  <c:v>8.3694874606971448E-4</c:v>
                </c:pt>
                <c:pt idx="132">
                  <c:v>8.1826661950683429E-4</c:v>
                </c:pt>
                <c:pt idx="133">
                  <c:v>7.9211564903676013E-4</c:v>
                </c:pt>
                <c:pt idx="134">
                  <c:v>7.58504234662959E-4</c:v>
                </c:pt>
                <c:pt idx="135">
                  <c:v>7.1923688362094057E-4</c:v>
                </c:pt>
                <c:pt idx="136">
                  <c:v>6.7852901145760763E-4</c:v>
                </c:pt>
                <c:pt idx="137">
                  <c:v>6.363833306783028E-4</c:v>
                </c:pt>
                <c:pt idx="138">
                  <c:v>5.9280267782467087E-4</c:v>
                </c:pt>
                <c:pt idx="139">
                  <c:v>5.4779001670918963E-4</c:v>
                </c:pt>
                <c:pt idx="140">
                  <c:v>5.013484416147981E-4</c:v>
                </c:pt>
                <c:pt idx="141">
                  <c:v>4.5549526809846058E-4</c:v>
                </c:pt>
                <c:pt idx="142">
                  <c:v>4.1347844866545754E-4</c:v>
                </c:pt>
                <c:pt idx="143">
                  <c:v>3.7529318218339718E-4</c:v>
                </c:pt>
                <c:pt idx="144">
                  <c:v>3.4093698516105323E-4</c:v>
                </c:pt>
                <c:pt idx="145">
                  <c:v>3.1040672412895368E-4</c:v>
                </c:pt>
                <c:pt idx="146">
                  <c:v>2.8369866674469459E-4</c:v>
                </c:pt>
                <c:pt idx="147">
                  <c:v>2.6080853290977063E-4</c:v>
                </c:pt>
                <c:pt idx="148">
                  <c:v>2.4173154587807659E-4</c:v>
                </c:pt>
                <c:pt idx="149">
                  <c:v>2.2648150972445476E-4</c:v>
                </c:pt>
                <c:pt idx="150">
                  <c:v>2.1326989378481616E-4</c:v>
                </c:pt>
                <c:pt idx="151">
                  <c:v>2.0209388907355426E-4</c:v>
                </c:pt>
                <c:pt idx="152">
                  <c:v>1.9295049257220452E-4</c:v>
                </c:pt>
                <c:pt idx="153">
                  <c:v>1.8583653453691494E-4</c:v>
                </c:pt>
                <c:pt idx="154">
                  <c:v>1.8074870580709294E-4</c:v>
                </c:pt>
                <c:pt idx="155">
                  <c:v>1.7760855949892614E-4</c:v>
                </c:pt>
                <c:pt idx="156">
                  <c:v>1.7441549526047096E-4</c:v>
                </c:pt>
                <c:pt idx="157">
                  <c:v>1.7116988700010993E-4</c:v>
                </c:pt>
                <c:pt idx="158">
                  <c:v>1.6787209263190099E-4</c:v>
                </c:pt>
                <c:pt idx="159">
                  <c:v>1.6452245331570283E-4</c:v>
                </c:pt>
                <c:pt idx="160">
                  <c:v>1.6112129269939734E-4</c:v>
                </c:pt>
                <c:pt idx="161">
                  <c:v>1.5766891615918657E-4</c:v>
                </c:pt>
                <c:pt idx="162">
                  <c:v>1.5416561004081048E-4</c:v>
                </c:pt>
                <c:pt idx="163">
                  <c:v>1.5087203470914897E-4</c:v>
                </c:pt>
                <c:pt idx="164">
                  <c:v>1.477691051561349E-4</c:v>
                </c:pt>
                <c:pt idx="165">
                  <c:v>1.448566124594999E-4</c:v>
                </c:pt>
                <c:pt idx="166">
                  <c:v>1.4213434111253845E-4</c:v>
                </c:pt>
                <c:pt idx="167">
                  <c:v>1.3960207154879839E-4</c:v>
                </c:pt>
                <c:pt idx="168">
                  <c:v>1.372595826713976E-4</c:v>
                </c:pt>
                <c:pt idx="169">
                  <c:v>1.3536612580281949E-4</c:v>
                </c:pt>
                <c:pt idx="170">
                  <c:v>1.339954009083718E-4</c:v>
                </c:pt>
                <c:pt idx="171">
                  <c:v>1.3314667884915067E-4</c:v>
                </c:pt>
                <c:pt idx="172">
                  <c:v>1.3281927639795005E-4</c:v>
                </c:pt>
                <c:pt idx="173">
                  <c:v>1.3301120313511801E-4</c:v>
                </c:pt>
                <c:pt idx="174">
                  <c:v>1.3372042717414706E-4</c:v>
                </c:pt>
                <c:pt idx="175">
                  <c:v>1.3494624250864803E-4</c:v>
                </c:pt>
                <c:pt idx="176">
                  <c:v>1.3668794654512773E-4</c:v>
                </c:pt>
                <c:pt idx="177">
                  <c:v>1.3887076530529207E-4</c:v>
                </c:pt>
                <c:pt idx="178">
                  <c:v>1.4123584692190373E-4</c:v>
                </c:pt>
                <c:pt idx="179">
                  <c:v>1.4378301391629702E-4</c:v>
                </c:pt>
                <c:pt idx="180">
                  <c:v>1.4651209769470628E-4</c:v>
                </c:pt>
                <c:pt idx="181">
                  <c:v>1.4942293962955466E-4</c:v>
                </c:pt>
                <c:pt idx="182">
                  <c:v>1.5251539214198036E-4</c:v>
                </c:pt>
                <c:pt idx="183">
                  <c:v>1.5580798208420792E-4</c:v>
                </c:pt>
                <c:pt idx="184">
                  <c:v>1.5904304119861501E-4</c:v>
                </c:pt>
                <c:pt idx="185">
                  <c:v>1.6222080001032597E-4</c:v>
                </c:pt>
                <c:pt idx="186">
                  <c:v>1.6534149472119324E-4</c:v>
                </c:pt>
                <c:pt idx="187">
                  <c:v>1.6840536688545816E-4</c:v>
                </c:pt>
                <c:pt idx="188">
                  <c:v>1.7141266308648415E-4</c:v>
                </c:pt>
                <c:pt idx="189">
                  <c:v>1.7436363460834694E-4</c:v>
                </c:pt>
                <c:pt idx="190">
                  <c:v>1.7725853711462498E-4</c:v>
                </c:pt>
                <c:pt idx="191">
                  <c:v>1.8205793384340341E-4</c:v>
                </c:pt>
                <c:pt idx="192">
                  <c:v>1.8883321980965476E-4</c:v>
                </c:pt>
                <c:pt idx="193">
                  <c:v>1.9758227206956929E-4</c:v>
                </c:pt>
                <c:pt idx="194">
                  <c:v>2.0830311630067424E-4</c:v>
                </c:pt>
                <c:pt idx="195">
                  <c:v>2.2099393849978329E-4</c:v>
                </c:pt>
                <c:pt idx="196">
                  <c:v>2.3565309667348703E-4</c:v>
                </c:pt>
                <c:pt idx="197">
                  <c:v>2.5401857987477337E-4</c:v>
                </c:pt>
                <c:pt idx="198">
                  <c:v>2.760688086263173E-4</c:v>
                </c:pt>
                <c:pt idx="199">
                  <c:v>3.0180112601894927E-4</c:v>
                </c:pt>
                <c:pt idx="200">
                  <c:v>3.3121325424693092E-4</c:v>
                </c:pt>
                <c:pt idx="201">
                  <c:v>3.6430331649166221E-4</c:v>
                </c:pt>
                <c:pt idx="202">
                  <c:v>4.0106985880601707E-4</c:v>
                </c:pt>
                <c:pt idx="203">
                  <c:v>4.4151187200749584E-4</c:v>
                </c:pt>
                <c:pt idx="204">
                  <c:v>4.8562802935073077E-4</c:v>
                </c:pt>
                <c:pt idx="205">
                  <c:v>5.3026717733142955E-4</c:v>
                </c:pt>
                <c:pt idx="206">
                  <c:v>5.7347978166684063E-4</c:v>
                </c:pt>
                <c:pt idx="207">
                  <c:v>6.1526839119514321E-4</c:v>
                </c:pt>
                <c:pt idx="208">
                  <c:v>6.5563538581600816E-4</c:v>
                </c:pt>
                <c:pt idx="209">
                  <c:v>6.9458298086920868E-4</c:v>
                </c:pt>
                <c:pt idx="210">
                  <c:v>7.3211323153481828E-4</c:v>
                </c:pt>
                <c:pt idx="211">
                  <c:v>7.6416387333037687E-4</c:v>
                </c:pt>
                <c:pt idx="212">
                  <c:v>7.8900504000773634E-4</c:v>
                </c:pt>
                <c:pt idx="213">
                  <c:v>8.0664041583944834E-4</c:v>
                </c:pt>
                <c:pt idx="214">
                  <c:v>8.1707314683897704E-4</c:v>
                </c:pt>
                <c:pt idx="215">
                  <c:v>8.2030586315224544E-4</c:v>
                </c:pt>
                <c:pt idx="216">
                  <c:v>8.1634070144652937E-4</c:v>
                </c:pt>
                <c:pt idx="217">
                  <c:v>8.0517932730249917E-4</c:v>
                </c:pt>
                <c:pt idx="218">
                  <c:v>7.8682295760153708E-4</c:v>
                </c:pt>
                <c:pt idx="219">
                  <c:v>7.6142984176411901E-4</c:v>
                </c:pt>
                <c:pt idx="220">
                  <c:v>7.3214384465368639E-4</c:v>
                </c:pt>
                <c:pt idx="221">
                  <c:v>6.9896453360906085E-4</c:v>
                </c:pt>
                <c:pt idx="222">
                  <c:v>6.6189129570528367E-4</c:v>
                </c:pt>
                <c:pt idx="223">
                  <c:v>6.209233498971629E-4</c:v>
                </c:pt>
                <c:pt idx="224">
                  <c:v>5.7605975914467038E-4</c:v>
                </c:pt>
                <c:pt idx="225">
                  <c:v>5.2907981731058033E-4</c:v>
                </c:pt>
                <c:pt idx="226">
                  <c:v>4.8404240717179656E-4</c:v>
                </c:pt>
                <c:pt idx="227">
                  <c:v>4.4094632299683946E-4</c:v>
                </c:pt>
                <c:pt idx="228">
                  <c:v>3.9979050091997246E-4</c:v>
                </c:pt>
                <c:pt idx="229">
                  <c:v>3.6057401291278695E-4</c:v>
                </c:pt>
                <c:pt idx="230">
                  <c:v>3.2329606076367164E-4</c:v>
                </c:pt>
                <c:pt idx="231">
                  <c:v>2.8795597005714312E-4</c:v>
                </c:pt>
                <c:pt idx="232">
                  <c:v>2.5455318414610952E-4</c:v>
                </c:pt>
                <c:pt idx="233">
                  <c:v>2.2394001670477729E-4</c:v>
                </c:pt>
                <c:pt idx="234">
                  <c:v>1.9595878935616741E-4</c:v>
                </c:pt>
                <c:pt idx="235">
                  <c:v>1.7060952501557158E-4</c:v>
                </c:pt>
                <c:pt idx="236">
                  <c:v>1.4789233346463188E-4</c:v>
                </c:pt>
                <c:pt idx="237">
                  <c:v>1.2780726790870051E-4</c:v>
                </c:pt>
                <c:pt idx="238">
                  <c:v>1.103544739808371E-4</c:v>
                </c:pt>
                <c:pt idx="239">
                  <c:v>9.5889238255471074E-5</c:v>
                </c:pt>
                <c:pt idx="240">
                  <c:v>8.2630467713814144E-5</c:v>
                </c:pt>
                <c:pt idx="241">
                  <c:v>7.0578206757259941E-5</c:v>
                </c:pt>
                <c:pt idx="242">
                  <c:v>5.9732545284941593E-5</c:v>
                </c:pt>
                <c:pt idx="243">
                  <c:v>5.0093620826716658E-5</c:v>
                </c:pt>
                <c:pt idx="244">
                  <c:v>4.1661620675288482E-5</c:v>
                </c:pt>
                <c:pt idx="245">
                  <c:v>3.4436784017844197E-5</c:v>
                </c:pt>
                <c:pt idx="246">
                  <c:v>2.8419404068000806E-5</c:v>
                </c:pt>
                <c:pt idx="247">
                  <c:v>2.3780618681963112E-5</c:v>
                </c:pt>
                <c:pt idx="248">
                  <c:v>1.9666895027309575E-5</c:v>
                </c:pt>
                <c:pt idx="249">
                  <c:v>1.6078371460777777E-5</c:v>
                </c:pt>
                <c:pt idx="250">
                  <c:v>1.301521176002533E-5</c:v>
                </c:pt>
                <c:pt idx="251">
                  <c:v>1.0477606051811343E-5</c:v>
                </c:pt>
                <c:pt idx="252">
                  <c:v>8.4657717393846584E-6</c:v>
                </c:pt>
                <c:pt idx="253">
                  <c:v>6.9907455650007893E-6</c:v>
                </c:pt>
                <c:pt idx="254">
                  <c:v>5.6969809494801983E-6</c:v>
                </c:pt>
                <c:pt idx="255">
                  <c:v>4.5845552609243019E-6</c:v>
                </c:pt>
                <c:pt idx="256">
                  <c:v>3.6535558818003669E-6</c:v>
                </c:pt>
                <c:pt idx="257">
                  <c:v>2.904080529032398E-6</c:v>
                </c:pt>
                <c:pt idx="258">
                  <c:v>2.3362375741533137E-6</c:v>
                </c:pt>
                <c:pt idx="259">
                  <c:v>1.9501463634680936E-6</c:v>
                </c:pt>
                <c:pt idx="260">
                  <c:v>1.7459375381351323E-6</c:v>
                </c:pt>
                <c:pt idx="261">
                  <c:v>1.7154492680793485E-6</c:v>
                </c:pt>
                <c:pt idx="262">
                  <c:v>1.6874713225020012E-6</c:v>
                </c:pt>
                <c:pt idx="263">
                  <c:v>1.6620052525619032E-6</c:v>
                </c:pt>
                <c:pt idx="264">
                  <c:v>1.6390528397430273E-6</c:v>
                </c:pt>
                <c:pt idx="265">
                  <c:v>1.6186246910433867E-6</c:v>
                </c:pt>
                <c:pt idx="266">
                  <c:v>1.6007269766832187E-6</c:v>
                </c:pt>
                <c:pt idx="267">
                  <c:v>3.3970781955938479E-6</c:v>
                </c:pt>
                <c:pt idx="268">
                  <c:v>6.9989629951646691E-6</c:v>
                </c:pt>
                <c:pt idx="269">
                  <c:v>1.240867350714151E-5</c:v>
                </c:pt>
                <c:pt idx="270">
                  <c:v>1.9628663563435596E-5</c:v>
                </c:pt>
                <c:pt idx="271">
                  <c:v>2.8661528827321342E-5</c:v>
                </c:pt>
                <c:pt idx="272">
                  <c:v>3.9509986924793182E-5</c:v>
                </c:pt>
                <c:pt idx="273">
                  <c:v>5.2176857575636517E-5</c:v>
                </c:pt>
                <c:pt idx="274">
                  <c:v>6.6665042724907487E-5</c:v>
                </c:pt>
                <c:pt idx="275">
                  <c:v>8.5197444815328686E-5</c:v>
                </c:pt>
                <c:pt idx="276">
                  <c:v>1.0778870222696616E-4</c:v>
                </c:pt>
                <c:pt idx="277">
                  <c:v>1.3444524016365E-4</c:v>
                </c:pt>
                <c:pt idx="278">
                  <c:v>1.6517356824445663E-4</c:v>
                </c:pt>
                <c:pt idx="279">
                  <c:v>1.9998023617109572E-4</c:v>
                </c:pt>
                <c:pt idx="280">
                  <c:v>2.3887178939685077E-4</c:v>
                </c:pt>
                <c:pt idx="281">
                  <c:v>2.8037255031265426E-4</c:v>
                </c:pt>
                <c:pt idx="282">
                  <c:v>3.2266198866667226E-4</c:v>
                </c:pt>
                <c:pt idx="283">
                  <c:v>3.6574117795643159E-4</c:v>
                </c:pt>
                <c:pt idx="284">
                  <c:v>4.0961101164320598E-4</c:v>
                </c:pt>
                <c:pt idx="285">
                  <c:v>4.542721950015147E-4</c:v>
                </c:pt>
                <c:pt idx="286">
                  <c:v>4.9972523697251791E-4</c:v>
                </c:pt>
                <c:pt idx="287">
                  <c:v>5.4597044201372543E-4</c:v>
                </c:pt>
                <c:pt idx="288">
                  <c:v>5.9300790194999971E-4</c:v>
                </c:pt>
                <c:pt idx="289">
                  <c:v>6.3798384028557989E-4</c:v>
                </c:pt>
                <c:pt idx="290">
                  <c:v>6.7865655427001284E-4</c:v>
                </c:pt>
                <c:pt idx="291">
                  <c:v>7.1501799463463158E-4</c:v>
                </c:pt>
                <c:pt idx="292">
                  <c:v>7.4706013802383576E-4</c:v>
                </c:pt>
                <c:pt idx="293">
                  <c:v>7.7477503432493515E-4</c:v>
                </c:pt>
                <c:pt idx="294">
                  <c:v>7.9815485399556874E-4</c:v>
                </c:pt>
                <c:pt idx="295">
                  <c:v>8.1658829103231309E-4</c:v>
                </c:pt>
                <c:pt idx="296">
                  <c:v>8.3157042440392195E-4</c:v>
                </c:pt>
                <c:pt idx="297">
                  <c:v>8.4310273776678742E-4</c:v>
                </c:pt>
                <c:pt idx="298">
                  <c:v>8.511799214381663E-4</c:v>
                </c:pt>
                <c:pt idx="299">
                  <c:v>8.5579650940253407E-4</c:v>
                </c:pt>
                <c:pt idx="300">
                  <c:v>8.5694691133951734E-4</c:v>
                </c:pt>
                <c:pt idx="301">
                  <c:v>8.5462544464925223E-4</c:v>
                </c:pt>
                <c:pt idx="302">
                  <c:v>8.4882636647964698E-4</c:v>
                </c:pt>
                <c:pt idx="303">
                  <c:v>8.4067649879076818E-4</c:v>
                </c:pt>
                <c:pt idx="304">
                  <c:v>8.3304558932440051E-4</c:v>
                </c:pt>
                <c:pt idx="305">
                  <c:v>8.2593362417902611E-4</c:v>
                </c:pt>
                <c:pt idx="306">
                  <c:v>8.1934061608600708E-4</c:v>
                </c:pt>
                <c:pt idx="307">
                  <c:v>8.1326659956268324E-4</c:v>
                </c:pt>
                <c:pt idx="308">
                  <c:v>8.0771162605861751E-4</c:v>
                </c:pt>
                <c:pt idx="309">
                  <c:v>8.0284381354132537E-4</c:v>
                </c:pt>
                <c:pt idx="310">
                  <c:v>7.992714434440309E-4</c:v>
                </c:pt>
                <c:pt idx="311">
                  <c:v>7.9699563704780643E-4</c:v>
                </c:pt>
                <c:pt idx="312">
                  <c:v>7.9601747976090721E-4</c:v>
                </c:pt>
                <c:pt idx="313">
                  <c:v>7.9633800915150611E-4</c:v>
                </c:pt>
                <c:pt idx="314">
                  <c:v>7.9795820297313687E-4</c:v>
                </c:pt>
                <c:pt idx="315">
                  <c:v>8.0087896720014949E-4</c:v>
                </c:pt>
                <c:pt idx="316">
                  <c:v>8.0510112405084383E-4</c:v>
                </c:pt>
                <c:pt idx="317">
                  <c:v>8.1030009714114866E-4</c:v>
                </c:pt>
                <c:pt idx="318">
                  <c:v>8.1533599021210614E-4</c:v>
                </c:pt>
                <c:pt idx="319">
                  <c:v>8.2020769660325066E-4</c:v>
                </c:pt>
                <c:pt idx="320">
                  <c:v>8.2491410526800563E-4</c:v>
                </c:pt>
                <c:pt idx="321">
                  <c:v>8.2945410220929634E-4</c:v>
                </c:pt>
                <c:pt idx="322">
                  <c:v>8.338265719187621E-4</c:v>
                </c:pt>
                <c:pt idx="323">
                  <c:v>8.3857826195355106E-4</c:v>
                </c:pt>
                <c:pt idx="324">
                  <c:v>8.4353949944464702E-4</c:v>
                </c:pt>
                <c:pt idx="325">
                  <c:v>8.4870939703583629E-4</c:v>
                </c:pt>
                <c:pt idx="326">
                  <c:v>8.5408171129849116E-4</c:v>
                </c:pt>
                <c:pt idx="327">
                  <c:v>8.5965358018427404E-4</c:v>
                </c:pt>
                <c:pt idx="328">
                  <c:v>8.6542647475000177E-4</c:v>
                </c:pt>
                <c:pt idx="329">
                  <c:v>8.7140187578127644E-4</c:v>
                </c:pt>
                <c:pt idx="330">
                  <c:v>8.7758127840822703E-4</c:v>
                </c:pt>
                <c:pt idx="331">
                  <c:v>8.8364575989859214E-4</c:v>
                </c:pt>
                <c:pt idx="332">
                  <c:v>8.8992329716216026E-4</c:v>
                </c:pt>
                <c:pt idx="333">
                  <c:v>8.9641547360828368E-4</c:v>
                </c:pt>
                <c:pt idx="334">
                  <c:v>9.0312390228626234E-4</c:v>
                </c:pt>
                <c:pt idx="335">
                  <c:v>9.1005023064173437E-4</c:v>
                </c:pt>
                <c:pt idx="336">
                  <c:v>9.1719614526132934E-4</c:v>
                </c:pt>
                <c:pt idx="337">
                  <c:v>9.2400427514791451E-4</c:v>
                </c:pt>
                <c:pt idx="338">
                  <c:v>9.2992738158676716E-4</c:v>
                </c:pt>
                <c:pt idx="339">
                  <c:v>9.3496722115938647E-4</c:v>
                </c:pt>
                <c:pt idx="340">
                  <c:v>9.3912561783750486E-4</c:v>
                </c:pt>
                <c:pt idx="341">
                  <c:v>9.4240444469599941E-4</c:v>
                </c:pt>
                <c:pt idx="342">
                  <c:v>9.4480560562514851E-4</c:v>
                </c:pt>
                <c:pt idx="343">
                  <c:v>9.4633101703148995E-4</c:v>
                </c:pt>
                <c:pt idx="344">
                  <c:v>9.4698258955346331E-4</c:v>
                </c:pt>
                <c:pt idx="345">
                  <c:v>9.4676220976711294E-4</c:v>
                </c:pt>
                <c:pt idx="346">
                  <c:v>9.4623352084412791E-4</c:v>
                </c:pt>
                <c:pt idx="347">
                  <c:v>9.4539841830295441E-4</c:v>
                </c:pt>
                <c:pt idx="348">
                  <c:v>9.4425876774029236E-4</c:v>
                </c:pt>
                <c:pt idx="349">
                  <c:v>9.4281639821054914E-4</c:v>
                </c:pt>
                <c:pt idx="350">
                  <c:v>9.4107309562739495E-4</c:v>
                </c:pt>
                <c:pt idx="351">
                  <c:v>9.3927186511783814E-4</c:v>
                </c:pt>
                <c:pt idx="352">
                  <c:v>9.3797413190126763E-4</c:v>
                </c:pt>
                <c:pt idx="353">
                  <c:v>9.3718197460362224E-4</c:v>
                </c:pt>
                <c:pt idx="354">
                  <c:v>9.3689753399601365E-4</c:v>
                </c:pt>
                <c:pt idx="355">
                  <c:v>9.3712302297332614E-4</c:v>
                </c:pt>
                <c:pt idx="356">
                  <c:v>9.3786138469630922E-4</c:v>
                </c:pt>
                <c:pt idx="357">
                  <c:v>9.391129162979097E-4</c:v>
                </c:pt>
                <c:pt idx="358">
                  <c:v>9.4087574050892694E-4</c:v>
                </c:pt>
                <c:pt idx="359">
                  <c:v>9.4314805199287115E-4</c:v>
                </c:pt>
                <c:pt idx="360">
                  <c:v>9.4536719285762919E-4</c:v>
                </c:pt>
                <c:pt idx="361">
                  <c:v>9.4728882560230919E-4</c:v>
                </c:pt>
                <c:pt idx="362">
                  <c:v>9.4891023540601583E-4</c:v>
                </c:pt>
                <c:pt idx="363">
                  <c:v>9.5022865729226197E-4</c:v>
                </c:pt>
                <c:pt idx="364">
                  <c:v>9.5124128430981996E-4</c:v>
                </c:pt>
                <c:pt idx="365">
                  <c:v>9.5194527570198917E-4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1.5388949190492079E-3</c:v>
                </c:pt>
                <c:pt idx="1">
                  <c:v>1.5409455082916414E-3</c:v>
                </c:pt>
                <c:pt idx="2">
                  <c:v>1.5414082165388125E-3</c:v>
                </c:pt>
                <c:pt idx="3">
                  <c:v>1.5402768216624609E-3</c:v>
                </c:pt>
                <c:pt idx="4">
                  <c:v>1.5375450793655059E-3</c:v>
                </c:pt>
                <c:pt idx="5">
                  <c:v>1.5332067639555632E-3</c:v>
                </c:pt>
                <c:pt idx="6">
                  <c:v>1.5272557091380843E-3</c:v>
                </c:pt>
                <c:pt idx="7">
                  <c:v>1.5196858487748831E-3</c:v>
                </c:pt>
                <c:pt idx="8">
                  <c:v>1.5104912576642819E-3</c:v>
                </c:pt>
                <c:pt idx="9">
                  <c:v>1.5001608343607141E-3</c:v>
                </c:pt>
                <c:pt idx="10">
                  <c:v>1.4894946489613448E-3</c:v>
                </c:pt>
                <c:pt idx="11">
                  <c:v>1.4784890376228947E-3</c:v>
                </c:pt>
                <c:pt idx="12">
                  <c:v>1.4671404839516251E-3</c:v>
                </c:pt>
                <c:pt idx="13">
                  <c:v>1.4554456267463836E-3</c:v>
                </c:pt>
                <c:pt idx="14">
                  <c:v>1.4434012677168103E-3</c:v>
                </c:pt>
                <c:pt idx="15">
                  <c:v>1.4307244665554071E-3</c:v>
                </c:pt>
                <c:pt idx="16">
                  <c:v>1.4182132532072056E-3</c:v>
                </c:pt>
                <c:pt idx="17">
                  <c:v>1.4058653978805884E-3</c:v>
                </c:pt>
                <c:pt idx="18">
                  <c:v>1.3936787592755222E-3</c:v>
                </c:pt>
                <c:pt idx="19">
                  <c:v>1.3816589858363026E-3</c:v>
                </c:pt>
                <c:pt idx="20">
                  <c:v>1.3698149905655239E-3</c:v>
                </c:pt>
                <c:pt idx="21">
                  <c:v>1.3581495215080231E-3</c:v>
                </c:pt>
                <c:pt idx="22">
                  <c:v>1.3466652348093884E-3</c:v>
                </c:pt>
                <c:pt idx="23">
                  <c:v>1.3353442541271128E-3</c:v>
                </c:pt>
                <c:pt idx="24">
                  <c:v>1.3236924999825766E-3</c:v>
                </c:pt>
                <c:pt idx="25">
                  <c:v>1.3117122825856236E-3</c:v>
                </c:pt>
                <c:pt idx="26">
                  <c:v>1.2994058881914876E-3</c:v>
                </c:pt>
                <c:pt idx="27">
                  <c:v>1.2867755753266435E-3</c:v>
                </c:pt>
                <c:pt idx="28">
                  <c:v>1.2738235710429086E-3</c:v>
                </c:pt>
                <c:pt idx="29">
                  <c:v>1.2628963915964357E-3</c:v>
                </c:pt>
                <c:pt idx="30">
                  <c:v>1.2542764035529091E-3</c:v>
                </c:pt>
                <c:pt idx="31">
                  <c:v>1.2479653512132392E-3</c:v>
                </c:pt>
                <c:pt idx="32">
                  <c:v>1.2439647715316859E-3</c:v>
                </c:pt>
                <c:pt idx="33">
                  <c:v>1.2422760231647098E-3</c:v>
                </c:pt>
                <c:pt idx="34">
                  <c:v>1.2429003155254624E-3</c:v>
                </c:pt>
                <c:pt idx="35">
                  <c:v>1.2458387378372245E-3</c:v>
                </c:pt>
                <c:pt idx="36">
                  <c:v>1.2510922881843411E-3</c:v>
                </c:pt>
                <c:pt idx="37">
                  <c:v>1.2597033347848774E-3</c:v>
                </c:pt>
                <c:pt idx="38">
                  <c:v>1.2716929477455377E-3</c:v>
                </c:pt>
                <c:pt idx="39">
                  <c:v>1.2870617380625002E-3</c:v>
                </c:pt>
                <c:pt idx="40">
                  <c:v>1.305810340912063E-3</c:v>
                </c:pt>
                <c:pt idx="41">
                  <c:v>1.3279394579904121E-3</c:v>
                </c:pt>
                <c:pt idx="42">
                  <c:v>1.3534498998447576E-3</c:v>
                </c:pt>
                <c:pt idx="43">
                  <c:v>1.3769154161894866E-3</c:v>
                </c:pt>
                <c:pt idx="44">
                  <c:v>1.3959966412009554E-3</c:v>
                </c:pt>
                <c:pt idx="45">
                  <c:v>1.4106966335188887E-3</c:v>
                </c:pt>
                <c:pt idx="46">
                  <c:v>1.4210183973760518E-3</c:v>
                </c:pt>
                <c:pt idx="47">
                  <c:v>1.426964827720114E-3</c:v>
                </c:pt>
                <c:pt idx="48">
                  <c:v>1.4285386553171532E-3</c:v>
                </c:pt>
                <c:pt idx="49">
                  <c:v>1.4257423918679136E-3</c:v>
                </c:pt>
                <c:pt idx="50">
                  <c:v>1.418578275115376E-3</c:v>
                </c:pt>
                <c:pt idx="51">
                  <c:v>1.4019222389216191E-3</c:v>
                </c:pt>
                <c:pt idx="52">
                  <c:v>1.374727859528877E-3</c:v>
                </c:pt>
                <c:pt idx="53">
                  <c:v>1.3369875891346326E-3</c:v>
                </c:pt>
                <c:pt idx="54">
                  <c:v>1.2887007536630424E-3</c:v>
                </c:pt>
                <c:pt idx="55">
                  <c:v>1.2298665608392394E-3</c:v>
                </c:pt>
                <c:pt idx="56">
                  <c:v>1.1604841392226738E-3</c:v>
                </c:pt>
                <c:pt idx="57">
                  <c:v>1.0844734700398676E-3</c:v>
                </c:pt>
                <c:pt idx="58">
                  <c:v>1.0072585759082521E-3</c:v>
                </c:pt>
                <c:pt idx="59">
                  <c:v>9.2883877140372841E-4</c:v>
                </c:pt>
                <c:pt idx="60">
                  <c:v>8.4921347887341534E-4</c:v>
                </c:pt>
                <c:pt idx="61">
                  <c:v>7.6838223289406966E-4</c:v>
                </c:pt>
                <c:pt idx="62">
                  <c:v>6.8634468472929212E-4</c:v>
                </c:pt>
                <c:pt idx="63">
                  <c:v>6.0310060678912217E-4</c:v>
                </c:pt>
                <c:pt idx="64">
                  <c:v>5.1864989708663939E-4</c:v>
                </c:pt>
                <c:pt idx="65">
                  <c:v>4.3714052312805854E-4</c:v>
                </c:pt>
                <c:pt idx="66">
                  <c:v>3.6369888208358746E-4</c:v>
                </c:pt>
                <c:pt idx="67">
                  <c:v>2.9832528442686628E-4</c:v>
                </c:pt>
                <c:pt idx="68">
                  <c:v>2.4102004956899818E-4</c:v>
                </c:pt>
                <c:pt idx="69">
                  <c:v>1.9178347600654649E-4</c:v>
                </c:pt>
                <c:pt idx="70">
                  <c:v>1.5061581147126797E-4</c:v>
                </c:pt>
                <c:pt idx="71">
                  <c:v>1.1750856417175466E-4</c:v>
                </c:pt>
                <c:pt idx="72">
                  <c:v>8.8540825559242485E-5</c:v>
                </c:pt>
                <c:pt idx="73">
                  <c:v>6.3712726683155615E-5</c:v>
                </c:pt>
                <c:pt idx="74">
                  <c:v>4.3024335164756531E-5</c:v>
                </c:pt>
                <c:pt idx="75">
                  <c:v>2.6475639884277712E-5</c:v>
                </c:pt>
                <c:pt idx="76">
                  <c:v>1.4066535667852694E-5</c:v>
                </c:pt>
                <c:pt idx="77">
                  <c:v>5.7968079745951385E-6</c:v>
                </c:pt>
                <c:pt idx="78">
                  <c:v>1.6661176388970848E-6</c:v>
                </c:pt>
                <c:pt idx="79">
                  <c:v>1.6897136166300948E-6</c:v>
                </c:pt>
                <c:pt idx="80">
                  <c:v>1.7203717588373697E-6</c:v>
                </c:pt>
                <c:pt idx="81">
                  <c:v>1.7580905014453605E-6</c:v>
                </c:pt>
                <c:pt idx="82">
                  <c:v>1.8028682205840655E-6</c:v>
                </c:pt>
                <c:pt idx="83">
                  <c:v>1.8547032099543346E-6</c:v>
                </c:pt>
                <c:pt idx="84">
                  <c:v>1.9135936582012947E-6</c:v>
                </c:pt>
                <c:pt idx="85">
                  <c:v>2.2560064984632734E-6</c:v>
                </c:pt>
                <c:pt idx="86">
                  <c:v>2.890548577958284E-6</c:v>
                </c:pt>
                <c:pt idx="87">
                  <c:v>3.8171675272874458E-6</c:v>
                </c:pt>
                <c:pt idx="88">
                  <c:v>5.0358059486780805E-6</c:v>
                </c:pt>
                <c:pt idx="89">
                  <c:v>6.5464004797321052E-6</c:v>
                </c:pt>
                <c:pt idx="90">
                  <c:v>8.3488808571613108E-6</c:v>
                </c:pt>
                <c:pt idx="91">
                  <c:v>1.0443168980543469E-5</c:v>
                </c:pt>
                <c:pt idx="92">
                  <c:v>1.2829177976070068E-5</c:v>
                </c:pt>
                <c:pt idx="93">
                  <c:v>1.6196822198825576E-5</c:v>
                </c:pt>
                <c:pt idx="94">
                  <c:v>2.0530118216752669E-5</c:v>
                </c:pt>
                <c:pt idx="95">
                  <c:v>2.5828762552076544E-5</c:v>
                </c:pt>
                <c:pt idx="96">
                  <c:v>3.2092417350397396E-5</c:v>
                </c:pt>
                <c:pt idx="97">
                  <c:v>3.9320707282776932E-5</c:v>
                </c:pt>
                <c:pt idx="98">
                  <c:v>4.7513216447634966E-5</c:v>
                </c:pt>
                <c:pt idx="99">
                  <c:v>5.8193131883234493E-5</c:v>
                </c:pt>
                <c:pt idx="100">
                  <c:v>7.108328158769985E-5</c:v>
                </c:pt>
                <c:pt idx="101">
                  <c:v>8.6182620639445567E-5</c:v>
                </c:pt>
                <c:pt idx="102">
                  <c:v>1.0348999596825286E-4</c:v>
                </c:pt>
                <c:pt idx="103">
                  <c:v>1.2300413925464925E-4</c:v>
                </c:pt>
                <c:pt idx="104">
                  <c:v>1.4472365983146098E-4</c:v>
                </c:pt>
                <c:pt idx="105">
                  <c:v>1.6864703758339987E-4</c:v>
                </c:pt>
                <c:pt idx="106">
                  <c:v>1.9477261584789331E-4</c:v>
                </c:pt>
                <c:pt idx="107">
                  <c:v>2.2549660861179025E-4</c:v>
                </c:pt>
                <c:pt idx="108">
                  <c:v>2.6012706205652796E-4</c:v>
                </c:pt>
                <c:pt idx="109">
                  <c:v>2.9866083395985865E-4</c:v>
                </c:pt>
                <c:pt idx="110">
                  <c:v>3.4109548616649164E-4</c:v>
                </c:pt>
                <c:pt idx="111">
                  <c:v>3.8742885582597388E-4</c:v>
                </c:pt>
                <c:pt idx="112">
                  <c:v>4.3765790965395919E-4</c:v>
                </c:pt>
                <c:pt idx="113">
                  <c:v>4.9270293113400651E-4</c:v>
                </c:pt>
                <c:pt idx="114">
                  <c:v>5.5104018254119433E-4</c:v>
                </c:pt>
                <c:pt idx="115">
                  <c:v>6.1266654053987067E-4</c:v>
                </c:pt>
                <c:pt idx="116">
                  <c:v>6.7757872710712155E-4</c:v>
                </c:pt>
                <c:pt idx="117">
                  <c:v>7.4577330228069812E-4</c:v>
                </c:pt>
                <c:pt idx="118">
                  <c:v>8.1724665690156308E-4</c:v>
                </c:pt>
                <c:pt idx="119">
                  <c:v>8.919950053578444E-4</c:v>
                </c:pt>
                <c:pt idx="120">
                  <c:v>9.7001437832722843E-4</c:v>
                </c:pt>
                <c:pt idx="121">
                  <c:v>1.045744245763838E-3</c:v>
                </c:pt>
                <c:pt idx="122">
                  <c:v>1.1167945037662116E-3</c:v>
                </c:pt>
                <c:pt idx="123">
                  <c:v>1.1831670999018034E-3</c:v>
                </c:pt>
                <c:pt idx="124">
                  <c:v>1.2448641128512906E-3</c:v>
                </c:pt>
                <c:pt idx="125">
                  <c:v>1.3018877625701566E-3</c:v>
                </c:pt>
                <c:pt idx="126">
                  <c:v>1.3542404204342404E-3</c:v>
                </c:pt>
                <c:pt idx="127">
                  <c:v>1.3952755510078534E-3</c:v>
                </c:pt>
                <c:pt idx="128">
                  <c:v>1.4240820601151742E-3</c:v>
                </c:pt>
                <c:pt idx="129">
                  <c:v>1.4406701460032356E-3</c:v>
                </c:pt>
                <c:pt idx="130">
                  <c:v>1.4450505879961277E-3</c:v>
                </c:pt>
                <c:pt idx="131">
                  <c:v>1.4372347732408261E-3</c:v>
                </c:pt>
                <c:pt idx="132">
                  <c:v>1.417234723466437E-3</c:v>
                </c:pt>
                <c:pt idx="133">
                  <c:v>1.385063121752717E-3</c:v>
                </c:pt>
                <c:pt idx="134">
                  <c:v>1.3407333392907942E-3</c:v>
                </c:pt>
                <c:pt idx="135">
                  <c:v>1.2862949801116664E-3</c:v>
                </c:pt>
                <c:pt idx="136">
                  <c:v>1.2272905632081709E-3</c:v>
                </c:pt>
                <c:pt idx="137">
                  <c:v>1.1637267815996491E-3</c:v>
                </c:pt>
                <c:pt idx="138">
                  <c:v>1.0956106575864813E-3</c:v>
                </c:pt>
                <c:pt idx="139">
                  <c:v>1.022949552888951E-3</c:v>
                </c:pt>
                <c:pt idx="140">
                  <c:v>9.4575117872202393E-4</c:v>
                </c:pt>
                <c:pt idx="141">
                  <c:v>8.6792029103874573E-4</c:v>
                </c:pt>
                <c:pt idx="142">
                  <c:v>7.9606785202164802E-4</c:v>
                </c:pt>
                <c:pt idx="143">
                  <c:v>7.3018601740887487E-4</c:v>
                </c:pt>
                <c:pt idx="144">
                  <c:v>6.7027151144773156E-4</c:v>
                </c:pt>
                <c:pt idx="145">
                  <c:v>6.1632001192714011E-4</c:v>
                </c:pt>
                <c:pt idx="146">
                  <c:v>5.6832622977676084E-4</c:v>
                </c:pt>
                <c:pt idx="147">
                  <c:v>5.2628398868875988E-4</c:v>
                </c:pt>
                <c:pt idx="148">
                  <c:v>4.901863047232232E-4</c:v>
                </c:pt>
                <c:pt idx="149">
                  <c:v>4.60099771098934E-4</c:v>
                </c:pt>
                <c:pt idx="150">
                  <c:v>4.3399486855735044E-4</c:v>
                </c:pt>
                <c:pt idx="151">
                  <c:v>4.1186614400733258E-4</c:v>
                </c:pt>
                <c:pt idx="152">
                  <c:v>3.9370776380555947E-4</c:v>
                </c:pt>
                <c:pt idx="153">
                  <c:v>3.7951356709429237E-4</c:v>
                </c:pt>
                <c:pt idx="154">
                  <c:v>3.6927711914153268E-4</c:v>
                </c:pt>
                <c:pt idx="155">
                  <c:v>3.6283780680585191E-4</c:v>
                </c:pt>
                <c:pt idx="156">
                  <c:v>3.563250163342947E-4</c:v>
                </c:pt>
                <c:pt idx="157">
                  <c:v>3.4973944607315471E-4</c:v>
                </c:pt>
                <c:pt idx="158">
                  <c:v>3.4308176131872038E-4</c:v>
                </c:pt>
                <c:pt idx="159">
                  <c:v>3.3635259323353423E-4</c:v>
                </c:pt>
                <c:pt idx="160">
                  <c:v>3.2955253776693547E-4</c:v>
                </c:pt>
                <c:pt idx="161">
                  <c:v>3.2268215457166853E-4</c:v>
                </c:pt>
                <c:pt idx="162">
                  <c:v>3.1574196592237445E-4</c:v>
                </c:pt>
                <c:pt idx="163">
                  <c:v>3.0924792868909201E-4</c:v>
                </c:pt>
                <c:pt idx="164">
                  <c:v>3.0312591852164596E-4</c:v>
                </c:pt>
                <c:pt idx="165">
                  <c:v>2.9737554686533373E-4</c:v>
                </c:pt>
                <c:pt idx="166">
                  <c:v>2.9199641199265298E-4</c:v>
                </c:pt>
                <c:pt idx="167">
                  <c:v>2.8698810392737708E-4</c:v>
                </c:pt>
                <c:pt idx="168">
                  <c:v>2.8235020937812942E-4</c:v>
                </c:pt>
                <c:pt idx="169">
                  <c:v>2.7859596377656937E-4</c:v>
                </c:pt>
                <c:pt idx="170">
                  <c:v>2.7587667484151171E-4</c:v>
                </c:pt>
                <c:pt idx="171">
                  <c:v>2.741909136849285E-4</c:v>
                </c:pt>
                <c:pt idx="172">
                  <c:v>2.7353734230516861E-4</c:v>
                </c:pt>
                <c:pt idx="173">
                  <c:v>2.7391192655484159E-4</c:v>
                </c:pt>
                <c:pt idx="174">
                  <c:v>2.7531054466874139E-4</c:v>
                </c:pt>
                <c:pt idx="175">
                  <c:v>2.777318052559674E-4</c:v>
                </c:pt>
                <c:pt idx="176">
                  <c:v>2.8117432368185126E-4</c:v>
                </c:pt>
                <c:pt idx="177">
                  <c:v>2.8548471511741404E-4</c:v>
                </c:pt>
                <c:pt idx="178">
                  <c:v>2.9015057320515091E-4</c:v>
                </c:pt>
                <c:pt idx="179">
                  <c:v>2.9517156080989526E-4</c:v>
                </c:pt>
                <c:pt idx="180">
                  <c:v>3.0054735826758261E-4</c:v>
                </c:pt>
                <c:pt idx="181">
                  <c:v>3.0627766549417993E-4</c:v>
                </c:pt>
                <c:pt idx="182">
                  <c:v>3.1236220409715931E-4</c:v>
                </c:pt>
                <c:pt idx="183">
                  <c:v>3.1887360288337219E-4</c:v>
                </c:pt>
                <c:pt idx="184">
                  <c:v>3.2530174605141369E-4</c:v>
                </c:pt>
                <c:pt idx="185">
                  <c:v>3.3164705278974763E-4</c:v>
                </c:pt>
                <c:pt idx="186">
                  <c:v>3.3790995476777196E-4</c:v>
                </c:pt>
                <c:pt idx="187">
                  <c:v>3.4409089567389087E-4</c:v>
                </c:pt>
                <c:pt idx="188">
                  <c:v>3.5019033075577385E-4</c:v>
                </c:pt>
                <c:pt idx="189">
                  <c:v>3.5620872635010626E-4</c:v>
                </c:pt>
                <c:pt idx="190">
                  <c:v>3.6214655942705214E-4</c:v>
                </c:pt>
                <c:pt idx="191">
                  <c:v>3.7179694543325564E-4</c:v>
                </c:pt>
                <c:pt idx="192">
                  <c:v>3.8530663338753586E-4</c:v>
                </c:pt>
                <c:pt idx="193">
                  <c:v>4.0267149538540968E-4</c:v>
                </c:pt>
                <c:pt idx="194">
                  <c:v>4.2388769448261352E-4</c:v>
                </c:pt>
                <c:pt idx="195">
                  <c:v>4.4895170754428792E-4</c:v>
                </c:pt>
                <c:pt idx="196">
                  <c:v>4.7786034807895312E-4</c:v>
                </c:pt>
                <c:pt idx="197">
                  <c:v>5.1258258280912955E-4</c:v>
                </c:pt>
                <c:pt idx="198">
                  <c:v>5.5304153158658117E-4</c:v>
                </c:pt>
                <c:pt idx="199">
                  <c:v>5.9923339002910831E-4</c:v>
                </c:pt>
                <c:pt idx="200">
                  <c:v>6.5115495882836396E-4</c:v>
                </c:pt>
                <c:pt idx="201">
                  <c:v>7.0880367783473109E-4</c:v>
                </c:pt>
                <c:pt idx="202">
                  <c:v>7.7217766014367971E-4</c:v>
                </c:pt>
                <c:pt idx="203">
                  <c:v>8.4127572619914601E-4</c:v>
                </c:pt>
                <c:pt idx="204">
                  <c:v>9.1609595853055247E-4</c:v>
                </c:pt>
                <c:pt idx="205">
                  <c:v>9.9022719548910688E-4</c:v>
                </c:pt>
                <c:pt idx="206">
                  <c:v>1.0598983172785024E-3</c:v>
                </c:pt>
                <c:pt idx="207">
                  <c:v>1.125114801392345E-3</c:v>
                </c:pt>
                <c:pt idx="208">
                  <c:v>1.1858816768774332E-3</c:v>
                </c:pt>
                <c:pt idx="209">
                  <c:v>1.2422035380959822E-3</c:v>
                </c:pt>
                <c:pt idx="210">
                  <c:v>1.2940845585269684E-3</c:v>
                </c:pt>
                <c:pt idx="211">
                  <c:v>1.3361877160395564E-3</c:v>
                </c:pt>
                <c:pt idx="212">
                  <c:v>1.3665537772552996E-3</c:v>
                </c:pt>
                <c:pt idx="213">
                  <c:v>1.3851883530384395E-3</c:v>
                </c:pt>
                <c:pt idx="214">
                  <c:v>1.3920961901766153E-3</c:v>
                </c:pt>
                <c:pt idx="215">
                  <c:v>1.3872812078474675E-3</c:v>
                </c:pt>
                <c:pt idx="216">
                  <c:v>1.370746534080577E-3</c:v>
                </c:pt>
                <c:pt idx="217">
                  <c:v>1.3424945422246676E-3</c:v>
                </c:pt>
                <c:pt idx="218">
                  <c:v>1.3025268874067872E-3</c:v>
                </c:pt>
                <c:pt idx="219">
                  <c:v>1.251729807751989E-3</c:v>
                </c:pt>
                <c:pt idx="220">
                  <c:v>1.1964998090740659E-3</c:v>
                </c:pt>
                <c:pt idx="221">
                  <c:v>1.1368356600074221E-3</c:v>
                </c:pt>
                <c:pt idx="222">
                  <c:v>1.0727359507376976E-3</c:v>
                </c:pt>
                <c:pt idx="223">
                  <c:v>1.0041991068560079E-3</c:v>
                </c:pt>
                <c:pt idx="224">
                  <c:v>9.312234031834607E-4</c:v>
                </c:pt>
                <c:pt idx="225">
                  <c:v>8.561026609347907E-4</c:v>
                </c:pt>
                <c:pt idx="226">
                  <c:v>7.8417033726745208E-4</c:v>
                </c:pt>
                <c:pt idx="227">
                  <c:v>7.1542450230084739E-4</c:v>
                </c:pt>
                <c:pt idx="228">
                  <c:v>6.498634565391152E-4</c:v>
                </c:pt>
                <c:pt idx="229">
                  <c:v>5.8748572097598139E-4</c:v>
                </c:pt>
                <c:pt idx="230">
                  <c:v>5.2829002721237802E-4</c:v>
                </c:pt>
                <c:pt idx="231">
                  <c:v>4.7227530757388701E-4</c:v>
                </c:pt>
                <c:pt idx="232">
                  <c:v>4.1944068521664182E-4</c:v>
                </c:pt>
                <c:pt idx="233">
                  <c:v>3.712426910401192E-4</c:v>
                </c:pt>
                <c:pt idx="234">
                  <c:v>3.2679572109203824E-4</c:v>
                </c:pt>
                <c:pt idx="235">
                  <c:v>2.8609975652149877E-4</c:v>
                </c:pt>
                <c:pt idx="236">
                  <c:v>2.4915490567681449E-4</c:v>
                </c:pt>
                <c:pt idx="237">
                  <c:v>2.1596115947738583E-4</c:v>
                </c:pt>
                <c:pt idx="238">
                  <c:v>1.8651863734799577E-4</c:v>
                </c:pt>
                <c:pt idx="239">
                  <c:v>1.6148740707135965E-4</c:v>
                </c:pt>
                <c:pt idx="240">
                  <c:v>1.3857086550309952E-4</c:v>
                </c:pt>
                <c:pt idx="241">
                  <c:v>1.1776909654667937E-4</c:v>
                </c:pt>
                <c:pt idx="242">
                  <c:v>9.9082264082274221E-5</c:v>
                </c:pt>
                <c:pt idx="243">
                  <c:v>8.2510615705383875E-5</c:v>
                </c:pt>
                <c:pt idx="244">
                  <c:v>6.8054486463982726E-5</c:v>
                </c:pt>
                <c:pt idx="245">
                  <c:v>5.5714302594876472E-5</c:v>
                </c:pt>
                <c:pt idx="246">
                  <c:v>4.5490585260593352E-5</c:v>
                </c:pt>
                <c:pt idx="247">
                  <c:v>3.7648434695742546E-5</c:v>
                </c:pt>
                <c:pt idx="248">
                  <c:v>3.0729313954434529E-5</c:v>
                </c:pt>
                <c:pt idx="249">
                  <c:v>2.4733473819688304E-5</c:v>
                </c:pt>
                <c:pt idx="250">
                  <c:v>1.9661209980930637E-5</c:v>
                </c:pt>
                <c:pt idx="251">
                  <c:v>1.5512864665487586E-5</c:v>
                </c:pt>
                <c:pt idx="252">
                  <c:v>1.2288828268842697E-5</c:v>
                </c:pt>
                <c:pt idx="253">
                  <c:v>1.0004592401358614E-5</c:v>
                </c:pt>
                <c:pt idx="254">
                  <c:v>7.9993874867895784E-6</c:v>
                </c:pt>
                <c:pt idx="255">
                  <c:v>6.2733320997647448E-6</c:v>
                </c:pt>
                <c:pt idx="256">
                  <c:v>4.826560222160176E-6</c:v>
                </c:pt>
                <c:pt idx="257">
                  <c:v>3.6592217358706942E-6</c:v>
                </c:pt>
                <c:pt idx="258">
                  <c:v>2.7714829156688346E-6</c:v>
                </c:pt>
                <c:pt idx="259">
                  <c:v>2.1635269220690304E-6</c:v>
                </c:pt>
                <c:pt idx="260">
                  <c:v>1.8355542940907025E-6</c:v>
                </c:pt>
                <c:pt idx="261">
                  <c:v>1.7794793558727567E-6</c:v>
                </c:pt>
                <c:pt idx="262">
                  <c:v>1.7301706040714879E-6</c:v>
                </c:pt>
                <c:pt idx="263">
                  <c:v>1.6876326459530365E-6</c:v>
                </c:pt>
                <c:pt idx="264">
                  <c:v>1.6518705968423896E-6</c:v>
                </c:pt>
                <c:pt idx="265">
                  <c:v>1.6228987034621903E-6</c:v>
                </c:pt>
                <c:pt idx="266">
                  <c:v>1.6007269766832187E-6</c:v>
                </c:pt>
                <c:pt idx="267">
                  <c:v>5.5711268584766743E-6</c:v>
                </c:pt>
                <c:pt idx="268">
                  <c:v>1.3523655959788173E-5</c:v>
                </c:pt>
                <c:pt idx="269">
                  <c:v>2.5463372234129896E-5</c:v>
                </c:pt>
                <c:pt idx="270">
                  <c:v>4.1395690228767607E-5</c:v>
                </c:pt>
                <c:pt idx="271">
                  <c:v>6.1326337263542806E-5</c:v>
                </c:pt>
                <c:pt idx="272">
                  <c:v>8.526130960999195E-5</c:v>
                </c:pt>
                <c:pt idx="273">
                  <c:v>1.1320682866986046E-4</c:v>
                </c:pt>
                <c:pt idx="274">
                  <c:v>1.4516929715449229E-4</c:v>
                </c:pt>
                <c:pt idx="275">
                  <c:v>1.8493635084193883E-4</c:v>
                </c:pt>
                <c:pt idx="276">
                  <c:v>2.3252856012379272E-4</c:v>
                </c:pt>
                <c:pt idx="277">
                  <c:v>2.8795838377129761E-4</c:v>
                </c:pt>
                <c:pt idx="278">
                  <c:v>3.5123842543547182E-4</c:v>
                </c:pt>
                <c:pt idx="279">
                  <c:v>4.2238134822238603E-4</c:v>
                </c:pt>
                <c:pt idx="280">
                  <c:v>5.0139978927173535E-4</c:v>
                </c:pt>
                <c:pt idx="281">
                  <c:v>5.833480381545555E-4</c:v>
                </c:pt>
                <c:pt idx="282">
                  <c:v>6.6421652575338226E-4</c:v>
                </c:pt>
                <c:pt idx="283">
                  <c:v>7.4400320336875502E-4</c:v>
                </c:pt>
                <c:pt idx="284">
                  <c:v>8.2270566292098391E-4</c:v>
                </c:pt>
                <c:pt idx="285">
                  <c:v>9.0032114970516866E-4</c:v>
                </c:pt>
                <c:pt idx="286">
                  <c:v>9.7684657515406648E-4</c:v>
                </c:pt>
                <c:pt idx="287">
                  <c:v>1.0522785295934572E-3</c:v>
                </c:pt>
                <c:pt idx="288">
                  <c:v>1.1266132950001498E-3</c:v>
                </c:pt>
                <c:pt idx="289">
                  <c:v>1.1945777018280283E-3</c:v>
                </c:pt>
                <c:pt idx="290">
                  <c:v>1.252349284476805E-3</c:v>
                </c:pt>
                <c:pt idx="291">
                  <c:v>1.299910185321977E-3</c:v>
                </c:pt>
                <c:pt idx="292">
                  <c:v>1.3372427737981364E-3</c:v>
                </c:pt>
                <c:pt idx="293">
                  <c:v>1.3643297581061346E-3</c:v>
                </c:pt>
                <c:pt idx="294">
                  <c:v>1.3811542969156547E-3</c:v>
                </c:pt>
                <c:pt idx="295">
                  <c:v>1.3887137220356814E-3</c:v>
                </c:pt>
                <c:pt idx="296">
                  <c:v>1.3920058833107099E-3</c:v>
                </c:pt>
                <c:pt idx="297">
                  <c:v>1.3910352199221453E-3</c:v>
                </c:pt>
                <c:pt idx="298">
                  <c:v>1.3857945661354238E-3</c:v>
                </c:pt>
                <c:pt idx="299">
                  <c:v>1.3762766202498606E-3</c:v>
                </c:pt>
                <c:pt idx="300">
                  <c:v>1.362473984069002E-3</c:v>
                </c:pt>
                <c:pt idx="301">
                  <c:v>1.3443792023667669E-3</c:v>
                </c:pt>
                <c:pt idx="302">
                  <c:v>1.321984802356672E-3</c:v>
                </c:pt>
                <c:pt idx="303">
                  <c:v>1.2975721906730321E-3</c:v>
                </c:pt>
                <c:pt idx="304">
                  <c:v>1.2764437937567423E-3</c:v>
                </c:pt>
                <c:pt idx="305">
                  <c:v>1.2586031619661539E-3</c:v>
                </c:pt>
                <c:pt idx="306">
                  <c:v>1.2440539073033132E-3</c:v>
                </c:pt>
                <c:pt idx="307">
                  <c:v>1.2327996729770722E-3</c:v>
                </c:pt>
                <c:pt idx="308">
                  <c:v>1.2248441029558627E-3</c:v>
                </c:pt>
                <c:pt idx="309">
                  <c:v>1.2201707917209607E-3</c:v>
                </c:pt>
                <c:pt idx="310">
                  <c:v>1.2177626596209653E-3</c:v>
                </c:pt>
                <c:pt idx="311">
                  <c:v>1.217621761170799E-3</c:v>
                </c:pt>
                <c:pt idx="312">
                  <c:v>1.2197500739375433E-3</c:v>
                </c:pt>
                <c:pt idx="313">
                  <c:v>1.2241494776559715E-3</c:v>
                </c:pt>
                <c:pt idx="314">
                  <c:v>1.230821733332935E-3</c:v>
                </c:pt>
                <c:pt idx="315">
                  <c:v>1.2397684623671112E-3</c:v>
                </c:pt>
                <c:pt idx="316">
                  <c:v>1.2509911256498268E-3</c:v>
                </c:pt>
                <c:pt idx="317">
                  <c:v>1.2642155325997169E-3</c:v>
                </c:pt>
                <c:pt idx="318">
                  <c:v>1.2771383307447731E-3</c:v>
                </c:pt>
                <c:pt idx="319">
                  <c:v>1.2897575356470329E-3</c:v>
                </c:pt>
                <c:pt idx="320">
                  <c:v>1.3020711417044673E-3</c:v>
                </c:pt>
                <c:pt idx="321">
                  <c:v>1.3140771248585374E-3</c:v>
                </c:pt>
                <c:pt idx="322">
                  <c:v>1.3257734453075516E-3</c:v>
                </c:pt>
                <c:pt idx="323">
                  <c:v>1.3376469662987759E-3</c:v>
                </c:pt>
                <c:pt idx="324">
                  <c:v>1.3497161814982573E-3</c:v>
                </c:pt>
                <c:pt idx="325">
                  <c:v>1.3619793222290548E-3</c:v>
                </c:pt>
                <c:pt idx="326">
                  <c:v>1.3744260013652007E-3</c:v>
                </c:pt>
                <c:pt idx="327">
                  <c:v>1.3870511995812162E-3</c:v>
                </c:pt>
                <c:pt idx="328">
                  <c:v>1.3998568871453235E-3</c:v>
                </c:pt>
                <c:pt idx="329">
                  <c:v>1.4128451032839975E-3</c:v>
                </c:pt>
                <c:pt idx="330">
                  <c:v>1.4260179606055484E-3</c:v>
                </c:pt>
                <c:pt idx="331">
                  <c:v>1.4385865666623069E-3</c:v>
                </c:pt>
                <c:pt idx="332">
                  <c:v>1.4508294739296239E-3</c:v>
                </c:pt>
                <c:pt idx="333">
                  <c:v>1.4627489559888142E-3</c:v>
                </c:pt>
                <c:pt idx="334">
                  <c:v>1.4743474159565602E-3</c:v>
                </c:pt>
                <c:pt idx="335">
                  <c:v>1.4856273802279795E-3</c:v>
                </c:pt>
                <c:pt idx="336">
                  <c:v>1.4965914922005731E-3</c:v>
                </c:pt>
                <c:pt idx="337">
                  <c:v>1.506445636078751E-3</c:v>
                </c:pt>
                <c:pt idx="338">
                  <c:v>1.514702697892183E-3</c:v>
                </c:pt>
                <c:pt idx="339">
                  <c:v>1.5213655481152719E-3</c:v>
                </c:pt>
                <c:pt idx="340">
                  <c:v>1.5264371586664566E-3</c:v>
                </c:pt>
                <c:pt idx="341">
                  <c:v>1.5299205698896786E-3</c:v>
                </c:pt>
                <c:pt idx="342">
                  <c:v>1.5318188575347419E-3</c:v>
                </c:pt>
                <c:pt idx="343">
                  <c:v>1.5321350997191787E-3</c:v>
                </c:pt>
                <c:pt idx="344">
                  <c:v>1.5308723439141293E-3</c:v>
                </c:pt>
                <c:pt idx="345">
                  <c:v>1.5280335739140871E-3</c:v>
                </c:pt>
                <c:pt idx="346">
                  <c:v>1.5249258348975655E-3</c:v>
                </c:pt>
                <c:pt idx="347">
                  <c:v>1.5215521440866543E-3</c:v>
                </c:pt>
                <c:pt idx="348">
                  <c:v>1.5179154697276824E-3</c:v>
                </c:pt>
                <c:pt idx="349">
                  <c:v>1.5140187251635119E-3</c:v>
                </c:pt>
                <c:pt idx="350">
                  <c:v>1.509864762941369E-3</c:v>
                </c:pt>
                <c:pt idx="351">
                  <c:v>1.5059691729230043E-3</c:v>
                </c:pt>
                <c:pt idx="352">
                  <c:v>1.5031325370395807E-3</c:v>
                </c:pt>
                <c:pt idx="353">
                  <c:v>1.5013582544100583E-3</c:v>
                </c:pt>
                <c:pt idx="354">
                  <c:v>1.5006498562280927E-3</c:v>
                </c:pt>
                <c:pt idx="355">
                  <c:v>1.5010110269955532E-3</c:v>
                </c:pt>
                <c:pt idx="356">
                  <c:v>1.5024466641089505E-3</c:v>
                </c:pt>
                <c:pt idx="357">
                  <c:v>1.5049574742324607E-3</c:v>
                </c:pt>
                <c:pt idx="358">
                  <c:v>1.5085407254051884E-3</c:v>
                </c:pt>
                <c:pt idx="359">
                  <c:v>1.5131938385630503E-3</c:v>
                </c:pt>
                <c:pt idx="360">
                  <c:v>1.5181149106637387E-3</c:v>
                </c:pt>
                <c:pt idx="361">
                  <c:v>1.5227863503168367E-3</c:v>
                </c:pt>
                <c:pt idx="362">
                  <c:v>1.5272041662810587E-3</c:v>
                </c:pt>
                <c:pt idx="363">
                  <c:v>1.5313642950128504E-3</c:v>
                </c:pt>
                <c:pt idx="364">
                  <c:v>1.5352626079954154E-3</c:v>
                </c:pt>
                <c:pt idx="365">
                  <c:v>1.5388949190492079E-3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2.4173893898335121E-3</c:v>
                </c:pt>
                <c:pt idx="1">
                  <c:v>2.4226746350153065E-3</c:v>
                </c:pt>
                <c:pt idx="2">
                  <c:v>2.4254311659133434E-3</c:v>
                </c:pt>
                <c:pt idx="3">
                  <c:v>2.4256491773795752E-3</c:v>
                </c:pt>
                <c:pt idx="4">
                  <c:v>2.4233188081725179E-3</c:v>
                </c:pt>
                <c:pt idx="5">
                  <c:v>2.4184302059339709E-3</c:v>
                </c:pt>
                <c:pt idx="6">
                  <c:v>2.4109735921967069E-3</c:v>
                </c:pt>
                <c:pt idx="7">
                  <c:v>2.4009393273375784E-3</c:v>
                </c:pt>
                <c:pt idx="8">
                  <c:v>2.3883179755646838E-3</c:v>
                </c:pt>
                <c:pt idx="9">
                  <c:v>2.3727445064003106E-3</c:v>
                </c:pt>
                <c:pt idx="10">
                  <c:v>2.3547708612291166E-3</c:v>
                </c:pt>
                <c:pt idx="11">
                  <c:v>2.3343888793202557E-3</c:v>
                </c:pt>
                <c:pt idx="12">
                  <c:v>2.311590843400226E-3</c:v>
                </c:pt>
                <c:pt idx="13">
                  <c:v>2.2863695394229702E-3</c:v>
                </c:pt>
                <c:pt idx="14">
                  <c:v>2.2587183163010022E-3</c:v>
                </c:pt>
                <c:pt idx="15">
                  <c:v>2.2289263996929298E-3</c:v>
                </c:pt>
                <c:pt idx="16">
                  <c:v>2.1989884565409503E-3</c:v>
                </c:pt>
                <c:pt idx="17">
                  <c:v>2.1689016443214755E-3</c:v>
                </c:pt>
                <c:pt idx="18">
                  <c:v>2.1386634429302184E-3</c:v>
                </c:pt>
                <c:pt idx="19">
                  <c:v>2.1082834159947736E-3</c:v>
                </c:pt>
                <c:pt idx="20">
                  <c:v>2.0777760070128364E-3</c:v>
                </c:pt>
                <c:pt idx="21">
                  <c:v>2.0471461498118267E-3</c:v>
                </c:pt>
                <c:pt idx="22">
                  <c:v>2.016398632831283E-3</c:v>
                </c:pt>
                <c:pt idx="23">
                  <c:v>1.9857830587489689E-3</c:v>
                </c:pt>
                <c:pt idx="24">
                  <c:v>1.9556612186889034E-3</c:v>
                </c:pt>
                <c:pt idx="25">
                  <c:v>1.9260375476500115E-3</c:v>
                </c:pt>
                <c:pt idx="26">
                  <c:v>1.8969162666533932E-3</c:v>
                </c:pt>
                <c:pt idx="27">
                  <c:v>1.8683013894827971E-3</c:v>
                </c:pt>
                <c:pt idx="28">
                  <c:v>1.840196729466553E-3</c:v>
                </c:pt>
                <c:pt idx="29">
                  <c:v>1.8163152026111481E-3</c:v>
                </c:pt>
                <c:pt idx="30">
                  <c:v>1.7963642372259474E-3</c:v>
                </c:pt>
                <c:pt idx="31">
                  <c:v>1.780346585957022E-3</c:v>
                </c:pt>
                <c:pt idx="32">
                  <c:v>1.7682646221718948E-3</c:v>
                </c:pt>
                <c:pt idx="33">
                  <c:v>1.7601203893897219E-3</c:v>
                </c:pt>
                <c:pt idx="34">
                  <c:v>1.7559156507194686E-3</c:v>
                </c:pt>
                <c:pt idx="35">
                  <c:v>1.7556519382965327E-3</c:v>
                </c:pt>
                <c:pt idx="36">
                  <c:v>1.7593306027158047E-3</c:v>
                </c:pt>
                <c:pt idx="37">
                  <c:v>1.7700689139676438E-3</c:v>
                </c:pt>
                <c:pt idx="38">
                  <c:v>1.7876223309567932E-3</c:v>
                </c:pt>
                <c:pt idx="39">
                  <c:v>1.8119911756225269E-3</c:v>
                </c:pt>
                <c:pt idx="40">
                  <c:v>1.8431757852119366E-3</c:v>
                </c:pt>
                <c:pt idx="41">
                  <c:v>1.8811765976338489E-3</c:v>
                </c:pt>
                <c:pt idx="42">
                  <c:v>1.9259942368006584E-3</c:v>
                </c:pt>
                <c:pt idx="43">
                  <c:v>1.9693964839431885E-3</c:v>
                </c:pt>
                <c:pt idx="44">
                  <c:v>2.0076812269464697E-3</c:v>
                </c:pt>
                <c:pt idx="45">
                  <c:v>2.0408527239636079E-3</c:v>
                </c:pt>
                <c:pt idx="46">
                  <c:v>2.0689152499825223E-3</c:v>
                </c:pt>
                <c:pt idx="47">
                  <c:v>2.0918730327878329E-3</c:v>
                </c:pt>
                <c:pt idx="48">
                  <c:v>2.1097301888962348E-3</c:v>
                </c:pt>
                <c:pt idx="49">
                  <c:v>2.1224906595103759E-3</c:v>
                </c:pt>
                <c:pt idx="50">
                  <c:v>2.1301581464599844E-3</c:v>
                </c:pt>
                <c:pt idx="51">
                  <c:v>2.1231691462252501E-3</c:v>
                </c:pt>
                <c:pt idx="52">
                  <c:v>2.0984021620032395E-3</c:v>
                </c:pt>
                <c:pt idx="53">
                  <c:v>2.0558460666316647E-3</c:v>
                </c:pt>
                <c:pt idx="54">
                  <c:v>1.9954999943057406E-3</c:v>
                </c:pt>
                <c:pt idx="55">
                  <c:v>1.9173628486248938E-3</c:v>
                </c:pt>
                <c:pt idx="56">
                  <c:v>1.8214333684316397E-3</c:v>
                </c:pt>
                <c:pt idx="57">
                  <c:v>1.7134863373131316E-3</c:v>
                </c:pt>
                <c:pt idx="58">
                  <c:v>1.6017500196024582E-3</c:v>
                </c:pt>
                <c:pt idx="59">
                  <c:v>1.4862233383068728E-3</c:v>
                </c:pt>
                <c:pt idx="60">
                  <c:v>1.3669053613426674E-3</c:v>
                </c:pt>
                <c:pt idx="61">
                  <c:v>1.2437953155595921E-3</c:v>
                </c:pt>
                <c:pt idx="62">
                  <c:v>1.1168926007633301E-3</c:v>
                </c:pt>
                <c:pt idx="63">
                  <c:v>9.8619680374182196E-4</c:v>
                </c:pt>
                <c:pt idx="64">
                  <c:v>8.5170771228675155E-4</c:v>
                </c:pt>
                <c:pt idx="65">
                  <c:v>7.2033359440120098E-4</c:v>
                </c:pt>
                <c:pt idx="66">
                  <c:v>6.0164206046883751E-4</c:v>
                </c:pt>
                <c:pt idx="67">
                  <c:v>4.9563360392787547E-4</c:v>
                </c:pt>
                <c:pt idx="68">
                  <c:v>4.0230873706047904E-4</c:v>
                </c:pt>
                <c:pt idx="69">
                  <c:v>3.2166794406463298E-4</c:v>
                </c:pt>
                <c:pt idx="70">
                  <c:v>2.5371163412888178E-4</c:v>
                </c:pt>
                <c:pt idx="71">
                  <c:v>1.9842206280718246E-4</c:v>
                </c:pt>
                <c:pt idx="72">
                  <c:v>1.5002309839432933E-4</c:v>
                </c:pt>
                <c:pt idx="73">
                  <c:v>1.0851496016213311E-4</c:v>
                </c:pt>
                <c:pt idx="74">
                  <c:v>7.3897762065441269E-5</c:v>
                </c:pt>
                <c:pt idx="75">
                  <c:v>4.6171487252388315E-5</c:v>
                </c:pt>
                <c:pt idx="76">
                  <c:v>2.5335962574305691E-5</c:v>
                </c:pt>
                <c:pt idx="77">
                  <c:v>1.1390833095885007E-5</c:v>
                </c:pt>
                <c:pt idx="78">
                  <c:v>4.3355367491160753E-6</c:v>
                </c:pt>
                <c:pt idx="79">
                  <c:v>4.1965734510695077E-6</c:v>
                </c:pt>
                <c:pt idx="80">
                  <c:v>4.0668737846324488E-6</c:v>
                </c:pt>
                <c:pt idx="81">
                  <c:v>3.9464352026030286E-6</c:v>
                </c:pt>
                <c:pt idx="82">
                  <c:v>3.8352552970001223E-6</c:v>
                </c:pt>
                <c:pt idx="83">
                  <c:v>3.7333317694248017E-6</c:v>
                </c:pt>
                <c:pt idx="84">
                  <c:v>3.6406624014344441E-6</c:v>
                </c:pt>
                <c:pt idx="85">
                  <c:v>3.9038841296735626E-6</c:v>
                </c:pt>
                <c:pt idx="86">
                  <c:v>4.5409595942651518E-6</c:v>
                </c:pt>
                <c:pt idx="87">
                  <c:v>5.5518226017719368E-6</c:v>
                </c:pt>
                <c:pt idx="88">
                  <c:v>6.9364007481317458E-6</c:v>
                </c:pt>
                <c:pt idx="89">
                  <c:v>8.6946142205386529E-6</c:v>
                </c:pt>
                <c:pt idx="90">
                  <c:v>1.0826374599306524E-5</c:v>
                </c:pt>
                <c:pt idx="91">
                  <c:v>1.3331583659760745E-5</c:v>
                </c:pt>
                <c:pt idx="92">
                  <c:v>1.6210132174117451E-5</c:v>
                </c:pt>
                <c:pt idx="93">
                  <c:v>2.0408139450024545E-5</c:v>
                </c:pt>
                <c:pt idx="94">
                  <c:v>2.5897985190960421E-5</c:v>
                </c:pt>
                <c:pt idx="95">
                  <c:v>3.2679268210115769E-5</c:v>
                </c:pt>
                <c:pt idx="96">
                  <c:v>4.075154172773269E-5</c:v>
                </c:pt>
                <c:pt idx="97">
                  <c:v>5.0114309226914807E-5</c:v>
                </c:pt>
                <c:pt idx="98">
                  <c:v>6.0767020309197964E-5</c:v>
                </c:pt>
                <c:pt idx="99">
                  <c:v>7.5120476292056399E-5</c:v>
                </c:pt>
                <c:pt idx="100">
                  <c:v>9.2826947123981397E-5</c:v>
                </c:pt>
                <c:pt idx="101">
                  <c:v>1.1388488911024021E-4</c:v>
                </c:pt>
                <c:pt idx="102">
                  <c:v>1.3829259688484744E-4</c:v>
                </c:pt>
                <c:pt idx="103">
                  <c:v>1.6604819264041997E-4</c:v>
                </c:pt>
                <c:pt idx="104">
                  <c:v>1.9714961536091609E-4</c:v>
                </c:pt>
                <c:pt idx="105">
                  <c:v>2.3159461005177023E-4</c:v>
                </c:pt>
                <c:pt idx="106">
                  <c:v>2.6938071697169203E-4</c:v>
                </c:pt>
                <c:pt idx="107">
                  <c:v>3.1373018861523272E-4</c:v>
                </c:pt>
                <c:pt idx="108">
                  <c:v>3.6369392805569886E-4</c:v>
                </c:pt>
                <c:pt idx="109">
                  <c:v>4.1926741737590155E-4</c:v>
                </c:pt>
                <c:pt idx="110">
                  <c:v>4.804471224649214E-4</c:v>
                </c:pt>
                <c:pt idx="111">
                  <c:v>5.4722990615584783E-4</c:v>
                </c:pt>
                <c:pt idx="112">
                  <c:v>6.1961140870961417E-4</c:v>
                </c:pt>
                <c:pt idx="113">
                  <c:v>6.9948477687260563E-4</c:v>
                </c:pt>
                <c:pt idx="114">
                  <c:v>7.8443866164561496E-4</c:v>
                </c:pt>
                <c:pt idx="115">
                  <c:v>8.7446833514289834E-4</c:v>
                </c:pt>
                <c:pt idx="116">
                  <c:v>9.6956883529195049E-4</c:v>
                </c:pt>
                <c:pt idx="117">
                  <c:v>1.0697349546470981E-3</c:v>
                </c:pt>
                <c:pt idx="118">
                  <c:v>1.1749612291954451E-3</c:v>
                </c:pt>
                <c:pt idx="119">
                  <c:v>1.2852419271648123E-3</c:v>
                </c:pt>
                <c:pt idx="120">
                  <c:v>1.400571037829424E-3</c:v>
                </c:pt>
                <c:pt idx="121">
                  <c:v>1.5142886123905097E-3</c:v>
                </c:pt>
                <c:pt idx="122">
                  <c:v>1.6231789784251552E-3</c:v>
                </c:pt>
                <c:pt idx="123">
                  <c:v>1.7272433022150727E-3</c:v>
                </c:pt>
                <c:pt idx="124">
                  <c:v>1.8264828530969634E-3</c:v>
                </c:pt>
                <c:pt idx="125">
                  <c:v>1.9208990139018421E-3</c:v>
                </c:pt>
                <c:pt idx="126">
                  <c:v>2.0104932913710006E-3</c:v>
                </c:pt>
                <c:pt idx="127">
                  <c:v>2.0843062692713029E-3</c:v>
                </c:pt>
                <c:pt idx="128">
                  <c:v>2.140459391495265E-3</c:v>
                </c:pt>
                <c:pt idx="129">
                  <c:v>2.1789670056966367E-3</c:v>
                </c:pt>
                <c:pt idx="130">
                  <c:v>2.1998442854258924E-3</c:v>
                </c:pt>
                <c:pt idx="131">
                  <c:v>2.2031072687336631E-3</c:v>
                </c:pt>
                <c:pt idx="132">
                  <c:v>2.1887728967940139E-3</c:v>
                </c:pt>
                <c:pt idx="133">
                  <c:v>2.1568590525420095E-3</c:v>
                </c:pt>
                <c:pt idx="134">
                  <c:v>2.1073845992996129E-3</c:v>
                </c:pt>
                <c:pt idx="135">
                  <c:v>2.0418229623622199E-3</c:v>
                </c:pt>
                <c:pt idx="136">
                  <c:v>1.9668155078376081E-3</c:v>
                </c:pt>
                <c:pt idx="137">
                  <c:v>1.88237478986511E-3</c:v>
                </c:pt>
                <c:pt idx="138">
                  <c:v>1.7885140007988902E-3</c:v>
                </c:pt>
                <c:pt idx="139">
                  <c:v>1.6852469921059573E-3</c:v>
                </c:pt>
                <c:pt idx="140">
                  <c:v>1.5725882951601487E-3</c:v>
                </c:pt>
                <c:pt idx="141">
                  <c:v>1.4568695414592817E-3</c:v>
                </c:pt>
                <c:pt idx="142">
                  <c:v>1.3489909503479559E-3</c:v>
                </c:pt>
                <c:pt idx="143">
                  <c:v>1.2489415528785836E-3</c:v>
                </c:pt>
                <c:pt idx="144">
                  <c:v>1.1567183005023597E-3</c:v>
                </c:pt>
                <c:pt idx="145">
                  <c:v>1.0723167004786675E-3</c:v>
                </c:pt>
                <c:pt idx="146">
                  <c:v>9.9573092016814416E-4</c:v>
                </c:pt>
                <c:pt idx="147">
                  <c:v>9.2695389136482397E-4</c:v>
                </c:pt>
                <c:pt idx="148">
                  <c:v>8.6597741460009555E-4</c:v>
                </c:pt>
                <c:pt idx="149">
                  <c:v>8.1331173422072528E-4</c:v>
                </c:pt>
                <c:pt idx="150">
                  <c:v>7.6750259383856511E-4</c:v>
                </c:pt>
                <c:pt idx="151">
                  <c:v>7.2854066057682963E-4</c:v>
                </c:pt>
                <c:pt idx="152">
                  <c:v>6.9641594172480256E-4</c:v>
                </c:pt>
                <c:pt idx="153">
                  <c:v>6.7111787657790579E-4</c:v>
                </c:pt>
                <c:pt idx="154">
                  <c:v>6.5263542828200474E-4</c:v>
                </c:pt>
                <c:pt idx="155">
                  <c:v>6.4075927271406126E-4</c:v>
                </c:pt>
                <c:pt idx="156">
                  <c:v>6.292145190404016E-4</c:v>
                </c:pt>
                <c:pt idx="157">
                  <c:v>6.1800153008660251E-4</c:v>
                </c:pt>
                <c:pt idx="158">
                  <c:v>6.0712060433935477E-4</c:v>
                </c:pt>
                <c:pt idx="159">
                  <c:v>5.9657198027026031E-4</c:v>
                </c:pt>
                <c:pt idx="160">
                  <c:v>5.86355840667205E-4</c:v>
                </c:pt>
                <c:pt idx="161">
                  <c:v>5.7647231695877787E-4</c:v>
                </c:pt>
                <c:pt idx="162">
                  <c:v>5.6692149354201603E-4</c:v>
                </c:pt>
                <c:pt idx="163">
                  <c:v>5.583731909630335E-4</c:v>
                </c:pt>
                <c:pt idx="164">
                  <c:v>5.5031151991683294E-4</c:v>
                </c:pt>
                <c:pt idx="165">
                  <c:v>5.4273618433212426E-4</c:v>
                </c:pt>
                <c:pt idx="166">
                  <c:v>5.3564687107709725E-4</c:v>
                </c:pt>
                <c:pt idx="167">
                  <c:v>5.2904325638401578E-4</c:v>
                </c:pt>
                <c:pt idx="168">
                  <c:v>5.2292501229114991E-4</c:v>
                </c:pt>
                <c:pt idx="169">
                  <c:v>5.1795921938892632E-4</c:v>
                </c:pt>
                <c:pt idx="170">
                  <c:v>5.1434056602689404E-4</c:v>
                </c:pt>
                <c:pt idx="171">
                  <c:v>5.120674085216198E-4</c:v>
                </c:pt>
                <c:pt idx="172">
                  <c:v>5.1113822128306138E-4</c:v>
                </c:pt>
                <c:pt idx="173">
                  <c:v>5.1154638390123912E-4</c:v>
                </c:pt>
                <c:pt idx="174">
                  <c:v>5.1328508094945898E-4</c:v>
                </c:pt>
                <c:pt idx="175">
                  <c:v>5.1635259570819618E-4</c:v>
                </c:pt>
                <c:pt idx="176">
                  <c:v>5.207472202380342E-4</c:v>
                </c:pt>
                <c:pt idx="177">
                  <c:v>5.262718602851886E-4</c:v>
                </c:pt>
                <c:pt idx="178">
                  <c:v>5.3226080970637335E-4</c:v>
                </c:pt>
                <c:pt idx="179">
                  <c:v>5.3871371848158967E-4</c:v>
                </c:pt>
                <c:pt idx="180">
                  <c:v>5.4563025933861749E-4</c:v>
                </c:pt>
                <c:pt idx="181">
                  <c:v>5.5301013050479983E-4</c:v>
                </c:pt>
                <c:pt idx="182">
                  <c:v>5.6085305846348627E-4</c:v>
                </c:pt>
                <c:pt idx="183">
                  <c:v>5.6966833172159036E-4</c:v>
                </c:pt>
                <c:pt idx="184">
                  <c:v>5.7879262611347992E-4</c:v>
                </c:pt>
                <c:pt idx="185">
                  <c:v>5.8822599561824827E-4</c:v>
                </c:pt>
                <c:pt idx="186">
                  <c:v>5.9796852844155998E-4</c:v>
                </c:pt>
                <c:pt idx="187">
                  <c:v>6.0802034887095504E-4</c:v>
                </c:pt>
                <c:pt idx="188">
                  <c:v>6.1838161913496312E-4</c:v>
                </c:pt>
                <c:pt idx="189">
                  <c:v>6.2905254124365673E-4</c:v>
                </c:pt>
                <c:pt idx="190">
                  <c:v>6.4003335885520426E-4</c:v>
                </c:pt>
                <c:pt idx="191">
                  <c:v>6.5747208577479784E-4</c:v>
                </c:pt>
                <c:pt idx="192">
                  <c:v>6.8155547492813981E-4</c:v>
                </c:pt>
                <c:pt idx="193">
                  <c:v>7.1227645562030773E-4</c:v>
                </c:pt>
                <c:pt idx="194">
                  <c:v>7.4962846010854069E-4</c:v>
                </c:pt>
                <c:pt idx="195">
                  <c:v>7.9360546294574474E-4</c:v>
                </c:pt>
                <c:pt idx="196">
                  <c:v>8.4420202029709761E-4</c:v>
                </c:pt>
                <c:pt idx="197">
                  <c:v>9.0282134739567207E-4</c:v>
                </c:pt>
                <c:pt idx="198">
                  <c:v>9.6895150053907266E-4</c:v>
                </c:pt>
                <c:pt idx="199">
                  <c:v>1.0425881996001499E-3</c:v>
                </c:pt>
                <c:pt idx="200">
                  <c:v>1.1237279885471679E-3</c:v>
                </c:pt>
                <c:pt idx="201">
                  <c:v>1.212368280102594E-3</c:v>
                </c:pt>
                <c:pt idx="202">
                  <c:v>1.3085074004048048E-3</c:v>
                </c:pt>
                <c:pt idx="203">
                  <c:v>1.4121446336986946E-3</c:v>
                </c:pt>
                <c:pt idx="204">
                  <c:v>1.5232778071451905E-3</c:v>
                </c:pt>
                <c:pt idx="205">
                  <c:v>1.6313389042369461E-3</c:v>
                </c:pt>
                <c:pt idx="206">
                  <c:v>1.730215899918037E-3</c:v>
                </c:pt>
                <c:pt idx="207">
                  <c:v>1.8199183617084161E-3</c:v>
                </c:pt>
                <c:pt idx="208">
                  <c:v>1.9004549879745012E-3</c:v>
                </c:pt>
                <c:pt idx="209">
                  <c:v>1.9718336363186159E-3</c:v>
                </c:pt>
                <c:pt idx="210">
                  <c:v>2.0340613520312251E-3</c:v>
                </c:pt>
                <c:pt idx="211">
                  <c:v>2.080748903045217E-3</c:v>
                </c:pt>
                <c:pt idx="212">
                  <c:v>2.1105014011736627E-3</c:v>
                </c:pt>
                <c:pt idx="213">
                  <c:v>2.1233263945199892E-3</c:v>
                </c:pt>
                <c:pt idx="214">
                  <c:v>2.1192302014629467E-3</c:v>
                </c:pt>
                <c:pt idx="215">
                  <c:v>2.0982179632920788E-3</c:v>
                </c:pt>
                <c:pt idx="216">
                  <c:v>2.0602936968358849E-3</c:v>
                </c:pt>
                <c:pt idx="217">
                  <c:v>2.005460347097871E-3</c:v>
                </c:pt>
                <c:pt idx="218">
                  <c:v>1.9337198398804226E-3</c:v>
                </c:pt>
                <c:pt idx="219">
                  <c:v>1.8468923531745436E-3</c:v>
                </c:pt>
                <c:pt idx="220">
                  <c:v>1.7555220384673697E-3</c:v>
                </c:pt>
                <c:pt idx="221">
                  <c:v>1.6596064745461893E-3</c:v>
                </c:pt>
                <c:pt idx="222">
                  <c:v>1.5591430999761285E-3</c:v>
                </c:pt>
                <c:pt idx="223">
                  <c:v>1.4541292273370853E-3</c:v>
                </c:pt>
                <c:pt idx="224">
                  <c:v>1.3445620574169769E-3</c:v>
                </c:pt>
                <c:pt idx="225">
                  <c:v>1.2335260031521638E-3</c:v>
                </c:pt>
                <c:pt idx="226">
                  <c:v>1.1274071733343915E-3</c:v>
                </c:pt>
                <c:pt idx="227">
                  <c:v>1.0262027283381707E-3</c:v>
                </c:pt>
                <c:pt idx="228">
                  <c:v>9.299101778852297E-4</c:v>
                </c:pt>
                <c:pt idx="229">
                  <c:v>8.3852736578269053E-4</c:v>
                </c:pt>
                <c:pt idx="230">
                  <c:v>7.5205245467960572E-4</c:v>
                </c:pt>
                <c:pt idx="231">
                  <c:v>6.7048391082315749E-4</c:v>
                </c:pt>
                <c:pt idx="232">
                  <c:v>5.9382048879842101E-4</c:v>
                </c:pt>
                <c:pt idx="233">
                  <c:v>5.243675062504441E-4</c:v>
                </c:pt>
                <c:pt idx="234">
                  <c:v>4.6030531097641616E-4</c:v>
                </c:pt>
                <c:pt idx="235">
                  <c:v>4.0163386821843929E-4</c:v>
                </c:pt>
                <c:pt idx="236">
                  <c:v>3.4835332250150914E-4</c:v>
                </c:pt>
                <c:pt idx="237">
                  <c:v>3.0046365536719676E-4</c:v>
                </c:pt>
                <c:pt idx="238">
                  <c:v>2.5796503291111689E-4</c:v>
                </c:pt>
                <c:pt idx="239">
                  <c:v>2.2176264466233545E-4</c:v>
                </c:pt>
                <c:pt idx="240">
                  <c:v>1.8876797937517666E-4</c:v>
                </c:pt>
                <c:pt idx="241">
                  <c:v>1.5898119973009031E-4</c:v>
                </c:pt>
                <c:pt idx="242">
                  <c:v>1.3240259096513395E-4</c:v>
                </c:pt>
                <c:pt idx="243">
                  <c:v>1.0903256654653681E-4</c:v>
                </c:pt>
                <c:pt idx="244">
                  <c:v>8.8871673837227075E-5</c:v>
                </c:pt>
                <c:pt idx="245">
                  <c:v>7.1920599764328197E-5</c:v>
                </c:pt>
                <c:pt idx="246">
                  <c:v>5.8180176487407142E-5</c:v>
                </c:pt>
                <c:pt idx="247">
                  <c:v>4.7982994931481429E-5</c:v>
                </c:pt>
                <c:pt idx="248">
                  <c:v>3.9020647968210157E-5</c:v>
                </c:pt>
                <c:pt idx="249">
                  <c:v>3.1293478465792343E-5</c:v>
                </c:pt>
                <c:pt idx="250">
                  <c:v>2.4801889572511426E-5</c:v>
                </c:pt>
                <c:pt idx="251">
                  <c:v>1.9546346899182772E-5</c:v>
                </c:pt>
                <c:pt idx="252">
                  <c:v>1.5527380700037079E-5</c:v>
                </c:pt>
                <c:pt idx="253">
                  <c:v>1.2771703764347014E-5</c:v>
                </c:pt>
                <c:pt idx="254">
                  <c:v>1.0373170605579271E-5</c:v>
                </c:pt>
                <c:pt idx="255">
                  <c:v>8.3319379334715298E-6</c:v>
                </c:pt>
                <c:pt idx="256">
                  <c:v>6.6481822923862139E-6</c:v>
                </c:pt>
                <c:pt idx="257">
                  <c:v>5.3221006919071608E-6</c:v>
                </c:pt>
                <c:pt idx="258">
                  <c:v>4.353911237547096E-6</c:v>
                </c:pt>
                <c:pt idx="259">
                  <c:v>3.7438537614763325E-6</c:v>
                </c:pt>
                <c:pt idx="260">
                  <c:v>3.492190453102246E-6</c:v>
                </c:pt>
                <c:pt idx="261">
                  <c:v>3.5819136865994391E-6</c:v>
                </c:pt>
                <c:pt idx="262">
                  <c:v>3.6806051036993489E-6</c:v>
                </c:pt>
                <c:pt idx="263">
                  <c:v>3.7882764724431033E-6</c:v>
                </c:pt>
                <c:pt idx="264">
                  <c:v>3.9049404242972897E-6</c:v>
                </c:pt>
                <c:pt idx="265">
                  <c:v>4.0306319045397757E-6</c:v>
                </c:pt>
                <c:pt idx="266">
                  <c:v>4.1653785247154722E-6</c:v>
                </c:pt>
                <c:pt idx="267">
                  <c:v>1.0947365598278611E-5</c:v>
                </c:pt>
                <c:pt idx="268">
                  <c:v>2.4358153944615406E-5</c:v>
                </c:pt>
                <c:pt idx="269">
                  <c:v>4.4406170035917185E-5</c:v>
                </c:pt>
                <c:pt idx="270">
                  <c:v>7.1100433169877511E-5</c:v>
                </c:pt>
                <c:pt idx="271">
                  <c:v>1.0445048252506025E-4</c:v>
                </c:pt>
                <c:pt idx="272">
                  <c:v>1.4446630421681178E-4</c:v>
                </c:pt>
                <c:pt idx="273">
                  <c:v>1.9115825835213735E-4</c:v>
                </c:pt>
                <c:pt idx="274">
                  <c:v>2.4453700608606754E-4</c:v>
                </c:pt>
                <c:pt idx="275">
                  <c:v>3.1018363519551333E-4</c:v>
                </c:pt>
                <c:pt idx="276">
                  <c:v>3.8813481086399888E-4</c:v>
                </c:pt>
                <c:pt idx="277">
                  <c:v>4.7841017500077979E-4</c:v>
                </c:pt>
                <c:pt idx="278">
                  <c:v>5.8102958355055005E-4</c:v>
                </c:pt>
                <c:pt idx="279">
                  <c:v>6.9601297220373774E-4</c:v>
                </c:pt>
                <c:pt idx="280">
                  <c:v>8.2338022211224284E-4</c:v>
                </c:pt>
                <c:pt idx="281">
                  <c:v>9.5389718435193128E-4</c:v>
                </c:pt>
                <c:pt idx="282">
                  <c:v>1.0808833220749448E-3</c:v>
                </c:pt>
                <c:pt idx="283">
                  <c:v>1.2043325047040266E-3</c:v>
                </c:pt>
                <c:pt idx="284">
                  <c:v>1.3242380266332242E-3</c:v>
                </c:pt>
                <c:pt idx="285">
                  <c:v>1.4405926473556833E-3</c:v>
                </c:pt>
                <c:pt idx="286">
                  <c:v>1.5533886316041051E-3</c:v>
                </c:pt>
                <c:pt idx="287">
                  <c:v>1.6626177894790331E-3</c:v>
                </c:pt>
                <c:pt idx="288">
                  <c:v>1.768271516581447E-3</c:v>
                </c:pt>
                <c:pt idx="289">
                  <c:v>1.8623474921684278E-3</c:v>
                </c:pt>
                <c:pt idx="290">
                  <c:v>1.9392112427488286E-3</c:v>
                </c:pt>
                <c:pt idx="291">
                  <c:v>1.998833245115125E-3</c:v>
                </c:pt>
                <c:pt idx="292">
                  <c:v>2.0411844484062966E-3</c:v>
                </c:pt>
                <c:pt idx="293">
                  <c:v>2.0662364625274039E-3</c:v>
                </c:pt>
                <c:pt idx="294">
                  <c:v>2.0739617465619304E-3</c:v>
                </c:pt>
                <c:pt idx="295">
                  <c:v>2.0673663914088721E-3</c:v>
                </c:pt>
                <c:pt idx="296">
                  <c:v>2.05577694674967E-3</c:v>
                </c:pt>
                <c:pt idx="297">
                  <c:v>2.0392016731501173E-3</c:v>
                </c:pt>
                <c:pt idx="298">
                  <c:v>2.0176315215303703E-3</c:v>
                </c:pt>
                <c:pt idx="299">
                  <c:v>1.9910573419020965E-3</c:v>
                </c:pt>
                <c:pt idx="300">
                  <c:v>1.9594699294298154E-3</c:v>
                </c:pt>
                <c:pt idx="301">
                  <c:v>1.9228600704860603E-3</c:v>
                </c:pt>
                <c:pt idx="302">
                  <c:v>1.8812185887110071E-3</c:v>
                </c:pt>
                <c:pt idx="303">
                  <c:v>1.838157925157623E-3</c:v>
                </c:pt>
                <c:pt idx="304">
                  <c:v>1.8017243531654081E-3</c:v>
                </c:pt>
                <c:pt idx="305">
                  <c:v>1.7719257403505677E-3</c:v>
                </c:pt>
                <c:pt idx="306">
                  <c:v>1.7487700545575798E-3</c:v>
                </c:pt>
                <c:pt idx="307">
                  <c:v>1.7322653024958781E-3</c:v>
                </c:pt>
                <c:pt idx="308">
                  <c:v>1.7224194683619744E-3</c:v>
                </c:pt>
                <c:pt idx="309">
                  <c:v>1.7194803392103293E-3</c:v>
                </c:pt>
                <c:pt idx="310">
                  <c:v>1.7204022608894515E-3</c:v>
                </c:pt>
                <c:pt idx="311">
                  <c:v>1.7251889664115258E-3</c:v>
                </c:pt>
                <c:pt idx="312">
                  <c:v>1.7338440388304614E-3</c:v>
                </c:pt>
                <c:pt idx="313">
                  <c:v>1.746370875703491E-3</c:v>
                </c:pt>
                <c:pt idx="314">
                  <c:v>1.7627726535369437E-3</c:v>
                </c:pt>
                <c:pt idx="315">
                  <c:v>1.7830522922539227E-3</c:v>
                </c:pt>
                <c:pt idx="316">
                  <c:v>1.8072124196349543E-3</c:v>
                </c:pt>
                <c:pt idx="317">
                  <c:v>1.8355459036143247E-3</c:v>
                </c:pt>
                <c:pt idx="318">
                  <c:v>1.8644093399700749E-3</c:v>
                </c:pt>
                <c:pt idx="319">
                  <c:v>1.8938005490991353E-3</c:v>
                </c:pt>
                <c:pt idx="320">
                  <c:v>1.9237172045916476E-3</c:v>
                </c:pt>
                <c:pt idx="321">
                  <c:v>1.9541568283748647E-3</c:v>
                </c:pt>
                <c:pt idx="322">
                  <c:v>1.9851167858659061E-3</c:v>
                </c:pt>
                <c:pt idx="323">
                  <c:v>2.016242536996565E-3</c:v>
                </c:pt>
                <c:pt idx="324">
                  <c:v>2.0472895372799734E-3</c:v>
                </c:pt>
                <c:pt idx="325">
                  <c:v>2.0782540752957721E-3</c:v>
                </c:pt>
                <c:pt idx="326">
                  <c:v>2.1091192102694616E-3</c:v>
                </c:pt>
                <c:pt idx="327">
                  <c:v>2.1398760024004104E-3</c:v>
                </c:pt>
                <c:pt idx="328">
                  <c:v>2.1705262792323997E-3</c:v>
                </c:pt>
                <c:pt idx="329">
                  <c:v>2.2010721302392917E-3</c:v>
                </c:pt>
                <c:pt idx="330">
                  <c:v>2.2315159055450503E-3</c:v>
                </c:pt>
                <c:pt idx="331">
                  <c:v>2.2598855260519577E-3</c:v>
                </c:pt>
                <c:pt idx="332">
                  <c:v>2.2858916129407719E-3</c:v>
                </c:pt>
                <c:pt idx="333">
                  <c:v>2.3095368374104522E-3</c:v>
                </c:pt>
                <c:pt idx="334">
                  <c:v>2.3308243079918911E-3</c:v>
                </c:pt>
                <c:pt idx="335">
                  <c:v>2.3497575221632736E-3</c:v>
                </c:pt>
                <c:pt idx="336">
                  <c:v>2.3663403179353107E-3</c:v>
                </c:pt>
                <c:pt idx="337">
                  <c:v>2.3800212228555981E-3</c:v>
                </c:pt>
                <c:pt idx="338">
                  <c:v>2.391157016337582E-3</c:v>
                </c:pt>
                <c:pt idx="339">
                  <c:v>2.3997522593344773E-3</c:v>
                </c:pt>
                <c:pt idx="340">
                  <c:v>2.40581165764344E-3</c:v>
                </c:pt>
                <c:pt idx="341">
                  <c:v>2.4093400092871334E-3</c:v>
                </c:pt>
                <c:pt idx="342">
                  <c:v>2.4103421518935331E-3</c:v>
                </c:pt>
                <c:pt idx="343">
                  <c:v>2.4088229100465955E-3</c:v>
                </c:pt>
                <c:pt idx="344">
                  <c:v>2.4047870426747702E-3</c:v>
                </c:pt>
                <c:pt idx="345">
                  <c:v>2.398239190414105E-3</c:v>
                </c:pt>
                <c:pt idx="346">
                  <c:v>2.3918256645526961E-3</c:v>
                </c:pt>
                <c:pt idx="347">
                  <c:v>2.3855512376455249E-3</c:v>
                </c:pt>
                <c:pt idx="348">
                  <c:v>2.3794206365410314E-3</c:v>
                </c:pt>
                <c:pt idx="349">
                  <c:v>2.3734385446492509E-3</c:v>
                </c:pt>
                <c:pt idx="350">
                  <c:v>2.3676096042656771E-3</c:v>
                </c:pt>
                <c:pt idx="351">
                  <c:v>2.3626045892321426E-3</c:v>
                </c:pt>
                <c:pt idx="352">
                  <c:v>2.3589845133988418E-3</c:v>
                </c:pt>
                <c:pt idx="353">
                  <c:v>2.3567546364985899E-3</c:v>
                </c:pt>
                <c:pt idx="354">
                  <c:v>2.3559203898485112E-3</c:v>
                </c:pt>
                <c:pt idx="355">
                  <c:v>2.3564874039136135E-3</c:v>
                </c:pt>
                <c:pt idx="356">
                  <c:v>2.3584631658231134E-3</c:v>
                </c:pt>
                <c:pt idx="357">
                  <c:v>2.3618485313545746E-3</c:v>
                </c:pt>
                <c:pt idx="358">
                  <c:v>2.3666389093265358E-3</c:v>
                </c:pt>
                <c:pt idx="359">
                  <c:v>2.3728299071753664E-3</c:v>
                </c:pt>
                <c:pt idx="360">
                  <c:v>2.3798598949210078E-3</c:v>
                </c:pt>
                <c:pt idx="361">
                  <c:v>2.3870560246921509E-3</c:v>
                </c:pt>
                <c:pt idx="362">
                  <c:v>2.3944127075553549E-3</c:v>
                </c:pt>
                <c:pt idx="363">
                  <c:v>2.4019243026579202E-3</c:v>
                </c:pt>
                <c:pt idx="364">
                  <c:v>2.4095851144426408E-3</c:v>
                </c:pt>
                <c:pt idx="365">
                  <c:v>2.4173893898335121E-3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3.6554122516709673E-3</c:v>
                </c:pt>
                <c:pt idx="1">
                  <c:v>3.6648082685987954E-3</c:v>
                </c:pt>
                <c:pt idx="2">
                  <c:v>3.6706727577414163E-3</c:v>
                </c:pt>
                <c:pt idx="3">
                  <c:v>3.6729913266621401E-3</c:v>
                </c:pt>
                <c:pt idx="4">
                  <c:v>3.6717494853429722E-3</c:v>
                </c:pt>
                <c:pt idx="5">
                  <c:v>3.6669327370172536E-3</c:v>
                </c:pt>
                <c:pt idx="6">
                  <c:v>3.6585266690492388E-3</c:v>
                </c:pt>
                <c:pt idx="7">
                  <c:v>3.6465170437309739E-3</c:v>
                </c:pt>
                <c:pt idx="8">
                  <c:v>3.6308898891307256E-3</c:v>
                </c:pt>
                <c:pt idx="9">
                  <c:v>3.6093354306875958E-3</c:v>
                </c:pt>
                <c:pt idx="10">
                  <c:v>3.5818562087077299E-3</c:v>
                </c:pt>
                <c:pt idx="11">
                  <c:v>3.5484368721855914E-3</c:v>
                </c:pt>
                <c:pt idx="12">
                  <c:v>3.5090629883120059E-3</c:v>
                </c:pt>
                <c:pt idx="13">
                  <c:v>3.4637211912313024E-3</c:v>
                </c:pt>
                <c:pt idx="14">
                  <c:v>3.4123993307394272E-3</c:v>
                </c:pt>
                <c:pt idx="15">
                  <c:v>3.3560794934367672E-3</c:v>
                </c:pt>
                <c:pt idx="16">
                  <c:v>3.298316336529333E-3</c:v>
                </c:pt>
                <c:pt idx="17">
                  <c:v>3.2391057061873217E-3</c:v>
                </c:pt>
                <c:pt idx="18">
                  <c:v>3.1784443030025054E-3</c:v>
                </c:pt>
                <c:pt idx="19">
                  <c:v>3.1163470978000174E-3</c:v>
                </c:pt>
                <c:pt idx="20">
                  <c:v>3.0528362568856262E-3</c:v>
                </c:pt>
                <c:pt idx="21">
                  <c:v>2.9879198476266927E-3</c:v>
                </c:pt>
                <c:pt idx="22">
                  <c:v>2.9216058081258777E-3</c:v>
                </c:pt>
                <c:pt idx="23">
                  <c:v>2.8551805250508541E-3</c:v>
                </c:pt>
                <c:pt idx="24">
                  <c:v>2.7909569610655616E-3</c:v>
                </c:pt>
                <c:pt idx="25">
                  <c:v>2.7289430992347569E-3</c:v>
                </c:pt>
                <c:pt idx="26">
                  <c:v>2.6691463372340357E-3</c:v>
                </c:pt>
                <c:pt idx="27">
                  <c:v>2.6115735157419859E-3</c:v>
                </c:pt>
                <c:pt idx="28">
                  <c:v>2.5562309468910296E-3</c:v>
                </c:pt>
                <c:pt idx="29">
                  <c:v>2.5084821884308211E-3</c:v>
                </c:pt>
                <c:pt idx="30">
                  <c:v>2.4673376831015463E-3</c:v>
                </c:pt>
                <c:pt idx="31">
                  <c:v>2.4328016663927718E-3</c:v>
                </c:pt>
                <c:pt idx="32">
                  <c:v>2.4048776988741171E-3</c:v>
                </c:pt>
                <c:pt idx="33">
                  <c:v>2.3835687491559972E-3</c:v>
                </c:pt>
                <c:pt idx="34">
                  <c:v>2.3688772768612637E-3</c:v>
                </c:pt>
                <c:pt idx="35">
                  <c:v>2.3608053155946026E-3</c:v>
                </c:pt>
                <c:pt idx="36">
                  <c:v>2.3593545559070844E-3</c:v>
                </c:pt>
                <c:pt idx="37">
                  <c:v>2.36995335051586E-3</c:v>
                </c:pt>
                <c:pt idx="38">
                  <c:v>2.3913234158855672E-3</c:v>
                </c:pt>
                <c:pt idx="39">
                  <c:v>2.4234647771019177E-3</c:v>
                </c:pt>
                <c:pt idx="40">
                  <c:v>2.4663774514035721E-3</c:v>
                </c:pt>
                <c:pt idx="41">
                  <c:v>2.5200615830493537E-3</c:v>
                </c:pt>
                <c:pt idx="42">
                  <c:v>2.5845175781693108E-3</c:v>
                </c:pt>
                <c:pt idx="43">
                  <c:v>2.6485732295405246E-3</c:v>
                </c:pt>
                <c:pt idx="44">
                  <c:v>2.7068805208021857E-3</c:v>
                </c:pt>
                <c:pt idx="45">
                  <c:v>2.7594450056576906E-3</c:v>
                </c:pt>
                <c:pt idx="46">
                  <c:v>2.8062723335252901E-3</c:v>
                </c:pt>
                <c:pt idx="47">
                  <c:v>2.8473681776186987E-3</c:v>
                </c:pt>
                <c:pt idx="48">
                  <c:v>2.882738162991894E-3</c:v>
                </c:pt>
                <c:pt idx="49">
                  <c:v>2.9123877946089513E-3</c:v>
                </c:pt>
                <c:pt idx="50">
                  <c:v>2.9363223853965453E-3</c:v>
                </c:pt>
                <c:pt idx="51">
                  <c:v>2.9400314608549311E-3</c:v>
                </c:pt>
                <c:pt idx="52">
                  <c:v>2.9180820781467961E-3</c:v>
                </c:pt>
                <c:pt idx="53">
                  <c:v>2.8704590473338162E-3</c:v>
                </c:pt>
                <c:pt idx="54">
                  <c:v>2.7971612836717947E-3</c:v>
                </c:pt>
                <c:pt idx="55">
                  <c:v>2.6981873492110159E-3</c:v>
                </c:pt>
                <c:pt idx="56">
                  <c:v>2.5735355478144046E-3</c:v>
                </c:pt>
                <c:pt idx="57">
                  <c:v>2.4309925229201927E-3</c:v>
                </c:pt>
                <c:pt idx="58">
                  <c:v>2.2817246655415422E-3</c:v>
                </c:pt>
                <c:pt idx="59">
                  <c:v>2.1257304585822808E-3</c:v>
                </c:pt>
                <c:pt idx="60">
                  <c:v>1.9630085695563782E-3</c:v>
                </c:pt>
                <c:pt idx="61">
                  <c:v>1.7935578754754071E-3</c:v>
                </c:pt>
                <c:pt idx="62">
                  <c:v>1.6173774877332122E-3</c:v>
                </c:pt>
                <c:pt idx="63">
                  <c:v>1.4344667769961245E-3</c:v>
                </c:pt>
                <c:pt idx="64">
                  <c:v>1.244825398086182E-3</c:v>
                </c:pt>
                <c:pt idx="65">
                  <c:v>1.0583658704735213E-3</c:v>
                </c:pt>
                <c:pt idx="66">
                  <c:v>8.8960473318003622E-4</c:v>
                </c:pt>
                <c:pt idx="67">
                  <c:v>7.3854267215368592E-4</c:v>
                </c:pt>
                <c:pt idx="68">
                  <c:v>6.0518040426748567E-4</c:v>
                </c:pt>
                <c:pt idx="69">
                  <c:v>4.8951861183131563E-4</c:v>
                </c:pt>
                <c:pt idx="70">
                  <c:v>3.9155787710796916E-4</c:v>
                </c:pt>
                <c:pt idx="71">
                  <c:v>3.112146877476572E-4</c:v>
                </c:pt>
                <c:pt idx="72">
                  <c:v>2.4070058571678193E-4</c:v>
                </c:pt>
                <c:pt idx="73">
                  <c:v>1.8001589121744615E-4</c:v>
                </c:pt>
                <c:pt idx="74">
                  <c:v>1.2916077640375521E-4</c:v>
                </c:pt>
                <c:pt idx="75">
                  <c:v>8.813522902181148E-5</c:v>
                </c:pt>
                <c:pt idx="76">
                  <c:v>5.6939016049144115E-5</c:v>
                </c:pt>
                <c:pt idx="77">
                  <c:v>3.5571647334576156E-5</c:v>
                </c:pt>
                <c:pt idx="78">
                  <c:v>2.4032340035675831E-5</c:v>
                </c:pt>
                <c:pt idx="79">
                  <c:v>2.2424907533884537E-5</c:v>
                </c:pt>
                <c:pt idx="80">
                  <c:v>2.0838554578192277E-5</c:v>
                </c:pt>
                <c:pt idx="81">
                  <c:v>1.9273272302340076E-5</c:v>
                </c:pt>
                <c:pt idx="82">
                  <c:v>1.7729053811023985E-5</c:v>
                </c:pt>
                <c:pt idx="83">
                  <c:v>1.6205894112829434E-5</c:v>
                </c:pt>
                <c:pt idx="84">
                  <c:v>1.4703790053222371E-5</c:v>
                </c:pt>
                <c:pt idx="85">
                  <c:v>1.368104429730332E-5</c:v>
                </c:pt>
                <c:pt idx="86">
                  <c:v>1.3221462123763641E-5</c:v>
                </c:pt>
                <c:pt idx="87">
                  <c:v>1.3324950667797769E-5</c:v>
                </c:pt>
                <c:pt idx="88">
                  <c:v>1.3991409529674783E-5</c:v>
                </c:pt>
                <c:pt idx="89">
                  <c:v>1.5220728970359282E-5</c:v>
                </c:pt>
                <c:pt idx="90">
                  <c:v>1.7012788107099975E-5</c:v>
                </c:pt>
                <c:pt idx="91">
                  <c:v>1.9367453109071533E-5</c:v>
                </c:pt>
                <c:pt idx="92">
                  <c:v>2.22845753929844E-5</c:v>
                </c:pt>
                <c:pt idx="93">
                  <c:v>2.6925553544207701E-5</c:v>
                </c:pt>
                <c:pt idx="94">
                  <c:v>3.318517416544353E-5</c:v>
                </c:pt>
                <c:pt idx="95">
                  <c:v>4.1062942999756346E-5</c:v>
                </c:pt>
                <c:pt idx="96">
                  <c:v>5.0558309459829994E-5</c:v>
                </c:pt>
                <c:pt idx="97">
                  <c:v>6.1670661435695641E-5</c:v>
                </c:pt>
                <c:pt idx="98">
                  <c:v>7.4399320102154124E-5</c:v>
                </c:pt>
                <c:pt idx="99">
                  <c:v>9.1833610384741882E-5</c:v>
                </c:pt>
                <c:pt idx="100">
                  <c:v>1.1351387864268714E-4</c:v>
                </c:pt>
                <c:pt idx="101">
                  <c:v>1.394381860734719E-4</c:v>
                </c:pt>
                <c:pt idx="102">
                  <c:v>1.6960439010768648E-4</c:v>
                </c:pt>
                <c:pt idx="103">
                  <c:v>2.0401013077127165E-4</c:v>
                </c:pt>
                <c:pt idx="104">
                  <c:v>2.4265281705129424E-4</c:v>
                </c:pt>
                <c:pt idx="105">
                  <c:v>2.8552961325853241E-4</c:v>
                </c:pt>
                <c:pt idx="106">
                  <c:v>3.3263742539210467E-4</c:v>
                </c:pt>
                <c:pt idx="107">
                  <c:v>3.8832813938572341E-4</c:v>
                </c:pt>
                <c:pt idx="108">
                  <c:v>4.5143638273152805E-4</c:v>
                </c:pt>
                <c:pt idx="109">
                  <c:v>5.2195627627568697E-4</c:v>
                </c:pt>
                <c:pt idx="110">
                  <c:v>5.998831451298354E-4</c:v>
                </c:pt>
                <c:pt idx="111">
                  <c:v>6.8521280690604397E-4</c:v>
                </c:pt>
                <c:pt idx="112">
                  <c:v>7.7793954831295803E-4</c:v>
                </c:pt>
                <c:pt idx="113">
                  <c:v>8.8168947590824733E-4</c:v>
                </c:pt>
                <c:pt idx="114">
                  <c:v>9.9337168335711054E-4</c:v>
                </c:pt>
                <c:pt idx="115">
                  <c:v>1.1129791598956794E-3</c:v>
                </c:pt>
                <c:pt idx="116">
                  <c:v>1.2405045478034071E-3</c:v>
                </c:pt>
                <c:pt idx="117">
                  <c:v>1.3759401249575935E-3</c:v>
                </c:pt>
                <c:pt idx="118">
                  <c:v>1.5192777873782413E-3</c:v>
                </c:pt>
                <c:pt idx="119">
                  <c:v>1.6705090317754242E-3</c:v>
                </c:pt>
                <c:pt idx="120">
                  <c:v>1.8296249380937103E-3</c:v>
                </c:pt>
                <c:pt idx="121">
                  <c:v>1.9915641077244478E-3</c:v>
                </c:pt>
                <c:pt idx="122">
                  <c:v>2.1519798134335788E-3</c:v>
                </c:pt>
                <c:pt idx="123">
                  <c:v>2.3108694459703567E-3</c:v>
                </c:pt>
                <c:pt idx="124">
                  <c:v>2.4682303146310483E-3</c:v>
                </c:pt>
                <c:pt idx="125">
                  <c:v>2.624059650402342E-3</c:v>
                </c:pt>
                <c:pt idx="126">
                  <c:v>2.7783546090736403E-3</c:v>
                </c:pt>
                <c:pt idx="127">
                  <c:v>2.9153454170921362E-3</c:v>
                </c:pt>
                <c:pt idx="128">
                  <c:v>3.0314254561523684E-3</c:v>
                </c:pt>
                <c:pt idx="129">
                  <c:v>3.1266103705051796E-3</c:v>
                </c:pt>
                <c:pt idx="130">
                  <c:v>3.2009167370045796E-3</c:v>
                </c:pt>
                <c:pt idx="131">
                  <c:v>3.2543621107388701E-3</c:v>
                </c:pt>
                <c:pt idx="132">
                  <c:v>3.2869650706888343E-3</c:v>
                </c:pt>
                <c:pt idx="133">
                  <c:v>3.2987452654072691E-3</c:v>
                </c:pt>
                <c:pt idx="134">
                  <c:v>3.2897234586821865E-3</c:v>
                </c:pt>
                <c:pt idx="135">
                  <c:v>3.25492044357355E-3</c:v>
                </c:pt>
                <c:pt idx="136">
                  <c:v>3.1993931203623438E-3</c:v>
                </c:pt>
                <c:pt idx="137">
                  <c:v>3.1231659888157114E-3</c:v>
                </c:pt>
                <c:pt idx="138">
                  <c:v>3.0262648491835653E-3</c:v>
                </c:pt>
                <c:pt idx="139">
                  <c:v>2.908716847872968E-3</c:v>
                </c:pt>
                <c:pt idx="140">
                  <c:v>2.7705505229485895E-3</c:v>
                </c:pt>
                <c:pt idx="141">
                  <c:v>2.6201727786756596E-3</c:v>
                </c:pt>
                <c:pt idx="142">
                  <c:v>2.473269480641885E-3</c:v>
                </c:pt>
                <c:pt idx="143">
                  <c:v>2.3298324200254558E-3</c:v>
                </c:pt>
                <c:pt idx="144">
                  <c:v>2.1898688627517526E-3</c:v>
                </c:pt>
                <c:pt idx="145">
                  <c:v>2.0533849128995256E-3</c:v>
                </c:pt>
                <c:pt idx="146">
                  <c:v>1.9203855581685042E-3</c:v>
                </c:pt>
                <c:pt idx="147">
                  <c:v>1.7908747154210139E-3</c:v>
                </c:pt>
                <c:pt idx="148">
                  <c:v>1.6648552761702527E-3</c:v>
                </c:pt>
                <c:pt idx="149">
                  <c:v>1.5463124195182292E-3</c:v>
                </c:pt>
                <c:pt idx="150">
                  <c:v>1.4402056685903521E-3</c:v>
                </c:pt>
                <c:pt idx="151">
                  <c:v>1.3465189997064668E-3</c:v>
                </c:pt>
                <c:pt idx="152">
                  <c:v>1.2652350699421835E-3</c:v>
                </c:pt>
                <c:pt idx="153">
                  <c:v>1.1963353833572327E-3</c:v>
                </c:pt>
                <c:pt idx="154">
                  <c:v>1.1398004572318295E-3</c:v>
                </c:pt>
                <c:pt idx="155">
                  <c:v>1.0958037679461516E-3</c:v>
                </c:pt>
                <c:pt idx="156">
                  <c:v>1.0560171504375661E-3</c:v>
                </c:pt>
                <c:pt idx="157">
                  <c:v>1.0204345714304947E-3</c:v>
                </c:pt>
                <c:pt idx="158">
                  <c:v>9.8904973400005159E-4</c:v>
                </c:pt>
                <c:pt idx="159">
                  <c:v>9.6185613391085883E-4</c:v>
                </c:pt>
                <c:pt idx="160">
                  <c:v>9.3884711596832037E-4</c:v>
                </c:pt>
                <c:pt idx="161">
                  <c:v>9.2001593035848561E-4</c:v>
                </c:pt>
                <c:pt idx="162">
                  <c:v>9.0535578899339454E-4</c:v>
                </c:pt>
                <c:pt idx="163">
                  <c:v>8.9544496059886804E-4</c:v>
                </c:pt>
                <c:pt idx="164">
                  <c:v>8.8632932587463949E-4</c:v>
                </c:pt>
                <c:pt idx="165">
                  <c:v>8.7800846431120168E-4</c:v>
                </c:pt>
                <c:pt idx="166">
                  <c:v>8.7048194982992564E-4</c:v>
                </c:pt>
                <c:pt idx="167">
                  <c:v>8.637493613512996E-4</c:v>
                </c:pt>
                <c:pt idx="168">
                  <c:v>8.5781029339121494E-4</c:v>
                </c:pt>
                <c:pt idx="169">
                  <c:v>8.5324733301510032E-4</c:v>
                </c:pt>
                <c:pt idx="170">
                  <c:v>8.4986716527867055E-4</c:v>
                </c:pt>
                <c:pt idx="171">
                  <c:v>8.4766890169294404E-4</c:v>
                </c:pt>
                <c:pt idx="172">
                  <c:v>8.4665175692214738E-4</c:v>
                </c:pt>
                <c:pt idx="173">
                  <c:v>8.4680640515369322E-4</c:v>
                </c:pt>
                <c:pt idx="174">
                  <c:v>8.4812314162974309E-4</c:v>
                </c:pt>
                <c:pt idx="175">
                  <c:v>8.5060070115794504E-4</c:v>
                </c:pt>
                <c:pt idx="176">
                  <c:v>8.542378262188314E-4</c:v>
                </c:pt>
                <c:pt idx="177">
                  <c:v>8.5922460542344772E-4</c:v>
                </c:pt>
                <c:pt idx="178">
                  <c:v>8.6497924746501776E-4</c:v>
                </c:pt>
                <c:pt idx="179">
                  <c:v>8.715011424002473E-4</c:v>
                </c:pt>
                <c:pt idx="180">
                  <c:v>8.7878970807205318E-4</c:v>
                </c:pt>
                <c:pt idx="181">
                  <c:v>8.8684439463611168E-4</c:v>
                </c:pt>
                <c:pt idx="182">
                  <c:v>8.9566468909497412E-4</c:v>
                </c:pt>
                <c:pt idx="183">
                  <c:v>9.0915716988727976E-4</c:v>
                </c:pt>
                <c:pt idx="184">
                  <c:v>9.2673723033447975E-4</c:v>
                </c:pt>
                <c:pt idx="185">
                  <c:v>9.4839985906632605E-4</c:v>
                </c:pt>
                <c:pt idx="186">
                  <c:v>9.7414024457148564E-4</c:v>
                </c:pt>
                <c:pt idx="187">
                  <c:v>1.0039537993283092E-3</c:v>
                </c:pt>
                <c:pt idx="188">
                  <c:v>1.0378361839421283E-3</c:v>
                </c:pt>
                <c:pt idx="189">
                  <c:v>1.0757833312519368E-3</c:v>
                </c:pt>
                <c:pt idx="190">
                  <c:v>1.1177914704801517E-3</c:v>
                </c:pt>
                <c:pt idx="191">
                  <c:v>1.1720103833216334E-3</c:v>
                </c:pt>
                <c:pt idx="192">
                  <c:v>1.2382368600788616E-3</c:v>
                </c:pt>
                <c:pt idx="193">
                  <c:v>1.3164588230078361E-3</c:v>
                </c:pt>
                <c:pt idx="194">
                  <c:v>1.4066651582053957E-3</c:v>
                </c:pt>
                <c:pt idx="195">
                  <c:v>1.5088457868203805E-3</c:v>
                </c:pt>
                <c:pt idx="196">
                  <c:v>1.6229917362154895E-3</c:v>
                </c:pt>
                <c:pt idx="197">
                  <c:v>1.7442506457496449E-3</c:v>
                </c:pt>
                <c:pt idx="198">
                  <c:v>1.8687382610220842E-3</c:v>
                </c:pt>
                <c:pt idx="199">
                  <c:v>1.9964576495641517E-3</c:v>
                </c:pt>
                <c:pt idx="200">
                  <c:v>2.127412466158247E-3</c:v>
                </c:pt>
                <c:pt idx="201">
                  <c:v>2.2616069723065111E-3</c:v>
                </c:pt>
                <c:pt idx="202">
                  <c:v>2.399046055705927E-3</c:v>
                </c:pt>
                <c:pt idx="203">
                  <c:v>2.5397352497767518E-3</c:v>
                </c:pt>
                <c:pt idx="204">
                  <c:v>2.6836764194231155E-3</c:v>
                </c:pt>
                <c:pt idx="205">
                  <c:v>2.8156721107182908E-3</c:v>
                </c:pt>
                <c:pt idx="206">
                  <c:v>2.927621230295998E-3</c:v>
                </c:pt>
                <c:pt idx="207">
                  <c:v>3.0195406145001758E-3</c:v>
                </c:pt>
                <c:pt idx="208">
                  <c:v>3.0914453286820165E-3</c:v>
                </c:pt>
                <c:pt idx="209">
                  <c:v>3.1433487292914742E-3</c:v>
                </c:pt>
                <c:pt idx="210">
                  <c:v>3.1752625260713391E-3</c:v>
                </c:pt>
                <c:pt idx="211">
                  <c:v>3.1823408137551853E-3</c:v>
                </c:pt>
                <c:pt idx="212">
                  <c:v>3.1694217328160435E-3</c:v>
                </c:pt>
                <c:pt idx="213">
                  <c:v>3.136512263894217E-3</c:v>
                </c:pt>
                <c:pt idx="214">
                  <c:v>3.083617993495864E-3</c:v>
                </c:pt>
                <c:pt idx="215">
                  <c:v>3.0107431762198137E-3</c:v>
                </c:pt>
                <c:pt idx="216">
                  <c:v>2.9178907969730516E-3</c:v>
                </c:pt>
                <c:pt idx="217">
                  <c:v>2.8050626331972903E-3</c:v>
                </c:pt>
                <c:pt idx="218">
                  <c:v>2.6722593170779721E-3</c:v>
                </c:pt>
                <c:pt idx="219">
                  <c:v>2.5229622523246288E-3</c:v>
                </c:pt>
                <c:pt idx="220">
                  <c:v>2.37233692394156E-3</c:v>
                </c:pt>
                <c:pt idx="221">
                  <c:v>2.2203785010745558E-3</c:v>
                </c:pt>
                <c:pt idx="222">
                  <c:v>2.0670822638783897E-3</c:v>
                </c:pt>
                <c:pt idx="223">
                  <c:v>1.9124436078178703E-3</c:v>
                </c:pt>
                <c:pt idx="224">
                  <c:v>1.7564580479096678E-3</c:v>
                </c:pt>
                <c:pt idx="225">
                  <c:v>1.6032906222886462E-3</c:v>
                </c:pt>
                <c:pt idx="226">
                  <c:v>1.4577882514052842E-3</c:v>
                </c:pt>
                <c:pt idx="227">
                  <c:v>1.3199470617721919E-3</c:v>
                </c:pt>
                <c:pt idx="228">
                  <c:v>1.1897636998284408E-3</c:v>
                </c:pt>
                <c:pt idx="229">
                  <c:v>1.067235308143948E-3</c:v>
                </c:pt>
                <c:pt idx="230">
                  <c:v>9.5235950164759852E-4</c:v>
                </c:pt>
                <c:pt idx="231">
                  <c:v>8.4513434385470121E-4</c:v>
                </c:pt>
                <c:pt idx="232">
                  <c:v>7.455583230736206E-4</c:v>
                </c:pt>
                <c:pt idx="233">
                  <c:v>6.5658569965995573E-4</c:v>
                </c:pt>
                <c:pt idx="234">
                  <c:v>5.7473421060745403E-4</c:v>
                </c:pt>
                <c:pt idx="235">
                  <c:v>5.0000383906184708E-4</c:v>
                </c:pt>
                <c:pt idx="236">
                  <c:v>4.3239480148402933E-4</c:v>
                </c:pt>
                <c:pt idx="237">
                  <c:v>3.7190712426107776E-4</c:v>
                </c:pt>
                <c:pt idx="238">
                  <c:v>3.1854107953005668E-4</c:v>
                </c:pt>
                <c:pt idx="239">
                  <c:v>2.7340792668478602E-4</c:v>
                </c:pt>
                <c:pt idx="240">
                  <c:v>2.3233665397020024E-4</c:v>
                </c:pt>
                <c:pt idx="241">
                  <c:v>1.9532748192776332E-4</c:v>
                </c:pt>
                <c:pt idx="242">
                  <c:v>1.6238078678945911E-4</c:v>
                </c:pt>
                <c:pt idx="243">
                  <c:v>1.3349710765813241E-4</c:v>
                </c:pt>
                <c:pt idx="244">
                  <c:v>1.0867715368531427E-4</c:v>
                </c:pt>
                <c:pt idx="245">
                  <c:v>8.7921811247790096E-5</c:v>
                </c:pt>
                <c:pt idx="246">
                  <c:v>7.1232151125093652E-5</c:v>
                </c:pt>
                <c:pt idx="247">
                  <c:v>5.9047866382658391E-5</c:v>
                </c:pt>
                <c:pt idx="248">
                  <c:v>4.8410879973095401E-5</c:v>
                </c:pt>
                <c:pt idx="249">
                  <c:v>3.9321637015946562E-5</c:v>
                </c:pt>
                <c:pt idx="250">
                  <c:v>3.1780658573516099E-5</c:v>
                </c:pt>
                <c:pt idx="251">
                  <c:v>2.5788544385263448E-5</c:v>
                </c:pt>
                <c:pt idx="252">
                  <c:v>2.1345975600250528E-5</c:v>
                </c:pt>
                <c:pt idx="253">
                  <c:v>1.8554087803202696E-5</c:v>
                </c:pt>
                <c:pt idx="254">
                  <c:v>1.6300614013745847E-5</c:v>
                </c:pt>
                <c:pt idx="255">
                  <c:v>1.4585830476946554E-5</c:v>
                </c:pt>
                <c:pt idx="256">
                  <c:v>1.3410044266222797E-5</c:v>
                </c:pt>
                <c:pt idx="257">
                  <c:v>1.2773594233014806E-5</c:v>
                </c:pt>
                <c:pt idx="258">
                  <c:v>1.2676851956612349E-5</c:v>
                </c:pt>
                <c:pt idx="259">
                  <c:v>1.3120222694126499E-5</c:v>
                </c:pt>
                <c:pt idx="260">
                  <c:v>1.4104146330088535E-5</c:v>
                </c:pt>
                <c:pt idx="261">
                  <c:v>1.554860845792673E-5</c:v>
                </c:pt>
                <c:pt idx="262">
                  <c:v>1.7014159654940225E-5</c:v>
                </c:pt>
                <c:pt idx="263">
                  <c:v>1.850086983862954E-5</c:v>
                </c:pt>
                <c:pt idx="264">
                  <c:v>2.0008812288149885E-5</c:v>
                </c:pt>
                <c:pt idx="265">
                  <c:v>2.1538178424922877E-5</c:v>
                </c:pt>
                <c:pt idx="266">
                  <c:v>2.3089134950516343E-5</c:v>
                </c:pt>
                <c:pt idx="267">
                  <c:v>3.4186773261151244E-5</c:v>
                </c:pt>
                <c:pt idx="268">
                  <c:v>5.4741528541194037E-5</c:v>
                </c:pt>
                <c:pt idx="269">
                  <c:v>8.4765473217339763E-5</c:v>
                </c:pt>
                <c:pt idx="270">
                  <c:v>1.2427151911220528E-4</c:v>
                </c:pt>
                <c:pt idx="271">
                  <c:v>1.7327331339151453E-4</c:v>
                </c:pt>
                <c:pt idx="272">
                  <c:v>2.3178513451259188E-4</c:v>
                </c:pt>
                <c:pt idx="273">
                  <c:v>2.9982178817109309E-4</c:v>
                </c:pt>
                <c:pt idx="274">
                  <c:v>3.7739850325018738E-4</c:v>
                </c:pt>
                <c:pt idx="275">
                  <c:v>4.7204163584043518E-4</c:v>
                </c:pt>
                <c:pt idx="276">
                  <c:v>5.838590120245085E-4</c:v>
                </c:pt>
                <c:pt idx="277">
                  <c:v>7.1287807410654177E-4</c:v>
                </c:pt>
                <c:pt idx="278">
                  <c:v>8.5912654983164526E-4</c:v>
                </c:pt>
                <c:pt idx="279">
                  <c:v>1.0226322649849798E-3</c:v>
                </c:pt>
                <c:pt idx="280">
                  <c:v>1.2034229559988755E-3</c:v>
                </c:pt>
                <c:pt idx="281">
                  <c:v>1.3874855550446614E-3</c:v>
                </c:pt>
                <c:pt idx="282">
                  <c:v>1.56523227998423E-3</c:v>
                </c:pt>
                <c:pt idx="283">
                  <c:v>1.7366523426172518E-3</c:v>
                </c:pt>
                <c:pt idx="284">
                  <c:v>1.9017341419014179E-3</c:v>
                </c:pt>
                <c:pt idx="285">
                  <c:v>2.0604653351644227E-3</c:v>
                </c:pt>
                <c:pt idx="286">
                  <c:v>2.2128329093341315E-3</c:v>
                </c:pt>
                <c:pt idx="287">
                  <c:v>2.3588232521512121E-3</c:v>
                </c:pt>
                <c:pt idx="288">
                  <c:v>2.4984222233879832E-3</c:v>
                </c:pt>
                <c:pt idx="289">
                  <c:v>2.6207676063023468E-3</c:v>
                </c:pt>
                <c:pt idx="290">
                  <c:v>2.7182593959190998E-3</c:v>
                </c:pt>
                <c:pt idx="291">
                  <c:v>2.7908553396475155E-3</c:v>
                </c:pt>
                <c:pt idx="292">
                  <c:v>2.8385139249952657E-3</c:v>
                </c:pt>
                <c:pt idx="293">
                  <c:v>2.8611946514937175E-3</c:v>
                </c:pt>
                <c:pt idx="294">
                  <c:v>2.8588583026130316E-3</c:v>
                </c:pt>
                <c:pt idx="295">
                  <c:v>2.8367487123419858E-3</c:v>
                </c:pt>
                <c:pt idx="296">
                  <c:v>2.8090163804759902E-3</c:v>
                </c:pt>
                <c:pt idx="297">
                  <c:v>2.7756741737505631E-3</c:v>
                </c:pt>
                <c:pt idx="298">
                  <c:v>2.7367111911263866E-3</c:v>
                </c:pt>
                <c:pt idx="299">
                  <c:v>2.6921164734608214E-3</c:v>
                </c:pt>
                <c:pt idx="300">
                  <c:v>2.641879055241385E-3</c:v>
                </c:pt>
                <c:pt idx="301">
                  <c:v>2.5859880163108377E-3</c:v>
                </c:pt>
                <c:pt idx="302">
                  <c:v>2.5244325335983262E-3</c:v>
                </c:pt>
                <c:pt idx="303">
                  <c:v>2.4624329138444121E-3</c:v>
                </c:pt>
                <c:pt idx="304">
                  <c:v>2.4109107519448489E-3</c:v>
                </c:pt>
                <c:pt idx="305">
                  <c:v>2.3698788808419686E-3</c:v>
                </c:pt>
                <c:pt idx="306">
                  <c:v>2.3393502688147491E-3</c:v>
                </c:pt>
                <c:pt idx="307">
                  <c:v>2.319337922516344E-3</c:v>
                </c:pt>
                <c:pt idx="308">
                  <c:v>2.3098547899921534E-3</c:v>
                </c:pt>
                <c:pt idx="309">
                  <c:v>2.3121657751859728E-3</c:v>
                </c:pt>
                <c:pt idx="310">
                  <c:v>2.3209667396106989E-3</c:v>
                </c:pt>
                <c:pt idx="311">
                  <c:v>2.336264343914009E-3</c:v>
                </c:pt>
                <c:pt idx="312">
                  <c:v>2.358064969477101E-3</c:v>
                </c:pt>
                <c:pt idx="313">
                  <c:v>2.3863746587676048E-3</c:v>
                </c:pt>
                <c:pt idx="314">
                  <c:v>2.4211990556709927E-3</c:v>
                </c:pt>
                <c:pt idx="315">
                  <c:v>2.4625433458518907E-3</c:v>
                </c:pt>
                <c:pt idx="316">
                  <c:v>2.5104121970784396E-3</c:v>
                </c:pt>
                <c:pt idx="317">
                  <c:v>2.5657868135156156E-3</c:v>
                </c:pt>
                <c:pt idx="318">
                  <c:v>2.6234059185256285E-3</c:v>
                </c:pt>
                <c:pt idx="319">
                  <c:v>2.6832674919015599E-3</c:v>
                </c:pt>
                <c:pt idx="320">
                  <c:v>2.7453691222020979E-3</c:v>
                </c:pt>
                <c:pt idx="321">
                  <c:v>2.8097079863225786E-3</c:v>
                </c:pt>
                <c:pt idx="322">
                  <c:v>2.8762808290791384E-3</c:v>
                </c:pt>
                <c:pt idx="323">
                  <c:v>2.9428143635348136E-3</c:v>
                </c:pt>
                <c:pt idx="324">
                  <c:v>3.0080430742563139E-3</c:v>
                </c:pt>
                <c:pt idx="325">
                  <c:v>3.0719593992457289E-3</c:v>
                </c:pt>
                <c:pt idx="326">
                  <c:v>3.134536179778357E-3</c:v>
                </c:pt>
                <c:pt idx="327">
                  <c:v>3.1957579026488697E-3</c:v>
                </c:pt>
                <c:pt idx="328">
                  <c:v>3.2556252236629855E-3</c:v>
                </c:pt>
                <c:pt idx="329">
                  <c:v>3.3141395072035316E-3</c:v>
                </c:pt>
                <c:pt idx="330">
                  <c:v>3.3713027993179591E-3</c:v>
                </c:pt>
                <c:pt idx="331">
                  <c:v>3.4235994013105085E-3</c:v>
                </c:pt>
                <c:pt idx="332">
                  <c:v>3.4700507995023637E-3</c:v>
                </c:pt>
                <c:pt idx="333">
                  <c:v>3.5106600036256571E-3</c:v>
                </c:pt>
                <c:pt idx="334">
                  <c:v>3.5454309616477515E-3</c:v>
                </c:pt>
                <c:pt idx="335">
                  <c:v>3.5743684393290268E-3</c:v>
                </c:pt>
                <c:pt idx="336">
                  <c:v>3.5974778997349658E-3</c:v>
                </c:pt>
                <c:pt idx="337">
                  <c:v>3.6147468845905209E-3</c:v>
                </c:pt>
                <c:pt idx="338">
                  <c:v>3.6284560488215861E-3</c:v>
                </c:pt>
                <c:pt idx="339">
                  <c:v>3.6386123936482818E-3</c:v>
                </c:pt>
                <c:pt idx="340">
                  <c:v>3.6452231072501779E-3</c:v>
                </c:pt>
                <c:pt idx="341">
                  <c:v>3.6482954912102367E-3</c:v>
                </c:pt>
                <c:pt idx="342">
                  <c:v>3.6478368869560102E-3</c:v>
                </c:pt>
                <c:pt idx="343">
                  <c:v>3.6438546021567608E-3</c:v>
                </c:pt>
                <c:pt idx="344">
                  <c:v>3.6363558371778743E-3</c:v>
                </c:pt>
                <c:pt idx="345">
                  <c:v>3.6253476114968108E-3</c:v>
                </c:pt>
                <c:pt idx="346">
                  <c:v>3.61510931921138E-3</c:v>
                </c:pt>
                <c:pt idx="347">
                  <c:v>3.6056482486334948E-3</c:v>
                </c:pt>
                <c:pt idx="348">
                  <c:v>3.5969716592108925E-3</c:v>
                </c:pt>
                <c:pt idx="349">
                  <c:v>3.5890867967417056E-3</c:v>
                </c:pt>
                <c:pt idx="350">
                  <c:v>3.5820009086733012E-3</c:v>
                </c:pt>
                <c:pt idx="351">
                  <c:v>3.5764735217262093E-3</c:v>
                </c:pt>
                <c:pt idx="352">
                  <c:v>3.5725308086135398E-3</c:v>
                </c:pt>
                <c:pt idx="353">
                  <c:v>3.5701805964392891E-3</c:v>
                </c:pt>
                <c:pt idx="354">
                  <c:v>3.5694309060875905E-3</c:v>
                </c:pt>
                <c:pt idx="355">
                  <c:v>3.5702899833029689E-3</c:v>
                </c:pt>
                <c:pt idx="356">
                  <c:v>3.5727687989396228E-3</c:v>
                </c:pt>
                <c:pt idx="357">
                  <c:v>3.5768681801923549E-3</c:v>
                </c:pt>
                <c:pt idx="358">
                  <c:v>3.5825806117833112E-3</c:v>
                </c:pt>
                <c:pt idx="359">
                  <c:v>3.5898988027063239E-3</c:v>
                </c:pt>
                <c:pt idx="360">
                  <c:v>3.5987970896538901E-3</c:v>
                </c:pt>
                <c:pt idx="361">
                  <c:v>3.6085140802376253E-3</c:v>
                </c:pt>
                <c:pt idx="362">
                  <c:v>3.6190419427015513E-3</c:v>
                </c:pt>
                <c:pt idx="363">
                  <c:v>3.6303728399882437E-3</c:v>
                </c:pt>
                <c:pt idx="364">
                  <c:v>3.6424989109758144E-3</c:v>
                </c:pt>
                <c:pt idx="365">
                  <c:v>3.6554122516709673E-3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5.6575957336878436E-3</c:v>
                </c:pt>
                <c:pt idx="1">
                  <c:v>5.6679954794048417E-3</c:v>
                </c:pt>
                <c:pt idx="2">
                  <c:v>5.6738231257845422E-3</c:v>
                </c:pt>
                <c:pt idx="3">
                  <c:v>5.6750576495235771E-3</c:v>
                </c:pt>
                <c:pt idx="4">
                  <c:v>5.6716779234403658E-3</c:v>
                </c:pt>
                <c:pt idx="5">
                  <c:v>5.6636628341579127E-3</c:v>
                </c:pt>
                <c:pt idx="6">
                  <c:v>5.6509913998590133E-3</c:v>
                </c:pt>
                <c:pt idx="7">
                  <c:v>5.6336428879138027E-3</c:v>
                </c:pt>
                <c:pt idx="8">
                  <c:v>5.6115969325868757E-3</c:v>
                </c:pt>
                <c:pt idx="9">
                  <c:v>5.5804836498446579E-3</c:v>
                </c:pt>
                <c:pt idx="10">
                  <c:v>5.5394196960925693E-3</c:v>
                </c:pt>
                <c:pt idx="11">
                  <c:v>5.4883802434529871E-3</c:v>
                </c:pt>
                <c:pt idx="12">
                  <c:v>5.4273419535569769E-3</c:v>
                </c:pt>
                <c:pt idx="13">
                  <c:v>5.3562832276760862E-3</c:v>
                </c:pt>
                <c:pt idx="14">
                  <c:v>5.2751844567628459E-3</c:v>
                </c:pt>
                <c:pt idx="15">
                  <c:v>5.1850138949949302E-3</c:v>
                </c:pt>
                <c:pt idx="16">
                  <c:v>5.091258437511203E-3</c:v>
                </c:pt>
                <c:pt idx="17">
                  <c:v>4.9939109079602546E-3</c:v>
                </c:pt>
                <c:pt idx="18">
                  <c:v>4.8929657630858818E-3</c:v>
                </c:pt>
                <c:pt idx="19">
                  <c:v>4.7884458877162518E-3</c:v>
                </c:pt>
                <c:pt idx="20">
                  <c:v>4.6803853523256517E-3</c:v>
                </c:pt>
                <c:pt idx="21">
                  <c:v>4.5687966546195408E-3</c:v>
                </c:pt>
                <c:pt idx="22">
                  <c:v>4.4536922403716119E-3</c:v>
                </c:pt>
                <c:pt idx="23">
                  <c:v>4.337774050753097E-3</c:v>
                </c:pt>
                <c:pt idx="24">
                  <c:v>4.225421742906822E-3</c:v>
                </c:pt>
                <c:pt idx="25">
                  <c:v>4.1166483889409772E-3</c:v>
                </c:pt>
                <c:pt idx="26">
                  <c:v>4.0114660718184288E-3</c:v>
                </c:pt>
                <c:pt idx="27">
                  <c:v>3.909885931286391E-3</c:v>
                </c:pt>
                <c:pt idx="28">
                  <c:v>3.8119182098945454E-3</c:v>
                </c:pt>
                <c:pt idx="29">
                  <c:v>3.7237930590898242E-3</c:v>
                </c:pt>
                <c:pt idx="30">
                  <c:v>3.6445313680201138E-3</c:v>
                </c:pt>
                <c:pt idx="31">
                  <c:v>3.5741401775172166E-3</c:v>
                </c:pt>
                <c:pt idx="32">
                  <c:v>3.5126255021455089E-3</c:v>
                </c:pt>
                <c:pt idx="33">
                  <c:v>3.459992441591786E-3</c:v>
                </c:pt>
                <c:pt idx="34">
                  <c:v>3.4162452920711277E-3</c:v>
                </c:pt>
                <c:pt idx="35">
                  <c:v>3.3813876577291832E-3</c:v>
                </c:pt>
                <c:pt idx="36">
                  <c:v>3.3554225620373492E-3</c:v>
                </c:pt>
                <c:pt idx="37">
                  <c:v>3.3463088147022649E-3</c:v>
                </c:pt>
                <c:pt idx="38">
                  <c:v>3.3513579324283092E-3</c:v>
                </c:pt>
                <c:pt idx="39">
                  <c:v>3.3705704180711418E-3</c:v>
                </c:pt>
                <c:pt idx="40">
                  <c:v>3.4039466489766109E-3</c:v>
                </c:pt>
                <c:pt idx="41">
                  <c:v>3.4514870542767962E-3</c:v>
                </c:pt>
                <c:pt idx="42">
                  <c:v>3.5131922921631826E-3</c:v>
                </c:pt>
                <c:pt idx="43">
                  <c:v>3.5840313322894621E-3</c:v>
                </c:pt>
                <c:pt idx="44">
                  <c:v>3.6577928910394714E-3</c:v>
                </c:pt>
                <c:pt idx="45">
                  <c:v>3.734481836283218E-3</c:v>
                </c:pt>
                <c:pt idx="46">
                  <c:v>3.8141035067302195E-3</c:v>
                </c:pt>
                <c:pt idx="47">
                  <c:v>3.8966637484961022E-3</c:v>
                </c:pt>
                <c:pt idx="48">
                  <c:v>3.9821689516207548E-3</c:v>
                </c:pt>
                <c:pt idx="49">
                  <c:v>4.0706260866204512E-3</c:v>
                </c:pt>
                <c:pt idx="50">
                  <c:v>4.1620427410162288E-3</c:v>
                </c:pt>
                <c:pt idx="51">
                  <c:v>4.237018246624185E-3</c:v>
                </c:pt>
                <c:pt idx="52">
                  <c:v>4.2875894733050519E-3</c:v>
                </c:pt>
                <c:pt idx="53">
                  <c:v>4.3137353759873445E-3</c:v>
                </c:pt>
                <c:pt idx="54">
                  <c:v>4.3154550058461466E-3</c:v>
                </c:pt>
                <c:pt idx="55">
                  <c:v>4.2927469722082133E-3</c:v>
                </c:pt>
                <c:pt idx="56">
                  <c:v>4.2456095329639039E-3</c:v>
                </c:pt>
                <c:pt idx="57">
                  <c:v>4.168530412938568E-3</c:v>
                </c:pt>
                <c:pt idx="58">
                  <c:v>4.0665372768546237E-3</c:v>
                </c:pt>
                <c:pt idx="59">
                  <c:v>3.9396278447597034E-3</c:v>
                </c:pt>
                <c:pt idx="60">
                  <c:v>3.7877998531931126E-3</c:v>
                </c:pt>
                <c:pt idx="61">
                  <c:v>3.6110511473777507E-3</c:v>
                </c:pt>
                <c:pt idx="62">
                  <c:v>3.4093797734065213E-3</c:v>
                </c:pt>
                <c:pt idx="63">
                  <c:v>3.1827840704397054E-3</c:v>
                </c:pt>
                <c:pt idx="64">
                  <c:v>2.9312627628882057E-3</c:v>
                </c:pt>
                <c:pt idx="65">
                  <c:v>2.6672464631004294E-3</c:v>
                </c:pt>
                <c:pt idx="66">
                  <c:v>2.4101448038567081E-3</c:v>
                </c:pt>
                <c:pt idx="67">
                  <c:v>2.1599582595483832E-3</c:v>
                </c:pt>
                <c:pt idx="68">
                  <c:v>1.9166875994854153E-3</c:v>
                </c:pt>
                <c:pt idx="69">
                  <c:v>1.6803338622853252E-3</c:v>
                </c:pt>
                <c:pt idx="70">
                  <c:v>1.4508983302735374E-3</c:v>
                </c:pt>
                <c:pt idx="71">
                  <c:v>1.2357681542513137E-3</c:v>
                </c:pt>
                <c:pt idx="72">
                  <c:v>1.0404550902061557E-3</c:v>
                </c:pt>
                <c:pt idx="73">
                  <c:v>8.6496020158167584E-4</c:v>
                </c:pt>
                <c:pt idx="74">
                  <c:v>7.0928433193698812E-4</c:v>
                </c:pt>
                <c:pt idx="75">
                  <c:v>5.7342803163579214E-4</c:v>
                </c:pt>
                <c:pt idx="76">
                  <c:v>4.573914845327777E-4</c:v>
                </c:pt>
                <c:pt idx="77">
                  <c:v>3.6117443466236163E-4</c:v>
                </c:pt>
                <c:pt idx="78">
                  <c:v>2.8477612238033968E-4</c:v>
                </c:pt>
                <c:pt idx="79">
                  <c:v>2.2869456751976866E-4</c:v>
                </c:pt>
                <c:pt idx="80">
                  <c:v>1.8050021777103392E-4</c:v>
                </c:pt>
                <c:pt idx="81">
                  <c:v>1.4019192502361417E-4</c:v>
                </c:pt>
                <c:pt idx="82">
                  <c:v>1.0776858013849646E-4</c:v>
                </c:pt>
                <c:pt idx="83">
                  <c:v>8.3229087698054248E-5</c:v>
                </c:pt>
                <c:pt idx="84">
                  <c:v>6.6572340756271994E-5</c:v>
                </c:pt>
                <c:pt idx="85">
                  <c:v>5.8559772887954333E-5</c:v>
                </c:pt>
                <c:pt idx="86">
                  <c:v>5.1808786560946152E-5</c:v>
                </c:pt>
                <c:pt idx="87">
                  <c:v>4.6319202480449808E-5</c:v>
                </c:pt>
                <c:pt idx="88">
                  <c:v>4.2090831811886757E-5</c:v>
                </c:pt>
                <c:pt idx="89">
                  <c:v>3.9123472140562139E-5</c:v>
                </c:pt>
                <c:pt idx="90">
                  <c:v>3.7416903431241162E-5</c:v>
                </c:pt>
                <c:pt idx="91">
                  <c:v>3.6970883987875101E-5</c:v>
                </c:pt>
                <c:pt idx="92">
                  <c:v>3.7785146413211313E-5</c:v>
                </c:pt>
                <c:pt idx="93">
                  <c:v>4.1318004235136161E-5</c:v>
                </c:pt>
                <c:pt idx="94">
                  <c:v>4.7070729046521112E-5</c:v>
                </c:pt>
                <c:pt idx="95">
                  <c:v>5.504268211054456E-5</c:v>
                </c:pt>
                <c:pt idx="96">
                  <c:v>6.5233151081045329E-5</c:v>
                </c:pt>
                <c:pt idx="97">
                  <c:v>7.7641342883025816E-5</c:v>
                </c:pt>
                <c:pt idx="98">
                  <c:v>9.2266376592726391E-5</c:v>
                </c:pt>
                <c:pt idx="99">
                  <c:v>1.1288182681323765E-4</c:v>
                </c:pt>
                <c:pt idx="100">
                  <c:v>1.387236438018392E-4</c:v>
                </c:pt>
                <c:pt idx="101">
                  <c:v>1.697894581397132E-4</c:v>
                </c:pt>
                <c:pt idx="102">
                  <c:v>2.0607665068321003E-4</c:v>
                </c:pt>
                <c:pt idx="103">
                  <c:v>2.4758233577778989E-4</c:v>
                </c:pt>
                <c:pt idx="104">
                  <c:v>2.9430334447626277E-4</c:v>
                </c:pt>
                <c:pt idx="105">
                  <c:v>3.4623620775314708E-4</c:v>
                </c:pt>
                <c:pt idx="106">
                  <c:v>4.0337713972151247E-4</c:v>
                </c:pt>
                <c:pt idx="107">
                  <c:v>4.7127788481955414E-4</c:v>
                </c:pt>
                <c:pt idx="108">
                  <c:v>5.4847511831742041E-4</c:v>
                </c:pt>
                <c:pt idx="109">
                  <c:v>6.3496152996891572E-4</c:v>
                </c:pt>
                <c:pt idx="110">
                  <c:v>7.3073126121359598E-4</c:v>
                </c:pt>
                <c:pt idx="111">
                  <c:v>8.3577904999688666E-4</c:v>
                </c:pt>
                <c:pt idx="112">
                  <c:v>9.5009776594963478E-4</c:v>
                </c:pt>
                <c:pt idx="113">
                  <c:v>1.0791253482950293E-3</c:v>
                </c:pt>
                <c:pt idx="114">
                  <c:v>1.2190854185580484E-3</c:v>
                </c:pt>
                <c:pt idx="115">
                  <c:v>1.3699685605278113E-3</c:v>
                </c:pt>
                <c:pt idx="116">
                  <c:v>1.5317648922542476E-3</c:v>
                </c:pt>
                <c:pt idx="117">
                  <c:v>1.7044640420175857E-3</c:v>
                </c:pt>
                <c:pt idx="118">
                  <c:v>1.888055124285978E-3</c:v>
                </c:pt>
                <c:pt idx="119">
                  <c:v>2.0825267156762053E-3</c:v>
                </c:pt>
                <c:pt idx="120">
                  <c:v>2.2878668309106883E-3</c:v>
                </c:pt>
                <c:pt idx="121">
                  <c:v>2.5019483273032738E-3</c:v>
                </c:pt>
                <c:pt idx="122">
                  <c:v>2.7192221475950532E-3</c:v>
                </c:pt>
                <c:pt idx="123">
                  <c:v>2.9396806807396991E-3</c:v>
                </c:pt>
                <c:pt idx="124">
                  <c:v>3.1633159859456583E-3</c:v>
                </c:pt>
                <c:pt idx="125">
                  <c:v>3.3901197854251555E-3</c:v>
                </c:pt>
                <c:pt idx="126">
                  <c:v>3.6200834571037269E-3</c:v>
                </c:pt>
                <c:pt idx="127">
                  <c:v>3.8331062110456612E-3</c:v>
                </c:pt>
                <c:pt idx="128">
                  <c:v>4.0237727123791436E-3</c:v>
                </c:pt>
                <c:pt idx="129">
                  <c:v>4.1920978548613055E-3</c:v>
                </c:pt>
                <c:pt idx="130">
                  <c:v>4.3380974683999221E-3</c:v>
                </c:pt>
                <c:pt idx="131">
                  <c:v>4.4617883677300248E-3</c:v>
                </c:pt>
                <c:pt idx="132">
                  <c:v>4.5631884011253657E-3</c:v>
                </c:pt>
                <c:pt idx="133">
                  <c:v>4.6423164991393337E-3</c:v>
                </c:pt>
                <c:pt idx="134">
                  <c:v>4.6991927233244876E-3</c:v>
                </c:pt>
                <c:pt idx="135">
                  <c:v>4.7196400795009074E-3</c:v>
                </c:pt>
                <c:pt idx="136">
                  <c:v>4.7058017398069387E-3</c:v>
                </c:pt>
                <c:pt idx="137">
                  <c:v>4.6577160063255496E-3</c:v>
                </c:pt>
                <c:pt idx="138">
                  <c:v>4.5754232610270024E-3</c:v>
                </c:pt>
                <c:pt idx="139">
                  <c:v>4.4589660412056031E-3</c:v>
                </c:pt>
                <c:pt idx="140">
                  <c:v>4.3083891146557191E-3</c:v>
                </c:pt>
                <c:pt idx="141">
                  <c:v>4.1330998216847189E-3</c:v>
                </c:pt>
                <c:pt idx="142">
                  <c:v>3.9530934763603205E-3</c:v>
                </c:pt>
                <c:pt idx="143">
                  <c:v>3.7683677910559359E-3</c:v>
                </c:pt>
                <c:pt idx="144">
                  <c:v>3.5789460636883466E-3</c:v>
                </c:pt>
                <c:pt idx="145">
                  <c:v>3.3848511714378079E-3</c:v>
                </c:pt>
                <c:pt idx="146">
                  <c:v>3.1861055061715082E-3</c:v>
                </c:pt>
                <c:pt idx="147">
                  <c:v>2.9827309099879819E-3</c:v>
                </c:pt>
                <c:pt idx="148">
                  <c:v>2.7747486106744264E-3</c:v>
                </c:pt>
                <c:pt idx="149">
                  <c:v>2.5708473893600466E-3</c:v>
                </c:pt>
                <c:pt idx="150">
                  <c:v>2.385129016588999E-3</c:v>
                </c:pt>
                <c:pt idx="151">
                  <c:v>2.2175715464708683E-3</c:v>
                </c:pt>
                <c:pt idx="152">
                  <c:v>2.0681509420797774E-3</c:v>
                </c:pt>
                <c:pt idx="153">
                  <c:v>1.9368413180715608E-3</c:v>
                </c:pt>
                <c:pt idx="154">
                  <c:v>1.8236151833142542E-3</c:v>
                </c:pt>
                <c:pt idx="155">
                  <c:v>1.7295185898936155E-3</c:v>
                </c:pt>
                <c:pt idx="156">
                  <c:v>1.6452375788678626E-3</c:v>
                </c:pt>
                <c:pt idx="157">
                  <c:v>1.5707568828112039E-3</c:v>
                </c:pt>
                <c:pt idx="158">
                  <c:v>1.5060606626481076E-3</c:v>
                </c:pt>
                <c:pt idx="159">
                  <c:v>1.451132639101058E-3</c:v>
                </c:pt>
                <c:pt idx="160">
                  <c:v>1.405956224157428E-3</c:v>
                </c:pt>
                <c:pt idx="161">
                  <c:v>1.3705146525188642E-3</c:v>
                </c:pt>
                <c:pt idx="162">
                  <c:v>1.3447911130591078E-3</c:v>
                </c:pt>
                <c:pt idx="163">
                  <c:v>1.3293534355553348E-3</c:v>
                </c:pt>
                <c:pt idx="164">
                  <c:v>1.3155961532087062E-3</c:v>
                </c:pt>
                <c:pt idx="165">
                  <c:v>1.303517714769783E-3</c:v>
                </c:pt>
                <c:pt idx="166">
                  <c:v>1.2931165858541616E-3</c:v>
                </c:pt>
                <c:pt idx="167">
                  <c:v>1.2843912714243244E-3</c:v>
                </c:pt>
                <c:pt idx="168">
                  <c:v>1.2773403383131308E-3</c:v>
                </c:pt>
                <c:pt idx="169">
                  <c:v>1.272544922338646E-3</c:v>
                </c:pt>
                <c:pt idx="170">
                  <c:v>1.2689377057099908E-3</c:v>
                </c:pt>
                <c:pt idx="171">
                  <c:v>1.2665183740986903E-3</c:v>
                </c:pt>
                <c:pt idx="172">
                  <c:v>1.265286716245217E-3</c:v>
                </c:pt>
                <c:pt idx="173">
                  <c:v>1.2652297014667511E-3</c:v>
                </c:pt>
                <c:pt idx="174">
                  <c:v>1.2663337018630507E-3</c:v>
                </c:pt>
                <c:pt idx="175">
                  <c:v>1.2685976988305208E-3</c:v>
                </c:pt>
                <c:pt idx="176">
                  <c:v>1.2720206814359153E-3</c:v>
                </c:pt>
                <c:pt idx="177">
                  <c:v>1.2776629804650509E-3</c:v>
                </c:pt>
                <c:pt idx="178">
                  <c:v>1.2849422225644095E-3</c:v>
                </c:pt>
                <c:pt idx="179">
                  <c:v>1.2938567493788707E-3</c:v>
                </c:pt>
                <c:pt idx="180">
                  <c:v>1.3044049493433055E-3</c:v>
                </c:pt>
                <c:pt idx="181">
                  <c:v>1.3165852673111761E-3</c:v>
                </c:pt>
                <c:pt idx="182">
                  <c:v>1.3303962141943712E-3</c:v>
                </c:pt>
                <c:pt idx="183">
                  <c:v>1.354338747468849E-3</c:v>
                </c:pt>
                <c:pt idx="184">
                  <c:v>1.3878212490468396E-3</c:v>
                </c:pt>
                <c:pt idx="185">
                  <c:v>1.4308314329859388E-3</c:v>
                </c:pt>
                <c:pt idx="186">
                  <c:v>1.4833574610227285E-3</c:v>
                </c:pt>
                <c:pt idx="187">
                  <c:v>1.5453879988686879E-3</c:v>
                </c:pt>
                <c:pt idx="188">
                  <c:v>1.6169122725165047E-3</c:v>
                </c:pt>
                <c:pt idx="189">
                  <c:v>1.697920124499276E-3</c:v>
                </c:pt>
                <c:pt idx="190">
                  <c:v>1.7884020702161963E-3</c:v>
                </c:pt>
                <c:pt idx="191">
                  <c:v>1.897459664911034E-3</c:v>
                </c:pt>
                <c:pt idx="192">
                  <c:v>2.0240197173850265E-3</c:v>
                </c:pt>
                <c:pt idx="193">
                  <c:v>2.1680656779734298E-3</c:v>
                </c:pt>
                <c:pt idx="194">
                  <c:v>2.3295824746644247E-3</c:v>
                </c:pt>
                <c:pt idx="195">
                  <c:v>2.5085566170403198E-3</c:v>
                </c:pt>
                <c:pt idx="196">
                  <c:v>2.704976300137859E-3</c:v>
                </c:pt>
                <c:pt idx="197">
                  <c:v>2.9050777650969769E-3</c:v>
                </c:pt>
                <c:pt idx="198">
                  <c:v>3.1004176415043616E-3</c:v>
                </c:pt>
                <c:pt idx="199">
                  <c:v>3.2910108433156938E-3</c:v>
                </c:pt>
                <c:pt idx="200">
                  <c:v>3.4768723374746205E-3</c:v>
                </c:pt>
                <c:pt idx="201">
                  <c:v>3.6580171162586351E-3</c:v>
                </c:pt>
                <c:pt idx="202">
                  <c:v>3.8344601696365804E-3</c:v>
                </c:pt>
                <c:pt idx="203">
                  <c:v>4.0062164577117252E-3</c:v>
                </c:pt>
                <c:pt idx="204">
                  <c:v>4.1732941438640337E-3</c:v>
                </c:pt>
                <c:pt idx="205">
                  <c:v>4.3163315583789252E-3</c:v>
                </c:pt>
                <c:pt idx="206">
                  <c:v>4.4262835356880855E-3</c:v>
                </c:pt>
                <c:pt idx="207">
                  <c:v>4.5031748880054283E-3</c:v>
                </c:pt>
                <c:pt idx="208">
                  <c:v>4.5470275952153947E-3</c:v>
                </c:pt>
                <c:pt idx="209">
                  <c:v>4.5578609074464942E-3</c:v>
                </c:pt>
                <c:pt idx="210">
                  <c:v>4.535691447796213E-3</c:v>
                </c:pt>
                <c:pt idx="211">
                  <c:v>4.4785007864971468E-3</c:v>
                </c:pt>
                <c:pt idx="212">
                  <c:v>4.4000067473883887E-3</c:v>
                </c:pt>
                <c:pt idx="213">
                  <c:v>4.3002141304762436E-3</c:v>
                </c:pt>
                <c:pt idx="214">
                  <c:v>4.1791263285452076E-3</c:v>
                </c:pt>
                <c:pt idx="215">
                  <c:v>4.0367453935522234E-3</c:v>
                </c:pt>
                <c:pt idx="216">
                  <c:v>3.8730721030048204E-3</c:v>
                </c:pt>
                <c:pt idx="217">
                  <c:v>3.6881060263538653E-3</c:v>
                </c:pt>
                <c:pt idx="218">
                  <c:v>3.4818455913626922E-3</c:v>
                </c:pt>
                <c:pt idx="219">
                  <c:v>3.2595083149787019E-3</c:v>
                </c:pt>
                <c:pt idx="220">
                  <c:v>3.0404177726320713E-3</c:v>
                </c:pt>
                <c:pt idx="221">
                  <c:v>2.8245662232977442E-3</c:v>
                </c:pt>
                <c:pt idx="222">
                  <c:v>2.6119463750316121E-3</c:v>
                </c:pt>
                <c:pt idx="223">
                  <c:v>2.4025513751143521E-3</c:v>
                </c:pt>
                <c:pt idx="224">
                  <c:v>2.1963748001191936E-3</c:v>
                </c:pt>
                <c:pt idx="225">
                  <c:v>1.9987294234264878E-3</c:v>
                </c:pt>
                <c:pt idx="226">
                  <c:v>1.8116401102258759E-3</c:v>
                </c:pt>
                <c:pt idx="227">
                  <c:v>1.6351018938609739E-3</c:v>
                </c:pt>
                <c:pt idx="228">
                  <c:v>1.4691105072551034E-3</c:v>
                </c:pt>
                <c:pt idx="229">
                  <c:v>1.313662350137321E-3</c:v>
                </c:pt>
                <c:pt idx="230">
                  <c:v>1.168754456297928E-3</c:v>
                </c:pt>
                <c:pt idx="231">
                  <c:v>1.0343844608429954E-3</c:v>
                </c:pt>
                <c:pt idx="232">
                  <c:v>9.1055056742331698E-4</c:v>
                </c:pt>
                <c:pt idx="233">
                  <c:v>8.0086152327066035E-4</c:v>
                </c:pt>
                <c:pt idx="234">
                  <c:v>7.0009677382898959E-4</c:v>
                </c:pt>
                <c:pt idx="235">
                  <c:v>6.0825631776358503E-4</c:v>
                </c:pt>
                <c:pt idx="236">
                  <c:v>5.2534044435853446E-4</c:v>
                </c:pt>
                <c:pt idx="237">
                  <c:v>4.5134922014237019E-4</c:v>
                </c:pt>
                <c:pt idx="238">
                  <c:v>3.8628302089932834E-4</c:v>
                </c:pt>
                <c:pt idx="239">
                  <c:v>3.3153732330831E-4</c:v>
                </c:pt>
                <c:pt idx="240">
                  <c:v>2.8179130635602642E-4</c:v>
                </c:pt>
                <c:pt idx="241">
                  <c:v>2.3704525865673128E-4</c:v>
                </c:pt>
                <c:pt idx="242">
                  <c:v>1.9729966102663768E-4</c:v>
                </c:pt>
                <c:pt idx="243">
                  <c:v>1.6255519532181825E-4</c:v>
                </c:pt>
                <c:pt idx="244">
                  <c:v>1.328127532730599E-4</c:v>
                </c:pt>
                <c:pt idx="245">
                  <c:v>1.080734453191901E-4</c:v>
                </c:pt>
                <c:pt idx="246">
                  <c:v>8.8338609441507521E-5</c:v>
                </c:pt>
                <c:pt idx="247">
                  <c:v>7.4339329814184285E-5</c:v>
                </c:pt>
                <c:pt idx="248">
                  <c:v>6.2462417770522955E-5</c:v>
                </c:pt>
                <c:pt idx="249">
                  <c:v>5.2708554434293985E-5</c:v>
                </c:pt>
                <c:pt idx="250">
                  <c:v>4.5078526970388168E-5</c:v>
                </c:pt>
                <c:pt idx="251">
                  <c:v>3.9573232334067724E-5</c:v>
                </c:pt>
                <c:pt idx="252">
                  <c:v>3.6193681017688257E-5</c:v>
                </c:pt>
                <c:pt idx="253">
                  <c:v>3.5418236141320913E-5</c:v>
                </c:pt>
                <c:pt idx="254">
                  <c:v>3.5850590542988449E-5</c:v>
                </c:pt>
                <c:pt idx="255">
                  <c:v>3.7491524448208505E-5</c:v>
                </c:pt>
                <c:pt idx="256">
                  <c:v>4.0341890972628838E-5</c:v>
                </c:pt>
                <c:pt idx="257">
                  <c:v>4.4402618248484931E-5</c:v>
                </c:pt>
                <c:pt idx="258">
                  <c:v>4.9674711551333621E-5</c:v>
                </c:pt>
                <c:pt idx="259">
                  <c:v>5.6159255427517017E-5</c:v>
                </c:pt>
                <c:pt idx="260">
                  <c:v>6.3857415820297637E-5</c:v>
                </c:pt>
                <c:pt idx="261">
                  <c:v>7.9853446401517377E-5</c:v>
                </c:pt>
                <c:pt idx="262">
                  <c:v>1.0342299413195226E-4</c:v>
                </c:pt>
                <c:pt idx="263">
                  <c:v>1.3457354395256927E-4</c:v>
                </c:pt>
                <c:pt idx="264">
                  <c:v>1.7331312312468918E-4</c:v>
                </c:pt>
                <c:pt idx="265">
                  <c:v>2.1965149210129679E-4</c:v>
                </c:pt>
                <c:pt idx="266">
                  <c:v>2.7359942105361084E-4</c:v>
                </c:pt>
                <c:pt idx="267">
                  <c:v>3.471132047776939E-4</c:v>
                </c:pt>
                <c:pt idx="268">
                  <c:v>4.3973905315538957E-4</c:v>
                </c:pt>
                <c:pt idx="269">
                  <c:v>5.5150362683764609E-4</c:v>
                </c:pt>
                <c:pt idx="270">
                  <c:v>6.82435053942061E-4</c:v>
                </c:pt>
                <c:pt idx="271">
                  <c:v>8.3256272024791287E-4</c:v>
                </c:pt>
                <c:pt idx="272">
                  <c:v>1.0019170594021975E-3</c:v>
                </c:pt>
                <c:pt idx="273">
                  <c:v>1.1905293431168059E-3</c:v>
                </c:pt>
                <c:pt idx="274">
                  <c:v>1.3984314713771978E-3</c:v>
                </c:pt>
                <c:pt idx="275">
                  <c:v>1.620341956241222E-3</c:v>
                </c:pt>
                <c:pt idx="276">
                  <c:v>1.8491598873722906E-3</c:v>
                </c:pt>
                <c:pt idx="277">
                  <c:v>2.084899007564658E-3</c:v>
                </c:pt>
                <c:pt idx="278">
                  <c:v>2.3275723618626865E-3</c:v>
                </c:pt>
                <c:pt idx="279">
                  <c:v>2.5771922242855514E-3</c:v>
                </c:pt>
                <c:pt idx="280">
                  <c:v>2.8337700245734646E-3</c:v>
                </c:pt>
                <c:pt idx="281">
                  <c:v>3.0785424893624244E-3</c:v>
                </c:pt>
                <c:pt idx="282">
                  <c:v>3.2994593510389334E-3</c:v>
                </c:pt>
                <c:pt idx="283">
                  <c:v>3.4964806656947378E-3</c:v>
                </c:pt>
                <c:pt idx="284">
                  <c:v>3.6695653881604904E-3</c:v>
                </c:pt>
                <c:pt idx="285">
                  <c:v>3.8186716358148708E-3</c:v>
                </c:pt>
                <c:pt idx="286">
                  <c:v>3.9437569524288767E-3</c:v>
                </c:pt>
                <c:pt idx="287">
                  <c:v>4.0447785719749801E-3</c:v>
                </c:pt>
                <c:pt idx="288">
                  <c:v>4.1216936824491276E-3</c:v>
                </c:pt>
                <c:pt idx="289">
                  <c:v>4.169574143954643E-3</c:v>
                </c:pt>
                <c:pt idx="290">
                  <c:v>4.1937253263812195E-3</c:v>
                </c:pt>
                <c:pt idx="291">
                  <c:v>4.1941066600768694E-3</c:v>
                </c:pt>
                <c:pt idx="292">
                  <c:v>4.1706785822723039E-3</c:v>
                </c:pt>
                <c:pt idx="293">
                  <c:v>4.1234027958317095E-3</c:v>
                </c:pt>
                <c:pt idx="294">
                  <c:v>4.052242527987142E-3</c:v>
                </c:pt>
                <c:pt idx="295">
                  <c:v>3.9649058174949297E-3</c:v>
                </c:pt>
                <c:pt idx="296">
                  <c:v>3.880330846043977E-3</c:v>
                </c:pt>
                <c:pt idx="297">
                  <c:v>3.798549487034088E-3</c:v>
                </c:pt>
                <c:pt idx="298">
                  <c:v>3.7195605096068691E-3</c:v>
                </c:pt>
                <c:pt idx="299">
                  <c:v>3.6433630859412825E-3</c:v>
                </c:pt>
                <c:pt idx="300">
                  <c:v>3.5699567649865255E-3</c:v>
                </c:pt>
                <c:pt idx="301">
                  <c:v>3.4993414461834513E-3</c:v>
                </c:pt>
                <c:pt idx="302">
                  <c:v>3.4315173531942666E-3</c:v>
                </c:pt>
                <c:pt idx="303">
                  <c:v>3.3725585840148195E-3</c:v>
                </c:pt>
                <c:pt idx="304">
                  <c:v>3.3273948277438678E-3</c:v>
                </c:pt>
                <c:pt idx="305">
                  <c:v>3.296042808482526E-3</c:v>
                </c:pt>
                <c:pt idx="306">
                  <c:v>3.2785193454132841E-3</c:v>
                </c:pt>
                <c:pt idx="307">
                  <c:v>3.2748412253348026E-3</c:v>
                </c:pt>
                <c:pt idx="308">
                  <c:v>3.2850250751693048E-3</c:v>
                </c:pt>
                <c:pt idx="309">
                  <c:v>3.3117211161770525E-3</c:v>
                </c:pt>
                <c:pt idx="310">
                  <c:v>3.347151739221608E-3</c:v>
                </c:pt>
                <c:pt idx="311">
                  <c:v>3.3913252866589871E-3</c:v>
                </c:pt>
                <c:pt idx="312">
                  <c:v>3.4442496395467662E-3</c:v>
                </c:pt>
                <c:pt idx="313">
                  <c:v>3.505932137557656E-3</c:v>
                </c:pt>
                <c:pt idx="314">
                  <c:v>3.5763794988618283E-3</c:v>
                </c:pt>
                <c:pt idx="315">
                  <c:v>3.6555977400530761E-3</c:v>
                </c:pt>
                <c:pt idx="316">
                  <c:v>3.7435920960206654E-3</c:v>
                </c:pt>
                <c:pt idx="317">
                  <c:v>3.8413369198203964E-3</c:v>
                </c:pt>
                <c:pt idx="318">
                  <c:v>3.9427226930085291E-3</c:v>
                </c:pt>
                <c:pt idx="319">
                  <c:v>4.047746103878736E-3</c:v>
                </c:pt>
                <c:pt idx="320">
                  <c:v>4.1564031775068499E-3</c:v>
                </c:pt>
                <c:pt idx="321">
                  <c:v>4.2686892427044494E-3</c:v>
                </c:pt>
                <c:pt idx="322">
                  <c:v>4.3845988989926936E-3</c:v>
                </c:pt>
                <c:pt idx="323">
                  <c:v>4.4998263356909214E-3</c:v>
                </c:pt>
                <c:pt idx="324">
                  <c:v>4.6117117196047934E-3</c:v>
                </c:pt>
                <c:pt idx="325">
                  <c:v>4.7202416453975722E-3</c:v>
                </c:pt>
                <c:pt idx="326">
                  <c:v>4.8253726504885758E-3</c:v>
                </c:pt>
                <c:pt idx="327">
                  <c:v>4.9270791684114983E-3</c:v>
                </c:pt>
                <c:pt idx="328">
                  <c:v>5.025360728980236E-3</c:v>
                </c:pt>
                <c:pt idx="329">
                  <c:v>5.1202182273712947E-3</c:v>
                </c:pt>
                <c:pt idx="330">
                  <c:v>5.2116538547525527E-3</c:v>
                </c:pt>
                <c:pt idx="331">
                  <c:v>5.2942390680707635E-3</c:v>
                </c:pt>
                <c:pt idx="332">
                  <c:v>5.36700319938474E-3</c:v>
                </c:pt>
                <c:pt idx="333">
                  <c:v>5.4299506231632643E-3</c:v>
                </c:pt>
                <c:pt idx="334">
                  <c:v>5.4830872474285058E-3</c:v>
                </c:pt>
                <c:pt idx="335">
                  <c:v>5.5264203112306625E-3</c:v>
                </c:pt>
                <c:pt idx="336">
                  <c:v>5.5599581820518756E-3</c:v>
                </c:pt>
                <c:pt idx="337">
                  <c:v>5.5845599605770999E-3</c:v>
                </c:pt>
                <c:pt idx="338">
                  <c:v>5.6045440641781024E-3</c:v>
                </c:pt>
                <c:pt idx="339">
                  <c:v>5.6199214056418516E-3</c:v>
                </c:pt>
                <c:pt idx="340">
                  <c:v>5.6307031582451105E-3</c:v>
                </c:pt>
                <c:pt idx="341">
                  <c:v>5.6369006604570998E-3</c:v>
                </c:pt>
                <c:pt idx="342">
                  <c:v>5.6385253206379521E-3</c:v>
                </c:pt>
                <c:pt idx="343">
                  <c:v>5.6355885216690087E-3</c:v>
                </c:pt>
                <c:pt idx="344">
                  <c:v>5.6281015256717066E-3</c:v>
                </c:pt>
                <c:pt idx="345">
                  <c:v>5.616075378666951E-3</c:v>
                </c:pt>
                <c:pt idx="346">
                  <c:v>5.6054345094930262E-3</c:v>
                </c:pt>
                <c:pt idx="347">
                  <c:v>5.5961904243164162E-3</c:v>
                </c:pt>
                <c:pt idx="348">
                  <c:v>5.5883546431461121E-3</c:v>
                </c:pt>
                <c:pt idx="349">
                  <c:v>5.581938727395268E-3</c:v>
                </c:pt>
                <c:pt idx="350">
                  <c:v>5.5769543075737549E-3</c:v>
                </c:pt>
                <c:pt idx="351">
                  <c:v>5.5738914670196245E-3</c:v>
                </c:pt>
                <c:pt idx="352">
                  <c:v>5.5719116761331856E-3</c:v>
                </c:pt>
                <c:pt idx="353">
                  <c:v>5.5710267676281813E-3</c:v>
                </c:pt>
                <c:pt idx="354">
                  <c:v>5.5712486975184623E-3</c:v>
                </c:pt>
                <c:pt idx="355">
                  <c:v>5.5725895647163919E-3</c:v>
                </c:pt>
                <c:pt idx="356">
                  <c:v>5.57506548360344E-3</c:v>
                </c:pt>
                <c:pt idx="357">
                  <c:v>5.5786764747139178E-3</c:v>
                </c:pt>
                <c:pt idx="358">
                  <c:v>5.5834092942734304E-3</c:v>
                </c:pt>
                <c:pt idx="359">
                  <c:v>5.5892508410675286E-3</c:v>
                </c:pt>
                <c:pt idx="360">
                  <c:v>5.5970406915244368E-3</c:v>
                </c:pt>
                <c:pt idx="361">
                  <c:v>5.6062872676561522E-3</c:v>
                </c:pt>
                <c:pt idx="362">
                  <c:v>5.6169782708619786E-3</c:v>
                </c:pt>
                <c:pt idx="363">
                  <c:v>5.6291014745953882E-3</c:v>
                </c:pt>
                <c:pt idx="364">
                  <c:v>5.6426446903684617E-3</c:v>
                </c:pt>
                <c:pt idx="365">
                  <c:v>5.6575957336878436E-3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8.1971506317892323E-3</c:v>
                </c:pt>
                <c:pt idx="1">
                  <c:v>8.2067786862826796E-3</c:v>
                </c:pt>
                <c:pt idx="2">
                  <c:v>8.2113648102420302E-3</c:v>
                </c:pt>
                <c:pt idx="3">
                  <c:v>8.210880777889543E-3</c:v>
                </c:pt>
                <c:pt idx="4">
                  <c:v>8.2052982770676151E-3</c:v>
                </c:pt>
                <c:pt idx="5">
                  <c:v>8.1945890392431317E-3</c:v>
                </c:pt>
                <c:pt idx="6">
                  <c:v>8.1787249696166076E-3</c:v>
                </c:pt>
                <c:pt idx="7">
                  <c:v>8.1576782770466476E-3</c:v>
                </c:pt>
                <c:pt idx="8">
                  <c:v>8.1314216040894519E-3</c:v>
                </c:pt>
                <c:pt idx="9">
                  <c:v>8.0931277882552183E-3</c:v>
                </c:pt>
                <c:pt idx="10">
                  <c:v>8.0414786484109182E-3</c:v>
                </c:pt>
                <c:pt idx="11">
                  <c:v>7.976439181125599E-3</c:v>
                </c:pt>
                <c:pt idx="12">
                  <c:v>7.8979763489189312E-3</c:v>
                </c:pt>
                <c:pt idx="13">
                  <c:v>7.8060594158287106E-3</c:v>
                </c:pt>
                <c:pt idx="14">
                  <c:v>7.7006602828452808E-3</c:v>
                </c:pt>
                <c:pt idx="15">
                  <c:v>7.5809806456274796E-3</c:v>
                </c:pt>
                <c:pt idx="16">
                  <c:v>7.453410725993358E-3</c:v>
                </c:pt>
                <c:pt idx="17">
                  <c:v>7.3179368206857621E-3</c:v>
                </c:pt>
                <c:pt idx="18">
                  <c:v>7.174548042378724E-3</c:v>
                </c:pt>
                <c:pt idx="19">
                  <c:v>7.0232756872084983E-3</c:v>
                </c:pt>
                <c:pt idx="20">
                  <c:v>6.8641679967954084E-3</c:v>
                </c:pt>
                <c:pt idx="21">
                  <c:v>6.6972420160118984E-3</c:v>
                </c:pt>
                <c:pt idx="22">
                  <c:v>6.5225150958984901E-3</c:v>
                </c:pt>
                <c:pt idx="23">
                  <c:v>6.3443103153847684E-3</c:v>
                </c:pt>
                <c:pt idx="24">
                  <c:v>6.1694730071794367E-3</c:v>
                </c:pt>
                <c:pt idx="25">
                  <c:v>5.998022500828413E-3</c:v>
                </c:pt>
                <c:pt idx="26">
                  <c:v>5.8299768403307362E-3</c:v>
                </c:pt>
                <c:pt idx="27">
                  <c:v>5.665352828229565E-3</c:v>
                </c:pt>
                <c:pt idx="28">
                  <c:v>5.5041660698320095E-3</c:v>
                </c:pt>
                <c:pt idx="29">
                  <c:v>5.3542332641064632E-3</c:v>
                </c:pt>
                <c:pt idx="30">
                  <c:v>5.2163416710075726E-3</c:v>
                </c:pt>
                <c:pt idx="31">
                  <c:v>5.0905023686324226E-3</c:v>
                </c:pt>
                <c:pt idx="32">
                  <c:v>4.9767248896119866E-3</c:v>
                </c:pt>
                <c:pt idx="33">
                  <c:v>4.8750173724736012E-3</c:v>
                </c:pt>
                <c:pt idx="34">
                  <c:v>4.7853867130262344E-3</c:v>
                </c:pt>
                <c:pt idx="35">
                  <c:v>4.7078387157403097E-3</c:v>
                </c:pt>
                <c:pt idx="36">
                  <c:v>4.6423782451174471E-3</c:v>
                </c:pt>
                <c:pt idx="37">
                  <c:v>4.6000021322034354E-3</c:v>
                </c:pt>
                <c:pt idx="38">
                  <c:v>4.5764070040390618E-3</c:v>
                </c:pt>
                <c:pt idx="39">
                  <c:v>4.5715939702276869E-3</c:v>
                </c:pt>
                <c:pt idx="40">
                  <c:v>4.5855638225051586E-3</c:v>
                </c:pt>
                <c:pt idx="41">
                  <c:v>4.6183172697912035E-3</c:v>
                </c:pt>
                <c:pt idx="42">
                  <c:v>4.6698551732092834E-3</c:v>
                </c:pt>
                <c:pt idx="43">
                  <c:v>4.7431670905754685E-3</c:v>
                </c:pt>
                <c:pt idx="44">
                  <c:v>4.8304602170698326E-3</c:v>
                </c:pt>
                <c:pt idx="45">
                  <c:v>4.9317384130516534E-3</c:v>
                </c:pt>
                <c:pt idx="46">
                  <c:v>5.0470064571748107E-3</c:v>
                </c:pt>
                <c:pt idx="47">
                  <c:v>5.1762702213041765E-3</c:v>
                </c:pt>
                <c:pt idx="48">
                  <c:v>5.3195368453680331E-3</c:v>
                </c:pt>
                <c:pt idx="49">
                  <c:v>5.4768149122554378E-3</c:v>
                </c:pt>
                <c:pt idx="50">
                  <c:v>5.6481146226819885E-3</c:v>
                </c:pt>
                <c:pt idx="51">
                  <c:v>5.8105334034149157E-3</c:v>
                </c:pt>
                <c:pt idx="52">
                  <c:v>5.9530704257977256E-3</c:v>
                </c:pt>
                <c:pt idx="53">
                  <c:v>6.0756975077682568E-3</c:v>
                </c:pt>
                <c:pt idx="54">
                  <c:v>6.1784138773059334E-3</c:v>
                </c:pt>
                <c:pt idx="55">
                  <c:v>6.261218252165985E-3</c:v>
                </c:pt>
                <c:pt idx="56">
                  <c:v>6.3241089136006623E-3</c:v>
                </c:pt>
                <c:pt idx="57">
                  <c:v>6.3455203089565898E-3</c:v>
                </c:pt>
                <c:pt idx="58">
                  <c:v>6.3224627032178304E-3</c:v>
                </c:pt>
                <c:pt idx="59">
                  <c:v>6.2549329786154729E-3</c:v>
                </c:pt>
                <c:pt idx="60">
                  <c:v>6.1429278115289372E-3</c:v>
                </c:pt>
                <c:pt idx="61">
                  <c:v>5.9864438370388707E-3</c:v>
                </c:pt>
                <c:pt idx="62">
                  <c:v>5.7854778134709493E-3</c:v>
                </c:pt>
                <c:pt idx="63">
                  <c:v>5.5400267869577767E-3</c:v>
                </c:pt>
                <c:pt idx="64">
                  <c:v>5.2500882559771882E-3</c:v>
                </c:pt>
                <c:pt idx="65">
                  <c:v>4.927611098981266E-3</c:v>
                </c:pt>
                <c:pt idx="66">
                  <c:v>4.5955098779201543E-3</c:v>
                </c:pt>
                <c:pt idx="67">
                  <c:v>4.2537844902617939E-3</c:v>
                </c:pt>
                <c:pt idx="68">
                  <c:v>3.9024354437755459E-3</c:v>
                </c:pt>
                <c:pt idx="69">
                  <c:v>3.5414638920828962E-3</c:v>
                </c:pt>
                <c:pt idx="70">
                  <c:v>3.1708716702298265E-3</c:v>
                </c:pt>
                <c:pt idx="71">
                  <c:v>2.8056027199255436E-3</c:v>
                </c:pt>
                <c:pt idx="72">
                  <c:v>2.4672235874050861E-3</c:v>
                </c:pt>
                <c:pt idx="73">
                  <c:v>2.1557361854061662E-3</c:v>
                </c:pt>
                <c:pt idx="74">
                  <c:v>1.8711422367753928E-3</c:v>
                </c:pt>
                <c:pt idx="75">
                  <c:v>1.6134431749850876E-3</c:v>
                </c:pt>
                <c:pt idx="76">
                  <c:v>1.3826400446434045E-3</c:v>
                </c:pt>
                <c:pt idx="77">
                  <c:v>1.1787334020105795E-3</c:v>
                </c:pt>
                <c:pt idx="78">
                  <c:v>1.0017232487679912E-3</c:v>
                </c:pt>
                <c:pt idx="79">
                  <c:v>8.5357166994261019E-4</c:v>
                </c:pt>
                <c:pt idx="80">
                  <c:v>7.2233035621217963E-4</c:v>
                </c:pt>
                <c:pt idx="81">
                  <c:v>6.0799675244183125E-4</c:v>
                </c:pt>
                <c:pt idx="82">
                  <c:v>5.1056842280455947E-4</c:v>
                </c:pt>
                <c:pt idx="83">
                  <c:v>4.30042996652715E-4</c:v>
                </c:pt>
                <c:pt idx="84">
                  <c:v>3.6641811439113467E-4</c:v>
                </c:pt>
                <c:pt idx="85">
                  <c:v>3.2192009332147696E-4</c:v>
                </c:pt>
                <c:pt idx="86">
                  <c:v>2.8161354790775649E-4</c:v>
                </c:pt>
                <c:pt idx="87">
                  <c:v>2.4549795936359357E-4</c:v>
                </c:pt>
                <c:pt idx="88">
                  <c:v>2.135728001372422E-4</c:v>
                </c:pt>
                <c:pt idx="89">
                  <c:v>1.8583752049331078E-4</c:v>
                </c:pt>
                <c:pt idx="90">
                  <c:v>1.6229153509405826E-4</c:v>
                </c:pt>
                <c:pt idx="91">
                  <c:v>1.4293420958143153E-4</c:v>
                </c:pt>
                <c:pt idx="92">
                  <c:v>1.2776484715847563E-4</c:v>
                </c:pt>
                <c:pt idx="93">
                  <c:v>1.1914664540108039E-4</c:v>
                </c:pt>
                <c:pt idx="94">
                  <c:v>1.1512043464372332E-4</c:v>
                </c:pt>
                <c:pt idx="95">
                  <c:v>1.1568511062408146E-4</c:v>
                </c:pt>
                <c:pt idx="96">
                  <c:v>1.2083943730465275E-4</c:v>
                </c:pt>
                <c:pt idx="97">
                  <c:v>1.305820321531268E-4</c:v>
                </c:pt>
                <c:pt idx="98">
                  <c:v>1.4491135142173463E-4</c:v>
                </c:pt>
                <c:pt idx="99">
                  <c:v>1.6829955863213307E-4</c:v>
                </c:pt>
                <c:pt idx="100">
                  <c:v>1.9851714288816381E-4</c:v>
                </c:pt>
                <c:pt idx="101">
                  <c:v>2.355610727412304E-4</c:v>
                </c:pt>
                <c:pt idx="102">
                  <c:v>2.7942799500366763E-4</c:v>
                </c:pt>
                <c:pt idx="103">
                  <c:v>3.3011421281613256E-4</c:v>
                </c:pt>
                <c:pt idx="104">
                  <c:v>3.8761566372089769E-4</c:v>
                </c:pt>
                <c:pt idx="105">
                  <c:v>4.5192789772979949E-4</c:v>
                </c:pt>
                <c:pt idx="106">
                  <c:v>5.230460553955627E-4</c:v>
                </c:pt>
                <c:pt idx="107">
                  <c:v>6.0758798404916727E-4</c:v>
                </c:pt>
                <c:pt idx="108">
                  <c:v>7.0318485251610581E-4</c:v>
                </c:pt>
                <c:pt idx="109">
                  <c:v>8.0982784595308032E-4</c:v>
                </c:pt>
                <c:pt idx="110">
                  <c:v>9.2751003758150756E-4</c:v>
                </c:pt>
                <c:pt idx="111">
                  <c:v>1.0562252526411218E-3</c:v>
                </c:pt>
                <c:pt idx="112">
                  <c:v>1.1959649479400265E-3</c:v>
                </c:pt>
                <c:pt idx="113">
                  <c:v>1.3533469596132286E-3</c:v>
                </c:pt>
                <c:pt idx="114">
                  <c:v>1.5238950259221875E-3</c:v>
                </c:pt>
                <c:pt idx="115">
                  <c:v>1.7075977639962221E-3</c:v>
                </c:pt>
                <c:pt idx="116">
                  <c:v>1.9044432282836912E-3</c:v>
                </c:pt>
                <c:pt idx="117">
                  <c:v>2.1144188816098921E-3</c:v>
                </c:pt>
                <c:pt idx="118">
                  <c:v>2.3375115662201181E-3</c:v>
                </c:pt>
                <c:pt idx="119">
                  <c:v>2.5737074748265667E-3</c:v>
                </c:pt>
                <c:pt idx="120">
                  <c:v>2.8229921216507063E-3</c:v>
                </c:pt>
                <c:pt idx="121">
                  <c:v>3.0877947702777895E-3</c:v>
                </c:pt>
                <c:pt idx="122">
                  <c:v>3.3614962865327852E-3</c:v>
                </c:pt>
                <c:pt idx="123">
                  <c:v>3.6440832722076395E-3</c:v>
                </c:pt>
                <c:pt idx="124">
                  <c:v>3.9355417100223611E-3</c:v>
                </c:pt>
                <c:pt idx="125">
                  <c:v>4.2358569438098763E-3</c:v>
                </c:pt>
                <c:pt idx="126">
                  <c:v>4.5450136586520388E-3</c:v>
                </c:pt>
                <c:pt idx="127">
                  <c:v>4.8404325631444117E-3</c:v>
                </c:pt>
                <c:pt idx="128">
                  <c:v>5.1155163992494083E-3</c:v>
                </c:pt>
                <c:pt idx="129">
                  <c:v>5.3702758555031578E-3</c:v>
                </c:pt>
                <c:pt idx="130">
                  <c:v>5.6047223787452421E-3</c:v>
                </c:pt>
                <c:pt idx="131">
                  <c:v>5.8188682182209505E-3</c:v>
                </c:pt>
                <c:pt idx="132">
                  <c:v>6.0127264697267977E-3</c:v>
                </c:pt>
                <c:pt idx="133">
                  <c:v>6.1863111197945856E-3</c:v>
                </c:pt>
                <c:pt idx="134">
                  <c:v>6.3396370898486489E-3</c:v>
                </c:pt>
                <c:pt idx="135">
                  <c:v>6.4463305565397406E-3</c:v>
                </c:pt>
                <c:pt idx="136">
                  <c:v>6.5040056259299045E-3</c:v>
                </c:pt>
                <c:pt idx="137">
                  <c:v>6.5127147580104228E-3</c:v>
                </c:pt>
                <c:pt idx="138">
                  <c:v>6.472513314979042E-3</c:v>
                </c:pt>
                <c:pt idx="139">
                  <c:v>6.3834596689683609E-3</c:v>
                </c:pt>
                <c:pt idx="140">
                  <c:v>6.2456153094080325E-3</c:v>
                </c:pt>
                <c:pt idx="141">
                  <c:v>6.0673843171314898E-3</c:v>
                </c:pt>
                <c:pt idx="142">
                  <c:v>5.8712291356933857E-3</c:v>
                </c:pt>
                <c:pt idx="143">
                  <c:v>5.657157162104149E-3</c:v>
                </c:pt>
                <c:pt idx="144">
                  <c:v>5.425214611474099E-3</c:v>
                </c:pt>
                <c:pt idx="145">
                  <c:v>5.175448669207534E-3</c:v>
                </c:pt>
                <c:pt idx="146">
                  <c:v>4.9079072493343756E-3</c:v>
                </c:pt>
                <c:pt idx="147">
                  <c:v>4.6226387530252031E-3</c:v>
                </c:pt>
                <c:pt idx="148">
                  <c:v>4.3196918269744356E-3</c:v>
                </c:pt>
                <c:pt idx="149">
                  <c:v>4.0135195570540037E-3</c:v>
                </c:pt>
                <c:pt idx="150">
                  <c:v>3.7303469661966893E-3</c:v>
                </c:pt>
                <c:pt idx="151">
                  <c:v>3.4701489901655313E-3</c:v>
                </c:pt>
                <c:pt idx="152">
                  <c:v>3.2328976644974117E-3</c:v>
                </c:pt>
                <c:pt idx="153">
                  <c:v>3.0185624307658651E-3</c:v>
                </c:pt>
                <c:pt idx="154">
                  <c:v>2.827110442864769E-3</c:v>
                </c:pt>
                <c:pt idx="155">
                  <c:v>2.6609529586378456E-3</c:v>
                </c:pt>
                <c:pt idx="156">
                  <c:v>2.5117792568902881E-3</c:v>
                </c:pt>
                <c:pt idx="157">
                  <c:v>2.3795625143338221E-3</c:v>
                </c:pt>
                <c:pt idx="158">
                  <c:v>2.2642748993866222E-3</c:v>
                </c:pt>
                <c:pt idx="159">
                  <c:v>2.1658877995397708E-3</c:v>
                </c:pt>
                <c:pt idx="160">
                  <c:v>2.0843720487525989E-3</c:v>
                </c:pt>
                <c:pt idx="161">
                  <c:v>2.0196981548216172E-3</c:v>
                </c:pt>
                <c:pt idx="162">
                  <c:v>1.9718365267622153E-3</c:v>
                </c:pt>
                <c:pt idx="163">
                  <c:v>1.9417743048440223E-3</c:v>
                </c:pt>
                <c:pt idx="164">
                  <c:v>1.9152095971106337E-3</c:v>
                </c:pt>
                <c:pt idx="165">
                  <c:v>1.892138075122456E-3</c:v>
                </c:pt>
                <c:pt idx="166">
                  <c:v>1.8725554544434947E-3</c:v>
                </c:pt>
                <c:pt idx="167">
                  <c:v>1.8564575415519642E-3</c:v>
                </c:pt>
                <c:pt idx="168">
                  <c:v>1.8438402808113516E-3</c:v>
                </c:pt>
                <c:pt idx="169">
                  <c:v>1.8357128029717054E-3</c:v>
                </c:pt>
                <c:pt idx="170">
                  <c:v>1.8296459916440609E-3</c:v>
                </c:pt>
                <c:pt idx="171">
                  <c:v>1.8256387849504335E-3</c:v>
                </c:pt>
                <c:pt idx="172">
                  <c:v>1.8236903002596166E-3</c:v>
                </c:pt>
                <c:pt idx="173">
                  <c:v>1.8237812116328363E-3</c:v>
                </c:pt>
                <c:pt idx="174">
                  <c:v>1.8258913509084746E-3</c:v>
                </c:pt>
                <c:pt idx="175">
                  <c:v>1.8300187260060451E-3</c:v>
                </c:pt>
                <c:pt idx="176">
                  <c:v>1.8361613581811789E-3</c:v>
                </c:pt>
                <c:pt idx="177">
                  <c:v>1.8467324781923798E-3</c:v>
                </c:pt>
                <c:pt idx="178">
                  <c:v>1.8607182011499595E-3</c:v>
                </c:pt>
                <c:pt idx="179">
                  <c:v>1.8781145752870027E-3</c:v>
                </c:pt>
                <c:pt idx="180">
                  <c:v>1.8989177426582157E-3</c:v>
                </c:pt>
                <c:pt idx="181">
                  <c:v>1.9231239592298961E-3</c:v>
                </c:pt>
                <c:pt idx="182">
                  <c:v>1.9507296149861794E-3</c:v>
                </c:pt>
                <c:pt idx="183">
                  <c:v>1.9958600692367313E-3</c:v>
                </c:pt>
                <c:pt idx="184">
                  <c:v>2.0574864070975838E-3</c:v>
                </c:pt>
                <c:pt idx="185">
                  <c:v>2.1355872374437257E-3</c:v>
                </c:pt>
                <c:pt idx="186">
                  <c:v>2.2301419518560277E-3</c:v>
                </c:pt>
                <c:pt idx="187">
                  <c:v>2.3411308219944849E-3</c:v>
                </c:pt>
                <c:pt idx="188">
                  <c:v>2.4685350969876427E-3</c:v>
                </c:pt>
                <c:pt idx="189">
                  <c:v>2.6123371007506771E-3</c:v>
                </c:pt>
                <c:pt idx="190">
                  <c:v>2.7725203294043333E-3</c:v>
                </c:pt>
                <c:pt idx="191">
                  <c:v>2.9571862211700372E-3</c:v>
                </c:pt>
                <c:pt idx="192">
                  <c:v>3.1639124998538697E-3</c:v>
                </c:pt>
                <c:pt idx="193">
                  <c:v>3.3926801302105723E-3</c:v>
                </c:pt>
                <c:pt idx="194">
                  <c:v>3.6434720538922028E-3</c:v>
                </c:pt>
                <c:pt idx="195">
                  <c:v>3.9162733206714335E-3</c:v>
                </c:pt>
                <c:pt idx="196">
                  <c:v>4.2110712195383357E-3</c:v>
                </c:pt>
                <c:pt idx="197">
                  <c:v>4.5022918468844509E-3</c:v>
                </c:pt>
                <c:pt idx="198">
                  <c:v>4.7759128469628074E-3</c:v>
                </c:pt>
                <c:pt idx="199">
                  <c:v>5.0319664962258231E-3</c:v>
                </c:pt>
                <c:pt idx="200">
                  <c:v>5.2704841793726398E-3</c:v>
                </c:pt>
                <c:pt idx="201">
                  <c:v>5.4914962858610547E-3</c:v>
                </c:pt>
                <c:pt idx="202">
                  <c:v>5.6950321064388777E-3</c:v>
                </c:pt>
                <c:pt idx="203">
                  <c:v>5.8811197298027414E-3</c:v>
                </c:pt>
                <c:pt idx="204">
                  <c:v>6.0497761696863168E-3</c:v>
                </c:pt>
                <c:pt idx="205">
                  <c:v>6.1792640190992546E-3</c:v>
                </c:pt>
                <c:pt idx="206">
                  <c:v>6.2615363620333207E-3</c:v>
                </c:pt>
                <c:pt idx="207">
                  <c:v>6.2966255373202813E-3</c:v>
                </c:pt>
                <c:pt idx="208">
                  <c:v>6.2845599317052315E-3</c:v>
                </c:pt>
                <c:pt idx="209">
                  <c:v>6.2253641263334044E-3</c:v>
                </c:pt>
                <c:pt idx="210">
                  <c:v>6.1190590434468178E-3</c:v>
                </c:pt>
                <c:pt idx="211">
                  <c:v>5.9680117072268895E-3</c:v>
                </c:pt>
                <c:pt idx="212">
                  <c:v>5.7977086877399435E-3</c:v>
                </c:pt>
                <c:pt idx="213">
                  <c:v>5.6081502019118008E-3</c:v>
                </c:pt>
                <c:pt idx="214">
                  <c:v>5.3993353141141209E-3</c:v>
                </c:pt>
                <c:pt idx="215">
                  <c:v>5.1712619963458183E-3</c:v>
                </c:pt>
                <c:pt idx="216">
                  <c:v>4.9239271883927621E-3</c:v>
                </c:pt>
                <c:pt idx="217">
                  <c:v>4.6573268580059526E-3</c:v>
                </c:pt>
                <c:pt idx="218">
                  <c:v>4.3714560610494183E-3</c:v>
                </c:pt>
                <c:pt idx="219">
                  <c:v>4.0726616766661086E-3</c:v>
                </c:pt>
                <c:pt idx="220">
                  <c:v>3.782641700433765E-3</c:v>
                </c:pt>
                <c:pt idx="221">
                  <c:v>3.5013852330968293E-3</c:v>
                </c:pt>
                <c:pt idx="222">
                  <c:v>3.2288822184155953E-3</c:v>
                </c:pt>
                <c:pt idx="223">
                  <c:v>2.9651234161969823E-3</c:v>
                </c:pt>
                <c:pt idx="224">
                  <c:v>2.7101003752305688E-3</c:v>
                </c:pt>
                <c:pt idx="225">
                  <c:v>2.4701459138584056E-3</c:v>
                </c:pt>
                <c:pt idx="226">
                  <c:v>2.2429057589527521E-3</c:v>
                </c:pt>
                <c:pt idx="227">
                  <c:v>2.0283738656306995E-3</c:v>
                </c:pt>
                <c:pt idx="228">
                  <c:v>1.8265450339607369E-3</c:v>
                </c:pt>
                <c:pt idx="229">
                  <c:v>1.6374148694888774E-3</c:v>
                </c:pt>
                <c:pt idx="230">
                  <c:v>1.4609797438012715E-3</c:v>
                </c:pt>
                <c:pt idx="231">
                  <c:v>1.2972367550857617E-3</c:v>
                </c:pt>
                <c:pt idx="232">
                  <c:v>1.1461836886614855E-3</c:v>
                </c:pt>
                <c:pt idx="233">
                  <c:v>1.0120978322563337E-3</c:v>
                </c:pt>
                <c:pt idx="234">
                  <c:v>8.8862598258953056E-4</c:v>
                </c:pt>
                <c:pt idx="235">
                  <c:v>7.757681061810952E-4</c:v>
                </c:pt>
                <c:pt idx="236">
                  <c:v>6.7352452381114441E-4</c:v>
                </c:pt>
                <c:pt idx="237">
                  <c:v>5.8189525034357814E-4</c:v>
                </c:pt>
                <c:pt idx="238">
                  <c:v>5.0088066588791934E-4</c:v>
                </c:pt>
                <c:pt idx="239">
                  <c:v>4.3274204773093228E-4</c:v>
                </c:pt>
                <c:pt idx="240">
                  <c:v>3.7113653750129146E-4</c:v>
                </c:pt>
                <c:pt idx="241">
                  <c:v>3.1606458803868845E-4</c:v>
                </c:pt>
                <c:pt idx="242">
                  <c:v>2.6752690570619995E-4</c:v>
                </c:pt>
                <c:pt idx="243">
                  <c:v>2.2552446193779E-4</c:v>
                </c:pt>
                <c:pt idx="244">
                  <c:v>1.9005850478192909E-4</c:v>
                </c:pt>
                <c:pt idx="245">
                  <c:v>1.6113057044307759E-4</c:v>
                </c:pt>
                <c:pt idx="246">
                  <c:v>1.3874249482443443E-4</c:v>
                </c:pt>
                <c:pt idx="247">
                  <c:v>1.2502850151191764E-4</c:v>
                </c:pt>
                <c:pt idx="248">
                  <c:v>1.1570686515971974E-4</c:v>
                </c:pt>
                <c:pt idx="249">
                  <c:v>1.1077939367708605E-4</c:v>
                </c:pt>
                <c:pt idx="250">
                  <c:v>1.1024812496107771E-4</c:v>
                </c:pt>
                <c:pt idx="251">
                  <c:v>1.141153346480409E-4</c:v>
                </c:pt>
                <c:pt idx="252">
                  <c:v>1.2238354386025918E-4</c:v>
                </c:pt>
                <c:pt idx="253">
                  <c:v>1.3693147259579938E-4</c:v>
                </c:pt>
                <c:pt idx="254">
                  <c:v>1.5549783225493185E-4</c:v>
                </c:pt>
                <c:pt idx="255">
                  <c:v>1.7808572608119495E-4</c:v>
                </c:pt>
                <c:pt idx="256">
                  <c:v>2.0469851145641808E-4</c:v>
                </c:pt>
                <c:pt idx="257">
                  <c:v>2.3533980696245049E-4</c:v>
                </c:pt>
                <c:pt idx="258">
                  <c:v>2.7001349944394469E-4</c:v>
                </c:pt>
                <c:pt idx="259">
                  <c:v>3.0872375107536879E-4</c:v>
                </c:pt>
                <c:pt idx="260">
                  <c:v>3.5147500642088543E-4</c:v>
                </c:pt>
                <c:pt idx="261">
                  <c:v>4.1260112700188022E-4</c:v>
                </c:pt>
                <c:pt idx="262">
                  <c:v>4.8998061334588872E-4</c:v>
                </c:pt>
                <c:pt idx="263">
                  <c:v>5.8363045998525379E-4</c:v>
                </c:pt>
                <c:pt idx="264">
                  <c:v>6.9356885830301794E-4</c:v>
                </c:pt>
                <c:pt idx="265">
                  <c:v>8.1981960897292933E-4</c:v>
                </c:pt>
                <c:pt idx="266">
                  <c:v>9.6240828981027592E-4</c:v>
                </c:pt>
                <c:pt idx="267">
                  <c:v>1.1328429963014886E-3</c:v>
                </c:pt>
                <c:pt idx="268">
                  <c:v>1.3292788445925816E-3</c:v>
                </c:pt>
                <c:pt idx="269">
                  <c:v>1.5517549083925565E-3</c:v>
                </c:pt>
                <c:pt idx="270">
                  <c:v>1.8003119423206505E-3</c:v>
                </c:pt>
                <c:pt idx="271">
                  <c:v>2.0749920971816407E-3</c:v>
                </c:pt>
                <c:pt idx="272">
                  <c:v>2.3758386352753114E-3</c:v>
                </c:pt>
                <c:pt idx="273">
                  <c:v>2.7028956456830698E-3</c:v>
                </c:pt>
                <c:pt idx="274">
                  <c:v>3.0562077595828368E-3</c:v>
                </c:pt>
                <c:pt idx="275">
                  <c:v>3.4150252278144339E-3</c:v>
                </c:pt>
                <c:pt idx="276">
                  <c:v>3.7649469259502747E-3</c:v>
                </c:pt>
                <c:pt idx="277">
                  <c:v>4.1059640958039023E-3</c:v>
                </c:pt>
                <c:pt idx="278">
                  <c:v>4.4380660296417023E-3</c:v>
                </c:pt>
                <c:pt idx="279">
                  <c:v>4.7612401719471422E-3</c:v>
                </c:pt>
                <c:pt idx="280">
                  <c:v>5.0754722212260246E-3</c:v>
                </c:pt>
                <c:pt idx="281">
                  <c:v>5.3585815054991498E-3</c:v>
                </c:pt>
                <c:pt idx="282">
                  <c:v>5.5989505835579182E-3</c:v>
                </c:pt>
                <c:pt idx="283">
                  <c:v>5.7965075204414384E-3</c:v>
                </c:pt>
                <c:pt idx="284">
                  <c:v>5.9511790888719411E-3</c:v>
                </c:pt>
                <c:pt idx="285">
                  <c:v>6.0628912401290078E-3</c:v>
                </c:pt>
                <c:pt idx="286">
                  <c:v>6.1315695749809239E-3</c:v>
                </c:pt>
                <c:pt idx="287">
                  <c:v>6.157139814557927E-3</c:v>
                </c:pt>
                <c:pt idx="288">
                  <c:v>6.139528271247096E-3</c:v>
                </c:pt>
                <c:pt idx="289">
                  <c:v>6.0815636008611012E-3</c:v>
                </c:pt>
                <c:pt idx="290">
                  <c:v>6.0041341455355285E-3</c:v>
                </c:pt>
                <c:pt idx="291">
                  <c:v>5.9072059736883682E-3</c:v>
                </c:pt>
                <c:pt idx="292">
                  <c:v>5.7907464038282853E-3</c:v>
                </c:pt>
                <c:pt idx="293">
                  <c:v>5.654724215550383E-3</c:v>
                </c:pt>
                <c:pt idx="294">
                  <c:v>5.499109860507982E-3</c:v>
                </c:pt>
                <c:pt idx="295">
                  <c:v>5.3345738087609579E-3</c:v>
                </c:pt>
                <c:pt idx="296">
                  <c:v>5.1834975257259918E-3</c:v>
                </c:pt>
                <c:pt idx="297">
                  <c:v>5.0459366942999292E-3</c:v>
                </c:pt>
                <c:pt idx="298">
                  <c:v>4.9219025851586912E-3</c:v>
                </c:pt>
                <c:pt idx="299">
                  <c:v>4.8114074378559548E-3</c:v>
                </c:pt>
                <c:pt idx="300">
                  <c:v>4.7144643350832743E-3</c:v>
                </c:pt>
                <c:pt idx="301">
                  <c:v>4.6310870769149821E-3</c:v>
                </c:pt>
                <c:pt idx="302">
                  <c:v>4.5612900550640722E-3</c:v>
                </c:pt>
                <c:pt idx="303">
                  <c:v>4.5127057720347787E-3</c:v>
                </c:pt>
                <c:pt idx="304">
                  <c:v>4.4824384512255335E-3</c:v>
                </c:pt>
                <c:pt idx="305">
                  <c:v>4.4705101985360752E-3</c:v>
                </c:pt>
                <c:pt idx="306">
                  <c:v>4.4769431370034257E-3</c:v>
                </c:pt>
                <c:pt idx="307">
                  <c:v>4.501759237815036E-3</c:v>
                </c:pt>
                <c:pt idx="308">
                  <c:v>4.5449801512843103E-3</c:v>
                </c:pt>
                <c:pt idx="309">
                  <c:v>4.6108433769298778E-3</c:v>
                </c:pt>
                <c:pt idx="310">
                  <c:v>4.6886022782172748E-3</c:v>
                </c:pt>
                <c:pt idx="311">
                  <c:v>4.7782675734879924E-3</c:v>
                </c:pt>
                <c:pt idx="312">
                  <c:v>4.8798492457279435E-3</c:v>
                </c:pt>
                <c:pt idx="313">
                  <c:v>4.9933564337421152E-3</c:v>
                </c:pt>
                <c:pt idx="314">
                  <c:v>5.1187973232851534E-3</c:v>
                </c:pt>
                <c:pt idx="315">
                  <c:v>5.2561790382542467E-3</c:v>
                </c:pt>
                <c:pt idx="316">
                  <c:v>5.4055075318046441E-3</c:v>
                </c:pt>
                <c:pt idx="317">
                  <c:v>5.566026570940661E-3</c:v>
                </c:pt>
                <c:pt idx="318">
                  <c:v>5.7300701480609614E-3</c:v>
                </c:pt>
                <c:pt idx="319">
                  <c:v>5.8976307701982134E-3</c:v>
                </c:pt>
                <c:pt idx="320">
                  <c:v>6.0687000661246949E-3</c:v>
                </c:pt>
                <c:pt idx="321">
                  <c:v>6.2432687546185228E-3</c:v>
                </c:pt>
                <c:pt idx="322">
                  <c:v>6.4213266127597307E-3</c:v>
                </c:pt>
                <c:pt idx="323">
                  <c:v>6.5961407955582689E-3</c:v>
                </c:pt>
                <c:pt idx="324">
                  <c:v>6.7634524965830235E-3</c:v>
                </c:pt>
                <c:pt idx="325">
                  <c:v>6.9232396404255358E-3</c:v>
                </c:pt>
                <c:pt idx="326">
                  <c:v>7.0754363671403841E-3</c:v>
                </c:pt>
                <c:pt idx="327">
                  <c:v>7.2200034661169515E-3</c:v>
                </c:pt>
                <c:pt idx="328">
                  <c:v>7.3569389609844721E-3</c:v>
                </c:pt>
                <c:pt idx="329">
                  <c:v>7.4862432520306256E-3</c:v>
                </c:pt>
                <c:pt idx="330">
                  <c:v>7.6079189602136698E-3</c:v>
                </c:pt>
                <c:pt idx="331">
                  <c:v>7.715638432527862E-3</c:v>
                </c:pt>
                <c:pt idx="332">
                  <c:v>7.8101701893930437E-3</c:v>
                </c:pt>
                <c:pt idx="333">
                  <c:v>7.8915215384070207E-3</c:v>
                </c:pt>
                <c:pt idx="334">
                  <c:v>7.959701818346156E-3</c:v>
                </c:pt>
                <c:pt idx="335">
                  <c:v>8.0147221274707893E-3</c:v>
                </c:pt>
                <c:pt idx="336">
                  <c:v>8.056595051727837E-3</c:v>
                </c:pt>
                <c:pt idx="337">
                  <c:v>8.0866047748607908E-3</c:v>
                </c:pt>
                <c:pt idx="338">
                  <c:v>8.1115013698576204E-3</c:v>
                </c:pt>
                <c:pt idx="339">
                  <c:v>8.1313008384489814E-3</c:v>
                </c:pt>
                <c:pt idx="340">
                  <c:v>8.1460194931172146E-3</c:v>
                </c:pt>
                <c:pt idx="341">
                  <c:v>8.1556738518252132E-3</c:v>
                </c:pt>
                <c:pt idx="342">
                  <c:v>8.1602805327392058E-3</c:v>
                </c:pt>
                <c:pt idx="343">
                  <c:v>8.159856148852989E-3</c:v>
                </c:pt>
                <c:pt idx="344">
                  <c:v>8.1544172027402124E-3</c:v>
                </c:pt>
                <c:pt idx="345">
                  <c:v>8.1439799812206629E-3</c:v>
                </c:pt>
                <c:pt idx="346">
                  <c:v>8.1351082493101527E-3</c:v>
                </c:pt>
                <c:pt idx="347">
                  <c:v>8.1278188510660061E-3</c:v>
                </c:pt>
                <c:pt idx="348">
                  <c:v>8.1221286701134553E-3</c:v>
                </c:pt>
                <c:pt idx="349">
                  <c:v>8.1180546603835738E-3</c:v>
                </c:pt>
                <c:pt idx="350">
                  <c:v>8.1156138770414488E-3</c:v>
                </c:pt>
                <c:pt idx="351">
                  <c:v>8.1150348582835381E-3</c:v>
                </c:pt>
                <c:pt idx="352">
                  <c:v>8.1150634730165292E-3</c:v>
                </c:pt>
                <c:pt idx="353">
                  <c:v>8.1157166928756339E-3</c:v>
                </c:pt>
                <c:pt idx="354">
                  <c:v>8.1170115441058024E-3</c:v>
                </c:pt>
                <c:pt idx="355">
                  <c:v>8.1189651159378328E-3</c:v>
                </c:pt>
                <c:pt idx="356">
                  <c:v>8.1216001818670471E-3</c:v>
                </c:pt>
                <c:pt idx="357">
                  <c:v>8.1249158850890228E-3</c:v>
                </c:pt>
                <c:pt idx="358">
                  <c:v>8.1288918736913129E-3</c:v>
                </c:pt>
                <c:pt idx="359">
                  <c:v>8.1335078586589893E-3</c:v>
                </c:pt>
                <c:pt idx="360">
                  <c:v>8.1400180993009639E-3</c:v>
                </c:pt>
                <c:pt idx="361">
                  <c:v>8.1481919916032639E-3</c:v>
                </c:pt>
                <c:pt idx="362">
                  <c:v>8.1580107920499953E-3</c:v>
                </c:pt>
                <c:pt idx="363">
                  <c:v>8.1694558672716702E-3</c:v>
                </c:pt>
                <c:pt idx="364">
                  <c:v>8.1825086561444077E-3</c:v>
                </c:pt>
                <c:pt idx="365">
                  <c:v>8.1971506317892323E-3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1.1240540101526794E-2</c:v>
                </c:pt>
                <c:pt idx="1">
                  <c:v>1.1247093936795637E-2</c:v>
                </c:pt>
                <c:pt idx="2">
                  <c:v>1.1249500322103215E-2</c:v>
                </c:pt>
                <c:pt idx="3">
                  <c:v>1.1247724483916074E-2</c:v>
                </c:pt>
                <c:pt idx="4">
                  <c:v>1.1241731613131174E-2</c:v>
                </c:pt>
                <c:pt idx="5">
                  <c:v>1.1231486972610727E-2</c:v>
                </c:pt>
                <c:pt idx="6">
                  <c:v>1.1216956004860655E-2</c:v>
                </c:pt>
                <c:pt idx="7">
                  <c:v>1.1198104439455996E-2</c:v>
                </c:pt>
                <c:pt idx="8">
                  <c:v>1.1174898400623868E-2</c:v>
                </c:pt>
                <c:pt idx="9">
                  <c:v>1.1141497201004921E-2</c:v>
                </c:pt>
                <c:pt idx="10">
                  <c:v>1.1097042271096147E-2</c:v>
                </c:pt>
                <c:pt idx="11">
                  <c:v>1.1041493603481684E-2</c:v>
                </c:pt>
                <c:pt idx="12">
                  <c:v>1.0974812847639431E-2</c:v>
                </c:pt>
                <c:pt idx="13">
                  <c:v>1.0896963585982165E-2</c:v>
                </c:pt>
                <c:pt idx="14">
                  <c:v>1.0807911609712619E-2</c:v>
                </c:pt>
                <c:pt idx="15">
                  <c:v>1.0702518521655499E-2</c:v>
                </c:pt>
                <c:pt idx="16">
                  <c:v>1.058581193171463E-2</c:v>
                </c:pt>
                <c:pt idx="17">
                  <c:v>1.0457766368971578E-2</c:v>
                </c:pt>
                <c:pt idx="18">
                  <c:v>1.0318359736971086E-2</c:v>
                </c:pt>
                <c:pt idx="19">
                  <c:v>1.0167630304771681E-2</c:v>
                </c:pt>
                <c:pt idx="20">
                  <c:v>1.0005641865551591E-2</c:v>
                </c:pt>
                <c:pt idx="21">
                  <c:v>9.8324139705064199E-3</c:v>
                </c:pt>
                <c:pt idx="22">
                  <c:v>9.6479669473680512E-3</c:v>
                </c:pt>
                <c:pt idx="23">
                  <c:v>9.4530789510510419E-3</c:v>
                </c:pt>
                <c:pt idx="24">
                  <c:v>9.2536013994746254E-3</c:v>
                </c:pt>
                <c:pt idx="25">
                  <c:v>9.0495571989428914E-3</c:v>
                </c:pt>
                <c:pt idx="26">
                  <c:v>8.8409687590061108E-3</c:v>
                </c:pt>
                <c:pt idx="27">
                  <c:v>8.6278579378884033E-3</c:v>
                </c:pt>
                <c:pt idx="28">
                  <c:v>8.4102459881098685E-3</c:v>
                </c:pt>
                <c:pt idx="29">
                  <c:v>8.1978939979146549E-3</c:v>
                </c:pt>
                <c:pt idx="30">
                  <c:v>7.9959363233058217E-3</c:v>
                </c:pt>
                <c:pt idx="31">
                  <c:v>7.8043901317863141E-3</c:v>
                </c:pt>
                <c:pt idx="32">
                  <c:v>7.623270839296219E-3</c:v>
                </c:pt>
                <c:pt idx="33">
                  <c:v>7.4525922414337593E-3</c:v>
                </c:pt>
                <c:pt idx="34">
                  <c:v>7.2923666447113344E-3</c:v>
                </c:pt>
                <c:pt idx="35">
                  <c:v>7.1426049978031043E-3</c:v>
                </c:pt>
                <c:pt idx="36">
                  <c:v>7.0033170227768986E-3</c:v>
                </c:pt>
                <c:pt idx="37">
                  <c:v>6.8890569885262576E-3</c:v>
                </c:pt>
                <c:pt idx="38">
                  <c:v>6.799071887076946E-3</c:v>
                </c:pt>
                <c:pt idx="39">
                  <c:v>6.7333648018912716E-3</c:v>
                </c:pt>
                <c:pt idx="40">
                  <c:v>6.6919381084241886E-3</c:v>
                </c:pt>
                <c:pt idx="41">
                  <c:v>6.6747937778544059E-3</c:v>
                </c:pt>
                <c:pt idx="42">
                  <c:v>6.6819336807681833E-3</c:v>
                </c:pt>
                <c:pt idx="43">
                  <c:v>6.7266575417611035E-3</c:v>
                </c:pt>
                <c:pt idx="44">
                  <c:v>6.7992345857746019E-3</c:v>
                </c:pt>
                <c:pt idx="45">
                  <c:v>6.8996676100154799E-3</c:v>
                </c:pt>
                <c:pt idx="46">
                  <c:v>7.0279607325951969E-3</c:v>
                </c:pt>
                <c:pt idx="47">
                  <c:v>7.1841197409029979E-3</c:v>
                </c:pt>
                <c:pt idx="48">
                  <c:v>7.3681524398893101E-3</c:v>
                </c:pt>
                <c:pt idx="49">
                  <c:v>7.5800690004120081E-3</c:v>
                </c:pt>
                <c:pt idx="50">
                  <c:v>7.8198823075387308E-3</c:v>
                </c:pt>
                <c:pt idx="51">
                  <c:v>8.0758303325446749E-3</c:v>
                </c:pt>
                <c:pt idx="52">
                  <c:v>8.3333549546646055E-3</c:v>
                </c:pt>
                <c:pt idx="53">
                  <c:v>8.5924169895658046E-3</c:v>
                </c:pt>
                <c:pt idx="54">
                  <c:v>8.8530156580649017E-3</c:v>
                </c:pt>
                <c:pt idx="55">
                  <c:v>9.1151498225135099E-3</c:v>
                </c:pt>
                <c:pt idx="56">
                  <c:v>9.3788179811937298E-3</c:v>
                </c:pt>
                <c:pt idx="57">
                  <c:v>9.6054201138076022E-3</c:v>
                </c:pt>
                <c:pt idx="58">
                  <c:v>9.7816614401528921E-3</c:v>
                </c:pt>
                <c:pt idx="59">
                  <c:v>9.9075382299763683E-3</c:v>
                </c:pt>
                <c:pt idx="60">
                  <c:v>9.9830462204389056E-3</c:v>
                </c:pt>
                <c:pt idx="61">
                  <c:v>1.0008180802490845E-2</c:v>
                </c:pt>
                <c:pt idx="62">
                  <c:v>9.9829372072323449E-3</c:v>
                </c:pt>
                <c:pt idx="63">
                  <c:v>9.9073106923037411E-3</c:v>
                </c:pt>
                <c:pt idx="64">
                  <c:v>9.7812967282360896E-3</c:v>
                </c:pt>
                <c:pt idx="65">
                  <c:v>9.5901131014501217E-3</c:v>
                </c:pt>
                <c:pt idx="66">
                  <c:v>9.345534612336991E-3</c:v>
                </c:pt>
                <c:pt idx="67">
                  <c:v>9.0475585635559075E-3</c:v>
                </c:pt>
                <c:pt idx="68">
                  <c:v>8.6961832795598732E-3</c:v>
                </c:pt>
                <c:pt idx="69">
                  <c:v>8.2914083040345112E-3</c:v>
                </c:pt>
                <c:pt idx="70">
                  <c:v>7.8332345973806845E-3</c:v>
                </c:pt>
                <c:pt idx="71">
                  <c:v>7.3400522912859568E-3</c:v>
                </c:pt>
                <c:pt idx="72">
                  <c:v>6.8504638623203213E-3</c:v>
                </c:pt>
                <c:pt idx="73">
                  <c:v>6.3644723643544489E-3</c:v>
                </c:pt>
                <c:pt idx="74">
                  <c:v>5.8820814829078794E-3</c:v>
                </c:pt>
                <c:pt idx="75">
                  <c:v>5.4032955218046306E-3</c:v>
                </c:pt>
                <c:pt idx="76">
                  <c:v>4.9281193898092308E-3</c:v>
                </c:pt>
                <c:pt idx="77">
                  <c:v>4.4565585872817625E-3</c:v>
                </c:pt>
                <c:pt idx="78">
                  <c:v>3.9886193252412312E-3</c:v>
                </c:pt>
                <c:pt idx="79">
                  <c:v>3.5395260135431521E-3</c:v>
                </c:pt>
                <c:pt idx="80">
                  <c:v>3.124060103891586E-3</c:v>
                </c:pt>
                <c:pt idx="81">
                  <c:v>2.7422160512367813E-3</c:v>
                </c:pt>
                <c:pt idx="82">
                  <c:v>2.3939887456681085E-3</c:v>
                </c:pt>
                <c:pt idx="83">
                  <c:v>2.0793734048200753E-3</c:v>
                </c:pt>
                <c:pt idx="84">
                  <c:v>1.7983654662859444E-3</c:v>
                </c:pt>
                <c:pt idx="85">
                  <c:v>1.5578740961287472E-3</c:v>
                </c:pt>
                <c:pt idx="86">
                  <c:v>1.3395170810359483E-3</c:v>
                </c:pt>
                <c:pt idx="87">
                  <c:v>1.1432917633176303E-3</c:v>
                </c:pt>
                <c:pt idx="88">
                  <c:v>9.6919544607577826E-4</c:v>
                </c:pt>
                <c:pt idx="89">
                  <c:v>8.1722532234769583E-4</c:v>
                </c:pt>
                <c:pt idx="90">
                  <c:v>6.8737840424751891E-4</c:v>
                </c:pt>
                <c:pt idx="91">
                  <c:v>5.7965145211103008E-4</c:v>
                </c:pt>
                <c:pt idx="92">
                  <c:v>4.9404090363756642E-4</c:v>
                </c:pt>
                <c:pt idx="93">
                  <c:v>4.3544690262205081E-4</c:v>
                </c:pt>
                <c:pt idx="94">
                  <c:v>3.886733909455405E-4</c:v>
                </c:pt>
                <c:pt idx="95">
                  <c:v>3.5371800549560743E-4</c:v>
                </c:pt>
                <c:pt idx="96">
                  <c:v>3.3057809078561844E-4</c:v>
                </c:pt>
                <c:pt idx="97">
                  <c:v>3.1925066108124344E-4</c:v>
                </c:pt>
                <c:pt idx="98">
                  <c:v>3.1973236252357077E-4</c:v>
                </c:pt>
                <c:pt idx="99">
                  <c:v>3.3755292122852703E-4</c:v>
                </c:pt>
                <c:pt idx="100">
                  <c:v>3.6580088136153194E-4</c:v>
                </c:pt>
                <c:pt idx="101">
                  <c:v>4.0447194830137709E-4</c:v>
                </c:pt>
                <c:pt idx="102">
                  <c:v>4.5356135927091798E-4</c:v>
                </c:pt>
                <c:pt idx="103">
                  <c:v>5.1306384986021098E-4</c:v>
                </c:pt>
                <c:pt idx="104">
                  <c:v>5.8297362055953483E-4</c:v>
                </c:pt>
                <c:pt idx="105">
                  <c:v>6.6328430328340402E-4</c:v>
                </c:pt>
                <c:pt idx="106">
                  <c:v>7.5398892790009111E-4</c:v>
                </c:pt>
                <c:pt idx="107">
                  <c:v>8.6247810190995559E-4</c:v>
                </c:pt>
                <c:pt idx="108">
                  <c:v>9.8384468901374232E-4</c:v>
                </c:pt>
                <c:pt idx="109">
                  <c:v>1.1180780899505247E-3</c:v>
                </c:pt>
                <c:pt idx="110">
                  <c:v>1.265170417796206E-3</c:v>
                </c:pt>
                <c:pt idx="111">
                  <c:v>1.4251147762560526E-3</c:v>
                </c:pt>
                <c:pt idx="112">
                  <c:v>1.5979010378974776E-3</c:v>
                </c:pt>
                <c:pt idx="113">
                  <c:v>1.7909715684181571E-3</c:v>
                </c:pt>
                <c:pt idx="114">
                  <c:v>1.9987908994512503E-3</c:v>
                </c:pt>
                <c:pt idx="115">
                  <c:v>2.2213459589458138E-3</c:v>
                </c:pt>
                <c:pt idx="116">
                  <c:v>2.4586230295421496E-3</c:v>
                </c:pt>
                <c:pt idx="117">
                  <c:v>2.7106077161340551E-3</c:v>
                </c:pt>
                <c:pt idx="118">
                  <c:v>2.9772849134115484E-3</c:v>
                </c:pt>
                <c:pt idx="119">
                  <c:v>3.2586387734086929E-3</c:v>
                </c:pt>
                <c:pt idx="120">
                  <c:v>3.554652673045707E-3</c:v>
                </c:pt>
                <c:pt idx="121">
                  <c:v>3.8701797052593523E-3</c:v>
                </c:pt>
                <c:pt idx="122">
                  <c:v>4.1978239743098288E-3</c:v>
                </c:pt>
                <c:pt idx="123">
                  <c:v>4.5375682528880105E-3</c:v>
                </c:pt>
                <c:pt idx="124">
                  <c:v>4.8893945113420052E-3</c:v>
                </c:pt>
                <c:pt idx="125">
                  <c:v>5.2532838907483111E-3</c:v>
                </c:pt>
                <c:pt idx="126">
                  <c:v>5.629216675922072E-3</c:v>
                </c:pt>
                <c:pt idx="127">
                  <c:v>6.0025242994067949E-3</c:v>
                </c:pt>
                <c:pt idx="128">
                  <c:v>6.3657743923936951E-3</c:v>
                </c:pt>
                <c:pt idx="129">
                  <c:v>6.7189657156103318E-3</c:v>
                </c:pt>
                <c:pt idx="130">
                  <c:v>7.0620971961192812E-3</c:v>
                </c:pt>
                <c:pt idx="131">
                  <c:v>7.3951679487261274E-3</c:v>
                </c:pt>
                <c:pt idx="132">
                  <c:v>7.71817729744027E-3</c:v>
                </c:pt>
                <c:pt idx="133">
                  <c:v>8.0311247969847965E-3</c:v>
                </c:pt>
                <c:pt idx="134">
                  <c:v>8.3340102542735339E-3</c:v>
                </c:pt>
                <c:pt idx="135">
                  <c:v>8.5929727721860017E-3</c:v>
                </c:pt>
                <c:pt idx="136">
                  <c:v>8.8032038573290956E-3</c:v>
                </c:pt>
                <c:pt idx="137">
                  <c:v>8.9647504467386709E-3</c:v>
                </c:pt>
                <c:pt idx="138">
                  <c:v>9.077662219060827E-3</c:v>
                </c:pt>
                <c:pt idx="139">
                  <c:v>9.1419917014119809E-3</c:v>
                </c:pt>
                <c:pt idx="140">
                  <c:v>9.1577943757313995E-3</c:v>
                </c:pt>
                <c:pt idx="141">
                  <c:v>9.1122098404426768E-3</c:v>
                </c:pt>
                <c:pt idx="142">
                  <c:v>9.0198338656209305E-3</c:v>
                </c:pt>
                <c:pt idx="143">
                  <c:v>8.8806922021184044E-3</c:v>
                </c:pt>
                <c:pt idx="144">
                  <c:v>8.6948711130040626E-3</c:v>
                </c:pt>
                <c:pt idx="145">
                  <c:v>8.4624616052608147E-3</c:v>
                </c:pt>
                <c:pt idx="146">
                  <c:v>8.1835588024322323E-3</c:v>
                </c:pt>
                <c:pt idx="147">
                  <c:v>7.8582613175632535E-3</c:v>
                </c:pt>
                <c:pt idx="148">
                  <c:v>7.4866706259303674E-3</c:v>
                </c:pt>
                <c:pt idx="149">
                  <c:v>7.0859112590084365E-3</c:v>
                </c:pt>
                <c:pt idx="150">
                  <c:v>6.6896786272229542E-3</c:v>
                </c:pt>
                <c:pt idx="151">
                  <c:v>6.2979880213308382E-3</c:v>
                </c:pt>
                <c:pt idx="152">
                  <c:v>5.9108523623620174E-3</c:v>
                </c:pt>
                <c:pt idx="153">
                  <c:v>5.5282822576316493E-3</c:v>
                </c:pt>
                <c:pt idx="154">
                  <c:v>5.1502860567900471E-3</c:v>
                </c:pt>
                <c:pt idx="155">
                  <c:v>4.7903028235948613E-3</c:v>
                </c:pt>
                <c:pt idx="156">
                  <c:v>4.4611220131572909E-3</c:v>
                </c:pt>
                <c:pt idx="157">
                  <c:v>4.1626955933620879E-3</c:v>
                </c:pt>
                <c:pt idx="158">
                  <c:v>3.8949733865449847E-3</c:v>
                </c:pt>
                <c:pt idx="159">
                  <c:v>3.6579034808541014E-3</c:v>
                </c:pt>
                <c:pt idx="160">
                  <c:v>3.4514326416616166E-3</c:v>
                </c:pt>
                <c:pt idx="161">
                  <c:v>3.2755067229294768E-3</c:v>
                </c:pt>
                <c:pt idx="162">
                  <c:v>3.1300710785974518E-3</c:v>
                </c:pt>
                <c:pt idx="163">
                  <c:v>3.0172616796772835E-3</c:v>
                </c:pt>
                <c:pt idx="164">
                  <c:v>2.9201570274115783E-3</c:v>
                </c:pt>
                <c:pt idx="165">
                  <c:v>2.838730254944776E-3</c:v>
                </c:pt>
                <c:pt idx="166">
                  <c:v>2.7729547979366367E-3</c:v>
                </c:pt>
                <c:pt idx="167">
                  <c:v>2.7228046061489376E-3</c:v>
                </c:pt>
                <c:pt idx="168">
                  <c:v>2.688254355122884E-3</c:v>
                </c:pt>
                <c:pt idx="169">
                  <c:v>2.6714626034304691E-3</c:v>
                </c:pt>
                <c:pt idx="170">
                  <c:v>2.65909191736419E-3</c:v>
                </c:pt>
                <c:pt idx="171">
                  <c:v>2.6511382551179293E-3</c:v>
                </c:pt>
                <c:pt idx="172">
                  <c:v>2.6475979611464921E-3</c:v>
                </c:pt>
                <c:pt idx="173">
                  <c:v>2.6484407424858772E-3</c:v>
                </c:pt>
                <c:pt idx="174">
                  <c:v>2.6536351596754357E-3</c:v>
                </c:pt>
                <c:pt idx="175">
                  <c:v>2.6631761690545739E-3</c:v>
                </c:pt>
                <c:pt idx="176">
                  <c:v>2.6770587556894398E-3</c:v>
                </c:pt>
                <c:pt idx="177">
                  <c:v>2.7085411787783177E-3</c:v>
                </c:pt>
                <c:pt idx="178">
                  <c:v>2.7554257211678764E-3</c:v>
                </c:pt>
                <c:pt idx="179">
                  <c:v>2.8176911279452635E-3</c:v>
                </c:pt>
                <c:pt idx="180">
                  <c:v>2.8953165225704541E-3</c:v>
                </c:pt>
                <c:pt idx="181">
                  <c:v>2.9882814974831629E-3</c:v>
                </c:pt>
                <c:pt idx="182">
                  <c:v>3.0965662047339176E-3</c:v>
                </c:pt>
                <c:pt idx="183">
                  <c:v>3.2368465848248507E-3</c:v>
                </c:pt>
                <c:pt idx="184">
                  <c:v>3.4069137270774041E-3</c:v>
                </c:pt>
                <c:pt idx="185">
                  <c:v>3.6067297628127018E-3</c:v>
                </c:pt>
                <c:pt idx="186">
                  <c:v>3.8362583770414935E-3</c:v>
                </c:pt>
                <c:pt idx="187">
                  <c:v>4.0954649846334954E-3</c:v>
                </c:pt>
                <c:pt idx="188">
                  <c:v>4.3843169065170577E-3</c:v>
                </c:pt>
                <c:pt idx="189">
                  <c:v>4.7027835457540378E-3</c:v>
                </c:pt>
                <c:pt idx="190">
                  <c:v>5.0508365637914757E-3</c:v>
                </c:pt>
                <c:pt idx="191">
                  <c:v>5.4158760979673599E-3</c:v>
                </c:pt>
                <c:pt idx="192">
                  <c:v>5.7847236797627785E-3</c:v>
                </c:pt>
                <c:pt idx="193">
                  <c:v>6.1573894610369717E-3</c:v>
                </c:pt>
                <c:pt idx="194">
                  <c:v>6.5338847428064277E-3</c:v>
                </c:pt>
                <c:pt idx="195">
                  <c:v>6.9142219993738718E-3</c:v>
                </c:pt>
                <c:pt idx="196">
                  <c:v>7.2984149022270062E-3</c:v>
                </c:pt>
                <c:pt idx="197">
                  <c:v>7.6536774234410116E-3</c:v>
                </c:pt>
                <c:pt idx="198">
                  <c:v>7.9634682631201607E-3</c:v>
                </c:pt>
                <c:pt idx="199">
                  <c:v>8.2278515342303835E-3</c:v>
                </c:pt>
                <c:pt idx="200">
                  <c:v>8.4468880817823618E-3</c:v>
                </c:pt>
                <c:pt idx="201">
                  <c:v>8.6206352141840331E-3</c:v>
                </c:pt>
                <c:pt idx="202">
                  <c:v>8.7491464346314152E-3</c:v>
                </c:pt>
                <c:pt idx="203">
                  <c:v>8.8324711726957394E-3</c:v>
                </c:pt>
                <c:pt idx="204">
                  <c:v>8.8706401910043902E-3</c:v>
                </c:pt>
                <c:pt idx="205">
                  <c:v>8.8495554625425497E-3</c:v>
                </c:pt>
                <c:pt idx="206">
                  <c:v>8.7817682715867051E-3</c:v>
                </c:pt>
                <c:pt idx="207">
                  <c:v>8.6673036814961593E-3</c:v>
                </c:pt>
                <c:pt idx="208">
                  <c:v>8.5061830223268665E-3</c:v>
                </c:pt>
                <c:pt idx="209">
                  <c:v>8.2984240360210668E-3</c:v>
                </c:pt>
                <c:pt idx="210">
                  <c:v>8.0440410218826051E-3</c:v>
                </c:pt>
                <c:pt idx="211">
                  <c:v>7.7477265340313095E-3</c:v>
                </c:pt>
                <c:pt idx="212">
                  <c:v>7.442171832725975E-3</c:v>
                </c:pt>
                <c:pt idx="213">
                  <c:v>7.1273675686541037E-3</c:v>
                </c:pt>
                <c:pt idx="214">
                  <c:v>6.8033041078565705E-3</c:v>
                </c:pt>
                <c:pt idx="215">
                  <c:v>6.4699715610103924E-3</c:v>
                </c:pt>
                <c:pt idx="216">
                  <c:v>6.1273598126830092E-3</c:v>
                </c:pt>
                <c:pt idx="217">
                  <c:v>5.7754585506094129E-3</c:v>
                </c:pt>
                <c:pt idx="218">
                  <c:v>5.4142572949314773E-3</c:v>
                </c:pt>
                <c:pt idx="219">
                  <c:v>5.0508901179402944E-3</c:v>
                </c:pt>
                <c:pt idx="220">
                  <c:v>4.6994362990423399E-3</c:v>
                </c:pt>
                <c:pt idx="221">
                  <c:v>4.359882386882453E-3</c:v>
                </c:pt>
                <c:pt idx="222">
                  <c:v>4.0322160226653843E-3</c:v>
                </c:pt>
                <c:pt idx="223">
                  <c:v>3.7164259035008538E-3</c:v>
                </c:pt>
                <c:pt idx="224">
                  <c:v>3.412501745630972E-3</c:v>
                </c:pt>
                <c:pt idx="225">
                  <c:v>3.1275167553447255E-3</c:v>
                </c:pt>
                <c:pt idx="226">
                  <c:v>2.8567856411218628E-3</c:v>
                </c:pt>
                <c:pt idx="227">
                  <c:v>2.6003011509228629E-3</c:v>
                </c:pt>
                <c:pt idx="228">
                  <c:v>2.3580569997031999E-3</c:v>
                </c:pt>
                <c:pt idx="229">
                  <c:v>2.1300478251650786E-3</c:v>
                </c:pt>
                <c:pt idx="230">
                  <c:v>1.9162691435556335E-3</c:v>
                </c:pt>
                <c:pt idx="231">
                  <c:v>1.716717305464376E-3</c:v>
                </c:pt>
                <c:pt idx="232">
                  <c:v>1.5313894515788008E-3</c:v>
                </c:pt>
                <c:pt idx="233">
                  <c:v>1.3655757350608401E-3</c:v>
                </c:pt>
                <c:pt idx="234">
                  <c:v>1.2121306078680173E-3</c:v>
                </c:pt>
                <c:pt idx="235">
                  <c:v>1.071053961330132E-3</c:v>
                </c:pt>
                <c:pt idx="236">
                  <c:v>9.4234613174766458E-4</c:v>
                </c:pt>
                <c:pt idx="237">
                  <c:v>8.2600697216246328E-4</c:v>
                </c:pt>
                <c:pt idx="238">
                  <c:v>7.2203675447490997E-4</c:v>
                </c:pt>
                <c:pt idx="239">
                  <c:v>6.3512566732991599E-4</c:v>
                </c:pt>
                <c:pt idx="240">
                  <c:v>5.5818902908126361E-4</c:v>
                </c:pt>
                <c:pt idx="241">
                  <c:v>4.9122790854791789E-4</c:v>
                </c:pt>
                <c:pt idx="242">
                  <c:v>4.3424377357771226E-4</c:v>
                </c:pt>
                <c:pt idx="243">
                  <c:v>3.8723850867245467E-4</c:v>
                </c:pt>
                <c:pt idx="244">
                  <c:v>3.5021443260772314E-4</c:v>
                </c:pt>
                <c:pt idx="245">
                  <c:v>3.2317431604895005E-4</c:v>
                </c:pt>
                <c:pt idx="246">
                  <c:v>3.0612139916857663E-4</c:v>
                </c:pt>
                <c:pt idx="247">
                  <c:v>3.0567323163473354E-4</c:v>
                </c:pt>
                <c:pt idx="248">
                  <c:v>3.1653701331673084E-4</c:v>
                </c:pt>
                <c:pt idx="249">
                  <c:v>3.3871831880597045E-4</c:v>
                </c:pt>
                <c:pt idx="250">
                  <c:v>3.722233390329375E-4</c:v>
                </c:pt>
                <c:pt idx="251">
                  <c:v>4.1705890121282116E-4</c:v>
                </c:pt>
                <c:pt idx="252">
                  <c:v>4.7323248877756147E-4</c:v>
                </c:pt>
                <c:pt idx="253">
                  <c:v>5.5530811806558608E-4</c:v>
                </c:pt>
                <c:pt idx="254">
                  <c:v>6.5860398533661233E-4</c:v>
                </c:pt>
                <c:pt idx="255">
                  <c:v>7.8313660511557769E-4</c:v>
                </c:pt>
                <c:pt idx="256">
                  <c:v>9.2892383765424914E-4</c:v>
                </c:pt>
                <c:pt idx="257">
                  <c:v>1.0959849262226966E-3</c:v>
                </c:pt>
                <c:pt idx="258">
                  <c:v>1.2843405344047096E-3</c:v>
                </c:pt>
                <c:pt idx="259">
                  <c:v>1.4940127834136953E-3</c:v>
                </c:pt>
                <c:pt idx="260">
                  <c:v>1.7250252893753874E-3</c:v>
                </c:pt>
                <c:pt idx="261">
                  <c:v>1.9950372799102836E-3</c:v>
                </c:pt>
                <c:pt idx="262">
                  <c:v>2.2974551921998328E-3</c:v>
                </c:pt>
                <c:pt idx="263">
                  <c:v>2.6323180328424317E-3</c:v>
                </c:pt>
                <c:pt idx="264">
                  <c:v>2.9996673694959956E-3</c:v>
                </c:pt>
                <c:pt idx="265">
                  <c:v>3.3995655368547532E-3</c:v>
                </c:pt>
                <c:pt idx="266">
                  <c:v>3.8320766820883734E-3</c:v>
                </c:pt>
                <c:pt idx="267">
                  <c:v>4.2830560113066938E-3</c:v>
                </c:pt>
                <c:pt idx="268">
                  <c:v>4.7379250108363765E-3</c:v>
                </c:pt>
                <c:pt idx="269">
                  <c:v>5.196706321890357E-3</c:v>
                </c:pt>
                <c:pt idx="270">
                  <c:v>5.6594209308382815E-3</c:v>
                </c:pt>
                <c:pt idx="271">
                  <c:v>6.1260881308991101E-3</c:v>
                </c:pt>
                <c:pt idx="272">
                  <c:v>6.5967254839582167E-3</c:v>
                </c:pt>
                <c:pt idx="273">
                  <c:v>7.0713487823141847E-3</c:v>
                </c:pt>
                <c:pt idx="274">
                  <c:v>7.54997201050789E-3</c:v>
                </c:pt>
                <c:pt idx="275">
                  <c:v>7.9953853534094309E-3</c:v>
                </c:pt>
                <c:pt idx="276">
                  <c:v>8.3898040025494978E-3</c:v>
                </c:pt>
                <c:pt idx="277">
                  <c:v>8.733152961013636E-3</c:v>
                </c:pt>
                <c:pt idx="278">
                  <c:v>9.0253531803145357E-3</c:v>
                </c:pt>
                <c:pt idx="279">
                  <c:v>9.2663221254576811E-3</c:v>
                </c:pt>
                <c:pt idx="280">
                  <c:v>9.455974340090597E-3</c:v>
                </c:pt>
                <c:pt idx="281">
                  <c:v>9.5828294494882619E-3</c:v>
                </c:pt>
                <c:pt idx="282">
                  <c:v>9.6610814014205827E-3</c:v>
                </c:pt>
                <c:pt idx="283">
                  <c:v>9.6906438725183203E-3</c:v>
                </c:pt>
                <c:pt idx="284">
                  <c:v>9.6714299326156397E-3</c:v>
                </c:pt>
                <c:pt idx="285">
                  <c:v>9.6033525780580119E-3</c:v>
                </c:pt>
                <c:pt idx="286">
                  <c:v>9.4863252651028167E-3</c:v>
                </c:pt>
                <c:pt idx="287">
                  <c:v>9.3202624432235405E-3</c:v>
                </c:pt>
                <c:pt idx="288">
                  <c:v>9.1050800884507899E-3</c:v>
                </c:pt>
                <c:pt idx="289">
                  <c:v>8.8536066216533624E-3</c:v>
                </c:pt>
                <c:pt idx="290">
                  <c:v>8.6032911778202228E-3</c:v>
                </c:pt>
                <c:pt idx="291">
                  <c:v>8.3541316703617148E-3</c:v>
                </c:pt>
                <c:pt idx="292">
                  <c:v>8.1061270544405227E-3</c:v>
                </c:pt>
                <c:pt idx="293">
                  <c:v>7.8592773109742217E-3</c:v>
                </c:pt>
                <c:pt idx="294">
                  <c:v>7.6135834306030048E-3</c:v>
                </c:pt>
                <c:pt idx="295">
                  <c:v>7.3832032314465074E-3</c:v>
                </c:pt>
                <c:pt idx="296">
                  <c:v>7.1797227938357848E-3</c:v>
                </c:pt>
                <c:pt idx="297">
                  <c:v>7.0032304858561843E-3</c:v>
                </c:pt>
                <c:pt idx="298">
                  <c:v>6.8537534856884692E-3</c:v>
                </c:pt>
                <c:pt idx="299">
                  <c:v>6.7313205359204459E-3</c:v>
                </c:pt>
                <c:pt idx="300">
                  <c:v>6.635961693095889E-3</c:v>
                </c:pt>
                <c:pt idx="301">
                  <c:v>6.5677080772423386E-3</c:v>
                </c:pt>
                <c:pt idx="302">
                  <c:v>6.5265916214142282E-3</c:v>
                </c:pt>
                <c:pt idx="303">
                  <c:v>6.5221548561619743E-3</c:v>
                </c:pt>
                <c:pt idx="304">
                  <c:v>6.5414421980577071E-3</c:v>
                </c:pt>
                <c:pt idx="305">
                  <c:v>6.5844815207461603E-3</c:v>
                </c:pt>
                <c:pt idx="306">
                  <c:v>6.6513005062655154E-3</c:v>
                </c:pt>
                <c:pt idx="307">
                  <c:v>6.7419264266899183E-3</c:v>
                </c:pt>
                <c:pt idx="308">
                  <c:v>6.8563859257158065E-3</c:v>
                </c:pt>
                <c:pt idx="309">
                  <c:v>6.9954463049118915E-3</c:v>
                </c:pt>
                <c:pt idx="310">
                  <c:v>7.1448785467887847E-3</c:v>
                </c:pt>
                <c:pt idx="311">
                  <c:v>7.3046877836257318E-3</c:v>
                </c:pt>
                <c:pt idx="312">
                  <c:v>7.4748782141381004E-3</c:v>
                </c:pt>
                <c:pt idx="313">
                  <c:v>7.6554530091414302E-3</c:v>
                </c:pt>
                <c:pt idx="314">
                  <c:v>7.8464142171481878E-3</c:v>
                </c:pt>
                <c:pt idx="315">
                  <c:v>8.0477626700599641E-3</c:v>
                </c:pt>
                <c:pt idx="316">
                  <c:v>8.2594978887410644E-3</c:v>
                </c:pt>
                <c:pt idx="317">
                  <c:v>8.4765923656683201E-3</c:v>
                </c:pt>
                <c:pt idx="318">
                  <c:v>8.6894635353382613E-3</c:v>
                </c:pt>
                <c:pt idx="319">
                  <c:v>8.8980904932889262E-3</c:v>
                </c:pt>
                <c:pt idx="320">
                  <c:v>9.1024519208581858E-3</c:v>
                </c:pt>
                <c:pt idx="321">
                  <c:v>9.3025261243797897E-3</c:v>
                </c:pt>
                <c:pt idx="322">
                  <c:v>9.4982910744228211E-3</c:v>
                </c:pt>
                <c:pt idx="323">
                  <c:v>9.6839843557415886E-3</c:v>
                </c:pt>
                <c:pt idx="324">
                  <c:v>9.8588326344975913E-3</c:v>
                </c:pt>
                <c:pt idx="325">
                  <c:v>1.0022807634248794E-2</c:v>
                </c:pt>
                <c:pt idx="326">
                  <c:v>1.0175818365277383E-2</c:v>
                </c:pt>
                <c:pt idx="327">
                  <c:v>1.0317813788496265E-2</c:v>
                </c:pt>
                <c:pt idx="328">
                  <c:v>1.0448796543907927E-2</c:v>
                </c:pt>
                <c:pt idx="329">
                  <c:v>1.0568772142781881E-2</c:v>
                </c:pt>
                <c:pt idx="330">
                  <c:v>1.0677748743055169E-2</c:v>
                </c:pt>
                <c:pt idx="331">
                  <c:v>1.0770739314560391E-2</c:v>
                </c:pt>
                <c:pt idx="332">
                  <c:v>1.0852799799601057E-2</c:v>
                </c:pt>
                <c:pt idx="333">
                  <c:v>1.0923945210319162E-2</c:v>
                </c:pt>
                <c:pt idx="334">
                  <c:v>1.0984192261825244E-2</c:v>
                </c:pt>
                <c:pt idx="335">
                  <c:v>1.103355914874281E-2</c:v>
                </c:pt>
                <c:pt idx="336">
                  <c:v>1.1072065321609805E-2</c:v>
                </c:pt>
                <c:pt idx="337">
                  <c:v>1.1100541324887662E-2</c:v>
                </c:pt>
                <c:pt idx="338">
                  <c:v>1.1124760196371415E-2</c:v>
                </c:pt>
                <c:pt idx="339">
                  <c:v>1.114474429407793E-2</c:v>
                </c:pt>
                <c:pt idx="340">
                  <c:v>1.1160516262144406E-2</c:v>
                </c:pt>
                <c:pt idx="341">
                  <c:v>1.117209894376116E-2</c:v>
                </c:pt>
                <c:pt idx="342">
                  <c:v>1.1179515294095978E-2</c:v>
                </c:pt>
                <c:pt idx="343">
                  <c:v>1.1182788293083492E-2</c:v>
                </c:pt>
                <c:pt idx="344">
                  <c:v>1.1181940858389991E-2</c:v>
                </c:pt>
                <c:pt idx="345">
                  <c:v>1.1176995758260345E-2</c:v>
                </c:pt>
                <c:pt idx="346">
                  <c:v>1.1173014522880069E-2</c:v>
                </c:pt>
                <c:pt idx="347">
                  <c:v>1.1170020364353075E-2</c:v>
                </c:pt>
                <c:pt idx="348">
                  <c:v>1.1168036523660812E-2</c:v>
                </c:pt>
                <c:pt idx="349">
                  <c:v>1.1167086288203253E-2</c:v>
                </c:pt>
                <c:pt idx="350">
                  <c:v>1.1167193009601444E-2</c:v>
                </c:pt>
                <c:pt idx="351">
                  <c:v>1.1168418201888804E-2</c:v>
                </c:pt>
                <c:pt idx="352">
                  <c:v>1.1169974589007346E-2</c:v>
                </c:pt>
                <c:pt idx="353">
                  <c:v>1.1171885395167939E-2</c:v>
                </c:pt>
                <c:pt idx="354">
                  <c:v>1.1174173854648105E-2</c:v>
                </c:pt>
                <c:pt idx="355">
                  <c:v>1.1176863212815212E-2</c:v>
                </c:pt>
                <c:pt idx="356">
                  <c:v>1.1179984453725943E-2</c:v>
                </c:pt>
                <c:pt idx="357">
                  <c:v>1.1183535936106612E-2</c:v>
                </c:pt>
                <c:pt idx="358">
                  <c:v>1.1187489092625159E-2</c:v>
                </c:pt>
                <c:pt idx="359">
                  <c:v>1.1191815367128658E-2</c:v>
                </c:pt>
                <c:pt idx="360">
                  <c:v>1.1197298897977008E-2</c:v>
                </c:pt>
                <c:pt idx="361">
                  <c:v>1.1203873942414982E-2</c:v>
                </c:pt>
                <c:pt idx="362">
                  <c:v>1.1211512996239952E-2</c:v>
                </c:pt>
                <c:pt idx="363">
                  <c:v>1.122018862586055E-2</c:v>
                </c:pt>
                <c:pt idx="364">
                  <c:v>1.1229873446710845E-2</c:v>
                </c:pt>
                <c:pt idx="365">
                  <c:v>1.1240540101526794E-2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1.4577788776549801E-2</c:v>
                </c:pt>
                <c:pt idx="1">
                  <c:v>1.457586823841949E-2</c:v>
                </c:pt>
                <c:pt idx="2">
                  <c:v>1.4571899587665372E-2</c:v>
                </c:pt>
                <c:pt idx="3">
                  <c:v>1.4565842438711014E-2</c:v>
                </c:pt>
                <c:pt idx="4">
                  <c:v>1.4557656484305535E-2</c:v>
                </c:pt>
                <c:pt idx="5">
                  <c:v>1.454730154976103E-2</c:v>
                </c:pt>
                <c:pt idx="6">
                  <c:v>1.4534737647375954E-2</c:v>
                </c:pt>
                <c:pt idx="7">
                  <c:v>1.451992503053082E-2</c:v>
                </c:pt>
                <c:pt idx="8">
                  <c:v>1.4502824247987862E-2</c:v>
                </c:pt>
                <c:pt idx="9">
                  <c:v>1.4479278275642604E-2</c:v>
                </c:pt>
                <c:pt idx="10">
                  <c:v>1.4449216472635164E-2</c:v>
                </c:pt>
                <c:pt idx="11">
                  <c:v>1.441259564406866E-2</c:v>
                </c:pt>
                <c:pt idx="12">
                  <c:v>1.4369373632939038E-2</c:v>
                </c:pt>
                <c:pt idx="13">
                  <c:v>1.4319509479814058E-2</c:v>
                </c:pt>
                <c:pt idx="14">
                  <c:v>1.4262963582267394E-2</c:v>
                </c:pt>
                <c:pt idx="15">
                  <c:v>1.4191286673234728E-2</c:v>
                </c:pt>
                <c:pt idx="16">
                  <c:v>1.4106601468453241E-2</c:v>
                </c:pt>
                <c:pt idx="17">
                  <c:v>1.4008869334169147E-2</c:v>
                </c:pt>
                <c:pt idx="18">
                  <c:v>1.3898055014866755E-2</c:v>
                </c:pt>
                <c:pt idx="19">
                  <c:v>1.3774203782227443E-2</c:v>
                </c:pt>
                <c:pt idx="20">
                  <c:v>1.3637396229673991E-2</c:v>
                </c:pt>
                <c:pt idx="21">
                  <c:v>1.3487653753860934E-2</c:v>
                </c:pt>
                <c:pt idx="22">
                  <c:v>1.3324998886253254E-2</c:v>
                </c:pt>
                <c:pt idx="23">
                  <c:v>1.3145975851819168E-2</c:v>
                </c:pt>
                <c:pt idx="24">
                  <c:v>1.2954742034578914E-2</c:v>
                </c:pt>
                <c:pt idx="25">
                  <c:v>1.2751322743824881E-2</c:v>
                </c:pt>
                <c:pt idx="26">
                  <c:v>1.2535743705486994E-2</c:v>
                </c:pt>
                <c:pt idx="27">
                  <c:v>1.2308030913171539E-2</c:v>
                </c:pt>
                <c:pt idx="28">
                  <c:v>1.2068210479474253E-2</c:v>
                </c:pt>
                <c:pt idx="29">
                  <c:v>1.1825648193137797E-2</c:v>
                </c:pt>
                <c:pt idx="30">
                  <c:v>1.1588794464661984E-2</c:v>
                </c:pt>
                <c:pt idx="31">
                  <c:v>1.1357672633971359E-2</c:v>
                </c:pt>
                <c:pt idx="32">
                  <c:v>1.1132304443438944E-2</c:v>
                </c:pt>
                <c:pt idx="33">
                  <c:v>1.0912710111118763E-2</c:v>
                </c:pt>
                <c:pt idx="34">
                  <c:v>1.0698908404029501E-2</c:v>
                </c:pt>
                <c:pt idx="35">
                  <c:v>1.0490916711426363E-2</c:v>
                </c:pt>
                <c:pt idx="36">
                  <c:v>1.0288751118049751E-2</c:v>
                </c:pt>
                <c:pt idx="37">
                  <c:v>1.0109804213004076E-2</c:v>
                </c:pt>
                <c:pt idx="38">
                  <c:v>9.9575632443233662E-3</c:v>
                </c:pt>
                <c:pt idx="39">
                  <c:v>9.8320351870097092E-3</c:v>
                </c:pt>
                <c:pt idx="40">
                  <c:v>9.7332259718439489E-3</c:v>
                </c:pt>
                <c:pt idx="41">
                  <c:v>9.6611408195462906E-3</c:v>
                </c:pt>
                <c:pt idx="42">
                  <c:v>9.6157845748672983E-3</c:v>
                </c:pt>
                <c:pt idx="43">
                  <c:v>9.6159261741281324E-3</c:v>
                </c:pt>
                <c:pt idx="44">
                  <c:v>9.6522363998109029E-3</c:v>
                </c:pt>
                <c:pt idx="45">
                  <c:v>9.7247191421206605E-3</c:v>
                </c:pt>
                <c:pt idx="46">
                  <c:v>9.8333797164103804E-3</c:v>
                </c:pt>
                <c:pt idx="47">
                  <c:v>9.9782253154010181E-3</c:v>
                </c:pt>
                <c:pt idx="48">
                  <c:v>1.0159265461274668E-2</c:v>
                </c:pt>
                <c:pt idx="49">
                  <c:v>1.0376512457856236E-2</c:v>
                </c:pt>
                <c:pt idx="50">
                  <c:v>1.0629981842733928E-2</c:v>
                </c:pt>
                <c:pt idx="51">
                  <c:v>1.0920998410974693E-2</c:v>
                </c:pt>
                <c:pt idx="52">
                  <c:v>1.1232162593527724E-2</c:v>
                </c:pt>
                <c:pt idx="53">
                  <c:v>1.1563420281839277E-2</c:v>
                </c:pt>
                <c:pt idx="54">
                  <c:v>1.1914769968024191E-2</c:v>
                </c:pt>
                <c:pt idx="55">
                  <c:v>1.2286209984817751E-2</c:v>
                </c:pt>
                <c:pt idx="56">
                  <c:v>1.2677738431351343E-2</c:v>
                </c:pt>
                <c:pt idx="57">
                  <c:v>1.305189491476942E-2</c:v>
                </c:pt>
                <c:pt idx="58">
                  <c:v>1.3389920202373114E-2</c:v>
                </c:pt>
                <c:pt idx="59">
                  <c:v>1.3691810065919593E-2</c:v>
                </c:pt>
                <c:pt idx="60">
                  <c:v>1.3957559581948911E-2</c:v>
                </c:pt>
                <c:pt idx="61">
                  <c:v>1.4187163265539779E-2</c:v>
                </c:pt>
                <c:pt idx="62">
                  <c:v>1.4380615204044159E-2</c:v>
                </c:pt>
                <c:pt idx="63">
                  <c:v>1.453790919086422E-2</c:v>
                </c:pt>
                <c:pt idx="64">
                  <c:v>1.4659038859172588E-2</c:v>
                </c:pt>
                <c:pt idx="65">
                  <c:v>1.4701562235846078E-2</c:v>
                </c:pt>
                <c:pt idx="66">
                  <c:v>1.4664167009571877E-2</c:v>
                </c:pt>
                <c:pt idx="67">
                  <c:v>1.4546847226301732E-2</c:v>
                </c:pt>
                <c:pt idx="68">
                  <c:v>1.4349597975016741E-2</c:v>
                </c:pt>
                <c:pt idx="69">
                  <c:v>1.4072415683248756E-2</c:v>
                </c:pt>
                <c:pt idx="70">
                  <c:v>1.3715298412670369E-2</c:v>
                </c:pt>
                <c:pt idx="71">
                  <c:v>1.3279750435583434E-2</c:v>
                </c:pt>
                <c:pt idx="72">
                  <c:v>1.2803232784582487E-2</c:v>
                </c:pt>
                <c:pt idx="73">
                  <c:v>1.2285748050506487E-2</c:v>
                </c:pt>
                <c:pt idx="74">
                  <c:v>1.1727300580144352E-2</c:v>
                </c:pt>
                <c:pt idx="75">
                  <c:v>1.1127896627676069E-2</c:v>
                </c:pt>
                <c:pt idx="76">
                  <c:v>1.0487544506075966E-2</c:v>
                </c:pt>
                <c:pt idx="77">
                  <c:v>9.8062547385537862E-3</c:v>
                </c:pt>
                <c:pt idx="78">
                  <c:v>9.0840405115584204E-3</c:v>
                </c:pt>
                <c:pt idx="79">
                  <c:v>8.345402910934701E-3</c:v>
                </c:pt>
                <c:pt idx="80">
                  <c:v>7.6327899583428548E-3</c:v>
                </c:pt>
                <c:pt idx="81">
                  <c:v>6.9461958858432187E-3</c:v>
                </c:pt>
                <c:pt idx="82">
                  <c:v>6.2856157631566659E-3</c:v>
                </c:pt>
                <c:pt idx="83">
                  <c:v>5.6510454145088677E-3</c:v>
                </c:pt>
                <c:pt idx="84">
                  <c:v>5.0424813354946058E-3</c:v>
                </c:pt>
                <c:pt idx="85">
                  <c:v>4.4785696892150123E-3</c:v>
                </c:pt>
                <c:pt idx="86">
                  <c:v>3.9578016519555411E-3</c:v>
                </c:pt>
                <c:pt idx="87">
                  <c:v>3.4801722073885179E-3</c:v>
                </c:pt>
                <c:pt idx="88">
                  <c:v>3.0456763847338583E-3</c:v>
                </c:pt>
                <c:pt idx="89">
                  <c:v>2.6543091206714248E-3</c:v>
                </c:pt>
                <c:pt idx="90">
                  <c:v>2.3060651212473918E-3</c:v>
                </c:pt>
                <c:pt idx="91">
                  <c:v>2.0009387237912585E-3</c:v>
                </c:pt>
                <c:pt idx="92">
                  <c:v>1.7389237588238498E-3</c:v>
                </c:pt>
                <c:pt idx="93">
                  <c:v>1.5308267629097483E-3</c:v>
                </c:pt>
                <c:pt idx="94">
                  <c:v>1.352206176897438E-3</c:v>
                </c:pt>
                <c:pt idx="95">
                  <c:v>1.2030568512318384E-3</c:v>
                </c:pt>
                <c:pt idx="96">
                  <c:v>1.0833729869495696E-3</c:v>
                </c:pt>
                <c:pt idx="97">
                  <c:v>9.9314804126201584E-4</c:v>
                </c:pt>
                <c:pt idx="98">
                  <c:v>9.3237463312661009E-4</c:v>
                </c:pt>
                <c:pt idx="99">
                  <c:v>9.0861876121252816E-4</c:v>
                </c:pt>
                <c:pt idx="100">
                  <c:v>9.0324171944003169E-4</c:v>
                </c:pt>
                <c:pt idx="101">
                  <c:v>9.1623694684911708E-4</c:v>
                </c:pt>
                <c:pt idx="102">
                  <c:v>9.4759712850512039E-4</c:v>
                </c:pt>
                <c:pt idx="103">
                  <c:v>9.9731413652542509E-4</c:v>
                </c:pt>
                <c:pt idx="104">
                  <c:v>1.0653789711278108E-3</c:v>
                </c:pt>
                <c:pt idx="105">
                  <c:v>1.1517817016588939E-3</c:v>
                </c:pt>
                <c:pt idx="106">
                  <c:v>1.2565114076341644E-3</c:v>
                </c:pt>
                <c:pt idx="107">
                  <c:v>1.3879742328483328E-3</c:v>
                </c:pt>
                <c:pt idx="108">
                  <c:v>1.5353595385048516E-3</c:v>
                </c:pt>
                <c:pt idx="109">
                  <c:v>1.6986541875243257E-3</c:v>
                </c:pt>
                <c:pt idx="110">
                  <c:v>1.8778492926816749E-3</c:v>
                </c:pt>
                <c:pt idx="111">
                  <c:v>2.0729371863917202E-3</c:v>
                </c:pt>
                <c:pt idx="112">
                  <c:v>2.2839053112336475E-3</c:v>
                </c:pt>
                <c:pt idx="113">
                  <c:v>2.518504117822307E-3</c:v>
                </c:pt>
                <c:pt idx="114">
                  <c:v>2.7691595875098136E-3</c:v>
                </c:pt>
                <c:pt idx="115">
                  <c:v>3.0358569842036396E-3</c:v>
                </c:pt>
                <c:pt idx="116">
                  <c:v>3.3185808474087588E-3</c:v>
                </c:pt>
                <c:pt idx="117">
                  <c:v>3.6173149568889725E-3</c:v>
                </c:pt>
                <c:pt idx="118">
                  <c:v>3.9320422973010477E-3</c:v>
                </c:pt>
                <c:pt idx="119">
                  <c:v>4.2627450228360344E-3</c:v>
                </c:pt>
                <c:pt idx="120">
                  <c:v>4.609404421853181E-3</c:v>
                </c:pt>
                <c:pt idx="121">
                  <c:v>4.9784602300209221E-3</c:v>
                </c:pt>
                <c:pt idx="122">
                  <c:v>5.3614964917322316E-3</c:v>
                </c:pt>
                <c:pt idx="123">
                  <c:v>5.7584931082644009E-3</c:v>
                </c:pt>
                <c:pt idx="124">
                  <c:v>6.1694290504130112E-3</c:v>
                </c:pt>
                <c:pt idx="125">
                  <c:v>6.5942823274133229E-3</c:v>
                </c:pt>
                <c:pt idx="126">
                  <c:v>7.0330299557841147E-3</c:v>
                </c:pt>
                <c:pt idx="127">
                  <c:v>7.4796574838024189E-3</c:v>
                </c:pt>
                <c:pt idx="128">
                  <c:v>7.9264115922161125E-3</c:v>
                </c:pt>
                <c:pt idx="129">
                  <c:v>8.3732792425532682E-3</c:v>
                </c:pt>
                <c:pt idx="130">
                  <c:v>8.8202469793780026E-3</c:v>
                </c:pt>
                <c:pt idx="131">
                  <c:v>9.2673009292063915E-3</c:v>
                </c:pt>
                <c:pt idx="132">
                  <c:v>9.7144267994878509E-3</c:v>
                </c:pt>
                <c:pt idx="133">
                  <c:v>1.0161609877647882E-2</c:v>
                </c:pt>
                <c:pt idx="134">
                  <c:v>1.0608835030090455E-2</c:v>
                </c:pt>
                <c:pt idx="135">
                  <c:v>1.1016838571333844E-2</c:v>
                </c:pt>
                <c:pt idx="136">
                  <c:v>1.1379220499302956E-2</c:v>
                </c:pt>
                <c:pt idx="137">
                  <c:v>1.1696018960234929E-2</c:v>
                </c:pt>
                <c:pt idx="138">
                  <c:v>1.1967274510934107E-2</c:v>
                </c:pt>
                <c:pt idx="139">
                  <c:v>1.2193030218556899E-2</c:v>
                </c:pt>
                <c:pt idx="140">
                  <c:v>1.2373331759731968E-2</c:v>
                </c:pt>
                <c:pt idx="141">
                  <c:v>1.2473243219951536E-2</c:v>
                </c:pt>
                <c:pt idx="142">
                  <c:v>1.2498750701410273E-2</c:v>
                </c:pt>
                <c:pt idx="143">
                  <c:v>1.2449894263560659E-2</c:v>
                </c:pt>
                <c:pt idx="144">
                  <c:v>1.2326797916123731E-2</c:v>
                </c:pt>
                <c:pt idx="145">
                  <c:v>1.2129594120787289E-2</c:v>
                </c:pt>
                <c:pt idx="146">
                  <c:v>1.1858422795245977E-2</c:v>
                </c:pt>
                <c:pt idx="147">
                  <c:v>1.151343031765824E-2</c:v>
                </c:pt>
                <c:pt idx="148">
                  <c:v>1.109476853080551E-2</c:v>
                </c:pt>
                <c:pt idx="149">
                  <c:v>1.0620370924502003E-2</c:v>
                </c:pt>
                <c:pt idx="150">
                  <c:v>1.0129334854061318E-2</c:v>
                </c:pt>
                <c:pt idx="151">
                  <c:v>9.6217206417664805E-3</c:v>
                </c:pt>
                <c:pt idx="152">
                  <c:v>9.0975870330609627E-3</c:v>
                </c:pt>
                <c:pt idx="153">
                  <c:v>8.556990966382988E-3</c:v>
                </c:pt>
                <c:pt idx="154">
                  <c:v>7.999987343056977E-3</c:v>
                </c:pt>
                <c:pt idx="155">
                  <c:v>7.4510594740198098E-3</c:v>
                </c:pt>
                <c:pt idx="156">
                  <c:v>6.9449028905015364E-3</c:v>
                </c:pt>
                <c:pt idx="157">
                  <c:v>6.4814525222645428E-3</c:v>
                </c:pt>
                <c:pt idx="158">
                  <c:v>6.0606400574486595E-3</c:v>
                </c:pt>
                <c:pt idx="159">
                  <c:v>5.6823945129868235E-3</c:v>
                </c:pt>
                <c:pt idx="160">
                  <c:v>5.3466428050989497E-3</c:v>
                </c:pt>
                <c:pt idx="161">
                  <c:v>5.0533103197142612E-3</c:v>
                </c:pt>
                <c:pt idx="162">
                  <c:v>4.8023214829283831E-3</c:v>
                </c:pt>
                <c:pt idx="163">
                  <c:v>4.5975927805641291E-3</c:v>
                </c:pt>
                <c:pt idx="164">
                  <c:v>4.4214286695582698E-3</c:v>
                </c:pt>
                <c:pt idx="165">
                  <c:v>4.2737790583477374E-3</c:v>
                </c:pt>
                <c:pt idx="166">
                  <c:v>4.1545944054067023E-3</c:v>
                </c:pt>
                <c:pt idx="167">
                  <c:v>4.0638261041883198E-3</c:v>
                </c:pt>
                <c:pt idx="168">
                  <c:v>4.0014268682030361E-3</c:v>
                </c:pt>
                <c:pt idx="169">
                  <c:v>3.9713294227781996E-3</c:v>
                </c:pt>
                <c:pt idx="170">
                  <c:v>3.9492755045283925E-3</c:v>
                </c:pt>
                <c:pt idx="171">
                  <c:v>3.935256522427065E-3</c:v>
                </c:pt>
                <c:pt idx="172">
                  <c:v>3.929264589386347E-3</c:v>
                </c:pt>
                <c:pt idx="173">
                  <c:v>3.931252429408106E-3</c:v>
                </c:pt>
                <c:pt idx="174">
                  <c:v>3.9411711440383987E-3</c:v>
                </c:pt>
                <c:pt idx="175">
                  <c:v>3.9590110168964705E-3</c:v>
                </c:pt>
                <c:pt idx="176">
                  <c:v>3.9847623839464573E-3</c:v>
                </c:pt>
                <c:pt idx="177">
                  <c:v>4.0425377280951464E-3</c:v>
                </c:pt>
                <c:pt idx="178">
                  <c:v>4.1283313720786342E-3</c:v>
                </c:pt>
                <c:pt idx="179">
                  <c:v>4.2421041289599191E-3</c:v>
                </c:pt>
                <c:pt idx="180">
                  <c:v>4.3838175002821429E-3</c:v>
                </c:pt>
                <c:pt idx="181">
                  <c:v>4.5534338409094904E-3</c:v>
                </c:pt>
                <c:pt idx="182">
                  <c:v>4.7509165239043357E-3</c:v>
                </c:pt>
                <c:pt idx="183">
                  <c:v>4.9936671281805359E-3</c:v>
                </c:pt>
                <c:pt idx="184">
                  <c:v>5.2776781869055328E-3</c:v>
                </c:pt>
                <c:pt idx="185">
                  <c:v>5.6028983600321016E-3</c:v>
                </c:pt>
                <c:pt idx="186">
                  <c:v>5.9692785760584116E-3</c:v>
                </c:pt>
                <c:pt idx="187">
                  <c:v>6.3767722763171377E-3</c:v>
                </c:pt>
                <c:pt idx="188">
                  <c:v>6.8253356593121961E-3</c:v>
                </c:pt>
                <c:pt idx="189">
                  <c:v>7.3149279248611171E-3</c:v>
                </c:pt>
                <c:pt idx="190">
                  <c:v>7.8455115185126125E-3</c:v>
                </c:pt>
                <c:pt idx="191">
                  <c:v>8.3830022935931173E-3</c:v>
                </c:pt>
                <c:pt idx="192">
                  <c:v>8.9034582345447789E-3</c:v>
                </c:pt>
                <c:pt idx="193">
                  <c:v>9.40692187346138E-3</c:v>
                </c:pt>
                <c:pt idx="194">
                  <c:v>9.8934358652746166E-3</c:v>
                </c:pt>
                <c:pt idx="195">
                  <c:v>1.0363042889416316E-2</c:v>
                </c:pt>
                <c:pt idx="196">
                  <c:v>1.0815785551127744E-2</c:v>
                </c:pt>
                <c:pt idx="197">
                  <c:v>1.121368686119833E-2</c:v>
                </c:pt>
                <c:pt idx="198">
                  <c:v>1.153949960652024E-2</c:v>
                </c:pt>
                <c:pt idx="199">
                  <c:v>1.1793317860877395E-2</c:v>
                </c:pt>
                <c:pt idx="200">
                  <c:v>1.1975230115661928E-2</c:v>
                </c:pt>
                <c:pt idx="201">
                  <c:v>1.2085318853379155E-2</c:v>
                </c:pt>
                <c:pt idx="202">
                  <c:v>1.2123660121212515E-2</c:v>
                </c:pt>
                <c:pt idx="203">
                  <c:v>1.2090323104860854E-2</c:v>
                </c:pt>
                <c:pt idx="204">
                  <c:v>1.1985350347609593E-2</c:v>
                </c:pt>
                <c:pt idx="205">
                  <c:v>1.180299662259713E-2</c:v>
                </c:pt>
                <c:pt idx="206">
                  <c:v>1.1577191248295029E-2</c:v>
                </c:pt>
                <c:pt idx="207">
                  <c:v>1.1307949819146616E-2</c:v>
                </c:pt>
                <c:pt idx="208">
                  <c:v>1.0995284647179807E-2</c:v>
                </c:pt>
                <c:pt idx="209">
                  <c:v>1.063920489742963E-2</c:v>
                </c:pt>
                <c:pt idx="210">
                  <c:v>1.0239716723731291E-2</c:v>
                </c:pt>
                <c:pt idx="211">
                  <c:v>9.8030321365551766E-3</c:v>
                </c:pt>
                <c:pt idx="212">
                  <c:v>9.3670345616709109E-3</c:v>
                </c:pt>
                <c:pt idx="213">
                  <c:v>8.9317052093673601E-3</c:v>
                </c:pt>
                <c:pt idx="214">
                  <c:v>8.4970258608287694E-3</c:v>
                </c:pt>
                <c:pt idx="215">
                  <c:v>8.0629788667997675E-3</c:v>
                </c:pt>
                <c:pt idx="216">
                  <c:v>7.6295471462140448E-3</c:v>
                </c:pt>
                <c:pt idx="217">
                  <c:v>7.1967141848514465E-3</c:v>
                </c:pt>
                <c:pt idx="218">
                  <c:v>6.7644640339481008E-3</c:v>
                </c:pt>
                <c:pt idx="219">
                  <c:v>6.3402237790914093E-3</c:v>
                </c:pt>
                <c:pt idx="220">
                  <c:v>5.9297401256172061E-3</c:v>
                </c:pt>
                <c:pt idx="221">
                  <c:v>5.5329972528185322E-3</c:v>
                </c:pt>
                <c:pt idx="222">
                  <c:v>5.1499806070313655E-3</c:v>
                </c:pt>
                <c:pt idx="223">
                  <c:v>4.7806768593342862E-3</c:v>
                </c:pt>
                <c:pt idx="224">
                  <c:v>4.4250738631000002E-3</c:v>
                </c:pt>
                <c:pt idx="225">
                  <c:v>4.0912194967643867E-3</c:v>
                </c:pt>
                <c:pt idx="226">
                  <c:v>3.7729012512752835E-3</c:v>
                </c:pt>
                <c:pt idx="227">
                  <c:v>3.4701104810046582E-3</c:v>
                </c:pt>
                <c:pt idx="228">
                  <c:v>3.1828396229455578E-3</c:v>
                </c:pt>
                <c:pt idx="229">
                  <c:v>2.9110821484934291E-3</c:v>
                </c:pt>
                <c:pt idx="230">
                  <c:v>2.6548325152886882E-3</c:v>
                </c:pt>
                <c:pt idx="231">
                  <c:v>2.4140861190596967E-3</c:v>
                </c:pt>
                <c:pt idx="232">
                  <c:v>2.1888392454078947E-3</c:v>
                </c:pt>
                <c:pt idx="233">
                  <c:v>1.9863331495857122E-3</c:v>
                </c:pt>
                <c:pt idx="234">
                  <c:v>1.7991241121395047E-3</c:v>
                </c:pt>
                <c:pt idx="235">
                  <c:v>1.6272121892295136E-3</c:v>
                </c:pt>
                <c:pt idx="236">
                  <c:v>1.470598091455182E-3</c:v>
                </c:pt>
                <c:pt idx="237">
                  <c:v>1.3292817417343123E-3</c:v>
                </c:pt>
                <c:pt idx="238">
                  <c:v>1.2032635827367072E-3</c:v>
                </c:pt>
                <c:pt idx="239">
                  <c:v>1.1028847181567165E-3</c:v>
                </c:pt>
                <c:pt idx="240">
                  <c:v>1.0200853563951231E-3</c:v>
                </c:pt>
                <c:pt idx="241">
                  <c:v>9.5486855599773287E-4</c:v>
                </c:pt>
                <c:pt idx="242">
                  <c:v>9.0723811564309372E-4</c:v>
                </c:pt>
                <c:pt idx="243">
                  <c:v>8.7719860519001381E-4</c:v>
                </c:pt>
                <c:pt idx="244">
                  <c:v>8.6475539671726021E-4</c:v>
                </c:pt>
                <c:pt idx="245">
                  <c:v>8.6991469555466839E-4</c:v>
                </c:pt>
                <c:pt idx="246">
                  <c:v>8.9268357131338204E-4</c:v>
                </c:pt>
                <c:pt idx="247">
                  <c:v>9.5091039196630166E-4</c:v>
                </c:pt>
                <c:pt idx="248">
                  <c:v>1.0373574630492763E-3</c:v>
                </c:pt>
                <c:pt idx="249">
                  <c:v>1.1520402912661824E-3</c:v>
                </c:pt>
                <c:pt idx="250">
                  <c:v>1.2949759616969793E-3</c:v>
                </c:pt>
                <c:pt idx="251">
                  <c:v>1.4661831875296678E-3</c:v>
                </c:pt>
                <c:pt idx="252">
                  <c:v>1.6656823597471634E-3</c:v>
                </c:pt>
                <c:pt idx="253">
                  <c:v>1.9169062943367658E-3</c:v>
                </c:pt>
                <c:pt idx="254">
                  <c:v>2.2095306892306581E-3</c:v>
                </c:pt>
                <c:pt idx="255">
                  <c:v>2.5435905824826343E-3</c:v>
                </c:pt>
                <c:pt idx="256">
                  <c:v>2.919123698955855E-3</c:v>
                </c:pt>
                <c:pt idx="257">
                  <c:v>3.336170522989517E-3</c:v>
                </c:pt>
                <c:pt idx="258">
                  <c:v>3.7947743710809814E-3</c:v>
                </c:pt>
                <c:pt idx="259">
                  <c:v>4.2949814646275264E-3</c:v>
                </c:pt>
                <c:pt idx="260">
                  <c:v>4.8368410025665508E-3</c:v>
                </c:pt>
                <c:pt idx="261">
                  <c:v>5.421847873151372E-3</c:v>
                </c:pt>
                <c:pt idx="262">
                  <c:v>6.0321589219531867E-3</c:v>
                </c:pt>
                <c:pt idx="263">
                  <c:v>6.6678176877107802E-3</c:v>
                </c:pt>
                <c:pt idx="264">
                  <c:v>7.3288701929059659E-3</c:v>
                </c:pt>
                <c:pt idx="265">
                  <c:v>8.0154077180467284E-3</c:v>
                </c:pt>
                <c:pt idx="266">
                  <c:v>8.727516211736704E-3</c:v>
                </c:pt>
                <c:pt idx="267">
                  <c:v>9.4244779876181337E-3</c:v>
                </c:pt>
                <c:pt idx="268">
                  <c:v>1.0082791322050425E-2</c:v>
                </c:pt>
                <c:pt idx="269">
                  <c:v>1.0702433453995623E-2</c:v>
                </c:pt>
                <c:pt idx="270">
                  <c:v>1.1283374866254001E-2</c:v>
                </c:pt>
                <c:pt idx="271">
                  <c:v>1.1825579718588136E-2</c:v>
                </c:pt>
                <c:pt idx="272">
                  <c:v>1.2329006281115893E-2</c:v>
                </c:pt>
                <c:pt idx="273">
                  <c:v>1.2793607367563749E-2</c:v>
                </c:pt>
                <c:pt idx="274">
                  <c:v>1.3219330768677626E-2</c:v>
                </c:pt>
                <c:pt idx="275">
                  <c:v>1.35699970517901E-2</c:v>
                </c:pt>
                <c:pt idx="276">
                  <c:v>1.3844040615926943E-2</c:v>
                </c:pt>
                <c:pt idx="277">
                  <c:v>1.4041339554243273E-2</c:v>
                </c:pt>
                <c:pt idx="278">
                  <c:v>1.416176728742617E-2</c:v>
                </c:pt>
                <c:pt idx="279">
                  <c:v>1.4205193409472334E-2</c:v>
                </c:pt>
                <c:pt idx="280">
                  <c:v>1.4171484533597642E-2</c:v>
                </c:pt>
                <c:pt idx="281">
                  <c:v>1.406176798678805E-2</c:v>
                </c:pt>
                <c:pt idx="282">
                  <c:v>1.3916975656034848E-2</c:v>
                </c:pt>
                <c:pt idx="283">
                  <c:v>1.3737036678374483E-2</c:v>
                </c:pt>
                <c:pt idx="284">
                  <c:v>1.3521880651093705E-2</c:v>
                </c:pt>
                <c:pt idx="285">
                  <c:v>1.3271438014440364E-2</c:v>
                </c:pt>
                <c:pt idx="286">
                  <c:v>1.298564043446359E-2</c:v>
                </c:pt>
                <c:pt idx="287">
                  <c:v>1.2664421185717891E-2</c:v>
                </c:pt>
                <c:pt idx="288">
                  <c:v>1.2307715534020032E-2</c:v>
                </c:pt>
                <c:pt idx="289">
                  <c:v>1.1933678786928673E-2</c:v>
                </c:pt>
                <c:pt idx="290">
                  <c:v>1.1578680001348346E-2</c:v>
                </c:pt>
                <c:pt idx="291">
                  <c:v>1.124274295713598E-2</c:v>
                </c:pt>
                <c:pt idx="292">
                  <c:v>1.0925892101632478E-2</c:v>
                </c:pt>
                <c:pt idx="293">
                  <c:v>1.0628152337310652E-2</c:v>
                </c:pt>
                <c:pt idx="294">
                  <c:v>1.0349548809376243E-2</c:v>
                </c:pt>
                <c:pt idx="295">
                  <c:v>1.0107018855082313E-2</c:v>
                </c:pt>
                <c:pt idx="296">
                  <c:v>9.8994572107465994E-3</c:v>
                </c:pt>
                <c:pt idx="297">
                  <c:v>9.7269831578245536E-3</c:v>
                </c:pt>
                <c:pt idx="298">
                  <c:v>9.5896324797134884E-3</c:v>
                </c:pt>
                <c:pt idx="299">
                  <c:v>9.487442782373191E-3</c:v>
                </c:pt>
                <c:pt idx="300">
                  <c:v>9.4204531692229938E-3</c:v>
                </c:pt>
                <c:pt idx="301">
                  <c:v>9.3887039160095043E-3</c:v>
                </c:pt>
                <c:pt idx="302">
                  <c:v>9.3922361456957957E-3</c:v>
                </c:pt>
                <c:pt idx="303">
                  <c:v>9.4402102311126942E-3</c:v>
                </c:pt>
                <c:pt idx="304">
                  <c:v>9.514334123219205E-3</c:v>
                </c:pt>
                <c:pt idx="305">
                  <c:v>9.6146363526906451E-3</c:v>
                </c:pt>
                <c:pt idx="306">
                  <c:v>9.7411450486388062E-3</c:v>
                </c:pt>
                <c:pt idx="307">
                  <c:v>9.8938876983937288E-3</c:v>
                </c:pt>
                <c:pt idx="308">
                  <c:v>1.0072890907202949E-2</c:v>
                </c:pt>
                <c:pt idx="309">
                  <c:v>1.0274772938816941E-2</c:v>
                </c:pt>
                <c:pt idx="310">
                  <c:v>1.0482523007184124E-2</c:v>
                </c:pt>
                <c:pt idx="311">
                  <c:v>1.0696136009126741E-2</c:v>
                </c:pt>
                <c:pt idx="312">
                  <c:v>1.0915605874642745E-2</c:v>
                </c:pt>
                <c:pt idx="313">
                  <c:v>1.1140925514275658E-2</c:v>
                </c:pt>
                <c:pt idx="314">
                  <c:v>1.1372086766386093E-2</c:v>
                </c:pt>
                <c:pt idx="315">
                  <c:v>1.1609080344562317E-2</c:v>
                </c:pt>
                <c:pt idx="316">
                  <c:v>1.1851895784858251E-2</c:v>
                </c:pt>
                <c:pt idx="317">
                  <c:v>1.2092243709396714E-2</c:v>
                </c:pt>
                <c:pt idx="318">
                  <c:v>1.2320922150778076E-2</c:v>
                </c:pt>
                <c:pt idx="319">
                  <c:v>1.2537897842884616E-2</c:v>
                </c:pt>
                <c:pt idx="320">
                  <c:v>1.2743137663523096E-2</c:v>
                </c:pt>
                <c:pt idx="321">
                  <c:v>1.2936608741474308E-2</c:v>
                </c:pt>
                <c:pt idx="322">
                  <c:v>1.3118278563601416E-2</c:v>
                </c:pt>
                <c:pt idx="323">
                  <c:v>1.328404482763262E-2</c:v>
                </c:pt>
                <c:pt idx="324">
                  <c:v>1.3437299556121225E-2</c:v>
                </c:pt>
                <c:pt idx="325">
                  <c:v>1.3578010872348285E-2</c:v>
                </c:pt>
                <c:pt idx="326">
                  <c:v>1.3706062500921398E-2</c:v>
                </c:pt>
                <c:pt idx="327">
                  <c:v>1.3821393601428023E-2</c:v>
                </c:pt>
                <c:pt idx="328">
                  <c:v>1.3924015429394291E-2</c:v>
                </c:pt>
                <c:pt idx="329">
                  <c:v>1.4013942135099886E-2</c:v>
                </c:pt>
                <c:pt idx="330">
                  <c:v>1.4091190505845277E-2</c:v>
                </c:pt>
                <c:pt idx="331">
                  <c:v>1.4153640369860181E-2</c:v>
                </c:pt>
                <c:pt idx="332">
                  <c:v>1.4209621380240329E-2</c:v>
                </c:pt>
                <c:pt idx="333">
                  <c:v>1.4259158299439193E-2</c:v>
                </c:pt>
                <c:pt idx="334">
                  <c:v>1.4302276939283896E-2</c:v>
                </c:pt>
                <c:pt idx="335">
                  <c:v>1.4339004031792054E-2</c:v>
                </c:pt>
                <c:pt idx="336">
                  <c:v>1.436936709980143E-2</c:v>
                </c:pt>
                <c:pt idx="337">
                  <c:v>1.4393420663926952E-2</c:v>
                </c:pt>
                <c:pt idx="338">
                  <c:v>1.4415271912822106E-2</c:v>
                </c:pt>
                <c:pt idx="339">
                  <c:v>1.4434950272950775E-2</c:v>
                </c:pt>
                <c:pt idx="340">
                  <c:v>1.4452485393088889E-2</c:v>
                </c:pt>
                <c:pt idx="341">
                  <c:v>1.4467907100428674E-2</c:v>
                </c:pt>
                <c:pt idx="342">
                  <c:v>1.4481245356671875E-2</c:v>
                </c:pt>
                <c:pt idx="343">
                  <c:v>1.4492530213948255E-2</c:v>
                </c:pt>
                <c:pt idx="344">
                  <c:v>1.4501791770961253E-2</c:v>
                </c:pt>
                <c:pt idx="345">
                  <c:v>1.4509060128980943E-2</c:v>
                </c:pt>
                <c:pt idx="346">
                  <c:v>1.4516053123369241E-2</c:v>
                </c:pt>
                <c:pt idx="347">
                  <c:v>1.4522801064988541E-2</c:v>
                </c:pt>
                <c:pt idx="348">
                  <c:v>1.452933428272541E-2</c:v>
                </c:pt>
                <c:pt idx="349">
                  <c:v>1.4535683114500051E-2</c:v>
                </c:pt>
                <c:pt idx="350">
                  <c:v>1.4541877898616043E-2</c:v>
                </c:pt>
                <c:pt idx="351">
                  <c:v>1.4547495751728732E-2</c:v>
                </c:pt>
                <c:pt idx="352">
                  <c:v>1.4552540407480753E-2</c:v>
                </c:pt>
                <c:pt idx="353">
                  <c:v>1.4557041851751369E-2</c:v>
                </c:pt>
                <c:pt idx="354">
                  <c:v>1.4561029954064766E-2</c:v>
                </c:pt>
                <c:pt idx="355">
                  <c:v>1.4564534448028956E-2</c:v>
                </c:pt>
                <c:pt idx="356">
                  <c:v>1.456759497955553E-2</c:v>
                </c:pt>
                <c:pt idx="357">
                  <c:v>1.4570208491688949E-2</c:v>
                </c:pt>
                <c:pt idx="358">
                  <c:v>1.4572336664466215E-2</c:v>
                </c:pt>
                <c:pt idx="359">
                  <c:v>1.4573941042543883E-2</c:v>
                </c:pt>
                <c:pt idx="360">
                  <c:v>1.4575009480429295E-2</c:v>
                </c:pt>
                <c:pt idx="361">
                  <c:v>1.4575957862063295E-2</c:v>
                </c:pt>
                <c:pt idx="362">
                  <c:v>1.4576748078413783E-2</c:v>
                </c:pt>
                <c:pt idx="363">
                  <c:v>1.4577342024722559E-2</c:v>
                </c:pt>
                <c:pt idx="364">
                  <c:v>1.4577701611701629E-2</c:v>
                </c:pt>
                <c:pt idx="365">
                  <c:v>1.4577788776549801E-2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1.8754085640803279E-2</c:v>
                </c:pt>
                <c:pt idx="1">
                  <c:v>1.8743444062860729E-2</c:v>
                </c:pt>
                <c:pt idx="2">
                  <c:v>1.8732012174823596E-2</c:v>
                </c:pt>
                <c:pt idx="3">
                  <c:v>1.8719740609282387E-2</c:v>
                </c:pt>
                <c:pt idx="4">
                  <c:v>1.8706580193032084E-2</c:v>
                </c:pt>
                <c:pt idx="5">
                  <c:v>1.8692481969591848E-2</c:v>
                </c:pt>
                <c:pt idx="6">
                  <c:v>1.8677397221963595E-2</c:v>
                </c:pt>
                <c:pt idx="7">
                  <c:v>1.8661277494969573E-2</c:v>
                </c:pt>
                <c:pt idx="8">
                  <c:v>1.8644074617851971E-2</c:v>
                </c:pt>
                <c:pt idx="9">
                  <c:v>1.8624623119333435E-2</c:v>
                </c:pt>
                <c:pt idx="10">
                  <c:v>1.8603562306804228E-2</c:v>
                </c:pt>
                <c:pt idx="11">
                  <c:v>1.8580844519664207E-2</c:v>
                </c:pt>
                <c:pt idx="12">
                  <c:v>1.8556422533530667E-2</c:v>
                </c:pt>
                <c:pt idx="13">
                  <c:v>1.8530249593756085E-2</c:v>
                </c:pt>
                <c:pt idx="14">
                  <c:v>1.8502279448628707E-2</c:v>
                </c:pt>
                <c:pt idx="15">
                  <c:v>1.846424273232115E-2</c:v>
                </c:pt>
                <c:pt idx="16">
                  <c:v>1.8416286921974404E-2</c:v>
                </c:pt>
                <c:pt idx="17">
                  <c:v>1.8358362010433098E-2</c:v>
                </c:pt>
                <c:pt idx="18">
                  <c:v>1.8290420377567021E-2</c:v>
                </c:pt>
                <c:pt idx="19">
                  <c:v>1.8212518614566634E-2</c:v>
                </c:pt>
                <c:pt idx="20">
                  <c:v>1.8124759881399919E-2</c:v>
                </c:pt>
                <c:pt idx="21">
                  <c:v>1.8027169096053355E-2</c:v>
                </c:pt>
                <c:pt idx="22">
                  <c:v>1.7919772086704477E-2</c:v>
                </c:pt>
                <c:pt idx="23">
                  <c:v>1.7795927379437096E-2</c:v>
                </c:pt>
                <c:pt idx="24">
                  <c:v>1.7656782677387607E-2</c:v>
                </c:pt>
                <c:pt idx="25">
                  <c:v>1.7502365290777838E-2</c:v>
                </c:pt>
                <c:pt idx="26">
                  <c:v>1.7332703552627473E-2</c:v>
                </c:pt>
                <c:pt idx="27">
                  <c:v>1.7147826632221308E-2</c:v>
                </c:pt>
                <c:pt idx="28">
                  <c:v>1.6947764348953467E-2</c:v>
                </c:pt>
                <c:pt idx="29">
                  <c:v>1.6737834945766566E-2</c:v>
                </c:pt>
                <c:pt idx="30">
                  <c:v>1.652630593094849E-2</c:v>
                </c:pt>
                <c:pt idx="31">
                  <c:v>1.6313206319824518E-2</c:v>
                </c:pt>
                <c:pt idx="32">
                  <c:v>1.6098564169610974E-2</c:v>
                </c:pt>
                <c:pt idx="33">
                  <c:v>1.5882406562114048E-2</c:v>
                </c:pt>
                <c:pt idx="34">
                  <c:v>1.5664759586502462E-2</c:v>
                </c:pt>
                <c:pt idx="35">
                  <c:v>1.5445648322064335E-2</c:v>
                </c:pt>
                <c:pt idx="36">
                  <c:v>1.5225096820930536E-2</c:v>
                </c:pt>
                <c:pt idx="37">
                  <c:v>1.501877355631618E-2</c:v>
                </c:pt>
                <c:pt idx="38">
                  <c:v>1.4833362142345853E-2</c:v>
                </c:pt>
                <c:pt idx="39">
                  <c:v>1.4668877436463687E-2</c:v>
                </c:pt>
                <c:pt idx="40">
                  <c:v>1.4525333150116651E-2</c:v>
                </c:pt>
                <c:pt idx="41">
                  <c:v>1.4402742110627155E-2</c:v>
                </c:pt>
                <c:pt idx="42">
                  <c:v>1.4301116522961827E-2</c:v>
                </c:pt>
                <c:pt idx="43">
                  <c:v>1.4245333420091259E-2</c:v>
                </c:pt>
                <c:pt idx="44">
                  <c:v>1.4230116199968643E-2</c:v>
                </c:pt>
                <c:pt idx="45">
                  <c:v>1.4255472745917581E-2</c:v>
                </c:pt>
                <c:pt idx="46">
                  <c:v>1.432141226022577E-2</c:v>
                </c:pt>
                <c:pt idx="47">
                  <c:v>1.4427945771078868E-2</c:v>
                </c:pt>
                <c:pt idx="48">
                  <c:v>1.457508663930809E-2</c:v>
                </c:pt>
                <c:pt idx="49">
                  <c:v>1.4762851065267174E-2</c:v>
                </c:pt>
                <c:pt idx="50">
                  <c:v>1.4991258595620897E-2</c:v>
                </c:pt>
                <c:pt idx="51">
                  <c:v>1.5277596744478967E-2</c:v>
                </c:pt>
                <c:pt idx="52">
                  <c:v>1.5606176767032326E-2</c:v>
                </c:pt>
                <c:pt idx="53">
                  <c:v>1.5976920925646284E-2</c:v>
                </c:pt>
                <c:pt idx="54">
                  <c:v>1.6389826086301688E-2</c:v>
                </c:pt>
                <c:pt idx="55">
                  <c:v>1.6844889260964783E-2</c:v>
                </c:pt>
                <c:pt idx="56">
                  <c:v>1.7342107451759702E-2</c:v>
                </c:pt>
                <c:pt idx="57">
                  <c:v>1.7852055824794672E-2</c:v>
                </c:pt>
                <c:pt idx="58">
                  <c:v>1.8349875955199029E-2</c:v>
                </c:pt>
                <c:pt idx="59">
                  <c:v>1.8835562760824709E-2</c:v>
                </c:pt>
                <c:pt idx="60">
                  <c:v>1.9309110357361235E-2</c:v>
                </c:pt>
                <c:pt idx="61">
                  <c:v>1.9770512103321411E-2</c:v>
                </c:pt>
                <c:pt idx="62">
                  <c:v>2.0219760644997736E-2</c:v>
                </c:pt>
                <c:pt idx="63">
                  <c:v>2.0656847961477685E-2</c:v>
                </c:pt>
                <c:pt idx="64">
                  <c:v>2.108176540957974E-2</c:v>
                </c:pt>
                <c:pt idx="65">
                  <c:v>2.1432372167444449E-2</c:v>
                </c:pt>
                <c:pt idx="66">
                  <c:v>2.1691393042754942E-2</c:v>
                </c:pt>
                <c:pt idx="67">
                  <c:v>2.1858817873940131E-2</c:v>
                </c:pt>
                <c:pt idx="68">
                  <c:v>2.1934637247995405E-2</c:v>
                </c:pt>
                <c:pt idx="69">
                  <c:v>2.19188428391138E-2</c:v>
                </c:pt>
                <c:pt idx="70">
                  <c:v>2.1811427747418247E-2</c:v>
                </c:pt>
                <c:pt idx="71">
                  <c:v>2.1583892002701031E-2</c:v>
                </c:pt>
                <c:pt idx="72">
                  <c:v>2.1265655990267102E-2</c:v>
                </c:pt>
                <c:pt idx="73">
                  <c:v>2.0856719424876064E-2</c:v>
                </c:pt>
                <c:pt idx="74">
                  <c:v>2.0357084818966826E-2</c:v>
                </c:pt>
                <c:pt idx="75">
                  <c:v>1.976675781795716E-2</c:v>
                </c:pt>
                <c:pt idx="76">
                  <c:v>1.9085747535478845E-2</c:v>
                </c:pt>
                <c:pt idx="77">
                  <c:v>1.8314066888678666E-2</c:v>
                </c:pt>
                <c:pt idx="78">
                  <c:v>1.7451733512869202E-2</c:v>
                </c:pt>
                <c:pt idx="79">
                  <c:v>1.6513303480639306E-2</c:v>
                </c:pt>
                <c:pt idx="80">
                  <c:v>1.5560943256457979E-2</c:v>
                </c:pt>
                <c:pt idx="81">
                  <c:v>1.4594650295814856E-2</c:v>
                </c:pt>
                <c:pt idx="82">
                  <c:v>1.3614423314069908E-2</c:v>
                </c:pt>
                <c:pt idx="83">
                  <c:v>1.262026233134598E-2</c:v>
                </c:pt>
                <c:pt idx="84">
                  <c:v>1.1612168717465173E-2</c:v>
                </c:pt>
                <c:pt idx="85">
                  <c:v>1.0624432769601006E-2</c:v>
                </c:pt>
                <c:pt idx="86">
                  <c:v>9.6855310590476529E-3</c:v>
                </c:pt>
                <c:pt idx="87">
                  <c:v>8.7954584266492653E-3</c:v>
                </c:pt>
                <c:pt idx="88">
                  <c:v>7.9542102127103959E-3</c:v>
                </c:pt>
                <c:pt idx="89">
                  <c:v>7.1617821007807546E-3</c:v>
                </c:pt>
                <c:pt idx="90">
                  <c:v>6.4181699614241847E-3</c:v>
                </c:pt>
                <c:pt idx="91">
                  <c:v>5.7233696960161395E-3</c:v>
                </c:pt>
                <c:pt idx="92">
                  <c:v>5.0773770805180342E-3</c:v>
                </c:pt>
                <c:pt idx="93">
                  <c:v>4.5074347677844058E-3</c:v>
                </c:pt>
                <c:pt idx="94">
                  <c:v>3.999074201681275E-3</c:v>
                </c:pt>
                <c:pt idx="95">
                  <c:v>3.552286135569582E-3</c:v>
                </c:pt>
                <c:pt idx="96">
                  <c:v>3.1670601397723133E-3</c:v>
                </c:pt>
                <c:pt idx="97">
                  <c:v>2.8433844043758722E-3</c:v>
                </c:pt>
                <c:pt idx="98">
                  <c:v>2.5812455419965958E-3</c:v>
                </c:pt>
                <c:pt idx="99">
                  <c:v>2.3931337080136212E-3</c:v>
                </c:pt>
                <c:pt idx="100">
                  <c:v>2.244780973433141E-3</c:v>
                </c:pt>
                <c:pt idx="101">
                  <c:v>2.1361757582060766E-3</c:v>
                </c:pt>
                <c:pt idx="102">
                  <c:v>2.0673050277434974E-3</c:v>
                </c:pt>
                <c:pt idx="103">
                  <c:v>2.0381541654277669E-3</c:v>
                </c:pt>
                <c:pt idx="104">
                  <c:v>2.0487068451727633E-3</c:v>
                </c:pt>
                <c:pt idx="105">
                  <c:v>2.0989449039386298E-3</c:v>
                </c:pt>
                <c:pt idx="106">
                  <c:v>2.1888482142720734E-3</c:v>
                </c:pt>
                <c:pt idx="107">
                  <c:v>2.3281940594158993E-3</c:v>
                </c:pt>
                <c:pt idx="108">
                  <c:v>2.4897567560814259E-3</c:v>
                </c:pt>
                <c:pt idx="109">
                  <c:v>2.6735190775947154E-3</c:v>
                </c:pt>
                <c:pt idx="110">
                  <c:v>2.8794705228292264E-3</c:v>
                </c:pt>
                <c:pt idx="111">
                  <c:v>3.1076018628066462E-3</c:v>
                </c:pt>
                <c:pt idx="112">
                  <c:v>3.3578961072131116E-3</c:v>
                </c:pt>
                <c:pt idx="113">
                  <c:v>3.6380779882486023E-3</c:v>
                </c:pt>
                <c:pt idx="114">
                  <c:v>3.9356500672306687E-3</c:v>
                </c:pt>
                <c:pt idx="115">
                  <c:v>4.2505957763115379E-3</c:v>
                </c:pt>
                <c:pt idx="116">
                  <c:v>4.5828977395866678E-3</c:v>
                </c:pt>
                <c:pt idx="117">
                  <c:v>4.932537734793848E-3</c:v>
                </c:pt>
                <c:pt idx="118">
                  <c:v>5.2994966549734703E-3</c:v>
                </c:pt>
                <c:pt idx="119">
                  <c:v>5.6837544701391785E-3</c:v>
                </c:pt>
                <c:pt idx="120">
                  <c:v>6.0852901889387424E-3</c:v>
                </c:pt>
                <c:pt idx="121">
                  <c:v>6.510574539760474E-3</c:v>
                </c:pt>
                <c:pt idx="122">
                  <c:v>6.9498122290268353E-3</c:v>
                </c:pt>
                <c:pt idx="123">
                  <c:v>7.4029816548555772E-3</c:v>
                </c:pt>
                <c:pt idx="124">
                  <c:v>7.8700602347529201E-3</c:v>
                </c:pt>
                <c:pt idx="125">
                  <c:v>8.3510243745211696E-3</c:v>
                </c:pt>
                <c:pt idx="126">
                  <c:v>8.8458494370662073E-3</c:v>
                </c:pt>
                <c:pt idx="127">
                  <c:v>9.3573617121400256E-3</c:v>
                </c:pt>
                <c:pt idx="128">
                  <c:v>9.8778189980244513E-3</c:v>
                </c:pt>
                <c:pt idx="129">
                  <c:v>1.040719786403691E-2</c:v>
                </c:pt>
                <c:pt idx="130">
                  <c:v>1.0945473955783352E-2</c:v>
                </c:pt>
                <c:pt idx="131">
                  <c:v>1.1492621974579393E-2</c:v>
                </c:pt>
                <c:pt idx="132">
                  <c:v>1.2048615656953593E-2</c:v>
                </c:pt>
                <c:pt idx="133">
                  <c:v>1.2613427754226561E-2</c:v>
                </c:pt>
                <c:pt idx="134">
                  <c:v>1.3187030012040066E-2</c:v>
                </c:pt>
                <c:pt idx="135">
                  <c:v>1.3743618911980662E-2</c:v>
                </c:pt>
                <c:pt idx="136">
                  <c:v>1.4276731552228965E-2</c:v>
                </c:pt>
                <c:pt idx="137">
                  <c:v>1.478637497914987E-2</c:v>
                </c:pt>
                <c:pt idx="138">
                  <c:v>1.5272557151007775E-2</c:v>
                </c:pt>
                <c:pt idx="139">
                  <c:v>1.5735286988783306E-2</c:v>
                </c:pt>
                <c:pt idx="140">
                  <c:v>1.6174574426146931E-2</c:v>
                </c:pt>
                <c:pt idx="141">
                  <c:v>1.653365385234239E-2</c:v>
                </c:pt>
                <c:pt idx="142">
                  <c:v>1.6809684299288759E-2</c:v>
                </c:pt>
                <c:pt idx="143">
                  <c:v>1.7002683158902996E-2</c:v>
                </c:pt>
                <c:pt idx="144">
                  <c:v>1.7112777063250609E-2</c:v>
                </c:pt>
                <c:pt idx="145">
                  <c:v>1.7140103385968119E-2</c:v>
                </c:pt>
                <c:pt idx="146">
                  <c:v>1.7084809134055825E-2</c:v>
                </c:pt>
                <c:pt idx="147">
                  <c:v>1.6947049840249331E-2</c:v>
                </c:pt>
                <c:pt idx="148">
                  <c:v>1.6726988454979632E-2</c:v>
                </c:pt>
                <c:pt idx="149">
                  <c:v>1.641047395123392E-2</c:v>
                </c:pt>
                <c:pt idx="150">
                  <c:v>1.6023296676770618E-2</c:v>
                </c:pt>
                <c:pt idx="151">
                  <c:v>1.5565615490516922E-2</c:v>
                </c:pt>
                <c:pt idx="152">
                  <c:v>1.5037591533119038E-2</c:v>
                </c:pt>
                <c:pt idx="153">
                  <c:v>1.4439387271163943E-2</c:v>
                </c:pt>
                <c:pt idx="154">
                  <c:v>1.3771165541491284E-2</c:v>
                </c:pt>
                <c:pt idx="155">
                  <c:v>1.3067847463606294E-2</c:v>
                </c:pt>
                <c:pt idx="156">
                  <c:v>1.2385829587145762E-2</c:v>
                </c:pt>
                <c:pt idx="157">
                  <c:v>1.172509690226874E-2</c:v>
                </c:pt>
                <c:pt idx="158">
                  <c:v>1.1085630493559812E-2</c:v>
                </c:pt>
                <c:pt idx="159">
                  <c:v>1.0467407817328422E-2</c:v>
                </c:pt>
                <c:pt idx="160">
                  <c:v>9.8704029790501035E-3</c:v>
                </c:pt>
                <c:pt idx="161">
                  <c:v>9.2945870106775699E-3</c:v>
                </c:pt>
                <c:pt idx="162">
                  <c:v>8.7399281480147403E-3</c:v>
                </c:pt>
                <c:pt idx="163">
                  <c:v>8.2277650428531982E-3</c:v>
                </c:pt>
                <c:pt idx="164">
                  <c:v>7.7722092276912525E-3</c:v>
                </c:pt>
                <c:pt idx="165">
                  <c:v>7.3731579317532813E-3</c:v>
                </c:pt>
                <c:pt idx="166">
                  <c:v>7.030508885031571E-3</c:v>
                </c:pt>
                <c:pt idx="167">
                  <c:v>6.7441610794351618E-3</c:v>
                </c:pt>
                <c:pt idx="168">
                  <c:v>6.5140155301742358E-3</c:v>
                </c:pt>
                <c:pt idx="169">
                  <c:v>6.3612732630885342E-3</c:v>
                </c:pt>
                <c:pt idx="170">
                  <c:v>6.2513642636277287E-3</c:v>
                </c:pt>
                <c:pt idx="171">
                  <c:v>6.1842222001734009E-3</c:v>
                </c:pt>
                <c:pt idx="172">
                  <c:v>6.1597845094948523E-3</c:v>
                </c:pt>
                <c:pt idx="173">
                  <c:v>6.1779298020036028E-3</c:v>
                </c:pt>
                <c:pt idx="174">
                  <c:v>6.2385357563512385E-3</c:v>
                </c:pt>
                <c:pt idx="175">
                  <c:v>6.341541647390812E-3</c:v>
                </c:pt>
                <c:pt idx="176">
                  <c:v>6.4868870300603641E-3</c:v>
                </c:pt>
                <c:pt idx="177">
                  <c:v>6.7088317533736969E-3</c:v>
                </c:pt>
                <c:pt idx="178">
                  <c:v>6.9860659211358478E-3</c:v>
                </c:pt>
                <c:pt idx="179">
                  <c:v>7.3185120893582822E-3</c:v>
                </c:pt>
                <c:pt idx="180">
                  <c:v>7.7060944266259717E-3</c:v>
                </c:pt>
                <c:pt idx="181">
                  <c:v>8.1487390400380218E-3</c:v>
                </c:pt>
                <c:pt idx="182">
                  <c:v>8.6463743012098315E-3</c:v>
                </c:pt>
                <c:pt idx="183">
                  <c:v>9.1848848949887662E-3</c:v>
                </c:pt>
                <c:pt idx="184">
                  <c:v>9.7430878398722682E-3</c:v>
                </c:pt>
                <c:pt idx="185">
                  <c:v>1.0320969788257398E-2</c:v>
                </c:pt>
                <c:pt idx="186">
                  <c:v>1.0918519492999441E-2</c:v>
                </c:pt>
                <c:pt idx="187">
                  <c:v>1.1535727926214311E-2</c:v>
                </c:pt>
                <c:pt idx="188">
                  <c:v>1.2172588398166215E-2</c:v>
                </c:pt>
                <c:pt idx="189">
                  <c:v>1.282909667580316E-2</c:v>
                </c:pt>
                <c:pt idx="190">
                  <c:v>1.3505251101788443E-2</c:v>
                </c:pt>
                <c:pt idx="191">
                  <c:v>1.4145792263634015E-2</c:v>
                </c:pt>
                <c:pt idx="192">
                  <c:v>1.471671198931331E-2</c:v>
                </c:pt>
                <c:pt idx="193">
                  <c:v>1.5218123065850147E-2</c:v>
                </c:pt>
                <c:pt idx="194">
                  <c:v>1.5650135009441197E-2</c:v>
                </c:pt>
                <c:pt idx="195">
                  <c:v>1.6012853656545964E-2</c:v>
                </c:pt>
                <c:pt idx="196">
                  <c:v>1.6306380754399958E-2</c:v>
                </c:pt>
                <c:pt idx="197">
                  <c:v>1.6505846206252971E-2</c:v>
                </c:pt>
                <c:pt idx="198">
                  <c:v>1.6625326292038407E-2</c:v>
                </c:pt>
                <c:pt idx="199">
                  <c:v>1.6664917670460581E-2</c:v>
                </c:pt>
                <c:pt idx="200">
                  <c:v>1.6624710216299965E-2</c:v>
                </c:pt>
                <c:pt idx="201">
                  <c:v>1.6504786545838077E-2</c:v>
                </c:pt>
                <c:pt idx="202">
                  <c:v>1.6305221542378987E-2</c:v>
                </c:pt>
                <c:pt idx="203">
                  <c:v>1.6026081882136466E-2</c:v>
                </c:pt>
                <c:pt idx="204">
                  <c:v>1.5667400259302241E-2</c:v>
                </c:pt>
                <c:pt idx="205">
                  <c:v>1.5231942827595744E-2</c:v>
                </c:pt>
                <c:pt idx="206">
                  <c:v>1.4774735452603212E-2</c:v>
                </c:pt>
                <c:pt idx="207">
                  <c:v>1.4295769085171982E-2</c:v>
                </c:pt>
                <c:pt idx="208">
                  <c:v>1.379503343464927E-2</c:v>
                </c:pt>
                <c:pt idx="209">
                  <c:v>1.3272517037439684E-2</c:v>
                </c:pt>
                <c:pt idx="210">
                  <c:v>1.2728207326029256E-2</c:v>
                </c:pt>
                <c:pt idx="211">
                  <c:v>1.2168331506092157E-2</c:v>
                </c:pt>
                <c:pt idx="212">
                  <c:v>1.1617751783864757E-2</c:v>
                </c:pt>
                <c:pt idx="213">
                  <c:v>1.1076440955547011E-2</c:v>
                </c:pt>
                <c:pt idx="214">
                  <c:v>1.0544373131360713E-2</c:v>
                </c:pt>
                <c:pt idx="215">
                  <c:v>1.0021523707687267E-2</c:v>
                </c:pt>
                <c:pt idx="216">
                  <c:v>9.5078693391602957E-3</c:v>
                </c:pt>
                <c:pt idx="217">
                  <c:v>9.0033879107936504E-3</c:v>
                </c:pt>
                <c:pt idx="218">
                  <c:v>8.5080585100512536E-3</c:v>
                </c:pt>
                <c:pt idx="219">
                  <c:v>8.0292836566917582E-3</c:v>
                </c:pt>
                <c:pt idx="220">
                  <c:v>7.5642999674199385E-3</c:v>
                </c:pt>
                <c:pt idx="221">
                  <c:v>7.1130895511877018E-3</c:v>
                </c:pt>
                <c:pt idx="222">
                  <c:v>6.6756358522644266E-3</c:v>
                </c:pt>
                <c:pt idx="223">
                  <c:v>6.2519236079290851E-3</c:v>
                </c:pt>
                <c:pt idx="224">
                  <c:v>5.8419388059738767E-3</c:v>
                </c:pt>
                <c:pt idx="225">
                  <c:v>5.4550499686196177E-3</c:v>
                </c:pt>
                <c:pt idx="226">
                  <c:v>5.0850108032669903E-3</c:v>
                </c:pt>
                <c:pt idx="227">
                  <c:v>4.7318110519687494E-3</c:v>
                </c:pt>
                <c:pt idx="228">
                  <c:v>4.3954416614119035E-3</c:v>
                </c:pt>
                <c:pt idx="229">
                  <c:v>4.0758947306366511E-3</c:v>
                </c:pt>
                <c:pt idx="230">
                  <c:v>3.7731634588376939E-3</c:v>
                </c:pt>
                <c:pt idx="231">
                  <c:v>3.4872420931682732E-3</c:v>
                </c:pt>
                <c:pt idx="232">
                  <c:v>3.2181258764621998E-3</c:v>
                </c:pt>
                <c:pt idx="233">
                  <c:v>2.9777711723874187E-3</c:v>
                </c:pt>
                <c:pt idx="234">
                  <c:v>2.7587543196392109E-3</c:v>
                </c:pt>
                <c:pt idx="235">
                  <c:v>2.5610762114801938E-3</c:v>
                </c:pt>
                <c:pt idx="236">
                  <c:v>2.384738845760211E-3</c:v>
                </c:pt>
                <c:pt idx="237">
                  <c:v>2.2297430176674063E-3</c:v>
                </c:pt>
                <c:pt idx="238">
                  <c:v>2.0960902769126973E-3</c:v>
                </c:pt>
                <c:pt idx="239">
                  <c:v>2.0098376762477861E-3</c:v>
                </c:pt>
                <c:pt idx="240">
                  <c:v>1.9616079432231179E-3</c:v>
                </c:pt>
                <c:pt idx="241">
                  <c:v>1.9514105471552805E-3</c:v>
                </c:pt>
                <c:pt idx="242">
                  <c:v>1.9792566496990701E-3</c:v>
                </c:pt>
                <c:pt idx="243">
                  <c:v>2.0451591719621732E-3</c:v>
                </c:pt>
                <c:pt idx="244">
                  <c:v>2.1491328616087177E-3</c:v>
                </c:pt>
                <c:pt idx="245">
                  <c:v>2.2911943599427183E-3</c:v>
                </c:pt>
                <c:pt idx="246">
                  <c:v>2.4713622689833186E-3</c:v>
                </c:pt>
                <c:pt idx="247">
                  <c:v>2.7224579480015325E-3</c:v>
                </c:pt>
                <c:pt idx="248">
                  <c:v>3.0325414344779351E-3</c:v>
                </c:pt>
                <c:pt idx="249">
                  <c:v>3.4016486835947296E-3</c:v>
                </c:pt>
                <c:pt idx="250">
                  <c:v>3.8298190384709252E-3</c:v>
                </c:pt>
                <c:pt idx="251">
                  <c:v>4.317095334060223E-3</c:v>
                </c:pt>
                <c:pt idx="252">
                  <c:v>4.8635240009163357E-3</c:v>
                </c:pt>
                <c:pt idx="253">
                  <c:v>5.4830081824405567E-3</c:v>
                </c:pt>
                <c:pt idx="254">
                  <c:v>6.1494982807745891E-3</c:v>
                </c:pt>
                <c:pt idx="255">
                  <c:v>6.863044459844452E-3</c:v>
                </c:pt>
                <c:pt idx="256">
                  <c:v>7.6237001589479726E-3</c:v>
                </c:pt>
                <c:pt idx="257">
                  <c:v>8.4315221749287506E-3</c:v>
                </c:pt>
                <c:pt idx="258">
                  <c:v>9.286570744398627E-3</c:v>
                </c:pt>
                <c:pt idx="259">
                  <c:v>1.0188909626103367E-2</c:v>
                </c:pt>
                <c:pt idx="260">
                  <c:v>1.1138606183030518E-2</c:v>
                </c:pt>
                <c:pt idx="261">
                  <c:v>1.21084042793465E-2</c:v>
                </c:pt>
                <c:pt idx="262">
                  <c:v>1.3065444684447433E-2</c:v>
                </c:pt>
                <c:pt idx="263">
                  <c:v>1.4009749939059537E-2</c:v>
                </c:pt>
                <c:pt idx="264">
                  <c:v>1.494134305125251E-2</c:v>
                </c:pt>
                <c:pt idx="265">
                  <c:v>1.586033191947344E-2</c:v>
                </c:pt>
                <c:pt idx="266">
                  <c:v>1.67667996375266E-2</c:v>
                </c:pt>
                <c:pt idx="267">
                  <c:v>1.760106430618516E-2</c:v>
                </c:pt>
                <c:pt idx="268">
                  <c:v>1.8349157852353574E-2</c:v>
                </c:pt>
                <c:pt idx="269">
                  <c:v>1.9010997066757844E-2</c:v>
                </c:pt>
                <c:pt idx="270">
                  <c:v>1.9586486900952611E-2</c:v>
                </c:pt>
                <c:pt idx="271">
                  <c:v>2.0075521426383938E-2</c:v>
                </c:pt>
                <c:pt idx="272">
                  <c:v>2.0477984793947697E-2</c:v>
                </c:pt>
                <c:pt idx="273">
                  <c:v>2.0793752193305013E-2</c:v>
                </c:pt>
                <c:pt idx="274">
                  <c:v>2.1022690812463083E-2</c:v>
                </c:pt>
                <c:pt idx="275">
                  <c:v>2.1136288139888017E-2</c:v>
                </c:pt>
                <c:pt idx="276">
                  <c:v>2.1161847843093884E-2</c:v>
                </c:pt>
                <c:pt idx="277">
                  <c:v>2.1099216843867674E-2</c:v>
                </c:pt>
                <c:pt idx="278">
                  <c:v>2.0948237987952308E-2</c:v>
                </c:pt>
                <c:pt idx="279">
                  <c:v>2.0708751014229802E-2</c:v>
                </c:pt>
                <c:pt idx="280">
                  <c:v>2.0380593524100668E-2</c:v>
                </c:pt>
                <c:pt idx="281">
                  <c:v>1.9980301125776086E-2</c:v>
                </c:pt>
                <c:pt idx="282">
                  <c:v>1.9567863590992236E-2</c:v>
                </c:pt>
                <c:pt idx="283">
                  <c:v>1.9143238491746487E-2</c:v>
                </c:pt>
                <c:pt idx="284">
                  <c:v>1.8706385181311111E-2</c:v>
                </c:pt>
                <c:pt idx="285">
                  <c:v>1.8257264922890027E-2</c:v>
                </c:pt>
                <c:pt idx="286">
                  <c:v>1.7795841018454467E-2</c:v>
                </c:pt>
                <c:pt idx="287">
                  <c:v>1.7322078937389476E-2</c:v>
                </c:pt>
                <c:pt idx="288">
                  <c:v>1.6835946445214391E-2</c:v>
                </c:pt>
                <c:pt idx="289">
                  <c:v>1.6361554774836445E-2</c:v>
                </c:pt>
                <c:pt idx="290">
                  <c:v>1.5927504436957958E-2</c:v>
                </c:pt>
                <c:pt idx="291">
                  <c:v>1.5533848189850387E-2</c:v>
                </c:pt>
                <c:pt idx="292">
                  <c:v>1.5180638817840129E-2</c:v>
                </c:pt>
                <c:pt idx="293">
                  <c:v>1.4867928685453592E-2</c:v>
                </c:pt>
                <c:pt idx="294">
                  <c:v>1.4595769291498232E-2</c:v>
                </c:pt>
                <c:pt idx="295">
                  <c:v>1.4379437665345742E-2</c:v>
                </c:pt>
                <c:pt idx="296">
                  <c:v>1.4202350266241745E-2</c:v>
                </c:pt>
                <c:pt idx="297">
                  <c:v>1.4064663913800382E-2</c:v>
                </c:pt>
                <c:pt idx="298">
                  <c:v>1.3966416850234495E-2</c:v>
                </c:pt>
                <c:pt idx="299">
                  <c:v>1.3907649160454845E-2</c:v>
                </c:pt>
                <c:pt idx="300">
                  <c:v>1.3888402407656771E-2</c:v>
                </c:pt>
                <c:pt idx="301">
                  <c:v>1.3908719268864235E-2</c:v>
                </c:pt>
                <c:pt idx="302">
                  <c:v>1.3968643170505208E-2</c:v>
                </c:pt>
                <c:pt idx="303">
                  <c:v>1.4073380770285193E-2</c:v>
                </c:pt>
                <c:pt idx="304">
                  <c:v>1.4198670948466672E-2</c:v>
                </c:pt>
                <c:pt idx="305">
                  <c:v>1.4344529852794555E-2</c:v>
                </c:pt>
                <c:pt idx="306">
                  <c:v>1.4510973080683378E-2</c:v>
                </c:pt>
                <c:pt idx="307">
                  <c:v>1.4698015491008567E-2</c:v>
                </c:pt>
                <c:pt idx="308">
                  <c:v>1.4905671015774899E-2</c:v>
                </c:pt>
                <c:pt idx="309">
                  <c:v>1.5127422490084065E-2</c:v>
                </c:pt>
                <c:pt idx="310">
                  <c:v>1.5347939861385813E-2</c:v>
                </c:pt>
                <c:pt idx="311">
                  <c:v>1.5567203656178022E-2</c:v>
                </c:pt>
                <c:pt idx="312">
                  <c:v>1.5785193669104719E-2</c:v>
                </c:pt>
                <c:pt idx="313">
                  <c:v>1.6001888975437625E-2</c:v>
                </c:pt>
                <c:pt idx="314">
                  <c:v>1.6217267943414944E-2</c:v>
                </c:pt>
                <c:pt idx="315">
                  <c:v>1.6431308246780244E-2</c:v>
                </c:pt>
                <c:pt idx="316">
                  <c:v>1.6643986877073684E-2</c:v>
                </c:pt>
                <c:pt idx="317">
                  <c:v>1.6847187026594171E-2</c:v>
                </c:pt>
                <c:pt idx="318">
                  <c:v>1.7035677830662968E-2</c:v>
                </c:pt>
                <c:pt idx="319">
                  <c:v>1.7209419950639418E-2</c:v>
                </c:pt>
                <c:pt idx="320">
                  <c:v>1.7368374588415631E-2</c:v>
                </c:pt>
                <c:pt idx="321">
                  <c:v>1.751250362046038E-2</c:v>
                </c:pt>
                <c:pt idx="322">
                  <c:v>1.7641769731940114E-2</c:v>
                </c:pt>
                <c:pt idx="323">
                  <c:v>1.7755031880080343E-2</c:v>
                </c:pt>
                <c:pt idx="324">
                  <c:v>1.7858821714015791E-2</c:v>
                </c:pt>
                <c:pt idx="325">
                  <c:v>1.7953108555029792E-2</c:v>
                </c:pt>
                <c:pt idx="326">
                  <c:v>1.8037750217199239E-2</c:v>
                </c:pt>
                <c:pt idx="327">
                  <c:v>1.8112678558918714E-2</c:v>
                </c:pt>
                <c:pt idx="328">
                  <c:v>1.8177919311549155E-2</c:v>
                </c:pt>
                <c:pt idx="329">
                  <c:v>1.823350025809934E-2</c:v>
                </c:pt>
                <c:pt idx="330">
                  <c:v>1.8279451041097464E-2</c:v>
                </c:pt>
                <c:pt idx="331">
                  <c:v>1.8315605648607521E-2</c:v>
                </c:pt>
                <c:pt idx="332">
                  <c:v>1.8350120548664382E-2</c:v>
                </c:pt>
                <c:pt idx="333">
                  <c:v>1.8383031751272032E-2</c:v>
                </c:pt>
                <c:pt idx="334">
                  <c:v>1.8414375663417026E-2</c:v>
                </c:pt>
                <c:pt idx="335">
                  <c:v>1.8444189062101393E-2</c:v>
                </c:pt>
                <c:pt idx="336">
                  <c:v>1.847250906713389E-2</c:v>
                </c:pt>
                <c:pt idx="337">
                  <c:v>1.8498691731988277E-2</c:v>
                </c:pt>
                <c:pt idx="338">
                  <c:v>1.8523881621420317E-2</c:v>
                </c:pt>
                <c:pt idx="339">
                  <c:v>1.8548116761456675E-2</c:v>
                </c:pt>
                <c:pt idx="340">
                  <c:v>1.8571435401426792E-2</c:v>
                </c:pt>
                <c:pt idx="341">
                  <c:v>1.8593875995763336E-2</c:v>
                </c:pt>
                <c:pt idx="342">
                  <c:v>1.8615477185788473E-2</c:v>
                </c:pt>
                <c:pt idx="343">
                  <c:v>1.863627778127561E-2</c:v>
                </c:pt>
                <c:pt idx="344">
                  <c:v>1.8656316742303045E-2</c:v>
                </c:pt>
                <c:pt idx="345">
                  <c:v>1.867563316091133E-2</c:v>
                </c:pt>
                <c:pt idx="346">
                  <c:v>1.8693502701111638E-2</c:v>
                </c:pt>
                <c:pt idx="347">
                  <c:v>1.870996451195623E-2</c:v>
                </c:pt>
                <c:pt idx="348">
                  <c:v>1.872505775314651E-2</c:v>
                </c:pt>
                <c:pt idx="349">
                  <c:v>1.8738821560731918E-2</c:v>
                </c:pt>
                <c:pt idx="350">
                  <c:v>1.8751295013247175E-2</c:v>
                </c:pt>
                <c:pt idx="351">
                  <c:v>1.8761555622872256E-2</c:v>
                </c:pt>
                <c:pt idx="352">
                  <c:v>1.8770323815068813E-2</c:v>
                </c:pt>
                <c:pt idx="353">
                  <c:v>1.8777638063249995E-2</c:v>
                </c:pt>
                <c:pt idx="354">
                  <c:v>1.8783536593702702E-2</c:v>
                </c:pt>
                <c:pt idx="355">
                  <c:v>1.8788057344695346E-2</c:v>
                </c:pt>
                <c:pt idx="356">
                  <c:v>1.8791250912368645E-2</c:v>
                </c:pt>
                <c:pt idx="357">
                  <c:v>1.8793112665159161E-2</c:v>
                </c:pt>
                <c:pt idx="358">
                  <c:v>1.8793592350980035E-2</c:v>
                </c:pt>
                <c:pt idx="359">
                  <c:v>1.879263943073127E-2</c:v>
                </c:pt>
                <c:pt idx="360">
                  <c:v>1.8789519539490485E-2</c:v>
                </c:pt>
                <c:pt idx="361">
                  <c:v>1.8785145104622644E-2</c:v>
                </c:pt>
                <c:pt idx="362">
                  <c:v>1.877946534049443E-2</c:v>
                </c:pt>
                <c:pt idx="363">
                  <c:v>1.8772429406136711E-2</c:v>
                </c:pt>
                <c:pt idx="364">
                  <c:v>1.8763986447720857E-2</c:v>
                </c:pt>
                <c:pt idx="365">
                  <c:v>1.8754085640803279E-2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2.3651718495327767E-2</c:v>
                </c:pt>
                <c:pt idx="1">
                  <c:v>2.3636132301146084E-2</c:v>
                </c:pt>
                <c:pt idx="2">
                  <c:v>2.3619045311040376E-2</c:v>
                </c:pt>
                <c:pt idx="3">
                  <c:v>2.3600394518509371E-2</c:v>
                </c:pt>
                <c:pt idx="4">
                  <c:v>2.3580117181366031E-2</c:v>
                </c:pt>
                <c:pt idx="5">
                  <c:v>2.3558150862945534E-2</c:v>
                </c:pt>
                <c:pt idx="6">
                  <c:v>2.3534433473614547E-2</c:v>
                </c:pt>
                <c:pt idx="7">
                  <c:v>2.3508903311749634E-2</c:v>
                </c:pt>
                <c:pt idx="8">
                  <c:v>2.3481499105046131E-2</c:v>
                </c:pt>
                <c:pt idx="9">
                  <c:v>2.3451794800076826E-2</c:v>
                </c:pt>
                <c:pt idx="10">
                  <c:v>2.3420644255595102E-2</c:v>
                </c:pt>
                <c:pt idx="11">
                  <c:v>2.3387988437643004E-2</c:v>
                </c:pt>
                <c:pt idx="12">
                  <c:v>2.3353768846379134E-2</c:v>
                </c:pt>
                <c:pt idx="13">
                  <c:v>2.3317927543420904E-2</c:v>
                </c:pt>
                <c:pt idx="14">
                  <c:v>2.3280407178787918E-2</c:v>
                </c:pt>
                <c:pt idx="15">
                  <c:v>2.3237641698820154E-2</c:v>
                </c:pt>
                <c:pt idx="16">
                  <c:v>2.3190282248382044E-2</c:v>
                </c:pt>
                <c:pt idx="17">
                  <c:v>2.3138271562484197E-2</c:v>
                </c:pt>
                <c:pt idx="18">
                  <c:v>2.3081553690761262E-2</c:v>
                </c:pt>
                <c:pt idx="19">
                  <c:v>2.3020202499720713E-2</c:v>
                </c:pt>
                <c:pt idx="20">
                  <c:v>2.2954349731782672E-2</c:v>
                </c:pt>
                <c:pt idx="21">
                  <c:v>2.2884027487171263E-2</c:v>
                </c:pt>
                <c:pt idx="22">
                  <c:v>2.2809268083637563E-2</c:v>
                </c:pt>
                <c:pt idx="23">
                  <c:v>2.272650885633452E-2</c:v>
                </c:pt>
                <c:pt idx="24">
                  <c:v>2.263614825428277E-2</c:v>
                </c:pt>
                <c:pt idx="25">
                  <c:v>2.2538218620604011E-2</c:v>
                </c:pt>
                <c:pt idx="26">
                  <c:v>2.2432752661021974E-2</c:v>
                </c:pt>
                <c:pt idx="27">
                  <c:v>2.2319783354735698E-2</c:v>
                </c:pt>
                <c:pt idx="28">
                  <c:v>2.2199343865778518E-2</c:v>
                </c:pt>
                <c:pt idx="29">
                  <c:v>2.2069161698513393E-2</c:v>
                </c:pt>
                <c:pt idx="30">
                  <c:v>2.1932785433387433E-2</c:v>
                </c:pt>
                <c:pt idx="31">
                  <c:v>2.1790248210605465E-2</c:v>
                </c:pt>
                <c:pt idx="32">
                  <c:v>2.1641582908448604E-2</c:v>
                </c:pt>
                <c:pt idx="33">
                  <c:v>2.1486822069453435E-2</c:v>
                </c:pt>
                <c:pt idx="34">
                  <c:v>2.1325997826690007E-2</c:v>
                </c:pt>
                <c:pt idx="35">
                  <c:v>2.115914183002035E-2</c:v>
                </c:pt>
                <c:pt idx="36">
                  <c:v>2.0986285172312085E-2</c:v>
                </c:pt>
                <c:pt idx="37">
                  <c:v>2.0816809090191127E-2</c:v>
                </c:pt>
                <c:pt idx="38">
                  <c:v>2.065433479083954E-2</c:v>
                </c:pt>
                <c:pt idx="39">
                  <c:v>2.0498887764914771E-2</c:v>
                </c:pt>
                <c:pt idx="40">
                  <c:v>2.0350492623405117E-2</c:v>
                </c:pt>
                <c:pt idx="41">
                  <c:v>2.0209173185878903E-2</c:v>
                </c:pt>
                <c:pt idx="42">
                  <c:v>2.0074952568589377E-2</c:v>
                </c:pt>
                <c:pt idx="43">
                  <c:v>1.9979259995137531E-2</c:v>
                </c:pt>
                <c:pt idx="44">
                  <c:v>1.9924413154620704E-2</c:v>
                </c:pt>
                <c:pt idx="45">
                  <c:v>1.9910426471559169E-2</c:v>
                </c:pt>
                <c:pt idx="46">
                  <c:v>1.9937315501930699E-2</c:v>
                </c:pt>
                <c:pt idx="47">
                  <c:v>2.0005097443276377E-2</c:v>
                </c:pt>
                <c:pt idx="48">
                  <c:v>2.0113791644546051E-2</c:v>
                </c:pt>
                <c:pt idx="49">
                  <c:v>2.026342011612418E-2</c:v>
                </c:pt>
                <c:pt idx="50">
                  <c:v>2.0454008039733091E-2</c:v>
                </c:pt>
                <c:pt idx="51">
                  <c:v>2.0708174852902574E-2</c:v>
                </c:pt>
                <c:pt idx="52">
                  <c:v>2.1016496006584159E-2</c:v>
                </c:pt>
                <c:pt idx="53">
                  <c:v>2.1378864164012509E-2</c:v>
                </c:pt>
                <c:pt idx="54">
                  <c:v>2.1795273919261209E-2</c:v>
                </c:pt>
                <c:pt idx="55">
                  <c:v>2.2265720220460417E-2</c:v>
                </c:pt>
                <c:pt idx="56">
                  <c:v>2.2790198170071052E-2</c:v>
                </c:pt>
                <c:pt idx="57">
                  <c:v>2.3352296305104488E-2</c:v>
                </c:pt>
                <c:pt idx="58">
                  <c:v>2.3920615989977075E-2</c:v>
                </c:pt>
                <c:pt idx="59">
                  <c:v>2.4495150634809421E-2</c:v>
                </c:pt>
                <c:pt idx="60">
                  <c:v>2.5075892842254425E-2</c:v>
                </c:pt>
                <c:pt idx="61">
                  <c:v>2.5662834384628335E-2</c:v>
                </c:pt>
                <c:pt idx="62">
                  <c:v>2.6255966181003679E-2</c:v>
                </c:pt>
                <c:pt idx="63">
                  <c:v>2.6855278274378641E-2</c:v>
                </c:pt>
                <c:pt idx="64">
                  <c:v>2.7460759808743591E-2</c:v>
                </c:pt>
                <c:pt idx="65">
                  <c:v>2.8021983499392264E-2</c:v>
                </c:pt>
                <c:pt idx="66">
                  <c:v>2.8516344604427941E-2</c:v>
                </c:pt>
                <c:pt idx="67">
                  <c:v>2.8943829466770696E-2</c:v>
                </c:pt>
                <c:pt idx="68">
                  <c:v>2.9304424523989497E-2</c:v>
                </c:pt>
                <c:pt idx="69">
                  <c:v>2.9598116555417692E-2</c:v>
                </c:pt>
                <c:pt idx="70">
                  <c:v>2.9824892929401329E-2</c:v>
                </c:pt>
                <c:pt idx="71">
                  <c:v>2.9917374943486522E-2</c:v>
                </c:pt>
                <c:pt idx="72">
                  <c:v>2.9891961549226732E-2</c:v>
                </c:pt>
                <c:pt idx="73">
                  <c:v>2.9748646988321487E-2</c:v>
                </c:pt>
                <c:pt idx="74">
                  <c:v>2.948742856400224E-2</c:v>
                </c:pt>
                <c:pt idx="75">
                  <c:v>2.9108307076809392E-2</c:v>
                </c:pt>
                <c:pt idx="76">
                  <c:v>2.8611287260277132E-2</c:v>
                </c:pt>
                <c:pt idx="77">
                  <c:v>2.7996378216713812E-2</c:v>
                </c:pt>
                <c:pt idx="78">
                  <c:v>2.7263594758064839E-2</c:v>
                </c:pt>
                <c:pt idx="79">
                  <c:v>2.6387538700014684E-2</c:v>
                </c:pt>
                <c:pt idx="80">
                  <c:v>2.5418696359691961E-2</c:v>
                </c:pt>
                <c:pt idx="81">
                  <c:v>2.4357073182458177E-2</c:v>
                </c:pt>
                <c:pt idx="82">
                  <c:v>2.3202676121875664E-2</c:v>
                </c:pt>
                <c:pt idx="83">
                  <c:v>2.1955513937188378E-2</c:v>
                </c:pt>
                <c:pt idx="84">
                  <c:v>2.0615597490878036E-2</c:v>
                </c:pt>
                <c:pt idx="85">
                  <c:v>1.9234681531476439E-2</c:v>
                </c:pt>
                <c:pt idx="86">
                  <c:v>1.7880100564771073E-2</c:v>
                </c:pt>
                <c:pt idx="87">
                  <c:v>1.6551853061424131E-2</c:v>
                </c:pt>
                <c:pt idx="88">
                  <c:v>1.5249938848705255E-2</c:v>
                </c:pt>
                <c:pt idx="89">
                  <c:v>1.3974359026457739E-2</c:v>
                </c:pt>
                <c:pt idx="90">
                  <c:v>1.2725115883034335E-2</c:v>
                </c:pt>
                <c:pt idx="91">
                  <c:v>1.1502212811288522E-2</c:v>
                </c:pt>
                <c:pt idx="92">
                  <c:v>1.030565422452181E-2</c:v>
                </c:pt>
                <c:pt idx="93">
                  <c:v>9.1886034005128122E-3</c:v>
                </c:pt>
                <c:pt idx="94">
                  <c:v>8.1765518372754302E-3</c:v>
                </c:pt>
                <c:pt idx="95">
                  <c:v>7.2694853624011421E-3</c:v>
                </c:pt>
                <c:pt idx="96">
                  <c:v>6.4673879729924373E-3</c:v>
                </c:pt>
                <c:pt idx="97">
                  <c:v>5.7702414994908651E-3</c:v>
                </c:pt>
                <c:pt idx="98">
                  <c:v>5.178025269433853E-3</c:v>
                </c:pt>
                <c:pt idx="99">
                  <c:v>4.7107295136195231E-3</c:v>
                </c:pt>
                <c:pt idx="100">
                  <c:v>4.3166411028406904E-3</c:v>
                </c:pt>
                <c:pt idx="101">
                  <c:v>3.995741050607785E-3</c:v>
                </c:pt>
                <c:pt idx="102">
                  <c:v>3.7480078484091722E-3</c:v>
                </c:pt>
                <c:pt idx="103">
                  <c:v>3.5734172310500785E-3</c:v>
                </c:pt>
                <c:pt idx="104">
                  <c:v>3.4719419420821637E-3</c:v>
                </c:pt>
                <c:pt idx="105">
                  <c:v>3.4435514991488186E-3</c:v>
                </c:pt>
                <c:pt idx="106">
                  <c:v>3.488211959377048E-3</c:v>
                </c:pt>
                <c:pt idx="107">
                  <c:v>3.6175260366554658E-3</c:v>
                </c:pt>
                <c:pt idx="108">
                  <c:v>3.7783878270406346E-3</c:v>
                </c:pt>
                <c:pt idx="109">
                  <c:v>3.9707746835009102E-3</c:v>
                </c:pt>
                <c:pt idx="110">
                  <c:v>4.1946738998992405E-3</c:v>
                </c:pt>
                <c:pt idx="111">
                  <c:v>4.4500738875876663E-3</c:v>
                </c:pt>
                <c:pt idx="112">
                  <c:v>4.736951413965889E-3</c:v>
                </c:pt>
                <c:pt idx="113">
                  <c:v>5.0627934240726064E-3</c:v>
                </c:pt>
                <c:pt idx="114">
                  <c:v>5.4076062946357513E-3</c:v>
                </c:pt>
                <c:pt idx="115">
                  <c:v>5.7713713938501018E-3</c:v>
                </c:pt>
                <c:pt idx="116">
                  <c:v>6.1540691900952007E-3</c:v>
                </c:pt>
                <c:pt idx="117">
                  <c:v>6.5556792101306187E-3</c:v>
                </c:pt>
                <c:pt idx="118">
                  <c:v>6.9761799972376595E-3</c:v>
                </c:pt>
                <c:pt idx="119">
                  <c:v>7.4155490693754754E-3</c:v>
                </c:pt>
                <c:pt idx="120">
                  <c:v>7.8737628773245839E-3</c:v>
                </c:pt>
                <c:pt idx="121">
                  <c:v>8.3572056394580069E-3</c:v>
                </c:pt>
                <c:pt idx="122">
                  <c:v>8.8542445718068855E-3</c:v>
                </c:pt>
                <c:pt idx="123">
                  <c:v>9.364856722546595E-3</c:v>
                </c:pt>
                <c:pt idx="124">
                  <c:v>9.8890181212973379E-3</c:v>
                </c:pt>
                <c:pt idx="125">
                  <c:v>1.0426703748736896E-2</c:v>
                </c:pt>
                <c:pt idx="126">
                  <c:v>1.0977887506086277E-2</c:v>
                </c:pt>
                <c:pt idx="127">
                  <c:v>1.1544785002247218E-2</c:v>
                </c:pt>
                <c:pt idx="128">
                  <c:v>1.2119883440281387E-2</c:v>
                </c:pt>
                <c:pt idx="129">
                  <c:v>1.2703158194941838E-2</c:v>
                </c:pt>
                <c:pt idx="130">
                  <c:v>1.3294583703197195E-2</c:v>
                </c:pt>
                <c:pt idx="131">
                  <c:v>1.3894133445150086E-2</c:v>
                </c:pt>
                <c:pt idx="132">
                  <c:v>1.4501779925058038E-2</c:v>
                </c:pt>
                <c:pt idx="133">
                  <c:v>1.5117494652445636E-2</c:v>
                </c:pt>
                <c:pt idx="134">
                  <c:v>1.5741248123155117E-2</c:v>
                </c:pt>
                <c:pt idx="135">
                  <c:v>1.6376670350868521E-2</c:v>
                </c:pt>
                <c:pt idx="136">
                  <c:v>1.7017347109126831E-2</c:v>
                </c:pt>
                <c:pt idx="137">
                  <c:v>1.7663248807455668E-2</c:v>
                </c:pt>
                <c:pt idx="138">
                  <c:v>1.8314344929277793E-2</c:v>
                </c:pt>
                <c:pt idx="139">
                  <c:v>1.897060401937874E-2</c:v>
                </c:pt>
                <c:pt idx="140">
                  <c:v>1.9631993670364029E-2</c:v>
                </c:pt>
                <c:pt idx="141">
                  <c:v>2.0239295991248869E-2</c:v>
                </c:pt>
                <c:pt idx="142">
                  <c:v>2.0790210641703073E-2</c:v>
                </c:pt>
                <c:pt idx="143">
                  <c:v>2.1284684811870874E-2</c:v>
                </c:pt>
                <c:pt idx="144">
                  <c:v>2.1722793862131207E-2</c:v>
                </c:pt>
                <c:pt idx="145">
                  <c:v>2.2104622368692307E-2</c:v>
                </c:pt>
                <c:pt idx="146">
                  <c:v>2.2430263377350126E-2</c:v>
                </c:pt>
                <c:pt idx="147">
                  <c:v>2.2699817657981475E-2</c:v>
                </c:pt>
                <c:pt idx="148">
                  <c:v>2.2913392958517419E-2</c:v>
                </c:pt>
                <c:pt idx="149">
                  <c:v>2.2993528708768609E-2</c:v>
                </c:pt>
                <c:pt idx="150">
                  <c:v>2.2936845940089778E-2</c:v>
                </c:pt>
                <c:pt idx="151">
                  <c:v>2.2743616350184643E-2</c:v>
                </c:pt>
                <c:pt idx="152">
                  <c:v>2.2414119725398047E-2</c:v>
                </c:pt>
                <c:pt idx="153">
                  <c:v>2.1948642099472712E-2</c:v>
                </c:pt>
                <c:pt idx="154">
                  <c:v>2.134747391243454E-2</c:v>
                </c:pt>
                <c:pt idx="155">
                  <c:v>2.0645945178175404E-2</c:v>
                </c:pt>
                <c:pt idx="156">
                  <c:v>1.9902972703805241E-2</c:v>
                </c:pt>
                <c:pt idx="157">
                  <c:v>1.911867081156807E-2</c:v>
                </c:pt>
                <c:pt idx="158">
                  <c:v>1.8293150395170824E-2</c:v>
                </c:pt>
                <c:pt idx="159">
                  <c:v>1.7426518347712836E-2</c:v>
                </c:pt>
                <c:pt idx="160">
                  <c:v>1.6518876989847522E-2</c:v>
                </c:pt>
                <c:pt idx="161">
                  <c:v>1.5570323497730654E-2</c:v>
                </c:pt>
                <c:pt idx="162">
                  <c:v>1.4580949331071388E-2</c:v>
                </c:pt>
                <c:pt idx="163">
                  <c:v>1.3604964457444862E-2</c:v>
                </c:pt>
                <c:pt idx="164">
                  <c:v>1.2719202643855869E-2</c:v>
                </c:pt>
                <c:pt idx="165">
                  <c:v>1.1923497353873528E-2</c:v>
                </c:pt>
                <c:pt idx="166">
                  <c:v>1.1217681970784703E-2</c:v>
                </c:pt>
                <c:pt idx="167">
                  <c:v>1.0601591008009822E-2</c:v>
                </c:pt>
                <c:pt idx="168">
                  <c:v>1.0075061319899594E-2</c:v>
                </c:pt>
                <c:pt idx="169">
                  <c:v>9.6918663840250344E-3</c:v>
                </c:pt>
                <c:pt idx="170">
                  <c:v>9.4170448211251933E-3</c:v>
                </c:pt>
                <c:pt idx="171">
                  <c:v>9.2504198914388405E-3</c:v>
                </c:pt>
                <c:pt idx="172">
                  <c:v>9.1918243982505848E-3</c:v>
                </c:pt>
                <c:pt idx="173">
                  <c:v>9.241007660876828E-3</c:v>
                </c:pt>
                <c:pt idx="174">
                  <c:v>9.3977199789121568E-3</c:v>
                </c:pt>
                <c:pt idx="175">
                  <c:v>9.6618038202938242E-3</c:v>
                </c:pt>
                <c:pt idx="176">
                  <c:v>1.003310236218786E-2</c:v>
                </c:pt>
                <c:pt idx="177">
                  <c:v>1.0546054513391629E-2</c:v>
                </c:pt>
                <c:pt idx="178">
                  <c:v>1.114677002927749E-2</c:v>
                </c:pt>
                <c:pt idx="179">
                  <c:v>1.1835126866868105E-2</c:v>
                </c:pt>
                <c:pt idx="180">
                  <c:v>1.2611005922965825E-2</c:v>
                </c:pt>
                <c:pt idx="181">
                  <c:v>1.3474291552480431E-2</c:v>
                </c:pt>
                <c:pt idx="182">
                  <c:v>1.4424872086855245E-2</c:v>
                </c:pt>
                <c:pt idx="183">
                  <c:v>1.5386550143659314E-2</c:v>
                </c:pt>
                <c:pt idx="184">
                  <c:v>1.6305805332338923E-2</c:v>
                </c:pt>
                <c:pt idx="185">
                  <c:v>1.7182723031341905E-2</c:v>
                </c:pt>
                <c:pt idx="186">
                  <c:v>1.8017389204346874E-2</c:v>
                </c:pt>
                <c:pt idx="187">
                  <c:v>1.8809890155400719E-2</c:v>
                </c:pt>
                <c:pt idx="188">
                  <c:v>1.9560312284192208E-2</c:v>
                </c:pt>
                <c:pt idx="189">
                  <c:v>2.0268741840750663E-2</c:v>
                </c:pt>
                <c:pt idx="190">
                  <c:v>2.093526468095061E-2</c:v>
                </c:pt>
                <c:pt idx="191">
                  <c:v>2.1502361961579643E-2</c:v>
                </c:pt>
                <c:pt idx="192">
                  <c:v>2.1935836185347602E-2</c:v>
                </c:pt>
                <c:pt idx="193">
                  <c:v>2.2235879640638435E-2</c:v>
                </c:pt>
                <c:pt idx="194">
                  <c:v>2.240267673340646E-2</c:v>
                </c:pt>
                <c:pt idx="195">
                  <c:v>2.2436403199275989E-2</c:v>
                </c:pt>
                <c:pt idx="196">
                  <c:v>2.2337225314790057E-2</c:v>
                </c:pt>
                <c:pt idx="197">
                  <c:v>2.2108845061797222E-2</c:v>
                </c:pt>
                <c:pt idx="198">
                  <c:v>2.182701864204431E-2</c:v>
                </c:pt>
                <c:pt idx="199">
                  <c:v>2.1491802214708294E-2</c:v>
                </c:pt>
                <c:pt idx="200">
                  <c:v>2.1103246522265653E-2</c:v>
                </c:pt>
                <c:pt idx="201">
                  <c:v>2.0661396570894882E-2</c:v>
                </c:pt>
                <c:pt idx="202">
                  <c:v>2.0166291311017482E-2</c:v>
                </c:pt>
                <c:pt idx="203">
                  <c:v>1.9617963318289616E-2</c:v>
                </c:pt>
                <c:pt idx="204">
                  <c:v>1.9016407765539763E-2</c:v>
                </c:pt>
                <c:pt idx="205">
                  <c:v>1.8363767755498566E-2</c:v>
                </c:pt>
                <c:pt idx="206">
                  <c:v>1.7717373629205859E-2</c:v>
                </c:pt>
                <c:pt idx="207">
                  <c:v>1.7077189412644217E-2</c:v>
                </c:pt>
                <c:pt idx="208">
                  <c:v>1.6443180393259229E-2</c:v>
                </c:pt>
                <c:pt idx="209">
                  <c:v>1.5815313102064979E-2</c:v>
                </c:pt>
                <c:pt idx="210">
                  <c:v>1.5193555296306734E-2</c:v>
                </c:pt>
                <c:pt idx="211">
                  <c:v>1.4584036160265282E-2</c:v>
                </c:pt>
                <c:pt idx="212">
                  <c:v>1.3983189802915135E-2</c:v>
                </c:pt>
                <c:pt idx="213">
                  <c:v>1.3390986762994807E-2</c:v>
                </c:pt>
                <c:pt idx="214">
                  <c:v>1.2807398908345017E-2</c:v>
                </c:pt>
                <c:pt idx="215">
                  <c:v>1.2232399410126174E-2</c:v>
                </c:pt>
                <c:pt idx="216">
                  <c:v>1.1665962716981825E-2</c:v>
                </c:pt>
                <c:pt idx="217">
                  <c:v>1.1108064529245698E-2</c:v>
                </c:pt>
                <c:pt idx="218">
                  <c:v>1.0558681773077941E-2</c:v>
                </c:pt>
                <c:pt idx="219">
                  <c:v>1.002499313237846E-2</c:v>
                </c:pt>
                <c:pt idx="220">
                  <c:v>9.5048191781842237E-3</c:v>
                </c:pt>
                <c:pt idx="221">
                  <c:v>8.9981398856803767E-3</c:v>
                </c:pt>
                <c:pt idx="222">
                  <c:v>8.5049366170499314E-3</c:v>
                </c:pt>
                <c:pt idx="223">
                  <c:v>8.0251920801397997E-3</c:v>
                </c:pt>
                <c:pt idx="224">
                  <c:v>7.5588902868904823E-3</c:v>
                </c:pt>
                <c:pt idx="225">
                  <c:v>7.1171601325704997E-3</c:v>
                </c:pt>
                <c:pt idx="226">
                  <c:v>6.6938339546260481E-3</c:v>
                </c:pt>
                <c:pt idx="227">
                  <c:v>6.2888997525234955E-3</c:v>
                </c:pt>
                <c:pt idx="228">
                  <c:v>5.9023468648889132E-3</c:v>
                </c:pt>
                <c:pt idx="229">
                  <c:v>5.5341659124202346E-3</c:v>
                </c:pt>
                <c:pt idx="230">
                  <c:v>5.1843487409076235E-3</c:v>
                </c:pt>
                <c:pt idx="231">
                  <c:v>4.8528883642598511E-3</c:v>
                </c:pt>
                <c:pt idx="232">
                  <c:v>4.5397789074182208E-3</c:v>
                </c:pt>
                <c:pt idx="233">
                  <c:v>4.2641568394107552E-3</c:v>
                </c:pt>
                <c:pt idx="234">
                  <c:v>4.0188203522412624E-3</c:v>
                </c:pt>
                <c:pt idx="235">
                  <c:v>3.8037718407497325E-3</c:v>
                </c:pt>
                <c:pt idx="236">
                  <c:v>3.6190154734925552E-3</c:v>
                </c:pt>
                <c:pt idx="237">
                  <c:v>3.4645537337580092E-3</c:v>
                </c:pt>
                <c:pt idx="238">
                  <c:v>3.3403902217552252E-3</c:v>
                </c:pt>
                <c:pt idx="239">
                  <c:v>3.2973612266342755E-3</c:v>
                </c:pt>
                <c:pt idx="240">
                  <c:v>3.3243354987782785E-3</c:v>
                </c:pt>
                <c:pt idx="241">
                  <c:v>3.4213329846881375E-3</c:v>
                </c:pt>
                <c:pt idx="242">
                  <c:v>3.5883768275769834E-3</c:v>
                </c:pt>
                <c:pt idx="243">
                  <c:v>3.8254934909002628E-3</c:v>
                </c:pt>
                <c:pt idx="244">
                  <c:v>4.1327128818708925E-3</c:v>
                </c:pt>
                <c:pt idx="245">
                  <c:v>4.5100684749367652E-3</c:v>
                </c:pt>
                <c:pt idx="246">
                  <c:v>4.957597435237676E-3</c:v>
                </c:pt>
                <c:pt idx="247">
                  <c:v>5.5248385719501034E-3</c:v>
                </c:pt>
                <c:pt idx="248">
                  <c:v>6.1926901086108909E-3</c:v>
                </c:pt>
                <c:pt idx="249">
                  <c:v>6.9612171907593307E-3</c:v>
                </c:pt>
                <c:pt idx="250">
                  <c:v>7.8304908376735406E-3</c:v>
                </c:pt>
                <c:pt idx="251">
                  <c:v>8.8005881195219824E-3</c:v>
                </c:pt>
                <c:pt idx="252">
                  <c:v>9.8715923342437336E-3</c:v>
                </c:pt>
                <c:pt idx="253">
                  <c:v>1.1019160094509773E-2</c:v>
                </c:pt>
                <c:pt idx="254">
                  <c:v>1.2192428482840115E-2</c:v>
                </c:pt>
                <c:pt idx="255">
                  <c:v>1.3391450053465417E-2</c:v>
                </c:pt>
                <c:pt idx="256">
                  <c:v>1.4616279695379741E-2</c:v>
                </c:pt>
                <c:pt idx="257">
                  <c:v>1.5866974676466732E-2</c:v>
                </c:pt>
                <c:pt idx="258">
                  <c:v>1.7143594687727432E-2</c:v>
                </c:pt>
                <c:pt idx="259">
                  <c:v>1.8446201887769378E-2</c:v>
                </c:pt>
                <c:pt idx="260">
                  <c:v>1.9774860946809292E-2</c:v>
                </c:pt>
                <c:pt idx="261">
                  <c:v>2.1065032717426119E-2</c:v>
                </c:pt>
                <c:pt idx="262">
                  <c:v>2.2267067389348777E-2</c:v>
                </c:pt>
                <c:pt idx="263">
                  <c:v>2.3380930520237594E-2</c:v>
                </c:pt>
                <c:pt idx="264">
                  <c:v>2.4406583583431788E-2</c:v>
                </c:pt>
                <c:pt idx="265">
                  <c:v>2.5344118625983195E-2</c:v>
                </c:pt>
                <c:pt idx="266">
                  <c:v>2.6193571565260466E-2</c:v>
                </c:pt>
                <c:pt idx="267">
                  <c:v>2.6906424243611237E-2</c:v>
                </c:pt>
                <c:pt idx="268">
                  <c:v>2.750707172050447E-2</c:v>
                </c:pt>
                <c:pt idx="269">
                  <c:v>2.7995382224635362E-2</c:v>
                </c:pt>
                <c:pt idx="270">
                  <c:v>2.8371210241924908E-2</c:v>
                </c:pt>
                <c:pt idx="271">
                  <c:v>2.863439776188717E-2</c:v>
                </c:pt>
                <c:pt idx="272">
                  <c:v>2.8784775524747206E-2</c:v>
                </c:pt>
                <c:pt idx="273">
                  <c:v>2.8822164268205275E-2</c:v>
                </c:pt>
                <c:pt idx="274">
                  <c:v>2.874637597457767E-2</c:v>
                </c:pt>
                <c:pt idx="275">
                  <c:v>2.8541393562845199E-2</c:v>
                </c:pt>
                <c:pt idx="276">
                  <c:v>2.8271986716478223E-2</c:v>
                </c:pt>
                <c:pt idx="277">
                  <c:v>2.7938021979650739E-2</c:v>
                </c:pt>
                <c:pt idx="278">
                  <c:v>2.7539364214302527E-2</c:v>
                </c:pt>
                <c:pt idx="279">
                  <c:v>2.707587730747045E-2</c:v>
                </c:pt>
                <c:pt idx="280">
                  <c:v>2.65474248788788E-2</c:v>
                </c:pt>
                <c:pt idx="281">
                  <c:v>2.5975722324104944E-2</c:v>
                </c:pt>
                <c:pt idx="282">
                  <c:v>2.5409458286870967E-2</c:v>
                </c:pt>
                <c:pt idx="283">
                  <c:v>2.4848610720437536E-2</c:v>
                </c:pt>
                <c:pt idx="284">
                  <c:v>2.4293160150367355E-2</c:v>
                </c:pt>
                <c:pt idx="285">
                  <c:v>2.3743089608979241E-2</c:v>
                </c:pt>
                <c:pt idx="286">
                  <c:v>2.3198384570034272E-2</c:v>
                </c:pt>
                <c:pt idx="287">
                  <c:v>2.2659032883176691E-2</c:v>
                </c:pt>
                <c:pt idx="288">
                  <c:v>2.2125024708470806E-2</c:v>
                </c:pt>
                <c:pt idx="289">
                  <c:v>2.1626844519094291E-2</c:v>
                </c:pt>
                <c:pt idx="290">
                  <c:v>2.1180476243361956E-2</c:v>
                </c:pt>
                <c:pt idx="291">
                  <c:v>2.0785984479782939E-2</c:v>
                </c:pt>
                <c:pt idx="292">
                  <c:v>2.0443433382512113E-2</c:v>
                </c:pt>
                <c:pt idx="293">
                  <c:v>2.015288608989654E-2</c:v>
                </c:pt>
                <c:pt idx="294">
                  <c:v>1.99144041529376E-2</c:v>
                </c:pt>
                <c:pt idx="295">
                  <c:v>1.9737148682075885E-2</c:v>
                </c:pt>
                <c:pt idx="296">
                  <c:v>1.9599411048963105E-2</c:v>
                </c:pt>
                <c:pt idx="297">
                  <c:v>1.9501388247973032E-2</c:v>
                </c:pt>
                <c:pt idx="298">
                  <c:v>1.9443114555674174E-2</c:v>
                </c:pt>
                <c:pt idx="299">
                  <c:v>1.9424625962038134E-2</c:v>
                </c:pt>
                <c:pt idx="300">
                  <c:v>1.9445959803785173E-2</c:v>
                </c:pt>
                <c:pt idx="301">
                  <c:v>1.9507154397670642E-2</c:v>
                </c:pt>
                <c:pt idx="302">
                  <c:v>1.9608248673815141E-2</c:v>
                </c:pt>
                <c:pt idx="303">
                  <c:v>1.9747030607987947E-2</c:v>
                </c:pt>
                <c:pt idx="304">
                  <c:v>1.989282761453268E-2</c:v>
                </c:pt>
                <c:pt idx="305">
                  <c:v>2.0045631219330208E-2</c:v>
                </c:pt>
                <c:pt idx="306">
                  <c:v>2.0205432407915027E-2</c:v>
                </c:pt>
                <c:pt idx="307">
                  <c:v>2.0372221562147633E-2</c:v>
                </c:pt>
                <c:pt idx="308">
                  <c:v>2.0545988396716151E-2</c:v>
                </c:pt>
                <c:pt idx="309">
                  <c:v>2.072320120956558E-2</c:v>
                </c:pt>
                <c:pt idx="310">
                  <c:v>2.0894679571725413E-2</c:v>
                </c:pt>
                <c:pt idx="311">
                  <c:v>2.1060393698593211E-2</c:v>
                </c:pt>
                <c:pt idx="312">
                  <c:v>2.1220313433959064E-2</c:v>
                </c:pt>
                <c:pt idx="313">
                  <c:v>2.1374408303142692E-2</c:v>
                </c:pt>
                <c:pt idx="314">
                  <c:v>2.152264756593782E-2</c:v>
                </c:pt>
                <c:pt idx="315">
                  <c:v>2.1665000269824455E-2</c:v>
                </c:pt>
                <c:pt idx="316">
                  <c:v>2.1801435302850416E-2</c:v>
                </c:pt>
                <c:pt idx="317">
                  <c:v>2.1928467824822287E-2</c:v>
                </c:pt>
                <c:pt idx="318">
                  <c:v>2.2048328815396274E-2</c:v>
                </c:pt>
                <c:pt idx="319">
                  <c:v>2.2160985828907794E-2</c:v>
                </c:pt>
                <c:pt idx="320">
                  <c:v>2.2266406587355833E-2</c:v>
                </c:pt>
                <c:pt idx="321">
                  <c:v>2.2364559044383569E-2</c:v>
                </c:pt>
                <c:pt idx="322">
                  <c:v>2.2455411449355506E-2</c:v>
                </c:pt>
                <c:pt idx="323">
                  <c:v>2.2538571387135456E-2</c:v>
                </c:pt>
                <c:pt idx="324">
                  <c:v>2.2617548707045836E-2</c:v>
                </c:pt>
                <c:pt idx="325">
                  <c:v>2.2692314181395178E-2</c:v>
                </c:pt>
                <c:pt idx="326">
                  <c:v>2.2762697166296961E-2</c:v>
                </c:pt>
                <c:pt idx="327">
                  <c:v>2.2828620275712658E-2</c:v>
                </c:pt>
                <c:pt idx="328">
                  <c:v>2.2890123362497291E-2</c:v>
                </c:pt>
                <c:pt idx="329">
                  <c:v>2.2947247393546009E-2</c:v>
                </c:pt>
                <c:pt idx="330">
                  <c:v>2.3000034369981773E-2</c:v>
                </c:pt>
                <c:pt idx="331">
                  <c:v>2.3047825841051247E-2</c:v>
                </c:pt>
                <c:pt idx="332">
                  <c:v>2.3094132116378469E-2</c:v>
                </c:pt>
                <c:pt idx="333">
                  <c:v>2.3138998531125127E-2</c:v>
                </c:pt>
                <c:pt idx="334">
                  <c:v>2.3182470888601762E-2</c:v>
                </c:pt>
                <c:pt idx="335">
                  <c:v>2.3224595438348077E-2</c:v>
                </c:pt>
                <c:pt idx="336">
                  <c:v>2.3265418853909082E-2</c:v>
                </c:pt>
                <c:pt idx="337">
                  <c:v>2.3304082769167549E-2</c:v>
                </c:pt>
                <c:pt idx="338">
                  <c:v>2.3340996312900365E-2</c:v>
                </c:pt>
                <c:pt idx="339">
                  <c:v>2.3376207268823501E-2</c:v>
                </c:pt>
                <c:pt idx="340">
                  <c:v>2.3409763755479499E-2</c:v>
                </c:pt>
                <c:pt idx="341">
                  <c:v>2.3441714192912532E-2</c:v>
                </c:pt>
                <c:pt idx="342">
                  <c:v>2.3472107269325793E-2</c:v>
                </c:pt>
                <c:pt idx="343">
                  <c:v>2.3500991907455759E-2</c:v>
                </c:pt>
                <c:pt idx="344">
                  <c:v>2.3528417231314418E-2</c:v>
                </c:pt>
                <c:pt idx="345">
                  <c:v>2.3554432532684095E-2</c:v>
                </c:pt>
                <c:pt idx="346">
                  <c:v>2.3578485304745614E-2</c:v>
                </c:pt>
                <c:pt idx="347">
                  <c:v>2.3600624954686792E-2</c:v>
                </c:pt>
                <c:pt idx="348">
                  <c:v>2.3620900904846292E-2</c:v>
                </c:pt>
                <c:pt idx="349">
                  <c:v>2.363936254658652E-2</c:v>
                </c:pt>
                <c:pt idx="350">
                  <c:v>2.3656059194719636E-2</c:v>
                </c:pt>
                <c:pt idx="351">
                  <c:v>2.3669735584658291E-2</c:v>
                </c:pt>
                <c:pt idx="352">
                  <c:v>2.3681346411392083E-2</c:v>
                </c:pt>
                <c:pt idx="353">
                  <c:v>2.3690940165108518E-2</c:v>
                </c:pt>
                <c:pt idx="354">
                  <c:v>2.3698565000670916E-2</c:v>
                </c:pt>
                <c:pt idx="355">
                  <c:v>2.370426868222825E-2</c:v>
                </c:pt>
                <c:pt idx="356">
                  <c:v>2.3708114912691799E-2</c:v>
                </c:pt>
                <c:pt idx="357">
                  <c:v>2.3710097681675094E-2</c:v>
                </c:pt>
                <c:pt idx="358">
                  <c:v>2.3710153388946557E-2</c:v>
                </c:pt>
                <c:pt idx="359">
                  <c:v>2.3708218044904861E-2</c:v>
                </c:pt>
                <c:pt idx="360">
                  <c:v>2.3703318964356374E-2</c:v>
                </c:pt>
                <c:pt idx="361">
                  <c:v>2.3696698661711094E-2</c:v>
                </c:pt>
                <c:pt idx="362">
                  <c:v>2.3688292838146534E-2</c:v>
                </c:pt>
                <c:pt idx="363">
                  <c:v>2.36780371214565E-2</c:v>
                </c:pt>
                <c:pt idx="364">
                  <c:v>2.3665867123161693E-2</c:v>
                </c:pt>
                <c:pt idx="365">
                  <c:v>2.3651718495327767E-2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665984"/>
        <c:axId val="539666376"/>
      </c:lineChart>
      <c:dateAx>
        <c:axId val="539665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6376"/>
        <c:crosses val="autoZero"/>
        <c:auto val="1"/>
        <c:lblOffset val="100"/>
        <c:baseTimeUnit val="days"/>
      </c:dateAx>
      <c:valAx>
        <c:axId val="5396663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5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667160"/>
        <c:axId val="539667552"/>
      </c:scatterChart>
      <c:valAx>
        <c:axId val="53966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7552"/>
        <c:crosses val="autoZero"/>
        <c:crossBetween val="midCat"/>
      </c:valAx>
      <c:valAx>
        <c:axId val="53966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716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25.844204487317597</c:v>
                </c:pt>
                <c:pt idx="1">
                  <c:v>26.005049900941806</c:v>
                </c:pt>
                <c:pt idx="2">
                  <c:v>26.175074008698093</c:v>
                </c:pt>
                <c:pt idx="3">
                  <c:v>26.353829942129806</c:v>
                </c:pt>
                <c:pt idx="4">
                  <c:v>26.540870829645929</c:v>
                </c:pt>
                <c:pt idx="5">
                  <c:v>26.7357498017493</c:v>
                </c:pt>
                <c:pt idx="6">
                  <c:v>26.938019989225367</c:v>
                </c:pt>
                <c:pt idx="7">
                  <c:v>27.147234518761778</c:v>
                </c:pt>
                <c:pt idx="8">
                  <c:v>27.36494305463728</c:v>
                </c:pt>
                <c:pt idx="9">
                  <c:v>27.592565053511464</c:v>
                </c:pt>
                <c:pt idx="10">
                  <c:v>27.82945832663188</c:v>
                </c:pt>
                <c:pt idx="11">
                  <c:v>28.074980689721009</c:v>
                </c:pt>
                <c:pt idx="12">
                  <c:v>28.328489956246422</c:v>
                </c:pt>
                <c:pt idx="13">
                  <c:v>28.589343941723698</c:v>
                </c:pt>
                <c:pt idx="14">
                  <c:v>28.856900458365423</c:v>
                </c:pt>
                <c:pt idx="15">
                  <c:v>29.130517321294676</c:v>
                </c:pt>
                <c:pt idx="16">
                  <c:v>29.409552343630146</c:v>
                </c:pt>
                <c:pt idx="17">
                  <c:v>29.693363340129714</c:v>
                </c:pt>
                <c:pt idx="18">
                  <c:v>29.981308125734117</c:v>
                </c:pt>
                <c:pt idx="19">
                  <c:v>30.272744513594827</c:v>
                </c:pt>
                <c:pt idx="20">
                  <c:v>30.567030317248697</c:v>
                </c:pt>
                <c:pt idx="21">
                  <c:v>30.863523351494223</c:v>
                </c:pt>
                <c:pt idx="22">
                  <c:v>31.164117918870343</c:v>
                </c:pt>
                <c:pt idx="23">
                  <c:v>31.470795900012099</c:v>
                </c:pt>
                <c:pt idx="24">
                  <c:v>31.783046481276067</c:v>
                </c:pt>
                <c:pt idx="25">
                  <c:v>32.100358846011972</c:v>
                </c:pt>
                <c:pt idx="26">
                  <c:v>32.42222217786059</c:v>
                </c:pt>
                <c:pt idx="27">
                  <c:v>32.748125661816445</c:v>
                </c:pt>
                <c:pt idx="28">
                  <c:v>33.077558483299796</c:v>
                </c:pt>
                <c:pt idx="29">
                  <c:v>33.410009825189732</c:v>
                </c:pt>
                <c:pt idx="30">
                  <c:v>33.744968872420884</c:v>
                </c:pt>
                <c:pt idx="31">
                  <c:v>34.081924810177384</c:v>
                </c:pt>
                <c:pt idx="32">
                  <c:v>34.420366821810603</c:v>
                </c:pt>
                <c:pt idx="33">
                  <c:v>34.759784091643198</c:v>
                </c:pt>
                <c:pt idx="34">
                  <c:v>35.099665804930765</c:v>
                </c:pt>
                <c:pt idx="35">
                  <c:v>35.439501145482062</c:v>
                </c:pt>
                <c:pt idx="36">
                  <c:v>35.780744865099926</c:v>
                </c:pt>
                <c:pt idx="37">
                  <c:v>36.124993254285485</c:v>
                </c:pt>
                <c:pt idx="38">
                  <c:v>36.471947804406227</c:v>
                </c:pt>
                <c:pt idx="39">
                  <c:v>36.821310007877351</c:v>
                </c:pt>
                <c:pt idx="40">
                  <c:v>37.172781357064586</c:v>
                </c:pt>
                <c:pt idx="41">
                  <c:v>37.526063344025999</c:v>
                </c:pt>
                <c:pt idx="42">
                  <c:v>37.880857460653353</c:v>
                </c:pt>
                <c:pt idx="43">
                  <c:v>38.23686519929241</c:v>
                </c:pt>
                <c:pt idx="44">
                  <c:v>38.593788052083156</c:v>
                </c:pt>
                <c:pt idx="45">
                  <c:v>38.951327510873668</c:v>
                </c:pt>
                <c:pt idx="46">
                  <c:v>39.309185067868384</c:v>
                </c:pt>
                <c:pt idx="47">
                  <c:v>39.667062215438015</c:v>
                </c:pt>
                <c:pt idx="48">
                  <c:v>40.024660445291374</c:v>
                </c:pt>
                <c:pt idx="49">
                  <c:v>40.381681249939717</c:v>
                </c:pt>
                <c:pt idx="50">
                  <c:v>40.739476922305144</c:v>
                </c:pt>
                <c:pt idx="51">
                  <c:v>41.099428771838674</c:v>
                </c:pt>
                <c:pt idx="52">
                  <c:v>41.461281814803911</c:v>
                </c:pt>
                <c:pt idx="53">
                  <c:v>41.824781067745477</c:v>
                </c:pt>
                <c:pt idx="54">
                  <c:v>42.189671546968128</c:v>
                </c:pt>
                <c:pt idx="55">
                  <c:v>42.555698268977821</c:v>
                </c:pt>
                <c:pt idx="56">
                  <c:v>42.922606249929231</c:v>
                </c:pt>
                <c:pt idx="57">
                  <c:v>43.290140506605638</c:v>
                </c:pt>
                <c:pt idx="58">
                  <c:v>43.658046055044437</c:v>
                </c:pt>
                <c:pt idx="59">
                  <c:v>44.026067911775314</c:v>
                </c:pt>
                <c:pt idx="60">
                  <c:v>44.393951093310065</c:v>
                </c:pt>
                <c:pt idx="61">
                  <c:v>44.761440615925153</c:v>
                </c:pt>
                <c:pt idx="62">
                  <c:v>45.128281495951938</c:v>
                </c:pt>
                <c:pt idx="63">
                  <c:v>45.494218750082652</c:v>
                </c:pt>
                <c:pt idx="64">
                  <c:v>45.860691693308141</c:v>
                </c:pt>
                <c:pt idx="65">
                  <c:v>46.229027806153006</c:v>
                </c:pt>
                <c:pt idx="66">
                  <c:v>46.598804352631845</c:v>
                </c:pt>
                <c:pt idx="67">
                  <c:v>46.969598596864046</c:v>
                </c:pt>
                <c:pt idx="68">
                  <c:v>47.340987802830931</c:v>
                </c:pt>
                <c:pt idx="69">
                  <c:v>47.712549234631922</c:v>
                </c:pt>
                <c:pt idx="70">
                  <c:v>48.083860156075389</c:v>
                </c:pt>
                <c:pt idx="71">
                  <c:v>48.454497831422074</c:v>
                </c:pt>
                <c:pt idx="72">
                  <c:v>48.824039525063256</c:v>
                </c:pt>
                <c:pt idx="73">
                  <c:v>49.192062500073895</c:v>
                </c:pt>
                <c:pt idx="74">
                  <c:v>49.558144021192021</c:v>
                </c:pt>
                <c:pt idx="75">
                  <c:v>49.921861351966591</c:v>
                </c:pt>
                <c:pt idx="76">
                  <c:v>50.282791756697819</c:v>
                </c:pt>
                <c:pt idx="77">
                  <c:v>50.640512499664325</c:v>
                </c:pt>
                <c:pt idx="78">
                  <c:v>50.996313037445773</c:v>
                </c:pt>
                <c:pt idx="79">
                  <c:v>51.351442565611798</c:v>
                </c:pt>
                <c:pt idx="80">
                  <c:v>51.705417957145045</c:v>
                </c:pt>
                <c:pt idx="81">
                  <c:v>52.057756085764929</c:v>
                </c:pt>
                <c:pt idx="82">
                  <c:v>52.407973824269931</c:v>
                </c:pt>
                <c:pt idx="83">
                  <c:v>52.755588046290043</c:v>
                </c:pt>
                <c:pt idx="84">
                  <c:v>53.10011562465661</c:v>
                </c:pt>
                <c:pt idx="85">
                  <c:v>53.441073432771368</c:v>
                </c:pt>
                <c:pt idx="86">
                  <c:v>53.777978343550473</c:v>
                </c:pt>
                <c:pt idx="87">
                  <c:v>54.110347229725456</c:v>
                </c:pt>
                <c:pt idx="88">
                  <c:v>54.437696965627296</c:v>
                </c:pt>
                <c:pt idx="89">
                  <c:v>54.759544423778422</c:v>
                </c:pt>
                <c:pt idx="90">
                  <c:v>55.075406477398062</c:v>
                </c:pt>
                <c:pt idx="91">
                  <c:v>55.384799999743699</c:v>
                </c:pt>
                <c:pt idx="92">
                  <c:v>55.688629734941898</c:v>
                </c:pt>
                <c:pt idx="93">
                  <c:v>55.987965943451442</c:v>
                </c:pt>
                <c:pt idx="94">
                  <c:v>56.28257377234155</c:v>
                </c:pt>
                <c:pt idx="95">
                  <c:v>56.572218367151386</c:v>
                </c:pt>
                <c:pt idx="96">
                  <c:v>56.856664875608736</c:v>
                </c:pt>
                <c:pt idx="97">
                  <c:v>57.135678443765002</c:v>
                </c:pt>
                <c:pt idx="98">
                  <c:v>57.409024218609559</c:v>
                </c:pt>
                <c:pt idx="99">
                  <c:v>57.676467347065255</c:v>
                </c:pt>
                <c:pt idx="100">
                  <c:v>57.937772975003881</c:v>
                </c:pt>
                <c:pt idx="101">
                  <c:v>58.192706250718665</c:v>
                </c:pt>
                <c:pt idx="102">
                  <c:v>58.441032318504796</c:v>
                </c:pt>
                <c:pt idx="103">
                  <c:v>58.682516326795195</c:v>
                </c:pt>
                <c:pt idx="104">
                  <c:v>58.916923421947288</c:v>
                </c:pt>
                <c:pt idx="105">
                  <c:v>59.14401875007897</c:v>
                </c:pt>
                <c:pt idx="106">
                  <c:v>59.364212746439236</c:v>
                </c:pt>
                <c:pt idx="107">
                  <c:v>59.578117146396217</c:v>
                </c:pt>
                <c:pt idx="108">
                  <c:v>59.785799052473166</c:v>
                </c:pt>
                <c:pt idx="109">
                  <c:v>59.987325564931545</c:v>
                </c:pt>
                <c:pt idx="110">
                  <c:v>60.182763784604944</c:v>
                </c:pt>
                <c:pt idx="111">
                  <c:v>60.372180812965546</c:v>
                </c:pt>
                <c:pt idx="112">
                  <c:v>60.555643750168386</c:v>
                </c:pt>
                <c:pt idx="113">
                  <c:v>60.733219698204529</c:v>
                </c:pt>
                <c:pt idx="114">
                  <c:v>60.904975756683527</c:v>
                </c:pt>
                <c:pt idx="115">
                  <c:v>61.070979027343654</c:v>
                </c:pt>
                <c:pt idx="116">
                  <c:v>61.231296611085</c:v>
                </c:pt>
                <c:pt idx="117">
                  <c:v>61.385995609393071</c:v>
                </c:pt>
                <c:pt idx="118">
                  <c:v>61.53514312198385</c:v>
                </c:pt>
                <c:pt idx="119">
                  <c:v>61.678806250356132</c:v>
                </c:pt>
                <c:pt idx="120">
                  <c:v>61.816817242452601</c:v>
                </c:pt>
                <c:pt idx="121">
                  <c:v>61.949070973055697</c:v>
                </c:pt>
                <c:pt idx="122">
                  <c:v>62.075728485068041</c:v>
                </c:pt>
                <c:pt idx="123">
                  <c:v>62.196950820727011</c:v>
                </c:pt>
                <c:pt idx="124">
                  <c:v>62.312899021365276</c:v>
                </c:pt>
                <c:pt idx="125">
                  <c:v>62.42373412961939</c:v>
                </c:pt>
                <c:pt idx="126">
                  <c:v>62.529617187939579</c:v>
                </c:pt>
                <c:pt idx="127">
                  <c:v>62.63070923901563</c:v>
                </c:pt>
                <c:pt idx="128">
                  <c:v>62.7271713245527</c:v>
                </c:pt>
                <c:pt idx="129">
                  <c:v>62.819164486947869</c:v>
                </c:pt>
                <c:pt idx="130">
                  <c:v>62.906849768358683</c:v>
                </c:pt>
                <c:pt idx="131">
                  <c:v>62.990388211421667</c:v>
                </c:pt>
                <c:pt idx="132">
                  <c:v>63.069940857163495</c:v>
                </c:pt>
                <c:pt idx="133">
                  <c:v>63.145668749511245</c:v>
                </c:pt>
                <c:pt idx="134">
                  <c:v>63.217069749680476</c:v>
                </c:pt>
                <c:pt idx="135">
                  <c:v>63.283619351685054</c:v>
                </c:pt>
                <c:pt idx="136">
                  <c:v>63.345445046434186</c:v>
                </c:pt>
                <c:pt idx="137">
                  <c:v>63.402674326247407</c:v>
                </c:pt>
                <c:pt idx="138">
                  <c:v>63.455434682499614</c:v>
                </c:pt>
                <c:pt idx="139">
                  <c:v>63.503853608082444</c:v>
                </c:pt>
                <c:pt idx="140">
                  <c:v>63.54805859373883</c:v>
                </c:pt>
                <c:pt idx="141">
                  <c:v>63.588177132127541</c:v>
                </c:pt>
                <c:pt idx="142">
                  <c:v>63.624336714423926</c:v>
                </c:pt>
                <c:pt idx="143">
                  <c:v>63.656664832561688</c:v>
                </c:pt>
                <c:pt idx="144">
                  <c:v>63.685288978388002</c:v>
                </c:pt>
                <c:pt idx="145">
                  <c:v>63.710336643244545</c:v>
                </c:pt>
                <c:pt idx="146">
                  <c:v>63.731935319943091</c:v>
                </c:pt>
                <c:pt idx="147">
                  <c:v>63.750212499778719</c:v>
                </c:pt>
                <c:pt idx="148">
                  <c:v>63.764606771571565</c:v>
                </c:pt>
                <c:pt idx="149">
                  <c:v>63.774556724048622</c:v>
                </c:pt>
                <c:pt idx="150">
                  <c:v>63.78018984872449</c:v>
                </c:pt>
                <c:pt idx="151">
                  <c:v>63.781633637765687</c:v>
                </c:pt>
                <c:pt idx="152">
                  <c:v>63.779015581875242</c:v>
                </c:pt>
                <c:pt idx="153">
                  <c:v>63.772463174084464</c:v>
                </c:pt>
                <c:pt idx="154">
                  <c:v>63.762103906134143</c:v>
                </c:pt>
                <c:pt idx="155">
                  <c:v>63.748065269858174</c:v>
                </c:pt>
                <c:pt idx="156">
                  <c:v>63.730474756458513</c:v>
                </c:pt>
                <c:pt idx="157">
                  <c:v>63.709459857828918</c:v>
                </c:pt>
                <c:pt idx="158">
                  <c:v>63.685148066528399</c:v>
                </c:pt>
                <c:pt idx="159">
                  <c:v>63.657666873492829</c:v>
                </c:pt>
                <c:pt idx="160">
                  <c:v>63.627143770582705</c:v>
                </c:pt>
                <c:pt idx="161">
                  <c:v>63.593706250097604</c:v>
                </c:pt>
                <c:pt idx="162">
                  <c:v>63.556860001544869</c:v>
                </c:pt>
                <c:pt idx="163">
                  <c:v>63.516128608065529</c:v>
                </c:pt>
                <c:pt idx="164">
                  <c:v>63.471666401771031</c:v>
                </c:pt>
                <c:pt idx="165">
                  <c:v>63.423627715078851</c:v>
                </c:pt>
                <c:pt idx="166">
                  <c:v>63.372166880512872</c:v>
                </c:pt>
                <c:pt idx="167">
                  <c:v>63.31743822923994</c:v>
                </c:pt>
                <c:pt idx="168">
                  <c:v>63.259596093883744</c:v>
                </c:pt>
                <c:pt idx="169">
                  <c:v>63.198794806988111</c:v>
                </c:pt>
                <c:pt idx="170">
                  <c:v>63.135188700438349</c:v>
                </c:pt>
                <c:pt idx="171">
                  <c:v>63.068932106385809</c:v>
                </c:pt>
                <c:pt idx="172">
                  <c:v>63.000179357440878</c:v>
                </c:pt>
                <c:pt idx="173">
                  <c:v>62.929084784989904</c:v>
                </c:pt>
                <c:pt idx="174">
                  <c:v>62.855802721876117</c:v>
                </c:pt>
                <c:pt idx="175">
                  <c:v>62.78048750013113</c:v>
                </c:pt>
                <c:pt idx="176">
                  <c:v>62.702725330164782</c:v>
                </c:pt>
                <c:pt idx="177">
                  <c:v>62.622084530083725</c:v>
                </c:pt>
                <c:pt idx="178">
                  <c:v>62.538692590541075</c:v>
                </c:pt>
                <c:pt idx="179">
                  <c:v>62.45267700462469</c:v>
                </c:pt>
                <c:pt idx="180">
                  <c:v>62.364165262834703</c:v>
                </c:pt>
                <c:pt idx="181">
                  <c:v>62.273284857866486</c:v>
                </c:pt>
                <c:pt idx="182">
                  <c:v>62.18016328110825</c:v>
                </c:pt>
                <c:pt idx="183">
                  <c:v>62.084928024852914</c:v>
                </c:pt>
                <c:pt idx="184">
                  <c:v>61.987706580412173</c:v>
                </c:pt>
                <c:pt idx="185">
                  <c:v>61.888626439510176</c:v>
                </c:pt>
                <c:pt idx="186">
                  <c:v>61.787815094253574</c:v>
                </c:pt>
                <c:pt idx="187">
                  <c:v>61.685400036336588</c:v>
                </c:pt>
                <c:pt idx="188">
                  <c:v>61.581508757732813</c:v>
                </c:pt>
                <c:pt idx="189">
                  <c:v>61.476268749870357</c:v>
                </c:pt>
                <c:pt idx="190">
                  <c:v>61.3693579288</c:v>
                </c:pt>
                <c:pt idx="191">
                  <c:v>61.26040947499817</c:v>
                </c:pt>
                <c:pt idx="192">
                  <c:v>61.149483780572865</c:v>
                </c:pt>
                <c:pt idx="193">
                  <c:v>61.036641235323629</c:v>
                </c:pt>
                <c:pt idx="194">
                  <c:v>60.921942230683221</c:v>
                </c:pt>
                <c:pt idx="195">
                  <c:v>60.805447157146403</c:v>
                </c:pt>
                <c:pt idx="196">
                  <c:v>60.687216406106018</c:v>
                </c:pt>
                <c:pt idx="197">
                  <c:v>60.567310368143296</c:v>
                </c:pt>
                <c:pt idx="198">
                  <c:v>60.445789433706423</c:v>
                </c:pt>
                <c:pt idx="199">
                  <c:v>60.322713994228153</c:v>
                </c:pt>
                <c:pt idx="200">
                  <c:v>60.198144440110106</c:v>
                </c:pt>
                <c:pt idx="201">
                  <c:v>60.072141162498994</c:v>
                </c:pt>
                <c:pt idx="202">
                  <c:v>59.94476455204255</c:v>
                </c:pt>
                <c:pt idx="203">
                  <c:v>59.816074999747798</c:v>
                </c:pt>
                <c:pt idx="204">
                  <c:v>59.686207826299196</c:v>
                </c:pt>
                <c:pt idx="205">
                  <c:v>59.555222303187477</c:v>
                </c:pt>
                <c:pt idx="206">
                  <c:v>59.423064750343165</c:v>
                </c:pt>
                <c:pt idx="207">
                  <c:v>59.289681486885193</c:v>
                </c:pt>
                <c:pt idx="208">
                  <c:v>59.15501883189593</c:v>
                </c:pt>
                <c:pt idx="209">
                  <c:v>59.019023104803637</c:v>
                </c:pt>
                <c:pt idx="210">
                  <c:v>58.881640624930156</c:v>
                </c:pt>
                <c:pt idx="211">
                  <c:v>58.742817711258041</c:v>
                </c:pt>
                <c:pt idx="212">
                  <c:v>58.602500683245516</c:v>
                </c:pt>
                <c:pt idx="213">
                  <c:v>58.460635859898424</c:v>
                </c:pt>
                <c:pt idx="214">
                  <c:v>58.317169560661675</c:v>
                </c:pt>
                <c:pt idx="215">
                  <c:v>58.172048105059986</c:v>
                </c:pt>
                <c:pt idx="216">
                  <c:v>58.025217811600307</c:v>
                </c:pt>
                <c:pt idx="217">
                  <c:v>57.876625000033528</c:v>
                </c:pt>
                <c:pt idx="218">
                  <c:v>57.726845619784271</c:v>
                </c:pt>
                <c:pt idx="219">
                  <c:v>57.576343786496935</c:v>
                </c:pt>
                <c:pt idx="220">
                  <c:v>57.424898066315137</c:v>
                </c:pt>
                <c:pt idx="221">
                  <c:v>57.272287026340408</c:v>
                </c:pt>
                <c:pt idx="222">
                  <c:v>57.118289233148758</c:v>
                </c:pt>
                <c:pt idx="223">
                  <c:v>56.962683254234221</c:v>
                </c:pt>
                <c:pt idx="224">
                  <c:v>56.805247656302527</c:v>
                </c:pt>
                <c:pt idx="225">
                  <c:v>56.645761005833215</c:v>
                </c:pt>
                <c:pt idx="226">
                  <c:v>56.484001869848001</c:v>
                </c:pt>
                <c:pt idx="227">
                  <c:v>56.31974881547503</c:v>
                </c:pt>
                <c:pt idx="228">
                  <c:v>56.152780409313607</c:v>
                </c:pt>
                <c:pt idx="229">
                  <c:v>55.982875218568367</c:v>
                </c:pt>
                <c:pt idx="230">
                  <c:v>55.809811809782076</c:v>
                </c:pt>
                <c:pt idx="231">
                  <c:v>55.633368749823418</c:v>
                </c:pt>
                <c:pt idx="232">
                  <c:v>55.453799903828511</c:v>
                </c:pt>
                <c:pt idx="233">
                  <c:v>55.271381505113098</c:v>
                </c:pt>
                <c:pt idx="234">
                  <c:v>55.085925669808475</c:v>
                </c:pt>
                <c:pt idx="235">
                  <c:v>54.897244515356476</c:v>
                </c:pt>
                <c:pt idx="236">
                  <c:v>54.705150159538192</c:v>
                </c:pt>
                <c:pt idx="237">
                  <c:v>54.509454718884086</c:v>
                </c:pt>
                <c:pt idx="238">
                  <c:v>54.309970312681983</c:v>
                </c:pt>
                <c:pt idx="239">
                  <c:v>54.106509055789289</c:v>
                </c:pt>
                <c:pt idx="240">
                  <c:v>53.89888306729096</c:v>
                </c:pt>
                <c:pt idx="241">
                  <c:v>53.6869044641698</c:v>
                </c:pt>
                <c:pt idx="242">
                  <c:v>53.470385363242322</c:v>
                </c:pt>
                <c:pt idx="243">
                  <c:v>53.249137882868361</c:v>
                </c:pt>
                <c:pt idx="244">
                  <c:v>53.022974138537279</c:v>
                </c:pt>
                <c:pt idx="245">
                  <c:v>52.791706250142305</c:v>
                </c:pt>
                <c:pt idx="246">
                  <c:v>52.555046799143639</c:v>
                </c:pt>
                <c:pt idx="247">
                  <c:v>52.312936515966427</c:v>
                </c:pt>
                <c:pt idx="248">
                  <c:v>52.065529730972571</c:v>
                </c:pt>
                <c:pt idx="249">
                  <c:v>51.812980776187032</c:v>
                </c:pt>
                <c:pt idx="250">
                  <c:v>51.555443984652598</c:v>
                </c:pt>
                <c:pt idx="251">
                  <c:v>51.29307368778889</c:v>
                </c:pt>
                <c:pt idx="252">
                  <c:v>51.026024218555541</c:v>
                </c:pt>
                <c:pt idx="253">
                  <c:v>50.754449908648219</c:v>
                </c:pt>
                <c:pt idx="254">
                  <c:v>50.478505090501031</c:v>
                </c:pt>
                <c:pt idx="255">
                  <c:v>50.198344096308574</c:v>
                </c:pt>
                <c:pt idx="256">
                  <c:v>49.914121257753251</c:v>
                </c:pt>
                <c:pt idx="257">
                  <c:v>49.625990907515266</c:v>
                </c:pt>
                <c:pt idx="258">
                  <c:v>49.334107377383461</c:v>
                </c:pt>
                <c:pt idx="259">
                  <c:v>49.038624999858442</c:v>
                </c:pt>
                <c:pt idx="260">
                  <c:v>48.738894014265057</c:v>
                </c:pt>
                <c:pt idx="261">
                  <c:v>48.434430174938669</c:v>
                </c:pt>
                <c:pt idx="262">
                  <c:v>48.125636087989967</c:v>
                </c:pt>
                <c:pt idx="263">
                  <c:v>47.812914358545093</c:v>
                </c:pt>
                <c:pt idx="264">
                  <c:v>47.496667593072303</c:v>
                </c:pt>
                <c:pt idx="265">
                  <c:v>47.177298396396715</c:v>
                </c:pt>
                <c:pt idx="266">
                  <c:v>46.855209374951663</c:v>
                </c:pt>
                <c:pt idx="267">
                  <c:v>46.530803133959751</c:v>
                </c:pt>
                <c:pt idx="268">
                  <c:v>46.204482279702958</c:v>
                </c:pt>
                <c:pt idx="269">
                  <c:v>45.876649417152763</c:v>
                </c:pt>
                <c:pt idx="270">
                  <c:v>45.547707152004094</c:v>
                </c:pt>
                <c:pt idx="271">
                  <c:v>45.218058090597125</c:v>
                </c:pt>
                <c:pt idx="272">
                  <c:v>44.888104837948262</c:v>
                </c:pt>
                <c:pt idx="273">
                  <c:v>44.558250000048432</c:v>
                </c:pt>
                <c:pt idx="274">
                  <c:v>44.227263392885547</c:v>
                </c:pt>
                <c:pt idx="275">
                  <c:v>43.893896938820504</c:v>
                </c:pt>
                <c:pt idx="276">
                  <c:v>43.558526403054458</c:v>
                </c:pt>
                <c:pt idx="277">
                  <c:v>43.221527551181083</c:v>
                </c:pt>
                <c:pt idx="278">
                  <c:v>42.883276147915915</c:v>
                </c:pt>
                <c:pt idx="279">
                  <c:v>42.544147959245102</c:v>
                </c:pt>
                <c:pt idx="280">
                  <c:v>42.204518749855922</c:v>
                </c:pt>
                <c:pt idx="281">
                  <c:v>41.864764285702918</c:v>
                </c:pt>
                <c:pt idx="282">
                  <c:v>41.525260331501656</c:v>
                </c:pt>
                <c:pt idx="283">
                  <c:v>41.186382653005424</c:v>
                </c:pt>
                <c:pt idx="284">
                  <c:v>40.848507015378814</c:v>
                </c:pt>
                <c:pt idx="285">
                  <c:v>40.512009183620094</c:v>
                </c:pt>
                <c:pt idx="286">
                  <c:v>40.177264923567421</c:v>
                </c:pt>
                <c:pt idx="287">
                  <c:v>39.844649999914694</c:v>
                </c:pt>
                <c:pt idx="288">
                  <c:v>39.512747464937689</c:v>
                </c:pt>
                <c:pt idx="289">
                  <c:v>39.180109055965602</c:v>
                </c:pt>
                <c:pt idx="290">
                  <c:v>38.84706356818289</c:v>
                </c:pt>
                <c:pt idx="291">
                  <c:v>38.513939795722919</c:v>
                </c:pt>
                <c:pt idx="292">
                  <c:v>38.181066533861618</c:v>
                </c:pt>
                <c:pt idx="293">
                  <c:v>37.84877257669411</c:v>
                </c:pt>
                <c:pt idx="294">
                  <c:v>37.517386718653142</c:v>
                </c:pt>
                <c:pt idx="295">
                  <c:v>37.187237755282382</c:v>
                </c:pt>
                <c:pt idx="296">
                  <c:v>36.858654480101542</c:v>
                </c:pt>
                <c:pt idx="297">
                  <c:v>36.53196568881561</c:v>
                </c:pt>
                <c:pt idx="298">
                  <c:v>36.207500175345089</c:v>
                </c:pt>
                <c:pt idx="299">
                  <c:v>35.885586734821217</c:v>
                </c:pt>
                <c:pt idx="300">
                  <c:v>35.566554161374057</c:v>
                </c:pt>
                <c:pt idx="301">
                  <c:v>35.250731250294486</c:v>
                </c:pt>
                <c:pt idx="302">
                  <c:v>34.936671975497816</c:v>
                </c:pt>
                <c:pt idx="303">
                  <c:v>34.622970571927723</c:v>
                </c:pt>
                <c:pt idx="304">
                  <c:v>34.31001622635273</c:v>
                </c:pt>
                <c:pt idx="305">
                  <c:v>33.998198123099947</c:v>
                </c:pt>
                <c:pt idx="306">
                  <c:v>33.687905448335883</c:v>
                </c:pt>
                <c:pt idx="307">
                  <c:v>33.379527386929837</c:v>
                </c:pt>
                <c:pt idx="308">
                  <c:v>33.073453125217931</c:v>
                </c:pt>
                <c:pt idx="309">
                  <c:v>32.770071847730179</c:v>
                </c:pt>
                <c:pt idx="310">
                  <c:v>32.46977274074618</c:v>
                </c:pt>
                <c:pt idx="311">
                  <c:v>32.172944989733935</c:v>
                </c:pt>
                <c:pt idx="312">
                  <c:v>31.879977779058809</c:v>
                </c:pt>
                <c:pt idx="313">
                  <c:v>31.591260295780376</c:v>
                </c:pt>
                <c:pt idx="314">
                  <c:v>31.307181724505167</c:v>
                </c:pt>
                <c:pt idx="315">
                  <c:v>31.028131251037124</c:v>
                </c:pt>
                <c:pt idx="316">
                  <c:v>30.752123178022778</c:v>
                </c:pt>
                <c:pt idx="317">
                  <c:v>30.477291688136756</c:v>
                </c:pt>
                <c:pt idx="318">
                  <c:v>30.204205791026887</c:v>
                </c:pt>
                <c:pt idx="319">
                  <c:v>29.933434490047922</c:v>
                </c:pt>
                <c:pt idx="320">
                  <c:v>29.665546793257818</c:v>
                </c:pt>
                <c:pt idx="321">
                  <c:v>29.401111705335126</c:v>
                </c:pt>
                <c:pt idx="322">
                  <c:v>29.140698233619332</c:v>
                </c:pt>
                <c:pt idx="323">
                  <c:v>28.884875384492005</c:v>
                </c:pt>
                <c:pt idx="324">
                  <c:v>28.634212163536411</c:v>
                </c:pt>
                <c:pt idx="325">
                  <c:v>28.389277577533253</c:v>
                </c:pt>
                <c:pt idx="326">
                  <c:v>28.150640632198858</c:v>
                </c:pt>
                <c:pt idx="327">
                  <c:v>27.918870333848254</c:v>
                </c:pt>
                <c:pt idx="328">
                  <c:v>27.694535690186811</c:v>
                </c:pt>
                <c:pt idx="329">
                  <c:v>27.478205705806612</c:v>
                </c:pt>
                <c:pt idx="330">
                  <c:v>27.268222550262827</c:v>
                </c:pt>
                <c:pt idx="331">
                  <c:v>27.062952113364425</c:v>
                </c:pt>
                <c:pt idx="332">
                  <c:v>26.862998986084545</c:v>
                </c:pt>
                <c:pt idx="333">
                  <c:v>26.668967759635834</c:v>
                </c:pt>
                <c:pt idx="334">
                  <c:v>26.481463023421483</c:v>
                </c:pt>
                <c:pt idx="335">
                  <c:v>26.301089367616392</c:v>
                </c:pt>
                <c:pt idx="336">
                  <c:v>26.128451383393259</c:v>
                </c:pt>
                <c:pt idx="337">
                  <c:v>25.964153661339413</c:v>
                </c:pt>
                <c:pt idx="338">
                  <c:v>25.808800794037857</c:v>
                </c:pt>
                <c:pt idx="339">
                  <c:v>25.66299736720643</c:v>
                </c:pt>
                <c:pt idx="340">
                  <c:v>25.527347976780899</c:v>
                </c:pt>
                <c:pt idx="341">
                  <c:v>25.402457208133171</c:v>
                </c:pt>
                <c:pt idx="342">
                  <c:v>25.288929655575856</c:v>
                </c:pt>
                <c:pt idx="343">
                  <c:v>25.187369906902312</c:v>
                </c:pt>
                <c:pt idx="344">
                  <c:v>25.097251622153109</c:v>
                </c:pt>
                <c:pt idx="345">
                  <c:v>25.017738310343088</c:v>
                </c:pt>
                <c:pt idx="346">
                  <c:v>24.948969349427507</c:v>
                </c:pt>
                <c:pt idx="347">
                  <c:v>24.891084110861634</c:v>
                </c:pt>
                <c:pt idx="348">
                  <c:v>24.844221969912276</c:v>
                </c:pt>
                <c:pt idx="349">
                  <c:v>24.808522296399609</c:v>
                </c:pt>
                <c:pt idx="350">
                  <c:v>24.784124469837366</c:v>
                </c:pt>
                <c:pt idx="351">
                  <c:v>24.771167856773243</c:v>
                </c:pt>
                <c:pt idx="352">
                  <c:v>24.769791837347206</c:v>
                </c:pt>
                <c:pt idx="353">
                  <c:v>24.780135782646575</c:v>
                </c:pt>
                <c:pt idx="354">
                  <c:v>24.802339063392573</c:v>
                </c:pt>
                <c:pt idx="355">
                  <c:v>24.836541058037781</c:v>
                </c:pt>
                <c:pt idx="356">
                  <c:v>24.88288113713044</c:v>
                </c:pt>
                <c:pt idx="357">
                  <c:v>24.941498675865347</c:v>
                </c:pt>
                <c:pt idx="358">
                  <c:v>25.012827187725183</c:v>
                </c:pt>
                <c:pt idx="359">
                  <c:v>25.09690935876349</c:v>
                </c:pt>
                <c:pt idx="360">
                  <c:v>25.19329831977857</c:v>
                </c:pt>
                <c:pt idx="361">
                  <c:v>25.301547199128002</c:v>
                </c:pt>
                <c:pt idx="362">
                  <c:v>25.421209123794888</c:v>
                </c:pt>
                <c:pt idx="363">
                  <c:v>25.551837229112103</c:v>
                </c:pt>
                <c:pt idx="364">
                  <c:v>25.692984638273202</c:v>
                </c:pt>
                <c:pt idx="365">
                  <c:v>25.844204484902576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25.790555709302424</c:v>
                </c:pt>
                <c:pt idx="1">
                  <c:v>25.974722366333008</c:v>
                </c:pt>
                <c:pt idx="2">
                  <c:v>26.166725670794648</c:v>
                </c:pt>
                <c:pt idx="3">
                  <c:v>26.365340142846104</c:v>
                </c:pt>
                <c:pt idx="4">
                  <c:v>26.569340295791626</c:v>
                </c:pt>
                <c:pt idx="5">
                  <c:v>26.777500646611053</c:v>
                </c:pt>
                <c:pt idx="6">
                  <c:v>26.988595708608624</c:v>
                </c:pt>
                <c:pt idx="7">
                  <c:v>27.20139999985695</c:v>
                </c:pt>
                <c:pt idx="8">
                  <c:v>27.418466680869461</c:v>
                </c:pt>
                <c:pt idx="9">
                  <c:v>27.643008766429766</c:v>
                </c:pt>
                <c:pt idx="10">
                  <c:v>27.874790555132286</c:v>
                </c:pt>
                <c:pt idx="11">
                  <c:v>28.113576347700189</c:v>
                </c:pt>
                <c:pt idx="12">
                  <c:v>28.359130439481568</c:v>
                </c:pt>
                <c:pt idx="13">
                  <c:v>28.611217130720615</c:v>
                </c:pt>
                <c:pt idx="14">
                  <c:v>28.869600718468426</c:v>
                </c:pt>
                <c:pt idx="15">
                  <c:v>29.1340455009469</c:v>
                </c:pt>
                <c:pt idx="16">
                  <c:v>29.404315777548721</c:v>
                </c:pt>
                <c:pt idx="17">
                  <c:v>29.680175844686374</c:v>
                </c:pt>
                <c:pt idx="18">
                  <c:v>29.961390003242663</c:v>
                </c:pt>
                <c:pt idx="19">
                  <c:v>30.247722550162244</c:v>
                </c:pt>
                <c:pt idx="20">
                  <c:v>30.538937782070469</c:v>
                </c:pt>
                <c:pt idx="21">
                  <c:v>30.834799999743701</c:v>
                </c:pt>
                <c:pt idx="22">
                  <c:v>31.137988920829127</c:v>
                </c:pt>
                <c:pt idx="23">
                  <c:v>31.450625655813404</c:v>
                </c:pt>
                <c:pt idx="24">
                  <c:v>31.771636589430273</c:v>
                </c:pt>
                <c:pt idx="25">
                  <c:v>32.099948104258097</c:v>
                </c:pt>
                <c:pt idx="26">
                  <c:v>32.434486589035281</c:v>
                </c:pt>
                <c:pt idx="27">
                  <c:v>32.774178424996457</c:v>
                </c:pt>
                <c:pt idx="28">
                  <c:v>33.11794999972917</c:v>
                </c:pt>
                <c:pt idx="29">
                  <c:v>33.464727697095704</c:v>
                </c:pt>
                <c:pt idx="30">
                  <c:v>33.813437900665619</c:v>
                </c:pt>
                <c:pt idx="31">
                  <c:v>34.163006996922192</c:v>
                </c:pt>
                <c:pt idx="32">
                  <c:v>34.512361370120196</c:v>
                </c:pt>
                <c:pt idx="33">
                  <c:v>34.860427405259436</c:v>
                </c:pt>
                <c:pt idx="34">
                  <c:v>35.206131486814201</c:v>
                </c:pt>
                <c:pt idx="35">
                  <c:v>35.548399999924001</c:v>
                </c:pt>
                <c:pt idx="36">
                  <c:v>35.888378134110411</c:v>
                </c:pt>
                <c:pt idx="37">
                  <c:v>36.22806997086321</c:v>
                </c:pt>
                <c:pt idx="38">
                  <c:v>36.567690233247617</c:v>
                </c:pt>
                <c:pt idx="39">
                  <c:v>36.9074536443688</c:v>
                </c:pt>
                <c:pt idx="40">
                  <c:v>37.247574927085751</c:v>
                </c:pt>
                <c:pt idx="41">
                  <c:v>37.588268804630005</c:v>
                </c:pt>
                <c:pt idx="42">
                  <c:v>37.929749999893829</c:v>
                </c:pt>
                <c:pt idx="43">
                  <c:v>38.272233236062206</c:v>
                </c:pt>
                <c:pt idx="44">
                  <c:v>38.615933236153793</c:v>
                </c:pt>
                <c:pt idx="45">
                  <c:v>38.961064723213873</c:v>
                </c:pt>
                <c:pt idx="46">
                  <c:v>39.307842419828688</c:v>
                </c:pt>
                <c:pt idx="47">
                  <c:v>39.656481049569059</c:v>
                </c:pt>
                <c:pt idx="48">
                  <c:v>40.007195335407076</c:v>
                </c:pt>
                <c:pt idx="49">
                  <c:v>40.36019999999553</c:v>
                </c:pt>
                <c:pt idx="50">
                  <c:v>40.715870808805008</c:v>
                </c:pt>
                <c:pt idx="51">
                  <c:v>41.074225655948979</c:v>
                </c:pt>
                <c:pt idx="52">
                  <c:v>41.43494245634065</c:v>
                </c:pt>
                <c:pt idx="53">
                  <c:v>41.797699125452034</c:v>
                </c:pt>
                <c:pt idx="54">
                  <c:v>42.162173578636427</c:v>
                </c:pt>
                <c:pt idx="55">
                  <c:v>42.528043731829634</c:v>
                </c:pt>
                <c:pt idx="56">
                  <c:v>42.894987500105344</c:v>
                </c:pt>
                <c:pt idx="57">
                  <c:v>43.262682798696083</c:v>
                </c:pt>
                <c:pt idx="58">
                  <c:v>43.630807543661128</c:v>
                </c:pt>
                <c:pt idx="59">
                  <c:v>43.999039650151715</c:v>
                </c:pt>
                <c:pt idx="60">
                  <c:v>44.367057033557749</c:v>
                </c:pt>
                <c:pt idx="61">
                  <c:v>44.734537609299878</c:v>
                </c:pt>
                <c:pt idx="62">
                  <c:v>45.101159292996456</c:v>
                </c:pt>
                <c:pt idx="63">
                  <c:v>45.466600000002657</c:v>
                </c:pt>
                <c:pt idx="64">
                  <c:v>45.831808090382921</c:v>
                </c:pt>
                <c:pt idx="65">
                  <c:v>46.197803498553448</c:v>
                </c:pt>
                <c:pt idx="66">
                  <c:v>46.564371501429044</c:v>
                </c:pt>
                <c:pt idx="67">
                  <c:v>46.931297376086249</c:v>
                </c:pt>
                <c:pt idx="68">
                  <c:v>47.298366399422228</c:v>
                </c:pt>
                <c:pt idx="69">
                  <c:v>47.665363848393987</c:v>
                </c:pt>
                <c:pt idx="70">
                  <c:v>48.032075000049375</c:v>
                </c:pt>
                <c:pt idx="71">
                  <c:v>48.398285131276602</c:v>
                </c:pt>
                <c:pt idx="72">
                  <c:v>48.763779518911697</c:v>
                </c:pt>
                <c:pt idx="73">
                  <c:v>49.128343440133278</c:v>
                </c:pt>
                <c:pt idx="74">
                  <c:v>49.491762172083583</c:v>
                </c:pt>
                <c:pt idx="75">
                  <c:v>49.853820991318209</c:v>
                </c:pt>
                <c:pt idx="76">
                  <c:v>50.214305175098083</c:v>
                </c:pt>
                <c:pt idx="77">
                  <c:v>50.572999999672177</c:v>
                </c:pt>
                <c:pt idx="78">
                  <c:v>50.932553717121479</c:v>
                </c:pt>
                <c:pt idx="79">
                  <c:v>51.295041982616702</c:v>
                </c:pt>
                <c:pt idx="80">
                  <c:v>51.659391181250768</c:v>
                </c:pt>
                <c:pt idx="81">
                  <c:v>52.02452769726515</c:v>
                </c:pt>
                <c:pt idx="82">
                  <c:v>52.389377916298272</c:v>
                </c:pt>
                <c:pt idx="83">
                  <c:v>52.752868222445251</c:v>
                </c:pt>
                <c:pt idx="84">
                  <c:v>53.113925000652671</c:v>
                </c:pt>
                <c:pt idx="85">
                  <c:v>53.471474636372719</c:v>
                </c:pt>
                <c:pt idx="86">
                  <c:v>53.824443513913344</c:v>
                </c:pt>
                <c:pt idx="87">
                  <c:v>54.171758018008305</c:v>
                </c:pt>
                <c:pt idx="88">
                  <c:v>54.512344535107594</c:v>
                </c:pt>
                <c:pt idx="89">
                  <c:v>54.845129448494745</c:v>
                </c:pt>
                <c:pt idx="90">
                  <c:v>55.169039141692757</c:v>
                </c:pt>
                <c:pt idx="91">
                  <c:v>55.483000002056357</c:v>
                </c:pt>
                <c:pt idx="92">
                  <c:v>55.788855067214797</c:v>
                </c:pt>
                <c:pt idx="93">
                  <c:v>56.089091545982022</c:v>
                </c:pt>
                <c:pt idx="94">
                  <c:v>56.383602077780026</c:v>
                </c:pt>
                <c:pt idx="95">
                  <c:v>56.67227930139218</c:v>
                </c:pt>
                <c:pt idx="96">
                  <c:v>56.955015853313469</c:v>
                </c:pt>
                <c:pt idx="97">
                  <c:v>57.231704374296328</c:v>
                </c:pt>
                <c:pt idx="98">
                  <c:v>57.502237500250338</c:v>
                </c:pt>
                <c:pt idx="99">
                  <c:v>57.766507871981176</c:v>
                </c:pt>
                <c:pt idx="100">
                  <c:v>58.024408126835304</c:v>
                </c:pt>
                <c:pt idx="101">
                  <c:v>58.275830903862207</c:v>
                </c:pt>
                <c:pt idx="102">
                  <c:v>58.520668841313032</c:v>
                </c:pt>
                <c:pt idx="103">
                  <c:v>58.758814577013254</c:v>
                </c:pt>
                <c:pt idx="104">
                  <c:v>58.990160749586565</c:v>
                </c:pt>
                <c:pt idx="105">
                  <c:v>59.214599998295306</c:v>
                </c:pt>
                <c:pt idx="106">
                  <c:v>59.431595516098398</c:v>
                </c:pt>
                <c:pt idx="107">
                  <c:v>59.640896791964771</c:v>
                </c:pt>
                <c:pt idx="108">
                  <c:v>59.842825910608688</c:v>
                </c:pt>
                <c:pt idx="109">
                  <c:v>60.037704955892899</c:v>
                </c:pt>
                <c:pt idx="110">
                  <c:v>60.225856012318808</c:v>
                </c:pt>
                <c:pt idx="111">
                  <c:v>60.407601166090799</c:v>
                </c:pt>
                <c:pt idx="112">
                  <c:v>60.583262499421835</c:v>
                </c:pt>
                <c:pt idx="113">
                  <c:v>60.753162099527458</c:v>
                </c:pt>
                <c:pt idx="114">
                  <c:v>60.917622048407793</c:v>
                </c:pt>
                <c:pt idx="115">
                  <c:v>61.076964431681802</c:v>
                </c:pt>
                <c:pt idx="116">
                  <c:v>61.231511333584784</c:v>
                </c:pt>
                <c:pt idx="117">
                  <c:v>61.381584838990662</c:v>
                </c:pt>
                <c:pt idx="118">
                  <c:v>61.527507033305504</c:v>
                </c:pt>
                <c:pt idx="119">
                  <c:v>61.669600000977518</c:v>
                </c:pt>
                <c:pt idx="120">
                  <c:v>61.807147996234036</c:v>
                </c:pt>
                <c:pt idx="121">
                  <c:v>61.939292128703428</c:v>
                </c:pt>
                <c:pt idx="122">
                  <c:v>62.066139759708719</c:v>
                </c:pt>
                <c:pt idx="123">
                  <c:v>62.187798250785896</c:v>
                </c:pt>
                <c:pt idx="124">
                  <c:v>62.304374963204779</c:v>
                </c:pt>
                <c:pt idx="125">
                  <c:v>62.415977259831763</c:v>
                </c:pt>
                <c:pt idx="126">
                  <c:v>62.52271250076592</c:v>
                </c:pt>
                <c:pt idx="127">
                  <c:v>62.624688046744879</c:v>
                </c:pt>
                <c:pt idx="128">
                  <c:v>62.722011260315774</c:v>
                </c:pt>
                <c:pt idx="129">
                  <c:v>62.814789504770715</c:v>
                </c:pt>
                <c:pt idx="130">
                  <c:v>62.90313013808003</c:v>
                </c:pt>
                <c:pt idx="131">
                  <c:v>62.987140524706675</c:v>
                </c:pt>
                <c:pt idx="132">
                  <c:v>63.06692802448358</c:v>
                </c:pt>
                <c:pt idx="133">
                  <c:v>63.142600000649693</c:v>
                </c:pt>
                <c:pt idx="134">
                  <c:v>63.213530174350105</c:v>
                </c:pt>
                <c:pt idx="135">
                  <c:v>63.279163848076543</c:v>
                </c:pt>
                <c:pt idx="136">
                  <c:v>63.33971574380994</c:v>
                </c:pt>
                <c:pt idx="137">
                  <c:v>63.395400582892556</c:v>
                </c:pt>
                <c:pt idx="138">
                  <c:v>63.446433090604842</c:v>
                </c:pt>
                <c:pt idx="139">
                  <c:v>63.493027988395511</c:v>
                </c:pt>
                <c:pt idx="140">
                  <c:v>63.535400000028311</c:v>
                </c:pt>
                <c:pt idx="141">
                  <c:v>63.573763848521878</c:v>
                </c:pt>
                <c:pt idx="142">
                  <c:v>63.608334256628794</c:v>
                </c:pt>
                <c:pt idx="143">
                  <c:v>63.639325947953125</c:v>
                </c:pt>
                <c:pt idx="144">
                  <c:v>63.666953644608817</c:v>
                </c:pt>
                <c:pt idx="145">
                  <c:v>63.691432070199923</c:v>
                </c:pt>
                <c:pt idx="146">
                  <c:v>63.712975947878192</c:v>
                </c:pt>
                <c:pt idx="147">
                  <c:v>63.731799999997023</c:v>
                </c:pt>
                <c:pt idx="148">
                  <c:v>63.747814759505651</c:v>
                </c:pt>
                <c:pt idx="149">
                  <c:v>63.760716035110612</c:v>
                </c:pt>
                <c:pt idx="150">
                  <c:v>63.77039646522276</c:v>
                </c:pt>
                <c:pt idx="151">
                  <c:v>63.776748688199689</c:v>
                </c:pt>
                <c:pt idx="152">
                  <c:v>63.779665342851409</c:v>
                </c:pt>
                <c:pt idx="153">
                  <c:v>63.779039067029956</c:v>
                </c:pt>
                <c:pt idx="154">
                  <c:v>63.774762500450016</c:v>
                </c:pt>
                <c:pt idx="155">
                  <c:v>63.766728280644337</c:v>
                </c:pt>
                <c:pt idx="156">
                  <c:v>63.754829045677823</c:v>
                </c:pt>
                <c:pt idx="157">
                  <c:v>63.738957434786222</c:v>
                </c:pt>
                <c:pt idx="158">
                  <c:v>63.719006086806097</c:v>
                </c:pt>
                <c:pt idx="159">
                  <c:v>63.694867639562929</c:v>
                </c:pt>
                <c:pt idx="160">
                  <c:v>63.666434730110424</c:v>
                </c:pt>
                <c:pt idx="161">
                  <c:v>63.633600000292063</c:v>
                </c:pt>
                <c:pt idx="162">
                  <c:v>63.595594023886534</c:v>
                </c:pt>
                <c:pt idx="163">
                  <c:v>63.552005247771739</c:v>
                </c:pt>
                <c:pt idx="164">
                  <c:v>63.503263119874262</c:v>
                </c:pt>
                <c:pt idx="165">
                  <c:v>63.449797085140439</c:v>
                </c:pt>
                <c:pt idx="166">
                  <c:v>63.39203658942133</c:v>
                </c:pt>
                <c:pt idx="167">
                  <c:v>63.330411078621225</c:v>
                </c:pt>
                <c:pt idx="168">
                  <c:v>63.26535000000149</c:v>
                </c:pt>
                <c:pt idx="169">
                  <c:v>63.197282799226898</c:v>
                </c:pt>
                <c:pt idx="170">
                  <c:v>63.12663892124381</c:v>
                </c:pt>
                <c:pt idx="171">
                  <c:v>63.053847813180518</c:v>
                </c:pt>
                <c:pt idx="172">
                  <c:v>62.979338921633143</c:v>
                </c:pt>
                <c:pt idx="173">
                  <c:v>62.903541691069087</c:v>
                </c:pt>
                <c:pt idx="174">
                  <c:v>62.826885568350555</c:v>
                </c:pt>
                <c:pt idx="175">
                  <c:v>62.749799999594686</c:v>
                </c:pt>
                <c:pt idx="176">
                  <c:v>62.67164081635751</c:v>
                </c:pt>
                <c:pt idx="177">
                  <c:v>62.591477550619416</c:v>
                </c:pt>
                <c:pt idx="178">
                  <c:v>62.509310204243022</c:v>
                </c:pt>
                <c:pt idx="179">
                  <c:v>62.425138775791446</c:v>
                </c:pt>
                <c:pt idx="180">
                  <c:v>62.338963265105022</c:v>
                </c:pt>
                <c:pt idx="181">
                  <c:v>62.250783673514206</c:v>
                </c:pt>
                <c:pt idx="182">
                  <c:v>62.160600000061095</c:v>
                </c:pt>
                <c:pt idx="183">
                  <c:v>62.068412244852098</c:v>
                </c:pt>
                <c:pt idx="184">
                  <c:v>61.974220407993663</c:v>
                </c:pt>
                <c:pt idx="185">
                  <c:v>61.878024489539008</c:v>
                </c:pt>
                <c:pt idx="186">
                  <c:v>61.779824489940481</c:v>
                </c:pt>
                <c:pt idx="187">
                  <c:v>61.679620407894255</c:v>
                </c:pt>
                <c:pt idx="188">
                  <c:v>61.577412244996857</c:v>
                </c:pt>
                <c:pt idx="189">
                  <c:v>61.47319999970496</c:v>
                </c:pt>
                <c:pt idx="190">
                  <c:v>61.366751056723309</c:v>
                </c:pt>
                <c:pt idx="191">
                  <c:v>61.257904372763413</c:v>
                </c:pt>
                <c:pt idx="192">
                  <c:v>61.146767310345808</c:v>
                </c:pt>
                <c:pt idx="193">
                  <c:v>61.033447230607273</c:v>
                </c:pt>
                <c:pt idx="194">
                  <c:v>60.918051494245546</c:v>
                </c:pt>
                <c:pt idx="195">
                  <c:v>60.800687463714596</c:v>
                </c:pt>
                <c:pt idx="196">
                  <c:v>60.681462500058117</c:v>
                </c:pt>
                <c:pt idx="197">
                  <c:v>60.560483965064805</c:v>
                </c:pt>
                <c:pt idx="198">
                  <c:v>60.437859220044423</c:v>
                </c:pt>
                <c:pt idx="199">
                  <c:v>60.313695626652667</c:v>
                </c:pt>
                <c:pt idx="200">
                  <c:v>60.188100546598434</c:v>
                </c:pt>
                <c:pt idx="201">
                  <c:v>60.061181341164875</c:v>
                </c:pt>
                <c:pt idx="202">
                  <c:v>59.933045371608536</c:v>
                </c:pt>
                <c:pt idx="203">
                  <c:v>59.80379999987781</c:v>
                </c:pt>
                <c:pt idx="204">
                  <c:v>59.673284183628859</c:v>
                </c:pt>
                <c:pt idx="205">
                  <c:v>59.541265306089613</c:v>
                </c:pt>
                <c:pt idx="206">
                  <c:v>59.407743367260061</c:v>
                </c:pt>
                <c:pt idx="207">
                  <c:v>59.272718367406299</c:v>
                </c:pt>
                <c:pt idx="208">
                  <c:v>59.136190306075981</c:v>
                </c:pt>
                <c:pt idx="209">
                  <c:v>58.998159183481974</c:v>
                </c:pt>
                <c:pt idx="210">
                  <c:v>58.858624999783935</c:v>
                </c:pt>
                <c:pt idx="211">
                  <c:v>58.717587755061686</c:v>
                </c:pt>
                <c:pt idx="212">
                  <c:v>58.575047448836266</c:v>
                </c:pt>
                <c:pt idx="213">
                  <c:v>58.431004081480204</c:v>
                </c:pt>
                <c:pt idx="214">
                  <c:v>58.285457652807239</c:v>
                </c:pt>
                <c:pt idx="215">
                  <c:v>58.138408163056852</c:v>
                </c:pt>
                <c:pt idx="216">
                  <c:v>57.989855612082671</c:v>
                </c:pt>
                <c:pt idx="217">
                  <c:v>57.839800000004473</c:v>
                </c:pt>
                <c:pt idx="218">
                  <c:v>57.688473943115355</c:v>
                </c:pt>
                <c:pt idx="219">
                  <c:v>57.53603848389217</c:v>
                </c:pt>
                <c:pt idx="220">
                  <c:v>57.382386261091696</c:v>
                </c:pt>
                <c:pt idx="221">
                  <c:v>57.227409912565989</c:v>
                </c:pt>
                <c:pt idx="222">
                  <c:v>57.07100207741771</c:v>
                </c:pt>
                <c:pt idx="223">
                  <c:v>56.913055393898063</c:v>
                </c:pt>
                <c:pt idx="224">
                  <c:v>56.753462500032036</c:v>
                </c:pt>
                <c:pt idx="225">
                  <c:v>56.592116035281549</c:v>
                </c:pt>
                <c:pt idx="226">
                  <c:v>56.428908637365588</c:v>
                </c:pt>
                <c:pt idx="227">
                  <c:v>56.263732945120765</c:v>
                </c:pt>
                <c:pt idx="228">
                  <c:v>56.09648159655876</c:v>
                </c:pt>
                <c:pt idx="229">
                  <c:v>55.927047230329904</c:v>
                </c:pt>
                <c:pt idx="230">
                  <c:v>55.755322485922704</c:v>
                </c:pt>
                <c:pt idx="231">
                  <c:v>55.581200000271203</c:v>
                </c:pt>
                <c:pt idx="232">
                  <c:v>55.406701749909132</c:v>
                </c:pt>
                <c:pt idx="233">
                  <c:v>55.233348688589672</c:v>
                </c:pt>
                <c:pt idx="234">
                  <c:v>55.060281924956612</c:v>
                </c:pt>
                <c:pt idx="235">
                  <c:v>54.88664256621685</c:v>
                </c:pt>
                <c:pt idx="236">
                  <c:v>54.711571720827898</c:v>
                </c:pt>
                <c:pt idx="237">
                  <c:v>54.534210496395829</c:v>
                </c:pt>
                <c:pt idx="238">
                  <c:v>54.353700000792742</c:v>
                </c:pt>
                <c:pt idx="239">
                  <c:v>54.169181341837557</c:v>
                </c:pt>
                <c:pt idx="240">
                  <c:v>53.979795627588672</c:v>
                </c:pt>
                <c:pt idx="241">
                  <c:v>53.784683965465852</c:v>
                </c:pt>
                <c:pt idx="242">
                  <c:v>53.582987464325768</c:v>
                </c:pt>
                <c:pt idx="243">
                  <c:v>53.373847231162451</c:v>
                </c:pt>
                <c:pt idx="244">
                  <c:v>53.156404375258298</c:v>
                </c:pt>
                <c:pt idx="245">
                  <c:v>52.929800000786784</c:v>
                </c:pt>
                <c:pt idx="246">
                  <c:v>52.694391984386108</c:v>
                </c:pt>
                <c:pt idx="247">
                  <c:v>52.451397085083386</c:v>
                </c:pt>
                <c:pt idx="248">
                  <c:v>52.201244753120207</c:v>
                </c:pt>
                <c:pt idx="249">
                  <c:v>51.944364431713304</c:v>
                </c:pt>
                <c:pt idx="250">
                  <c:v>51.681185569188429</c:v>
                </c:pt>
                <c:pt idx="251">
                  <c:v>51.412137609400915</c:v>
                </c:pt>
                <c:pt idx="252">
                  <c:v>51.137650001049039</c:v>
                </c:pt>
                <c:pt idx="253">
                  <c:v>50.858152187189887</c:v>
                </c:pt>
                <c:pt idx="254">
                  <c:v>50.574073615616989</c:v>
                </c:pt>
                <c:pt idx="255">
                  <c:v>50.285843731995143</c:v>
                </c:pt>
                <c:pt idx="256">
                  <c:v>49.993891982627765</c:v>
                </c:pt>
                <c:pt idx="257">
                  <c:v>49.698647813605412</c:v>
                </c:pt>
                <c:pt idx="258">
                  <c:v>49.400540670805746</c:v>
                </c:pt>
                <c:pt idx="259">
                  <c:v>49.1</c:v>
                </c:pt>
                <c:pt idx="260">
                  <c:v>48.794520700015291</c:v>
                </c:pt>
                <c:pt idx="261">
                  <c:v>48.481883964731239</c:v>
                </c:pt>
                <c:pt idx="262">
                  <c:v>48.162948688244796</c:v>
                </c:pt>
                <c:pt idx="263">
                  <c:v>47.838573760821177</c:v>
                </c:pt>
                <c:pt idx="264">
                  <c:v>47.509618075759086</c:v>
                </c:pt>
                <c:pt idx="265">
                  <c:v>47.176940525078678</c:v>
                </c:pt>
                <c:pt idx="266">
                  <c:v>46.841400000058641</c:v>
                </c:pt>
                <c:pt idx="267">
                  <c:v>46.503855393677284</c:v>
                </c:pt>
                <c:pt idx="268">
                  <c:v>46.165165597689963</c:v>
                </c:pt>
                <c:pt idx="269">
                  <c:v>45.826189504490642</c:v>
                </c:pt>
                <c:pt idx="270">
                  <c:v>45.487786005941075</c:v>
                </c:pt>
                <c:pt idx="271">
                  <c:v>45.150813994219888</c:v>
                </c:pt>
                <c:pt idx="272">
                  <c:v>44.816132361512949</c:v>
                </c:pt>
                <c:pt idx="273">
                  <c:v>44.484599999999048</c:v>
                </c:pt>
                <c:pt idx="274">
                  <c:v>44.154928571428179</c:v>
                </c:pt>
                <c:pt idx="275">
                  <c:v>43.825257142856884</c:v>
                </c:pt>
                <c:pt idx="276">
                  <c:v>43.495585714283514</c:v>
                </c:pt>
                <c:pt idx="277">
                  <c:v>43.165914285712645</c:v>
                </c:pt>
                <c:pt idx="278">
                  <c:v>42.836242857141769</c:v>
                </c:pt>
                <c:pt idx="279">
                  <c:v>42.506571428570894</c:v>
                </c:pt>
                <c:pt idx="280">
                  <c:v>42.176900000000025</c:v>
                </c:pt>
                <c:pt idx="281">
                  <c:v>41.847228571427486</c:v>
                </c:pt>
                <c:pt idx="282">
                  <c:v>41.517557142855367</c:v>
                </c:pt>
                <c:pt idx="283">
                  <c:v>41.187885714284491</c:v>
                </c:pt>
                <c:pt idx="284">
                  <c:v>40.858214285713622</c:v>
                </c:pt>
                <c:pt idx="285">
                  <c:v>40.528542857142746</c:v>
                </c:pt>
                <c:pt idx="286">
                  <c:v>40.19887142856917</c:v>
                </c:pt>
                <c:pt idx="287">
                  <c:v>39.869199999998088</c:v>
                </c:pt>
                <c:pt idx="288">
                  <c:v>39.538598104925349</c:v>
                </c:pt>
                <c:pt idx="289">
                  <c:v>39.206421574324899</c:v>
                </c:pt>
                <c:pt idx="290">
                  <c:v>38.873099854287283</c:v>
                </c:pt>
                <c:pt idx="291">
                  <c:v>38.539062390794527</c:v>
                </c:pt>
                <c:pt idx="292">
                  <c:v>38.204738629595624</c:v>
                </c:pt>
                <c:pt idx="293">
                  <c:v>37.870558017497288</c:v>
                </c:pt>
                <c:pt idx="294">
                  <c:v>37.536950000084474</c:v>
                </c:pt>
                <c:pt idx="295">
                  <c:v>37.204344023580781</c:v>
                </c:pt>
                <c:pt idx="296">
                  <c:v>36.873169533596744</c:v>
                </c:pt>
                <c:pt idx="297">
                  <c:v>36.543855976863831</c:v>
                </c:pt>
                <c:pt idx="298">
                  <c:v>36.216832798965747</c:v>
                </c:pt>
                <c:pt idx="299">
                  <c:v>35.892529445913219</c:v>
                </c:pt>
                <c:pt idx="300">
                  <c:v>35.571375364408809</c:v>
                </c:pt>
                <c:pt idx="301">
                  <c:v>35.253799999877813</c:v>
                </c:pt>
                <c:pt idx="302">
                  <c:v>34.938228717393109</c:v>
                </c:pt>
                <c:pt idx="303">
                  <c:v>34.623086880573204</c:v>
                </c:pt>
                <c:pt idx="304">
                  <c:v>34.308803935774733</c:v>
                </c:pt>
                <c:pt idx="305">
                  <c:v>33.995809329726868</c:v>
                </c:pt>
                <c:pt idx="306">
                  <c:v>33.684532506843759</c:v>
                </c:pt>
                <c:pt idx="307">
                  <c:v>33.37540291547775</c:v>
                </c:pt>
                <c:pt idx="308">
                  <c:v>33.068849999457598</c:v>
                </c:pt>
                <c:pt idx="309">
                  <c:v>32.765303207188843</c:v>
                </c:pt>
                <c:pt idx="310">
                  <c:v>32.465191982101118</c:v>
                </c:pt>
                <c:pt idx="311">
                  <c:v>32.168945772520132</c:v>
                </c:pt>
                <c:pt idx="312">
                  <c:v>31.876994023126151</c:v>
                </c:pt>
                <c:pt idx="313">
                  <c:v>31.58976618062173</c:v>
                </c:pt>
                <c:pt idx="314">
                  <c:v>31.307691690325736</c:v>
                </c:pt>
                <c:pt idx="315">
                  <c:v>31.031200000643729</c:v>
                </c:pt>
                <c:pt idx="316">
                  <c:v>30.759414321450247</c:v>
                </c:pt>
                <c:pt idx="317">
                  <c:v>30.491243148914407</c:v>
                </c:pt>
                <c:pt idx="318">
                  <c:v>30.22679384068719</c:v>
                </c:pt>
                <c:pt idx="319">
                  <c:v>29.966173760912248</c:v>
                </c:pt>
                <c:pt idx="320">
                  <c:v>29.709490268837129</c:v>
                </c:pt>
                <c:pt idx="321">
                  <c:v>29.456850728711913</c:v>
                </c:pt>
                <c:pt idx="322">
                  <c:v>29.208362499624492</c:v>
                </c:pt>
                <c:pt idx="323">
                  <c:v>28.96413294492023</c:v>
                </c:pt>
                <c:pt idx="324">
                  <c:v>28.724269423953125</c:v>
                </c:pt>
                <c:pt idx="325">
                  <c:v>28.488879300121749</c:v>
                </c:pt>
                <c:pt idx="326">
                  <c:v>28.258069934536302</c:v>
                </c:pt>
                <c:pt idx="327">
                  <c:v>28.031948688200544</c:v>
                </c:pt>
                <c:pt idx="328">
                  <c:v>27.810622922810062</c:v>
                </c:pt>
                <c:pt idx="329">
                  <c:v>27.59420000091195</c:v>
                </c:pt>
                <c:pt idx="330">
                  <c:v>27.379262245180353</c:v>
                </c:pt>
                <c:pt idx="331">
                  <c:v>27.163322449369094</c:v>
                </c:pt>
                <c:pt idx="332">
                  <c:v>26.947883674449155</c:v>
                </c:pt>
                <c:pt idx="333">
                  <c:v>26.734448978943487</c:v>
                </c:pt>
                <c:pt idx="334">
                  <c:v>26.52452142887882</c:v>
                </c:pt>
                <c:pt idx="335">
                  <c:v>26.319604081979822</c:v>
                </c:pt>
                <c:pt idx="336">
                  <c:v>26.12120000012219</c:v>
                </c:pt>
                <c:pt idx="337">
                  <c:v>25.930812246458874</c:v>
                </c:pt>
                <c:pt idx="338">
                  <c:v>25.749943876958319</c:v>
                </c:pt>
                <c:pt idx="339">
                  <c:v>25.580097958871299</c:v>
                </c:pt>
                <c:pt idx="340">
                  <c:v>25.422777551040053</c:v>
                </c:pt>
                <c:pt idx="341">
                  <c:v>25.279485715074195</c:v>
                </c:pt>
                <c:pt idx="342">
                  <c:v>25.151725511465752</c:v>
                </c:pt>
                <c:pt idx="343">
                  <c:v>25.040999999642374</c:v>
                </c:pt>
                <c:pt idx="344">
                  <c:v>24.944490428588217</c:v>
                </c:pt>
                <c:pt idx="345">
                  <c:v>24.858549593176161</c:v>
                </c:pt>
                <c:pt idx="346">
                  <c:v>24.783437872039421</c:v>
                </c:pt>
                <c:pt idx="347">
                  <c:v>24.719415650623187</c:v>
                </c:pt>
                <c:pt idx="348">
                  <c:v>24.666743307773555</c:v>
                </c:pt>
                <c:pt idx="349">
                  <c:v>24.625681229787212</c:v>
                </c:pt>
                <c:pt idx="350">
                  <c:v>24.596489799022674</c:v>
                </c:pt>
                <c:pt idx="351">
                  <c:v>24.579429394432474</c:v>
                </c:pt>
                <c:pt idx="352">
                  <c:v>24.574760404867785</c:v>
                </c:pt>
                <c:pt idx="353">
                  <c:v>24.582743204917229</c:v>
                </c:pt>
                <c:pt idx="354">
                  <c:v>24.603638181622539</c:v>
                </c:pt>
                <c:pt idx="355">
                  <c:v>24.637705720961094</c:v>
                </c:pt>
                <c:pt idx="356">
                  <c:v>24.68520619709577</c:v>
                </c:pt>
                <c:pt idx="357">
                  <c:v>24.746399998664856</c:v>
                </c:pt>
                <c:pt idx="358">
                  <c:v>24.823756014655032</c:v>
                </c:pt>
                <c:pt idx="359">
                  <c:v>24.918752555251121</c:v>
                </c:pt>
                <c:pt idx="360">
                  <c:v>25.030164136141543</c:v>
                </c:pt>
                <c:pt idx="361">
                  <c:v>25.156765276690326</c:v>
                </c:pt>
                <c:pt idx="362">
                  <c:v>25.297330486029388</c:v>
                </c:pt>
                <c:pt idx="363">
                  <c:v>25.450634285509587</c:v>
                </c:pt>
                <c:pt idx="364">
                  <c:v>25.615451186348992</c:v>
                </c:pt>
                <c:pt idx="365">
                  <c:v>25.790555708607041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24.528525019852513</c:v>
                </c:pt>
                <c:pt idx="1">
                  <c:v>24.297474136240545</c:v>
                </c:pt>
                <c:pt idx="2">
                  <c:v>27.383515682442006</c:v>
                </c:pt>
                <c:pt idx="3">
                  <c:v>24.454097030053351</c:v>
                </c:pt>
                <c:pt idx="4">
                  <c:v>27.046839831733369</c:v>
                </c:pt>
                <c:pt idx="5">
                  <c:v>26.739364860323523</c:v>
                </c:pt>
                <c:pt idx="6">
                  <c:v>14.932480243717823</c:v>
                </c:pt>
                <c:pt idx="7">
                  <c:v>20.323342747491672</c:v>
                </c:pt>
                <c:pt idx="8">
                  <c:v>26.033603222307448</c:v>
                </c:pt>
                <c:pt idx="9">
                  <c:v>13.230713123965954</c:v>
                </c:pt>
                <c:pt idx="10">
                  <c:v>27.813177241518638</c:v>
                </c:pt>
                <c:pt idx="11">
                  <c:v>27.969146072299974</c:v>
                </c:pt>
                <c:pt idx="12">
                  <c:v>16.029400800100351</c:v>
                </c:pt>
                <c:pt idx="13">
                  <c:v>27.813666688911876</c:v>
                </c:pt>
                <c:pt idx="14">
                  <c:v>29.472715702164702</c:v>
                </c:pt>
                <c:pt idx="15">
                  <c:v>29.178076379468706</c:v>
                </c:pt>
                <c:pt idx="16">
                  <c:v>14.816853446814875</c:v>
                </c:pt>
                <c:pt idx="17">
                  <c:v>28.469265740450702</c:v>
                </c:pt>
                <c:pt idx="18">
                  <c:v>30.474199442688686</c:v>
                </c:pt>
                <c:pt idx="19">
                  <c:v>12.344744575403277</c:v>
                </c:pt>
                <c:pt idx="20">
                  <c:v>22.745493436016041</c:v>
                </c:pt>
                <c:pt idx="21">
                  <c:v>30.694958235093285</c:v>
                </c:pt>
                <c:pt idx="22">
                  <c:v>30.768234513818296</c:v>
                </c:pt>
                <c:pt idx="23">
                  <c:v>31.46244680579083</c:v>
                </c:pt>
                <c:pt idx="24">
                  <c:v>29.965963471414504</c:v>
                </c:pt>
                <c:pt idx="25">
                  <c:v>31.037921449908918</c:v>
                </c:pt>
                <c:pt idx="26">
                  <c:v>28.920232617261767</c:v>
                </c:pt>
                <c:pt idx="27">
                  <c:v>18.517028420857695</c:v>
                </c:pt>
                <c:pt idx="28">
                  <c:v>20.355528257182332</c:v>
                </c:pt>
                <c:pt idx="29">
                  <c:v>12.271638358981564</c:v>
                </c:pt>
                <c:pt idx="30">
                  <c:v>23.585730416186674</c:v>
                </c:pt>
                <c:pt idx="31">
                  <c:v>27.944973498874095</c:v>
                </c:pt>
                <c:pt idx="32">
                  <c:v>29.540538398179784</c:v>
                </c:pt>
                <c:pt idx="33">
                  <c:v>27.40840746637317</c:v>
                </c:pt>
                <c:pt idx="34">
                  <c:v>27.911356460515268</c:v>
                </c:pt>
                <c:pt idx="35">
                  <c:v>35.533389786711119</c:v>
                </c:pt>
                <c:pt idx="36">
                  <c:v>37.103452774243969</c:v>
                </c:pt>
                <c:pt idx="37">
                  <c:v>25.358898167859724</c:v>
                </c:pt>
                <c:pt idx="38">
                  <c:v>36.552695320269571</c:v>
                </c:pt>
                <c:pt idx="39">
                  <c:v>36.795972708739512</c:v>
                </c:pt>
                <c:pt idx="40">
                  <c:v>34.208705851140202</c:v>
                </c:pt>
                <c:pt idx="41">
                  <c:v>30.625815125737557</c:v>
                </c:pt>
                <c:pt idx="42">
                  <c:v>38.463815462769276</c:v>
                </c:pt>
                <c:pt idx="43">
                  <c:v>39.79279391744533</c:v>
                </c:pt>
                <c:pt idx="44">
                  <c:v>40.073233720515397</c:v>
                </c:pt>
                <c:pt idx="45">
                  <c:v>40.326165520091415</c:v>
                </c:pt>
                <c:pt idx="46">
                  <c:v>40.772992464506032</c:v>
                </c:pt>
                <c:pt idx="47">
                  <c:v>41.216821259374889</c:v>
                </c:pt>
                <c:pt idx="48">
                  <c:v>40.739227562492772</c:v>
                </c:pt>
                <c:pt idx="49">
                  <c:v>38.479174675338513</c:v>
                </c:pt>
                <c:pt idx="50">
                  <c:v>40.655100676030095</c:v>
                </c:pt>
                <c:pt idx="51">
                  <c:v>38.737384022485628</c:v>
                </c:pt>
                <c:pt idx="52">
                  <c:v>40.196901311599696</c:v>
                </c:pt>
                <c:pt idx="53">
                  <c:v>40.899659056750139</c:v>
                </c:pt>
                <c:pt idx="54">
                  <c:v>41.03378848015074</c:v>
                </c:pt>
                <c:pt idx="55">
                  <c:v>42.028165575806206</c:v>
                </c:pt>
                <c:pt idx="56">
                  <c:v>43.012867213846995</c:v>
                </c:pt>
                <c:pt idx="57">
                  <c:v>42.246597609719124</c:v>
                </c:pt>
                <c:pt idx="58">
                  <c:v>37.045168016322464</c:v>
                </c:pt>
                <c:pt idx="59">
                  <c:v>43.00792316495</c:v>
                </c:pt>
                <c:pt idx="60">
                  <c:v>29.154269715170336</c:v>
                </c:pt>
                <c:pt idx="61">
                  <c:v>39.010447727103518</c:v>
                </c:pt>
                <c:pt idx="62">
                  <c:v>30.286197485540761</c:v>
                </c:pt>
                <c:pt idx="63">
                  <c:v>44.531611979407565</c:v>
                </c:pt>
                <c:pt idx="64">
                  <c:v>23.382336400970807</c:v>
                </c:pt>
                <c:pt idx="65">
                  <c:v>42.685529835046331</c:v>
                </c:pt>
                <c:pt idx="66">
                  <c:v>35.07193791062771</c:v>
                </c:pt>
                <c:pt idx="67">
                  <c:v>44.010087492548095</c:v>
                </c:pt>
                <c:pt idx="68">
                  <c:v>43.468612982947825</c:v>
                </c:pt>
                <c:pt idx="69">
                  <c:v>34.137173352401021</c:v>
                </c:pt>
                <c:pt idx="70">
                  <c:v>42.294025676295831</c:v>
                </c:pt>
                <c:pt idx="71">
                  <c:v>41.647039184319176</c:v>
                </c:pt>
                <c:pt idx="72">
                  <c:v>41.178376020580401</c:v>
                </c:pt>
                <c:pt idx="73">
                  <c:v>31.428093358036886</c:v>
                </c:pt>
                <c:pt idx="74">
                  <c:v>50.491533478793343</c:v>
                </c:pt>
                <c:pt idx="75">
                  <c:v>27.136616542417517</c:v>
                </c:pt>
                <c:pt idx="76">
                  <c:v>35.441978382349127</c:v>
                </c:pt>
                <c:pt idx="77">
                  <c:v>46.110957889709681</c:v>
                </c:pt>
                <c:pt idx="78">
                  <c:v>51.145293953169229</c:v>
                </c:pt>
                <c:pt idx="79">
                  <c:v>51.378117175877115</c:v>
                </c:pt>
                <c:pt idx="80">
                  <c:v>50.23936086110939</c:v>
                </c:pt>
                <c:pt idx="81">
                  <c:v>52.010873192692713</c:v>
                </c:pt>
                <c:pt idx="82">
                  <c:v>51.495753799818651</c:v>
                </c:pt>
                <c:pt idx="83">
                  <c:v>48.049790210842104</c:v>
                </c:pt>
                <c:pt idx="84">
                  <c:v>54.932815887950575</c:v>
                </c:pt>
                <c:pt idx="85">
                  <c:v>54.175577399192605</c:v>
                </c:pt>
                <c:pt idx="86">
                  <c:v>52.923988977147388</c:v>
                </c:pt>
                <c:pt idx="87">
                  <c:v>54.418783965233558</c:v>
                </c:pt>
                <c:pt idx="88">
                  <c:v>55.483183570295765</c:v>
                </c:pt>
                <c:pt idx="89">
                  <c:v>49.250450204262727</c:v>
                </c:pt>
                <c:pt idx="90">
                  <c:v>50.405835504746996</c:v>
                </c:pt>
                <c:pt idx="91">
                  <c:v>45.758995612636852</c:v>
                </c:pt>
                <c:pt idx="92">
                  <c:v>53.35954700357199</c:v>
                </c:pt>
                <c:pt idx="93">
                  <c:v>56.536713073450201</c:v>
                </c:pt>
                <c:pt idx="94">
                  <c:v>58.623693621493487</c:v>
                </c:pt>
                <c:pt idx="95">
                  <c:v>59.354429100482541</c:v>
                </c:pt>
                <c:pt idx="96">
                  <c:v>56.351753523847592</c:v>
                </c:pt>
                <c:pt idx="97">
                  <c:v>55.793489046232402</c:v>
                </c:pt>
                <c:pt idx="98">
                  <c:v>41.648731192226585</c:v>
                </c:pt>
                <c:pt idx="99">
                  <c:v>58.06042842516851</c:v>
                </c:pt>
                <c:pt idx="100">
                  <c:v>59.123099904366789</c:v>
                </c:pt>
                <c:pt idx="101">
                  <c:v>58.323508945597986</c:v>
                </c:pt>
                <c:pt idx="102">
                  <c:v>59.034851740298983</c:v>
                </c:pt>
                <c:pt idx="103">
                  <c:v>57.514245582008527</c:v>
                </c:pt>
                <c:pt idx="104">
                  <c:v>58.00017289991299</c:v>
                </c:pt>
                <c:pt idx="105">
                  <c:v>52.848516926149152</c:v>
                </c:pt>
                <c:pt idx="106">
                  <c:v>57.669742711750253</c:v>
                </c:pt>
                <c:pt idx="107">
                  <c:v>42.565319321773202</c:v>
                </c:pt>
                <c:pt idx="108">
                  <c:v>57.730407119667383</c:v>
                </c:pt>
                <c:pt idx="109">
                  <c:v>54.953153725787914</c:v>
                </c:pt>
                <c:pt idx="110">
                  <c:v>55.659407422413302</c:v>
                </c:pt>
                <c:pt idx="111">
                  <c:v>61.619887493232405</c:v>
                </c:pt>
                <c:pt idx="112">
                  <c:v>61.960154457717145</c:v>
                </c:pt>
                <c:pt idx="113">
                  <c:v>59.446721075347604</c:v>
                </c:pt>
                <c:pt idx="114">
                  <c:v>54.184367462537033</c:v>
                </c:pt>
                <c:pt idx="115">
                  <c:v>58.114308236973073</c:v>
                </c:pt>
                <c:pt idx="116">
                  <c:v>43.779467103843352</c:v>
                </c:pt>
                <c:pt idx="117">
                  <c:v>46.870510731346037</c:v>
                </c:pt>
                <c:pt idx="118">
                  <c:v>52.731591737433121</c:v>
                </c:pt>
                <c:pt idx="119">
                  <c:v>62.081683557920357</c:v>
                </c:pt>
                <c:pt idx="120">
                  <c:v>57.93362071879104</c:v>
                </c:pt>
                <c:pt idx="121">
                  <c:v>50.847443819946974</c:v>
                </c:pt>
                <c:pt idx="122">
                  <c:v>60.514631083164147</c:v>
                </c:pt>
                <c:pt idx="123">
                  <c:v>57.253924122877009</c:v>
                </c:pt>
                <c:pt idx="124">
                  <c:v>60.369568048217943</c:v>
                </c:pt>
                <c:pt idx="125">
                  <c:v>64.189889106761925</c:v>
                </c:pt>
                <c:pt idx="126">
                  <c:v>60.114108347336412</c:v>
                </c:pt>
                <c:pt idx="127">
                  <c:v>60.745186891784464</c:v>
                </c:pt>
                <c:pt idx="128">
                  <c:v>55.806669798350285</c:v>
                </c:pt>
                <c:pt idx="129">
                  <c:v>55.455663117094851</c:v>
                </c:pt>
                <c:pt idx="130">
                  <c:v>59.868864727425738</c:v>
                </c:pt>
                <c:pt idx="131">
                  <c:v>59.238727729135654</c:v>
                </c:pt>
                <c:pt idx="132">
                  <c:v>65.408960512497771</c:v>
                </c:pt>
                <c:pt idx="133">
                  <c:v>63.832836981428784</c:v>
                </c:pt>
                <c:pt idx="134">
                  <c:v>64.337487236928794</c:v>
                </c:pt>
                <c:pt idx="135">
                  <c:v>55.759884023555387</c:v>
                </c:pt>
                <c:pt idx="136">
                  <c:v>59.143869986274652</c:v>
                </c:pt>
                <c:pt idx="137">
                  <c:v>63.972000087795209</c:v>
                </c:pt>
                <c:pt idx="138">
                  <c:v>63.050548226982031</c:v>
                </c:pt>
                <c:pt idx="139">
                  <c:v>62.803447200223168</c:v>
                </c:pt>
                <c:pt idx="140">
                  <c:v>61.178268574854386</c:v>
                </c:pt>
                <c:pt idx="141">
                  <c:v>62.875998222350205</c:v>
                </c:pt>
                <c:pt idx="142">
                  <c:v>58.76828057791041</c:v>
                </c:pt>
                <c:pt idx="143">
                  <c:v>30.554357090064354</c:v>
                </c:pt>
                <c:pt idx="144">
                  <c:v>59.691953884707942</c:v>
                </c:pt>
                <c:pt idx="145">
                  <c:v>61.991403277896538</c:v>
                </c:pt>
                <c:pt idx="146">
                  <c:v>62.096546618278133</c:v>
                </c:pt>
                <c:pt idx="147">
                  <c:v>61.293375317013549</c:v>
                </c:pt>
                <c:pt idx="148">
                  <c:v>62.395871267870142</c:v>
                </c:pt>
                <c:pt idx="149">
                  <c:v>57.223999787813696</c:v>
                </c:pt>
                <c:pt idx="150">
                  <c:v>63.126585406149495</c:v>
                </c:pt>
                <c:pt idx="151">
                  <c:v>64.729267905613341</c:v>
                </c:pt>
                <c:pt idx="152">
                  <c:v>63.739845271535835</c:v>
                </c:pt>
                <c:pt idx="153">
                  <c:v>57.743879265054304</c:v>
                </c:pt>
                <c:pt idx="154">
                  <c:v>59.953702782585943</c:v>
                </c:pt>
                <c:pt idx="155">
                  <c:v>43.180770881481472</c:v>
                </c:pt>
                <c:pt idx="156">
                  <c:v>62.343880742671914</c:v>
                </c:pt>
                <c:pt idx="157">
                  <c:v>54.813719171232592</c:v>
                </c:pt>
                <c:pt idx="158">
                  <c:v>64.469263284236831</c:v>
                </c:pt>
                <c:pt idx="159">
                  <c:v>60.601331416290115</c:v>
                </c:pt>
                <c:pt idx="160">
                  <c:v>61.199848181326935</c:v>
                </c:pt>
                <c:pt idx="161">
                  <c:v>58.929674289697104</c:v>
                </c:pt>
                <c:pt idx="162">
                  <c:v>58.244062693126686</c:v>
                </c:pt>
                <c:pt idx="163">
                  <c:v>66.115436428019962</c:v>
                </c:pt>
                <c:pt idx="164">
                  <c:v>57.514759839675243</c:v>
                </c:pt>
                <c:pt idx="165">
                  <c:v>56.826713041719522</c:v>
                </c:pt>
                <c:pt idx="166">
                  <c:v>64.761857489550721</c:v>
                </c:pt>
                <c:pt idx="167">
                  <c:v>62.682408537874828</c:v>
                </c:pt>
                <c:pt idx="168">
                  <c:v>60.904385564297691</c:v>
                </c:pt>
                <c:pt idx="169">
                  <c:v>59.487278705048723</c:v>
                </c:pt>
                <c:pt idx="170">
                  <c:v>58.208712843769881</c:v>
                </c:pt>
                <c:pt idx="171">
                  <c:v>54.428674381419142</c:v>
                </c:pt>
                <c:pt idx="172">
                  <c:v>63.004166310746122</c:v>
                </c:pt>
                <c:pt idx="173">
                  <c:v>55.386626209177535</c:v>
                </c:pt>
                <c:pt idx="174">
                  <c:v>62.031075143124923</c:v>
                </c:pt>
                <c:pt idx="175">
                  <c:v>59.517932616441065</c:v>
                </c:pt>
                <c:pt idx="176">
                  <c:v>61.557220620707511</c:v>
                </c:pt>
                <c:pt idx="177">
                  <c:v>61.321800192772599</c:v>
                </c:pt>
                <c:pt idx="178">
                  <c:v>61.869999951616521</c:v>
                </c:pt>
                <c:pt idx="179">
                  <c:v>58.745144461778843</c:v>
                </c:pt>
                <c:pt idx="180">
                  <c:v>52.467807817786799</c:v>
                </c:pt>
                <c:pt idx="181">
                  <c:v>60.470455322225597</c:v>
                </c:pt>
                <c:pt idx="182">
                  <c:v>58.590912235340006</c:v>
                </c:pt>
                <c:pt idx="183">
                  <c:v>53.763656051916264</c:v>
                </c:pt>
                <c:pt idx="184">
                  <c:v>58.995697367701958</c:v>
                </c:pt>
                <c:pt idx="185">
                  <c:v>61.322232788721351</c:v>
                </c:pt>
                <c:pt idx="186">
                  <c:v>60.73746121896113</c:v>
                </c:pt>
                <c:pt idx="187">
                  <c:v>57.287148915483868</c:v>
                </c:pt>
                <c:pt idx="188">
                  <c:v>63.132463716134929</c:v>
                </c:pt>
                <c:pt idx="189">
                  <c:v>60.536567302517156</c:v>
                </c:pt>
                <c:pt idx="190">
                  <c:v>59.982897259607313</c:v>
                </c:pt>
                <c:pt idx="191">
                  <c:v>61.452728703103304</c:v>
                </c:pt>
                <c:pt idx="192">
                  <c:v>61.87528776158792</c:v>
                </c:pt>
                <c:pt idx="193">
                  <c:v>56.626097687284791</c:v>
                </c:pt>
                <c:pt idx="194">
                  <c:v>61.910407700916835</c:v>
                </c:pt>
                <c:pt idx="195">
                  <c:v>63.341573131215071</c:v>
                </c:pt>
                <c:pt idx="196">
                  <c:v>61.340662594559738</c:v>
                </c:pt>
                <c:pt idx="197">
                  <c:v>60.188178256844751</c:v>
                </c:pt>
                <c:pt idx="198">
                  <c:v>57.23689776410086</c:v>
                </c:pt>
                <c:pt idx="199">
                  <c:v>60.582660665176114</c:v>
                </c:pt>
                <c:pt idx="200">
                  <c:v>59.347072848746947</c:v>
                </c:pt>
                <c:pt idx="201">
                  <c:v>54.562753738097314</c:v>
                </c:pt>
                <c:pt idx="202">
                  <c:v>55.563972127949256</c:v>
                </c:pt>
                <c:pt idx="203">
                  <c:v>57.937152506467669</c:v>
                </c:pt>
                <c:pt idx="204">
                  <c:v>57.924820130429069</c:v>
                </c:pt>
                <c:pt idx="205">
                  <c:v>58.619065963281635</c:v>
                </c:pt>
                <c:pt idx="206">
                  <c:v>58.593405907385026</c:v>
                </c:pt>
                <c:pt idx="207">
                  <c:v>58.607976859934475</c:v>
                </c:pt>
                <c:pt idx="208">
                  <c:v>56.44038029737262</c:v>
                </c:pt>
                <c:pt idx="209">
                  <c:v>59.643858292588483</c:v>
                </c:pt>
                <c:pt idx="210">
                  <c:v>55.994393253662331</c:v>
                </c:pt>
                <c:pt idx="211">
                  <c:v>58.250484133448317</c:v>
                </c:pt>
                <c:pt idx="212">
                  <c:v>55.471900998050899</c:v>
                </c:pt>
                <c:pt idx="213">
                  <c:v>56.845203333586923</c:v>
                </c:pt>
                <c:pt idx="214">
                  <c:v>57.532187418566849</c:v>
                </c:pt>
                <c:pt idx="215">
                  <c:v>54.820289563876685</c:v>
                </c:pt>
                <c:pt idx="216">
                  <c:v>56.442491959447445</c:v>
                </c:pt>
                <c:pt idx="217">
                  <c:v>57.46185272567628</c:v>
                </c:pt>
                <c:pt idx="218">
                  <c:v>55.820902062700583</c:v>
                </c:pt>
                <c:pt idx="219">
                  <c:v>55.165911052981301</c:v>
                </c:pt>
                <c:pt idx="220">
                  <c:v>55.939165383860541</c:v>
                </c:pt>
                <c:pt idx="221">
                  <c:v>53.022413412282127</c:v>
                </c:pt>
                <c:pt idx="222">
                  <c:v>54.934751797677123</c:v>
                </c:pt>
                <c:pt idx="223">
                  <c:v>52.198759439863373</c:v>
                </c:pt>
                <c:pt idx="224">
                  <c:v>49.571963401626377</c:v>
                </c:pt>
                <c:pt idx="225">
                  <c:v>57.385484130512104</c:v>
                </c:pt>
                <c:pt idx="226">
                  <c:v>56.300151621417385</c:v>
                </c:pt>
                <c:pt idx="227">
                  <c:v>56.421516120211891</c:v>
                </c:pt>
                <c:pt idx="228">
                  <c:v>55.293372982977111</c:v>
                </c:pt>
                <c:pt idx="229">
                  <c:v>53.147705265054185</c:v>
                </c:pt>
                <c:pt idx="230">
                  <c:v>53.076716411968974</c:v>
                </c:pt>
                <c:pt idx="231">
                  <c:v>53.656818151544883</c:v>
                </c:pt>
                <c:pt idx="232">
                  <c:v>54.498162972904758</c:v>
                </c:pt>
                <c:pt idx="233">
                  <c:v>56.835581680919191</c:v>
                </c:pt>
                <c:pt idx="234">
                  <c:v>54.138140935976416</c:v>
                </c:pt>
                <c:pt idx="235">
                  <c:v>54.480093410292213</c:v>
                </c:pt>
                <c:pt idx="236">
                  <c:v>50.04617729749566</c:v>
                </c:pt>
                <c:pt idx="237">
                  <c:v>54.589001673677714</c:v>
                </c:pt>
                <c:pt idx="238">
                  <c:v>52.167327430527344</c:v>
                </c:pt>
                <c:pt idx="239">
                  <c:v>54.458266820267049</c:v>
                </c:pt>
                <c:pt idx="240">
                  <c:v>53.843045701686705</c:v>
                </c:pt>
                <c:pt idx="241">
                  <c:v>52.67575781397985</c:v>
                </c:pt>
                <c:pt idx="242">
                  <c:v>52.060228799144411</c:v>
                </c:pt>
                <c:pt idx="243">
                  <c:v>53.475031417285187</c:v>
                </c:pt>
                <c:pt idx="244">
                  <c:v>51.427835350869806</c:v>
                </c:pt>
                <c:pt idx="245">
                  <c:v>54.150203084511908</c:v>
                </c:pt>
                <c:pt idx="246">
                  <c:v>53.283178554064911</c:v>
                </c:pt>
                <c:pt idx="247">
                  <c:v>52.787883333438941</c:v>
                </c:pt>
                <c:pt idx="248">
                  <c:v>54.673871330579189</c:v>
                </c:pt>
                <c:pt idx="249">
                  <c:v>50.140065797662274</c:v>
                </c:pt>
                <c:pt idx="250">
                  <c:v>49.195092920557293</c:v>
                </c:pt>
                <c:pt idx="251">
                  <c:v>49.204296027158733</c:v>
                </c:pt>
                <c:pt idx="252">
                  <c:v>48.586768341384165</c:v>
                </c:pt>
                <c:pt idx="253">
                  <c:v>49.162761814775862</c:v>
                </c:pt>
                <c:pt idx="254">
                  <c:v>50.761032411385656</c:v>
                </c:pt>
                <c:pt idx="255">
                  <c:v>48.245201516580117</c:v>
                </c:pt>
                <c:pt idx="256">
                  <c:v>47.954871485084247</c:v>
                </c:pt>
                <c:pt idx="257">
                  <c:v>48.916978336718785</c:v>
                </c:pt>
                <c:pt idx="258">
                  <c:v>46.225866499783969</c:v>
                </c:pt>
                <c:pt idx="259">
                  <c:v>51.268544724739883</c:v>
                </c:pt>
                <c:pt idx="260">
                  <c:v>49.573640129498486</c:v>
                </c:pt>
                <c:pt idx="261">
                  <c:v>48.300652137662098</c:v>
                </c:pt>
                <c:pt idx="262">
                  <c:v>49.76167637486936</c:v>
                </c:pt>
                <c:pt idx="263">
                  <c:v>48.553663283529339</c:v>
                </c:pt>
                <c:pt idx="264">
                  <c:v>47.293332702379232</c:v>
                </c:pt>
                <c:pt idx="265">
                  <c:v>44.303472000025792</c:v>
                </c:pt>
                <c:pt idx="266">
                  <c:v>40.249037915880088</c:v>
                </c:pt>
                <c:pt idx="267">
                  <c:v>46.514117854235721</c:v>
                </c:pt>
                <c:pt idx="268">
                  <c:v>46.475483095151723</c:v>
                </c:pt>
                <c:pt idx="269">
                  <c:v>45.12039737403196</c:v>
                </c:pt>
                <c:pt idx="270">
                  <c:v>42.169880552957594</c:v>
                </c:pt>
                <c:pt idx="271">
                  <c:v>44.457549596928516</c:v>
                </c:pt>
                <c:pt idx="272">
                  <c:v>41.406216750872005</c:v>
                </c:pt>
                <c:pt idx="273">
                  <c:v>43.530133856028712</c:v>
                </c:pt>
                <c:pt idx="274">
                  <c:v>44.550821163435508</c:v>
                </c:pt>
                <c:pt idx="275">
                  <c:v>42.516161138689995</c:v>
                </c:pt>
                <c:pt idx="276">
                  <c:v>42.63273161899879</c:v>
                </c:pt>
                <c:pt idx="277">
                  <c:v>43.975140189809323</c:v>
                </c:pt>
                <c:pt idx="278">
                  <c:v>39.638043153684698</c:v>
                </c:pt>
                <c:pt idx="279">
                  <c:v>42.817625020301556</c:v>
                </c:pt>
                <c:pt idx="280">
                  <c:v>40.412475476580589</c:v>
                </c:pt>
                <c:pt idx="281">
                  <c:v>40.235517573950581</c:v>
                </c:pt>
                <c:pt idx="282">
                  <c:v>33.161350482065217</c:v>
                </c:pt>
                <c:pt idx="283">
                  <c:v>42.375150802238252</c:v>
                </c:pt>
                <c:pt idx="284">
                  <c:v>39.768274465309958</c:v>
                </c:pt>
                <c:pt idx="285">
                  <c:v>39.855056795061437</c:v>
                </c:pt>
                <c:pt idx="286">
                  <c:v>41.909965007378638</c:v>
                </c:pt>
                <c:pt idx="287">
                  <c:v>39.088348583693467</c:v>
                </c:pt>
                <c:pt idx="288">
                  <c:v>38.517225515333379</c:v>
                </c:pt>
                <c:pt idx="289">
                  <c:v>36.170374756257267</c:v>
                </c:pt>
                <c:pt idx="290">
                  <c:v>37.794322636082605</c:v>
                </c:pt>
                <c:pt idx="291">
                  <c:v>37.715287299843339</c:v>
                </c:pt>
                <c:pt idx="292">
                  <c:v>31.908942257613869</c:v>
                </c:pt>
                <c:pt idx="293">
                  <c:v>24.59946864863414</c:v>
                </c:pt>
                <c:pt idx="294">
                  <c:v>34.900812371408961</c:v>
                </c:pt>
                <c:pt idx="295">
                  <c:v>37.419724893736571</c:v>
                </c:pt>
                <c:pt idx="296">
                  <c:v>38.572719008292552</c:v>
                </c:pt>
                <c:pt idx="297">
                  <c:v>35.926796289859503</c:v>
                </c:pt>
                <c:pt idx="298">
                  <c:v>37.208706699200022</c:v>
                </c:pt>
                <c:pt idx="299">
                  <c:v>29.570719829876996</c:v>
                </c:pt>
                <c:pt idx="300">
                  <c:v>24.903019933810778</c:v>
                </c:pt>
                <c:pt idx="301">
                  <c:v>29.923980500554308</c:v>
                </c:pt>
                <c:pt idx="302">
                  <c:v>33.09982659368044</c:v>
                </c:pt>
                <c:pt idx="303">
                  <c:v>33.51042975379562</c:v>
                </c:pt>
                <c:pt idx="304">
                  <c:v>32.377451552901285</c:v>
                </c:pt>
                <c:pt idx="305">
                  <c:v>29.817559501833507</c:v>
                </c:pt>
                <c:pt idx="306">
                  <c:v>30.00122544451607</c:v>
                </c:pt>
                <c:pt idx="307">
                  <c:v>23.180990079496752</c:v>
                </c:pt>
                <c:pt idx="308">
                  <c:v>31.274208966337646</c:v>
                </c:pt>
                <c:pt idx="309">
                  <c:v>32.221934339382955</c:v>
                </c:pt>
                <c:pt idx="310">
                  <c:v>29.779045864368641</c:v>
                </c:pt>
                <c:pt idx="311">
                  <c:v>27.215230575971084</c:v>
                </c:pt>
                <c:pt idx="312">
                  <c:v>21.819080346731017</c:v>
                </c:pt>
                <c:pt idx="313">
                  <c:v>21.789231727925742</c:v>
                </c:pt>
                <c:pt idx="314">
                  <c:v>29.49392290371604</c:v>
                </c:pt>
                <c:pt idx="315">
                  <c:v>29.545047326085392</c:v>
                </c:pt>
                <c:pt idx="316">
                  <c:v>29.179515996539571</c:v>
                </c:pt>
                <c:pt idx="317">
                  <c:v>19.900379192311398</c:v>
                </c:pt>
                <c:pt idx="318">
                  <c:v>27.219183293094108</c:v>
                </c:pt>
                <c:pt idx="319">
                  <c:v>29.019449729492948</c:v>
                </c:pt>
                <c:pt idx="320">
                  <c:v>28.670073792979203</c:v>
                </c:pt>
                <c:pt idx="321">
                  <c:v>27.452705708144066</c:v>
                </c:pt>
                <c:pt idx="322">
                  <c:v>29.080430360791048</c:v>
                </c:pt>
                <c:pt idx="323">
                  <c:v>30.110087627610774</c:v>
                </c:pt>
                <c:pt idx="324">
                  <c:v>29.084066217541494</c:v>
                </c:pt>
                <c:pt idx="325">
                  <c:v>29.591035421411469</c:v>
                </c:pt>
                <c:pt idx="326">
                  <c:v>29.56301535081597</c:v>
                </c:pt>
                <c:pt idx="327">
                  <c:v>27.223770958160259</c:v>
                </c:pt>
                <c:pt idx="328">
                  <c:v>26.38503248912658</c:v>
                </c:pt>
                <c:pt idx="329">
                  <c:v>26.793324525882319</c:v>
                </c:pt>
                <c:pt idx="330">
                  <c:v>25.130362962848679</c:v>
                </c:pt>
                <c:pt idx="331">
                  <c:v>18.630206084198146</c:v>
                </c:pt>
                <c:pt idx="332">
                  <c:v>26.41641779115476</c:v>
                </c:pt>
                <c:pt idx="333">
                  <c:v>25.687652657075112</c:v>
                </c:pt>
                <c:pt idx="334">
                  <c:v>26.512351889003813</c:v>
                </c:pt>
                <c:pt idx="335">
                  <c:v>10.56169638849005</c:v>
                </c:pt>
                <c:pt idx="336">
                  <c:v>17.22212353344614</c:v>
                </c:pt>
                <c:pt idx="337">
                  <c:v>18.799014130815127</c:v>
                </c:pt>
                <c:pt idx="338">
                  <c:v>25.594103955041181</c:v>
                </c:pt>
                <c:pt idx="339">
                  <c:v>20.632916228723204</c:v>
                </c:pt>
                <c:pt idx="340">
                  <c:v>21.50868791118263</c:v>
                </c:pt>
                <c:pt idx="341">
                  <c:v>16.757981515209075</c:v>
                </c:pt>
                <c:pt idx="342">
                  <c:v>11.880379374635188</c:v>
                </c:pt>
                <c:pt idx="343">
                  <c:v>21.95872257479607</c:v>
                </c:pt>
                <c:pt idx="344">
                  <c:v>18.260406248134906</c:v>
                </c:pt>
                <c:pt idx="345">
                  <c:v>23.792403120855759</c:v>
                </c:pt>
                <c:pt idx="346">
                  <c:v>25.480851358483925</c:v>
                </c:pt>
                <c:pt idx="347">
                  <c:v>22.845836803064749</c:v>
                </c:pt>
                <c:pt idx="348">
                  <c:v>25.557265904120406</c:v>
                </c:pt>
                <c:pt idx="349">
                  <c:v>25.18523938599883</c:v>
                </c:pt>
                <c:pt idx="350">
                  <c:v>25.601732712427946</c:v>
                </c:pt>
                <c:pt idx="351">
                  <c:v>25.724211482819697</c:v>
                </c:pt>
                <c:pt idx="352">
                  <c:v>25.408167099175618</c:v>
                </c:pt>
                <c:pt idx="353">
                  <c:v>22.549218247197125</c:v>
                </c:pt>
                <c:pt idx="354">
                  <c:v>22.080170505451491</c:v>
                </c:pt>
                <c:pt idx="355">
                  <c:v>25.041754314682116</c:v>
                </c:pt>
                <c:pt idx="356">
                  <c:v>19.829576058520093</c:v>
                </c:pt>
                <c:pt idx="357">
                  <c:v>22.652171690590645</c:v>
                </c:pt>
                <c:pt idx="358">
                  <c:v>16.332134440633631</c:v>
                </c:pt>
                <c:pt idx="359">
                  <c:v>24.2954595694269</c:v>
                </c:pt>
                <c:pt idx="360">
                  <c:v>24.678488393426758</c:v>
                </c:pt>
                <c:pt idx="361">
                  <c:v>22.067540465651089</c:v>
                </c:pt>
                <c:pt idx="362">
                  <c:v>24.70046719987749</c:v>
                </c:pt>
                <c:pt idx="363">
                  <c:v>26.021620495154139</c:v>
                </c:pt>
                <c:pt idx="364">
                  <c:v>25.489311551615195</c:v>
                </c:pt>
                <c:pt idx="365">
                  <c:v>15.05843026866239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24.528525019852513</c:v>
                </c:pt>
                <c:pt idx="1">
                  <c:v>17.636021304603418</c:v>
                </c:pt>
                <c:pt idx="2">
                  <c:v>18.980565853825546</c:v>
                </c:pt>
                <c:pt idx="3">
                  <c:v>20.057176730761295</c:v>
                </c:pt>
                <c:pt idx="4">
                  <c:v>15.969115178031991</c:v>
                </c:pt>
                <c:pt idx="5">
                  <c:v>23.03278654505505</c:v>
                </c:pt>
                <c:pt idx="6">
                  <c:v>11.77748961333968</c:v>
                </c:pt>
                <c:pt idx="7">
                  <c:v>8.2622228759277281</c:v>
                </c:pt>
                <c:pt idx="8">
                  <c:v>2.4389780718718015</c:v>
                </c:pt>
                <c:pt idx="9">
                  <c:v>1.8932842070712099</c:v>
                </c:pt>
                <c:pt idx="10">
                  <c:v>27.294878882178857</c:v>
                </c:pt>
                <c:pt idx="11">
                  <c:v>23.288635969140365</c:v>
                </c:pt>
                <c:pt idx="12">
                  <c:v>5.6074703057523889</c:v>
                </c:pt>
                <c:pt idx="13">
                  <c:v>27.732818722514551</c:v>
                </c:pt>
                <c:pt idx="14">
                  <c:v>29.472715702164702</c:v>
                </c:pt>
                <c:pt idx="15">
                  <c:v>28.94879755291776</c:v>
                </c:pt>
                <c:pt idx="16">
                  <c:v>14.816853446814875</c:v>
                </c:pt>
                <c:pt idx="17">
                  <c:v>3.9119048495115307</c:v>
                </c:pt>
                <c:pt idx="18">
                  <c:v>11.316488911676977</c:v>
                </c:pt>
                <c:pt idx="19">
                  <c:v>7.1192280411662026</c:v>
                </c:pt>
                <c:pt idx="20">
                  <c:v>22.745493436016041</c:v>
                </c:pt>
                <c:pt idx="21">
                  <c:v>30.694958235093285</c:v>
                </c:pt>
                <c:pt idx="22">
                  <c:v>30.768234513818296</c:v>
                </c:pt>
                <c:pt idx="23">
                  <c:v>31.46244680579083</c:v>
                </c:pt>
                <c:pt idx="24">
                  <c:v>29.965963471414504</c:v>
                </c:pt>
                <c:pt idx="25">
                  <c:v>31.037921449908918</c:v>
                </c:pt>
                <c:pt idx="26">
                  <c:v>28.920232617261767</c:v>
                </c:pt>
                <c:pt idx="27">
                  <c:v>4.7235118202699429</c:v>
                </c:pt>
                <c:pt idx="28">
                  <c:v>10.358639552060666</c:v>
                </c:pt>
                <c:pt idx="29">
                  <c:v>4.9274765267753207</c:v>
                </c:pt>
                <c:pt idx="30">
                  <c:v>10.079073936113666</c:v>
                </c:pt>
                <c:pt idx="31">
                  <c:v>14.634191186375247</c:v>
                </c:pt>
                <c:pt idx="32">
                  <c:v>5.8791372798723627</c:v>
                </c:pt>
                <c:pt idx="33">
                  <c:v>11.082301723473584</c:v>
                </c:pt>
                <c:pt idx="34">
                  <c:v>10.974485391623857</c:v>
                </c:pt>
                <c:pt idx="35">
                  <c:v>10.618944707989318</c:v>
                </c:pt>
                <c:pt idx="36">
                  <c:v>24.298028425562677</c:v>
                </c:pt>
                <c:pt idx="37">
                  <c:v>10.42645750034691</c:v>
                </c:pt>
                <c:pt idx="38">
                  <c:v>36.552695320269571</c:v>
                </c:pt>
                <c:pt idx="39">
                  <c:v>36.795972708739512</c:v>
                </c:pt>
                <c:pt idx="40">
                  <c:v>34.208705851140202</c:v>
                </c:pt>
                <c:pt idx="41">
                  <c:v>19.096973798556299</c:v>
                </c:pt>
                <c:pt idx="42">
                  <c:v>29.016857650833213</c:v>
                </c:pt>
                <c:pt idx="43">
                  <c:v>34.304560177817805</c:v>
                </c:pt>
                <c:pt idx="44">
                  <c:v>16.80161346387936</c:v>
                </c:pt>
                <c:pt idx="45">
                  <c:v>21.126290830854114</c:v>
                </c:pt>
                <c:pt idx="46">
                  <c:v>11.067257848644227</c:v>
                </c:pt>
                <c:pt idx="47">
                  <c:v>11.974673421754998</c:v>
                </c:pt>
                <c:pt idx="48">
                  <c:v>30.500047749852541</c:v>
                </c:pt>
                <c:pt idx="49">
                  <c:v>22.104590179471852</c:v>
                </c:pt>
                <c:pt idx="50">
                  <c:v>21.085843346801287</c:v>
                </c:pt>
                <c:pt idx="51">
                  <c:v>23.312045548193435</c:v>
                </c:pt>
                <c:pt idx="52">
                  <c:v>36.036787158344616</c:v>
                </c:pt>
                <c:pt idx="53">
                  <c:v>37.290475536570945</c:v>
                </c:pt>
                <c:pt idx="54">
                  <c:v>22.926046746007955</c:v>
                </c:pt>
                <c:pt idx="55">
                  <c:v>33.395758649262511</c:v>
                </c:pt>
                <c:pt idx="56">
                  <c:v>43.012867213846995</c:v>
                </c:pt>
                <c:pt idx="57">
                  <c:v>29.975950198340552</c:v>
                </c:pt>
                <c:pt idx="58">
                  <c:v>37.045168016322464</c:v>
                </c:pt>
                <c:pt idx="59">
                  <c:v>43.00792316495</c:v>
                </c:pt>
                <c:pt idx="60">
                  <c:v>11.842925202056266</c:v>
                </c:pt>
                <c:pt idx="61">
                  <c:v>38.175844897448719</c:v>
                </c:pt>
                <c:pt idx="62">
                  <c:v>4.3908300759531382</c:v>
                </c:pt>
                <c:pt idx="63">
                  <c:v>14.537218155850486</c:v>
                </c:pt>
                <c:pt idx="64">
                  <c:v>17.370899669147359</c:v>
                </c:pt>
                <c:pt idx="65">
                  <c:v>40.580108794602943</c:v>
                </c:pt>
                <c:pt idx="66">
                  <c:v>35.07193791062771</c:v>
                </c:pt>
                <c:pt idx="67">
                  <c:v>31.296696643934716</c:v>
                </c:pt>
                <c:pt idx="68">
                  <c:v>27.189371250713076</c:v>
                </c:pt>
                <c:pt idx="69">
                  <c:v>17.253676406599791</c:v>
                </c:pt>
                <c:pt idx="70">
                  <c:v>16.032494929358535</c:v>
                </c:pt>
                <c:pt idx="71">
                  <c:v>10.883550344445743</c:v>
                </c:pt>
                <c:pt idx="72">
                  <c:v>15.68519936867326</c:v>
                </c:pt>
                <c:pt idx="73">
                  <c:v>15.712386637127235</c:v>
                </c:pt>
                <c:pt idx="74">
                  <c:v>14.163165138828344</c:v>
                </c:pt>
                <c:pt idx="75">
                  <c:v>11.816308540719778</c:v>
                </c:pt>
                <c:pt idx="76">
                  <c:v>15.75571607485859</c:v>
                </c:pt>
                <c:pt idx="77">
                  <c:v>31.977648224821198</c:v>
                </c:pt>
                <c:pt idx="78">
                  <c:v>33.030665885827439</c:v>
                </c:pt>
                <c:pt idx="79">
                  <c:v>48.164627116823063</c:v>
                </c:pt>
                <c:pt idx="80">
                  <c:v>45.325392930608068</c:v>
                </c:pt>
                <c:pt idx="81">
                  <c:v>52.010873192692713</c:v>
                </c:pt>
                <c:pt idx="82">
                  <c:v>50.901422264451256</c:v>
                </c:pt>
                <c:pt idx="83">
                  <c:v>44.590823858594582</c:v>
                </c:pt>
                <c:pt idx="84">
                  <c:v>50.188729940656373</c:v>
                </c:pt>
                <c:pt idx="85">
                  <c:v>48.890451751886708</c:v>
                </c:pt>
                <c:pt idx="86">
                  <c:v>38.281901753115605</c:v>
                </c:pt>
                <c:pt idx="87">
                  <c:v>30.153443815609545</c:v>
                </c:pt>
                <c:pt idx="88">
                  <c:v>8.4805444358527584</c:v>
                </c:pt>
                <c:pt idx="89">
                  <c:v>30.907462223547146</c:v>
                </c:pt>
                <c:pt idx="90">
                  <c:v>33.826351451118676</c:v>
                </c:pt>
                <c:pt idx="91">
                  <c:v>23.062415446541667</c:v>
                </c:pt>
                <c:pt idx="92">
                  <c:v>24.987395669521607</c:v>
                </c:pt>
                <c:pt idx="93">
                  <c:v>52.55383294725624</c:v>
                </c:pt>
                <c:pt idx="94">
                  <c:v>55.865286724032039</c:v>
                </c:pt>
                <c:pt idx="95">
                  <c:v>12.239489884277134</c:v>
                </c:pt>
                <c:pt idx="96">
                  <c:v>41.842491804083579</c:v>
                </c:pt>
                <c:pt idx="97">
                  <c:v>34.469645088954124</c:v>
                </c:pt>
                <c:pt idx="98">
                  <c:v>38.383848667955164</c:v>
                </c:pt>
                <c:pt idx="99">
                  <c:v>57.804561838176738</c:v>
                </c:pt>
                <c:pt idx="100">
                  <c:v>48.545281638526603</c:v>
                </c:pt>
                <c:pt idx="101">
                  <c:v>39.372409486062331</c:v>
                </c:pt>
                <c:pt idx="102">
                  <c:v>7.8956252640625726</c:v>
                </c:pt>
                <c:pt idx="103">
                  <c:v>42.684011708219742</c:v>
                </c:pt>
                <c:pt idx="104">
                  <c:v>48.920542716591271</c:v>
                </c:pt>
                <c:pt idx="105">
                  <c:v>47.209992008992373</c:v>
                </c:pt>
                <c:pt idx="106">
                  <c:v>57.669742711750253</c:v>
                </c:pt>
                <c:pt idx="107">
                  <c:v>39.89470501233572</c:v>
                </c:pt>
                <c:pt idx="108">
                  <c:v>9.5378619225493679</c:v>
                </c:pt>
                <c:pt idx="109">
                  <c:v>10.915561292399239</c:v>
                </c:pt>
                <c:pt idx="110">
                  <c:v>10.090796198972836</c:v>
                </c:pt>
                <c:pt idx="111">
                  <c:v>29.534254493383138</c:v>
                </c:pt>
                <c:pt idx="112">
                  <c:v>10.220213608623022</c:v>
                </c:pt>
                <c:pt idx="113">
                  <c:v>32.432483859940596</c:v>
                </c:pt>
                <c:pt idx="114">
                  <c:v>49.914995765297931</c:v>
                </c:pt>
                <c:pt idx="115">
                  <c:v>58.114308236973073</c:v>
                </c:pt>
                <c:pt idx="116">
                  <c:v>43.779467103843352</c:v>
                </c:pt>
                <c:pt idx="117">
                  <c:v>21.793255173754734</c:v>
                </c:pt>
                <c:pt idx="118">
                  <c:v>43.860791182566068</c:v>
                </c:pt>
                <c:pt idx="119">
                  <c:v>46.627184614328122</c:v>
                </c:pt>
                <c:pt idx="120">
                  <c:v>50.540977545953808</c:v>
                </c:pt>
                <c:pt idx="121">
                  <c:v>32.49312619900477</c:v>
                </c:pt>
                <c:pt idx="122">
                  <c:v>38.72013901713806</c:v>
                </c:pt>
                <c:pt idx="123">
                  <c:v>21.480106582464238</c:v>
                </c:pt>
                <c:pt idx="124">
                  <c:v>45.029549065948487</c:v>
                </c:pt>
                <c:pt idx="125">
                  <c:v>41.197577577560416</c:v>
                </c:pt>
                <c:pt idx="126">
                  <c:v>56.026078669464731</c:v>
                </c:pt>
                <c:pt idx="127">
                  <c:v>53.324033438085962</c:v>
                </c:pt>
                <c:pt idx="128">
                  <c:v>55.806669798350285</c:v>
                </c:pt>
                <c:pt idx="129">
                  <c:v>55.455663117094851</c:v>
                </c:pt>
                <c:pt idx="130">
                  <c:v>59.868864727425738</c:v>
                </c:pt>
                <c:pt idx="131">
                  <c:v>43.655985133297463</c:v>
                </c:pt>
                <c:pt idx="132">
                  <c:v>44.411007021573944</c:v>
                </c:pt>
                <c:pt idx="133">
                  <c:v>53.739252232597877</c:v>
                </c:pt>
                <c:pt idx="134">
                  <c:v>56.861280428264635</c:v>
                </c:pt>
                <c:pt idx="135">
                  <c:v>54.206653478110738</c:v>
                </c:pt>
                <c:pt idx="136">
                  <c:v>57.731219072647256</c:v>
                </c:pt>
                <c:pt idx="137">
                  <c:v>55.541829801356108</c:v>
                </c:pt>
                <c:pt idx="138">
                  <c:v>58.629286007196384</c:v>
                </c:pt>
                <c:pt idx="139">
                  <c:v>53.120932248824822</c:v>
                </c:pt>
                <c:pt idx="140">
                  <c:v>53.037804544829292</c:v>
                </c:pt>
                <c:pt idx="141">
                  <c:v>40.143689222548225</c:v>
                </c:pt>
                <c:pt idx="142">
                  <c:v>20.930222962966589</c:v>
                </c:pt>
                <c:pt idx="143">
                  <c:v>18.149699016654527</c:v>
                </c:pt>
                <c:pt idx="144">
                  <c:v>42.577732632611685</c:v>
                </c:pt>
                <c:pt idx="145">
                  <c:v>25.818359126001486</c:v>
                </c:pt>
                <c:pt idx="146">
                  <c:v>48.033907637985472</c:v>
                </c:pt>
                <c:pt idx="147">
                  <c:v>57.884551336316093</c:v>
                </c:pt>
                <c:pt idx="148">
                  <c:v>62.395871267870142</c:v>
                </c:pt>
                <c:pt idx="149">
                  <c:v>53.138898078491394</c:v>
                </c:pt>
                <c:pt idx="150">
                  <c:v>56.439255802655147</c:v>
                </c:pt>
                <c:pt idx="151">
                  <c:v>58.969994849857763</c:v>
                </c:pt>
                <c:pt idx="152">
                  <c:v>47.375690656771134</c:v>
                </c:pt>
                <c:pt idx="153">
                  <c:v>57.743879265054304</c:v>
                </c:pt>
                <c:pt idx="154">
                  <c:v>26.07697692120453</c:v>
                </c:pt>
                <c:pt idx="155">
                  <c:v>35.977277924834134</c:v>
                </c:pt>
                <c:pt idx="156">
                  <c:v>50.67622224718091</c:v>
                </c:pt>
                <c:pt idx="157">
                  <c:v>26.420913928960747</c:v>
                </c:pt>
                <c:pt idx="158">
                  <c:v>21.602919522469019</c:v>
                </c:pt>
                <c:pt idx="159">
                  <c:v>49.374288633216509</c:v>
                </c:pt>
                <c:pt idx="160">
                  <c:v>60.262859616914838</c:v>
                </c:pt>
                <c:pt idx="161">
                  <c:v>58.929674289697104</c:v>
                </c:pt>
                <c:pt idx="162">
                  <c:v>45.095279176179524</c:v>
                </c:pt>
                <c:pt idx="163">
                  <c:v>57.105877136927845</c:v>
                </c:pt>
                <c:pt idx="164">
                  <c:v>52.088802118417199</c:v>
                </c:pt>
                <c:pt idx="165">
                  <c:v>56.826713041719522</c:v>
                </c:pt>
                <c:pt idx="166">
                  <c:v>54.619327925972314</c:v>
                </c:pt>
                <c:pt idx="167">
                  <c:v>54.70026140662894</c:v>
                </c:pt>
                <c:pt idx="168">
                  <c:v>58.29076615606067</c:v>
                </c:pt>
                <c:pt idx="169">
                  <c:v>59.487278705048723</c:v>
                </c:pt>
                <c:pt idx="170">
                  <c:v>33.131464921745142</c:v>
                </c:pt>
                <c:pt idx="171">
                  <c:v>24.745101333570279</c:v>
                </c:pt>
                <c:pt idx="172">
                  <c:v>41.395496653869174</c:v>
                </c:pt>
                <c:pt idx="173">
                  <c:v>44.218105772968627</c:v>
                </c:pt>
                <c:pt idx="174">
                  <c:v>42.265079318598083</c:v>
                </c:pt>
                <c:pt idx="175">
                  <c:v>37.198423946594431</c:v>
                </c:pt>
                <c:pt idx="176">
                  <c:v>12.482020778961445</c:v>
                </c:pt>
                <c:pt idx="177">
                  <c:v>13.626457461347492</c:v>
                </c:pt>
                <c:pt idx="178">
                  <c:v>61.869999951616521</c:v>
                </c:pt>
                <c:pt idx="179">
                  <c:v>58.745144461778843</c:v>
                </c:pt>
                <c:pt idx="180">
                  <c:v>14.606587863563458</c:v>
                </c:pt>
                <c:pt idx="181">
                  <c:v>52.590153353600961</c:v>
                </c:pt>
                <c:pt idx="182">
                  <c:v>58.590912235340006</c:v>
                </c:pt>
                <c:pt idx="183">
                  <c:v>48.826785634058126</c:v>
                </c:pt>
                <c:pt idx="184">
                  <c:v>46.340657991114433</c:v>
                </c:pt>
                <c:pt idx="185">
                  <c:v>58.069116398594829</c:v>
                </c:pt>
                <c:pt idx="186">
                  <c:v>49.872503663820225</c:v>
                </c:pt>
                <c:pt idx="187">
                  <c:v>57.287148915483868</c:v>
                </c:pt>
                <c:pt idx="188">
                  <c:v>60.254536632039461</c:v>
                </c:pt>
                <c:pt idx="189">
                  <c:v>59.484321376569305</c:v>
                </c:pt>
                <c:pt idx="190">
                  <c:v>58.733339992825194</c:v>
                </c:pt>
                <c:pt idx="191">
                  <c:v>57.18538868998376</c:v>
                </c:pt>
                <c:pt idx="192">
                  <c:v>57.295596798523157</c:v>
                </c:pt>
                <c:pt idx="193">
                  <c:v>56.626097687284791</c:v>
                </c:pt>
                <c:pt idx="194">
                  <c:v>56.026562647542619</c:v>
                </c:pt>
                <c:pt idx="195">
                  <c:v>54.158245675194586</c:v>
                </c:pt>
                <c:pt idx="196">
                  <c:v>55.658960104039714</c:v>
                </c:pt>
                <c:pt idx="197">
                  <c:v>55.223091428059746</c:v>
                </c:pt>
                <c:pt idx="198">
                  <c:v>57.23689776410086</c:v>
                </c:pt>
                <c:pt idx="199">
                  <c:v>45.921354478164567</c:v>
                </c:pt>
                <c:pt idx="200">
                  <c:v>46.387360916895837</c:v>
                </c:pt>
                <c:pt idx="201">
                  <c:v>54.562753738097314</c:v>
                </c:pt>
                <c:pt idx="202">
                  <c:v>43.496526100819295</c:v>
                </c:pt>
                <c:pt idx="203">
                  <c:v>48.615035999518447</c:v>
                </c:pt>
                <c:pt idx="204">
                  <c:v>54.532031026659865</c:v>
                </c:pt>
                <c:pt idx="205">
                  <c:v>27.866169303574988</c:v>
                </c:pt>
                <c:pt idx="206">
                  <c:v>58.593405907385026</c:v>
                </c:pt>
                <c:pt idx="207">
                  <c:v>58.607976859934475</c:v>
                </c:pt>
                <c:pt idx="208">
                  <c:v>47.034708592641891</c:v>
                </c:pt>
                <c:pt idx="209">
                  <c:v>31.817066633885478</c:v>
                </c:pt>
                <c:pt idx="210">
                  <c:v>53.558698519915282</c:v>
                </c:pt>
                <c:pt idx="211">
                  <c:v>56.452470994357242</c:v>
                </c:pt>
                <c:pt idx="212">
                  <c:v>55.471900998050899</c:v>
                </c:pt>
                <c:pt idx="213">
                  <c:v>55.697450604094456</c:v>
                </c:pt>
                <c:pt idx="214">
                  <c:v>53.370796575894836</c:v>
                </c:pt>
                <c:pt idx="215">
                  <c:v>50.086023324517669</c:v>
                </c:pt>
                <c:pt idx="216">
                  <c:v>46.602982560010197</c:v>
                </c:pt>
                <c:pt idx="217">
                  <c:v>51.072477667599451</c:v>
                </c:pt>
                <c:pt idx="218">
                  <c:v>54.289539597096038</c:v>
                </c:pt>
                <c:pt idx="219">
                  <c:v>55.165911052981301</c:v>
                </c:pt>
                <c:pt idx="220">
                  <c:v>53.324734864376673</c:v>
                </c:pt>
                <c:pt idx="221">
                  <c:v>51.132918833074939</c:v>
                </c:pt>
                <c:pt idx="222">
                  <c:v>47.057785354009837</c:v>
                </c:pt>
                <c:pt idx="223">
                  <c:v>49.390920234377511</c:v>
                </c:pt>
                <c:pt idx="224">
                  <c:v>34.407053176469759</c:v>
                </c:pt>
                <c:pt idx="225">
                  <c:v>35.775532961822684</c:v>
                </c:pt>
                <c:pt idx="226">
                  <c:v>41.025028790113403</c:v>
                </c:pt>
                <c:pt idx="227">
                  <c:v>34.464451433297413</c:v>
                </c:pt>
                <c:pt idx="228">
                  <c:v>23.692605533261297</c:v>
                </c:pt>
                <c:pt idx="229">
                  <c:v>41.231359114602171</c:v>
                </c:pt>
                <c:pt idx="230">
                  <c:v>42.695230756953272</c:v>
                </c:pt>
                <c:pt idx="231">
                  <c:v>50.851804056248255</c:v>
                </c:pt>
                <c:pt idx="232">
                  <c:v>34.283781302445746</c:v>
                </c:pt>
                <c:pt idx="233">
                  <c:v>26.713479884536774</c:v>
                </c:pt>
                <c:pt idx="234">
                  <c:v>47.789014245607866</c:v>
                </c:pt>
                <c:pt idx="235">
                  <c:v>49.379750202855085</c:v>
                </c:pt>
                <c:pt idx="236">
                  <c:v>35.237771534546987</c:v>
                </c:pt>
                <c:pt idx="237">
                  <c:v>44.273014231597429</c:v>
                </c:pt>
                <c:pt idx="238">
                  <c:v>52.167327430527344</c:v>
                </c:pt>
                <c:pt idx="239">
                  <c:v>51.201672746585203</c:v>
                </c:pt>
                <c:pt idx="240">
                  <c:v>34.524181394623639</c:v>
                </c:pt>
                <c:pt idx="241">
                  <c:v>50.134347111451497</c:v>
                </c:pt>
                <c:pt idx="242">
                  <c:v>23.59749648638228</c:v>
                </c:pt>
                <c:pt idx="243">
                  <c:v>45.493012463620005</c:v>
                </c:pt>
                <c:pt idx="244">
                  <c:v>41.732597062224265</c:v>
                </c:pt>
                <c:pt idx="245">
                  <c:v>34.848092803895312</c:v>
                </c:pt>
                <c:pt idx="246">
                  <c:v>50.547795182225308</c:v>
                </c:pt>
                <c:pt idx="247">
                  <c:v>42.73601897214126</c:v>
                </c:pt>
                <c:pt idx="248">
                  <c:v>48.47139221626103</c:v>
                </c:pt>
                <c:pt idx="249">
                  <c:v>37.716644043717586</c:v>
                </c:pt>
                <c:pt idx="250">
                  <c:v>41.305748260942394</c:v>
                </c:pt>
                <c:pt idx="251">
                  <c:v>22.996910260211116</c:v>
                </c:pt>
                <c:pt idx="252">
                  <c:v>48.586768341384165</c:v>
                </c:pt>
                <c:pt idx="253">
                  <c:v>49.162761814775862</c:v>
                </c:pt>
                <c:pt idx="254">
                  <c:v>34.434313820087539</c:v>
                </c:pt>
                <c:pt idx="255">
                  <c:v>12.210924401518394</c:v>
                </c:pt>
                <c:pt idx="256">
                  <c:v>40.525468251343533</c:v>
                </c:pt>
                <c:pt idx="257">
                  <c:v>44.518499981664341</c:v>
                </c:pt>
                <c:pt idx="258">
                  <c:v>29.643152617110811</c:v>
                </c:pt>
                <c:pt idx="259">
                  <c:v>51.268544724739883</c:v>
                </c:pt>
                <c:pt idx="260">
                  <c:v>49.573640129498486</c:v>
                </c:pt>
                <c:pt idx="261">
                  <c:v>48.300652137662098</c:v>
                </c:pt>
                <c:pt idx="262">
                  <c:v>49.76167637486936</c:v>
                </c:pt>
                <c:pt idx="263">
                  <c:v>48.553663283529339</c:v>
                </c:pt>
                <c:pt idx="264">
                  <c:v>47.293332702379232</c:v>
                </c:pt>
                <c:pt idx="265">
                  <c:v>29.882931649839374</c:v>
                </c:pt>
                <c:pt idx="266">
                  <c:v>18.734042895164862</c:v>
                </c:pt>
                <c:pt idx="267">
                  <c:v>33.166747425764143</c:v>
                </c:pt>
                <c:pt idx="268">
                  <c:v>35.772014944409158</c:v>
                </c:pt>
                <c:pt idx="269">
                  <c:v>16.169052128571327</c:v>
                </c:pt>
                <c:pt idx="270">
                  <c:v>18.580667623346692</c:v>
                </c:pt>
                <c:pt idx="271">
                  <c:v>25.485928433363988</c:v>
                </c:pt>
                <c:pt idx="272">
                  <c:v>31.146714128643815</c:v>
                </c:pt>
                <c:pt idx="273">
                  <c:v>37.357871938969666</c:v>
                </c:pt>
                <c:pt idx="274">
                  <c:v>41.648202315216608</c:v>
                </c:pt>
                <c:pt idx="275">
                  <c:v>37.883559335678122</c:v>
                </c:pt>
                <c:pt idx="276">
                  <c:v>42.63273161899879</c:v>
                </c:pt>
                <c:pt idx="277">
                  <c:v>43.975140189809323</c:v>
                </c:pt>
                <c:pt idx="278">
                  <c:v>12.835069908940177</c:v>
                </c:pt>
                <c:pt idx="279">
                  <c:v>31.379390142685807</c:v>
                </c:pt>
                <c:pt idx="280">
                  <c:v>17.101852644537985</c:v>
                </c:pt>
                <c:pt idx="281">
                  <c:v>40.235517573950581</c:v>
                </c:pt>
                <c:pt idx="282">
                  <c:v>33.161350482065217</c:v>
                </c:pt>
                <c:pt idx="283">
                  <c:v>24.113851669568909</c:v>
                </c:pt>
                <c:pt idx="284">
                  <c:v>30.122501845056238</c:v>
                </c:pt>
                <c:pt idx="285">
                  <c:v>24.859262262618333</c:v>
                </c:pt>
                <c:pt idx="286">
                  <c:v>21.101357208220509</c:v>
                </c:pt>
                <c:pt idx="287">
                  <c:v>39.088348583693467</c:v>
                </c:pt>
                <c:pt idx="288">
                  <c:v>35.105224222334066</c:v>
                </c:pt>
                <c:pt idx="289">
                  <c:v>21.300299659542329</c:v>
                </c:pt>
                <c:pt idx="290">
                  <c:v>36.165280129397729</c:v>
                </c:pt>
                <c:pt idx="291">
                  <c:v>16.655744090916098</c:v>
                </c:pt>
                <c:pt idx="292">
                  <c:v>6.9001348012160104</c:v>
                </c:pt>
                <c:pt idx="293">
                  <c:v>17.478296530198254</c:v>
                </c:pt>
                <c:pt idx="294">
                  <c:v>34.900812371408961</c:v>
                </c:pt>
                <c:pt idx="295">
                  <c:v>18.185625391865663</c:v>
                </c:pt>
                <c:pt idx="296">
                  <c:v>26.959707777070594</c:v>
                </c:pt>
                <c:pt idx="297">
                  <c:v>23.251389372482478</c:v>
                </c:pt>
                <c:pt idx="298">
                  <c:v>14.574098928968187</c:v>
                </c:pt>
                <c:pt idx="299">
                  <c:v>15.567662096922957</c:v>
                </c:pt>
                <c:pt idx="300">
                  <c:v>18.384750369446586</c:v>
                </c:pt>
                <c:pt idx="301">
                  <c:v>28.874016680949133</c:v>
                </c:pt>
                <c:pt idx="302">
                  <c:v>23.885301673548167</c:v>
                </c:pt>
                <c:pt idx="303">
                  <c:v>23.319392088597578</c:v>
                </c:pt>
                <c:pt idx="304">
                  <c:v>24.807234955818227</c:v>
                </c:pt>
                <c:pt idx="305">
                  <c:v>29.817559501833507</c:v>
                </c:pt>
                <c:pt idx="306">
                  <c:v>10.237385821913184</c:v>
                </c:pt>
                <c:pt idx="307">
                  <c:v>17.956706530376362</c:v>
                </c:pt>
                <c:pt idx="308">
                  <c:v>31.274208966337646</c:v>
                </c:pt>
                <c:pt idx="309">
                  <c:v>32.221934339382955</c:v>
                </c:pt>
                <c:pt idx="310">
                  <c:v>29.779045864368641</c:v>
                </c:pt>
                <c:pt idx="311">
                  <c:v>22.420015551342349</c:v>
                </c:pt>
                <c:pt idx="312">
                  <c:v>10.482764467192805</c:v>
                </c:pt>
                <c:pt idx="313">
                  <c:v>21.77348572234126</c:v>
                </c:pt>
                <c:pt idx="314">
                  <c:v>29.49392290371604</c:v>
                </c:pt>
                <c:pt idx="315">
                  <c:v>29.545047326085392</c:v>
                </c:pt>
                <c:pt idx="316">
                  <c:v>28.541023534692449</c:v>
                </c:pt>
                <c:pt idx="317">
                  <c:v>10.047884778349957</c:v>
                </c:pt>
                <c:pt idx="318">
                  <c:v>13.067010049696652</c:v>
                </c:pt>
                <c:pt idx="319">
                  <c:v>29.019449729492948</c:v>
                </c:pt>
                <c:pt idx="320">
                  <c:v>13.580960142963372</c:v>
                </c:pt>
                <c:pt idx="321">
                  <c:v>16.121722296807903</c:v>
                </c:pt>
                <c:pt idx="322">
                  <c:v>8.2559759834334852</c:v>
                </c:pt>
                <c:pt idx="323">
                  <c:v>16.504469043951723</c:v>
                </c:pt>
                <c:pt idx="324">
                  <c:v>3.4876507745036283</c:v>
                </c:pt>
                <c:pt idx="325">
                  <c:v>8.6706579077862145</c:v>
                </c:pt>
                <c:pt idx="326">
                  <c:v>12.996567171835132</c:v>
                </c:pt>
                <c:pt idx="327">
                  <c:v>14.306131485403428</c:v>
                </c:pt>
                <c:pt idx="328">
                  <c:v>5.5391764365216059</c:v>
                </c:pt>
                <c:pt idx="329">
                  <c:v>11.104888013192902</c:v>
                </c:pt>
                <c:pt idx="330">
                  <c:v>15.799392271938245</c:v>
                </c:pt>
                <c:pt idx="331">
                  <c:v>11.452255332305171</c:v>
                </c:pt>
                <c:pt idx="332">
                  <c:v>15.937071310584333</c:v>
                </c:pt>
                <c:pt idx="333">
                  <c:v>4.4396240213842271</c:v>
                </c:pt>
                <c:pt idx="334">
                  <c:v>3.8204640710341429</c:v>
                </c:pt>
                <c:pt idx="335">
                  <c:v>6.3359042780037615</c:v>
                </c:pt>
                <c:pt idx="336">
                  <c:v>9.4651464661726497</c:v>
                </c:pt>
                <c:pt idx="337">
                  <c:v>18.799014130815127</c:v>
                </c:pt>
                <c:pt idx="338">
                  <c:v>25.594103955041181</c:v>
                </c:pt>
                <c:pt idx="339">
                  <c:v>11.849930917874318</c:v>
                </c:pt>
                <c:pt idx="340">
                  <c:v>21.50868791118263</c:v>
                </c:pt>
                <c:pt idx="341">
                  <c:v>4.4389766804048936</c:v>
                </c:pt>
                <c:pt idx="342">
                  <c:v>5.3712715188750506</c:v>
                </c:pt>
                <c:pt idx="343">
                  <c:v>12.646396958317359</c:v>
                </c:pt>
                <c:pt idx="344">
                  <c:v>17.671378178848926</c:v>
                </c:pt>
                <c:pt idx="345">
                  <c:v>6.1529870850564317</c:v>
                </c:pt>
                <c:pt idx="346">
                  <c:v>5.8412745093177545</c:v>
                </c:pt>
                <c:pt idx="347">
                  <c:v>18.542148225748146</c:v>
                </c:pt>
                <c:pt idx="348">
                  <c:v>6.1490133707648731</c:v>
                </c:pt>
                <c:pt idx="349">
                  <c:v>5.2399717296485173</c:v>
                </c:pt>
                <c:pt idx="350">
                  <c:v>3.8295661086634287</c:v>
                </c:pt>
                <c:pt idx="351">
                  <c:v>23.008355595819921</c:v>
                </c:pt>
                <c:pt idx="352">
                  <c:v>18.618671824839854</c:v>
                </c:pt>
                <c:pt idx="353">
                  <c:v>4.8932766192132737</c:v>
                </c:pt>
                <c:pt idx="354">
                  <c:v>22.080170505451491</c:v>
                </c:pt>
                <c:pt idx="355">
                  <c:v>18.247168747686413</c:v>
                </c:pt>
                <c:pt idx="356">
                  <c:v>18.845700296340492</c:v>
                </c:pt>
                <c:pt idx="357">
                  <c:v>22.652171690590645</c:v>
                </c:pt>
                <c:pt idx="358">
                  <c:v>13.475415020788434</c:v>
                </c:pt>
                <c:pt idx="359">
                  <c:v>22.970894263769079</c:v>
                </c:pt>
                <c:pt idx="360">
                  <c:v>8.2755793348572553</c:v>
                </c:pt>
                <c:pt idx="361">
                  <c:v>22.067540465651089</c:v>
                </c:pt>
                <c:pt idx="362">
                  <c:v>10.845429369108629</c:v>
                </c:pt>
                <c:pt idx="363">
                  <c:v>14.282712714796833</c:v>
                </c:pt>
                <c:pt idx="364">
                  <c:v>13.254576001501295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27.2014</c:v>
                </c:pt>
                <c:pt idx="21">
                  <c:v>30.834800000000001</c:v>
                </c:pt>
                <c:pt idx="35">
                  <c:v>35.548400000000001</c:v>
                </c:pt>
                <c:pt idx="49">
                  <c:v>40.360199999999999</c:v>
                </c:pt>
                <c:pt idx="63">
                  <c:v>45.4666</c:v>
                </c:pt>
                <c:pt idx="77">
                  <c:v>50.573</c:v>
                </c:pt>
                <c:pt idx="91">
                  <c:v>55.483000000000004</c:v>
                </c:pt>
                <c:pt idx="105">
                  <c:v>59.214599999999997</c:v>
                </c:pt>
                <c:pt idx="119">
                  <c:v>61.669600000000003</c:v>
                </c:pt>
                <c:pt idx="133">
                  <c:v>63.142600000000002</c:v>
                </c:pt>
                <c:pt idx="147">
                  <c:v>63.7318</c:v>
                </c:pt>
                <c:pt idx="161">
                  <c:v>63.633600000000001</c:v>
                </c:pt>
                <c:pt idx="175">
                  <c:v>62.749799999999993</c:v>
                </c:pt>
                <c:pt idx="189">
                  <c:v>61.473199999999999</c:v>
                </c:pt>
                <c:pt idx="203">
                  <c:v>59.803800000000003</c:v>
                </c:pt>
                <c:pt idx="217">
                  <c:v>57.839800000000004</c:v>
                </c:pt>
                <c:pt idx="231">
                  <c:v>55.581200000000003</c:v>
                </c:pt>
                <c:pt idx="245">
                  <c:v>52.9298</c:v>
                </c:pt>
                <c:pt idx="259">
                  <c:v>49.1</c:v>
                </c:pt>
                <c:pt idx="273">
                  <c:v>44.4846</c:v>
                </c:pt>
                <c:pt idx="287">
                  <c:v>39.869199999999999</c:v>
                </c:pt>
                <c:pt idx="301">
                  <c:v>35.253799999999998</c:v>
                </c:pt>
                <c:pt idx="315">
                  <c:v>31.031200000000002</c:v>
                </c:pt>
                <c:pt idx="329">
                  <c:v>27.594200000000001</c:v>
                </c:pt>
                <c:pt idx="343">
                  <c:v>25.041</c:v>
                </c:pt>
                <c:pt idx="357">
                  <c:v>24.746400000000001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668336"/>
        <c:axId val="539668728"/>
      </c:lineChart>
      <c:dateAx>
        <c:axId val="539668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8728"/>
        <c:crosses val="autoZero"/>
        <c:auto val="1"/>
        <c:lblOffset val="100"/>
        <c:baseTimeUnit val="days"/>
        <c:majorUnit val="1"/>
        <c:majorTimeUnit val="months"/>
      </c:dateAx>
      <c:valAx>
        <c:axId val="5396687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83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3.6170165509940122E-2</c:v>
                </c:pt>
                <c:pt idx="1">
                  <c:v>3.6824371309404413E-2</c:v>
                </c:pt>
                <c:pt idx="2">
                  <c:v>3.7414885194446024E-2</c:v>
                </c:pt>
                <c:pt idx="3">
                  <c:v>3.8068246132289318E-2</c:v>
                </c:pt>
                <c:pt idx="4">
                  <c:v>3.8700108662394483E-2</c:v>
                </c:pt>
                <c:pt idx="5">
                  <c:v>3.9352597246409049E-2</c:v>
                </c:pt>
                <c:pt idx="6">
                  <c:v>3.9983616126908816E-2</c:v>
                </c:pt>
                <c:pt idx="7">
                  <c:v>4.0635233521843284E-2</c:v>
                </c:pt>
                <c:pt idx="8">
                  <c:v>4.1286408627212112E-2</c:v>
                </c:pt>
                <c:pt idx="9">
                  <c:v>4.1916157248208741E-2</c:v>
                </c:pt>
                <c:pt idx="10">
                  <c:v>4.2566462918226522E-2</c:v>
                </c:pt>
                <c:pt idx="11">
                  <c:v>4.3195370712064918E-2</c:v>
                </c:pt>
                <c:pt idx="12">
                  <c:v>4.3844808107583622E-2</c:v>
                </c:pt>
                <c:pt idx="13">
                  <c:v>4.4493804693225503E-2</c:v>
                </c:pt>
                <c:pt idx="14">
                  <c:v>4.5079616521063182E-2</c:v>
                </c:pt>
                <c:pt idx="15">
                  <c:v>4.5727774972424085E-2</c:v>
                </c:pt>
                <c:pt idx="16">
                  <c:v>4.6354606200409432E-2</c:v>
                </c:pt>
                <c:pt idx="17">
                  <c:v>4.7001899244192624E-2</c:v>
                </c:pt>
                <c:pt idx="18">
                  <c:v>4.7627893540261756E-2</c:v>
                </c:pt>
                <c:pt idx="19">
                  <c:v>4.8274322331941177E-2</c:v>
                </c:pt>
                <c:pt idx="20">
                  <c:v>4.8920312355853368E-2</c:v>
                </c:pt>
                <c:pt idx="21">
                  <c:v>4.9545046507054935E-2</c:v>
                </c:pt>
                <c:pt idx="22">
                  <c:v>5.0190174018628131E-2</c:v>
                </c:pt>
                <c:pt idx="23">
                  <c:v>5.0814074037886514E-2</c:v>
                </c:pt>
                <c:pt idx="24">
                  <c:v>5.1479115685447163E-2</c:v>
                </c:pt>
                <c:pt idx="25">
                  <c:v>5.2122930434925108E-2</c:v>
                </c:pt>
                <c:pt idx="26">
                  <c:v>5.2704064917793669E-2</c:v>
                </c:pt>
                <c:pt idx="27">
                  <c:v>5.3347048224974158E-2</c:v>
                </c:pt>
                <c:pt idx="28">
                  <c:v>5.3968874593461336E-2</c:v>
                </c:pt>
                <c:pt idx="29">
                  <c:v>5.4610999402808114E-2</c:v>
                </c:pt>
                <c:pt idx="30">
                  <c:v>5.5231995521762611E-2</c:v>
                </c:pt>
                <c:pt idx="31">
                  <c:v>5.5873262979523886E-2</c:v>
                </c:pt>
                <c:pt idx="32">
                  <c:v>5.6514095172807144E-2</c:v>
                </c:pt>
                <c:pt idx="33">
                  <c:v>5.7133841208371172E-2</c:v>
                </c:pt>
                <c:pt idx="34">
                  <c:v>5.7773817775942815E-2</c:v>
                </c:pt>
                <c:pt idx="35">
                  <c:v>5.8392736339590967E-2</c:v>
                </c:pt>
                <c:pt idx="36">
                  <c:v>5.9031858423864492E-2</c:v>
                </c:pt>
                <c:pt idx="37">
                  <c:v>5.9670546699846283E-2</c:v>
                </c:pt>
                <c:pt idx="38">
                  <c:v>6.0247053810436491E-2</c:v>
                </c:pt>
                <c:pt idx="39">
                  <c:v>6.088491726460743E-2</c:v>
                </c:pt>
                <c:pt idx="40">
                  <c:v>6.150179224544805E-2</c:v>
                </c:pt>
                <c:pt idx="41">
                  <c:v>6.2138804037705553E-2</c:v>
                </c:pt>
                <c:pt idx="42">
                  <c:v>6.2754855380002472E-2</c:v>
                </c:pt>
                <c:pt idx="43">
                  <c:v>6.3391016647467824E-2</c:v>
                </c:pt>
                <c:pt idx="44">
                  <c:v>6.4026746116315092E-2</c:v>
                </c:pt>
                <c:pt idx="45">
                  <c:v>6.4641557329201849E-2</c:v>
                </c:pt>
                <c:pt idx="46">
                  <c:v>6.5276437985388291E-2</c:v>
                </c:pt>
                <c:pt idx="47">
                  <c:v>6.5890428315231064E-2</c:v>
                </c:pt>
                <c:pt idx="48">
                  <c:v>6.6524461292073456E-2</c:v>
                </c:pt>
                <c:pt idx="49">
                  <c:v>6.7158063914888988E-2</c:v>
                </c:pt>
                <c:pt idx="50">
                  <c:v>6.7729980499360964E-2</c:v>
                </c:pt>
                <c:pt idx="51">
                  <c:v>6.8362764868135639E-2</c:v>
                </c:pt>
                <c:pt idx="52">
                  <c:v>6.8974727887511689E-2</c:v>
                </c:pt>
                <c:pt idx="53">
                  <c:v>6.9606667375861297E-2</c:v>
                </c:pt>
                <c:pt idx="54">
                  <c:v>7.0217813315041622E-2</c:v>
                </c:pt>
                <c:pt idx="55">
                  <c:v>7.0848909051032916E-2</c:v>
                </c:pt>
                <c:pt idx="56">
                  <c:v>7.1479576426668689E-2</c:v>
                </c:pt>
                <c:pt idx="57">
                  <c:v>7.2089492111159226E-2</c:v>
                </c:pt>
                <c:pt idx="58">
                  <c:v>7.2719317432934916E-2</c:v>
                </c:pt>
                <c:pt idx="59">
                  <c:v>7.3328418770788217E-2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5.2082614750129937E-2</c:v>
                </c:pt>
                <c:pt idx="1">
                  <c:v>5.3700055581703918E-2</c:v>
                </c:pt>
                <c:pt idx="2">
                  <c:v>5.5147033256296274E-2</c:v>
                </c:pt>
                <c:pt idx="3">
                  <c:v>5.6925476640600978E-2</c:v>
                </c:pt>
                <c:pt idx="4">
                  <c:v>5.9256044390066223E-2</c:v>
                </c:pt>
                <c:pt idx="5">
                  <c:v>6.1971626799038962E-2</c:v>
                </c:pt>
                <c:pt idx="6">
                  <c:v>6.3916206725274829E-2</c:v>
                </c:pt>
                <c:pt idx="7">
                  <c:v>6.5353901884810633E-2</c:v>
                </c:pt>
                <c:pt idx="8">
                  <c:v>6.6531348858510184E-2</c:v>
                </c:pt>
                <c:pt idx="9">
                  <c:v>6.7098268409959638E-2</c:v>
                </c:pt>
                <c:pt idx="10">
                  <c:v>6.7002505362906167E-2</c:v>
                </c:pt>
                <c:pt idx="11">
                  <c:v>6.7435195240834425E-2</c:v>
                </c:pt>
                <c:pt idx="12">
                  <c:v>6.8505353893010532E-2</c:v>
                </c:pt>
                <c:pt idx="13">
                  <c:v>6.9664459578136495E-2</c:v>
                </c:pt>
                <c:pt idx="14">
                  <c:v>7.0715486688120416E-2</c:v>
                </c:pt>
                <c:pt idx="15">
                  <c:v>7.2124882485874911E-2</c:v>
                </c:pt>
                <c:pt idx="16">
                  <c:v>6.4614108986630735E-3</c:v>
                </c:pt>
                <c:pt idx="17">
                  <c:v>9.6051178888927197E-3</c:v>
                </c:pt>
                <c:pt idx="18">
                  <c:v>1.254296781134826E-2</c:v>
                </c:pt>
                <c:pt idx="19">
                  <c:v>1.5415244943257691E-2</c:v>
                </c:pt>
                <c:pt idx="20">
                  <c:v>1.8147252384618902E-2</c:v>
                </c:pt>
                <c:pt idx="21">
                  <c:v>2.0538537444409598E-2</c:v>
                </c:pt>
                <c:pt idx="22">
                  <c:v>2.2668394042334426E-2</c:v>
                </c:pt>
                <c:pt idx="23">
                  <c:v>2.4785688536675173E-2</c:v>
                </c:pt>
                <c:pt idx="24">
                  <c:v>2.719693769451062E-2</c:v>
                </c:pt>
                <c:pt idx="25">
                  <c:v>2.9508902158135952E-2</c:v>
                </c:pt>
                <c:pt idx="26">
                  <c:v>3.1555870966674296E-2</c:v>
                </c:pt>
                <c:pt idx="27">
                  <c:v>3.3893538910118683E-2</c:v>
                </c:pt>
                <c:pt idx="28">
                  <c:v>3.6508158294566641E-2</c:v>
                </c:pt>
                <c:pt idx="29">
                  <c:v>3.940820886943168E-2</c:v>
                </c:pt>
                <c:pt idx="30">
                  <c:v>4.178076397499636E-2</c:v>
                </c:pt>
                <c:pt idx="31">
                  <c:v>4.3836584598127358E-2</c:v>
                </c:pt>
                <c:pt idx="32">
                  <c:v>4.5683852765920296E-2</c:v>
                </c:pt>
                <c:pt idx="33">
                  <c:v>4.7036845750137536E-2</c:v>
                </c:pt>
                <c:pt idx="34">
                  <c:v>4.7900046499738086E-2</c:v>
                </c:pt>
                <c:pt idx="35">
                  <c:v>4.9058590340386697E-2</c:v>
                </c:pt>
                <c:pt idx="36">
                  <c:v>5.0673987097831545E-2</c:v>
                </c:pt>
                <c:pt idx="37">
                  <c:v>5.2330740711255729E-2</c:v>
                </c:pt>
                <c:pt idx="38">
                  <c:v>5.3811680254778609E-2</c:v>
                </c:pt>
                <c:pt idx="39">
                  <c:v>5.5621777958798531E-2</c:v>
                </c:pt>
                <c:pt idx="40">
                  <c:v>6.5579446166363874E-3</c:v>
                </c:pt>
                <c:pt idx="41">
                  <c:v>9.7008687913628065E-3</c:v>
                </c:pt>
                <c:pt idx="42">
                  <c:v>1.2636902543511901E-2</c:v>
                </c:pt>
                <c:pt idx="43">
                  <c:v>1.5506556576777165E-2</c:v>
                </c:pt>
                <c:pt idx="44">
                  <c:v>1.8235721541700282E-2</c:v>
                </c:pt>
                <c:pt idx="45">
                  <c:v>2.0623670793023016E-2</c:v>
                </c:pt>
                <c:pt idx="46">
                  <c:v>2.2749457898938612E-2</c:v>
                </c:pt>
                <c:pt idx="47">
                  <c:v>2.4863672134241979E-2</c:v>
                </c:pt>
                <c:pt idx="48">
                  <c:v>2.719693769451062E-2</c:v>
                </c:pt>
                <c:pt idx="49">
                  <c:v>2.9508902158135952E-2</c:v>
                </c:pt>
                <c:pt idx="50">
                  <c:v>3.1555870966674296E-2</c:v>
                </c:pt>
                <c:pt idx="51">
                  <c:v>3.3893538910118683E-2</c:v>
                </c:pt>
                <c:pt idx="52">
                  <c:v>3.6508158294566641E-2</c:v>
                </c:pt>
                <c:pt idx="53">
                  <c:v>3.940820886943168E-2</c:v>
                </c:pt>
                <c:pt idx="54">
                  <c:v>4.178076397499636E-2</c:v>
                </c:pt>
                <c:pt idx="55">
                  <c:v>4.3836584598127358E-2</c:v>
                </c:pt>
                <c:pt idx="56">
                  <c:v>4.5683852765920296E-2</c:v>
                </c:pt>
                <c:pt idx="57">
                  <c:v>4.7036845750137536E-2</c:v>
                </c:pt>
                <c:pt idx="58">
                  <c:v>4.7900046499738086E-2</c:v>
                </c:pt>
                <c:pt idx="59">
                  <c:v>4.9058590340386697E-2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3.9610243284042633E-4</c:v>
                </c:pt>
                <c:pt idx="1">
                  <c:v>1.5940704174835892E-4</c:v>
                </c:pt>
                <c:pt idx="2">
                  <c:v>7.8425582369335802E-5</c:v>
                </c:pt>
                <c:pt idx="3">
                  <c:v>7.2160729546568929E-6</c:v>
                </c:pt>
                <c:pt idx="4">
                  <c:v>1.9604389711942472E-4</c:v>
                </c:pt>
                <c:pt idx="5">
                  <c:v>7.9989610793033999E-5</c:v>
                </c:pt>
                <c:pt idx="6">
                  <c:v>2.2009095347964242E-4</c:v>
                </c:pt>
                <c:pt idx="7">
                  <c:v>8.7534246705885964E-5</c:v>
                </c:pt>
                <c:pt idx="8">
                  <c:v>1.9975135012615004E-5</c:v>
                </c:pt>
                <c:pt idx="9">
                  <c:v>4.437344335249341E-4</c:v>
                </c:pt>
                <c:pt idx="10">
                  <c:v>4.0654523345141062E-4</c:v>
                </c:pt>
                <c:pt idx="11">
                  <c:v>6.4459845403314108E-4</c:v>
                </c:pt>
                <c:pt idx="12">
                  <c:v>5.097637189674716E-4</c:v>
                </c:pt>
                <c:pt idx="13">
                  <c:v>2.010414492224515E-4</c:v>
                </c:pt>
                <c:pt idx="14">
                  <c:v>1.1585992863226694E-4</c:v>
                </c:pt>
                <c:pt idx="15">
                  <c:v>9.7030618688882441E-6</c:v>
                </c:pt>
                <c:pt idx="16">
                  <c:v>2.428718688621947E-4</c:v>
                </c:pt>
                <c:pt idx="17">
                  <c:v>1.0576648095736827E-4</c:v>
                </c:pt>
                <c:pt idx="18">
                  <c:v>3.1906681455454432E-4</c:v>
                </c:pt>
                <c:pt idx="19">
                  <c:v>1.11429719063795E-4</c:v>
                </c:pt>
                <c:pt idx="20">
                  <c:v>5.702717961173327E-5</c:v>
                </c:pt>
                <c:pt idx="21">
                  <c:v>5.9966667947928382E-4</c:v>
                </c:pt>
                <c:pt idx="22">
                  <c:v>5.6193620653580416E-4</c:v>
                </c:pt>
                <c:pt idx="23">
                  <c:v>8.1552542902571501E-4</c:v>
                </c:pt>
                <c:pt idx="24">
                  <c:v>6.5524178661623697E-4</c:v>
                </c:pt>
                <c:pt idx="25">
                  <c:v>2.6937979323633272E-4</c:v>
                </c:pt>
                <c:pt idx="26">
                  <c:v>2.3246912327997714E-4</c:v>
                </c:pt>
                <c:pt idx="27">
                  <c:v>4.5062138877446679E-8</c:v>
                </c:pt>
                <c:pt idx="28">
                  <c:v>6.4990788501831246E-6</c:v>
                </c:pt>
                <c:pt idx="29">
                  <c:v>5.5054004459030325E-6</c:v>
                </c:pt>
                <c:pt idx="30">
                  <c:v>1.9922365959529167E-5</c:v>
                </c:pt>
                <c:pt idx="31">
                  <c:v>1.1655602746795813E-5</c:v>
                </c:pt>
                <c:pt idx="32">
                  <c:v>3.031744014147661E-7</c:v>
                </c:pt>
                <c:pt idx="33">
                  <c:v>3.2520873647210436E-5</c:v>
                </c:pt>
                <c:pt idx="34">
                  <c:v>3.7863292247639689E-5</c:v>
                </c:pt>
                <c:pt idx="35">
                  <c:v>6.4856865458950942E-5</c:v>
                </c:pt>
                <c:pt idx="36">
                  <c:v>5.1337119110797519E-5</c:v>
                </c:pt>
                <c:pt idx="37">
                  <c:v>2.3875535011230506E-5</c:v>
                </c:pt>
                <c:pt idx="38">
                  <c:v>1.9294745397399802E-6</c:v>
                </c:pt>
                <c:pt idx="39">
                  <c:v>1.1551803644347876E-6</c:v>
                </c:pt>
                <c:pt idx="40">
                  <c:v>3.8525898491295058E-5</c:v>
                </c:pt>
                <c:pt idx="41">
                  <c:v>1.6530067503256144E-5</c:v>
                </c:pt>
                <c:pt idx="42">
                  <c:v>4.6291474336173944E-5</c:v>
                </c:pt>
                <c:pt idx="43">
                  <c:v>2.4778307742372098E-5</c:v>
                </c:pt>
                <c:pt idx="44">
                  <c:v>6.2985765967120292E-7</c:v>
                </c:pt>
                <c:pt idx="45">
                  <c:v>6.6959305611050362E-5</c:v>
                </c:pt>
                <c:pt idx="46">
                  <c:v>7.7817816734918307E-5</c:v>
                </c:pt>
                <c:pt idx="47">
                  <c:v>1.3324339945902774E-4</c:v>
                </c:pt>
                <c:pt idx="48">
                  <c:v>1.0540027095561374E-4</c:v>
                </c:pt>
                <c:pt idx="49">
                  <c:v>4.8829383263441162E-5</c:v>
                </c:pt>
                <c:pt idx="50">
                  <c:v>3.9105124647650152E-6</c:v>
                </c:pt>
                <c:pt idx="51">
                  <c:v>2.2704840824865122E-6</c:v>
                </c:pt>
                <c:pt idx="52">
                  <c:v>7.1780376417150834E-5</c:v>
                </c:pt>
                <c:pt idx="53">
                  <c:v>2.9025148275177334E-5</c:v>
                </c:pt>
                <c:pt idx="54">
                  <c:v>8.055785817232214E-5</c:v>
                </c:pt>
                <c:pt idx="55">
                  <c:v>3.8723987345267897E-5</c:v>
                </c:pt>
                <c:pt idx="56">
                  <c:v>1.939002029396691E-6</c:v>
                </c:pt>
                <c:pt idx="57">
                  <c:v>1.4740642098843315E-4</c:v>
                </c:pt>
                <c:pt idx="58">
                  <c:v>1.4560529282971204E-4</c:v>
                </c:pt>
                <c:pt idx="59">
                  <c:v>2.4269005015989774E-4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669120"/>
        <c:axId val="539669904"/>
      </c:lineChart>
      <c:dateAx>
        <c:axId val="539669120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990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396699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6912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1.5330789122347532E-4</c:v>
                </c:pt>
                <c:pt idx="6">
                  <c:v>8.100755444928609E-4</c:v>
                </c:pt>
                <c:pt idx="7">
                  <c:v>1.4882822361241832E-3</c:v>
                </c:pt>
                <c:pt idx="8">
                  <c:v>2.166028590531055E-3</c:v>
                </c:pt>
                <c:pt idx="9">
                  <c:v>2.8214741512629926E-3</c:v>
                </c:pt>
                <c:pt idx="10">
                  <c:v>3.4983155929440013E-3</c:v>
                </c:pt>
                <c:pt idx="11">
                  <c:v>4.1528860165024328E-3</c:v>
                </c:pt>
                <c:pt idx="12">
                  <c:v>4.828823753678213E-3</c:v>
                </c:pt>
                <c:pt idx="13">
                  <c:v>5.5043026936972828E-3</c:v>
                </c:pt>
                <c:pt idx="14">
                  <c:v>6.1140186171284583E-3</c:v>
                </c:pt>
                <c:pt idx="15">
                  <c:v>6.788625222734157E-3</c:v>
                </c:pt>
                <c:pt idx="16">
                  <c:v>7.4410343460141748E-3</c:v>
                </c:pt>
                <c:pt idx="17">
                  <c:v>8.1147402310209893E-3</c:v>
                </c:pt>
                <c:pt idx="18">
                  <c:v>8.7662782713150422E-3</c:v>
                </c:pt>
                <c:pt idx="19">
                  <c:v>9.4390846383460847E-3</c:v>
                </c:pt>
                <c:pt idx="20">
                  <c:v>1.0111434333658353E-2</c:v>
                </c:pt>
                <c:pt idx="21">
                  <c:v>1.076166080877905E-2</c:v>
                </c:pt>
                <c:pt idx="22">
                  <c:v>1.1433112796871647E-2</c:v>
                </c:pt>
                <c:pt idx="23">
                  <c:v>1.2082471103232573E-2</c:v>
                </c:pt>
                <c:pt idx="24">
                  <c:v>1.2753026582705385E-2</c:v>
                </c:pt>
                <c:pt idx="25">
                  <c:v>1.3423126918263972E-2</c:v>
                </c:pt>
                <c:pt idx="26">
                  <c:v>1.4027987885321114E-2</c:v>
                </c:pt>
                <c:pt idx="27">
                  <c:v>1.4697222832562806E-2</c:v>
                </c:pt>
                <c:pt idx="28">
                  <c:v>1.5344437048329551E-2</c:v>
                </c:pt>
                <c:pt idx="29">
                  <c:v>1.6012778447097809E-2</c:v>
                </c:pt>
                <c:pt idx="30">
                  <c:v>1.6659128516010369E-2</c:v>
                </c:pt>
                <c:pt idx="31">
                  <c:v>1.7326577559352629E-2</c:v>
                </c:pt>
                <c:pt idx="32">
                  <c:v>1.7993573567294363E-2</c:v>
                </c:pt>
                <c:pt idx="33">
                  <c:v>1.8638622514572045E-2</c:v>
                </c:pt>
                <c:pt idx="34">
                  <c:v>1.9304727963425306E-2</c:v>
                </c:pt>
                <c:pt idx="35">
                  <c:v>1.9948915654869781E-2</c:v>
                </c:pt>
                <c:pt idx="36">
                  <c:v>2.0635582797733032E-2</c:v>
                </c:pt>
                <c:pt idx="37">
                  <c:v>2.1300332796742594E-2</c:v>
                </c:pt>
                <c:pt idx="38">
                  <c:v>2.1900364323240828E-2</c:v>
                </c:pt>
                <c:pt idx="39">
                  <c:v>2.2564255843523728E-2</c:v>
                </c:pt>
                <c:pt idx="40">
                  <c:v>2.3206302454247041E-2</c:v>
                </c:pt>
                <c:pt idx="41">
                  <c:v>2.3869307560488329E-2</c:v>
                </c:pt>
                <c:pt idx="42">
                  <c:v>2.4510496924035396E-2</c:v>
                </c:pt>
                <c:pt idx="43">
                  <c:v>2.5172616799756464E-2</c:v>
                </c:pt>
                <c:pt idx="44">
                  <c:v>2.5834287257284427E-2</c:v>
                </c:pt>
                <c:pt idx="45">
                  <c:v>2.6474185887847779E-2</c:v>
                </c:pt>
                <c:pt idx="46">
                  <c:v>2.7134972896850518E-2</c:v>
                </c:pt>
                <c:pt idx="47">
                  <c:v>2.7774017148175623E-2</c:v>
                </c:pt>
                <c:pt idx="48">
                  <c:v>2.8433921888215141E-2</c:v>
                </c:pt>
                <c:pt idx="49">
                  <c:v>2.9093378713599405E-2</c:v>
                </c:pt>
                <c:pt idx="50">
                  <c:v>2.9688632397216641E-2</c:v>
                </c:pt>
                <c:pt idx="51">
                  <c:v>3.0347237579642639E-2</c:v>
                </c:pt>
                <c:pt idx="52">
                  <c:v>3.0984171795945259E-2</c:v>
                </c:pt>
                <c:pt idx="53">
                  <c:v>3.1641897622536996E-2</c:v>
                </c:pt>
                <c:pt idx="54">
                  <c:v>3.2277981417625168E-2</c:v>
                </c:pt>
                <c:pt idx="55">
                  <c:v>3.2934829062480242E-2</c:v>
                </c:pt>
                <c:pt idx="56">
                  <c:v>3.3591230867703437E-2</c:v>
                </c:pt>
                <c:pt idx="57">
                  <c:v>3.4226034207466949E-2</c:v>
                </c:pt>
                <c:pt idx="58">
                  <c:v>3.4881559598758938E-2</c:v>
                </c:pt>
                <c:pt idx="59">
                  <c:v>3.5515515362409711E-2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4.6431022939271712E-4</c:v>
                </c:pt>
                <c:pt idx="6">
                  <c:v>2.4409811293287236E-3</c:v>
                </c:pt>
                <c:pt idx="7">
                  <c:v>4.4235219949964192E-3</c:v>
                </c:pt>
                <c:pt idx="8">
                  <c:v>6.3297407202105097E-3</c:v>
                </c:pt>
                <c:pt idx="9">
                  <c:v>8.0482361801202697E-3</c:v>
                </c:pt>
                <c:pt idx="10">
                  <c:v>9.643645703789297E-3</c:v>
                </c:pt>
                <c:pt idx="11">
                  <c:v>1.1172709492835699E-2</c:v>
                </c:pt>
                <c:pt idx="12">
                  <c:v>1.2795470364212238E-2</c:v>
                </c:pt>
                <c:pt idx="13">
                  <c:v>1.4392634780729977E-2</c:v>
                </c:pt>
                <c:pt idx="14">
                  <c:v>1.5804027242006285E-2</c:v>
                </c:pt>
                <c:pt idx="15">
                  <c:v>1.7393019248029599E-2</c:v>
                </c:pt>
                <c:pt idx="16">
                  <c:v>1.9108365350724466E-2</c:v>
                </c:pt>
                <c:pt idx="17">
                  <c:v>2.0987295406685477E-2</c:v>
                </c:pt>
                <c:pt idx="18">
                  <c:v>2.257469335652959E-2</c:v>
                </c:pt>
                <c:pt idx="19">
                  <c:v>2.3995006470770259E-2</c:v>
                </c:pt>
                <c:pt idx="20">
                  <c:v>2.5291976611363797E-2</c:v>
                </c:pt>
                <c:pt idx="21">
                  <c:v>2.6295484055748303E-2</c:v>
                </c:pt>
                <c:pt idx="22">
                  <c:v>2.7018649850843481E-2</c:v>
                </c:pt>
                <c:pt idx="23">
                  <c:v>2.7887499386700789E-2</c:v>
                </c:pt>
                <c:pt idx="24">
                  <c:v>2.9014328587288998E-2</c:v>
                </c:pt>
                <c:pt idx="25">
                  <c:v>3.0158847882050904E-2</c:v>
                </c:pt>
                <c:pt idx="26">
                  <c:v>3.1179205326886873E-2</c:v>
                </c:pt>
                <c:pt idx="27">
                  <c:v>3.2937449511755881E-2</c:v>
                </c:pt>
                <c:pt idx="28">
                  <c:v>3.5701706956367839E-2</c:v>
                </c:pt>
                <c:pt idx="29">
                  <c:v>3.8753574703513129E-2</c:v>
                </c:pt>
                <c:pt idx="30">
                  <c:v>4.1280366526841784E-2</c:v>
                </c:pt>
                <c:pt idx="31">
                  <c:v>4.3496639489591774E-2</c:v>
                </c:pt>
                <c:pt idx="32">
                  <c:v>4.5500484253089876E-2</c:v>
                </c:pt>
                <c:pt idx="33">
                  <c:v>4.7000188737680658E-2</c:v>
                </c:pt>
                <c:pt idx="34">
                  <c:v>4.8006579340638705E-2</c:v>
                </c:pt>
                <c:pt idx="35">
                  <c:v>4.9296468181889486E-2</c:v>
                </c:pt>
                <c:pt idx="36">
                  <c:v>5.1102793913969678E-2</c:v>
                </c:pt>
                <c:pt idx="37">
                  <c:v>5.2887170691578035E-2</c:v>
                </c:pt>
                <c:pt idx="38">
                  <c:v>5.4480621028373762E-2</c:v>
                </c:pt>
                <c:pt idx="39">
                  <c:v>5.6415120448186293E-2</c:v>
                </c:pt>
                <c:pt idx="40">
                  <c:v>7.2016351308054798E-3</c:v>
                </c:pt>
                <c:pt idx="41">
                  <c:v>1.0048784539183489E-2</c:v>
                </c:pt>
                <c:pt idx="42">
                  <c:v>1.2694579462185033E-2</c:v>
                </c:pt>
                <c:pt idx="43">
                  <c:v>1.5269665097068671E-2</c:v>
                </c:pt>
                <c:pt idx="44">
                  <c:v>1.7714215735472411E-2</c:v>
                </c:pt>
                <c:pt idx="45">
                  <c:v>1.9842233974193449E-2</c:v>
                </c:pt>
                <c:pt idx="46">
                  <c:v>2.1722499647914645E-2</c:v>
                </c:pt>
                <c:pt idx="47">
                  <c:v>2.3604950117784192E-2</c:v>
                </c:pt>
                <c:pt idx="48">
                  <c:v>2.5696382573616009E-2</c:v>
                </c:pt>
                <c:pt idx="49">
                  <c:v>2.802516615314354E-2</c:v>
                </c:pt>
                <c:pt idx="50">
                  <c:v>3.0361557551790489E-2</c:v>
                </c:pt>
                <c:pt idx="51">
                  <c:v>3.3008054185174759E-2</c:v>
                </c:pt>
                <c:pt idx="52">
                  <c:v>3.5909287527820501E-2</c:v>
                </c:pt>
                <c:pt idx="53">
                  <c:v>3.9104749414752178E-2</c:v>
                </c:pt>
                <c:pt idx="54">
                  <c:v>4.1766700117730253E-2</c:v>
                </c:pt>
                <c:pt idx="55">
                  <c:v>4.411587125785215E-2</c:v>
                </c:pt>
                <c:pt idx="56">
                  <c:v>4.6246434015613493E-2</c:v>
                </c:pt>
                <c:pt idx="57">
                  <c:v>4.7857809226203918E-2</c:v>
                </c:pt>
                <c:pt idx="58">
                  <c:v>4.8964641979021874E-2</c:v>
                </c:pt>
                <c:pt idx="59">
                  <c:v>5.03535194482055E-2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4.1435007733138547E-8</c:v>
                </c:pt>
                <c:pt idx="1">
                  <c:v>1.6878591957190173E-7</c:v>
                </c:pt>
                <c:pt idx="2">
                  <c:v>4.744141382850744E-8</c:v>
                </c:pt>
                <c:pt idx="3">
                  <c:v>1.005416582370877E-7</c:v>
                </c:pt>
                <c:pt idx="4">
                  <c:v>8.0996584275652909E-6</c:v>
                </c:pt>
                <c:pt idx="5">
                  <c:v>6.0563716986585196E-6</c:v>
                </c:pt>
                <c:pt idx="6">
                  <c:v>2.1240194479950102E-5</c:v>
                </c:pt>
                <c:pt idx="7">
                  <c:v>1.2311426017769877E-5</c:v>
                </c:pt>
                <c:pt idx="8">
                  <c:v>3.1950079776936114E-7</c:v>
                </c:pt>
                <c:pt idx="9">
                  <c:v>3.4241976507128217E-5</c:v>
                </c:pt>
                <c:pt idx="10">
                  <c:v>3.9860068594307075E-5</c:v>
                </c:pt>
                <c:pt idx="11">
                  <c:v>6.8274566339495717E-5</c:v>
                </c:pt>
                <c:pt idx="12">
                  <c:v>5.4038991407247624E-5</c:v>
                </c:pt>
                <c:pt idx="13">
                  <c:v>2.5122634171782563E-5</c:v>
                </c:pt>
                <c:pt idx="14">
                  <c:v>2.0284793388535445E-6</c:v>
                </c:pt>
                <c:pt idx="15">
                  <c:v>1.2106598837944286E-6</c:v>
                </c:pt>
                <c:pt idx="16">
                  <c:v>4.0126478068677251E-5</c:v>
                </c:pt>
                <c:pt idx="17">
                  <c:v>1.7081038756011629E-5</c:v>
                </c:pt>
                <c:pt idx="18">
                  <c:v>4.760930285659491E-5</c:v>
                </c:pt>
                <c:pt idx="19">
                  <c:v>2.5434131013346175E-5</c:v>
                </c:pt>
                <c:pt idx="20">
                  <c:v>6.461840560257979E-7</c:v>
                </c:pt>
                <c:pt idx="21">
                  <c:v>6.8680408470968109E-5</c:v>
                </c:pt>
                <c:pt idx="22">
                  <c:v>7.9814593081585679E-5</c:v>
                </c:pt>
                <c:pt idx="23">
                  <c:v>1.3666110033957248E-4</c:v>
                </c:pt>
                <c:pt idx="24">
                  <c:v>1.0810214325206389E-4</c:v>
                </c:pt>
                <c:pt idx="25">
                  <c:v>5.009593891690376E-5</c:v>
                </c:pt>
                <c:pt idx="26">
                  <c:v>4.3609294471760607E-6</c:v>
                </c:pt>
                <c:pt idx="27">
                  <c:v>2.3334586937173329E-6</c:v>
                </c:pt>
                <c:pt idx="28">
                  <c:v>7.3688431541984008E-5</c:v>
                </c:pt>
                <c:pt idx="29">
                  <c:v>2.9724410870936343E-5</c:v>
                </c:pt>
                <c:pt idx="30">
                  <c:v>8.2399822894194363E-5</c:v>
                </c:pt>
                <c:pt idx="31">
                  <c:v>3.9426401311730509E-5</c:v>
                </c:pt>
                <c:pt idx="32">
                  <c:v>2.0083019596102533E-6</c:v>
                </c:pt>
                <c:pt idx="33">
                  <c:v>1.5157430342863253E-4</c:v>
                </c:pt>
                <c:pt idx="34">
                  <c:v>1.4907616556284408E-4</c:v>
                </c:pt>
                <c:pt idx="35">
                  <c:v>2.4827991970209813E-4</c:v>
                </c:pt>
                <c:pt idx="36">
                  <c:v>1.9525745611110383E-4</c:v>
                </c:pt>
                <c:pt idx="37">
                  <c:v>8.3955085099751185E-5</c:v>
                </c:pt>
                <c:pt idx="38">
                  <c:v>2.3338313871890215E-5</c:v>
                </c:pt>
                <c:pt idx="39">
                  <c:v>3.5935500658422817E-6</c:v>
                </c:pt>
                <c:pt idx="40">
                  <c:v>1.1186768748893185E-4</c:v>
                </c:pt>
                <c:pt idx="41">
                  <c:v>4.3716315648815631E-5</c:v>
                </c:pt>
                <c:pt idx="42">
                  <c:v>1.1925664199042257E-4</c:v>
                </c:pt>
                <c:pt idx="43">
                  <c:v>5.3481363486176086E-5</c:v>
                </c:pt>
                <c:pt idx="44">
                  <c:v>3.3949598911836507E-6</c:v>
                </c:pt>
                <c:pt idx="45">
                  <c:v>2.349716059332298E-4</c:v>
                </c:pt>
                <c:pt idx="46">
                  <c:v>2.1852664249763073E-4</c:v>
                </c:pt>
                <c:pt idx="47">
                  <c:v>3.6013049319135907E-4</c:v>
                </c:pt>
                <c:pt idx="48">
                  <c:v>2.8255024663300618E-4</c:v>
                </c:pt>
                <c:pt idx="49">
                  <c:v>1.1783108874033658E-4</c:v>
                </c:pt>
                <c:pt idx="50">
                  <c:v>4.2662744893979478E-5</c:v>
                </c:pt>
                <c:pt idx="51">
                  <c:v>4.9395802593220417E-6</c:v>
                </c:pt>
                <c:pt idx="52">
                  <c:v>1.5160806094519693E-4</c:v>
                </c:pt>
                <c:pt idx="53">
                  <c:v>6.0634167818528648E-5</c:v>
                </c:pt>
                <c:pt idx="54">
                  <c:v>1.6819198598215515E-4</c:v>
                </c:pt>
                <c:pt idx="55">
                  <c:v>7.0404416159857401E-5</c:v>
                </c:pt>
                <c:pt idx="56">
                  <c:v>1.1604198020280126E-5</c:v>
                </c:pt>
                <c:pt idx="57">
                  <c:v>3.3924457695798111E-4</c:v>
                </c:pt>
                <c:pt idx="58">
                  <c:v>3.1245703901439104E-4</c:v>
                </c:pt>
                <c:pt idx="59">
                  <c:v>5.0228324882412077E-4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670688"/>
        <c:axId val="539671080"/>
      </c:lineChart>
      <c:dateAx>
        <c:axId val="539670688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7108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396710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67068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33930" y="1095374"/>
            <a:ext cx="5745796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64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11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K8" sqref="K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0">
        <f>Tmaj</f>
        <v>44926</v>
      </c>
      <c r="D2" s="1210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1" t="str">
        <f>Station</f>
        <v>Garderie Labège</v>
      </c>
      <c r="D3" s="1212"/>
      <c r="E3" s="1212"/>
      <c r="F3" s="1212"/>
      <c r="G3" s="1212"/>
      <c r="H3" s="1213"/>
      <c r="K3" s="21"/>
      <c r="L3" s="30"/>
      <c r="M3" s="30"/>
      <c r="N3" s="209" t="s">
        <v>166</v>
      </c>
      <c r="O3" s="716">
        <f>Salim_i</f>
        <v>7.0000000000000007E-2</v>
      </c>
      <c r="P3" s="450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4">
        <f>T0</f>
        <v>43259</v>
      </c>
      <c r="D4" s="1215"/>
      <c r="H4" s="33" t="s">
        <v>304</v>
      </c>
      <c r="I4" s="658">
        <f>Azi_pvG</f>
        <v>-39</v>
      </c>
      <c r="J4" s="658">
        <f>Azi_pvD</f>
        <v>51</v>
      </c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08">
        <f>Tservice</f>
        <v>43301</v>
      </c>
      <c r="D5" s="1209"/>
      <c r="E5" s="95"/>
      <c r="H5" s="33" t="s">
        <v>15</v>
      </c>
      <c r="I5" s="659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2">
        <f>Pc</f>
        <v>9</v>
      </c>
      <c r="D6" s="561"/>
      <c r="E6" s="132"/>
      <c r="F6" s="562"/>
      <c r="G6" s="562"/>
      <c r="H6" s="563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6"/>
      <c r="B7" s="535"/>
      <c r="C7" s="52"/>
      <c r="D7" s="827"/>
      <c r="E7" s="29"/>
      <c r="F7" s="535"/>
      <c r="G7" s="535"/>
      <c r="H7" s="694"/>
      <c r="I7" s="535"/>
      <c r="J7" s="22" t="s">
        <v>376</v>
      </c>
      <c r="K7" s="1216" t="s">
        <v>374</v>
      </c>
      <c r="L7" s="1217"/>
      <c r="M7" s="1198" t="b">
        <f>IF(K7="début",TRUE,FALSE)</f>
        <v>0</v>
      </c>
      <c r="N7" s="801"/>
      <c r="O7" s="30"/>
      <c r="P7" s="30"/>
      <c r="Q7" s="535"/>
      <c r="R7" s="535"/>
      <c r="S7" s="535"/>
      <c r="T7" s="535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Garderie Labège (kWh)</v>
      </c>
      <c r="B8" s="132"/>
      <c r="C8" s="133"/>
      <c r="D8" s="564"/>
      <c r="E8" s="561"/>
      <c r="F8" s="132"/>
      <c r="G8" s="132"/>
      <c r="H8" s="62"/>
      <c r="I8" s="132"/>
      <c r="J8" s="22" t="s">
        <v>115</v>
      </c>
      <c r="K8" s="558">
        <f>[3]!Inter_net</f>
        <v>2</v>
      </c>
      <c r="L8" s="559">
        <f>[3]!Inter_tai</f>
        <v>7</v>
      </c>
      <c r="N8" s="15"/>
    </row>
    <row r="9" spans="1:29" ht="15.75" x14ac:dyDescent="0.25">
      <c r="A9" s="29" t="s">
        <v>280</v>
      </c>
      <c r="B9" s="149">
        <f>AVERAGE(B11:B30)</f>
        <v>10390.902738838684</v>
      </c>
      <c r="C9" s="880">
        <f t="shared" ref="C9:J9" si="0">AVERAGE(C11:C30)</f>
        <v>367.19991172935693</v>
      </c>
      <c r="D9" s="881">
        <f t="shared" si="0"/>
        <v>0.67324384028812834</v>
      </c>
      <c r="E9" s="149">
        <f t="shared" si="0"/>
        <v>367.87315556964506</v>
      </c>
      <c r="F9" s="149">
        <f t="shared" si="0"/>
        <v>10758.775894408329</v>
      </c>
      <c r="G9" s="149">
        <f t="shared" si="0"/>
        <v>11181.538687419334</v>
      </c>
      <c r="H9" s="887">
        <f t="shared" si="0"/>
        <v>313.37752328505343</v>
      </c>
      <c r="I9" s="888">
        <f t="shared" si="0"/>
        <v>0.71660406374569519</v>
      </c>
      <c r="J9" s="149">
        <f t="shared" si="0"/>
        <v>10076.767922834148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107</v>
      </c>
      <c r="C10" s="332" t="s">
        <v>61</v>
      </c>
      <c r="D10" s="333" t="s">
        <v>98</v>
      </c>
      <c r="E10" s="174" t="s">
        <v>97</v>
      </c>
      <c r="F10" s="174" t="s">
        <v>110</v>
      </c>
      <c r="G10" s="174" t="s">
        <v>109</v>
      </c>
      <c r="H10" s="332" t="s">
        <v>62</v>
      </c>
      <c r="I10" s="333" t="s">
        <v>63</v>
      </c>
      <c r="J10" s="174" t="s">
        <v>108</v>
      </c>
      <c r="K10" s="332" t="s">
        <v>55</v>
      </c>
      <c r="L10" s="333" t="s">
        <v>56</v>
      </c>
      <c r="M10" s="332" t="s">
        <v>274</v>
      </c>
      <c r="N10" s="333" t="s">
        <v>275</v>
      </c>
      <c r="O10" s="100" t="s">
        <v>276</v>
      </c>
      <c r="P10" s="100" t="s">
        <v>277</v>
      </c>
      <c r="Q10" s="100" t="s">
        <v>278</v>
      </c>
      <c r="R10" s="100" t="s">
        <v>279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4615.3260000000028</v>
      </c>
      <c r="C11" s="143">
        <f>'2018'!Wh_Psa</f>
        <v>30.609239625815459</v>
      </c>
      <c r="D11" s="329">
        <f>'2018'!Wh_Pvg</f>
        <v>6.5772109419627092E-2</v>
      </c>
      <c r="E11" s="139">
        <f t="shared" ref="E11:E16" si="1">C11+D11</f>
        <v>30.675011735235085</v>
      </c>
      <c r="F11" s="139">
        <f t="shared" ref="F11:F16" si="2">B11+E11</f>
        <v>4646.0010117352376</v>
      </c>
      <c r="G11" s="139">
        <f>'2018'!F$9</f>
        <v>4656.7264910671083</v>
      </c>
      <c r="H11" s="145">
        <f>'2018'!Wh_gain_sa</f>
        <v>0</v>
      </c>
      <c r="I11" s="329">
        <f>'2018'!Wh_gain_vg</f>
        <v>0</v>
      </c>
      <c r="J11" s="139">
        <f>'2018'!Prod_an_s</f>
        <v>4615.3260000000028</v>
      </c>
      <c r="K11" s="858" t="str">
        <f>IF('2018'!Acti_net,'2018'!Tnet,"")</f>
        <v/>
      </c>
      <c r="L11" s="859" t="str">
        <f>IF('2018'!Acti_tai,'2018'!Ttai,"")</f>
        <v/>
      </c>
      <c r="M11" s="870">
        <v>0</v>
      </c>
      <c r="N11" s="871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4"/>
      <c r="T11" s="864"/>
    </row>
    <row r="12" spans="1:29" s="19" customFormat="1" ht="12.75" x14ac:dyDescent="0.2">
      <c r="A12" s="144">
        <f>'2019'!An</f>
        <v>2019</v>
      </c>
      <c r="B12" s="137">
        <f>'2019'!Prod_an</f>
        <v>11784.139000000005</v>
      </c>
      <c r="C12" s="145">
        <f>'2019'!Wh_Psa</f>
        <v>253.32286439712462</v>
      </c>
      <c r="D12" s="330">
        <f>'2019'!Wh_Pvg</f>
        <v>0.25578101805789927</v>
      </c>
      <c r="E12" s="137">
        <f t="shared" si="1"/>
        <v>253.57864541518251</v>
      </c>
      <c r="F12" s="137">
        <f t="shared" si="2"/>
        <v>12037.717645415187</v>
      </c>
      <c r="G12" s="137">
        <f>'2019'!F$9</f>
        <v>12138.62332403917</v>
      </c>
      <c r="H12" s="145">
        <f>'2019'!Wh_gain_sa</f>
        <v>0</v>
      </c>
      <c r="I12" s="330">
        <f>'2019'!Wh_gain_vg</f>
        <v>0</v>
      </c>
      <c r="J12" s="137">
        <f>'2019'!Prod_an_s</f>
        <v>11784.139000000005</v>
      </c>
      <c r="K12" s="860" t="str">
        <f>IF('2019'!Acti_net,'2019'!Tnet,"")</f>
        <v/>
      </c>
      <c r="L12" s="861" t="str">
        <f>IF('2019'!Acti_tai,'2019'!Ttai,"")</f>
        <v/>
      </c>
      <c r="M12" s="872">
        <f>O12+P11+(K11="")*M11</f>
        <v>0</v>
      </c>
      <c r="N12" s="873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864"/>
      <c r="T12" s="864"/>
    </row>
    <row r="13" spans="1:29" s="19" customFormat="1" ht="12.75" x14ac:dyDescent="0.2">
      <c r="A13" s="144">
        <f>'2020'!An</f>
        <v>2020</v>
      </c>
      <c r="B13" s="137">
        <f>'2020'!Prod_an</f>
        <v>11260.48499999999</v>
      </c>
      <c r="C13" s="145">
        <f>'2020'!Wh_Psa</f>
        <v>457.78952847373029</v>
      </c>
      <c r="D13" s="330">
        <f>'2020'!Wh_Pvg</f>
        <v>0.45840007211875244</v>
      </c>
      <c r="E13" s="137">
        <f t="shared" si="1"/>
        <v>458.24792854584905</v>
      </c>
      <c r="F13" s="137">
        <f t="shared" si="2"/>
        <v>11718.732928545838</v>
      </c>
      <c r="G13" s="137">
        <f>'2020'!F$9</f>
        <v>11911.80531723795</v>
      </c>
      <c r="H13" s="145">
        <f>'2020'!Wh_gain_sa</f>
        <v>0</v>
      </c>
      <c r="I13" s="330">
        <f>'2020'!Wh_gain_vg</f>
        <v>0</v>
      </c>
      <c r="J13" s="137">
        <f>'2020'!Prod_an_s</f>
        <v>11260.48499999999</v>
      </c>
      <c r="K13" s="860" t="str">
        <f>IF('2020'!Acti_net,'2020'!Tnet,"")</f>
        <v/>
      </c>
      <c r="L13" s="861" t="str">
        <f>IF('2020'!Acti_tai,'2020'!Ttai,"")</f>
        <v/>
      </c>
      <c r="M13" s="872">
        <f t="shared" ref="M13:M20" si="3">O13+P12+(K12="")*M12</f>
        <v>0</v>
      </c>
      <c r="N13" s="873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864"/>
      <c r="T13" s="864"/>
    </row>
    <row r="14" spans="1:29" s="19" customFormat="1" ht="12.75" x14ac:dyDescent="0.2">
      <c r="A14" s="144">
        <f>'2021'!An</f>
        <v>2021</v>
      </c>
      <c r="B14" s="137">
        <f>'2021'!Prod_an</f>
        <v>11120.094999999999</v>
      </c>
      <c r="C14" s="145">
        <f>'2021'!Wh_Psa</f>
        <v>280.10141859979717</v>
      </c>
      <c r="D14" s="330">
        <f>'2021'!Wh_Pvg</f>
        <v>0.65631323847225664</v>
      </c>
      <c r="E14" s="137">
        <f t="shared" si="1"/>
        <v>280.75773183826942</v>
      </c>
      <c r="F14" s="137">
        <f t="shared" si="2"/>
        <v>11400.852731838269</v>
      </c>
      <c r="G14" s="137">
        <f>'2021'!F$9</f>
        <v>11682.677758308591</v>
      </c>
      <c r="H14" s="145">
        <f>'2021'!Wh_gain_sa</f>
        <v>407.63927244838794</v>
      </c>
      <c r="I14" s="330">
        <f>'2021'!Wh_gain_vg</f>
        <v>-2.4040267854287145E-2</v>
      </c>
      <c r="J14" s="137">
        <f>'2021'!Prod_an_s</f>
        <v>10712.774155783294</v>
      </c>
      <c r="K14" s="860">
        <f>IF('2021'!Acti_net,'2021'!Tnet,"")</f>
        <v>44307</v>
      </c>
      <c r="L14" s="861" t="str">
        <f>IF('2021'!Acti_tai,'2021'!Ttai,"")</f>
        <v/>
      </c>
      <c r="M14" s="872">
        <f t="shared" si="3"/>
        <v>0</v>
      </c>
      <c r="N14" s="873">
        <f>Q14+R13+(L13="")*N13</f>
        <v>0</v>
      </c>
      <c r="O14" s="370">
        <f>+'2021'!$AJ$3</f>
        <v>0</v>
      </c>
      <c r="P14" s="370">
        <f>+'2021'!$AJ$4</f>
        <v>407.28757487148368</v>
      </c>
      <c r="Q14" s="370">
        <f>+'2021'!$AK$3</f>
        <v>0</v>
      </c>
      <c r="R14" s="370">
        <f>+'2021'!$AK$4</f>
        <v>-2.4040267854287145E-2</v>
      </c>
      <c r="S14" s="864"/>
      <c r="T14" s="864"/>
    </row>
    <row r="15" spans="1:29" s="19" customFormat="1" ht="12.75" x14ac:dyDescent="0.2">
      <c r="A15" s="364">
        <f>'2022'!An</f>
        <v>2022</v>
      </c>
      <c r="B15" s="365">
        <f>'2022'!Prod_an</f>
        <v>11067.523499999998</v>
      </c>
      <c r="C15" s="366">
        <f>'2022'!Wh_Psa</f>
        <v>453.41658213095519</v>
      </c>
      <c r="D15" s="367">
        <f>'2022'!Wh_Pvg</f>
        <v>1.0057182322818914</v>
      </c>
      <c r="E15" s="365">
        <f t="shared" si="1"/>
        <v>454.42230036323707</v>
      </c>
      <c r="F15" s="365">
        <f t="shared" si="2"/>
        <v>11521.945800363235</v>
      </c>
      <c r="G15" s="365">
        <f>'2022'!F$9</f>
        <v>11901.425584561483</v>
      </c>
      <c r="H15" s="366">
        <f>'2022'!Wh_gain_sa</f>
        <v>411.53238463052907</v>
      </c>
      <c r="I15" s="367">
        <f>'2022'!Wh_gain_vg</f>
        <v>-3.7400982235009206E-2</v>
      </c>
      <c r="J15" s="365">
        <f>'2022'!Prod_an_s</f>
        <v>10655.940775811077</v>
      </c>
      <c r="K15" s="862" t="str">
        <f>IF('2022'!Acti_net,'2022'!Tnet,"")</f>
        <v/>
      </c>
      <c r="L15" s="863" t="str">
        <f>IF('2022'!Acti_tai,'2022'!Ttai,"")</f>
        <v/>
      </c>
      <c r="M15" s="874">
        <f t="shared" si="3"/>
        <v>429.15362492458934</v>
      </c>
      <c r="N15" s="875">
        <f t="shared" ref="N15:N20" si="4">Q15+R14+(L14="")*N14</f>
        <v>-2.4040267854287145E-2</v>
      </c>
      <c r="O15" s="370">
        <f>+'2022'!$AJ$3</f>
        <v>21.866050053105639</v>
      </c>
      <c r="P15" s="370">
        <f>+'2022'!$AJ$4</f>
        <v>389.67498800358482</v>
      </c>
      <c r="Q15" s="370">
        <f>+'2022'!$AK$3</f>
        <v>0</v>
      </c>
      <c r="R15" s="370">
        <f>+'2022'!$AK$4</f>
        <v>-3.7400982235009206E-2</v>
      </c>
      <c r="S15" s="864"/>
      <c r="T15" s="864"/>
    </row>
    <row r="16" spans="1:29" s="19" customFormat="1" ht="12.75" x14ac:dyDescent="0.2">
      <c r="A16" s="362">
        <f>'2023'!An</f>
        <v>2023</v>
      </c>
      <c r="B16" s="363">
        <f>'2023'!Prod_an</f>
        <v>10724.292534638575</v>
      </c>
      <c r="C16" s="145">
        <f>'2023'!Wh_Psa</f>
        <v>704.36391703205175</v>
      </c>
      <c r="D16" s="330">
        <f>'2023'!Wh_Pvg</f>
        <v>1.2907991316150889</v>
      </c>
      <c r="E16" s="363">
        <f t="shared" si="1"/>
        <v>705.65471616366688</v>
      </c>
      <c r="F16" s="363">
        <f t="shared" si="2"/>
        <v>11429.947250802241</v>
      </c>
      <c r="G16" s="363">
        <f>'2023'!F$9</f>
        <v>11901.257789817342</v>
      </c>
      <c r="H16" s="145">
        <f>'2023'!Wh_gain_sa</f>
        <v>292.51348984593392</v>
      </c>
      <c r="I16" s="330">
        <f>'2023'!Wh_gain_vg</f>
        <v>-3.5212085933628678E-2</v>
      </c>
      <c r="J16" s="363">
        <f>'2023'!Prod_an_s</f>
        <v>10431.741431172484</v>
      </c>
      <c r="K16" s="860" t="str">
        <f>IF('2023'!Acti_net,'2023'!Tnet,"")</f>
        <v/>
      </c>
      <c r="L16" s="861" t="str">
        <f>IF('2023'!Acti_tai,'2023'!Ttai,"")</f>
        <v/>
      </c>
      <c r="M16" s="872">
        <f t="shared" si="3"/>
        <v>818.82861292817415</v>
      </c>
      <c r="N16" s="873">
        <f t="shared" si="4"/>
        <v>-6.1441250089296351E-2</v>
      </c>
      <c r="O16" s="370">
        <f>+'2023'!$AJ$3</f>
        <v>0</v>
      </c>
      <c r="P16" s="370">
        <f>+'2023'!$AJ$4</f>
        <v>292.51348984593392</v>
      </c>
      <c r="Q16" s="370">
        <f>+'2023'!$AK$3</f>
        <v>0</v>
      </c>
      <c r="R16" s="370">
        <f>+'2023'!$AK$4</f>
        <v>-3.5212085933628678E-2</v>
      </c>
      <c r="S16" s="864"/>
      <c r="T16" s="864"/>
    </row>
    <row r="17" spans="1:30" s="19" customFormat="1" ht="12.75" x14ac:dyDescent="0.2">
      <c r="A17" s="362">
        <f>'2024'!An</f>
        <v>2024</v>
      </c>
      <c r="B17" s="363">
        <f>'2024'!Prod_an</f>
        <v>11018.344180386423</v>
      </c>
      <c r="C17" s="145">
        <f>'2024'!Wh_Psa</f>
        <v>333.96338443849078</v>
      </c>
      <c r="D17" s="330">
        <f>'2024'!Wh_Pvg</f>
        <v>1.8070610430373073</v>
      </c>
      <c r="E17" s="363">
        <f>C17+D17</f>
        <v>335.7704454815281</v>
      </c>
      <c r="F17" s="363">
        <f>B17+E17</f>
        <v>11354.114625867951</v>
      </c>
      <c r="G17" s="363">
        <f>'2024'!F$9</f>
        <v>11917.711751335593</v>
      </c>
      <c r="H17" s="145">
        <f>'2024'!Wh_gain_sa</f>
        <v>591.34644106767382</v>
      </c>
      <c r="I17" s="330">
        <f>'2024'!Wh_gain_vg</f>
        <v>-9.6937171352466267E-2</v>
      </c>
      <c r="J17" s="363">
        <f>'2024'!Prod_an_s</f>
        <v>10427.281071616544</v>
      </c>
      <c r="K17" s="860">
        <f>IF('2024'!Acti_net,'2024'!Tnet,"")</f>
        <v>45412</v>
      </c>
      <c r="L17" s="861" t="str">
        <f>IF('2024'!Acti_tai,'2024'!Ttai,"")</f>
        <v/>
      </c>
      <c r="M17" s="872">
        <f t="shared" si="3"/>
        <v>1171.6281684885862</v>
      </c>
      <c r="N17" s="873">
        <f t="shared" si="4"/>
        <v>-9.6653336022925029E-2</v>
      </c>
      <c r="O17" s="370">
        <f>+'2024'!$AJ$3</f>
        <v>60.286065714478127</v>
      </c>
      <c r="P17" s="370">
        <f>+'2024'!$AJ$4</f>
        <v>530.73482221374479</v>
      </c>
      <c r="Q17" s="370">
        <f>+'2024'!$AK$3</f>
        <v>0</v>
      </c>
      <c r="R17" s="370">
        <f>+'2024'!$AK$4</f>
        <v>-9.6937171352466267E-2</v>
      </c>
      <c r="S17" s="864"/>
      <c r="T17" s="864"/>
    </row>
    <row r="18" spans="1:30" s="19" customFormat="1" ht="12.75" x14ac:dyDescent="0.2">
      <c r="A18" s="362">
        <f>'2025'!An</f>
        <v>2025</v>
      </c>
      <c r="B18" s="363">
        <f>'2025'!Prod_an</f>
        <v>10803.451919006833</v>
      </c>
      <c r="C18" s="145">
        <f>'2025'!Wh_Psa</f>
        <v>444.87830159402046</v>
      </c>
      <c r="D18" s="330">
        <f>'2025'!Wh_Pvg</f>
        <v>0.5159293957786556</v>
      </c>
      <c r="E18" s="363">
        <f>C18+D18</f>
        <v>445.3942309897991</v>
      </c>
      <c r="F18" s="363">
        <f>B18+E18</f>
        <v>11248.846149996632</v>
      </c>
      <c r="G18" s="363">
        <f>'2025'!F$9</f>
        <v>11901.634982813273</v>
      </c>
      <c r="H18" s="145">
        <f>'2025'!Wh_gain_sa</f>
        <v>529.83868230005851</v>
      </c>
      <c r="I18" s="330">
        <f>'2025'!Wh_gain_vg</f>
        <v>1.6877102058504887</v>
      </c>
      <c r="J18" s="363">
        <f>'2025'!Prod_an_s</f>
        <v>10271.673487317983</v>
      </c>
      <c r="K18" s="860" t="str">
        <f>IF('2025'!Acti_net,'2025'!Tnet,"")</f>
        <v/>
      </c>
      <c r="L18" s="861">
        <f>IF('2025'!Acti_tai,'2025'!Ttai,"")</f>
        <v>45747</v>
      </c>
      <c r="M18" s="872">
        <f t="shared" si="3"/>
        <v>530.73482221374479</v>
      </c>
      <c r="N18" s="873">
        <f t="shared" si="4"/>
        <v>-0.21662491917225157</v>
      </c>
      <c r="O18" s="370">
        <f>+'2025'!$AJ$3</f>
        <v>0</v>
      </c>
      <c r="P18" s="370">
        <f>+'2025'!$AJ$4</f>
        <v>529.83868230005851</v>
      </c>
      <c r="Q18" s="370">
        <f>+'2025'!$AK$3</f>
        <v>-2.3034411796860277E-2</v>
      </c>
      <c r="R18" s="370">
        <f>+'2025'!$AK$4</f>
        <v>1.7056591851939638</v>
      </c>
      <c r="S18" s="864"/>
      <c r="T18" s="864"/>
    </row>
    <row r="19" spans="1:30" s="19" customFormat="1" ht="12.75" x14ac:dyDescent="0.2">
      <c r="A19" s="362">
        <f>'2026'!An</f>
        <v>2026</v>
      </c>
      <c r="B19" s="363">
        <f>'2026'!Prod_an</f>
        <v>10883.132971106836</v>
      </c>
      <c r="C19" s="145">
        <f>'2026'!Wh_Psa</f>
        <v>275.73449651511783</v>
      </c>
      <c r="D19" s="330">
        <f>'2026'!Wh_Pvg</f>
        <v>0.24093573263099266</v>
      </c>
      <c r="E19" s="363">
        <f>C19+D19</f>
        <v>275.97543224774881</v>
      </c>
      <c r="F19" s="363">
        <f>B19+E19</f>
        <v>11159.108403354585</v>
      </c>
      <c r="G19" s="363">
        <f>'2026'!F$9</f>
        <v>11901.814759230418</v>
      </c>
      <c r="H19" s="145">
        <f>'2026'!Wh_gain_sa</f>
        <v>505.31533849794596</v>
      </c>
      <c r="I19" s="330">
        <f>'2026'!Wh_gain_vg</f>
        <v>2.6146527978014884</v>
      </c>
      <c r="J19" s="363">
        <f>'2026'!Prod_an_s</f>
        <v>10375.042161077745</v>
      </c>
      <c r="K19" s="860">
        <f>IF('2026'!Acti_net,'2026'!Tnet,"")</f>
        <v>46142</v>
      </c>
      <c r="L19" s="861" t="str">
        <f>IF('2026'!Acti_tai,'2026'!Ttai,"")</f>
        <v/>
      </c>
      <c r="M19" s="872">
        <f t="shared" si="3"/>
        <v>1168.2328289300335</v>
      </c>
      <c r="N19" s="873">
        <f t="shared" si="4"/>
        <v>1.7056591851939638</v>
      </c>
      <c r="O19" s="370">
        <f>+'2026'!$AJ$3</f>
        <v>107.65932441623025</v>
      </c>
      <c r="P19" s="370">
        <f>+'2026'!$AJ$4</f>
        <v>397.57701501811749</v>
      </c>
      <c r="Q19" s="370">
        <f>+'2026'!$AK$3</f>
        <v>0</v>
      </c>
      <c r="R19" s="370">
        <f>+'2026'!$AK$4</f>
        <v>2.6146527978014884</v>
      </c>
      <c r="S19" s="864"/>
      <c r="T19" s="864"/>
    </row>
    <row r="20" spans="1:30" s="19" customFormat="1" ht="12.75" x14ac:dyDescent="0.2">
      <c r="A20" s="362">
        <f>'2027'!An</f>
        <v>2027</v>
      </c>
      <c r="B20" s="363">
        <f>'2027'!Prod_an</f>
        <v>10632.237283248156</v>
      </c>
      <c r="C20" s="145">
        <f>'2027'!Wh_Psa</f>
        <v>437.81938448646571</v>
      </c>
      <c r="D20" s="330">
        <f>'2027'!Wh_Pvg</f>
        <v>0.43572842946881185</v>
      </c>
      <c r="E20" s="363">
        <f>C20+D20</f>
        <v>438.25511291593455</v>
      </c>
      <c r="F20" s="363">
        <f>B20+E20</f>
        <v>11070.492396164091</v>
      </c>
      <c r="G20" s="363">
        <f>'2027'!F$9</f>
        <v>11901.709115782414</v>
      </c>
      <c r="H20" s="145">
        <f>'2027'!Wh_gain_sa</f>
        <v>395.58962406000563</v>
      </c>
      <c r="I20" s="330">
        <f>'2027'!Wh_gain_vg</f>
        <v>3.0572681411803653</v>
      </c>
      <c r="J20" s="363">
        <f>'2027'!Prod_an_s</f>
        <v>10233.276145562351</v>
      </c>
      <c r="K20" s="860" t="str">
        <f>IF('2027'!Acti_net,'2027'!Tnet,"")</f>
        <v/>
      </c>
      <c r="L20" s="861" t="str">
        <f>IF('2027'!Acti_tai,'2027'!Ttai,"")</f>
        <v/>
      </c>
      <c r="M20" s="872">
        <f t="shared" si="3"/>
        <v>397.57701501811749</v>
      </c>
      <c r="N20" s="873">
        <f t="shared" si="4"/>
        <v>4.3203119829954524</v>
      </c>
      <c r="O20" s="370">
        <f>+'2027'!$AJ$3</f>
        <v>0</v>
      </c>
      <c r="P20" s="370">
        <f>+'2027'!$AJ$4</f>
        <v>395.58962406000563</v>
      </c>
      <c r="Q20" s="370">
        <f>+'2027'!$AK$3</f>
        <v>0</v>
      </c>
      <c r="R20" s="370">
        <f>+'2027'!$AK$4</f>
        <v>3.0572681411803653</v>
      </c>
      <c r="S20" s="864"/>
      <c r="T20" s="864"/>
    </row>
    <row r="21" spans="1:30" s="19" customFormat="1" ht="12.75" x14ac:dyDescent="0.2">
      <c r="A21" s="709"/>
      <c r="B21" s="710"/>
      <c r="C21" s="711"/>
      <c r="D21" s="708"/>
      <c r="E21" s="710"/>
      <c r="F21" s="710"/>
      <c r="G21" s="710"/>
      <c r="H21" s="711"/>
      <c r="I21" s="708"/>
      <c r="J21" s="710"/>
      <c r="K21" s="876"/>
      <c r="L21" s="877"/>
      <c r="M21" s="866"/>
      <c r="N21" s="867"/>
      <c r="O21" s="10"/>
      <c r="P21" s="10"/>
      <c r="Q21" s="10"/>
      <c r="R21" s="10"/>
      <c r="S21" s="864"/>
      <c r="T21" s="864"/>
    </row>
    <row r="22" spans="1:30" s="19" customFormat="1" ht="12.75" x14ac:dyDescent="0.2">
      <c r="A22" s="709"/>
      <c r="B22" s="710"/>
      <c r="C22" s="711"/>
      <c r="D22" s="708"/>
      <c r="E22" s="710"/>
      <c r="F22" s="710"/>
      <c r="G22" s="710"/>
      <c r="H22" s="711"/>
      <c r="I22" s="708"/>
      <c r="J22" s="710"/>
      <c r="K22" s="876"/>
      <c r="L22" s="877"/>
      <c r="M22" s="866"/>
      <c r="N22" s="867"/>
      <c r="O22" s="10"/>
      <c r="P22" s="865"/>
      <c r="Q22" s="10"/>
      <c r="R22" s="865"/>
      <c r="S22" s="864"/>
      <c r="T22" s="864"/>
    </row>
    <row r="23" spans="1:30" s="19" customFormat="1" ht="12.75" x14ac:dyDescent="0.2">
      <c r="A23" s="709"/>
      <c r="B23" s="710"/>
      <c r="C23" s="711"/>
      <c r="D23" s="708"/>
      <c r="E23" s="710"/>
      <c r="F23" s="710"/>
      <c r="G23" s="710"/>
      <c r="H23" s="711"/>
      <c r="I23" s="708"/>
      <c r="J23" s="710"/>
      <c r="K23" s="876"/>
      <c r="L23" s="877"/>
      <c r="M23" s="866"/>
      <c r="N23" s="867"/>
      <c r="O23" s="10"/>
      <c r="P23" s="865"/>
      <c r="Q23" s="10"/>
      <c r="S23" s="864"/>
      <c r="T23" s="864"/>
    </row>
    <row r="24" spans="1:30" s="19" customFormat="1" ht="12.75" x14ac:dyDescent="0.2">
      <c r="A24" s="709"/>
      <c r="B24" s="710"/>
      <c r="C24" s="711"/>
      <c r="D24" s="708"/>
      <c r="E24" s="710"/>
      <c r="F24" s="710"/>
      <c r="G24" s="710"/>
      <c r="H24" s="711"/>
      <c r="I24" s="708"/>
      <c r="J24" s="710"/>
      <c r="K24" s="876"/>
      <c r="L24" s="877"/>
      <c r="M24" s="866"/>
      <c r="N24" s="867"/>
      <c r="O24" s="10"/>
      <c r="P24" s="865"/>
      <c r="Q24" s="10"/>
      <c r="R24" s="865"/>
      <c r="S24" s="864"/>
      <c r="T24" s="864"/>
    </row>
    <row r="25" spans="1:30" s="19" customFormat="1" ht="12.75" x14ac:dyDescent="0.2">
      <c r="A25" s="709"/>
      <c r="B25" s="710"/>
      <c r="C25" s="711"/>
      <c r="D25" s="708"/>
      <c r="E25" s="710"/>
      <c r="F25" s="710"/>
      <c r="G25" s="710"/>
      <c r="H25" s="711"/>
      <c r="I25" s="708"/>
      <c r="J25" s="710"/>
      <c r="K25" s="876"/>
      <c r="L25" s="877"/>
      <c r="M25" s="866"/>
      <c r="N25" s="867"/>
      <c r="O25" s="10"/>
      <c r="P25" s="865"/>
      <c r="Q25" s="10"/>
      <c r="R25" s="865"/>
      <c r="S25" s="864"/>
      <c r="T25" s="864"/>
    </row>
    <row r="26" spans="1:30" s="19" customFormat="1" ht="12.75" x14ac:dyDescent="0.2">
      <c r="A26" s="709"/>
      <c r="B26" s="710"/>
      <c r="C26" s="711"/>
      <c r="D26" s="708"/>
      <c r="E26" s="710"/>
      <c r="F26" s="710"/>
      <c r="G26" s="710"/>
      <c r="H26" s="711"/>
      <c r="I26" s="708"/>
      <c r="J26" s="710"/>
      <c r="K26" s="876"/>
      <c r="L26" s="877"/>
      <c r="M26" s="866"/>
      <c r="N26" s="867"/>
      <c r="O26" s="10"/>
      <c r="P26" s="865"/>
      <c r="Q26" s="10"/>
      <c r="R26" s="865"/>
      <c r="S26" s="864"/>
      <c r="T26" s="864"/>
    </row>
    <row r="27" spans="1:30" s="19" customFormat="1" ht="12.75" x14ac:dyDescent="0.2">
      <c r="A27" s="709"/>
      <c r="B27" s="710"/>
      <c r="C27" s="711"/>
      <c r="D27" s="708"/>
      <c r="E27" s="710"/>
      <c r="F27" s="710"/>
      <c r="G27" s="710"/>
      <c r="H27" s="711"/>
      <c r="I27" s="708"/>
      <c r="J27" s="710"/>
      <c r="K27" s="876"/>
      <c r="L27" s="877"/>
      <c r="M27" s="866"/>
      <c r="N27" s="867"/>
      <c r="O27" s="10"/>
      <c r="P27" s="865"/>
      <c r="Q27" s="10"/>
      <c r="R27" s="865"/>
      <c r="S27" s="864"/>
      <c r="T27" s="864"/>
    </row>
    <row r="28" spans="1:30" s="19" customFormat="1" ht="12.75" x14ac:dyDescent="0.2">
      <c r="A28" s="709"/>
      <c r="B28" s="710"/>
      <c r="C28" s="711"/>
      <c r="D28" s="708"/>
      <c r="E28" s="710"/>
      <c r="F28" s="710"/>
      <c r="G28" s="710"/>
      <c r="H28" s="711"/>
      <c r="I28" s="708"/>
      <c r="J28" s="710"/>
      <c r="K28" s="876"/>
      <c r="L28" s="877"/>
      <c r="M28" s="866"/>
      <c r="N28" s="867"/>
      <c r="O28" s="10"/>
      <c r="P28" s="10"/>
      <c r="Q28" s="10"/>
      <c r="R28" s="10"/>
      <c r="S28" s="864"/>
      <c r="T28" s="864"/>
    </row>
    <row r="29" spans="1:30" s="19" customFormat="1" ht="12.75" x14ac:dyDescent="0.2">
      <c r="A29" s="709"/>
      <c r="B29" s="710"/>
      <c r="C29" s="711"/>
      <c r="D29" s="708"/>
      <c r="E29" s="710"/>
      <c r="F29" s="710"/>
      <c r="G29" s="710"/>
      <c r="H29" s="711"/>
      <c r="I29" s="708"/>
      <c r="J29" s="710"/>
      <c r="K29" s="876"/>
      <c r="L29" s="877"/>
      <c r="M29" s="866"/>
      <c r="N29" s="867"/>
      <c r="O29" s="10"/>
      <c r="P29" s="10"/>
      <c r="Q29" s="10"/>
      <c r="R29" s="10"/>
      <c r="S29" s="864"/>
      <c r="T29" s="864"/>
    </row>
    <row r="30" spans="1:30" s="19" customFormat="1" ht="12.75" x14ac:dyDescent="0.2">
      <c r="A30" s="712"/>
      <c r="B30" s="713"/>
      <c r="C30" s="714"/>
      <c r="D30" s="715"/>
      <c r="E30" s="713"/>
      <c r="F30" s="713"/>
      <c r="G30" s="713"/>
      <c r="H30" s="714"/>
      <c r="I30" s="715"/>
      <c r="J30" s="713"/>
      <c r="K30" s="878"/>
      <c r="L30" s="879"/>
      <c r="M30" s="868"/>
      <c r="N30" s="869"/>
      <c r="O30" s="10"/>
      <c r="P30" s="10"/>
      <c r="Q30" s="10"/>
      <c r="R30" s="10"/>
      <c r="S30" s="864"/>
      <c r="T30" s="864"/>
      <c r="AD30" s="30"/>
    </row>
    <row r="31" spans="1:30" s="4" customFormat="1" x14ac:dyDescent="0.25">
      <c r="A31" s="882" t="s">
        <v>370</v>
      </c>
      <c r="B31" s="883">
        <f>SUM(B11:B15)/1000</f>
        <v>49.847568499999994</v>
      </c>
      <c r="C31" s="884">
        <f t="shared" ref="C31:J31" si="5">SUM(C11:C15)/1000</f>
        <v>1.4752396332274227</v>
      </c>
      <c r="D31" s="885">
        <f t="shared" si="5"/>
        <v>2.441984670350427E-3</v>
      </c>
      <c r="E31" s="883">
        <f t="shared" si="5"/>
        <v>1.4776816178977732</v>
      </c>
      <c r="F31" s="883">
        <f t="shared" si="5"/>
        <v>51.325250117897767</v>
      </c>
      <c r="G31" s="883">
        <f t="shared" si="5"/>
        <v>52.291258475214299</v>
      </c>
      <c r="H31" s="884">
        <f t="shared" si="5"/>
        <v>0.81917165707891693</v>
      </c>
      <c r="I31" s="885">
        <f t="shared" si="5"/>
        <v>-6.1441250089296355E-5</v>
      </c>
      <c r="J31" s="883">
        <f t="shared" si="5"/>
        <v>49.028664931594363</v>
      </c>
      <c r="K31" s="1195" t="s">
        <v>10</v>
      </c>
      <c r="L31" s="3"/>
      <c r="M31" s="1196" t="s">
        <v>371</v>
      </c>
      <c r="N31" s="1196" t="s">
        <v>372</v>
      </c>
      <c r="O31" s="1196" t="s">
        <v>372</v>
      </c>
      <c r="P31" s="3"/>
      <c r="Q31" s="3"/>
      <c r="R31" s="77"/>
      <c r="S31" s="134"/>
      <c r="T31" s="77"/>
      <c r="U31" s="77"/>
      <c r="V31" s="77"/>
      <c r="W31" s="77"/>
      <c r="X31" s="886"/>
      <c r="Y31" s="3"/>
      <c r="Z31" s="3"/>
      <c r="AA31" s="3"/>
      <c r="AB31" s="3"/>
    </row>
    <row r="32" spans="1:30" ht="15.75" x14ac:dyDescent="0.25">
      <c r="A32" s="1199" t="s">
        <v>375</v>
      </c>
      <c r="B32" s="1200">
        <f>IF(K16&lt;&gt;"",B15-H16-C16+C15-D16+D15,B16)</f>
        <v>10724.292534638575</v>
      </c>
      <c r="J32" s="356" t="s">
        <v>254</v>
      </c>
      <c r="K32" s="68">
        <f>[1]!Inter_net</f>
        <v>2</v>
      </c>
      <c r="L32" s="68">
        <f>[1]!Inter_tai</f>
        <v>7</v>
      </c>
      <c r="M32" s="1197">
        <f>Inter_net</f>
        <v>2</v>
      </c>
      <c r="N32" s="1197">
        <f>CHOOSE(Inter_net,N33,N34,N35,N36)</f>
        <v>449.05424587910392</v>
      </c>
      <c r="O32" s="1201">
        <f>CHOOSE(Inter_net,O33,O34,O35,O36)</f>
        <v>4.1872621846960625E-2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280</v>
      </c>
      <c r="B33" s="1142">
        <f t="shared" ref="B33:J33" si="6">AVERAGE(B35:B54)</f>
        <v>3.9446163530445812E-2</v>
      </c>
      <c r="C33" s="1143">
        <f t="shared" si="6"/>
        <v>3.8641489815509598E-2</v>
      </c>
      <c r="D33" s="1144">
        <f t="shared" si="6"/>
        <v>3.063927810836285E-4</v>
      </c>
      <c r="E33" s="1142">
        <f t="shared" si="6"/>
        <v>3.7534163524564561E-2</v>
      </c>
      <c r="F33" s="1143">
        <f t="shared" si="6"/>
        <v>3.2510746547803622E-2</v>
      </c>
      <c r="G33" s="1144">
        <f t="shared" si="6"/>
        <v>5.747069940634453E-5</v>
      </c>
      <c r="H33" s="1145">
        <f t="shared" si="6"/>
        <v>2.8586108419553162E-2</v>
      </c>
      <c r="I33" s="1146">
        <f t="shared" si="6"/>
        <v>6.0225009782149917E-5</v>
      </c>
      <c r="J33" s="1147">
        <f t="shared" si="6"/>
        <v>6.6987877481819696E-2</v>
      </c>
      <c r="K33" s="342"/>
      <c r="L33" s="21"/>
      <c r="M33" s="370">
        <v>1</v>
      </c>
      <c r="N33" s="1202">
        <f>O33*$B$32</f>
        <v>449.05424587910392</v>
      </c>
      <c r="O33" s="1203">
        <f>AVERAGE(H19:H20)/AVERAGE(B19:B20)</f>
        <v>4.1872621846960625E-2</v>
      </c>
      <c r="P33" s="15"/>
    </row>
    <row r="34" spans="1:28" s="240" customFormat="1" ht="41.25" customHeight="1" x14ac:dyDescent="0.2">
      <c r="A34" s="174" t="s">
        <v>52</v>
      </c>
      <c r="B34" s="1148" t="s">
        <v>357</v>
      </c>
      <c r="C34" s="1149" t="s">
        <v>358</v>
      </c>
      <c r="D34" s="1150" t="s">
        <v>359</v>
      </c>
      <c r="E34" s="1148" t="s">
        <v>360</v>
      </c>
      <c r="F34" s="332" t="s">
        <v>361</v>
      </c>
      <c r="G34" s="333" t="s">
        <v>362</v>
      </c>
      <c r="H34" s="332" t="s">
        <v>363</v>
      </c>
      <c r="I34" s="333" t="s">
        <v>364</v>
      </c>
      <c r="J34" s="174" t="s">
        <v>365</v>
      </c>
      <c r="K34" s="332" t="s">
        <v>366</v>
      </c>
      <c r="L34" s="332" t="s">
        <v>367</v>
      </c>
      <c r="M34" s="370">
        <v>2</v>
      </c>
      <c r="N34" s="1204">
        <f>O34*$B$32</f>
        <v>449.05424587910392</v>
      </c>
      <c r="O34" s="1205">
        <f>AVERAGE(H19:H20)/AVERAGE(B19:B20)</f>
        <v>4.1872621846960625E-2</v>
      </c>
      <c r="P34" s="100"/>
      <c r="Q34" s="100"/>
      <c r="R34" s="100"/>
      <c r="S34" s="100"/>
      <c r="T34" s="100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51">
        <f>'2018'!L$379</f>
        <v>4.5018144158672779E-3</v>
      </c>
      <c r="C35" s="1152">
        <f>'2018'!O$379</f>
        <v>1.2011766341845328E-2</v>
      </c>
      <c r="D35" s="1153">
        <f>'2018'!P$379</f>
        <v>6.5410876390041239E-5</v>
      </c>
      <c r="E35" s="1151">
        <f>'2018'!Wh_Ppv/Recap!B11</f>
        <v>2.3084459283426715E-3</v>
      </c>
      <c r="F35" s="1152">
        <f>'2018'!Wh_Psa/'2018'!D$9</f>
        <v>6.6168115946364887E-3</v>
      </c>
      <c r="G35" s="1153">
        <f>'2018'!Wh_Pvg/'2018'!E$9</f>
        <v>1.4124309609182243E-5</v>
      </c>
      <c r="H35" s="1154">
        <f>H11/'2018'!Z$9</f>
        <v>0</v>
      </c>
      <c r="I35" s="1155">
        <f>I11/'2018'!AA$9</f>
        <v>0</v>
      </c>
      <c r="J35" s="1156">
        <f>1-B11/G11</f>
        <v>8.8904708375128205E-3</v>
      </c>
      <c r="K35" s="858" t="str">
        <f>K11</f>
        <v/>
      </c>
      <c r="L35" s="1157">
        <f>(K35&lt;&gt;"")*('2018'!O$383-'2018'!O$381)</f>
        <v>0</v>
      </c>
      <c r="M35" s="370">
        <v>3</v>
      </c>
      <c r="N35" s="1204">
        <f>O35*$B$32</f>
        <v>474.76090889782199</v>
      </c>
      <c r="O35" s="1205">
        <f>AVERAGE(H18:H20)/AVERAGE(B18:B20)</f>
        <v>4.4269671623035613E-2</v>
      </c>
      <c r="P35" s="370"/>
      <c r="Q35" s="370"/>
      <c r="R35" s="370"/>
      <c r="S35" s="864"/>
      <c r="T35" s="864"/>
    </row>
    <row r="36" spans="1:28" s="19" customFormat="1" ht="12.75" x14ac:dyDescent="0.2">
      <c r="A36" s="144">
        <f t="shared" ref="A36:A44" si="7">A12</f>
        <v>2019</v>
      </c>
      <c r="B36" s="1142">
        <f>'2019'!L$379</f>
        <v>1.2428621106804427E-2</v>
      </c>
      <c r="C36" s="1143">
        <f>'2019'!O$379</f>
        <v>2.8461814484812623E-2</v>
      </c>
      <c r="D36" s="1144">
        <f>'2019'!P$379</f>
        <v>1.3092123884753874E-4</v>
      </c>
      <c r="E36" s="1142">
        <f>'2019'!Wh_Ppv/Recap!B12</f>
        <v>8.3819987309747424E-3</v>
      </c>
      <c r="F36" s="1143">
        <f>'2019'!Wh_Psa/'2019'!D$9</f>
        <v>2.1318245012230778E-2</v>
      </c>
      <c r="G36" s="1144">
        <f>'2019'!Wh_Pvg/'2019'!E$9</f>
        <v>2.1072123509646572E-5</v>
      </c>
      <c r="H36" s="1158">
        <f>H12/'2019'!Z$9</f>
        <v>0</v>
      </c>
      <c r="I36" s="1159">
        <f>I12/'2019'!AA$9</f>
        <v>0</v>
      </c>
      <c r="J36" s="1160">
        <f t="shared" ref="J36:J44" si="8">1-B12/G12</f>
        <v>2.9203008823673549E-2</v>
      </c>
      <c r="K36" s="860" t="str">
        <f t="shared" ref="K36:K44" si="9">K12</f>
        <v/>
      </c>
      <c r="L36" s="1161">
        <f>(K36&lt;&gt;"")*('2019'!O$383-'2019'!O$381)</f>
        <v>0</v>
      </c>
      <c r="M36" s="370">
        <v>4</v>
      </c>
      <c r="N36" s="1204">
        <f>O36*$B$32</f>
        <v>500.39002171594217</v>
      </c>
      <c r="O36" s="1205">
        <f>AVERAGE(H17:H20)/AVERAGE(B17:B20)</f>
        <v>4.6659490134171921E-2</v>
      </c>
      <c r="P36" s="370"/>
      <c r="Q36" s="370"/>
      <c r="R36" s="370"/>
      <c r="S36" s="864"/>
      <c r="T36" s="864"/>
    </row>
    <row r="37" spans="1:28" s="19" customFormat="1" ht="12.75" x14ac:dyDescent="0.2">
      <c r="A37" s="144">
        <f t="shared" si="7"/>
        <v>2020</v>
      </c>
      <c r="B37" s="1142">
        <f>'2020'!L$379</f>
        <v>2.0292309386050533E-2</v>
      </c>
      <c r="C37" s="1143">
        <f>'2020'!O$379</f>
        <v>5.0184846473721172E-2</v>
      </c>
      <c r="D37" s="1144">
        <f>'2020'!P$379</f>
        <v>2.3698528374981384E-4</v>
      </c>
      <c r="E37" s="1142">
        <f>'2020'!Wh_Ppv/Recap!B13</f>
        <v>1.6473918027598417E-2</v>
      </c>
      <c r="F37" s="1143">
        <f>'2020'!Wh_Psa/'2020'!D$9</f>
        <v>3.9995627830974871E-2</v>
      </c>
      <c r="G37" s="1144">
        <f>'2020'!Wh_Pvg/'2020'!E$9</f>
        <v>3.8484404403528296E-5</v>
      </c>
      <c r="H37" s="1158">
        <f>H13/'2020'!Z$9</f>
        <v>0</v>
      </c>
      <c r="I37" s="1159">
        <f>I13/'2020'!AA$9</f>
        <v>0</v>
      </c>
      <c r="J37" s="1160">
        <f t="shared" si="8"/>
        <v>5.4678556263458522E-2</v>
      </c>
      <c r="K37" s="860" t="str">
        <f t="shared" si="9"/>
        <v/>
      </c>
      <c r="L37" s="1161">
        <f>(K37&lt;&gt;"")*('2020'!O$383-'2020'!O$381)</f>
        <v>0</v>
      </c>
      <c r="M37" s="370"/>
      <c r="N37" s="1206" t="s">
        <v>373</v>
      </c>
      <c r="O37" s="1207"/>
      <c r="P37" s="370"/>
      <c r="Q37" s="370"/>
      <c r="R37" s="370"/>
      <c r="S37" s="864"/>
      <c r="T37" s="864"/>
    </row>
    <row r="38" spans="1:28" s="19" customFormat="1" ht="12.75" x14ac:dyDescent="0.2">
      <c r="A38" s="144">
        <f t="shared" si="7"/>
        <v>2021</v>
      </c>
      <c r="B38" s="1142">
        <f>'2021'!L$379</f>
        <v>2.8114669092890732E-2</v>
      </c>
      <c r="C38" s="1143">
        <f>'2021'!O$379</f>
        <v>2.4682532188756108E-2</v>
      </c>
      <c r="D38" s="1144">
        <f>'2021'!P$379</f>
        <v>3.4326219892773626E-4</v>
      </c>
      <c r="E38" s="1142">
        <f>'2021'!Wh_Ppv/Recap!B14</f>
        <v>2.4718158610383706E-2</v>
      </c>
      <c r="F38" s="1143">
        <f>'2021'!Wh_Psa/'2021'!D$9</f>
        <v>2.4581160282345516E-2</v>
      </c>
      <c r="G38" s="1144">
        <f>'2021'!Wh_Pvg/'2021'!E$9</f>
        <v>5.6181638145550227E-5</v>
      </c>
      <c r="H38" s="1158">
        <f>H14/'2021'!Z$9</f>
        <v>3.7134857928160438E-2</v>
      </c>
      <c r="I38" s="1159">
        <f>I14/'2021'!AA$9</f>
        <v>-2.0578917966908516E-6</v>
      </c>
      <c r="J38" s="1160">
        <f t="shared" si="8"/>
        <v>4.8155291958514312E-2</v>
      </c>
      <c r="K38" s="860">
        <f t="shared" si="9"/>
        <v>44307</v>
      </c>
      <c r="L38" s="1161">
        <f>(K38&lt;&gt;"")*('2021'!O$383-'2021'!O$381)</f>
        <v>5.1744622120926613E-2</v>
      </c>
      <c r="M38" s="370"/>
      <c r="N38" s="370"/>
      <c r="O38" s="370"/>
      <c r="P38" s="370"/>
      <c r="Q38" s="370"/>
      <c r="R38" s="370"/>
      <c r="S38" s="864"/>
      <c r="T38" s="864"/>
    </row>
    <row r="39" spans="1:28" s="19" customFormat="1" ht="12.75" x14ac:dyDescent="0.2">
      <c r="A39" s="364">
        <f t="shared" si="7"/>
        <v>2022</v>
      </c>
      <c r="B39" s="1162">
        <f>'2022'!L$379</f>
        <v>3.5853454813868924E-2</v>
      </c>
      <c r="C39" s="1163">
        <f>'2022'!O$379</f>
        <v>5.1297728120770582E-2</v>
      </c>
      <c r="D39" s="1164">
        <f>'2022'!P$379</f>
        <v>4.780670608090596E-4</v>
      </c>
      <c r="E39" s="1162">
        <f>'2022'!Wh_Ppv/Recap!B15</f>
        <v>3.293169673192823E-2</v>
      </c>
      <c r="F39" s="1163">
        <f>'2022'!Wh_Psa/'2022'!D$9</f>
        <v>3.9662066796877289E-2</v>
      </c>
      <c r="G39" s="1164">
        <f>'2022'!Wh_Pvg/'2022'!E$9</f>
        <v>8.4511692811543247E-5</v>
      </c>
      <c r="H39" s="1165">
        <f>H15/'2022'!Z$9</f>
        <v>3.7388558081094932E-2</v>
      </c>
      <c r="I39" s="1166">
        <f>I15/'2022'!AA$9</f>
        <v>-3.1428487821319939E-6</v>
      </c>
      <c r="J39" s="1167">
        <f t="shared" si="8"/>
        <v>7.0067411558092818E-2</v>
      </c>
      <c r="K39" s="862" t="str">
        <f t="shared" si="9"/>
        <v/>
      </c>
      <c r="L39" s="1168">
        <f>(K39&lt;&gt;"")*('2022'!O$383-'2022'!O$381)</f>
        <v>0</v>
      </c>
      <c r="M39" s="370"/>
      <c r="N39" s="370"/>
      <c r="O39" s="370"/>
      <c r="P39" s="370"/>
      <c r="Q39" s="370"/>
      <c r="R39" s="370"/>
      <c r="S39" s="864"/>
      <c r="T39" s="864"/>
    </row>
    <row r="40" spans="1:28" s="19" customFormat="1" ht="12.75" x14ac:dyDescent="0.2">
      <c r="A40" s="1169">
        <f t="shared" si="7"/>
        <v>2023</v>
      </c>
      <c r="B40" s="1170">
        <f>'2023'!L$379</f>
        <v>4.3530619268910997E-2</v>
      </c>
      <c r="C40" s="1171">
        <f>'2023'!O$379</f>
        <v>6.7963705590231696E-2</v>
      </c>
      <c r="D40" s="1172">
        <f>'2023'!P$379</f>
        <v>6.130216776351374E-4</v>
      </c>
      <c r="E40" s="1170">
        <f>'2023'!Wh_Ppv/Recap!B16</f>
        <v>4.1226985106052987E-2</v>
      </c>
      <c r="F40" s="1171">
        <f>'2023'!Wh_Psa/'2023'!D$9</f>
        <v>6.3078743363491133E-2</v>
      </c>
      <c r="G40" s="1172">
        <f>'2023'!Wh_Pvg/'2023'!E$9</f>
        <v>1.0847210587316191E-4</v>
      </c>
      <c r="H40" s="1170">
        <f>H16/'2023'!Z$9</f>
        <v>2.6930365089081133E-2</v>
      </c>
      <c r="I40" s="1173">
        <f>I16/'2023'!AA$9</f>
        <v>-2.9590422087039439E-6</v>
      </c>
      <c r="J40" s="1172">
        <f t="shared" si="8"/>
        <v>9.8894190510331881E-2</v>
      </c>
      <c r="K40" s="860" t="str">
        <f t="shared" si="9"/>
        <v/>
      </c>
      <c r="L40" s="1161">
        <f>(K40&lt;&gt;"")*('2023'!O$383-'2023'!O$381)</f>
        <v>0</v>
      </c>
      <c r="M40" s="370"/>
      <c r="N40" s="370"/>
      <c r="O40" s="370"/>
      <c r="P40" s="370"/>
      <c r="Q40" s="370"/>
      <c r="R40" s="370"/>
      <c r="S40" s="864"/>
      <c r="T40" s="864"/>
    </row>
    <row r="41" spans="1:28" s="19" customFormat="1" ht="12.75" x14ac:dyDescent="0.2">
      <c r="A41" s="1169">
        <f t="shared" si="7"/>
        <v>2024</v>
      </c>
      <c r="B41" s="1170">
        <f>'2024'!L$379</f>
        <v>5.1146653126779795E-2</v>
      </c>
      <c r="C41" s="1171">
        <f>'2024'!O$379</f>
        <v>2.5989714710769145E-2</v>
      </c>
      <c r="D41" s="1172">
        <f>'2024'!P$379</f>
        <v>7.7480131598705476E-4</v>
      </c>
      <c r="E41" s="1170">
        <f>'2024'!Wh_Ppv/Recap!B17</f>
        <v>4.9633076110753183E-2</v>
      </c>
      <c r="F41" s="1171">
        <f>'2024'!Wh_Psa/'2024'!D$9</f>
        <v>2.8876530483404713E-2</v>
      </c>
      <c r="G41" s="1172">
        <f>'2024'!Wh_Pvg/'2024'!E$9</f>
        <v>1.5165305617263752E-4</v>
      </c>
      <c r="H41" s="1170">
        <f>H17/'2024'!Z$9</f>
        <v>5.4031153388808005E-2</v>
      </c>
      <c r="I41" s="1173">
        <f>I17/'2024'!AA$9</f>
        <v>-8.1352084640278825E-6</v>
      </c>
      <c r="J41" s="1172">
        <f t="shared" si="8"/>
        <v>7.5464786337728018E-2</v>
      </c>
      <c r="K41" s="860">
        <f t="shared" si="9"/>
        <v>45412</v>
      </c>
      <c r="L41" s="1161">
        <f>(K41&lt;&gt;"")*('2024'!O$383-'2024'!O$381)</f>
        <v>6.8031428996349619E-2</v>
      </c>
      <c r="M41" s="370"/>
      <c r="N41" s="370"/>
      <c r="O41" s="370"/>
      <c r="P41" s="370"/>
      <c r="Q41" s="370"/>
      <c r="R41" s="370"/>
      <c r="S41" s="864"/>
      <c r="T41" s="864"/>
    </row>
    <row r="42" spans="1:28" s="19" customFormat="1" ht="12.75" x14ac:dyDescent="0.2">
      <c r="A42" s="1169">
        <f t="shared" si="7"/>
        <v>2025</v>
      </c>
      <c r="B42" s="1170">
        <f>'2025'!L$379</f>
        <v>5.8722659990245618E-2</v>
      </c>
      <c r="C42" s="1171">
        <f>'2025'!O$379</f>
        <v>4.9878163550148555E-2</v>
      </c>
      <c r="D42" s="1172">
        <f>'2025'!P$379</f>
        <v>6.2136915708607332E-5</v>
      </c>
      <c r="E42" s="1170">
        <f>'2025'!Wh_Ppv/Recap!B18</f>
        <v>5.802962771830622E-2</v>
      </c>
      <c r="F42" s="1171">
        <f>'2025'!Wh_Psa/'2025'!D$9</f>
        <v>3.8920718708471247E-2</v>
      </c>
      <c r="G42" s="1172">
        <f>'2025'!Wh_Pvg/'2025'!E$9</f>
        <v>4.3351525671541607E-5</v>
      </c>
      <c r="H42" s="1170">
        <f>H18/'2025'!Z$9</f>
        <v>4.875309028924054E-2</v>
      </c>
      <c r="I42" s="1173">
        <f>I18/'2025'!AA$9</f>
        <v>1.4183532617194138E-4</v>
      </c>
      <c r="J42" s="1172">
        <f t="shared" si="8"/>
        <v>9.227161355496849E-2</v>
      </c>
      <c r="K42" s="860" t="str">
        <f t="shared" si="9"/>
        <v/>
      </c>
      <c r="L42" s="1161">
        <f>(K42&lt;&gt;"")*('2025'!O$383-'2025'!O$381)</f>
        <v>0</v>
      </c>
      <c r="M42" s="370"/>
      <c r="N42" s="370"/>
      <c r="O42" s="370"/>
      <c r="P42" s="370"/>
      <c r="Q42" s="370"/>
      <c r="R42" s="370"/>
      <c r="S42" s="864"/>
      <c r="T42" s="864"/>
    </row>
    <row r="43" spans="1:28" s="19" customFormat="1" ht="12.75" x14ac:dyDescent="0.2">
      <c r="A43" s="1169">
        <f t="shared" si="7"/>
        <v>2026</v>
      </c>
      <c r="B43" s="1170">
        <f>'2026'!L$379</f>
        <v>6.6217724898313568E-2</v>
      </c>
      <c r="C43" s="1171">
        <f>'2026'!O$379</f>
        <v>2.6066463143892219E-2</v>
      </c>
      <c r="D43" s="1172">
        <f>'2026'!P$379</f>
        <v>1.2764727816610489E-4</v>
      </c>
      <c r="E43" s="1170">
        <f>'2026'!Wh_Ppv/Recap!B19</f>
        <v>6.6555482608294192E-2</v>
      </c>
      <c r="F43" s="1171">
        <f>'2026'!Wh_Psa/'2026'!D$9</f>
        <v>2.3754927818440158E-2</v>
      </c>
      <c r="G43" s="1172">
        <f>'2026'!Wh_Pvg/'2026'!E$9</f>
        <v>2.0244061216683945E-5</v>
      </c>
      <c r="H43" s="1170">
        <f>H19/'2026'!Z$9</f>
        <v>4.5665795598768093E-2</v>
      </c>
      <c r="I43" s="1173">
        <f>I19/'2026'!AA$9</f>
        <v>2.1974568569167535E-4</v>
      </c>
      <c r="J43" s="1172">
        <f t="shared" si="8"/>
        <v>8.5590458995637331E-2</v>
      </c>
      <c r="K43" s="860">
        <f t="shared" si="9"/>
        <v>46142</v>
      </c>
      <c r="L43" s="1161">
        <f>(K43&lt;&gt;"")*('2026'!O$383-'2026'!O$381)</f>
        <v>5.1578325443814646E-2</v>
      </c>
      <c r="M43" s="370"/>
      <c r="N43" s="370"/>
      <c r="O43" s="370"/>
      <c r="P43" s="370"/>
      <c r="Q43" s="370"/>
      <c r="R43" s="370"/>
      <c r="S43" s="864"/>
      <c r="T43" s="864"/>
    </row>
    <row r="44" spans="1:28" s="19" customFormat="1" ht="12.75" x14ac:dyDescent="0.2">
      <c r="A44" s="1169">
        <f t="shared" si="7"/>
        <v>2027</v>
      </c>
      <c r="B44" s="1170">
        <f>'2027'!L$379</f>
        <v>7.365310920472623E-2</v>
      </c>
      <c r="C44" s="1171">
        <f>'2027'!O$379</f>
        <v>4.9878163550148555E-2</v>
      </c>
      <c r="D44" s="1172">
        <f>'2027'!P$379</f>
        <v>2.3167396461519087E-4</v>
      </c>
      <c r="E44" s="1170">
        <f>'2027'!Wh_Ppv/Recap!B20</f>
        <v>7.5082245673011319E-2</v>
      </c>
      <c r="F44" s="1171">
        <f>'2027'!Wh_Psa/'2027'!D$9</f>
        <v>3.8302633587163952E-2</v>
      </c>
      <c r="G44" s="1172">
        <f>'2027'!Wh_Pvg/'2027'!E$9</f>
        <v>3.6612076649969745E-5</v>
      </c>
      <c r="H44" s="1170">
        <f>H20/'2027'!Z$9</f>
        <v>3.5957263820378484E-2</v>
      </c>
      <c r="I44" s="1173">
        <f>I20/'2027'!AA$9</f>
        <v>2.5696407720943713E-4</v>
      </c>
      <c r="J44" s="1172">
        <f t="shared" si="8"/>
        <v>0.10666298597827928</v>
      </c>
      <c r="K44" s="860" t="str">
        <f t="shared" si="9"/>
        <v/>
      </c>
      <c r="L44" s="1161">
        <f>(K44&lt;&gt;"")*('2027'!O$383-'2027'!O$381)</f>
        <v>0</v>
      </c>
      <c r="M44" s="370"/>
      <c r="N44" s="370"/>
      <c r="O44" s="370"/>
      <c r="P44" s="370"/>
      <c r="Q44" s="370"/>
      <c r="R44" s="370"/>
      <c r="S44" s="864"/>
      <c r="T44" s="864"/>
    </row>
    <row r="45" spans="1:28" s="19" customFormat="1" ht="12.75" x14ac:dyDescent="0.2">
      <c r="A45" s="709"/>
      <c r="B45" s="866"/>
      <c r="C45" s="1174"/>
      <c r="D45" s="1175"/>
      <c r="E45" s="866"/>
      <c r="F45" s="1174"/>
      <c r="G45" s="1175"/>
      <c r="H45" s="1176"/>
      <c r="I45" s="710"/>
      <c r="J45" s="1175"/>
      <c r="K45" s="876"/>
      <c r="L45" s="1175"/>
      <c r="M45" s="10"/>
      <c r="N45" s="10"/>
      <c r="O45" s="10"/>
      <c r="P45" s="10"/>
      <c r="Q45" s="10"/>
      <c r="R45" s="10"/>
      <c r="S45" s="864"/>
      <c r="T45" s="864"/>
    </row>
    <row r="46" spans="1:28" s="19" customFormat="1" ht="12.75" x14ac:dyDescent="0.2">
      <c r="A46" s="709"/>
      <c r="B46" s="866"/>
      <c r="C46" s="1174"/>
      <c r="D46" s="1175"/>
      <c r="E46" s="866"/>
      <c r="F46" s="1174"/>
      <c r="G46" s="1175"/>
      <c r="H46" s="1176"/>
      <c r="I46" s="710"/>
      <c r="J46" s="1175"/>
      <c r="K46" s="876"/>
      <c r="L46" s="1175"/>
      <c r="M46" s="10"/>
      <c r="N46" s="10"/>
      <c r="O46" s="10"/>
      <c r="P46" s="865"/>
      <c r="Q46" s="10"/>
      <c r="R46" s="865"/>
      <c r="S46" s="864"/>
      <c r="T46" s="864"/>
    </row>
    <row r="47" spans="1:28" s="19" customFormat="1" ht="12.75" x14ac:dyDescent="0.2">
      <c r="A47" s="709"/>
      <c r="B47" s="866"/>
      <c r="C47" s="1174"/>
      <c r="D47" s="1175"/>
      <c r="E47" s="866"/>
      <c r="F47" s="1174"/>
      <c r="G47" s="1175"/>
      <c r="H47" s="1176"/>
      <c r="I47" s="710"/>
      <c r="J47" s="1175"/>
      <c r="K47" s="876"/>
      <c r="L47" s="1175"/>
      <c r="M47" s="10"/>
      <c r="N47" s="10"/>
      <c r="O47" s="10"/>
      <c r="P47" s="865"/>
      <c r="Q47" s="10"/>
      <c r="S47" s="864"/>
      <c r="T47" s="864"/>
    </row>
    <row r="48" spans="1:28" s="19" customFormat="1" ht="12.75" x14ac:dyDescent="0.2">
      <c r="A48" s="709"/>
      <c r="B48" s="866"/>
      <c r="C48" s="1174"/>
      <c r="D48" s="1175"/>
      <c r="E48" s="866"/>
      <c r="F48" s="1174"/>
      <c r="G48" s="1175"/>
      <c r="H48" s="1176"/>
      <c r="I48" s="710"/>
      <c r="J48" s="1175"/>
      <c r="K48" s="876"/>
      <c r="L48" s="1175"/>
      <c r="M48" s="10"/>
      <c r="N48" s="10"/>
      <c r="O48" s="10"/>
      <c r="P48" s="865"/>
      <c r="Q48" s="10"/>
      <c r="R48" s="865"/>
      <c r="S48" s="864"/>
      <c r="T48" s="864"/>
    </row>
    <row r="49" spans="1:30" s="19" customFormat="1" ht="12.75" x14ac:dyDescent="0.2">
      <c r="A49" s="709"/>
      <c r="B49" s="866"/>
      <c r="C49" s="1174"/>
      <c r="D49" s="1175"/>
      <c r="E49" s="866"/>
      <c r="F49" s="1174"/>
      <c r="G49" s="1175"/>
      <c r="H49" s="1176"/>
      <c r="I49" s="710"/>
      <c r="J49" s="1175"/>
      <c r="K49" s="876"/>
      <c r="L49" s="1175"/>
      <c r="M49" s="10"/>
      <c r="N49" s="10"/>
      <c r="O49" s="10"/>
      <c r="P49" s="865"/>
      <c r="Q49" s="10"/>
      <c r="R49" s="865"/>
      <c r="S49" s="864"/>
      <c r="T49" s="864"/>
    </row>
    <row r="50" spans="1:30" s="19" customFormat="1" ht="12.75" x14ac:dyDescent="0.2">
      <c r="A50" s="709"/>
      <c r="B50" s="866"/>
      <c r="C50" s="1174"/>
      <c r="D50" s="1175"/>
      <c r="E50" s="866"/>
      <c r="F50" s="1174"/>
      <c r="G50" s="1175"/>
      <c r="H50" s="1176"/>
      <c r="I50" s="710"/>
      <c r="J50" s="1175"/>
      <c r="K50" s="876"/>
      <c r="L50" s="1175"/>
      <c r="M50" s="10"/>
      <c r="N50" s="10"/>
      <c r="O50" s="10"/>
      <c r="P50" s="865"/>
      <c r="Q50" s="10"/>
      <c r="R50" s="865"/>
      <c r="S50" s="864"/>
      <c r="T50" s="864"/>
    </row>
    <row r="51" spans="1:30" s="19" customFormat="1" ht="12.75" x14ac:dyDescent="0.2">
      <c r="A51" s="709"/>
      <c r="B51" s="866"/>
      <c r="C51" s="1174"/>
      <c r="D51" s="1175"/>
      <c r="E51" s="866"/>
      <c r="F51" s="1174"/>
      <c r="G51" s="1175"/>
      <c r="H51" s="1176"/>
      <c r="I51" s="710"/>
      <c r="J51" s="1175"/>
      <c r="K51" s="876"/>
      <c r="L51" s="1175"/>
      <c r="M51" s="10"/>
      <c r="N51" s="10"/>
      <c r="O51" s="10"/>
      <c r="P51" s="865"/>
      <c r="Q51" s="10"/>
      <c r="R51" s="865"/>
      <c r="S51" s="864"/>
      <c r="T51" s="864"/>
    </row>
    <row r="52" spans="1:30" s="19" customFormat="1" ht="12.75" x14ac:dyDescent="0.2">
      <c r="A52" s="709"/>
      <c r="B52" s="866"/>
      <c r="C52" s="1174"/>
      <c r="D52" s="1175"/>
      <c r="E52" s="866"/>
      <c r="F52" s="1174"/>
      <c r="G52" s="1175"/>
      <c r="H52" s="1176"/>
      <c r="I52" s="710"/>
      <c r="J52" s="1175"/>
      <c r="K52" s="876"/>
      <c r="L52" s="1175"/>
      <c r="M52" s="10"/>
      <c r="N52" s="10"/>
      <c r="O52" s="10"/>
      <c r="P52" s="10"/>
      <c r="Q52" s="10"/>
      <c r="R52" s="10"/>
      <c r="S52" s="864"/>
      <c r="T52" s="864"/>
    </row>
    <row r="53" spans="1:30" s="19" customFormat="1" ht="12.75" x14ac:dyDescent="0.2">
      <c r="A53" s="709"/>
      <c r="B53" s="866"/>
      <c r="C53" s="1174"/>
      <c r="D53" s="1175"/>
      <c r="E53" s="866"/>
      <c r="F53" s="1174"/>
      <c r="G53" s="1175"/>
      <c r="H53" s="1176"/>
      <c r="I53" s="710"/>
      <c r="J53" s="1175"/>
      <c r="K53" s="876"/>
      <c r="L53" s="1175"/>
      <c r="M53" s="10"/>
      <c r="N53" s="10"/>
      <c r="O53" s="10"/>
      <c r="P53" s="10"/>
      <c r="Q53" s="10"/>
      <c r="R53" s="10"/>
      <c r="S53" s="864"/>
      <c r="T53" s="864"/>
    </row>
    <row r="54" spans="1:30" s="19" customFormat="1" ht="12.75" x14ac:dyDescent="0.2">
      <c r="A54" s="712"/>
      <c r="B54" s="868"/>
      <c r="C54" s="713"/>
      <c r="D54" s="1177"/>
      <c r="E54" s="868"/>
      <c r="F54" s="713"/>
      <c r="G54" s="1177"/>
      <c r="H54" s="1178"/>
      <c r="I54" s="713"/>
      <c r="J54" s="1177"/>
      <c r="K54" s="878"/>
      <c r="L54" s="1177"/>
      <c r="M54" s="10"/>
      <c r="N54" s="10"/>
      <c r="O54" s="10"/>
      <c r="P54" s="10"/>
      <c r="Q54" s="10"/>
      <c r="R54" s="10"/>
      <c r="S54" s="864"/>
      <c r="T54" s="864"/>
      <c r="AD54" s="30"/>
    </row>
    <row r="55" spans="1:30" s="19" customFormat="1" ht="12.75" x14ac:dyDescent="0.2">
      <c r="A55" s="1179"/>
      <c r="B55" s="710"/>
      <c r="C55" s="711"/>
      <c r="D55" s="708"/>
      <c r="E55" s="710"/>
      <c r="F55" s="710"/>
      <c r="G55" s="710"/>
      <c r="H55" s="711"/>
      <c r="I55" s="708"/>
      <c r="J55" s="710"/>
      <c r="K55" s="1180"/>
      <c r="L55" s="1180"/>
      <c r="M55" s="710"/>
      <c r="N55" s="1181"/>
      <c r="O55" s="10"/>
      <c r="P55" s="10"/>
      <c r="Q55" s="10"/>
      <c r="R55" s="10"/>
      <c r="S55" s="864"/>
      <c r="T55" s="864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9">
        <f>MIN(B$61:B$80)</f>
        <v>2.9052207511221924</v>
      </c>
      <c r="C57" s="369">
        <f t="shared" ref="C57:N57" si="10">MIN(C$61:C$80)</f>
        <v>3.8346917363365085</v>
      </c>
      <c r="D57" s="369">
        <f t="shared" si="10"/>
        <v>4.8766797615410962</v>
      </c>
      <c r="E57" s="369">
        <f t="shared" si="10"/>
        <v>5.7892891358899607</v>
      </c>
      <c r="F57" s="369">
        <f t="shared" si="10"/>
        <v>6.2880012043365774</v>
      </c>
      <c r="G57" s="369">
        <f t="shared" si="10"/>
        <v>6.284013544833579</v>
      </c>
      <c r="H57" s="369">
        <f t="shared" si="10"/>
        <v>5.9991859000523586</v>
      </c>
      <c r="I57" s="369">
        <f t="shared" si="10"/>
        <v>5.547034992899885</v>
      </c>
      <c r="J57" s="369">
        <f t="shared" si="10"/>
        <v>4.8625991835144156</v>
      </c>
      <c r="K57" s="369">
        <f t="shared" si="10"/>
        <v>3.8838192719073032</v>
      </c>
      <c r="L57" s="369">
        <f t="shared" si="10"/>
        <v>2.9670909306422057</v>
      </c>
      <c r="M57" s="369">
        <f t="shared" si="10"/>
        <v>2.4597011976859937</v>
      </c>
      <c r="N57" s="369">
        <f t="shared" si="10"/>
        <v>4.66728515335579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58</v>
      </c>
      <c r="B58" s="369">
        <f>AVERAGE(B$61:B$80)</f>
        <v>3.025223772687236</v>
      </c>
      <c r="C58" s="369">
        <f t="shared" ref="C58:N58" si="11">AVERAGE(C$61:C$80)</f>
        <v>3.992477344384358</v>
      </c>
      <c r="D58" s="369">
        <f t="shared" si="11"/>
        <v>5.0758057661480684</v>
      </c>
      <c r="E58" s="369">
        <f t="shared" si="11"/>
        <v>6.0338444489875291</v>
      </c>
      <c r="F58" s="369">
        <f t="shared" si="11"/>
        <v>6.558337215432827</v>
      </c>
      <c r="G58" s="369">
        <f t="shared" si="11"/>
        <v>6.6006257869946081</v>
      </c>
      <c r="H58" s="369">
        <f t="shared" si="11"/>
        <v>6.3007614099989047</v>
      </c>
      <c r="I58" s="369">
        <f t="shared" si="11"/>
        <v>5.8248191460370622</v>
      </c>
      <c r="J58" s="369">
        <f t="shared" si="11"/>
        <v>5.1038149953672818</v>
      </c>
      <c r="K58" s="369">
        <f t="shared" si="11"/>
        <v>4.0743895188378865</v>
      </c>
      <c r="L58" s="369">
        <f t="shared" si="11"/>
        <v>3.1115358801664073</v>
      </c>
      <c r="M58" s="369">
        <f t="shared" si="11"/>
        <v>2.5807672296849971</v>
      </c>
      <c r="N58" s="369">
        <f t="shared" si="11"/>
        <v>4.864233899179025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59</v>
      </c>
      <c r="B59" s="369">
        <f>MAX(B$61:B$80)</f>
        <v>3.2058810057460327</v>
      </c>
      <c r="C59" s="369">
        <f t="shared" ref="C59:N59" si="12">MAX(C$61:C$80)</f>
        <v>4.2291671342628208</v>
      </c>
      <c r="D59" s="369">
        <f t="shared" si="12"/>
        <v>5.3761974557443795</v>
      </c>
      <c r="E59" s="369">
        <f t="shared" si="12"/>
        <v>6.3812797715987744</v>
      </c>
      <c r="F59" s="369">
        <f t="shared" si="12"/>
        <v>6.8251242975419215</v>
      </c>
      <c r="G59" s="369">
        <f t="shared" si="12"/>
        <v>7.0264124983319203</v>
      </c>
      <c r="H59" s="369">
        <f t="shared" si="12"/>
        <v>6.7120770747523029</v>
      </c>
      <c r="I59" s="369">
        <f t="shared" si="12"/>
        <v>6.2070220397434914</v>
      </c>
      <c r="J59" s="369">
        <f t="shared" si="12"/>
        <v>5.4410464310588829</v>
      </c>
      <c r="K59" s="369">
        <f t="shared" si="12"/>
        <v>4.344779462671827</v>
      </c>
      <c r="L59" s="369">
        <f t="shared" si="12"/>
        <v>3.3171428138457184</v>
      </c>
      <c r="M59" s="369">
        <f t="shared" si="12"/>
        <v>2.7491435021879473</v>
      </c>
      <c r="N59" s="369">
        <f t="shared" si="12"/>
        <v>5.113946260370299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60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7.0264124983319203</v>
      </c>
      <c r="H61" s="345">
        <f>AVERAGE('2018'!$V$196:$V$226)/Pc</f>
        <v>6.7120770747523029</v>
      </c>
      <c r="I61" s="345">
        <f>AVERAGE('2018'!$V$227:$V$257)/Pc</f>
        <v>6.2070220397434914</v>
      </c>
      <c r="J61" s="347">
        <f>AVERAGE('2018'!$V$258:$V$287)/Pc</f>
        <v>5.4410464310588829</v>
      </c>
      <c r="K61" s="348">
        <f>AVERAGE('2018'!$V$288:$V$318)/Pc</f>
        <v>4.344779462671827</v>
      </c>
      <c r="L61" s="345">
        <f>AVERAGE('2018'!$V$319:$V$348)/Pc</f>
        <v>3.3171428138457184</v>
      </c>
      <c r="M61" s="349">
        <f>AVERAGE('2018'!$V$349:$V$379)/Pc</f>
        <v>2.7491435021879473</v>
      </c>
      <c r="N61" s="353">
        <f t="shared" ref="N61:N66" si="13">AVERAGE(B61:M61)</f>
        <v>5.113946260370299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3.2058810057460327</v>
      </c>
      <c r="C62" s="350">
        <f>AVERAGE('2019'!$V$46:$V$73)/Pc</f>
        <v>4.2291671342628208</v>
      </c>
      <c r="D62" s="350">
        <f>AVERAGE('2019'!$V$74:$V$104)/Pc</f>
        <v>5.3761974557443795</v>
      </c>
      <c r="E62" s="351">
        <f>AVERAGE('2019'!$V$105:$V$134)/Pc</f>
        <v>6.3812797715987744</v>
      </c>
      <c r="F62" s="350">
        <f>AVERAGE('2019'!$V$135:$V$165)/Pc</f>
        <v>6.8251242975419215</v>
      </c>
      <c r="G62" s="350">
        <f>AVERAGE('2019'!$V$166:$V$195)/Pc</f>
        <v>6.827926158487557</v>
      </c>
      <c r="H62" s="350">
        <f>AVERAGE('2019'!$V$196:$V$226)/Pc</f>
        <v>6.5241830969432337</v>
      </c>
      <c r="I62" s="350">
        <f>AVERAGE('2019'!$V$227:$V$257)/Pc</f>
        <v>6.036544927435866</v>
      </c>
      <c r="J62" s="348">
        <f>AVERAGE('2019'!$V$258:$V$287)/Pc</f>
        <v>5.2947452653488911</v>
      </c>
      <c r="K62" s="348">
        <f>AVERAGE('2019'!$V$288:$V$318)/Pc</f>
        <v>4.2308503683821232</v>
      </c>
      <c r="L62" s="350">
        <f>AVERAGE('2019'!$V$319:$V$348)/Pc</f>
        <v>3.2328135292468474</v>
      </c>
      <c r="M62" s="352">
        <f>AVERAGE('2019'!$V$349:$V$379)/Pc</f>
        <v>2.6809904799391102</v>
      </c>
      <c r="N62" s="354">
        <f t="shared" si="13"/>
        <v>5.0704752908897968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3.1280262734348994</v>
      </c>
      <c r="C63" s="350">
        <f>AVERAGE('2020'!$V$46:$V$74)/Pc</f>
        <v>4.1470848385924173</v>
      </c>
      <c r="D63" s="350">
        <f>AVERAGE('2020'!$V$75:$V$105)/Pc</f>
        <v>5.2880684964225146</v>
      </c>
      <c r="E63" s="351">
        <f>AVERAGE('2020'!$V$106:$V$135)/Pc</f>
        <v>6.2528235488822128</v>
      </c>
      <c r="F63" s="350">
        <f>AVERAGE('2020'!$V$136:$V$166)/Pc</f>
        <v>6.6616116429832459</v>
      </c>
      <c r="G63" s="350">
        <f>AVERAGE('2020'!$V$167:$V$196)/Pc</f>
        <v>6.6443759804551892</v>
      </c>
      <c r="H63" s="350">
        <f>AVERAGE('2020'!$V$197:$V$227)/Pc</f>
        <v>6.3349571065224017</v>
      </c>
      <c r="I63" s="350">
        <f>AVERAGE('2020'!$V$228:$V$258)/Pc</f>
        <v>5.8505807682425601</v>
      </c>
      <c r="J63" s="348">
        <f>AVERAGE('2020'!$V$259:$V$288)/Pc</f>
        <v>5.1123990540654507</v>
      </c>
      <c r="K63" s="348">
        <f>AVERAGE('2020'!$V$289:$V$319)/Pc</f>
        <v>4.0733095836626756</v>
      </c>
      <c r="L63" s="350">
        <f>AVERAGE('2020'!$V$320:$V$349)/Pc</f>
        <v>3.1105402436263212</v>
      </c>
      <c r="M63" s="352">
        <f>AVERAGE('2020'!$V$350:$V$380)/Pc</f>
        <v>2.5980543812747752</v>
      </c>
      <c r="N63" s="355">
        <f t="shared" si="13"/>
        <v>4.9334859931803896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3.0321011925013504</v>
      </c>
      <c r="C64" s="350">
        <f>AVERAGE('2021'!$V$46:$V$73)/Pc</f>
        <v>3.9991750791051879</v>
      </c>
      <c r="D64" s="350">
        <f>AVERAGE('2021'!$V$74:$V$104)/Pc</f>
        <v>5.0826477535360715</v>
      </c>
      <c r="E64" s="351">
        <f>AVERAGE('2021'!$V$105:$V$134)/Pc</f>
        <v>6.1445219476095509</v>
      </c>
      <c r="F64" s="350">
        <f>AVERAGE('2021'!$V$135:$V$165)/Pc</f>
        <v>6.7976395001703667</v>
      </c>
      <c r="G64" s="350">
        <f>AVERAGE('2021'!$V$166:$V$195)/Pc</f>
        <v>6.7942048819750021</v>
      </c>
      <c r="H64" s="350">
        <f>AVERAGE('2021'!$V$196:$V$226)/Pc</f>
        <v>6.4847653213103786</v>
      </c>
      <c r="I64" s="350">
        <f>AVERAGE('2021'!$V$227:$V$257)/Pc</f>
        <v>5.9933954929760027</v>
      </c>
      <c r="J64" s="348">
        <f>AVERAGE('2021'!$V$258:$V$287)/Pc</f>
        <v>5.2510766362708416</v>
      </c>
      <c r="K64" s="348">
        <f>AVERAGE('2021'!$V$288:$V$318)/Pc</f>
        <v>4.1906385289355335</v>
      </c>
      <c r="L64" s="350">
        <f>AVERAGE('2021'!$V$319:$V$348)/Pc</f>
        <v>3.1983603717104638</v>
      </c>
      <c r="M64" s="352">
        <f>AVERAGE('2021'!$V$349:$V$379)/Pc</f>
        <v>2.6493793760439606</v>
      </c>
      <c r="N64" s="354">
        <f t="shared" si="13"/>
        <v>4.9681588401787256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6">
        <f>'2022'!An</f>
        <v>2022</v>
      </c>
      <c r="B65" s="547">
        <f>AVERAGE('2022'!$V$15:$V$45)/Pc</f>
        <v>3.0882074638636552</v>
      </c>
      <c r="C65" s="547">
        <f>AVERAGE('2022'!$V$46:$V$73)/Pc</f>
        <v>4.07130271201921</v>
      </c>
      <c r="D65" s="547">
        <f>AVERAGE('2022'!$V$74:$V$104)/Pc</f>
        <v>5.1705037458256795</v>
      </c>
      <c r="E65" s="549">
        <f>AVERAGE('2022'!$V$105:$V$134)/Pc</f>
        <v>6.1306319960608553</v>
      </c>
      <c r="F65" s="547">
        <f>AVERAGE('2022'!$V$135:$V$165)/Pc</f>
        <v>6.548139796121383</v>
      </c>
      <c r="G65" s="547">
        <f>AVERAGE('2022'!$V$166:$V$195)/Pc</f>
        <v>6.5422308297331124</v>
      </c>
      <c r="H65" s="547">
        <f>AVERAGE('2022'!$V$196:$V$226)/Pc</f>
        <v>6.2434844563550627</v>
      </c>
      <c r="I65" s="547">
        <f>AVERAGE('2022'!$V$227:$V$257)/Pc</f>
        <v>5.7714315155631439</v>
      </c>
      <c r="J65" s="547">
        <f>AVERAGE('2022'!$V$258:$V$287)/Pc</f>
        <v>5.0579189648137914</v>
      </c>
      <c r="K65" s="547">
        <f>AVERAGE('2022'!$V$288:$V$318)/Pc</f>
        <v>4.0381800399162255</v>
      </c>
      <c r="L65" s="547">
        <f>AVERAGE('2022'!$V$319:$V$348)/Pc</f>
        <v>3.0841924847732702</v>
      </c>
      <c r="M65" s="548">
        <f>AVERAGE('2022'!$V$349:$V$379)/Pc</f>
        <v>2.5559110167439218</v>
      </c>
      <c r="N65" s="554">
        <f t="shared" si="13"/>
        <v>4.8585112518157763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6">
        <v>2023</v>
      </c>
      <c r="B66" s="547">
        <f>AVERAGE('2023'!$V$15:$V$45)/Pc</f>
        <v>2.980406294613493</v>
      </c>
      <c r="C66" s="547">
        <f>AVERAGE('2023'!$V$46:$V$73)/Pc</f>
        <v>3.9320011646473603</v>
      </c>
      <c r="D66" s="547">
        <f>AVERAGE('2023'!$V$74:$V$104)/Pc</f>
        <v>4.9982627153001609</v>
      </c>
      <c r="E66" s="549">
        <f>AVERAGE('2023'!$V$105:$V$134)/Pc</f>
        <v>5.9313906768279558</v>
      </c>
      <c r="F66" s="547">
        <f>AVERAGE('2023'!$V$135:$V$165)/Pc</f>
        <v>6.3384934680403653</v>
      </c>
      <c r="G66" s="547">
        <f>AVERAGE('2023'!$V$166:$V$195)/Pc</f>
        <v>6.3356835395515487</v>
      </c>
      <c r="H66" s="547">
        <f>AVERAGE('2023'!$V$196:$V$226)/Pc</f>
        <v>6.0504903286833489</v>
      </c>
      <c r="I66" s="547">
        <f>AVERAGE('2023'!$V$227:$V$257)/Pc</f>
        <v>5.5982880324319</v>
      </c>
      <c r="J66" s="547">
        <f>AVERAGE('2023'!$V$258:$V$287)/Pc</f>
        <v>4.9108811822380618</v>
      </c>
      <c r="K66" s="547">
        <f>AVERAGE('2023'!$V$288:$V$318)/Pc</f>
        <v>3.924816251667234</v>
      </c>
      <c r="L66" s="547">
        <f>AVERAGE('2023'!$V$319:$V$348)/Pc</f>
        <v>3.0012678309935543</v>
      </c>
      <c r="M66" s="548">
        <f>AVERAGE('2023'!$V$349:$V$379)/Pc</f>
        <v>2.489641493018703</v>
      </c>
      <c r="N66" s="554">
        <f t="shared" si="13"/>
        <v>4.7076352481678079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6">
        <v>2024</v>
      </c>
      <c r="B67" s="547">
        <f>AVERAGE('2024'!$V$15:$V$45)/Pc</f>
        <v>2.9052207511221924</v>
      </c>
      <c r="C67" s="547">
        <f>AVERAGE('2024'!$V$46:$V$73)/Pc</f>
        <v>3.8346917363365085</v>
      </c>
      <c r="D67" s="547">
        <f>AVERAGE('2024'!$V$74:$V$104)/Pc</f>
        <v>4.8766797615410962</v>
      </c>
      <c r="E67" s="549">
        <f>AVERAGE('2024'!$V$105:$V$134)/Pc</f>
        <v>5.7892891358899607</v>
      </c>
      <c r="F67" s="547">
        <f>AVERAGE('2024'!$V$135:$V$165)/Pc</f>
        <v>6.6406361749313056</v>
      </c>
      <c r="G67" s="547">
        <f>AVERAGE('2024'!$V$166:$V$195)/Pc</f>
        <v>6.6356418192777573</v>
      </c>
      <c r="H67" s="547">
        <f>AVERAGE('2024'!$V$196:$V$226)/Pc</f>
        <v>6.3308945882494676</v>
      </c>
      <c r="I67" s="547">
        <f>AVERAGE('2024'!$V$227:$V$257)/Pc</f>
        <v>5.8500632724945376</v>
      </c>
      <c r="J67" s="547">
        <f>AVERAGE('2024'!$V$258:$V$287)/Pc</f>
        <v>5.1238838916774467</v>
      </c>
      <c r="K67" s="547">
        <f>AVERAGE('2024'!$V$288:$V$318)/Pc</f>
        <v>4.0870641720293115</v>
      </c>
      <c r="L67" s="547">
        <f>AVERAGE('2024'!$V$319:$V$348)/Pc</f>
        <v>3.118506966036799</v>
      </c>
      <c r="M67" s="548">
        <f>AVERAGE('2024'!$V$349:$V$379)/Pc</f>
        <v>2.5822895296052457</v>
      </c>
      <c r="N67" s="554">
        <f>AVERAGE(B67:M67)</f>
        <v>4.8145718165993028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6">
        <v>2025</v>
      </c>
      <c r="B68" s="547">
        <f>AVERAGE('2025'!$V$15:$V$45)/Pc</f>
        <v>3.0092227945194212</v>
      </c>
      <c r="C68" s="547">
        <f>AVERAGE('2025'!$V$46:$V$73)/Pc</f>
        <v>3.9679307449908672</v>
      </c>
      <c r="D68" s="547">
        <f>AVERAGE('2025'!$V$74:$V$104)/Pc</f>
        <v>5.0409253705508643</v>
      </c>
      <c r="E68" s="549">
        <f>AVERAGE('2025'!$V$105:$V$134)/Pc</f>
        <v>5.9798439765249496</v>
      </c>
      <c r="F68" s="547">
        <f>AVERAGE('2025'!$V$135:$V$165)/Pc</f>
        <v>6.3896879046639068</v>
      </c>
      <c r="G68" s="547">
        <f>AVERAGE('2025'!$V$166:$V$195)/Pc</f>
        <v>6.3854650280562639</v>
      </c>
      <c r="H68" s="547">
        <f>AVERAGE('2025'!$V$196:$V$226)/Pc</f>
        <v>6.0962681619477834</v>
      </c>
      <c r="I68" s="547">
        <f>AVERAGE('2025'!$V$227:$V$257)/Pc</f>
        <v>5.6366266923873898</v>
      </c>
      <c r="J68" s="547">
        <f>AVERAGE('2025'!$V$258:$V$287)/Pc</f>
        <v>4.9410062199641622</v>
      </c>
      <c r="K68" s="547">
        <f>AVERAGE('2025'!$V$288:$V$318)/Pc</f>
        <v>3.9467765975653708</v>
      </c>
      <c r="L68" s="547">
        <f>AVERAGE('2025'!$V$319:$V$348)/Pc</f>
        <v>3.0152530530536805</v>
      </c>
      <c r="M68" s="548">
        <f>AVERAGE('2025'!$V$349:$V$379)/Pc</f>
        <v>2.4997841892780097</v>
      </c>
      <c r="N68" s="554">
        <f>AVERAGE(B68:M68)</f>
        <v>4.7423992277918892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6">
        <v>2026</v>
      </c>
      <c r="B69" s="547">
        <f>AVERAGE('2026'!$V$15:$V$45)/Pc</f>
        <v>2.9149457864272557</v>
      </c>
      <c r="C69" s="547">
        <f>AVERAGE('2026'!$V$46:$V$73)/Pc</f>
        <v>3.8449006979287494</v>
      </c>
      <c r="D69" s="547">
        <f>AVERAGE('2026'!$V$74:$V$104)/Pc</f>
        <v>4.886997635075125</v>
      </c>
      <c r="E69" s="549">
        <f>AVERAGE('2026'!$V$105:$V$134)/Pc</f>
        <v>5.8098567179659968</v>
      </c>
      <c r="F69" s="547">
        <f>AVERAGE('2026'!$V$135:$V$165)/Pc</f>
        <v>6.5357009501063699</v>
      </c>
      <c r="G69" s="547">
        <f>AVERAGE('2026'!$V$166:$V$195)/Pc</f>
        <v>6.5303035892441521</v>
      </c>
      <c r="H69" s="547">
        <f>AVERAGE('2026'!$V$196:$V$226)/Pc</f>
        <v>6.2313080651727013</v>
      </c>
      <c r="I69" s="547">
        <f>AVERAGE('2026'!$V$227:$V$257)/Pc</f>
        <v>5.7572037261958418</v>
      </c>
      <c r="J69" s="547">
        <f>AVERAGE('2026'!$V$258:$V$287)/Pc</f>
        <v>5.0425931247208675</v>
      </c>
      <c r="K69" s="547">
        <f>AVERAGE('2026'!$V$288:$V$318)/Pc</f>
        <v>4.0236609116412545</v>
      </c>
      <c r="L69" s="547">
        <f>AVERAGE('2026'!$V$319:$V$348)/Pc</f>
        <v>3.0701905777352092</v>
      </c>
      <c r="M69" s="548">
        <f>AVERAGE('2026'!$V$349:$V$379)/Pc</f>
        <v>2.5427771310723069</v>
      </c>
      <c r="N69" s="554">
        <f>AVERAGE(B69:M69)</f>
        <v>4.7658699094404859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6">
        <v>2027</v>
      </c>
      <c r="B70" s="547">
        <f>AVERAGE('2027'!$V$15:$V$45)/Pc</f>
        <v>2.9630023919568256</v>
      </c>
      <c r="C70" s="547">
        <f>AVERAGE('2027'!$V$46:$V$73)/Pc</f>
        <v>3.906041991576104</v>
      </c>
      <c r="D70" s="547">
        <f>AVERAGE('2027'!$V$74:$V$104)/Pc</f>
        <v>4.9619689613367193</v>
      </c>
      <c r="E70" s="549">
        <f>AVERAGE('2027'!$V$105:$V$134)/Pc</f>
        <v>5.8849622695275041</v>
      </c>
      <c r="F70" s="547">
        <f>AVERAGE('2027'!$V$135:$V$165)/Pc</f>
        <v>6.2880012043365774</v>
      </c>
      <c r="G70" s="547">
        <f>AVERAGE('2027'!$V$166:$V$195)/Pc</f>
        <v>6.284013544833579</v>
      </c>
      <c r="H70" s="547">
        <f>AVERAGE('2027'!$V$196:$V$226)/Pc</f>
        <v>5.9991859000523586</v>
      </c>
      <c r="I70" s="547">
        <f>AVERAGE('2027'!$V$227:$V$257)/Pc</f>
        <v>5.547034992899885</v>
      </c>
      <c r="J70" s="547">
        <f>AVERAGE('2027'!$V$258:$V$287)/Pc</f>
        <v>4.8625991835144156</v>
      </c>
      <c r="K70" s="547">
        <f>AVERAGE('2027'!$V$288:$V$318)/Pc</f>
        <v>3.8838192719073032</v>
      </c>
      <c r="L70" s="547">
        <f>AVERAGE('2027'!$V$319:$V$348)/Pc</f>
        <v>2.9670909306422057</v>
      </c>
      <c r="M70" s="548">
        <f>AVERAGE('2027'!$V$349:$V$379)/Pc</f>
        <v>2.4597011976859937</v>
      </c>
      <c r="N70" s="554">
        <f>AVERAGE(B70:M70)</f>
        <v>4.66728515335579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6"/>
      <c r="B71" s="547"/>
      <c r="C71" s="547"/>
      <c r="D71" s="547"/>
      <c r="E71" s="549"/>
      <c r="F71" s="547"/>
      <c r="G71" s="547"/>
      <c r="H71" s="547"/>
      <c r="I71" s="547"/>
      <c r="J71" s="547"/>
      <c r="K71" s="547"/>
      <c r="L71" s="547"/>
      <c r="M71" s="548"/>
      <c r="N71" s="554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6"/>
      <c r="B72" s="547"/>
      <c r="C72" s="547"/>
      <c r="D72" s="547"/>
      <c r="E72" s="549"/>
      <c r="F72" s="547"/>
      <c r="G72" s="547"/>
      <c r="H72" s="547"/>
      <c r="I72" s="547"/>
      <c r="J72" s="547"/>
      <c r="K72" s="547"/>
      <c r="L72" s="547"/>
      <c r="M72" s="548"/>
      <c r="N72" s="554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6"/>
      <c r="B73" s="547"/>
      <c r="C73" s="547"/>
      <c r="D73" s="547"/>
      <c r="E73" s="549"/>
      <c r="F73" s="547"/>
      <c r="G73" s="547"/>
      <c r="H73" s="547"/>
      <c r="I73" s="547"/>
      <c r="J73" s="547"/>
      <c r="K73" s="547"/>
      <c r="L73" s="547"/>
      <c r="M73" s="548"/>
      <c r="N73" s="554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6"/>
      <c r="B74" s="547"/>
      <c r="C74" s="547"/>
      <c r="D74" s="547"/>
      <c r="E74" s="549"/>
      <c r="F74" s="547"/>
      <c r="G74" s="547"/>
      <c r="H74" s="547"/>
      <c r="I74" s="547"/>
      <c r="J74" s="547"/>
      <c r="K74" s="547"/>
      <c r="L74" s="547"/>
      <c r="M74" s="548"/>
      <c r="N74" s="554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6"/>
      <c r="B75" s="547"/>
      <c r="C75" s="547"/>
      <c r="D75" s="547"/>
      <c r="E75" s="549"/>
      <c r="F75" s="547"/>
      <c r="G75" s="547"/>
      <c r="H75" s="547"/>
      <c r="I75" s="547"/>
      <c r="J75" s="547"/>
      <c r="K75" s="547"/>
      <c r="L75" s="547"/>
      <c r="M75" s="548"/>
      <c r="N75" s="554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6"/>
      <c r="B76" s="547"/>
      <c r="C76" s="547"/>
      <c r="D76" s="547"/>
      <c r="E76" s="549"/>
      <c r="F76" s="547"/>
      <c r="G76" s="547"/>
      <c r="H76" s="547"/>
      <c r="I76" s="547"/>
      <c r="J76" s="547"/>
      <c r="K76" s="547"/>
      <c r="L76" s="547"/>
      <c r="M76" s="548"/>
      <c r="N76" s="554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6"/>
      <c r="B77" s="547"/>
      <c r="C77" s="547"/>
      <c r="D77" s="547"/>
      <c r="E77" s="549"/>
      <c r="F77" s="547"/>
      <c r="G77" s="547"/>
      <c r="H77" s="547"/>
      <c r="I77" s="547"/>
      <c r="J77" s="547"/>
      <c r="K77" s="547"/>
      <c r="L77" s="547"/>
      <c r="M77" s="548"/>
      <c r="N77" s="554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6"/>
      <c r="B78" s="547"/>
      <c r="C78" s="547"/>
      <c r="D78" s="547"/>
      <c r="E78" s="549"/>
      <c r="F78" s="547"/>
      <c r="G78" s="547"/>
      <c r="H78" s="547"/>
      <c r="I78" s="547"/>
      <c r="J78" s="547"/>
      <c r="K78" s="547"/>
      <c r="L78" s="547"/>
      <c r="M78" s="548"/>
      <c r="N78" s="554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6"/>
      <c r="B79" s="547"/>
      <c r="C79" s="547"/>
      <c r="D79" s="547"/>
      <c r="E79" s="549"/>
      <c r="F79" s="547"/>
      <c r="G79" s="547"/>
      <c r="H79" s="547"/>
      <c r="I79" s="547"/>
      <c r="J79" s="547"/>
      <c r="K79" s="547"/>
      <c r="L79" s="547"/>
      <c r="M79" s="548"/>
      <c r="N79" s="554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50"/>
      <c r="B80" s="551"/>
      <c r="C80" s="551"/>
      <c r="D80" s="551"/>
      <c r="E80" s="552"/>
      <c r="F80" s="551"/>
      <c r="G80" s="551"/>
      <c r="H80" s="551"/>
      <c r="I80" s="551"/>
      <c r="J80" s="551"/>
      <c r="K80" s="551"/>
      <c r="L80" s="551"/>
      <c r="M80" s="553"/>
      <c r="N80" s="555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5" priority="5" stopIfTrue="1">
      <formula>K12&lt;&gt;""</formula>
    </cfRule>
  </conditionalFormatting>
  <conditionalFormatting sqref="N12:N30">
    <cfRule type="expression" dxfId="44" priority="4" stopIfTrue="1">
      <formula>$L12&lt;&gt;""</formula>
    </cfRule>
  </conditionalFormatting>
  <conditionalFormatting sqref="M55">
    <cfRule type="expression" dxfId="43" priority="3" stopIfTrue="1">
      <formula>K55&lt;&gt;""</formula>
    </cfRule>
  </conditionalFormatting>
  <conditionalFormatting sqref="N55">
    <cfRule type="expression" dxfId="42" priority="2" stopIfTrue="1">
      <formula>$L55&lt;&gt;""</formula>
    </cfRule>
  </conditionalFormatting>
  <conditionalFormatting sqref="L36:L54">
    <cfRule type="expression" dxfId="41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'2022'!An+1</f>
        <v>2023</v>
      </c>
      <c r="K1" s="1271"/>
      <c r="L1" s="113" t="str">
        <f>"Calcul pertes et enveloppes en "&amp;TEXT(An,0)</f>
        <v>Calcul pertes et enveloppes en 2023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2023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292.51348984593392</v>
      </c>
      <c r="AK4" s="834">
        <f>AM12-AK12</f>
        <v>-3.5212085933628678E-2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292.51348984593392</v>
      </c>
      <c r="AA5" s="237">
        <f>Wh_Pvg_s-Wh_Pvg</f>
        <v>-3.5212085933628678E-2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10724.292534638575</v>
      </c>
      <c r="AK6" s="516">
        <f>SUMIF(AK15:AK380,"FAUX",Wh)</f>
        <v>10724.292534638575</v>
      </c>
      <c r="AL6" s="516">
        <f>SUMIF(AJ15:AJ380,"FAUX",Wh_s)</f>
        <v>10431.741431172484</v>
      </c>
      <c r="AM6" s="516">
        <f>SUMIF(AK15:AK380,"FAUX",Wh_s)</f>
        <v>10431.741431172484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AND(YEAR(Tnet)=An,Resal_2023="I")</f>
        <v>1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AND(YEAR(Tnet)=An,Resal_2023&lt;&gt;"I")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11166.422783237074</v>
      </c>
      <c r="AK8" s="516">
        <f>SUMIF(AK15:AK380,"FAUX",Wh_sa)</f>
        <v>11899.825500985848</v>
      </c>
      <c r="AL8" s="516">
        <f>SUMIF(AJ15:AJ380,"FAUX",Wh_pvt_s)</f>
        <v>10861.846427939181</v>
      </c>
      <c r="AM8" s="516">
        <f>SUMIF(AK15:AK380,"FAUX",Wh_sa_s)</f>
        <v>11899.825500985848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11166.422783237074</v>
      </c>
      <c r="E9" s="184">
        <f>SUM(E$15:E$380)</f>
        <v>11899.825500985848</v>
      </c>
      <c r="F9" s="184">
        <f>SUM(F$15:F$380)</f>
        <v>11901.257789817342</v>
      </c>
      <c r="H9" s="1272">
        <f>+SUM(Wh)</f>
        <v>10724.292534638575</v>
      </c>
      <c r="I9" s="1273"/>
      <c r="J9" s="1274"/>
      <c r="K9" s="191"/>
      <c r="L9" s="232"/>
      <c r="M9" s="232"/>
      <c r="N9" s="232"/>
      <c r="O9" s="223">
        <f>Tnet_2023</f>
        <v>44927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10431.741431172484</v>
      </c>
      <c r="Y9" s="1267"/>
      <c r="Z9" s="516">
        <f>SUM(Z$15:Z$380)</f>
        <v>10861.846427939181</v>
      </c>
      <c r="AA9" s="516">
        <f>SUM(AA$15:AA$380)</f>
        <v>11899.825500985848</v>
      </c>
      <c r="AB9" s="516">
        <f>F9</f>
        <v>11901.257789817342</v>
      </c>
      <c r="AC9" s="325">
        <f>IF(An_Tnet,Tnet,'2022'!Tnet_s)</f>
        <v>44927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5.1328951103225245E-2</v>
      </c>
      <c r="P10" s="421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IF(OR(Inflex,GainD),'2022'!Resal_s+('2022'!Salim-'2022'!Resal_s)*(1-EXP(('2022'!Tnet_s-Tnet)/('2022'!Tau_j))),IF(Acti_net,'2022'!Resal+('2022'!Salim-'2022'!Resal)*(1-EXP(('2022'!Tnet-Tnet)/'2022'!Tau_j)),'2022'!Resal_s))</f>
        <v>8.0540674423924569E-2</v>
      </c>
      <c r="AD10" s="428"/>
      <c r="AE10" s="428"/>
      <c r="AF10" s="260"/>
      <c r="AG10" s="261"/>
      <c r="AH10" s="262"/>
      <c r="AI10" s="473"/>
      <c r="AJ10" s="516">
        <f>SUMIF(AJ15:AJ380,"FAUX",Wh_sa)</f>
        <v>11899.825500985848</v>
      </c>
      <c r="AK10" s="516">
        <f>SUMIF(AK15:AK380,"FAUX",Wh_hp)</f>
        <v>11901.257789817342</v>
      </c>
      <c r="AL10" s="516">
        <f>SUMIF(AJ15:AJ380,"FAUX",Wh_sa_s)</f>
        <v>11899.825500985848</v>
      </c>
      <c r="AM10" s="516">
        <f>SUMIF(AK15:AK380,"FAUX",Wh_hp)</f>
        <v>11901.257789817342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442.13024859849975</v>
      </c>
      <c r="E11" s="51">
        <f>(E$9-D$9)*Prod_an/D$9</f>
        <v>704.36391703205175</v>
      </c>
      <c r="F11" s="186">
        <f>(F$9-E$9)*Prod_an/E$9</f>
        <v>1.2907991316150889</v>
      </c>
      <c r="G11" s="185" t="s">
        <v>6</v>
      </c>
      <c r="K11" s="194"/>
      <c r="L11" s="211">
        <f>Tvie_2023</f>
        <v>43259</v>
      </c>
      <c r="M11" s="844"/>
      <c r="N11" s="844"/>
      <c r="O11" s="202">
        <f>IF(An_Tnet,Salim_2023,'2022'!Salim)</f>
        <v>0.11</v>
      </c>
      <c r="P11" s="256">
        <f>Ttai_2023</f>
        <v>43101</v>
      </c>
      <c r="Q11" s="272">
        <f>Dens_2023</f>
        <v>0.5</v>
      </c>
      <c r="R11" s="277"/>
      <c r="S11" s="230"/>
      <c r="T11" s="230"/>
      <c r="U11" s="266">
        <f>Htf_2023</f>
        <v>0.99738892309801586</v>
      </c>
      <c r="V11" s="428"/>
      <c r="W11" s="519"/>
      <c r="X11" s="526" t="s">
        <v>43</v>
      </c>
      <c r="Y11" s="50">
        <f>Z$9-Prod_an_s</f>
        <v>430.10499676669679</v>
      </c>
      <c r="Z11" s="51">
        <f>(AA$9-Z$9)*Prod_an_s/Z$9</f>
        <v>996.87740687798566</v>
      </c>
      <c r="AA11" s="186">
        <f>(AB$9-AA$9)*Prod_an_s/AA$9</f>
        <v>1.2555870456814602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4.416588034093416E-2</v>
      </c>
      <c r="K12" s="191"/>
      <c r="L12" s="212">
        <f>Pspv_2023</f>
        <v>0</v>
      </c>
      <c r="M12" s="212"/>
      <c r="N12" s="212"/>
      <c r="O12" s="205">
        <f>IF(An_Tnet,Tau_2023*365,'2022'!Tau_j)</f>
        <v>1095</v>
      </c>
      <c r="P12" s="281">
        <f>INDEX(Croivg,MIN(MAX(Ttai-$A$15,0)+1,366))</f>
        <v>2.3909964587625958E-6</v>
      </c>
      <c r="Q12" s="280">
        <f>'2022'!Df</f>
        <v>0.5</v>
      </c>
      <c r="R12" s="278"/>
      <c r="S12" s="279"/>
      <c r="T12" s="279"/>
      <c r="U12" s="267">
        <f>'2022'!Hdf</f>
        <v>0.49738892309801586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'2022'!Df_s</f>
        <v>0.5</v>
      </c>
      <c r="AF12" s="203"/>
      <c r="AG12" s="203"/>
      <c r="AH12" s="203"/>
      <c r="AI12" s="297">
        <f>'2022'!Hdf_s</f>
        <v>0.49738892309801586</v>
      </c>
      <c r="AJ12" s="833">
        <f>IF($AJ8=0,0,($AJ10-$AJ8)*$AJ6/$AJ8)</f>
        <v>704.36391703205175</v>
      </c>
      <c r="AK12" s="834">
        <f>IF($AK8=0,0,($AK10-$AK8)*$AK6/$AK8)</f>
        <v>1.2907991316150889</v>
      </c>
      <c r="AL12" s="833">
        <f>IF($AL8=0,0,($AL10-$AL8)*$AL6/$AL8)</f>
        <v>996.87740687798566</v>
      </c>
      <c r="AM12" s="834">
        <f>IF($AM8=0,0,($AM10-$AM8)*$AM6/$AM8)</f>
        <v>1.2555870456814602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704.36391703205175</v>
      </c>
      <c r="AK13" s="73">
        <f>+AK11+AK12</f>
        <v>1.2907991316150889</v>
      </c>
      <c r="AL13" s="73">
        <f>+AL11+AL12</f>
        <v>996.87740687798566</v>
      </c>
      <c r="AM13" s="73">
        <f>+AM11+AM12</f>
        <v>1.2555870456814602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2023</v>
      </c>
      <c r="W14" s="838" t="s">
        <v>116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410">
        <f>'2022'!Wh/'2022'!Env_an*'2023'!Env_an</f>
        <v>22.423895962310816</v>
      </c>
      <c r="C15" s="841"/>
      <c r="D15" s="393">
        <f t="shared" ref="D15:D78" si="0">Wh/(1-Ppv)</f>
        <v>23.258276686154794</v>
      </c>
      <c r="E15" s="400">
        <f t="shared" ref="E15:E79" si="1">Wh_pvt/(1-Psa)</f>
        <v>24.517451977935501</v>
      </c>
      <c r="F15" s="400">
        <f t="shared" ref="F15:F78" si="2">Wh_sa/(1-Pvg*MEDIAN((-Sdif+Wh/Env_an)/Csdif,0,1))</f>
        <v>24.528295524742848</v>
      </c>
      <c r="G15" s="123">
        <f>+Wh_hp/MaxiM</f>
        <v>0.95105727077822177</v>
      </c>
      <c r="H15" s="414" t="b">
        <f>Wh_hp&gt;='2022'!Maxi_hp</f>
        <v>0</v>
      </c>
      <c r="I15" s="396">
        <f>IF(H15,Wh_hp,'2022'!Maxi_hp)</f>
        <v>24.528525019852513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3.5874572097625346E-2</v>
      </c>
      <c r="M15" s="845"/>
      <c r="N15" s="845"/>
      <c r="O15" s="48">
        <f>IF(t&lt;Tnet,'2022'!Resal+('2022'!Salim-'2022'!Resal)*(1-EXP(('2022'!Tnet-t)/('2022'!Tau_j))),Resal+(Salim-Resal)*(1-EXP((Tnet-t)/(Tau_j))))*Salcycl</f>
        <v>5.1358326016663652E-2</v>
      </c>
      <c r="P15" s="302">
        <f>(INDEX(Models!$BJ15:$BT15,,T15)*(1-R15)+INDEX(Models!$BJ15:$BT15,,T15+1)*R15-ERP_i)*Q15*Ramure*Pc/MaxiM</f>
        <v>4.7529337045168534E-4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0.49739011859624521</v>
      </c>
      <c r="S15" s="810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0.49739011859624521</v>
      </c>
      <c r="V15" s="382">
        <f t="shared" ref="V15:V78" si="9">MaxiM*(1-Ppv)*(1-Pvg)*(1-Psa)</f>
        <v>23.577077448416688</v>
      </c>
      <c r="W15" s="402">
        <f t="shared" ref="W15:W78" si="10">Wh*(A15&gt;Tmaj)</f>
        <v>22.423895962310816</v>
      </c>
      <c r="X15" s="156">
        <f t="shared" ref="X15:X78" si="11">t</f>
        <v>44927</v>
      </c>
      <c r="Y15" s="385">
        <f t="shared" ref="Y15:Y78" si="12">Wh_pvt_s*(1-Ppv)</f>
        <v>21.732997033743601</v>
      </c>
      <c r="Z15" s="385">
        <f>Wh_sa_s*(1-Psa_s)</f>
        <v>22.541669791893757</v>
      </c>
      <c r="AA15" s="386">
        <f t="shared" ref="AA15:AA78" si="13">Wh_hp*(1-Pvg_s*MEDIAN((-Sdif+Wh/Env_an)/Csdif,0,1))</f>
        <v>24.517451977935501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8.0586766839386467E-2</v>
      </c>
      <c r="AD15" s="231">
        <f>(INDEX(Models!$BJ15:$BT15,,AH15)*(1-AF15)+INDEX(Models!$BJ15:$BT15,,AH15+1)*AF15-ERP_i)*AE15*Ramure*Pc/MaxiM</f>
        <v>4.7529337045168534E-4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0.49739011859624521</v>
      </c>
      <c r="AG15" s="810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0.49739011859624521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411">
        <f>'2022'!Wh/'2022'!Env_an*'2023'!Env_an</f>
        <v>16.123738159748079</v>
      </c>
      <c r="C16" s="841"/>
      <c r="D16" s="393">
        <f t="shared" si="0"/>
        <v>16.724059808079286</v>
      </c>
      <c r="E16" s="385">
        <f t="shared" si="1"/>
        <v>17.630438118969977</v>
      </c>
      <c r="F16" s="385">
        <f t="shared" si="2"/>
        <v>17.634947384009013</v>
      </c>
      <c r="G16" s="110">
        <f t="shared" ref="G16:G79" si="21">+Wh_hp/MaxiM</f>
        <v>0.67892727149478416</v>
      </c>
      <c r="H16" s="414" t="b">
        <f>Wh_hp&gt;='2022'!Maxi_hp</f>
        <v>0</v>
      </c>
      <c r="I16" s="390">
        <f>IF(H16,Wh_hp,'2022'!Maxi_hp)</f>
        <v>24.297474136240545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3.5895688918859081E-2</v>
      </c>
      <c r="M16" s="845"/>
      <c r="N16" s="845"/>
      <c r="O16" s="48">
        <f>IF(t&lt;Tnet,'2022'!Resal+('2022'!Salim-'2022'!Resal)*(1-EXP(('2022'!Tnet-t)/('2022'!Tau_j))),Resal+(Salim-Resal)*(1-EXP((Tnet-t)/(Tau_j))))*Salcycl</f>
        <v>5.1409857473447937E-2</v>
      </c>
      <c r="P16" s="169">
        <f>(INDEX(Models!$BJ16:$BT16,,T16)*(1-R16)+INDEX(Models!$BJ16:$BT16,,T16+1)*R16-ERP_i)*Q16*Ramure*Pc/MaxiM</f>
        <v>4.7217748817013773E-4</v>
      </c>
      <c r="Q16" s="305">
        <f t="shared" si="4"/>
        <v>0.5</v>
      </c>
      <c r="R16" s="177">
        <f t="shared" si="5"/>
        <v>0.49741933321023946</v>
      </c>
      <c r="S16" s="811">
        <f t="shared" si="6"/>
        <v>0</v>
      </c>
      <c r="T16" s="176">
        <f t="shared" si="7"/>
        <v>6</v>
      </c>
      <c r="U16" s="251">
        <f t="shared" si="8"/>
        <v>0.49741933321023946</v>
      </c>
      <c r="V16" s="383">
        <f t="shared" si="9"/>
        <v>23.743702051343401</v>
      </c>
      <c r="W16" s="402">
        <f t="shared" si="10"/>
        <v>16.123738159748079</v>
      </c>
      <c r="X16" s="157">
        <f t="shared" si="11"/>
        <v>44928</v>
      </c>
      <c r="Y16" s="385">
        <f t="shared" si="12"/>
        <v>15.627398706891338</v>
      </c>
      <c r="Z16" s="385">
        <f t="shared" ref="Z16:Z78" si="22">Wh_sa_s*(1-Psa_s)</f>
        <v>16.209240563779726</v>
      </c>
      <c r="AA16" s="386">
        <f t="shared" si="13"/>
        <v>17.630438118969977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8.0610450267884826E-2</v>
      </c>
      <c r="AD16" s="231">
        <f>(INDEX(Models!$BJ16:$BT16,,AH16)*(1-AF16)+INDEX(Models!$BJ16:$BT16,,AH16+1)*AF16-ERP_i)*AE16*Ramure*Pc/MaxiM</f>
        <v>4.7217748817013773E-4</v>
      </c>
      <c r="AE16" s="305">
        <f t="shared" si="15"/>
        <v>0.5</v>
      </c>
      <c r="AF16" s="177">
        <f t="shared" ref="AF16:AF78" si="23">(Hp_vg_s-AG16)/(INDEX(Echel_vg,AH16+1)-AG16)</f>
        <v>0.49741933321023946</v>
      </c>
      <c r="AG16" s="811">
        <f t="shared" ref="AG16:AG79" si="24">INDEX(Echel_vg,AH16)</f>
        <v>0</v>
      </c>
      <c r="AH16" s="176">
        <f t="shared" si="16"/>
        <v>6</v>
      </c>
      <c r="AI16" s="225">
        <f t="shared" si="17"/>
        <v>0.49741933321023946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411">
        <f>'2022'!Wh/'2022'!Env_an*'2023'!Env_an</f>
        <v>17.351317899958666</v>
      </c>
      <c r="C17" s="841"/>
      <c r="D17" s="393">
        <f t="shared" si="0"/>
        <v>17.997739194027215</v>
      </c>
      <c r="E17" s="385">
        <f t="shared" si="1"/>
        <v>18.974177931804842</v>
      </c>
      <c r="F17" s="385">
        <f t="shared" si="2"/>
        <v>18.979585321230154</v>
      </c>
      <c r="G17" s="110">
        <f t="shared" si="21"/>
        <v>0.72533283529676607</v>
      </c>
      <c r="H17" s="414" t="b">
        <f>Wh_hp&gt;='2022'!Maxi_hp</f>
        <v>0</v>
      </c>
      <c r="I17" s="390">
        <f>IF(H17,Wh_hp,'2022'!Maxi_hp)</f>
        <v>27.383515682442006</v>
      </c>
      <c r="J17" s="85">
        <f>IF(H17,An,'2022'!An_max)</f>
        <v>2019</v>
      </c>
      <c r="K17" s="197">
        <f t="shared" si="3"/>
        <v>44929</v>
      </c>
      <c r="L17" s="147">
        <f>IF(t&lt;Tvie,1-EXP((T0-t)*PertePVj)+'2022'!Pspv,1-EXP((T0-t)*PertePVj)+Pspv)</f>
        <v>3.5916805277580233E-2</v>
      </c>
      <c r="M17" s="845"/>
      <c r="N17" s="845"/>
      <c r="O17" s="48">
        <f>IF(t&lt;Tnet,'2022'!Resal+('2022'!Salim-'2022'!Resal)*(1-EXP(('2022'!Tnet-t)/('2022'!Tau_j))),Resal+(Salim-Resal)*(1-EXP((Tnet-t)/(Tau_j))))*Salcycl</f>
        <v>5.1461451520432133E-2</v>
      </c>
      <c r="P17" s="169">
        <f>(INDEX(Models!$BJ17:$BT17,,T17)*(1-R17)+INDEX(Models!$BJ17:$BT17,,T17+1)*R17-ERP_i)*Q17*Ramure*Pc/MaxiM</f>
        <v>4.687419930276542E-4</v>
      </c>
      <c r="Q17" s="305">
        <f t="shared" si="4"/>
        <v>0.5</v>
      </c>
      <c r="R17" s="177">
        <f t="shared" si="5"/>
        <v>0.49744976980572908</v>
      </c>
      <c r="S17" s="811">
        <f t="shared" si="6"/>
        <v>0</v>
      </c>
      <c r="T17" s="176">
        <f t="shared" si="7"/>
        <v>6</v>
      </c>
      <c r="U17" s="251">
        <f t="shared" si="8"/>
        <v>0.49744976980572908</v>
      </c>
      <c r="V17" s="383">
        <f t="shared" si="9"/>
        <v>23.917471183356838</v>
      </c>
      <c r="W17" s="402">
        <f t="shared" si="10"/>
        <v>17.351317899958666</v>
      </c>
      <c r="X17" s="157">
        <f t="shared" si="11"/>
        <v>44929</v>
      </c>
      <c r="Y17" s="385">
        <f t="shared" si="12"/>
        <v>16.817668352723874</v>
      </c>
      <c r="Z17" s="385">
        <f t="shared" si="22"/>
        <v>17.444208596091173</v>
      </c>
      <c r="AA17" s="386">
        <f t="shared" si="13"/>
        <v>18.974177931804842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8.0634288410941196E-2</v>
      </c>
      <c r="AD17" s="231">
        <f>(INDEX(Models!$BJ17:$BT17,,AH17)*(1-AF17)+INDEX(Models!$BJ17:$BT17,,AH17+1)*AF17-ERP_i)*AE17*Ramure*Pc/MaxiM</f>
        <v>4.687419930276542E-4</v>
      </c>
      <c r="AE17" s="305">
        <f t="shared" si="15"/>
        <v>0.5</v>
      </c>
      <c r="AF17" s="177">
        <f>(Hp_vg_s-AG17)/(INDEX(Echel_vg,AH17+1)-AG17)</f>
        <v>0.49744976980572908</v>
      </c>
      <c r="AG17" s="811">
        <f>INDEX(Echel_vg,AH17)</f>
        <v>0</v>
      </c>
      <c r="AH17" s="176">
        <f t="shared" si="16"/>
        <v>6</v>
      </c>
      <c r="AI17" s="225">
        <f t="shared" si="17"/>
        <v>0.49744976980572908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411">
        <f>'2022'!Wh/'2022'!Env_an*'2023'!Env_an</f>
        <v>18.33385496046904</v>
      </c>
      <c r="C18" s="841"/>
      <c r="D18" s="393">
        <f t="shared" si="0"/>
        <v>19.017297084013016</v>
      </c>
      <c r="E18" s="385">
        <f t="shared" si="1"/>
        <v>20.050141983108393</v>
      </c>
      <c r="F18" s="385">
        <f t="shared" si="2"/>
        <v>20.056281842419427</v>
      </c>
      <c r="G18" s="110">
        <f t="shared" si="21"/>
        <v>0.76070635666960817</v>
      </c>
      <c r="H18" s="414" t="b">
        <f>Wh_hp&gt;='2022'!Maxi_hp</f>
        <v>0</v>
      </c>
      <c r="I18" s="390">
        <f>IF(H18,Wh_hp,'2022'!Maxi_hp)</f>
        <v>24.454097030053351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3.5937921173798903E-2</v>
      </c>
      <c r="M18" s="845"/>
      <c r="N18" s="845"/>
      <c r="O18" s="48">
        <f>IF(t&lt;Tnet,'2022'!Resal+('2022'!Salim-'2022'!Resal)*(1-EXP(('2022'!Tnet-t)/('2022'!Tau_j))),Resal+(Salim-Resal)*(1-EXP((Tnet-t)/(Tau_j))))*Salcycl</f>
        <v>5.1513096514005562E-2</v>
      </c>
      <c r="P18" s="169">
        <f>(INDEX(Models!$BJ18:$BT18,,T18)*(1-R18)+INDEX(Models!$BJ18:$BT18,,T18+1)*R18-ERP_i)*Q18*Ramure*Pc/MaxiM</f>
        <v>4.6501595910478262E-4</v>
      </c>
      <c r="Q18" s="305">
        <f t="shared" si="4"/>
        <v>0.5</v>
      </c>
      <c r="R18" s="177">
        <f t="shared" si="5"/>
        <v>0.49748147933702419</v>
      </c>
      <c r="S18" s="811">
        <f t="shared" si="6"/>
        <v>0</v>
      </c>
      <c r="T18" s="176">
        <f t="shared" si="7"/>
        <v>6</v>
      </c>
      <c r="U18" s="251">
        <f t="shared" si="8"/>
        <v>0.49748147933702419</v>
      </c>
      <c r="V18" s="383">
        <f t="shared" si="9"/>
        <v>24.097262948827154</v>
      </c>
      <c r="W18" s="402">
        <f t="shared" si="10"/>
        <v>18.33385496046904</v>
      </c>
      <c r="X18" s="157">
        <f t="shared" si="11"/>
        <v>44930</v>
      </c>
      <c r="Y18" s="385">
        <f t="shared" si="12"/>
        <v>17.770491095511357</v>
      </c>
      <c r="Z18" s="385">
        <f>Wh_sa_s*(1-Psa_s)</f>
        <v>18.432932365878255</v>
      </c>
      <c r="AA18" s="386">
        <f t="shared" si="13"/>
        <v>20.050141983108393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8.0658262599466138E-2</v>
      </c>
      <c r="AD18" s="231">
        <f>(INDEX(Models!$BJ18:$BT18,,AH18)*(1-AF18)+INDEX(Models!$BJ18:$BT18,,AH18+1)*AF18-ERP_i)*AE18*Ramure*Pc/MaxiM</f>
        <v>4.6501595910478262E-4</v>
      </c>
      <c r="AE18" s="305">
        <f t="shared" si="15"/>
        <v>0.5</v>
      </c>
      <c r="AF18" s="177">
        <f t="shared" si="23"/>
        <v>0.49748147933702419</v>
      </c>
      <c r="AG18" s="811">
        <f t="shared" si="24"/>
        <v>0</v>
      </c>
      <c r="AH18" s="176">
        <f t="shared" si="16"/>
        <v>6</v>
      </c>
      <c r="AI18" s="225">
        <f t="shared" si="17"/>
        <v>0.49748147933702419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411">
        <f>'2022'!Wh/'2022'!Env_an*'2023'!Env_an</f>
        <v>14.597075211656355</v>
      </c>
      <c r="C19" s="841"/>
      <c r="D19" s="393">
        <f t="shared" si="0"/>
        <v>15.141550790838831</v>
      </c>
      <c r="E19" s="385">
        <f t="shared" si="1"/>
        <v>15.964770717626111</v>
      </c>
      <c r="F19" s="385">
        <f t="shared" si="2"/>
        <v>15.967937798692034</v>
      </c>
      <c r="G19" s="110">
        <f t="shared" si="21"/>
        <v>0.6009911281546283</v>
      </c>
      <c r="H19" s="414" t="b">
        <f>Wh_hp&gt;='2022'!Maxi_hp</f>
        <v>0</v>
      </c>
      <c r="I19" s="390">
        <f>IF(H19,Wh_hp,'2022'!Maxi_hp)</f>
        <v>27.046839831733369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3.5959036607525308E-2</v>
      </c>
      <c r="M19" s="845"/>
      <c r="N19" s="845"/>
      <c r="O19" s="48">
        <f>IF(t&lt;Tnet,'2022'!Resal+('2022'!Salim-'2022'!Resal)*(1-EXP(('2022'!Tnet-t)/('2022'!Tau_j))),Resal+(Salim-Resal)*(1-EXP((Tnet-t)/(Tau_j))))*Salcycl</f>
        <v>5.1564782316503556E-2</v>
      </c>
      <c r="P19" s="169">
        <f>(INDEX(Models!$BJ19:$BT19,,T19)*(1-R19)+INDEX(Models!$BJ19:$BT19,,T19+1)*R19-ERP_i)*Q19*Ramure*Pc/MaxiM</f>
        <v>4.6102752578839143E-4</v>
      </c>
      <c r="Q19" s="305">
        <f t="shared" si="4"/>
        <v>0.5</v>
      </c>
      <c r="R19" s="177">
        <f t="shared" si="5"/>
        <v>0.49751451486958587</v>
      </c>
      <c r="S19" s="811">
        <f t="shared" si="6"/>
        <v>0</v>
      </c>
      <c r="T19" s="176">
        <f t="shared" si="7"/>
        <v>6</v>
      </c>
      <c r="U19" s="251">
        <f t="shared" si="8"/>
        <v>0.49751451486958587</v>
      </c>
      <c r="V19" s="383">
        <f t="shared" si="9"/>
        <v>24.28195575278049</v>
      </c>
      <c r="W19" s="402">
        <f t="shared" si="10"/>
        <v>14.597075211656355</v>
      </c>
      <c r="X19" s="157">
        <f t="shared" si="11"/>
        <v>44931</v>
      </c>
      <c r="Y19" s="385">
        <f t="shared" si="12"/>
        <v>14.148935567006253</v>
      </c>
      <c r="Z19" s="385">
        <f t="shared" si="22"/>
        <v>14.676695393954979</v>
      </c>
      <c r="AA19" s="386">
        <f t="shared" si="13"/>
        <v>15.964770717626111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8.0682356574593078E-2</v>
      </c>
      <c r="AD19" s="231">
        <f>(INDEX(Models!$BJ19:$BT19,,AH19)*(1-AF19)+INDEX(Models!$BJ19:$BT19,,AH19+1)*AF19-ERP_i)*AE19*Ramure*Pc/MaxiM</f>
        <v>4.6102752578839143E-4</v>
      </c>
      <c r="AE19" s="305">
        <f t="shared" si="15"/>
        <v>0.5</v>
      </c>
      <c r="AF19" s="177">
        <f t="shared" si="23"/>
        <v>0.49751451486958587</v>
      </c>
      <c r="AG19" s="811">
        <f t="shared" si="24"/>
        <v>0</v>
      </c>
      <c r="AH19" s="176">
        <f t="shared" si="16"/>
        <v>6</v>
      </c>
      <c r="AI19" s="225">
        <f t="shared" si="17"/>
        <v>0.49751451486958587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411">
        <f>'2022'!Wh/'2022'!Env_an*'2023'!Env_an</f>
        <v>21.049729956632024</v>
      </c>
      <c r="C20" s="841"/>
      <c r="D20" s="393">
        <f t="shared" si="0"/>
        <v>21.835369874494848</v>
      </c>
      <c r="E20" s="385">
        <f t="shared" si="1"/>
        <v>23.023776647674769</v>
      </c>
      <c r="F20" s="385">
        <f t="shared" si="2"/>
        <v>23.032196773106214</v>
      </c>
      <c r="G20" s="110">
        <f t="shared" si="21"/>
        <v>0.86013243271160778</v>
      </c>
      <c r="H20" s="414" t="b">
        <f>Wh_hp&gt;='2022'!Maxi_hp</f>
        <v>0</v>
      </c>
      <c r="I20" s="390">
        <f>IF(H20,Wh_hp,'2022'!Maxi_hp)</f>
        <v>26.739364860323523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3.5980151578769548E-2</v>
      </c>
      <c r="M20" s="845"/>
      <c r="N20" s="845"/>
      <c r="O20" s="48">
        <f>IF(t&lt;Tnet,'2022'!Resal+('2022'!Salim-'2022'!Resal)*(1-EXP(('2022'!Tnet-t)/('2022'!Tau_j))),Resal+(Salim-Resal)*(1-EXP((Tnet-t)/(Tau_j))))*Salcycl</f>
        <v>5.1616500253877311E-2</v>
      </c>
      <c r="P20" s="169">
        <f>(INDEX(Models!$BJ20:$BT20,,T20)*(1-R20)+INDEX(Models!$BJ20:$BT20,,T20+1)*R20-ERP_i)*Q20*Ramure*Pc/MaxiM</f>
        <v>4.56803748477505E-4</v>
      </c>
      <c r="Q20" s="305">
        <f t="shared" si="4"/>
        <v>0.5</v>
      </c>
      <c r="R20" s="177">
        <f t="shared" si="5"/>
        <v>0.49754893166633657</v>
      </c>
      <c r="S20" s="811">
        <f t="shared" si="6"/>
        <v>0</v>
      </c>
      <c r="T20" s="176">
        <f t="shared" si="7"/>
        <v>6</v>
      </c>
      <c r="U20" s="251">
        <f t="shared" si="8"/>
        <v>0.49754893166633657</v>
      </c>
      <c r="V20" s="383">
        <f t="shared" si="9"/>
        <v>24.470428311142459</v>
      </c>
      <c r="W20" s="402">
        <f t="shared" si="10"/>
        <v>21.049729956632024</v>
      </c>
      <c r="X20" s="157">
        <f t="shared" si="11"/>
        <v>44932</v>
      </c>
      <c r="Y20" s="385">
        <f t="shared" si="12"/>
        <v>20.40406517362722</v>
      </c>
      <c r="Z20" s="385">
        <f t="shared" si="22"/>
        <v>21.16560691882313</v>
      </c>
      <c r="AA20" s="386">
        <f t="shared" si="13"/>
        <v>23.023776647674769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8.070655641281603E-2</v>
      </c>
      <c r="AD20" s="231">
        <f>(INDEX(Models!$BJ20:$BT20,,AH20)*(1-AF20)+INDEX(Models!$BJ20:$BT20,,AH20+1)*AF20-ERP_i)*AE20*Ramure*Pc/MaxiM</f>
        <v>4.56803748477505E-4</v>
      </c>
      <c r="AE20" s="305">
        <f t="shared" si="15"/>
        <v>0.5</v>
      </c>
      <c r="AF20" s="177">
        <f t="shared" si="23"/>
        <v>0.49754893166633657</v>
      </c>
      <c r="AG20" s="811">
        <f t="shared" si="24"/>
        <v>0</v>
      </c>
      <c r="AH20" s="176">
        <f t="shared" si="16"/>
        <v>6</v>
      </c>
      <c r="AI20" s="225">
        <f t="shared" si="17"/>
        <v>0.49754893166633657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411">
        <f>'2022'!Wh/'2022'!Env_an*'2023'!Env_an</f>
        <v>10.764820253579531</v>
      </c>
      <c r="C21" s="841"/>
      <c r="D21" s="393">
        <f t="shared" si="0"/>
        <v>11.166840655370711</v>
      </c>
      <c r="E21" s="385">
        <f t="shared" si="1"/>
        <v>11.7752469783597</v>
      </c>
      <c r="F21" s="385">
        <f t="shared" si="2"/>
        <v>11.776285806221994</v>
      </c>
      <c r="G21" s="110">
        <f t="shared" si="21"/>
        <v>0.43634303664290619</v>
      </c>
      <c r="H21" s="414" t="b">
        <f>Wh_hp&gt;='2022'!Maxi_hp</f>
        <v>0</v>
      </c>
      <c r="I21" s="390">
        <f>IF(H21,Wh_hp,'2022'!Maxi_hp)</f>
        <v>14.932480243717823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3.6001266087541728E-2</v>
      </c>
      <c r="M21" s="845"/>
      <c r="N21" s="845"/>
      <c r="O21" s="48">
        <f>IF(t&lt;Tnet,'2022'!Resal+('2022'!Salim-'2022'!Resal)*(1-EXP(('2022'!Tnet-t)/('2022'!Tau_j))),Resal+(Salim-Resal)*(1-EXP((Tnet-t)/(Tau_j))))*Salcycl</f>
        <v>5.1668243061661914E-2</v>
      </c>
      <c r="P21" s="169">
        <f>(INDEX(Models!$BJ21:$BT21,,T21)*(1-R21)+INDEX(Models!$BJ21:$BT21,,T21+1)*R21-ERP_i)*Q21*Ramure*Pc/MaxiM</f>
        <v>4.5237048193409447E-4</v>
      </c>
      <c r="Q21" s="305">
        <f t="shared" si="4"/>
        <v>0.5</v>
      </c>
      <c r="R21" s="177">
        <f t="shared" si="5"/>
        <v>0.49758478727739974</v>
      </c>
      <c r="S21" s="811">
        <f t="shared" si="6"/>
        <v>0</v>
      </c>
      <c r="T21" s="176">
        <f t="shared" si="7"/>
        <v>6</v>
      </c>
      <c r="U21" s="251">
        <f t="shared" si="8"/>
        <v>0.49758478727739974</v>
      </c>
      <c r="V21" s="383">
        <f t="shared" si="9"/>
        <v>24.661559644711382</v>
      </c>
      <c r="W21" s="402">
        <f t="shared" si="10"/>
        <v>10.764820253579531</v>
      </c>
      <c r="X21" s="157">
        <f t="shared" si="11"/>
        <v>44933</v>
      </c>
      <c r="Y21" s="385">
        <f t="shared" si="12"/>
        <v>10.434921204891133</v>
      </c>
      <c r="Z21" s="385">
        <f t="shared" si="22"/>
        <v>10.824621275735762</v>
      </c>
      <c r="AA21" s="386">
        <f t="shared" si="13"/>
        <v>11.7752469783597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8.0730850433199233E-2</v>
      </c>
      <c r="AD21" s="231">
        <f>(INDEX(Models!$BJ21:$BT21,,AH21)*(1-AF21)+INDEX(Models!$BJ21:$BT21,,AH21+1)*AF21-ERP_i)*AE21*Ramure*Pc/MaxiM</f>
        <v>4.5237048193409447E-4</v>
      </c>
      <c r="AE21" s="305">
        <f t="shared" si="15"/>
        <v>0.5</v>
      </c>
      <c r="AF21" s="177">
        <f t="shared" si="23"/>
        <v>0.49758478727739974</v>
      </c>
      <c r="AG21" s="811">
        <f t="shared" si="24"/>
        <v>0</v>
      </c>
      <c r="AH21" s="176">
        <f t="shared" si="16"/>
        <v>6</v>
      </c>
      <c r="AI21" s="225">
        <f t="shared" si="17"/>
        <v>0.49758478727739974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411">
        <f>'2022'!Wh/'2022'!Env_an*'2023'!Env_an</f>
        <v>7.5517059175062426</v>
      </c>
      <c r="C22" s="841"/>
      <c r="D22" s="393">
        <f t="shared" si="0"/>
        <v>7.8339017025673536</v>
      </c>
      <c r="E22" s="385">
        <f t="shared" si="1"/>
        <v>8.2611694250510723</v>
      </c>
      <c r="F22" s="385">
        <f t="shared" si="2"/>
        <v>8.2611897158770535</v>
      </c>
      <c r="G22" s="110">
        <f t="shared" si="21"/>
        <v>0.30370457829084158</v>
      </c>
      <c r="H22" s="414" t="b">
        <f>Wh_hp&gt;='2022'!Maxi_hp</f>
        <v>0</v>
      </c>
      <c r="I22" s="390">
        <f>IF(H22,Wh_hp,'2022'!Maxi_hp)</f>
        <v>20.323342747491672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3.602238013385195E-2</v>
      </c>
      <c r="M22" s="845"/>
      <c r="N22" s="845"/>
      <c r="O22" s="48">
        <f>IF(t&lt;Tnet,'2022'!Resal+('2022'!Salim-'2022'!Resal)*(1-EXP(('2022'!Tnet-t)/('2022'!Tau_j))),Resal+(Salim-Resal)*(1-EXP((Tnet-t)/(Tau_j))))*Salcycl</f>
        <v>5.1720004820150212E-2</v>
      </c>
      <c r="P22" s="169">
        <f>(INDEX(Models!$BJ22:$BT22,,T22)*(1-R22)+INDEX(Models!$BJ22:$BT22,,T22+1)*R22-ERP_i)*Q22*Ramure*Pc/MaxiM</f>
        <v>4.4775229280232936E-4</v>
      </c>
      <c r="Q22" s="305">
        <f t="shared" si="4"/>
        <v>0.5</v>
      </c>
      <c r="R22" s="177">
        <f t="shared" si="5"/>
        <v>0.49762214163339691</v>
      </c>
      <c r="S22" s="811">
        <f t="shared" si="6"/>
        <v>0</v>
      </c>
      <c r="T22" s="176">
        <f t="shared" si="7"/>
        <v>6</v>
      </c>
      <c r="U22" s="251">
        <f t="shared" si="8"/>
        <v>0.49762214163339691</v>
      </c>
      <c r="V22" s="383">
        <f t="shared" si="9"/>
        <v>24.854229087706869</v>
      </c>
      <c r="W22" s="402">
        <f t="shared" si="10"/>
        <v>7.5517059175062426</v>
      </c>
      <c r="X22" s="157">
        <f t="shared" si="11"/>
        <v>44934</v>
      </c>
      <c r="Y22" s="385">
        <f t="shared" si="12"/>
        <v>7.3204815153935776</v>
      </c>
      <c r="Z22" s="385">
        <f t="shared" si="22"/>
        <v>7.5940367955949579</v>
      </c>
      <c r="AA22" s="386">
        <f t="shared" si="13"/>
        <v>8.2611694250510723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8.0755229088161462E-2</v>
      </c>
      <c r="AD22" s="231">
        <f>(INDEX(Models!$BJ22:$BT22,,AH22)*(1-AF22)+INDEX(Models!$BJ22:$BT22,,AH22+1)*AF22-ERP_i)*AE22*Ramure*Pc/MaxiM</f>
        <v>4.4775229280232936E-4</v>
      </c>
      <c r="AE22" s="305">
        <f t="shared" si="15"/>
        <v>0.5</v>
      </c>
      <c r="AF22" s="177">
        <f t="shared" si="23"/>
        <v>0.49762214163339691</v>
      </c>
      <c r="AG22" s="811">
        <f t="shared" si="24"/>
        <v>0</v>
      </c>
      <c r="AH22" s="176">
        <f t="shared" si="16"/>
        <v>6</v>
      </c>
      <c r="AI22" s="225">
        <f t="shared" si="17"/>
        <v>0.49762214163339691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411">
        <f>'2022'!Wh/'2022'!Env_an*'2023'!Env_an</f>
        <v>2.2290722392908524</v>
      </c>
      <c r="C23" s="841"/>
      <c r="D23" s="393">
        <f t="shared" si="0"/>
        <v>2.3124199326043868</v>
      </c>
      <c r="E23" s="385">
        <f t="shared" si="1"/>
        <v>2.4386744519687875</v>
      </c>
      <c r="F23" s="385">
        <f t="shared" si="2"/>
        <v>2.4386744519687875</v>
      </c>
      <c r="G23" s="110">
        <f t="shared" si="21"/>
        <v>8.8942772779861928E-2</v>
      </c>
      <c r="H23" s="414" t="b">
        <f>Wh_hp&gt;='2022'!Maxi_hp</f>
        <v>0</v>
      </c>
      <c r="I23" s="390">
        <f>IF(H23,Wh_hp,'2022'!Maxi_hp)</f>
        <v>26.033603222307448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3.6043493717710318E-2</v>
      </c>
      <c r="M23" s="845"/>
      <c r="N23" s="845"/>
      <c r="O23" s="48">
        <f>IF(t&lt;Tnet,'2022'!Resal+('2022'!Salim-'2022'!Resal)*(1-EXP(('2022'!Tnet-t)/('2022'!Tau_j))),Resal+(Salim-Resal)*(1-EXP((Tnet-t)/(Tau_j))))*Salcycl</f>
        <v>5.1771780879761545E-2</v>
      </c>
      <c r="P23" s="169">
        <f>(INDEX(Models!$BJ23:$BT23,,T23)*(1-R23)+INDEX(Models!$BJ23:$BT23,,T23+1)*R23-ERP_i)*Q23*Ramure*Pc/MaxiM</f>
        <v>4.4291135106128122E-4</v>
      </c>
      <c r="Q23" s="305">
        <f t="shared" si="4"/>
        <v>0.5</v>
      </c>
      <c r="R23" s="177">
        <f t="shared" si="5"/>
        <v>0.49766105714243203</v>
      </c>
      <c r="S23" s="811">
        <f t="shared" si="6"/>
        <v>0</v>
      </c>
      <c r="T23" s="176">
        <f t="shared" si="7"/>
        <v>6</v>
      </c>
      <c r="U23" s="251">
        <f t="shared" si="8"/>
        <v>0.49766105714243203</v>
      </c>
      <c r="V23" s="383">
        <f t="shared" si="9"/>
        <v>25.050770155416263</v>
      </c>
      <c r="W23" s="402">
        <f t="shared" si="10"/>
        <v>2.2290722392908524</v>
      </c>
      <c r="X23" s="157">
        <f t="shared" si="11"/>
        <v>44935</v>
      </c>
      <c r="Y23" s="385">
        <f t="shared" si="12"/>
        <v>2.1608811518155586</v>
      </c>
      <c r="Z23" s="385">
        <f t="shared" si="22"/>
        <v>2.2416790983127157</v>
      </c>
      <c r="AA23" s="386">
        <f t="shared" si="13"/>
        <v>2.4386744519687875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8.0779684839456023E-2</v>
      </c>
      <c r="AD23" s="231">
        <f>(INDEX(Models!$BJ23:$BT23,,AH23)*(1-AF23)+INDEX(Models!$BJ23:$BT23,,AH23+1)*AF23-ERP_i)*AE23*Ramure*Pc/MaxiM</f>
        <v>4.4291135106128122E-4</v>
      </c>
      <c r="AE23" s="305">
        <f t="shared" si="15"/>
        <v>0.5</v>
      </c>
      <c r="AF23" s="177">
        <f t="shared" si="23"/>
        <v>0.49766105714243203</v>
      </c>
      <c r="AG23" s="811">
        <f t="shared" si="24"/>
        <v>0</v>
      </c>
      <c r="AH23" s="176">
        <f t="shared" si="16"/>
        <v>6</v>
      </c>
      <c r="AI23" s="225">
        <f t="shared" si="17"/>
        <v>0.49766105714243203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411">
        <f>'2022'!Wh/'2022'!Env_an*'2023'!Env_an</f>
        <v>1.7302124747819154</v>
      </c>
      <c r="C24" s="841"/>
      <c r="D24" s="393">
        <f t="shared" si="0"/>
        <v>1.7949465151479889</v>
      </c>
      <c r="E24" s="385">
        <f t="shared" si="1"/>
        <v>1.8930511813513402</v>
      </c>
      <c r="F24" s="385">
        <f t="shared" si="2"/>
        <v>1.8930511813513402</v>
      </c>
      <c r="G24" s="110">
        <f t="shared" si="21"/>
        <v>6.8482096046299429E-2</v>
      </c>
      <c r="H24" s="414" t="b">
        <f>Wh_hp&gt;='2022'!Maxi_hp</f>
        <v>0</v>
      </c>
      <c r="I24" s="390">
        <f>IF(H24,Wh_hp,'2022'!Maxi_hp)</f>
        <v>13.230713123965954</v>
      </c>
      <c r="J24" s="85">
        <f>IF(H24,An,'2022'!An_max)</f>
        <v>2019</v>
      </c>
      <c r="K24" s="197">
        <f t="shared" si="3"/>
        <v>44936</v>
      </c>
      <c r="L24" s="147">
        <f>IF(t&lt;Tvie,1-EXP((T0-t)*PertePVj)+'2022'!Pspv,1-EXP((T0-t)*PertePVj)+Pspv)</f>
        <v>3.6064606839127045E-2</v>
      </c>
      <c r="M24" s="845"/>
      <c r="N24" s="845"/>
      <c r="O24" s="48">
        <f>IF(t&lt;Tnet,'2022'!Resal+('2022'!Salim-'2022'!Resal)*(1-EXP(('2022'!Tnet-t)/('2022'!Tau_j))),Resal+(Salim-Resal)*(1-EXP((Tnet-t)/(Tau_j))))*Salcycl</f>
        <v>5.1823567777665704E-2</v>
      </c>
      <c r="P24" s="169">
        <f>(INDEX(Models!$BJ24:$BT24,,T24)*(1-R24)+INDEX(Models!$BJ24:$BT24,,T24+1)*R24-ERP_i)*Q24*Ramure*Pc/MaxiM</f>
        <v>4.3729131536827948E-4</v>
      </c>
      <c r="Q24" s="305">
        <f t="shared" si="4"/>
        <v>0.5</v>
      </c>
      <c r="R24" s="177">
        <f t="shared" si="5"/>
        <v>0.49770159879090159</v>
      </c>
      <c r="S24" s="811">
        <f t="shared" si="6"/>
        <v>0</v>
      </c>
      <c r="T24" s="176">
        <f t="shared" si="7"/>
        <v>6</v>
      </c>
      <c r="U24" s="251">
        <f t="shared" si="8"/>
        <v>0.49770159879090159</v>
      </c>
      <c r="V24" s="383">
        <f t="shared" si="9"/>
        <v>25.254131630604583</v>
      </c>
      <c r="W24" s="402">
        <f t="shared" si="10"/>
        <v>1.7302124747819154</v>
      </c>
      <c r="X24" s="157">
        <f t="shared" si="11"/>
        <v>44936</v>
      </c>
      <c r="Y24" s="385">
        <f t="shared" si="12"/>
        <v>1.6773292027524371</v>
      </c>
      <c r="Z24" s="385">
        <f t="shared" si="22"/>
        <v>1.7400846723266905</v>
      </c>
      <c r="AA24" s="386">
        <f t="shared" si="13"/>
        <v>1.8930511813513402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8.0804212021069494E-2</v>
      </c>
      <c r="AD24" s="231">
        <f>(INDEX(Models!$BJ24:$BT24,,AH24)*(1-AF24)+INDEX(Models!$BJ24:$BT24,,AH24+1)*AF24-ERP_i)*AE24*Ramure*Pc/MaxiM</f>
        <v>4.3729131536827948E-4</v>
      </c>
      <c r="AE24" s="305">
        <f t="shared" si="15"/>
        <v>0.5</v>
      </c>
      <c r="AF24" s="177">
        <f t="shared" si="23"/>
        <v>0.49770159879090159</v>
      </c>
      <c r="AG24" s="811">
        <f t="shared" si="24"/>
        <v>0</v>
      </c>
      <c r="AH24" s="176">
        <f t="shared" si="16"/>
        <v>6</v>
      </c>
      <c r="AI24" s="225">
        <f t="shared" si="17"/>
        <v>0.49770159879090159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411">
        <f>'2022'!Wh/'2022'!Env_an*'2023'!Env_an</f>
        <v>24.934570557244932</v>
      </c>
      <c r="C25" s="841"/>
      <c r="D25" s="393">
        <f t="shared" si="0"/>
        <v>25.86803729504047</v>
      </c>
      <c r="E25" s="385">
        <f t="shared" si="1"/>
        <v>27.28337213227082</v>
      </c>
      <c r="F25" s="385">
        <f t="shared" si="2"/>
        <v>27.294780320491761</v>
      </c>
      <c r="G25" s="110">
        <f t="shared" si="21"/>
        <v>0.97919230160695381</v>
      </c>
      <c r="H25" s="414" t="b">
        <f>Wh_hp&gt;='2022'!Maxi_hp</f>
        <v>0</v>
      </c>
      <c r="I25" s="390">
        <f>IF(H25,Wh_hp,'2022'!Maxi_hp)</f>
        <v>27.813177241518638</v>
      </c>
      <c r="J25" s="85">
        <f>IF(H25,An,'2022'!An_max)</f>
        <v>2020</v>
      </c>
      <c r="K25" s="197">
        <f t="shared" si="3"/>
        <v>44937</v>
      </c>
      <c r="L25" s="147">
        <f>IF(t&lt;Tvie,1-EXP((T0-t)*PertePVj)+'2022'!Pspv,1-EXP((T0-t)*PertePVj)+Pspv)</f>
        <v>3.6085719498112234E-2</v>
      </c>
      <c r="M25" s="845"/>
      <c r="N25" s="845"/>
      <c r="O25" s="48">
        <f>IF(t&lt;Tnet,'2022'!Resal+('2022'!Salim-'2022'!Resal)*(1-EXP(('2022'!Tnet-t)/('2022'!Tau_j))),Resal+(Salim-Resal)*(1-EXP((Tnet-t)/(Tau_j))))*Salcycl</f>
        <v>5.1875363146782268E-2</v>
      </c>
      <c r="P25" s="169">
        <f>(INDEX(Models!$BJ25:$BT25,,T25)*(1-R25)+INDEX(Models!$BJ25:$BT25,,T25+1)*R25-ERP_i)*Q25*Ramure*Pc/MaxiM</f>
        <v>4.3075898427625371E-4</v>
      </c>
      <c r="Q25" s="305">
        <f t="shared" si="4"/>
        <v>0.5</v>
      </c>
      <c r="R25" s="177">
        <f t="shared" si="5"/>
        <v>0.49774383424826757</v>
      </c>
      <c r="S25" s="811">
        <f t="shared" si="6"/>
        <v>0</v>
      </c>
      <c r="T25" s="176">
        <f t="shared" si="7"/>
        <v>6</v>
      </c>
      <c r="U25" s="251">
        <f t="shared" si="8"/>
        <v>0.49774383424826757</v>
      </c>
      <c r="V25" s="383">
        <f t="shared" si="9"/>
        <v>25.464100669725777</v>
      </c>
      <c r="W25" s="402">
        <f t="shared" si="10"/>
        <v>24.934570557244932</v>
      </c>
      <c r="X25" s="157">
        <f t="shared" si="11"/>
        <v>44937</v>
      </c>
      <c r="Y25" s="385">
        <f t="shared" si="12"/>
        <v>24.17312880912127</v>
      </c>
      <c r="Z25" s="385">
        <f t="shared" si="22"/>
        <v>25.078089720317127</v>
      </c>
      <c r="AA25" s="386">
        <f t="shared" si="13"/>
        <v>27.28337213227082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8.0828806690844607E-2</v>
      </c>
      <c r="AD25" s="231">
        <f>(INDEX(Models!$BJ25:$BT25,,AH25)*(1-AF25)+INDEX(Models!$BJ25:$BT25,,AH25+1)*AF25-ERP_i)*AE25*Ramure*Pc/MaxiM</f>
        <v>4.3075898427625371E-4</v>
      </c>
      <c r="AE25" s="305">
        <f t="shared" si="15"/>
        <v>0.5</v>
      </c>
      <c r="AF25" s="177">
        <f t="shared" si="23"/>
        <v>0.49774383424826757</v>
      </c>
      <c r="AG25" s="811">
        <f t="shared" si="24"/>
        <v>0</v>
      </c>
      <c r="AH25" s="176">
        <f t="shared" si="16"/>
        <v>6</v>
      </c>
      <c r="AI25" s="225">
        <f t="shared" si="17"/>
        <v>0.49774383424826757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411">
        <f>'2022'!Wh/'2022'!Env_an*'2023'!Env_an</f>
        <v>21.27468256494328</v>
      </c>
      <c r="C26" s="841"/>
      <c r="D26" s="393">
        <f t="shared" si="0"/>
        <v>22.071618789816224</v>
      </c>
      <c r="E26" s="385">
        <f t="shared" si="1"/>
        <v>23.280509671191133</v>
      </c>
      <c r="F26" s="385">
        <f t="shared" si="2"/>
        <v>23.287952210652939</v>
      </c>
      <c r="G26" s="110">
        <f t="shared" si="21"/>
        <v>0.82835253411499865</v>
      </c>
      <c r="H26" s="414" t="b">
        <f>Wh_hp&gt;='2022'!Maxi_hp</f>
        <v>0</v>
      </c>
      <c r="I26" s="390">
        <f>IF(H26,Wh_hp,'2022'!Maxi_hp)</f>
        <v>27.969146072299974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3.61068316946761E-2</v>
      </c>
      <c r="M26" s="845"/>
      <c r="N26" s="845"/>
      <c r="O26" s="48">
        <f>IF(t&lt;Tnet,'2022'!Resal+('2022'!Salim-'2022'!Resal)*(1-EXP(('2022'!Tnet-t)/('2022'!Tau_j))),Resal+(Salim-Resal)*(1-EXP((Tnet-t)/(Tau_j))))*Salcycl</f>
        <v>5.1927165618322939E-2</v>
      </c>
      <c r="P26" s="169">
        <f>(INDEX(Models!$BJ26:$BT26,,T26)*(1-R26)+INDEX(Models!$BJ26:$BT26,,T26+1)*R26-ERP_i)*Q26*Ramure*Pc/MaxiM</f>
        <v>4.2334401016396752E-4</v>
      </c>
      <c r="Q26" s="305">
        <f t="shared" si="4"/>
        <v>0.5</v>
      </c>
      <c r="R26" s="177">
        <f t="shared" si="5"/>
        <v>0.49778783397593868</v>
      </c>
      <c r="S26" s="811">
        <f t="shared" si="6"/>
        <v>0</v>
      </c>
      <c r="T26" s="176">
        <f t="shared" si="7"/>
        <v>6</v>
      </c>
      <c r="U26" s="251">
        <f t="shared" si="8"/>
        <v>0.49778783397593868</v>
      </c>
      <c r="V26" s="383">
        <f t="shared" si="9"/>
        <v>25.680460428746581</v>
      </c>
      <c r="W26" s="402">
        <f t="shared" si="10"/>
        <v>21.27468256494328</v>
      </c>
      <c r="X26" s="157">
        <f t="shared" si="11"/>
        <v>44938</v>
      </c>
      <c r="Y26" s="385">
        <f t="shared" si="12"/>
        <v>20.625578565611605</v>
      </c>
      <c r="Z26" s="385">
        <f t="shared" si="22"/>
        <v>21.398199763024177</v>
      </c>
      <c r="AA26" s="386">
        <f t="shared" si="13"/>
        <v>23.280509671191133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8.0853466472697214E-2</v>
      </c>
      <c r="AD26" s="231">
        <f>(INDEX(Models!$BJ26:$BT26,,AH26)*(1-AF26)+INDEX(Models!$BJ26:$BT26,,AH26+1)*AF26-ERP_i)*AE26*Ramure*Pc/MaxiM</f>
        <v>4.2334401016396752E-4</v>
      </c>
      <c r="AE26" s="305">
        <f t="shared" si="15"/>
        <v>0.5</v>
      </c>
      <c r="AF26" s="177">
        <f t="shared" si="23"/>
        <v>0.49778783397593868</v>
      </c>
      <c r="AG26" s="811">
        <f t="shared" si="24"/>
        <v>0</v>
      </c>
      <c r="AH26" s="176">
        <f t="shared" si="16"/>
        <v>6</v>
      </c>
      <c r="AI26" s="225">
        <f t="shared" si="17"/>
        <v>0.49778783397593868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411">
        <f>'2022'!Wh/'2022'!Env_an*'2023'!Env_an</f>
        <v>5.1233397488445478</v>
      </c>
      <c r="C27" s="841"/>
      <c r="D27" s="393">
        <f t="shared" si="0"/>
        <v>5.3153732530332407</v>
      </c>
      <c r="E27" s="385">
        <f t="shared" si="1"/>
        <v>5.6068094602207603</v>
      </c>
      <c r="F27" s="385">
        <f t="shared" si="2"/>
        <v>5.6068094602207603</v>
      </c>
      <c r="G27" s="110">
        <f t="shared" si="21"/>
        <v>0.19770738288981396</v>
      </c>
      <c r="H27" s="414" t="b">
        <f>Wh_hp&gt;='2022'!Maxi_hp</f>
        <v>0</v>
      </c>
      <c r="I27" s="390">
        <f>IF(H27,Wh_hp,'2022'!Maxi_hp)</f>
        <v>16.029400800100351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3.6127943428828524E-2</v>
      </c>
      <c r="M27" s="845"/>
      <c r="N27" s="845"/>
      <c r="O27" s="48">
        <f>IF(t&lt;Tnet,'2022'!Resal+('2022'!Salim-'2022'!Resal)*(1-EXP(('2022'!Tnet-t)/('2022'!Tau_j))),Resal+(Salim-Resal)*(1-EXP((Tnet-t)/(Tau_j))))*Salcycl</f>
        <v>5.1978974719081091E-2</v>
      </c>
      <c r="P27" s="169">
        <f>(INDEX(Models!$BJ27:$BT27,,T27)*(1-R27)+INDEX(Models!$BJ27:$BT27,,T27+1)*R27-ERP_i)*Q27*Ramure*Pc/MaxiM</f>
        <v>4.1507628184658162E-4</v>
      </c>
      <c r="Q27" s="305">
        <f t="shared" si="4"/>
        <v>0.5</v>
      </c>
      <c r="R27" s="177">
        <f t="shared" si="5"/>
        <v>0.49783367134040779</v>
      </c>
      <c r="S27" s="811">
        <f t="shared" si="6"/>
        <v>0</v>
      </c>
      <c r="T27" s="176">
        <f t="shared" si="7"/>
        <v>6</v>
      </c>
      <c r="U27" s="251">
        <f t="shared" si="8"/>
        <v>0.49783367134040779</v>
      </c>
      <c r="V27" s="383">
        <f t="shared" si="9"/>
        <v>25.902994097519915</v>
      </c>
      <c r="W27" s="402">
        <f t="shared" si="10"/>
        <v>5.1233397488445478</v>
      </c>
      <c r="X27" s="157">
        <f t="shared" si="11"/>
        <v>44939</v>
      </c>
      <c r="Y27" s="385">
        <f t="shared" si="12"/>
        <v>4.9671612502503244</v>
      </c>
      <c r="Z27" s="385">
        <f t="shared" si="22"/>
        <v>5.1533408572090433</v>
      </c>
      <c r="AA27" s="386">
        <f t="shared" si="13"/>
        <v>5.6068094602207603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8.0878190391342836E-2</v>
      </c>
      <c r="AD27" s="231">
        <f>(INDEX(Models!$BJ27:$BT27,,AH27)*(1-AF27)+INDEX(Models!$BJ27:$BT27,,AH27+1)*AF27-ERP_i)*AE27*Ramure*Pc/MaxiM</f>
        <v>4.1507628184658162E-4</v>
      </c>
      <c r="AE27" s="305">
        <f t="shared" si="15"/>
        <v>0.5</v>
      </c>
      <c r="AF27" s="177">
        <f t="shared" si="23"/>
        <v>0.49783367134040779</v>
      </c>
      <c r="AG27" s="811">
        <f t="shared" si="24"/>
        <v>0</v>
      </c>
      <c r="AH27" s="176">
        <f t="shared" si="16"/>
        <v>6</v>
      </c>
      <c r="AI27" s="225">
        <f t="shared" si="17"/>
        <v>0.49783367134040779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411">
        <f>'2022'!Wh/'2022'!Env_an*'2023'!Env_an</f>
        <v>25.329539613357674</v>
      </c>
      <c r="C28" s="841"/>
      <c r="D28" s="393">
        <f t="shared" si="0"/>
        <v>26.279519397565206</v>
      </c>
      <c r="E28" s="385">
        <f t="shared" si="1"/>
        <v>27.721912422412998</v>
      </c>
      <c r="F28" s="385">
        <f t="shared" si="2"/>
        <v>27.732677883758814</v>
      </c>
      <c r="G28" s="110">
        <f t="shared" si="21"/>
        <v>0.9692938876753171</v>
      </c>
      <c r="H28" s="414" t="b">
        <f>Wh_hp&gt;='2022'!Maxi_hp</f>
        <v>0</v>
      </c>
      <c r="I28" s="390">
        <f>IF(H28,Wh_hp,'2022'!Maxi_hp)</f>
        <v>27.813666688911876</v>
      </c>
      <c r="J28" s="85">
        <f>IF(H28,An,'2022'!An_max)</f>
        <v>2020</v>
      </c>
      <c r="K28" s="197">
        <f t="shared" si="3"/>
        <v>44940</v>
      </c>
      <c r="L28" s="147">
        <f>IF(t&lt;Tvie,1-EXP((T0-t)*PertePVj)+'2022'!Pspv,1-EXP((T0-t)*PertePVj)+Pspv)</f>
        <v>3.614905470057983E-2</v>
      </c>
      <c r="M28" s="845"/>
      <c r="N28" s="845"/>
      <c r="O28" s="48">
        <f>IF(t&lt;Tnet,'2022'!Resal+('2022'!Salim-'2022'!Resal)*(1-EXP(('2022'!Tnet-t)/('2022'!Tau_j))),Resal+(Salim-Resal)*(1-EXP((Tnet-t)/(Tau_j))))*Salcycl</f>
        <v>5.2030790764695904E-2</v>
      </c>
      <c r="P28" s="169">
        <f>(INDEX(Models!$BJ28:$BT28,,T28)*(1-R28)+INDEX(Models!$BJ28:$BT28,,T28+1)*R28-ERP_i)*Q28*Ramure*Pc/MaxiM</f>
        <v>4.0598577837893193E-4</v>
      </c>
      <c r="Q28" s="305">
        <f t="shared" si="4"/>
        <v>0.5</v>
      </c>
      <c r="R28" s="177">
        <f t="shared" si="5"/>
        <v>0.49788142273079727</v>
      </c>
      <c r="S28" s="811">
        <f t="shared" si="6"/>
        <v>0</v>
      </c>
      <c r="T28" s="176">
        <f t="shared" si="7"/>
        <v>6</v>
      </c>
      <c r="U28" s="251">
        <f t="shared" si="8"/>
        <v>0.49788142273079727</v>
      </c>
      <c r="V28" s="383">
        <f t="shared" si="9"/>
        <v>26.131484910939651</v>
      </c>
      <c r="W28" s="402">
        <f t="shared" si="10"/>
        <v>25.329539613357674</v>
      </c>
      <c r="X28" s="157">
        <f t="shared" si="11"/>
        <v>44940</v>
      </c>
      <c r="Y28" s="385">
        <f t="shared" si="12"/>
        <v>24.558080771715709</v>
      </c>
      <c r="Z28" s="385">
        <f t="shared" si="22"/>
        <v>25.479127132138409</v>
      </c>
      <c r="AA28" s="386">
        <f t="shared" si="13"/>
        <v>27.721912422412998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8.0902978701473435E-2</v>
      </c>
      <c r="AD28" s="231">
        <f>(INDEX(Models!$BJ28:$BT28,,AH28)*(1-AF28)+INDEX(Models!$BJ28:$BT28,,AH28+1)*AF28-ERP_i)*AE28*Ramure*Pc/MaxiM</f>
        <v>4.0598577837893193E-4</v>
      </c>
      <c r="AE28" s="305">
        <f t="shared" si="15"/>
        <v>0.5</v>
      </c>
      <c r="AF28" s="177">
        <f t="shared" si="23"/>
        <v>0.49788142273079727</v>
      </c>
      <c r="AG28" s="811">
        <f t="shared" si="24"/>
        <v>0</v>
      </c>
      <c r="AH28" s="176">
        <f t="shared" si="16"/>
        <v>6</v>
      </c>
      <c r="AI28" s="225">
        <f t="shared" si="17"/>
        <v>0.49788142273079727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411">
        <f>'2022'!Wh/'2022'!Env_an*'2023'!Env_an</f>
        <v>26.916522461113836</v>
      </c>
      <c r="C29" s="841"/>
      <c r="D29" s="393">
        <f t="shared" si="0"/>
        <v>27.926633413827396</v>
      </c>
      <c r="E29" s="385">
        <f t="shared" si="1"/>
        <v>29.461041487772654</v>
      </c>
      <c r="F29" s="385">
        <f t="shared" si="2"/>
        <v>29.472715702164695</v>
      </c>
      <c r="G29" s="110">
        <f t="shared" si="21"/>
        <v>1.020891005371974</v>
      </c>
      <c r="H29" s="414" t="b">
        <f>Wh_hp&gt;='2022'!Maxi_hp</f>
        <v>1</v>
      </c>
      <c r="I29" s="390">
        <f>IF(H29,Wh_hp,'2022'!Maxi_hp)</f>
        <v>29.472715702164695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3.6170165509940122E-2</v>
      </c>
      <c r="M29" s="845"/>
      <c r="N29" s="845"/>
      <c r="O29" s="48">
        <f>IF(t&lt;Tnet,'2022'!Resal+('2022'!Salim-'2022'!Resal)*(1-EXP(('2022'!Tnet-t)/('2022'!Tau_j))),Resal+(Salim-Resal)*(1-EXP((Tnet-t)/(Tau_j))))*Salcycl</f>
        <v>5.2082614750129937E-2</v>
      </c>
      <c r="P29" s="169">
        <f>(INDEX(Models!$BJ29:$BT29,,T29)*(1-R29)+INDEX(Models!$BJ29:$BT29,,T29+1)*R29-ERP_i)*Q29*Ramure*Pc/MaxiM</f>
        <v>3.9610243284042633E-4</v>
      </c>
      <c r="Q29" s="305">
        <f t="shared" si="4"/>
        <v>0.5</v>
      </c>
      <c r="R29" s="177">
        <f t="shared" si="5"/>
        <v>0.49793116768096962</v>
      </c>
      <c r="S29" s="811">
        <f t="shared" si="6"/>
        <v>0</v>
      </c>
      <c r="T29" s="176">
        <f t="shared" si="7"/>
        <v>6</v>
      </c>
      <c r="U29" s="251">
        <f t="shared" si="8"/>
        <v>0.49793116768096962</v>
      </c>
      <c r="V29" s="383">
        <f t="shared" si="9"/>
        <v>26.365716143523539</v>
      </c>
      <c r="W29" s="402">
        <f t="shared" si="10"/>
        <v>26.916522461113836</v>
      </c>
      <c r="X29" s="157">
        <f t="shared" si="11"/>
        <v>44941</v>
      </c>
      <c r="Y29" s="385">
        <f t="shared" si="12"/>
        <v>26.097450072228792</v>
      </c>
      <c r="Z29" s="385">
        <f t="shared" si="22"/>
        <v>27.076823250689632</v>
      </c>
      <c r="AA29" s="386">
        <f t="shared" si="13"/>
        <v>29.461041487772654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8.0927832713332773E-2</v>
      </c>
      <c r="AD29" s="231">
        <f>(INDEX(Models!$BJ29:$BT29,,AH29)*(1-AF29)+INDEX(Models!$BJ29:$BT29,,AH29+1)*AF29-ERP_i)*AE29*Ramure*Pc/MaxiM</f>
        <v>3.9610243284042633E-4</v>
      </c>
      <c r="AE29" s="305">
        <f t="shared" si="15"/>
        <v>0.5</v>
      </c>
      <c r="AF29" s="177">
        <f t="shared" si="23"/>
        <v>0.49793116768096962</v>
      </c>
      <c r="AG29" s="811">
        <f t="shared" si="24"/>
        <v>0</v>
      </c>
      <c r="AH29" s="176">
        <f t="shared" si="16"/>
        <v>6</v>
      </c>
      <c r="AI29" s="225">
        <f t="shared" si="17"/>
        <v>0.49793116768096962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411">
        <f>'2022'!Wh/'2022'!Env_an*'2023'!Env_an</f>
        <v>26.436367348297615</v>
      </c>
      <c r="C30" s="841"/>
      <c r="D30" s="393">
        <f t="shared" si="0"/>
        <v>27.429060026201896</v>
      </c>
      <c r="E30" s="385">
        <f t="shared" si="1"/>
        <v>28.937711656712249</v>
      </c>
      <c r="F30" s="385">
        <f t="shared" si="2"/>
        <v>28.948768324446402</v>
      </c>
      <c r="G30" s="110">
        <f t="shared" si="21"/>
        <v>0.99364052697403538</v>
      </c>
      <c r="H30" s="414" t="b">
        <f>Wh_hp&gt;='2022'!Maxi_hp</f>
        <v>0</v>
      </c>
      <c r="I30" s="390">
        <f>IF(H30,Wh_hp,'2022'!Maxi_hp)</f>
        <v>29.178076379468706</v>
      </c>
      <c r="J30" s="85">
        <f>IF(H30,An,'2022'!An_max)</f>
        <v>2019</v>
      </c>
      <c r="K30" s="197">
        <f t="shared" si="3"/>
        <v>44942</v>
      </c>
      <c r="L30" s="147">
        <f>IF(t&lt;Tvie,1-EXP((T0-t)*PertePVj)+'2022'!Pspv,1-EXP((T0-t)*PertePVj)+Pspv)</f>
        <v>3.6191275856919614E-2</v>
      </c>
      <c r="M30" s="845"/>
      <c r="N30" s="845"/>
      <c r="O30" s="48">
        <f>IF(t&lt;Tnet,'2022'!Resal+('2022'!Salim-'2022'!Resal)*(1-EXP(('2022'!Tnet-t)/('2022'!Tau_j))),Resal+(Salim-Resal)*(1-EXP((Tnet-t)/(Tau_j))))*Salcycl</f>
        <v>5.2134448238598502E-2</v>
      </c>
      <c r="P30" s="169">
        <f>(INDEX(Models!$BJ30:$BT30,,T30)*(1-R30)+INDEX(Models!$BJ30:$BT30,,T30+1)*R30-ERP_i)*Q30*Ramure*Pc/MaxiM</f>
        <v>3.8543892415879359E-4</v>
      </c>
      <c r="Q30" s="305">
        <f t="shared" si="4"/>
        <v>0.5</v>
      </c>
      <c r="R30" s="177">
        <f t="shared" si="5"/>
        <v>0.4979829889963629</v>
      </c>
      <c r="S30" s="811">
        <f t="shared" si="6"/>
        <v>0</v>
      </c>
      <c r="T30" s="176">
        <f t="shared" si="7"/>
        <v>6</v>
      </c>
      <c r="U30" s="251">
        <f t="shared" si="8"/>
        <v>0.4979829889963629</v>
      </c>
      <c r="V30" s="383">
        <f t="shared" si="9"/>
        <v>26.605471570212067</v>
      </c>
      <c r="W30" s="402">
        <f t="shared" si="10"/>
        <v>26.436367348297615</v>
      </c>
      <c r="X30" s="157">
        <f t="shared" si="11"/>
        <v>44942</v>
      </c>
      <c r="Y30" s="385">
        <f t="shared" si="12"/>
        <v>25.632612709942432</v>
      </c>
      <c r="Z30" s="385">
        <f t="shared" si="22"/>
        <v>26.595124185799744</v>
      </c>
      <c r="AA30" s="386">
        <f t="shared" si="13"/>
        <v>28.937711656712249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8.0952754616626002E-2</v>
      </c>
      <c r="AD30" s="231">
        <f>(INDEX(Models!$BJ30:$BT30,,AH30)*(1-AF30)+INDEX(Models!$BJ30:$BT30,,AH30+1)*AF30-ERP_i)*AE30*Ramure*Pc/MaxiM</f>
        <v>3.8543892415879359E-4</v>
      </c>
      <c r="AE30" s="305">
        <f t="shared" si="15"/>
        <v>0.5</v>
      </c>
      <c r="AF30" s="177">
        <f t="shared" si="23"/>
        <v>0.4979829889963629</v>
      </c>
      <c r="AG30" s="811">
        <f t="shared" si="24"/>
        <v>0</v>
      </c>
      <c r="AH30" s="176">
        <f t="shared" si="16"/>
        <v>6</v>
      </c>
      <c r="AI30" s="225">
        <f t="shared" si="17"/>
        <v>0.4979829889963629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411">
        <f>'2022'!Wh/'2022'!Env_an*'2023'!Env_an</f>
        <v>13.532546103104941</v>
      </c>
      <c r="C31" s="841"/>
      <c r="D31" s="393">
        <f t="shared" si="0"/>
        <v>14.041004369532951</v>
      </c>
      <c r="E31" s="385">
        <f t="shared" si="1"/>
        <v>14.814097189711855</v>
      </c>
      <c r="F31" s="385">
        <f t="shared" si="2"/>
        <v>14.815713663472089</v>
      </c>
      <c r="G31" s="110">
        <f t="shared" si="21"/>
        <v>0.50386187441179742</v>
      </c>
      <c r="H31" s="414" t="b">
        <f>Wh_hp&gt;='2022'!Maxi_hp</f>
        <v>0</v>
      </c>
      <c r="I31" s="390">
        <f>IF(H31,Wh_hp,'2022'!Maxi_hp)</f>
        <v>14.816853446814875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3.6212385741528186E-2</v>
      </c>
      <c r="M31" s="845"/>
      <c r="N31" s="845"/>
      <c r="O31" s="48">
        <f>IF(t&lt;Tnet,'2022'!Resal+('2022'!Salim-'2022'!Resal)*(1-EXP(('2022'!Tnet-t)/('2022'!Tau_j))),Resal+(Salim-Resal)*(1-EXP((Tnet-t)/(Tau_j))))*Salcycl</f>
        <v>5.2186293250175569E-2</v>
      </c>
      <c r="P31" s="169">
        <f>(INDEX(Models!$BJ31:$BT31,,T31)*(1-R31)+INDEX(Models!$BJ31:$BT31,,T31+1)*R31-ERP_i)*Q31*Ramure*Pc/MaxiM</f>
        <v>3.7438922608063721E-4</v>
      </c>
      <c r="Q31" s="305">
        <f t="shared" si="4"/>
        <v>0.5</v>
      </c>
      <c r="R31" s="177">
        <f t="shared" si="5"/>
        <v>0.49803697288571702</v>
      </c>
      <c r="S31" s="811">
        <f t="shared" si="6"/>
        <v>0</v>
      </c>
      <c r="T31" s="176">
        <f t="shared" si="7"/>
        <v>6</v>
      </c>
      <c r="U31" s="251">
        <f t="shared" si="8"/>
        <v>0.49803697288571702</v>
      </c>
      <c r="V31" s="383">
        <f t="shared" si="9"/>
        <v>26.85052478124382</v>
      </c>
      <c r="W31" s="402">
        <f t="shared" si="10"/>
        <v>13.532546103104941</v>
      </c>
      <c r="X31" s="157">
        <f t="shared" si="11"/>
        <v>44943</v>
      </c>
      <c r="Y31" s="385">
        <f t="shared" si="12"/>
        <v>13.121471989496778</v>
      </c>
      <c r="Z31" s="385">
        <f t="shared" si="22"/>
        <v>13.614484970936571</v>
      </c>
      <c r="AA31" s="386">
        <f t="shared" si="13"/>
        <v>14.814097189711855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8.0977747304668321E-2</v>
      </c>
      <c r="AD31" s="231">
        <f>(INDEX(Models!$BJ31:$BT31,,AH31)*(1-AF31)+INDEX(Models!$BJ31:$BT31,,AH31+1)*AF31-ERP_i)*AE31*Ramure*Pc/MaxiM</f>
        <v>3.7438922608063721E-4</v>
      </c>
      <c r="AE31" s="305">
        <f t="shared" si="15"/>
        <v>0.5</v>
      </c>
      <c r="AF31" s="177">
        <f t="shared" si="23"/>
        <v>0.49803697288571702</v>
      </c>
      <c r="AG31" s="811">
        <f t="shared" si="24"/>
        <v>0</v>
      </c>
      <c r="AH31" s="176">
        <f t="shared" si="16"/>
        <v>6</v>
      </c>
      <c r="AI31" s="225">
        <f t="shared" si="17"/>
        <v>0.49803697288571702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411">
        <f>'2022'!Wh/'2022'!Env_an*'2023'!Env_an</f>
        <v>3.5728385440603487</v>
      </c>
      <c r="C32" s="841"/>
      <c r="D32" s="393">
        <f t="shared" si="0"/>
        <v>3.7071619797240136</v>
      </c>
      <c r="E32" s="385">
        <f t="shared" si="1"/>
        <v>3.9114910440198813</v>
      </c>
      <c r="F32" s="385">
        <f t="shared" si="2"/>
        <v>3.9114910440198813</v>
      </c>
      <c r="G32" s="110">
        <f t="shared" si="21"/>
        <v>0.13178800100404908</v>
      </c>
      <c r="H32" s="414" t="b">
        <f>Wh_hp&gt;='2022'!Maxi_hp</f>
        <v>0</v>
      </c>
      <c r="I32" s="390">
        <f>IF(H32,Wh_hp,'2022'!Maxi_hp)</f>
        <v>28.469265740450702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3.6233495163776164E-2</v>
      </c>
      <c r="M32" s="845"/>
      <c r="N32" s="845"/>
      <c r="O32" s="48">
        <f>IF(t&lt;Tnet,'2022'!Resal+('2022'!Salim-'2022'!Resal)*(1-EXP(('2022'!Tnet-t)/('2022'!Tau_j))),Resal+(Salim-Resal)*(1-EXP((Tnet-t)/(Tau_j))))*Salcycl</f>
        <v>5.2238152151276918E-2</v>
      </c>
      <c r="P32" s="169">
        <f>(INDEX(Models!$BJ32:$BT32,,T32)*(1-R32)+INDEX(Models!$BJ32:$BT32,,T32+1)*R32-ERP_i)*Q32*Ramure*Pc/MaxiM</f>
        <v>3.6297275644698907E-4</v>
      </c>
      <c r="Q32" s="305">
        <f t="shared" si="4"/>
        <v>0.5</v>
      </c>
      <c r="R32" s="177">
        <f t="shared" si="5"/>
        <v>0.4980932090978587</v>
      </c>
      <c r="S32" s="811">
        <f t="shared" si="6"/>
        <v>0</v>
      </c>
      <c r="T32" s="176">
        <f t="shared" si="7"/>
        <v>6</v>
      </c>
      <c r="U32" s="251">
        <f t="shared" si="8"/>
        <v>0.4980932090978587</v>
      </c>
      <c r="V32" s="383">
        <f t="shared" si="9"/>
        <v>27.100659193517458</v>
      </c>
      <c r="W32" s="402">
        <f t="shared" si="10"/>
        <v>3.5728385440603487</v>
      </c>
      <c r="X32" s="157">
        <f t="shared" si="11"/>
        <v>44944</v>
      </c>
      <c r="Y32" s="385">
        <f t="shared" si="12"/>
        <v>3.4644025550932143</v>
      </c>
      <c r="Z32" s="385">
        <f t="shared" si="22"/>
        <v>3.5946492617337142</v>
      </c>
      <c r="AA32" s="386">
        <f t="shared" si="13"/>
        <v>3.9114910440198813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8.1002814200629061E-2</v>
      </c>
      <c r="AD32" s="231">
        <f>(INDEX(Models!$BJ32:$BT32,,AH32)*(1-AF32)+INDEX(Models!$BJ32:$BT32,,AH32+1)*AF32-ERP_i)*AE32*Ramure*Pc/MaxiM</f>
        <v>3.6297275644698907E-4</v>
      </c>
      <c r="AE32" s="305">
        <f t="shared" si="15"/>
        <v>0.5</v>
      </c>
      <c r="AF32" s="177">
        <f t="shared" si="23"/>
        <v>0.4980932090978587</v>
      </c>
      <c r="AG32" s="811">
        <f t="shared" si="24"/>
        <v>0</v>
      </c>
      <c r="AH32" s="176">
        <f t="shared" si="16"/>
        <v>6</v>
      </c>
      <c r="AI32" s="225">
        <f t="shared" si="17"/>
        <v>0.4980932090978587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411">
        <f>'2022'!Wh/'2022'!Env_an*'2023'!Env_an</f>
        <v>10.334579523914677</v>
      </c>
      <c r="C33" s="841"/>
      <c r="D33" s="393">
        <f t="shared" si="0"/>
        <v>10.72335034557288</v>
      </c>
      <c r="E33" s="385">
        <f t="shared" si="1"/>
        <v>11.315012669760065</v>
      </c>
      <c r="F33" s="385">
        <f t="shared" si="2"/>
        <v>11.315454280098699</v>
      </c>
      <c r="G33" s="110">
        <f t="shared" si="21"/>
        <v>0.37766786784171391</v>
      </c>
      <c r="H33" s="414" t="b">
        <f>Wh_hp&gt;='2022'!Maxi_hp</f>
        <v>0</v>
      </c>
      <c r="I33" s="390">
        <f>IF(H33,Wh_hp,'2022'!Maxi_hp)</f>
        <v>30.474199442688686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3.625460412367365E-2</v>
      </c>
      <c r="M33" s="845"/>
      <c r="N33" s="845"/>
      <c r="O33" s="48">
        <f>IF(t&lt;Tnet,'2022'!Resal+('2022'!Salim-'2022'!Resal)*(1-EXP(('2022'!Tnet-t)/('2022'!Tau_j))),Resal+(Salim-Resal)*(1-EXP((Tnet-t)/(Tau_j))))*Salcycl</f>
        <v>5.2290027546184926E-2</v>
      </c>
      <c r="P33" s="169">
        <f>(INDEX(Models!$BJ33:$BT33,,T33)*(1-R33)+INDEX(Models!$BJ33:$BT33,,T33+1)*R33-ERP_i)*Q33*Ramure*Pc/MaxiM</f>
        <v>3.5120840366695516E-4</v>
      </c>
      <c r="Q33" s="305">
        <f t="shared" si="4"/>
        <v>0.5</v>
      </c>
      <c r="R33" s="177">
        <f t="shared" si="5"/>
        <v>0.4981517910637196</v>
      </c>
      <c r="S33" s="811">
        <f t="shared" si="6"/>
        <v>0</v>
      </c>
      <c r="T33" s="176">
        <f t="shared" si="7"/>
        <v>6</v>
      </c>
      <c r="U33" s="251">
        <f t="shared" si="8"/>
        <v>0.4981517910637196</v>
      </c>
      <c r="V33" s="383">
        <f t="shared" si="9"/>
        <v>27.35565828096291</v>
      </c>
      <c r="W33" s="402">
        <f t="shared" si="10"/>
        <v>10.334579523914677</v>
      </c>
      <c r="X33" s="157">
        <f t="shared" si="11"/>
        <v>44945</v>
      </c>
      <c r="Y33" s="385">
        <f t="shared" si="12"/>
        <v>10.021198376200015</v>
      </c>
      <c r="Z33" s="385">
        <f t="shared" si="22"/>
        <v>10.398180286078373</v>
      </c>
      <c r="AA33" s="386">
        <f t="shared" si="13"/>
        <v>11.315012669760065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8.1027959087661722E-2</v>
      </c>
      <c r="AD33" s="231">
        <f>(INDEX(Models!$BJ33:$BT33,,AH33)*(1-AF33)+INDEX(Models!$BJ33:$BT33,,AH33+1)*AF33-ERP_i)*AE33*Ramure*Pc/MaxiM</f>
        <v>3.5120840366695516E-4</v>
      </c>
      <c r="AE33" s="305">
        <f t="shared" si="15"/>
        <v>0.5</v>
      </c>
      <c r="AF33" s="177">
        <f t="shared" si="23"/>
        <v>0.4981517910637196</v>
      </c>
      <c r="AG33" s="811">
        <f t="shared" si="24"/>
        <v>0</v>
      </c>
      <c r="AH33" s="176">
        <f t="shared" si="16"/>
        <v>6</v>
      </c>
      <c r="AI33" s="225">
        <f t="shared" si="17"/>
        <v>0.4981517910637196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411">
        <f>'2022'!Wh/'2022'!Env_an*'2023'!Env_an</f>
        <v>6.5012077531882504</v>
      </c>
      <c r="C34" s="841"/>
      <c r="D34" s="393">
        <f t="shared" si="0"/>
        <v>6.7459208389059748</v>
      </c>
      <c r="E34" s="385">
        <f t="shared" si="1"/>
        <v>7.1185177404549655</v>
      </c>
      <c r="F34" s="385">
        <f t="shared" si="2"/>
        <v>7.1185177404549655</v>
      </c>
      <c r="G34" s="110">
        <f t="shared" si="21"/>
        <v>0.23534061874079121</v>
      </c>
      <c r="H34" s="414" t="b">
        <f>Wh_hp&gt;='2022'!Maxi_hp</f>
        <v>0</v>
      </c>
      <c r="I34" s="390">
        <f>IF(H34,Wh_hp,'2022'!Maxi_hp)</f>
        <v>12.344744575403277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3.6275712621230638E-2</v>
      </c>
      <c r="M34" s="845"/>
      <c r="N34" s="845"/>
      <c r="O34" s="48">
        <f>IF(t&lt;Tnet,'2022'!Resal+('2022'!Salim-'2022'!Resal)*(1-EXP(('2022'!Tnet-t)/('2022'!Tau_j))),Resal+(Salim-Resal)*(1-EXP((Tnet-t)/(Tau_j))))*Salcycl</f>
        <v>5.2341922171732495E-2</v>
      </c>
      <c r="P34" s="169">
        <f>(INDEX(Models!$BJ34:$BT34,,T34)*(1-R34)+INDEX(Models!$BJ34:$BT34,,T34+1)*R34-ERP_i)*Q34*Ramure*Pc/MaxiM</f>
        <v>3.3911637763640493E-4</v>
      </c>
      <c r="Q34" s="305">
        <f t="shared" si="4"/>
        <v>0.5</v>
      </c>
      <c r="R34" s="177">
        <f t="shared" si="5"/>
        <v>0.49821281604376222</v>
      </c>
      <c r="S34" s="811">
        <f t="shared" si="6"/>
        <v>0</v>
      </c>
      <c r="T34" s="176">
        <f t="shared" si="7"/>
        <v>6</v>
      </c>
      <c r="U34" s="251">
        <f t="shared" si="8"/>
        <v>0.49821281604376222</v>
      </c>
      <c r="V34" s="383">
        <f t="shared" si="9"/>
        <v>27.615305517331276</v>
      </c>
      <c r="W34" s="402">
        <f t="shared" si="10"/>
        <v>6.5012077531882504</v>
      </c>
      <c r="X34" s="157">
        <f t="shared" si="11"/>
        <v>44946</v>
      </c>
      <c r="Y34" s="385">
        <f t="shared" si="12"/>
        <v>6.3042402023265085</v>
      </c>
      <c r="Z34" s="385">
        <f t="shared" si="22"/>
        <v>6.5415391983877376</v>
      </c>
      <c r="AA34" s="386">
        <f t="shared" si="13"/>
        <v>7.1185177404549655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8.1053185944627862E-2</v>
      </c>
      <c r="AD34" s="231">
        <f>(INDEX(Models!$BJ34:$BT34,,AH34)*(1-AF34)+INDEX(Models!$BJ34:$BT34,,AH34+1)*AF34-ERP_i)*AE34*Ramure*Pc/MaxiM</f>
        <v>3.3911637763640493E-4</v>
      </c>
      <c r="AE34" s="305">
        <f t="shared" si="15"/>
        <v>0.5</v>
      </c>
      <c r="AF34" s="177">
        <f t="shared" si="23"/>
        <v>0.49821281604376222</v>
      </c>
      <c r="AG34" s="811">
        <f t="shared" si="24"/>
        <v>0</v>
      </c>
      <c r="AH34" s="176">
        <f t="shared" si="16"/>
        <v>6</v>
      </c>
      <c r="AI34" s="225">
        <f t="shared" si="17"/>
        <v>0.49821281604376222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411">
        <f>'2022'!Wh/'2022'!Env_an*'2023'!Env_an</f>
        <v>20.766392580673134</v>
      </c>
      <c r="C35" s="841"/>
      <c r="D35" s="393">
        <f t="shared" si="0"/>
        <v>21.548535924535219</v>
      </c>
      <c r="E35" s="385">
        <f t="shared" si="1"/>
        <v>22.739970260599613</v>
      </c>
      <c r="F35" s="385">
        <f t="shared" si="2"/>
        <v>22.744692873039817</v>
      </c>
      <c r="G35" s="110">
        <f t="shared" si="21"/>
        <v>0.7447768169066219</v>
      </c>
      <c r="H35" s="414" t="b">
        <f>Wh_hp&gt;='2022'!Maxi_hp</f>
        <v>0</v>
      </c>
      <c r="I35" s="390">
        <f>IF(H35,Wh_hp,'2022'!Maxi_hp)</f>
        <v>22.745493436016041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3.6296820656457451E-2</v>
      </c>
      <c r="M35" s="845"/>
      <c r="N35" s="845"/>
      <c r="O35" s="48">
        <f>IF(t&lt;Tnet,'2022'!Resal+('2022'!Salim-'2022'!Resal)*(1-EXP(('2022'!Tnet-t)/('2022'!Tau_j))),Resal+(Salim-Resal)*(1-EXP((Tnet-t)/(Tau_j))))*Salcycl</f>
        <v>5.2393838796206856E-2</v>
      </c>
      <c r="P35" s="169">
        <f>(INDEX(Models!$BJ35:$BT35,,T35)*(1-R35)+INDEX(Models!$BJ35:$BT35,,T35+1)*R35-ERP_i)*Q35*Ramure*Pc/MaxiM</f>
        <v>3.2671683197140345E-4</v>
      </c>
      <c r="Q35" s="305">
        <f t="shared" si="4"/>
        <v>0.5</v>
      </c>
      <c r="R35" s="177">
        <f t="shared" si="5"/>
        <v>0.49827638528099844</v>
      </c>
      <c r="S35" s="811">
        <f t="shared" si="6"/>
        <v>0</v>
      </c>
      <c r="T35" s="176">
        <f t="shared" si="7"/>
        <v>6</v>
      </c>
      <c r="U35" s="251">
        <f t="shared" si="8"/>
        <v>0.49827638528099844</v>
      </c>
      <c r="V35" s="383">
        <f t="shared" si="9"/>
        <v>27.879384417247305</v>
      </c>
      <c r="W35" s="402">
        <f t="shared" si="10"/>
        <v>20.766392580673134</v>
      </c>
      <c r="X35" s="157">
        <f t="shared" si="11"/>
        <v>44947</v>
      </c>
      <c r="Y35" s="385">
        <f t="shared" si="12"/>
        <v>20.137780257493123</v>
      </c>
      <c r="Z35" s="385">
        <f t="shared" si="22"/>
        <v>20.896247609363105</v>
      </c>
      <c r="AA35" s="386">
        <f t="shared" si="13"/>
        <v>22.739970260599613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8.1078498789025899E-2</v>
      </c>
      <c r="AD35" s="231">
        <f>(INDEX(Models!$BJ35:$BT35,,AH35)*(1-AF35)+INDEX(Models!$BJ35:$BT35,,AH35+1)*AF35-ERP_i)*AE35*Ramure*Pc/MaxiM</f>
        <v>3.2671683197140345E-4</v>
      </c>
      <c r="AE35" s="305">
        <f t="shared" si="15"/>
        <v>0.5</v>
      </c>
      <c r="AF35" s="177">
        <f t="shared" si="23"/>
        <v>0.49827638528099844</v>
      </c>
      <c r="AG35" s="811">
        <f t="shared" si="24"/>
        <v>0</v>
      </c>
      <c r="AH35" s="176">
        <f t="shared" si="16"/>
        <v>6</v>
      </c>
      <c r="AI35" s="225">
        <f t="shared" si="17"/>
        <v>0.49827638528099844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411">
        <f>'2022'!Wh/'2022'!Env_an*'2023'!Env_an</f>
        <v>28.020063548102453</v>
      </c>
      <c r="C36" s="841"/>
      <c r="D36" s="393">
        <f t="shared" si="0"/>
        <v>29.076045273540643</v>
      </c>
      <c r="E36" s="385">
        <f t="shared" si="1"/>
        <v>30.685363078567978</v>
      </c>
      <c r="F36" s="385">
        <f t="shared" si="2"/>
        <v>30.694939703875086</v>
      </c>
      <c r="G36" s="110">
        <f t="shared" si="21"/>
        <v>0.99546420616090336</v>
      </c>
      <c r="H36" s="414" t="b">
        <f>Wh_hp&gt;='2022'!Maxi_hp</f>
        <v>0</v>
      </c>
      <c r="I36" s="390">
        <f>IF(H36,Wh_hp,'2022'!Maxi_hp)</f>
        <v>30.694958235093285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3.6317928229364083E-2</v>
      </c>
      <c r="M36" s="845"/>
      <c r="N36" s="845"/>
      <c r="O36" s="48">
        <f>IF(t&lt;Tnet,'2022'!Resal+('2022'!Salim-'2022'!Resal)*(1-EXP(('2022'!Tnet-t)/('2022'!Tau_j))),Resal+(Salim-Resal)*(1-EXP((Tnet-t)/(Tau_j))))*Salcycl</f>
        <v>5.2445780123467234E-2</v>
      </c>
      <c r="P36" s="169">
        <f>(INDEX(Models!$BJ36:$BT36,,T36)*(1-R36)+INDEX(Models!$BJ36:$BT36,,T36+1)*R36-ERP_i)*Q36*Ramure*Pc/MaxiM</f>
        <v>3.1402751571672549E-4</v>
      </c>
      <c r="Q36" s="305">
        <f t="shared" si="4"/>
        <v>0.5</v>
      </c>
      <c r="R36" s="177">
        <f t="shared" si="5"/>
        <v>0.49834260415978049</v>
      </c>
      <c r="S36" s="811">
        <f t="shared" si="6"/>
        <v>0</v>
      </c>
      <c r="T36" s="176">
        <f t="shared" si="7"/>
        <v>6</v>
      </c>
      <c r="U36" s="251">
        <f t="shared" si="8"/>
        <v>0.49834260415978049</v>
      </c>
      <c r="V36" s="383">
        <f t="shared" si="9"/>
        <v>28.147678607599691</v>
      </c>
      <c r="W36" s="402">
        <f t="shared" si="10"/>
        <v>28.020063548102453</v>
      </c>
      <c r="X36" s="157">
        <f t="shared" si="11"/>
        <v>44948</v>
      </c>
      <c r="Y36" s="385">
        <f t="shared" si="12"/>
        <v>27.172616123883955</v>
      </c>
      <c r="Z36" s="385">
        <f t="shared" si="22"/>
        <v>28.196660413073719</v>
      </c>
      <c r="AA36" s="386">
        <f t="shared" si="13"/>
        <v>30.685363078567978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8.1103901528624248E-2</v>
      </c>
      <c r="AD36" s="231">
        <f>(INDEX(Models!$BJ36:$BT36,,AH36)*(1-AF36)+INDEX(Models!$BJ36:$BT36,,AH36+1)*AF36-ERP_i)*AE36*Ramure*Pc/MaxiM</f>
        <v>3.1402751571672549E-4</v>
      </c>
      <c r="AE36" s="305">
        <f t="shared" si="15"/>
        <v>0.5</v>
      </c>
      <c r="AF36" s="177">
        <f t="shared" si="23"/>
        <v>0.49834260415978049</v>
      </c>
      <c r="AG36" s="811">
        <f t="shared" si="24"/>
        <v>0</v>
      </c>
      <c r="AH36" s="176">
        <f t="shared" si="16"/>
        <v>6</v>
      </c>
      <c r="AI36" s="225">
        <f t="shared" si="17"/>
        <v>0.49834260415978049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411">
        <f>'2022'!Wh/'2022'!Env_an*'2023'!Env_an</f>
        <v>28.085224096478658</v>
      </c>
      <c r="C37" s="841"/>
      <c r="D37" s="393">
        <f t="shared" si="0"/>
        <v>29.144299838259581</v>
      </c>
      <c r="E37" s="385">
        <f t="shared" si="1"/>
        <v>30.759082417346303</v>
      </c>
      <c r="F37" s="385">
        <f t="shared" si="2"/>
        <v>30.768187705514805</v>
      </c>
      <c r="G37" s="110">
        <f t="shared" si="21"/>
        <v>0.98812379257200678</v>
      </c>
      <c r="H37" s="414" t="b">
        <f>Wh_hp&gt;='2022'!Maxi_hp</f>
        <v>0</v>
      </c>
      <c r="I37" s="390">
        <f>IF(H37,Wh_hp,'2022'!Maxi_hp)</f>
        <v>30.768234513818296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3.6339035339960635E-2</v>
      </c>
      <c r="M37" s="845"/>
      <c r="N37" s="845"/>
      <c r="O37" s="48">
        <f>IF(t&lt;Tnet,'2022'!Resal+('2022'!Salim-'2022'!Resal)*(1-EXP(('2022'!Tnet-t)/('2022'!Tau_j))),Resal+(Salim-Resal)*(1-EXP((Tnet-t)/(Tau_j))))*Salcycl</f>
        <v>5.2497748703195374E-2</v>
      </c>
      <c r="P37" s="169">
        <f>(INDEX(Models!$BJ37:$BT37,,T37)*(1-R37)+INDEX(Models!$BJ37:$BT37,,T37+1)*R37-ERP_i)*Q37*Ramure*Pc/MaxiM</f>
        <v>3.0103712642383693E-4</v>
      </c>
      <c r="Q37" s="305">
        <f t="shared" si="4"/>
        <v>0.5</v>
      </c>
      <c r="R37" s="177">
        <f t="shared" si="5"/>
        <v>0.49841158237055783</v>
      </c>
      <c r="S37" s="811">
        <f t="shared" si="6"/>
        <v>0</v>
      </c>
      <c r="T37" s="176">
        <f t="shared" si="7"/>
        <v>6</v>
      </c>
      <c r="U37" s="251">
        <f t="shared" si="8"/>
        <v>0.49841158237055783</v>
      </c>
      <c r="V37" s="383">
        <f t="shared" si="9"/>
        <v>28.422633766799276</v>
      </c>
      <c r="W37" s="402">
        <f t="shared" si="10"/>
        <v>28.085224096478658</v>
      </c>
      <c r="X37" s="157">
        <f t="shared" si="11"/>
        <v>44949</v>
      </c>
      <c r="Y37" s="385">
        <f t="shared" si="12"/>
        <v>27.236544021380393</v>
      </c>
      <c r="Z37" s="385">
        <f t="shared" si="22"/>
        <v>28.263616583233617</v>
      </c>
      <c r="AA37" s="386">
        <f t="shared" si="13"/>
        <v>30.759082417346303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8.1129397823174035E-2</v>
      </c>
      <c r="AD37" s="231">
        <f>(INDEX(Models!$BJ37:$BT37,,AH37)*(1-AF37)+INDEX(Models!$BJ37:$BT37,,AH37+1)*AF37-ERP_i)*AE37*Ramure*Pc/MaxiM</f>
        <v>3.0103712642383693E-4</v>
      </c>
      <c r="AE37" s="305">
        <f t="shared" si="15"/>
        <v>0.5</v>
      </c>
      <c r="AF37" s="177">
        <f t="shared" si="23"/>
        <v>0.49841158237055783</v>
      </c>
      <c r="AG37" s="811">
        <f t="shared" si="24"/>
        <v>0</v>
      </c>
      <c r="AH37" s="176">
        <f t="shared" si="16"/>
        <v>6</v>
      </c>
      <c r="AI37" s="225">
        <f t="shared" si="17"/>
        <v>0.49841158237055783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411">
        <f>'2022'!Wh/'2022'!Env_an*'2023'!Env_an</f>
        <v>28.716966413951067</v>
      </c>
      <c r="C38" s="841"/>
      <c r="D38" s="393">
        <f t="shared" si="0"/>
        <v>29.800517460124748</v>
      </c>
      <c r="E38" s="385">
        <f t="shared" si="1"/>
        <v>31.453384872701548</v>
      </c>
      <c r="F38" s="385">
        <f t="shared" si="2"/>
        <v>31.46244680579083</v>
      </c>
      <c r="G38" s="110">
        <f t="shared" si="21"/>
        <v>1.0003758637461395</v>
      </c>
      <c r="H38" s="414" t="b">
        <f>Wh_hp&gt;='2022'!Maxi_hp</f>
        <v>1</v>
      </c>
      <c r="I38" s="390">
        <f>IF(H38,Wh_hp,'2022'!Maxi_hp)</f>
        <v>31.46244680579083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3.6360141988257433E-2</v>
      </c>
      <c r="M38" s="845"/>
      <c r="N38" s="845"/>
      <c r="O38" s="48">
        <f>IF(t&lt;Tnet,'2022'!Resal+('2022'!Salim-'2022'!Resal)*(1-EXP(('2022'!Tnet-t)/('2022'!Tau_j))),Resal+(Salim-Resal)*(1-EXP((Tnet-t)/(Tau_j))))*Salcycl</f>
        <v>5.2549746848115121E-2</v>
      </c>
      <c r="P38" s="169">
        <f>(INDEX(Models!$BJ38:$BT38,,T38)*(1-R38)+INDEX(Models!$BJ38:$BT38,,T38+1)*R38-ERP_i)*Q38*Ramure*Pc/MaxiM</f>
        <v>2.8802378738115896E-4</v>
      </c>
      <c r="Q38" s="305">
        <f t="shared" si="4"/>
        <v>0.5</v>
      </c>
      <c r="R38" s="177">
        <f t="shared" si="5"/>
        <v>0.49848343408078727</v>
      </c>
      <c r="S38" s="811">
        <f t="shared" si="6"/>
        <v>0</v>
      </c>
      <c r="T38" s="176">
        <f t="shared" si="7"/>
        <v>6</v>
      </c>
      <c r="U38" s="251">
        <f t="shared" si="8"/>
        <v>0.49848343408078727</v>
      </c>
      <c r="V38" s="383">
        <f t="shared" si="9"/>
        <v>28.706176802800623</v>
      </c>
      <c r="W38" s="402">
        <f t="shared" si="10"/>
        <v>28.716966413951067</v>
      </c>
      <c r="X38" s="157">
        <f t="shared" si="11"/>
        <v>44950</v>
      </c>
      <c r="Y38" s="385">
        <f t="shared" si="12"/>
        <v>27.849949035869546</v>
      </c>
      <c r="Z38" s="385">
        <f t="shared" si="22"/>
        <v>28.9007857077765</v>
      </c>
      <c r="AA38" s="386">
        <f t="shared" si="13"/>
        <v>31.453384872701548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8.1154990957442386E-2</v>
      </c>
      <c r="AD38" s="231">
        <f>(INDEX(Models!$BJ38:$BT38,,AH38)*(1-AF38)+INDEX(Models!$BJ38:$BT38,,AH38+1)*AF38-ERP_i)*AE38*Ramure*Pc/MaxiM</f>
        <v>2.8802378738115896E-4</v>
      </c>
      <c r="AE38" s="305">
        <f t="shared" si="15"/>
        <v>0.5</v>
      </c>
      <c r="AF38" s="177">
        <f t="shared" si="23"/>
        <v>0.49848343408078727</v>
      </c>
      <c r="AG38" s="811">
        <f t="shared" si="24"/>
        <v>0</v>
      </c>
      <c r="AH38" s="176">
        <f t="shared" si="16"/>
        <v>6</v>
      </c>
      <c r="AI38" s="225">
        <f t="shared" si="17"/>
        <v>0.49848343408078727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411">
        <f>'2022'!Wh/'2022'!Env_an*'2023'!Env_an</f>
        <v>27.349740531211538</v>
      </c>
      <c r="C39" s="841"/>
      <c r="D39" s="393">
        <f t="shared" si="0"/>
        <v>28.38232493856405</v>
      </c>
      <c r="E39" s="385">
        <f t="shared" si="1"/>
        <v>29.95817834181257</v>
      </c>
      <c r="F39" s="385">
        <f t="shared" si="2"/>
        <v>29.965762571226904</v>
      </c>
      <c r="G39" s="110">
        <f t="shared" si="21"/>
        <v>0.94316081221940751</v>
      </c>
      <c r="H39" s="414" t="b">
        <f>Wh_hp&gt;='2022'!Maxi_hp</f>
        <v>0</v>
      </c>
      <c r="I39" s="390">
        <f>IF(H39,Wh_hp,'2022'!Maxi_hp)</f>
        <v>29.965963471414504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3.6381248174264358E-2</v>
      </c>
      <c r="M39" s="845"/>
      <c r="N39" s="845"/>
      <c r="O39" s="48">
        <f>IF(t&lt;Tnet,'2022'!Resal+('2022'!Salim-'2022'!Resal)*(1-EXP(('2022'!Tnet-t)/('2022'!Tau_j))),Resal+(Salim-Resal)*(1-EXP((Tnet-t)/(Tau_j))))*Salcycl</f>
        <v>5.2601776558927241E-2</v>
      </c>
      <c r="P39" s="169">
        <f>(INDEX(Models!$BJ39:$BT39,,T39)*(1-R39)+INDEX(Models!$BJ39:$BT39,,T39+1)*R39-ERP_i)*Q39*Ramure*Pc/MaxiM</f>
        <v>2.7545480294619831E-4</v>
      </c>
      <c r="Q39" s="305">
        <f t="shared" si="4"/>
        <v>0.5</v>
      </c>
      <c r="R39" s="177">
        <f t="shared" si="5"/>
        <v>0.4985582781121955</v>
      </c>
      <c r="S39" s="811">
        <f t="shared" si="6"/>
        <v>0</v>
      </c>
      <c r="T39" s="176">
        <f t="shared" si="7"/>
        <v>6</v>
      </c>
      <c r="U39" s="251">
        <f t="shared" si="8"/>
        <v>0.4985582781121955</v>
      </c>
      <c r="V39" s="383">
        <f t="shared" si="9"/>
        <v>28.997312577131446</v>
      </c>
      <c r="W39" s="402">
        <f t="shared" si="10"/>
        <v>27.349740531211538</v>
      </c>
      <c r="X39" s="157">
        <f t="shared" si="11"/>
        <v>44951</v>
      </c>
      <c r="Y39" s="385">
        <f t="shared" si="12"/>
        <v>26.524717139396294</v>
      </c>
      <c r="Z39" s="385">
        <f t="shared" si="22"/>
        <v>27.526152940818985</v>
      </c>
      <c r="AA39" s="386">
        <f t="shared" si="13"/>
        <v>29.95817834181257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8.1180683726660749E-2</v>
      </c>
      <c r="AD39" s="231">
        <f>(INDEX(Models!$BJ39:$BT39,,AH39)*(1-AF39)+INDEX(Models!$BJ39:$BT39,,AH39+1)*AF39-ERP_i)*AE39*Ramure*Pc/MaxiM</f>
        <v>2.7545480294619831E-4</v>
      </c>
      <c r="AE39" s="305">
        <f t="shared" si="15"/>
        <v>0.5</v>
      </c>
      <c r="AF39" s="177">
        <f t="shared" si="23"/>
        <v>0.4985582781121955</v>
      </c>
      <c r="AG39" s="811">
        <f t="shared" si="24"/>
        <v>0</v>
      </c>
      <c r="AH39" s="176">
        <f t="shared" si="16"/>
        <v>6</v>
      </c>
      <c r="AI39" s="225">
        <f t="shared" si="17"/>
        <v>0.4985582781121955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411">
        <f>'2022'!Wh/'2022'!Env_an*'2023'!Env_an</f>
        <v>28.326078930676609</v>
      </c>
      <c r="C40" s="841"/>
      <c r="D40" s="393">
        <f t="shared" si="0"/>
        <v>29.396168665690116</v>
      </c>
      <c r="E40" s="385">
        <f t="shared" si="1"/>
        <v>31.030018265825618</v>
      </c>
      <c r="F40" s="385">
        <f t="shared" si="2"/>
        <v>31.037805423354605</v>
      </c>
      <c r="G40" s="110">
        <f t="shared" si="21"/>
        <v>0.96691138946848965</v>
      </c>
      <c r="H40" s="414" t="b">
        <f>Wh_hp&gt;='2022'!Maxi_hp</f>
        <v>0</v>
      </c>
      <c r="I40" s="390">
        <f>IF(H40,Wh_hp,'2022'!Maxi_hp)</f>
        <v>31.037921449908918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3.6402353897991735E-2</v>
      </c>
      <c r="M40" s="845"/>
      <c r="N40" s="845"/>
      <c r="O40" s="48">
        <f>IF(t&lt;Tnet,'2022'!Resal+('2022'!Salim-'2022'!Resal)*(1-EXP(('2022'!Tnet-t)/('2022'!Tau_j))),Resal+(Salim-Resal)*(1-EXP((Tnet-t)/(Tau_j))))*Salcycl</f>
        <v>5.2653839457610471E-2</v>
      </c>
      <c r="P40" s="169">
        <f>(INDEX(Models!$BJ40:$BT40,,T40)*(1-R40)+INDEX(Models!$BJ40:$BT40,,T40+1)*R40-ERP_i)*Q40*Ramure*Pc/MaxiM</f>
        <v>2.6333587166922498E-4</v>
      </c>
      <c r="Q40" s="305">
        <f t="shared" si="4"/>
        <v>0.5</v>
      </c>
      <c r="R40" s="177">
        <f t="shared" si="5"/>
        <v>0.49863623812458818</v>
      </c>
      <c r="S40" s="811">
        <f t="shared" si="6"/>
        <v>0</v>
      </c>
      <c r="T40" s="176">
        <f t="shared" si="7"/>
        <v>6</v>
      </c>
      <c r="U40" s="251">
        <f t="shared" si="8"/>
        <v>0.49863623812458818</v>
      </c>
      <c r="V40" s="383">
        <f t="shared" si="9"/>
        <v>29.29505917844903</v>
      </c>
      <c r="W40" s="402">
        <f t="shared" si="10"/>
        <v>28.326078930676609</v>
      </c>
      <c r="X40" s="157">
        <f t="shared" si="11"/>
        <v>44952</v>
      </c>
      <c r="Y40" s="385">
        <f t="shared" si="12"/>
        <v>27.472342106466133</v>
      </c>
      <c r="Z40" s="385">
        <f t="shared" si="22"/>
        <v>28.510179759776893</v>
      </c>
      <c r="AA40" s="386">
        <f t="shared" si="13"/>
        <v>31.030018265825618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8.1206478335331983E-2</v>
      </c>
      <c r="AD40" s="231">
        <f>(INDEX(Models!$BJ40:$BT40,,AH40)*(1-AF40)+INDEX(Models!$BJ40:$BT40,,AH40+1)*AF40-ERP_i)*AE40*Ramure*Pc/MaxiM</f>
        <v>2.6333587166922498E-4</v>
      </c>
      <c r="AE40" s="305">
        <f t="shared" si="15"/>
        <v>0.5</v>
      </c>
      <c r="AF40" s="177">
        <f t="shared" si="23"/>
        <v>0.49863623812458818</v>
      </c>
      <c r="AG40" s="811">
        <f t="shared" si="24"/>
        <v>0</v>
      </c>
      <c r="AH40" s="176">
        <f t="shared" si="16"/>
        <v>6</v>
      </c>
      <c r="AI40" s="225">
        <f t="shared" si="17"/>
        <v>0.49863623812458818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411">
        <f>'2022'!Wh/'2022'!Env_an*'2023'!Env_an</f>
        <v>26.392184276342391</v>
      </c>
      <c r="C41" s="841"/>
      <c r="D41" s="393">
        <f t="shared" si="0"/>
        <v>27.38981612536962</v>
      </c>
      <c r="E41" s="385">
        <f t="shared" si="1"/>
        <v>28.91374198082827</v>
      </c>
      <c r="F41" s="385">
        <f t="shared" si="2"/>
        <v>28.919893941458771</v>
      </c>
      <c r="G41" s="110">
        <f t="shared" si="21"/>
        <v>0.89164025649277134</v>
      </c>
      <c r="H41" s="414" t="b">
        <f>Wh_hp&gt;='2022'!Maxi_hp</f>
        <v>0</v>
      </c>
      <c r="I41" s="390">
        <f>IF(H41,Wh_hp,'2022'!Maxi_hp)</f>
        <v>28.920232617261767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3.6423459159449445E-2</v>
      </c>
      <c r="M41" s="845"/>
      <c r="N41" s="845"/>
      <c r="O41" s="48">
        <f>IF(t&lt;Tnet,'2022'!Resal+('2022'!Salim-'2022'!Resal)*(1-EXP(('2022'!Tnet-t)/('2022'!Tau_j))),Resal+(Salim-Resal)*(1-EXP((Tnet-t)/(Tau_j))))*Salcycl</f>
        <v>5.2705936729639316E-2</v>
      </c>
      <c r="P41" s="169">
        <f>(INDEX(Models!$BJ41:$BT41,,T41)*(1-R41)+INDEX(Models!$BJ41:$BT41,,T41+1)*R41-ERP_i)*Q41*Ramure*Pc/MaxiM</f>
        <v>2.5167013307705101E-4</v>
      </c>
      <c r="Q41" s="305">
        <f t="shared" si="4"/>
        <v>0.5</v>
      </c>
      <c r="R41" s="177">
        <f t="shared" si="5"/>
        <v>0.49871744280640995</v>
      </c>
      <c r="S41" s="811">
        <f t="shared" si="6"/>
        <v>0</v>
      </c>
      <c r="T41" s="176">
        <f t="shared" si="7"/>
        <v>6</v>
      </c>
      <c r="U41" s="251">
        <f t="shared" si="8"/>
        <v>0.49871744280640995</v>
      </c>
      <c r="V41" s="383">
        <f t="shared" si="9"/>
        <v>29.598435015255689</v>
      </c>
      <c r="W41" s="402">
        <f t="shared" si="10"/>
        <v>26.392184276342391</v>
      </c>
      <c r="X41" s="157">
        <f t="shared" si="11"/>
        <v>44953</v>
      </c>
      <c r="Y41" s="385">
        <f t="shared" si="12"/>
        <v>25.597420454474459</v>
      </c>
      <c r="Z41" s="385">
        <f t="shared" si="22"/>
        <v>26.565010011706207</v>
      </c>
      <c r="AA41" s="386">
        <f t="shared" si="13"/>
        <v>28.91374198082827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8.1232376310178989E-2</v>
      </c>
      <c r="AD41" s="231">
        <f>(INDEX(Models!$BJ41:$BT41,,AH41)*(1-AF41)+INDEX(Models!$BJ41:$BT41,,AH41+1)*AF41-ERP_i)*AE41*Ramure*Pc/MaxiM</f>
        <v>2.5167013307705101E-4</v>
      </c>
      <c r="AE41" s="305">
        <f t="shared" si="15"/>
        <v>0.5</v>
      </c>
      <c r="AF41" s="177">
        <f t="shared" si="23"/>
        <v>0.49871744280640995</v>
      </c>
      <c r="AG41" s="811">
        <f t="shared" si="24"/>
        <v>0</v>
      </c>
      <c r="AH41" s="176">
        <f t="shared" si="16"/>
        <v>6</v>
      </c>
      <c r="AI41" s="225">
        <f t="shared" si="17"/>
        <v>0.49871744280640995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411">
        <f>'2022'!Wh/'2022'!Env_an*'2023'!Env_an</f>
        <v>4.3109326255793743</v>
      </c>
      <c r="C42" s="841"/>
      <c r="D42" s="393">
        <f t="shared" si="0"/>
        <v>4.4739850602579816</v>
      </c>
      <c r="E42" s="385">
        <f t="shared" si="1"/>
        <v>4.7231704110603712</v>
      </c>
      <c r="F42" s="385">
        <f t="shared" si="2"/>
        <v>4.7231704110603712</v>
      </c>
      <c r="G42" s="110">
        <f t="shared" si="21"/>
        <v>0.14411254951422575</v>
      </c>
      <c r="H42" s="414" t="b">
        <f>Wh_hp&gt;='2022'!Maxi_hp</f>
        <v>0</v>
      </c>
      <c r="I42" s="390">
        <f>IF(H42,Wh_hp,'2022'!Maxi_hp)</f>
        <v>18.517028420857695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3.6444563958647924E-2</v>
      </c>
      <c r="M42" s="845"/>
      <c r="N42" s="845"/>
      <c r="O42" s="48">
        <f>IF(t&lt;Tnet,'2022'!Resal+('2022'!Salim-'2022'!Resal)*(1-EXP(('2022'!Tnet-t)/('2022'!Tau_j))),Resal+(Salim-Resal)*(1-EXP((Tnet-t)/(Tau_j))))*Salcycl</f>
        <v>5.2758069075565302E-2</v>
      </c>
      <c r="P42" s="169">
        <f>(INDEX(Models!$BJ42:$BT42,,T42)*(1-R42)+INDEX(Models!$BJ42:$BT42,,T42+1)*R42-ERP_i)*Q42*Ramure*Pc/MaxiM</f>
        <v>2.4045844307590109E-4</v>
      </c>
      <c r="Q42" s="305">
        <f t="shared" si="4"/>
        <v>0.5</v>
      </c>
      <c r="R42" s="177">
        <f t="shared" si="5"/>
        <v>0.49880202607225588</v>
      </c>
      <c r="S42" s="811">
        <f t="shared" si="6"/>
        <v>0</v>
      </c>
      <c r="T42" s="176">
        <f t="shared" si="7"/>
        <v>6</v>
      </c>
      <c r="U42" s="251">
        <f t="shared" si="8"/>
        <v>0.49880202607225588</v>
      </c>
      <c r="V42" s="383">
        <f t="shared" si="9"/>
        <v>29.906458805702975</v>
      </c>
      <c r="W42" s="402">
        <f t="shared" si="10"/>
        <v>4.3109326255793743</v>
      </c>
      <c r="X42" s="157">
        <f t="shared" si="11"/>
        <v>44954</v>
      </c>
      <c r="Y42" s="385">
        <f t="shared" si="12"/>
        <v>4.1812266767453901</v>
      </c>
      <c r="Z42" s="385">
        <f t="shared" si="22"/>
        <v>4.3393732424191809</v>
      </c>
      <c r="AA42" s="386">
        <f t="shared" si="13"/>
        <v>4.7231704110603712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8.1258378427854772E-2</v>
      </c>
      <c r="AD42" s="231">
        <f>(INDEX(Models!$BJ42:$BT42,,AH42)*(1-AF42)+INDEX(Models!$BJ42:$BT42,,AH42+1)*AF42-ERP_i)*AE42*Ramure*Pc/MaxiM</f>
        <v>2.4045844307590109E-4</v>
      </c>
      <c r="AE42" s="305">
        <f t="shared" si="15"/>
        <v>0.5</v>
      </c>
      <c r="AF42" s="177">
        <f t="shared" si="23"/>
        <v>0.49880202607225588</v>
      </c>
      <c r="AG42" s="811">
        <f t="shared" si="24"/>
        <v>0</v>
      </c>
      <c r="AH42" s="176">
        <f t="shared" si="16"/>
        <v>6</v>
      </c>
      <c r="AI42" s="225">
        <f t="shared" si="17"/>
        <v>0.49880202607225588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411">
        <f>'2022'!Wh/'2022'!Env_an*'2023'!Env_an</f>
        <v>9.4531311607281054</v>
      </c>
      <c r="C43" s="841"/>
      <c r="D43" s="393">
        <f t="shared" si="0"/>
        <v>9.8108918900755651</v>
      </c>
      <c r="E43" s="385">
        <f t="shared" si="1"/>
        <v>10.3578947639886</v>
      </c>
      <c r="F43" s="385">
        <f t="shared" si="2"/>
        <v>10.357938370181108</v>
      </c>
      <c r="G43" s="110">
        <f t="shared" si="21"/>
        <v>0.31275904366863927</v>
      </c>
      <c r="H43" s="414" t="b">
        <f>Wh_hp&gt;='2022'!Maxi_hp</f>
        <v>0</v>
      </c>
      <c r="I43" s="390">
        <f>IF(H43,Wh_hp,'2022'!Maxi_hp)</f>
        <v>20.355528257182332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3.6465668295597053E-2</v>
      </c>
      <c r="M43" s="845"/>
      <c r="N43" s="845"/>
      <c r="O43" s="48">
        <f>IF(t&lt;Tnet,'2022'!Resal+('2022'!Salim-'2022'!Resal)*(1-EXP(('2022'!Tnet-t)/('2022'!Tau_j))),Resal+(Salim-Resal)*(1-EXP((Tnet-t)/(Tau_j))))*Salcycl</f>
        <v>5.2810236672301877E-2</v>
      </c>
      <c r="P43" s="169">
        <f>(INDEX(Models!$BJ43:$BT43,,T43)*(1-R43)+INDEX(Models!$BJ43:$BT43,,T43+1)*R43-ERP_i)*Q43*Ramure*Pc/MaxiM</f>
        <v>2.2969964113206474E-4</v>
      </c>
      <c r="Q43" s="305">
        <f t="shared" si="4"/>
        <v>0.5</v>
      </c>
      <c r="R43" s="177">
        <f t="shared" si="5"/>
        <v>0.49889012726754117</v>
      </c>
      <c r="S43" s="811">
        <f t="shared" si="6"/>
        <v>0</v>
      </c>
      <c r="T43" s="176">
        <f t="shared" si="7"/>
        <v>6</v>
      </c>
      <c r="U43" s="251">
        <f t="shared" si="8"/>
        <v>0.49889012726754117</v>
      </c>
      <c r="V43" s="383">
        <f t="shared" si="9"/>
        <v>30.218149592342137</v>
      </c>
      <c r="W43" s="402">
        <f t="shared" si="10"/>
        <v>9.4531311607281054</v>
      </c>
      <c r="X43" s="157">
        <f t="shared" si="11"/>
        <v>44955</v>
      </c>
      <c r="Y43" s="385">
        <f t="shared" si="12"/>
        <v>9.1689528351885858</v>
      </c>
      <c r="Z43" s="385">
        <f t="shared" si="22"/>
        <v>9.5159586259573725</v>
      </c>
      <c r="AA43" s="386">
        <f t="shared" si="13"/>
        <v>10.3578947639886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8.1284484657866654E-2</v>
      </c>
      <c r="AD43" s="231">
        <f>(INDEX(Models!$BJ43:$BT43,,AH43)*(1-AF43)+INDEX(Models!$BJ43:$BT43,,AH43+1)*AF43-ERP_i)*AE43*Ramure*Pc/MaxiM</f>
        <v>2.2969964113206474E-4</v>
      </c>
      <c r="AE43" s="305">
        <f t="shared" si="15"/>
        <v>0.5</v>
      </c>
      <c r="AF43" s="177">
        <f t="shared" si="23"/>
        <v>0.49889012726754117</v>
      </c>
      <c r="AG43" s="811">
        <f t="shared" si="24"/>
        <v>0</v>
      </c>
      <c r="AH43" s="176">
        <f t="shared" si="16"/>
        <v>6</v>
      </c>
      <c r="AI43" s="225">
        <f t="shared" si="17"/>
        <v>0.49889012726754117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411">
        <f>'2022'!Wh/'2022'!Env_an*'2023'!Env_an</f>
        <v>4.4964187424753419</v>
      </c>
      <c r="C44" s="841"/>
      <c r="D44" s="393">
        <f t="shared" si="0"/>
        <v>4.6666912426345144</v>
      </c>
      <c r="E44" s="385">
        <f t="shared" si="1"/>
        <v>4.9271525441548034</v>
      </c>
      <c r="F44" s="385">
        <f t="shared" si="2"/>
        <v>4.9271525441548034</v>
      </c>
      <c r="G44" s="110">
        <f t="shared" si="21"/>
        <v>0.14723420398793249</v>
      </c>
      <c r="H44" s="414" t="b">
        <f>Wh_hp&gt;='2022'!Maxi_hp</f>
        <v>0</v>
      </c>
      <c r="I44" s="390">
        <f>IF(H44,Wh_hp,'2022'!Maxi_hp)</f>
        <v>12.271638358981564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3.6486772170307047E-2</v>
      </c>
      <c r="M44" s="845"/>
      <c r="N44" s="845"/>
      <c r="O44" s="48">
        <f>IF(t&lt;Tnet,'2022'!Resal+('2022'!Salim-'2022'!Resal)*(1-EXP(('2022'!Tnet-t)/('2022'!Tau_j))),Resal+(Salim-Resal)*(1-EXP((Tnet-t)/(Tau_j))))*Salcycl</f>
        <v>5.2862439144345304E-2</v>
      </c>
      <c r="P44" s="169">
        <f>(INDEX(Models!$BJ44:$BT44,,T44)*(1-R44)+INDEX(Models!$BJ44:$BT44,,T44+1)*R44-ERP_i)*Q44*Ramure*Pc/MaxiM</f>
        <v>2.1965739538064142E-4</v>
      </c>
      <c r="Q44" s="305">
        <f t="shared" si="4"/>
        <v>0.5</v>
      </c>
      <c r="R44" s="177">
        <f t="shared" si="5"/>
        <v>0.49898189138053461</v>
      </c>
      <c r="S44" s="811">
        <f t="shared" si="6"/>
        <v>0</v>
      </c>
      <c r="T44" s="176">
        <f t="shared" si="7"/>
        <v>6</v>
      </c>
      <c r="U44" s="251">
        <f t="shared" si="8"/>
        <v>0.49898189138053461</v>
      </c>
      <c r="V44" s="383">
        <f t="shared" si="9"/>
        <v>30.532518593398851</v>
      </c>
      <c r="W44" s="402">
        <f t="shared" si="10"/>
        <v>4.4964187424753419</v>
      </c>
      <c r="X44" s="157">
        <f t="shared" si="11"/>
        <v>44956</v>
      </c>
      <c r="Y44" s="385">
        <f t="shared" si="12"/>
        <v>4.3613641610139249</v>
      </c>
      <c r="Z44" s="385">
        <f t="shared" si="22"/>
        <v>4.5265223507495254</v>
      </c>
      <c r="AA44" s="386">
        <f t="shared" si="13"/>
        <v>4.9271525441548034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8.1310694120999991E-2</v>
      </c>
      <c r="AD44" s="231">
        <f>(INDEX(Models!$BJ44:$BT44,,AH44)*(1-AF44)+INDEX(Models!$BJ44:$BT44,,AH44+1)*AF44-ERP_i)*AE44*Ramure*Pc/MaxiM</f>
        <v>2.1965739538064142E-4</v>
      </c>
      <c r="AE44" s="305">
        <f t="shared" si="15"/>
        <v>0.5</v>
      </c>
      <c r="AF44" s="177">
        <f t="shared" si="23"/>
        <v>0.49898189138053461</v>
      </c>
      <c r="AG44" s="811">
        <f t="shared" si="24"/>
        <v>0</v>
      </c>
      <c r="AH44" s="176">
        <f t="shared" si="16"/>
        <v>6</v>
      </c>
      <c r="AI44" s="225">
        <f t="shared" si="17"/>
        <v>0.49898189138053461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411">
        <f>'2022'!Wh/'2022'!Env_an*'2023'!Env_an</f>
        <v>9.1966712076237744</v>
      </c>
      <c r="C45" s="841"/>
      <c r="D45" s="393">
        <f t="shared" si="0"/>
        <v>9.5451441423940757</v>
      </c>
      <c r="E45" s="385">
        <f t="shared" si="1"/>
        <v>10.078441610197464</v>
      </c>
      <c r="F45" s="385">
        <f t="shared" si="2"/>
        <v>10.078441610197464</v>
      </c>
      <c r="G45" s="110">
        <f t="shared" si="21"/>
        <v>0.29806024574623541</v>
      </c>
      <c r="H45" s="414" t="b">
        <f>Wh_hp&gt;='2022'!Maxi_hp</f>
        <v>0</v>
      </c>
      <c r="I45" s="390">
        <f>IF(H45,Wh_hp,'2022'!Maxi_hp)</f>
        <v>23.585730416186674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3.6507875582788007E-2</v>
      </c>
      <c r="M45" s="845"/>
      <c r="N45" s="845"/>
      <c r="O45" s="48">
        <f>IF(t&lt;Tnet,'2022'!Resal+('2022'!Salim-'2022'!Resal)*(1-EXP(('2022'!Tnet-t)/('2022'!Tau_j))),Resal+(Salim-Resal)*(1-EXP((Tnet-t)/(Tau_j))))*Salcycl</f>
        <v>5.29146755450558E-2</v>
      </c>
      <c r="P45" s="169">
        <f>(INDEX(Models!$BJ45:$BT45,,T45)*(1-R45)+INDEX(Models!$BJ45:$BT45,,T45+1)*R45-ERP_i)*Q45*Ramure*Pc/MaxiM</f>
        <v>2.1033392374886198E-4</v>
      </c>
      <c r="Q45" s="305">
        <f t="shared" si="4"/>
        <v>0.5</v>
      </c>
      <c r="R45" s="177">
        <f t="shared" si="5"/>
        <v>0.49907746926196467</v>
      </c>
      <c r="S45" s="811">
        <f t="shared" si="6"/>
        <v>0</v>
      </c>
      <c r="T45" s="176">
        <f t="shared" si="7"/>
        <v>6</v>
      </c>
      <c r="U45" s="251">
        <f t="shared" si="8"/>
        <v>0.49907746926196467</v>
      </c>
      <c r="V45" s="383">
        <f t="shared" si="9"/>
        <v>30.848585032408266</v>
      </c>
      <c r="W45" s="402">
        <f t="shared" si="10"/>
        <v>9.1966712076237744</v>
      </c>
      <c r="X45" s="157">
        <f t="shared" si="11"/>
        <v>44957</v>
      </c>
      <c r="Y45" s="385">
        <f t="shared" si="12"/>
        <v>8.9206762019097923</v>
      </c>
      <c r="Z45" s="385">
        <f t="shared" si="22"/>
        <v>9.2586913539180689</v>
      </c>
      <c r="AA45" s="386">
        <f t="shared" si="13"/>
        <v>10.078441610197464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8.13370050633586E-2</v>
      </c>
      <c r="AD45" s="231">
        <f>(INDEX(Models!$BJ45:$BT45,,AH45)*(1-AF45)+INDEX(Models!$BJ45:$BT45,,AH45+1)*AF45-ERP_i)*AE45*Ramure*Pc/MaxiM</f>
        <v>2.1033392374886198E-4</v>
      </c>
      <c r="AE45" s="305">
        <f t="shared" si="15"/>
        <v>0.5</v>
      </c>
      <c r="AF45" s="177">
        <f t="shared" si="23"/>
        <v>0.49907746926196467</v>
      </c>
      <c r="AG45" s="811">
        <f t="shared" si="24"/>
        <v>0</v>
      </c>
      <c r="AH45" s="176">
        <f t="shared" si="16"/>
        <v>6</v>
      </c>
      <c r="AI45" s="225">
        <f t="shared" si="17"/>
        <v>0.49907746926196467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411">
        <f>'2022'!Wh/'2022'!Env_an*'2023'!Env_an</f>
        <v>13.351658070289977</v>
      </c>
      <c r="C46" s="841"/>
      <c r="D46" s="393">
        <f t="shared" si="0"/>
        <v>13.85787197829902</v>
      </c>
      <c r="E46" s="385">
        <f t="shared" si="1"/>
        <v>14.632933766771822</v>
      </c>
      <c r="F46" s="385">
        <f t="shared" si="2"/>
        <v>14.633475266172113</v>
      </c>
      <c r="G46" s="110">
        <f t="shared" si="21"/>
        <v>0.42834271782605288</v>
      </c>
      <c r="H46" s="414" t="b">
        <f>Wh_hp&gt;='2022'!Maxi_hp</f>
        <v>0</v>
      </c>
      <c r="I46" s="390">
        <f>IF(H46,Wh_hp,'2022'!Maxi_hp)</f>
        <v>27.944973498874095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3.6528978533050149E-2</v>
      </c>
      <c r="M46" s="845"/>
      <c r="N46" s="845"/>
      <c r="O46" s="48">
        <f>IF(t&lt;Tnet,'2022'!Resal+('2022'!Salim-'2022'!Resal)*(1-EXP(('2022'!Tnet-t)/('2022'!Tau_j))),Resal+(Salim-Resal)*(1-EXP((Tnet-t)/(Tau_j))))*Salcycl</f>
        <v>5.2966944348015674E-2</v>
      </c>
      <c r="P46" s="169">
        <f>(INDEX(Models!$BJ46:$BT46,,T46)*(1-R46)+INDEX(Models!$BJ46:$BT46,,T46+1)*R46-ERP_i)*Q46*Ramure*Pc/MaxiM</f>
        <v>2.0171518214156216E-4</v>
      </c>
      <c r="Q46" s="305">
        <f t="shared" si="4"/>
        <v>0.5</v>
      </c>
      <c r="R46" s="177">
        <f t="shared" si="5"/>
        <v>0.49917701785240515</v>
      </c>
      <c r="S46" s="811">
        <f t="shared" si="6"/>
        <v>0</v>
      </c>
      <c r="T46" s="176">
        <f t="shared" si="7"/>
        <v>6</v>
      </c>
      <c r="U46" s="251">
        <f t="shared" si="8"/>
        <v>0.49917701785240515</v>
      </c>
      <c r="V46" s="383">
        <f t="shared" si="9"/>
        <v>31.165368916175243</v>
      </c>
      <c r="W46" s="402">
        <f t="shared" si="10"/>
        <v>13.351658070289977</v>
      </c>
      <c r="X46" s="157">
        <f t="shared" si="11"/>
        <v>44958</v>
      </c>
      <c r="Y46" s="385">
        <f t="shared" si="12"/>
        <v>12.951313053577959</v>
      </c>
      <c r="Z46" s="385">
        <f t="shared" si="22"/>
        <v>13.442348306292294</v>
      </c>
      <c r="AA46" s="386">
        <f t="shared" si="13"/>
        <v>14.632933766771822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8.1363414845974869E-2</v>
      </c>
      <c r="AD46" s="231">
        <f>(INDEX(Models!$BJ46:$BT46,,AH46)*(1-AF46)+INDEX(Models!$BJ46:$BT46,,AH46+1)*AF46-ERP_i)*AE46*Ramure*Pc/MaxiM</f>
        <v>2.0171518214156216E-4</v>
      </c>
      <c r="AE46" s="305">
        <f t="shared" si="15"/>
        <v>0.5</v>
      </c>
      <c r="AF46" s="177">
        <f t="shared" si="23"/>
        <v>0.49917701785240515</v>
      </c>
      <c r="AG46" s="811">
        <f t="shared" si="24"/>
        <v>0</v>
      </c>
      <c r="AH46" s="176">
        <f t="shared" si="16"/>
        <v>6</v>
      </c>
      <c r="AI46" s="225">
        <f t="shared" si="17"/>
        <v>0.49917701785240515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411">
        <f>'2022'!Wh/'2022'!Env_an*'2023'!Env_an</f>
        <v>5.3636326876222746</v>
      </c>
      <c r="C47" s="841"/>
      <c r="D47" s="393">
        <f t="shared" si="0"/>
        <v>5.5671110474604335</v>
      </c>
      <c r="E47" s="385">
        <f t="shared" si="1"/>
        <v>5.8788006080849504</v>
      </c>
      <c r="F47" s="385">
        <f t="shared" si="2"/>
        <v>5.8788006080849504</v>
      </c>
      <c r="G47" s="110">
        <f t="shared" si="21"/>
        <v>0.17033898506796019</v>
      </c>
      <c r="H47" s="414" t="b">
        <f>Wh_hp&gt;='2022'!Maxi_hp</f>
        <v>0</v>
      </c>
      <c r="I47" s="390">
        <f>IF(H47,Wh_hp,'2022'!Maxi_hp)</f>
        <v>29.540538398179784</v>
      </c>
      <c r="J47" s="85">
        <f>IF(H47,An,'2022'!An_max)</f>
        <v>2020</v>
      </c>
      <c r="K47" s="197">
        <f t="shared" si="3"/>
        <v>44959</v>
      </c>
      <c r="L47" s="147">
        <f>IF(t&lt;Tvie,1-EXP((T0-t)*PertePVj)+'2022'!Pspv,1-EXP((T0-t)*PertePVj)+Pspv)</f>
        <v>3.6550081021103464E-2</v>
      </c>
      <c r="M47" s="845"/>
      <c r="N47" s="845"/>
      <c r="O47" s="48">
        <f>IF(t&lt;Tnet,'2022'!Resal+('2022'!Salim-'2022'!Resal)*(1-EXP(('2022'!Tnet-t)/('2022'!Tau_j))),Resal+(Salim-Resal)*(1-EXP((Tnet-t)/(Tau_j))))*Salcycl</f>
        <v>5.301924344837592E-2</v>
      </c>
      <c r="P47" s="169">
        <f>(INDEX(Models!$BJ47:$BT47,,T47)*(1-R47)+INDEX(Models!$BJ47:$BT47,,T47+1)*R47-ERP_i)*Q47*Ramure*Pc/MaxiM</f>
        <v>1.9378645137905606E-4</v>
      </c>
      <c r="Q47" s="305">
        <f t="shared" si="4"/>
        <v>0.5</v>
      </c>
      <c r="R47" s="177">
        <f t="shared" si="5"/>
        <v>0.49928070041765005</v>
      </c>
      <c r="S47" s="811">
        <f t="shared" si="6"/>
        <v>0</v>
      </c>
      <c r="T47" s="176">
        <f t="shared" si="7"/>
        <v>6</v>
      </c>
      <c r="U47" s="251">
        <f t="shared" si="8"/>
        <v>0.49928070041765005</v>
      </c>
      <c r="V47" s="383">
        <f t="shared" si="9"/>
        <v>31.481890573304309</v>
      </c>
      <c r="W47" s="402">
        <f t="shared" si="10"/>
        <v>5.3636326876222746</v>
      </c>
      <c r="X47" s="157">
        <f t="shared" si="11"/>
        <v>44959</v>
      </c>
      <c r="Y47" s="385">
        <f t="shared" si="12"/>
        <v>5.2029431627294871</v>
      </c>
      <c r="Z47" s="385">
        <f t="shared" si="22"/>
        <v>5.4003254971921928</v>
      </c>
      <c r="AA47" s="386">
        <f t="shared" si="13"/>
        <v>5.8788006080849504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8.1389919949780981E-2</v>
      </c>
      <c r="AD47" s="231">
        <f>(INDEX(Models!$BJ47:$BT47,,AH47)*(1-AF47)+INDEX(Models!$BJ47:$BT47,,AH47+1)*AF47-ERP_i)*AE47*Ramure*Pc/MaxiM</f>
        <v>1.9378645137905606E-4</v>
      </c>
      <c r="AE47" s="305">
        <f t="shared" si="15"/>
        <v>0.5</v>
      </c>
      <c r="AF47" s="177">
        <f t="shared" si="23"/>
        <v>0.49928070041765005</v>
      </c>
      <c r="AG47" s="811">
        <f t="shared" si="24"/>
        <v>0</v>
      </c>
      <c r="AH47" s="176">
        <f t="shared" si="16"/>
        <v>6</v>
      </c>
      <c r="AI47" s="225">
        <f t="shared" si="17"/>
        <v>0.49928070041765005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411">
        <f>'2022'!Wh/'2022'!Env_an*'2023'!Env_an</f>
        <v>10.109775015827656</v>
      </c>
      <c r="C48" s="841"/>
      <c r="D48" s="393">
        <f t="shared" si="0"/>
        <v>10.49353604327616</v>
      </c>
      <c r="E48" s="385">
        <f t="shared" si="1"/>
        <v>11.081656979297128</v>
      </c>
      <c r="F48" s="385">
        <f t="shared" si="2"/>
        <v>11.081709973076334</v>
      </c>
      <c r="G48" s="110">
        <f t="shared" si="21"/>
        <v>0.31788795485061733</v>
      </c>
      <c r="H48" s="414" t="b">
        <f>Wh_hp&gt;='2022'!Maxi_hp</f>
        <v>0</v>
      </c>
      <c r="I48" s="390">
        <f>IF(H48,Wh_hp,'2022'!Maxi_hp)</f>
        <v>27.40840746637317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3.6571183046958056E-2</v>
      </c>
      <c r="M48" s="845"/>
      <c r="N48" s="845"/>
      <c r="O48" s="48">
        <f>IF(t&lt;Tnet,'2022'!Resal+('2022'!Salim-'2022'!Resal)*(1-EXP(('2022'!Tnet-t)/('2022'!Tau_j))),Resal+(Salim-Resal)*(1-EXP((Tnet-t)/(Tau_j))))*Salcycl</f>
        <v>5.3071570174000306E-2</v>
      </c>
      <c r="P48" s="169">
        <f>(INDEX(Models!$BJ48:$BT48,,T48)*(1-R48)+INDEX(Models!$BJ48:$BT48,,T48+1)*R48-ERP_i)*Q48*Ramure*Pc/MaxiM</f>
        <v>1.8653259594376083E-4</v>
      </c>
      <c r="Q48" s="305">
        <f t="shared" si="4"/>
        <v>0.5</v>
      </c>
      <c r="R48" s="177">
        <f t="shared" si="5"/>
        <v>0.49938868679228304</v>
      </c>
      <c r="S48" s="811">
        <f t="shared" si="6"/>
        <v>0</v>
      </c>
      <c r="T48" s="176">
        <f t="shared" si="7"/>
        <v>6</v>
      </c>
      <c r="U48" s="251">
        <f t="shared" si="8"/>
        <v>0.49938868679228304</v>
      </c>
      <c r="V48" s="383">
        <f t="shared" si="9"/>
        <v>31.797170657527431</v>
      </c>
      <c r="W48" s="402">
        <f t="shared" si="10"/>
        <v>10.109775015827656</v>
      </c>
      <c r="X48" s="157">
        <f t="shared" si="11"/>
        <v>44960</v>
      </c>
      <c r="Y48" s="385">
        <f t="shared" si="12"/>
        <v>9.8071533856537485</v>
      </c>
      <c r="Z48" s="385">
        <f t="shared" si="22"/>
        <v>10.179427076584687</v>
      </c>
      <c r="AA48" s="386">
        <f t="shared" si="13"/>
        <v>11.081656979297128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8.1416515995576907E-2</v>
      </c>
      <c r="AD48" s="231">
        <f>(INDEX(Models!$BJ48:$BT48,,AH48)*(1-AF48)+INDEX(Models!$BJ48:$BT48,,AH48+1)*AF48-ERP_i)*AE48*Ramure*Pc/MaxiM</f>
        <v>1.8653259594376083E-4</v>
      </c>
      <c r="AE48" s="305">
        <f t="shared" si="15"/>
        <v>0.5</v>
      </c>
      <c r="AF48" s="177">
        <f t="shared" si="23"/>
        <v>0.49938868679228304</v>
      </c>
      <c r="AG48" s="811">
        <f t="shared" si="24"/>
        <v>0</v>
      </c>
      <c r="AH48" s="176">
        <f t="shared" si="16"/>
        <v>6</v>
      </c>
      <c r="AI48" s="225">
        <f t="shared" si="17"/>
        <v>0.49938868679228304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411">
        <f>'2022'!Wh/'2022'!Env_an*'2023'!Env_an</f>
        <v>10.010682653675106</v>
      </c>
      <c r="C49" s="841"/>
      <c r="D49" s="393">
        <f t="shared" si="0"/>
        <v>10.390909781773066</v>
      </c>
      <c r="E49" s="385">
        <f t="shared" si="1"/>
        <v>10.973885617752902</v>
      </c>
      <c r="F49" s="385">
        <f t="shared" si="2"/>
        <v>10.973918791270821</v>
      </c>
      <c r="G49" s="110">
        <f t="shared" si="21"/>
        <v>0.31170476072842301</v>
      </c>
      <c r="H49" s="414" t="b">
        <f>Wh_hp&gt;='2022'!Maxi_hp</f>
        <v>0</v>
      </c>
      <c r="I49" s="390">
        <f>IF(H49,Wh_hp,'2022'!Maxi_hp)</f>
        <v>27.911356460515268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3.6592284610624248E-2</v>
      </c>
      <c r="M49" s="845"/>
      <c r="N49" s="845"/>
      <c r="O49" s="48">
        <f>IF(t&lt;Tnet,'2022'!Resal+('2022'!Salim-'2022'!Resal)*(1-EXP(('2022'!Tnet-t)/('2022'!Tau_j))),Resal+(Salim-Resal)*(1-EXP((Tnet-t)/(Tau_j))))*Salcycl</f>
        <v>5.3123921306117192E-2</v>
      </c>
      <c r="P49" s="169">
        <f>(INDEX(Models!$BJ49:$BT49,,T49)*(1-R49)+INDEX(Models!$BJ49:$BT49,,T49+1)*R49-ERP_i)*Q49*Ramure*Pc/MaxiM</f>
        <v>1.7993829750890091E-4</v>
      </c>
      <c r="Q49" s="305">
        <f t="shared" si="4"/>
        <v>0.5</v>
      </c>
      <c r="R49" s="177">
        <f t="shared" si="5"/>
        <v>0.49950115363164899</v>
      </c>
      <c r="S49" s="811">
        <f t="shared" si="6"/>
        <v>0</v>
      </c>
      <c r="T49" s="176">
        <f t="shared" si="7"/>
        <v>6</v>
      </c>
      <c r="U49" s="251">
        <f t="shared" si="8"/>
        <v>0.49950115363164899</v>
      </c>
      <c r="V49" s="383">
        <f t="shared" si="9"/>
        <v>32.110230146787039</v>
      </c>
      <c r="W49" s="402">
        <f t="shared" si="10"/>
        <v>10.010682653675106</v>
      </c>
      <c r="X49" s="157">
        <f t="shared" si="11"/>
        <v>44961</v>
      </c>
      <c r="Y49" s="385">
        <f t="shared" si="12"/>
        <v>9.7112820286877373</v>
      </c>
      <c r="Z49" s="385">
        <f t="shared" si="22"/>
        <v>10.080137280987808</v>
      </c>
      <c r="AA49" s="386">
        <f t="shared" si="13"/>
        <v>10.973885617752902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8.1443197778482523E-2</v>
      </c>
      <c r="AD49" s="231">
        <f>(INDEX(Models!$BJ49:$BT49,,AH49)*(1-AF49)+INDEX(Models!$BJ49:$BT49,,AH49+1)*AF49-ERP_i)*AE49*Ramure*Pc/MaxiM</f>
        <v>1.7993829750890091E-4</v>
      </c>
      <c r="AE49" s="305">
        <f t="shared" si="15"/>
        <v>0.5</v>
      </c>
      <c r="AF49" s="177">
        <f t="shared" si="23"/>
        <v>0.49950115363164899</v>
      </c>
      <c r="AG49" s="811">
        <f t="shared" si="24"/>
        <v>0</v>
      </c>
      <c r="AH49" s="176">
        <f t="shared" si="16"/>
        <v>6</v>
      </c>
      <c r="AI49" s="225">
        <f t="shared" si="17"/>
        <v>0.49950115363164899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411">
        <f>'2022'!Wh/'2022'!Env_an*'2023'!Env_an</f>
        <v>9.6856596712009928</v>
      </c>
      <c r="C50" s="841"/>
      <c r="D50" s="393">
        <f t="shared" si="0"/>
        <v>10.053761934776723</v>
      </c>
      <c r="E50" s="385">
        <f t="shared" si="1"/>
        <v>10.618409595795166</v>
      </c>
      <c r="F50" s="385">
        <f t="shared" si="2"/>
        <v>10.618409595795166</v>
      </c>
      <c r="G50" s="110">
        <f t="shared" si="21"/>
        <v>0.29870288383774984</v>
      </c>
      <c r="H50" s="414" t="b">
        <f>Wh_hp&gt;='2022'!Maxi_hp</f>
        <v>0</v>
      </c>
      <c r="I50" s="390">
        <f>IF(H50,Wh_hp,'2022'!Maxi_hp)</f>
        <v>35.533389786711119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3.6613385712112034E-2</v>
      </c>
      <c r="M50" s="845"/>
      <c r="N50" s="845"/>
      <c r="O50" s="48">
        <f>IF(t&lt;Tnet,'2022'!Resal+('2022'!Salim-'2022'!Resal)*(1-EXP(('2022'!Tnet-t)/('2022'!Tau_j))),Resal+(Salim-Resal)*(1-EXP((Tnet-t)/(Tau_j))))*Salcycl</f>
        <v>5.3176293109096148E-2</v>
      </c>
      <c r="P50" s="169">
        <f>(INDEX(Models!$BJ50:$BT50,,T50)*(1-R50)+INDEX(Models!$BJ50:$BT50,,T50+1)*R50-ERP_i)*Q50*Ramure*Pc/MaxiM</f>
        <v>1.7398826467059027E-4</v>
      </c>
      <c r="Q50" s="305">
        <f t="shared" si="4"/>
        <v>0.5</v>
      </c>
      <c r="R50" s="177">
        <f t="shared" si="5"/>
        <v>0.49961828467242986</v>
      </c>
      <c r="S50" s="811">
        <f t="shared" si="6"/>
        <v>0</v>
      </c>
      <c r="T50" s="176">
        <f t="shared" si="7"/>
        <v>6</v>
      </c>
      <c r="U50" s="251">
        <f t="shared" si="8"/>
        <v>0.49961828467242986</v>
      </c>
      <c r="V50" s="383">
        <f t="shared" si="9"/>
        <v>32.420090344165459</v>
      </c>
      <c r="W50" s="402">
        <f t="shared" si="10"/>
        <v>9.6856596712009928</v>
      </c>
      <c r="X50" s="157">
        <f t="shared" si="11"/>
        <v>44962</v>
      </c>
      <c r="Y50" s="385">
        <f t="shared" si="12"/>
        <v>9.3962258307317406</v>
      </c>
      <c r="Z50" s="385">
        <f t="shared" si="22"/>
        <v>9.753328198022766</v>
      </c>
      <c r="AA50" s="386">
        <f t="shared" si="13"/>
        <v>10.618409595795166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8.1469959316220711E-2</v>
      </c>
      <c r="AD50" s="231">
        <f>(INDEX(Models!$BJ50:$BT50,,AH50)*(1-AF50)+INDEX(Models!$BJ50:$BT50,,AH50+1)*AF50-ERP_i)*AE50*Ramure*Pc/MaxiM</f>
        <v>1.7398826467059027E-4</v>
      </c>
      <c r="AE50" s="305">
        <f t="shared" si="15"/>
        <v>0.5</v>
      </c>
      <c r="AF50" s="177">
        <f t="shared" si="23"/>
        <v>0.49961828467242986</v>
      </c>
      <c r="AG50" s="811">
        <f t="shared" si="24"/>
        <v>0</v>
      </c>
      <c r="AH50" s="176">
        <f t="shared" si="16"/>
        <v>6</v>
      </c>
      <c r="AI50" s="225">
        <f t="shared" si="17"/>
        <v>0.49961828467242986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411">
        <f>'2022'!Wh/'2022'!Env_an*'2023'!Env_an</f>
        <v>22.159403215767483</v>
      </c>
      <c r="C51" s="841"/>
      <c r="D51" s="393">
        <f t="shared" si="0"/>
        <v>23.002072320237879</v>
      </c>
      <c r="E51" s="385">
        <f t="shared" si="1"/>
        <v>24.295277927826497</v>
      </c>
      <c r="F51" s="385">
        <f t="shared" si="2"/>
        <v>24.297485441935052</v>
      </c>
      <c r="G51" s="110">
        <f t="shared" si="21"/>
        <v>0.67702935337836578</v>
      </c>
      <c r="H51" s="414" t="b">
        <f>Wh_hp&gt;='2022'!Maxi_hp</f>
        <v>0</v>
      </c>
      <c r="I51" s="390">
        <f>IF(H51,Wh_hp,'2022'!Maxi_hp)</f>
        <v>37.103452774243969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3.6634486351431517E-2</v>
      </c>
      <c r="M51" s="845"/>
      <c r="N51" s="845"/>
      <c r="O51" s="48">
        <f>IF(t&lt;Tnet,'2022'!Resal+('2022'!Salim-'2022'!Resal)*(1-EXP(('2022'!Tnet-t)/('2022'!Tau_j))),Resal+(Salim-Resal)*(1-EXP((Tnet-t)/(Tau_j))))*Salcycl</f>
        <v>5.3228681368878317E-2</v>
      </c>
      <c r="P51" s="169">
        <f>(INDEX(Models!$BJ51:$BT51,,T51)*(1-R51)+INDEX(Models!$BJ51:$BT51,,T51+1)*R51-ERP_i)*Q51*Ramure*Pc/MaxiM</f>
        <v>1.6865699274922603E-4</v>
      </c>
      <c r="Q51" s="305">
        <f t="shared" si="4"/>
        <v>0.5</v>
      </c>
      <c r="R51" s="177">
        <f t="shared" si="5"/>
        <v>0.49974027100202401</v>
      </c>
      <c r="S51" s="811">
        <f t="shared" si="6"/>
        <v>0</v>
      </c>
      <c r="T51" s="176">
        <f t="shared" si="7"/>
        <v>6</v>
      </c>
      <c r="U51" s="251">
        <f t="shared" si="8"/>
        <v>0.49974027100202401</v>
      </c>
      <c r="V51" s="383">
        <f t="shared" si="9"/>
        <v>32.727796618971439</v>
      </c>
      <c r="W51" s="402">
        <f t="shared" si="10"/>
        <v>22.159403215767483</v>
      </c>
      <c r="X51" s="157">
        <f t="shared" si="11"/>
        <v>44963</v>
      </c>
      <c r="Y51" s="385">
        <f t="shared" si="12"/>
        <v>21.497781458083686</v>
      </c>
      <c r="Z51" s="385">
        <f t="shared" si="22"/>
        <v>22.315290669545373</v>
      </c>
      <c r="AA51" s="386">
        <f t="shared" si="13"/>
        <v>24.295277927826497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8.1496793910447715E-2</v>
      </c>
      <c r="AD51" s="231">
        <f>(INDEX(Models!$BJ51:$BT51,,AH51)*(1-AF51)+INDEX(Models!$BJ51:$BT51,,AH51+1)*AF51-ERP_i)*AE51*Ramure*Pc/MaxiM</f>
        <v>1.6865699274922603E-4</v>
      </c>
      <c r="AE51" s="305">
        <f t="shared" si="15"/>
        <v>0.5</v>
      </c>
      <c r="AF51" s="177">
        <f t="shared" si="23"/>
        <v>0.49974027100202401</v>
      </c>
      <c r="AG51" s="811">
        <f t="shared" si="24"/>
        <v>0</v>
      </c>
      <c r="AH51" s="176">
        <f t="shared" si="16"/>
        <v>6</v>
      </c>
      <c r="AI51" s="225">
        <f t="shared" si="17"/>
        <v>0.49974027100202401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411">
        <f>'2022'!Wh/'2022'!Env_an*'2023'!Env_an</f>
        <v>9.5086554649994977</v>
      </c>
      <c r="C52" s="841"/>
      <c r="D52" s="393">
        <f t="shared" si="0"/>
        <v>9.8704630784488607</v>
      </c>
      <c r="E52" s="385">
        <f t="shared" si="1"/>
        <v>10.425970037080416</v>
      </c>
      <c r="F52" s="385">
        <f t="shared" si="2"/>
        <v>10.425970037080416</v>
      </c>
      <c r="G52" s="110">
        <f t="shared" si="21"/>
        <v>0.28778706802392751</v>
      </c>
      <c r="H52" s="414" t="b">
        <f>Wh_hp&gt;='2022'!Maxi_hp</f>
        <v>0</v>
      </c>
      <c r="I52" s="390">
        <f>IF(H52,Wh_hp,'2022'!Maxi_hp)</f>
        <v>25.358898167859724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3.6655586528592798E-2</v>
      </c>
      <c r="M52" s="845"/>
      <c r="N52" s="845"/>
      <c r="O52" s="48">
        <f>IF(t&lt;Tnet,'2022'!Resal+('2022'!Salim-'2022'!Resal)*(1-EXP(('2022'!Tnet-t)/('2022'!Tau_j))),Resal+(Salim-Resal)*(1-EXP((Tnet-t)/(Tau_j))))*Salcycl</f>
        <v>5.3281081439508389E-2</v>
      </c>
      <c r="P52" s="169">
        <f>(INDEX(Models!$BJ52:$BT52,,T52)*(1-R52)+INDEX(Models!$BJ52:$BT52,,T52+1)*R52-ERP_i)*Q52*Ramure*Pc/MaxiM</f>
        <v>1.6439159900503254E-4</v>
      </c>
      <c r="Q52" s="305">
        <f t="shared" si="4"/>
        <v>0.5</v>
      </c>
      <c r="R52" s="177">
        <f t="shared" si="5"/>
        <v>0.49986731133692547</v>
      </c>
      <c r="S52" s="811">
        <f t="shared" si="6"/>
        <v>0</v>
      </c>
      <c r="T52" s="176">
        <f t="shared" si="7"/>
        <v>6</v>
      </c>
      <c r="U52" s="251">
        <f t="shared" si="8"/>
        <v>0.49986731133692547</v>
      </c>
      <c r="V52" s="383">
        <f t="shared" si="9"/>
        <v>33.035161681180092</v>
      </c>
      <c r="W52" s="402">
        <f t="shared" si="10"/>
        <v>9.5086554649994977</v>
      </c>
      <c r="X52" s="157">
        <f t="shared" si="11"/>
        <v>44964</v>
      </c>
      <c r="Y52" s="385">
        <f t="shared" si="12"/>
        <v>9.224992311028112</v>
      </c>
      <c r="Z52" s="385">
        <f t="shared" si="22"/>
        <v>9.57600644382822</v>
      </c>
      <c r="AA52" s="386">
        <f t="shared" si="13"/>
        <v>10.425970037080416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8.1523694220227455E-2</v>
      </c>
      <c r="AD52" s="231">
        <f>(INDEX(Models!$BJ52:$BT52,,AH52)*(1-AF52)+INDEX(Models!$BJ52:$BT52,,AH52+1)*AF52-ERP_i)*AE52*Ramure*Pc/MaxiM</f>
        <v>1.6439159900503254E-4</v>
      </c>
      <c r="AE52" s="305">
        <f t="shared" si="15"/>
        <v>0.5</v>
      </c>
      <c r="AF52" s="177">
        <f t="shared" si="23"/>
        <v>0.49986731133692547</v>
      </c>
      <c r="AG52" s="811">
        <f t="shared" si="24"/>
        <v>0</v>
      </c>
      <c r="AH52" s="176">
        <f t="shared" si="16"/>
        <v>6</v>
      </c>
      <c r="AI52" s="225">
        <f t="shared" si="17"/>
        <v>0.49986731133692547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411">
        <f>'2022'!Wh/'2022'!Env_an*'2023'!Env_an</f>
        <v>33.328719497575555</v>
      </c>
      <c r="C53" s="841"/>
      <c r="D53" s="393">
        <f t="shared" si="0"/>
        <v>34.597646523899819</v>
      </c>
      <c r="E53" s="385">
        <f t="shared" si="1"/>
        <v>36.546815690845335</v>
      </c>
      <c r="F53" s="385">
        <f t="shared" si="2"/>
        <v>36.552694350935504</v>
      </c>
      <c r="G53" s="110">
        <f t="shared" si="21"/>
        <v>0.9995899144240048</v>
      </c>
      <c r="H53" s="414" t="b">
        <f>Wh_hp&gt;='2022'!Maxi_hp</f>
        <v>0</v>
      </c>
      <c r="I53" s="390">
        <f>IF(H53,Wh_hp,'2022'!Maxi_hp)</f>
        <v>36.552695320269571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3.6676686243606094E-2</v>
      </c>
      <c r="M53" s="845"/>
      <c r="N53" s="845"/>
      <c r="O53" s="48">
        <f>IF(t&lt;Tnet,'2022'!Resal+('2022'!Salim-'2022'!Resal)*(1-EXP(('2022'!Tnet-t)/('2022'!Tau_j))),Resal+(Salim-Resal)*(1-EXP((Tnet-t)/(Tau_j))))*Salcycl</f>
        <v>5.3333488297142288E-2</v>
      </c>
      <c r="P53" s="169">
        <f>(INDEX(Models!$BJ53:$BT53,,T53)*(1-R53)+INDEX(Models!$BJ53:$BT53,,T53+1)*R53-ERP_i)*Q53*Ramure*Pc/MaxiM</f>
        <v>1.6092124958178741E-4</v>
      </c>
      <c r="Q53" s="305">
        <f t="shared" si="4"/>
        <v>0.5</v>
      </c>
      <c r="R53" s="177">
        <f t="shared" si="5"/>
        <v>0.49999961231029172</v>
      </c>
      <c r="S53" s="811">
        <f t="shared" si="6"/>
        <v>0</v>
      </c>
      <c r="T53" s="176">
        <f t="shared" si="7"/>
        <v>6</v>
      </c>
      <c r="U53" s="251">
        <f t="shared" si="8"/>
        <v>0.49999961231029172</v>
      </c>
      <c r="V53" s="383">
        <f t="shared" si="9"/>
        <v>33.342389588815202</v>
      </c>
      <c r="W53" s="402">
        <f t="shared" si="10"/>
        <v>33.328719497575555</v>
      </c>
      <c r="X53" s="157">
        <f t="shared" si="11"/>
        <v>44965</v>
      </c>
      <c r="Y53" s="385">
        <f t="shared" si="12"/>
        <v>32.335294744511174</v>
      </c>
      <c r="Z53" s="385">
        <f t="shared" si="22"/>
        <v>33.566399030064531</v>
      </c>
      <c r="AA53" s="386">
        <f t="shared" si="13"/>
        <v>36.546815690845335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8.1550652346638483E-2</v>
      </c>
      <c r="AD53" s="231">
        <f>(INDEX(Models!$BJ53:$BT53,,AH53)*(1-AF53)+INDEX(Models!$BJ53:$BT53,,AH53+1)*AF53-ERP_i)*AE53*Ramure*Pc/MaxiM</f>
        <v>1.6092124958178741E-4</v>
      </c>
      <c r="AE53" s="305">
        <f t="shared" si="15"/>
        <v>0.5</v>
      </c>
      <c r="AF53" s="177">
        <f t="shared" si="23"/>
        <v>0.49999961231029172</v>
      </c>
      <c r="AG53" s="811">
        <f t="shared" si="24"/>
        <v>0</v>
      </c>
      <c r="AH53" s="176">
        <f t="shared" si="16"/>
        <v>6</v>
      </c>
      <c r="AI53" s="225">
        <f t="shared" si="17"/>
        <v>0.49999961231029172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411">
        <f>'2022'!Wh/'2022'!Env_an*'2023'!Env_an</f>
        <v>33.548052235429545</v>
      </c>
      <c r="C54" s="841"/>
      <c r="D54" s="393">
        <f t="shared" si="0"/>
        <v>34.826092715586725</v>
      </c>
      <c r="E54" s="385">
        <f t="shared" si="1"/>
        <v>36.790168866627916</v>
      </c>
      <c r="F54" s="385">
        <f t="shared" si="2"/>
        <v>36.795965725640322</v>
      </c>
      <c r="G54" s="110">
        <f t="shared" si="21"/>
        <v>0.99697925736620174</v>
      </c>
      <c r="H54" s="414" t="b">
        <f>Wh_hp&gt;='2022'!Maxi_hp</f>
        <v>0</v>
      </c>
      <c r="I54" s="390">
        <f>IF(H54,Wh_hp,'2022'!Maxi_hp)</f>
        <v>36.795972708739512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3.6697785496481505E-2</v>
      </c>
      <c r="M54" s="845"/>
      <c r="N54" s="845"/>
      <c r="O54" s="48">
        <f>IF(t&lt;Tnet,'2022'!Resal+('2022'!Salim-'2022'!Resal)*(1-EXP(('2022'!Tnet-t)/('2022'!Tau_j))),Resal+(Salim-Resal)*(1-EXP((Tnet-t)/(Tau_j))))*Salcycl</f>
        <v>5.3385896600838624E-2</v>
      </c>
      <c r="P54" s="169">
        <f>(INDEX(Models!$BJ54:$BT54,,T54)*(1-R54)+INDEX(Models!$BJ54:$BT54,,T54+1)*R54-ERP_i)*Q54*Ramure*Pc/MaxiM</f>
        <v>1.5822324773740346E-4</v>
      </c>
      <c r="Q54" s="305">
        <f t="shared" si="4"/>
        <v>0.5</v>
      </c>
      <c r="R54" s="177">
        <f t="shared" si="5"/>
        <v>0.50013738876888281</v>
      </c>
      <c r="S54" s="811">
        <f t="shared" si="6"/>
        <v>0</v>
      </c>
      <c r="T54" s="176">
        <f t="shared" si="7"/>
        <v>6</v>
      </c>
      <c r="U54" s="251">
        <f t="shared" si="8"/>
        <v>0.50013738876888281</v>
      </c>
      <c r="V54" s="383">
        <f t="shared" si="9"/>
        <v>33.649676342711892</v>
      </c>
      <c r="W54" s="402">
        <f t="shared" si="10"/>
        <v>33.548052235429545</v>
      </c>
      <c r="X54" s="157">
        <f t="shared" si="11"/>
        <v>44966</v>
      </c>
      <c r="Y54" s="385">
        <f t="shared" si="12"/>
        <v>32.548934701375885</v>
      </c>
      <c r="Z54" s="385">
        <f t="shared" si="22"/>
        <v>33.788912982154258</v>
      </c>
      <c r="AA54" s="386">
        <f t="shared" si="13"/>
        <v>36.790168866627916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8.1577659927407176E-2</v>
      </c>
      <c r="AD54" s="231">
        <f>(INDEX(Models!$BJ54:$BT54,,AH54)*(1-AF54)+INDEX(Models!$BJ54:$BT54,,AH54+1)*AF54-ERP_i)*AE54*Ramure*Pc/MaxiM</f>
        <v>1.5822324773740346E-4</v>
      </c>
      <c r="AE54" s="305">
        <f t="shared" si="15"/>
        <v>0.5</v>
      </c>
      <c r="AF54" s="177">
        <f t="shared" si="23"/>
        <v>0.50013738876888281</v>
      </c>
      <c r="AG54" s="811">
        <f t="shared" si="24"/>
        <v>0</v>
      </c>
      <c r="AH54" s="176">
        <f t="shared" si="16"/>
        <v>6</v>
      </c>
      <c r="AI54" s="225">
        <f t="shared" si="17"/>
        <v>0.50013738876888281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411">
        <f>'2022'!Wh/'2022'!Env_an*'2023'!Env_an</f>
        <v>31.187207038793812</v>
      </c>
      <c r="C55" s="841"/>
      <c r="D55" s="393">
        <f t="shared" si="0"/>
        <v>32.376018308754162</v>
      </c>
      <c r="E55" s="385">
        <f t="shared" si="1"/>
        <v>34.20381189596835</v>
      </c>
      <c r="F55" s="385">
        <f t="shared" si="2"/>
        <v>34.208534877836762</v>
      </c>
      <c r="G55" s="110">
        <f t="shared" si="21"/>
        <v>0.91840972049326475</v>
      </c>
      <c r="H55" s="414" t="b">
        <f>Wh_hp&gt;='2022'!Maxi_hp</f>
        <v>0</v>
      </c>
      <c r="I55" s="390">
        <f>IF(H55,Wh_hp,'2022'!Maxi_hp)</f>
        <v>34.208705851140202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3.6718884287229026E-2</v>
      </c>
      <c r="M55" s="845"/>
      <c r="N55" s="845"/>
      <c r="O55" s="48">
        <f>IF(t&lt;Tnet,'2022'!Resal+('2022'!Salim-'2022'!Resal)*(1-EXP(('2022'!Tnet-t)/('2022'!Tau_j))),Resal+(Salim-Resal)*(1-EXP((Tnet-t)/(Tau_j))))*Salcycl</f>
        <v>5.3438300759384938E-2</v>
      </c>
      <c r="P55" s="169">
        <f>(INDEX(Models!$BJ55:$BT55,,T55)*(1-R55)+INDEX(Models!$BJ55:$BT55,,T55+1)*R55-ERP_i)*Q55*Ramure*Pc/MaxiM</f>
        <v>1.5627582099983454E-4</v>
      </c>
      <c r="Q55" s="305">
        <f t="shared" si="4"/>
        <v>0.5</v>
      </c>
      <c r="R55" s="177">
        <f t="shared" si="5"/>
        <v>0.50028086407954531</v>
      </c>
      <c r="S55" s="811">
        <f t="shared" si="6"/>
        <v>0</v>
      </c>
      <c r="T55" s="176">
        <f t="shared" si="7"/>
        <v>6</v>
      </c>
      <c r="U55" s="251">
        <f t="shared" si="8"/>
        <v>0.50028086407954531</v>
      </c>
      <c r="V55" s="383">
        <f t="shared" si="9"/>
        <v>33.957217897471217</v>
      </c>
      <c r="W55" s="402">
        <f t="shared" si="10"/>
        <v>31.187207038793812</v>
      </c>
      <c r="X55" s="157">
        <f t="shared" si="11"/>
        <v>44967</v>
      </c>
      <c r="Y55" s="385">
        <f t="shared" si="12"/>
        <v>30.259183453692554</v>
      </c>
      <c r="Z55" s="385">
        <f t="shared" si="22"/>
        <v>31.412619805489022</v>
      </c>
      <c r="AA55" s="386">
        <f t="shared" si="13"/>
        <v>34.20381189596835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8.1604708240379839E-2</v>
      </c>
      <c r="AD55" s="231">
        <f>(INDEX(Models!$BJ55:$BT55,,AH55)*(1-AF55)+INDEX(Models!$BJ55:$BT55,,AH55+1)*AF55-ERP_i)*AE55*Ramure*Pc/MaxiM</f>
        <v>1.5627582099983454E-4</v>
      </c>
      <c r="AE55" s="305">
        <f t="shared" si="15"/>
        <v>0.5</v>
      </c>
      <c r="AF55" s="177">
        <f t="shared" si="23"/>
        <v>0.50028086407954531</v>
      </c>
      <c r="AG55" s="811">
        <f t="shared" si="24"/>
        <v>0</v>
      </c>
      <c r="AH55" s="176">
        <f t="shared" si="16"/>
        <v>6</v>
      </c>
      <c r="AI55" s="225">
        <f t="shared" si="17"/>
        <v>0.50028086407954531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411">
        <f>'2022'!Wh/'2022'!Env_an*'2023'!Env_an</f>
        <v>17.41005507928876</v>
      </c>
      <c r="C56" s="841"/>
      <c r="D56" s="393">
        <f t="shared" si="0"/>
        <v>18.074097092255577</v>
      </c>
      <c r="E56" s="385">
        <f t="shared" si="1"/>
        <v>19.095530278299542</v>
      </c>
      <c r="F56" s="385">
        <f t="shared" si="2"/>
        <v>19.096410544631567</v>
      </c>
      <c r="G56" s="110">
        <f t="shared" si="21"/>
        <v>0.50804176813483182</v>
      </c>
      <c r="H56" s="414" t="b">
        <f>Wh_hp&gt;='2022'!Maxi_hp</f>
        <v>0</v>
      </c>
      <c r="I56" s="390">
        <f>IF(H56,Wh_hp,'2022'!Maxi_hp)</f>
        <v>30.625815125737557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3.6739982615858979E-2</v>
      </c>
      <c r="M56" s="845"/>
      <c r="N56" s="845"/>
      <c r="O56" s="48">
        <f>IF(t&lt;Tnet,'2022'!Resal+('2022'!Salim-'2022'!Resal)*(1-EXP(('2022'!Tnet-t)/('2022'!Tau_j))),Resal+(Salim-Resal)*(1-EXP((Tnet-t)/(Tau_j))))*Salcycl</f>
        <v>5.3490695003360879E-2</v>
      </c>
      <c r="P56" s="169">
        <f>(INDEX(Models!$BJ56:$BT56,,T56)*(1-R56)+INDEX(Models!$BJ56:$BT56,,T56+1)*R56-ERP_i)*Q56*Ramure*Pc/MaxiM</f>
        <v>1.5505803988717152E-4</v>
      </c>
      <c r="Q56" s="305">
        <f t="shared" si="4"/>
        <v>0.5</v>
      </c>
      <c r="R56" s="177">
        <f t="shared" si="5"/>
        <v>0.50043027044540656</v>
      </c>
      <c r="S56" s="811">
        <f t="shared" si="6"/>
        <v>0</v>
      </c>
      <c r="T56" s="176">
        <f t="shared" si="7"/>
        <v>6</v>
      </c>
      <c r="U56" s="251">
        <f t="shared" si="8"/>
        <v>0.50043027044540656</v>
      </c>
      <c r="V56" s="383">
        <f t="shared" si="9"/>
        <v>34.265210159756663</v>
      </c>
      <c r="W56" s="402">
        <f t="shared" si="10"/>
        <v>17.41005507928876</v>
      </c>
      <c r="X56" s="157">
        <f t="shared" si="11"/>
        <v>44968</v>
      </c>
      <c r="Y56" s="385">
        <f t="shared" si="12"/>
        <v>16.89242891126981</v>
      </c>
      <c r="Z56" s="385">
        <f t="shared" si="22"/>
        <v>17.536727992866783</v>
      </c>
      <c r="AA56" s="386">
        <f t="shared" si="13"/>
        <v>19.095530278299542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8.1631788314577763E-2</v>
      </c>
      <c r="AD56" s="231">
        <f>(INDEX(Models!$BJ56:$BT56,,AH56)*(1-AF56)+INDEX(Models!$BJ56:$BT56,,AH56+1)*AF56-ERP_i)*AE56*Ramure*Pc/MaxiM</f>
        <v>1.5505803988717152E-4</v>
      </c>
      <c r="AE56" s="305">
        <f t="shared" si="15"/>
        <v>0.5</v>
      </c>
      <c r="AF56" s="177">
        <f t="shared" si="23"/>
        <v>0.50043027044540656</v>
      </c>
      <c r="AG56" s="811">
        <f t="shared" si="24"/>
        <v>0</v>
      </c>
      <c r="AH56" s="176">
        <f t="shared" si="16"/>
        <v>6</v>
      </c>
      <c r="AI56" s="225">
        <f t="shared" si="17"/>
        <v>0.50043027044540656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411">
        <f>'2022'!Wh/'2022'!Env_an*'2023'!Env_an</f>
        <v>26.450546501790274</v>
      </c>
      <c r="C57" s="841"/>
      <c r="D57" s="393">
        <f t="shared" si="0"/>
        <v>27.460005992113015</v>
      </c>
      <c r="E57" s="385">
        <f t="shared" si="1"/>
        <v>29.013476706801775</v>
      </c>
      <c r="F57" s="385">
        <f t="shared" si="2"/>
        <v>29.016455974249073</v>
      </c>
      <c r="G57" s="110">
        <f t="shared" si="21"/>
        <v>0.76500519972660763</v>
      </c>
      <c r="H57" s="414" t="b">
        <f>Wh_hp&gt;='2022'!Maxi_hp</f>
        <v>0</v>
      </c>
      <c r="I57" s="390">
        <f>IF(H57,Wh_hp,'2022'!Maxi_hp)</f>
        <v>38.463815462769276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3.6761080482381359E-2</v>
      </c>
      <c r="M57" s="845"/>
      <c r="N57" s="845"/>
      <c r="O57" s="48">
        <f>IF(t&lt;Tnet,'2022'!Resal+('2022'!Salim-'2022'!Resal)*(1-EXP(('2022'!Tnet-t)/('2022'!Tau_j))),Resal+(Salim-Resal)*(1-EXP((Tnet-t)/(Tau_j))))*Salcycl</f>
        <v>5.3543073461601837E-2</v>
      </c>
      <c r="P57" s="169">
        <f>(INDEX(Models!$BJ57:$BT57,,T57)*(1-R57)+INDEX(Models!$BJ57:$BT57,,T57+1)*R57-ERP_i)*Q57*Ramure*Pc/MaxiM</f>
        <v>1.5454974301249823E-4</v>
      </c>
      <c r="Q57" s="305">
        <f t="shared" si="4"/>
        <v>0.5</v>
      </c>
      <c r="R57" s="177">
        <f t="shared" si="5"/>
        <v>0.50058584923192939</v>
      </c>
      <c r="S57" s="811">
        <f t="shared" si="6"/>
        <v>0</v>
      </c>
      <c r="T57" s="176">
        <f t="shared" si="7"/>
        <v>6</v>
      </c>
      <c r="U57" s="251">
        <f t="shared" si="8"/>
        <v>0.50058584923192939</v>
      </c>
      <c r="V57" s="383">
        <f t="shared" si="9"/>
        <v>34.573848985109883</v>
      </c>
      <c r="W57" s="402">
        <f t="shared" si="10"/>
        <v>26.450546501790274</v>
      </c>
      <c r="X57" s="157">
        <f t="shared" si="11"/>
        <v>44969</v>
      </c>
      <c r="Y57" s="385">
        <f t="shared" si="12"/>
        <v>25.664796279418994</v>
      </c>
      <c r="Z57" s="385">
        <f t="shared" si="22"/>
        <v>26.644268373491066</v>
      </c>
      <c r="AA57" s="386">
        <f t="shared" si="13"/>
        <v>29.013476706801775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8.1658891047527674E-2</v>
      </c>
      <c r="AD57" s="231">
        <f>(INDEX(Models!$BJ57:$BT57,,AH57)*(1-AF57)+INDEX(Models!$BJ57:$BT57,,AH57+1)*AF57-ERP_i)*AE57*Ramure*Pc/MaxiM</f>
        <v>1.5454974301249823E-4</v>
      </c>
      <c r="AE57" s="305">
        <f t="shared" si="15"/>
        <v>0.5</v>
      </c>
      <c r="AF57" s="177">
        <f t="shared" si="23"/>
        <v>0.50058584923192939</v>
      </c>
      <c r="AG57" s="811">
        <f t="shared" si="24"/>
        <v>0</v>
      </c>
      <c r="AH57" s="176">
        <f t="shared" si="16"/>
        <v>6</v>
      </c>
      <c r="AI57" s="225">
        <f t="shared" si="17"/>
        <v>0.50058584923192939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411">
        <f>'2022'!Wh/'2022'!Env_an*'2023'!Env_an</f>
        <v>31.267497111777121</v>
      </c>
      <c r="C58" s="841"/>
      <c r="D58" s="393">
        <f t="shared" si="0"/>
        <v>32.461501847193482</v>
      </c>
      <c r="E58" s="385">
        <f t="shared" si="1"/>
        <v>34.299815200032789</v>
      </c>
      <c r="F58" s="385">
        <f t="shared" si="2"/>
        <v>34.304352061612597</v>
      </c>
      <c r="G58" s="110">
        <f t="shared" si="21"/>
        <v>0.89632480681292326</v>
      </c>
      <c r="H58" s="414" t="b">
        <f>Wh_hp&gt;='2022'!Maxi_hp</f>
        <v>0</v>
      </c>
      <c r="I58" s="390">
        <f>IF(H58,Wh_hp,'2022'!Maxi_hp)</f>
        <v>39.79279391744533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3.6782177886806267E-2</v>
      </c>
      <c r="M58" s="845"/>
      <c r="N58" s="845"/>
      <c r="O58" s="48">
        <f>IF(t&lt;Tnet,'2022'!Resal+('2022'!Salim-'2022'!Resal)*(1-EXP(('2022'!Tnet-t)/('2022'!Tau_j))),Resal+(Salim-Resal)*(1-EXP((Tnet-t)/(Tau_j))))*Salcycl</f>
        <v>5.3595430241196979E-2</v>
      </c>
      <c r="P58" s="169">
        <f>(INDEX(Models!$BJ58:$BT58,,T58)*(1-R58)+INDEX(Models!$BJ58:$BT58,,T58+1)*R58-ERP_i)*Q58*Ramure*Pc/MaxiM</f>
        <v>1.5524101161008632E-4</v>
      </c>
      <c r="Q58" s="305">
        <f t="shared" si="4"/>
        <v>0.5</v>
      </c>
      <c r="R58" s="177">
        <f t="shared" si="5"/>
        <v>0.50074785130296862</v>
      </c>
      <c r="S58" s="811">
        <f t="shared" si="6"/>
        <v>0</v>
      </c>
      <c r="T58" s="176">
        <f t="shared" si="7"/>
        <v>6</v>
      </c>
      <c r="U58" s="251">
        <f t="shared" si="8"/>
        <v>0.50074785130296862</v>
      </c>
      <c r="V58" s="383">
        <f t="shared" si="9"/>
        <v>34.883312398418369</v>
      </c>
      <c r="W58" s="402">
        <f t="shared" si="10"/>
        <v>31.267497111777121</v>
      </c>
      <c r="X58" s="157">
        <f t="shared" si="11"/>
        <v>44970</v>
      </c>
      <c r="Y58" s="385">
        <f t="shared" si="12"/>
        <v>30.339435196206864</v>
      </c>
      <c r="Z58" s="385">
        <f t="shared" si="22"/>
        <v>31.49800024427028</v>
      </c>
      <c r="AA58" s="386">
        <f t="shared" si="13"/>
        <v>34.299815200032789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8.1686007327521432E-2</v>
      </c>
      <c r="AD58" s="231">
        <f>(INDEX(Models!$BJ58:$BT58,,AH58)*(1-AF58)+INDEX(Models!$BJ58:$BT58,,AH58+1)*AF58-ERP_i)*AE58*Ramure*Pc/MaxiM</f>
        <v>1.5524101161008632E-4</v>
      </c>
      <c r="AE58" s="305">
        <f t="shared" si="15"/>
        <v>0.5</v>
      </c>
      <c r="AF58" s="177">
        <f t="shared" si="23"/>
        <v>0.50074785130296862</v>
      </c>
      <c r="AG58" s="811">
        <f t="shared" si="24"/>
        <v>0</v>
      </c>
      <c r="AH58" s="176">
        <f t="shared" si="16"/>
        <v>6</v>
      </c>
      <c r="AI58" s="225">
        <f t="shared" si="17"/>
        <v>0.50074785130296862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411">
        <f>'2022'!Wh/'2022'!Env_an*'2023'!Env_an</f>
        <v>15.314091965828494</v>
      </c>
      <c r="C59" s="841"/>
      <c r="D59" s="393">
        <f t="shared" si="0"/>
        <v>15.899235914773291</v>
      </c>
      <c r="E59" s="385">
        <f t="shared" si="1"/>
        <v>16.800547655007712</v>
      </c>
      <c r="F59" s="385">
        <f t="shared" si="2"/>
        <v>16.801056452833834</v>
      </c>
      <c r="G59" s="110">
        <f t="shared" si="21"/>
        <v>0.43508093796640418</v>
      </c>
      <c r="H59" s="414" t="b">
        <f>Wh_hp&gt;='2022'!Maxi_hp</f>
        <v>0</v>
      </c>
      <c r="I59" s="390">
        <f>IF(H59,Wh_hp,'2022'!Maxi_hp)</f>
        <v>40.073233720515397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3.6803274829143917E-2</v>
      </c>
      <c r="M59" s="845"/>
      <c r="N59" s="845"/>
      <c r="O59" s="48">
        <f>IF(t&lt;Tnet,'2022'!Resal+('2022'!Salim-'2022'!Resal)*(1-EXP(('2022'!Tnet-t)/('2022'!Tau_j))),Resal+(Salim-Resal)*(1-EXP((Tnet-t)/(Tau_j))))*Salcycl</f>
        <v>5.3647759510135305E-2</v>
      </c>
      <c r="P59" s="169">
        <f>(INDEX(Models!$BJ59:$BT59,,T59)*(1-R59)+INDEX(Models!$BJ59:$BT59,,T59+1)*R59-ERP_i)*Q59*Ramure*Pc/MaxiM</f>
        <v>1.5686843653411328E-4</v>
      </c>
      <c r="Q59" s="305">
        <f t="shared" si="4"/>
        <v>0.5</v>
      </c>
      <c r="R59" s="177">
        <f t="shared" si="5"/>
        <v>0.5009165373669503</v>
      </c>
      <c r="S59" s="811">
        <f t="shared" si="6"/>
        <v>0</v>
      </c>
      <c r="T59" s="176">
        <f t="shared" si="7"/>
        <v>6</v>
      </c>
      <c r="U59" s="251">
        <f t="shared" si="8"/>
        <v>0.5009165373669503</v>
      </c>
      <c r="V59" s="383">
        <f t="shared" si="9"/>
        <v>35.193804279488489</v>
      </c>
      <c r="W59" s="402">
        <f t="shared" si="10"/>
        <v>15.314091965828494</v>
      </c>
      <c r="X59" s="157">
        <f t="shared" si="11"/>
        <v>44971</v>
      </c>
      <c r="Y59" s="385">
        <f t="shared" si="12"/>
        <v>14.859931645641812</v>
      </c>
      <c r="Z59" s="385">
        <f t="shared" si="22"/>
        <v>15.427722351325366</v>
      </c>
      <c r="AA59" s="386">
        <f t="shared" si="13"/>
        <v>16.800547655007712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8.1713128159435294E-2</v>
      </c>
      <c r="AD59" s="231">
        <f>(INDEX(Models!$BJ59:$BT59,,AH59)*(1-AF59)+INDEX(Models!$BJ59:$BT59,,AH59+1)*AF59-ERP_i)*AE59*Ramure*Pc/MaxiM</f>
        <v>1.5686843653411328E-4</v>
      </c>
      <c r="AE59" s="305">
        <f t="shared" si="15"/>
        <v>0.5</v>
      </c>
      <c r="AF59" s="177">
        <f t="shared" si="23"/>
        <v>0.5009165373669503</v>
      </c>
      <c r="AG59" s="811">
        <f t="shared" si="24"/>
        <v>0</v>
      </c>
      <c r="AH59" s="176">
        <f t="shared" si="16"/>
        <v>6</v>
      </c>
      <c r="AI59" s="225">
        <f t="shared" si="17"/>
        <v>0.5009165373669503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411">
        <f>'2022'!Wh/'2022'!Env_an*'2023'!Env_an</f>
        <v>19.254036139618169</v>
      </c>
      <c r="C60" s="841"/>
      <c r="D60" s="393">
        <f t="shared" si="0"/>
        <v>19.990161260406239</v>
      </c>
      <c r="E60" s="385">
        <f t="shared" si="1"/>
        <v>21.12455081321438</v>
      </c>
      <c r="F60" s="385">
        <f t="shared" si="2"/>
        <v>21.125716397414703</v>
      </c>
      <c r="G60" s="110">
        <f t="shared" si="21"/>
        <v>0.54222636233109744</v>
      </c>
      <c r="H60" s="414" t="b">
        <f>Wh_hp&gt;='2022'!Maxi_hp</f>
        <v>0</v>
      </c>
      <c r="I60" s="390">
        <f>IF(H60,Wh_hp,'2022'!Maxi_hp)</f>
        <v>40.326165520091415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3.6824371309404413E-2</v>
      </c>
      <c r="M60" s="845"/>
      <c r="N60" s="845"/>
      <c r="O60" s="48">
        <f>IF(t&lt;Tnet,'2022'!Resal+('2022'!Salim-'2022'!Resal)*(1-EXP(('2022'!Tnet-t)/('2022'!Tau_j))),Resal+(Salim-Resal)*(1-EXP((Tnet-t)/(Tau_j))))*Salcycl</f>
        <v>5.3700055581703918E-2</v>
      </c>
      <c r="P60" s="169">
        <f>(INDEX(Models!$BJ60:$BT60,,T60)*(1-R60)+INDEX(Models!$BJ60:$BT60,,T60+1)*R60-ERP_i)*Q60*Ramure*Pc/MaxiM</f>
        <v>1.5940704174835892E-4</v>
      </c>
      <c r="Q60" s="305">
        <f t="shared" si="4"/>
        <v>0.5</v>
      </c>
      <c r="R60" s="177">
        <f t="shared" si="5"/>
        <v>0.50109217833328068</v>
      </c>
      <c r="S60" s="811">
        <f t="shared" si="6"/>
        <v>0</v>
      </c>
      <c r="T60" s="176">
        <f t="shared" si="7"/>
        <v>6</v>
      </c>
      <c r="U60" s="251">
        <f t="shared" si="8"/>
        <v>0.50109217833328068</v>
      </c>
      <c r="V60" s="383">
        <f t="shared" si="9"/>
        <v>35.505520303044307</v>
      </c>
      <c r="W60" s="402">
        <f t="shared" si="10"/>
        <v>19.254036139618169</v>
      </c>
      <c r="X60" s="157">
        <f t="shared" si="11"/>
        <v>44972</v>
      </c>
      <c r="Y60" s="385">
        <f t="shared" si="12"/>
        <v>18.683512153417645</v>
      </c>
      <c r="Z60" s="385">
        <f t="shared" si="22"/>
        <v>19.397824858605738</v>
      </c>
      <c r="AA60" s="386">
        <f t="shared" si="13"/>
        <v>21.12455081321438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8.1740244792731717E-2</v>
      </c>
      <c r="AD60" s="231">
        <f>(INDEX(Models!$BJ60:$BT60,,AH60)*(1-AF60)+INDEX(Models!$BJ60:$BT60,,AH60+1)*AF60-ERP_i)*AE60*Ramure*Pc/MaxiM</f>
        <v>1.5940704174835892E-4</v>
      </c>
      <c r="AE60" s="305">
        <f t="shared" si="15"/>
        <v>0.5</v>
      </c>
      <c r="AF60" s="177">
        <f t="shared" si="23"/>
        <v>0.50109217833328068</v>
      </c>
      <c r="AG60" s="811">
        <f t="shared" si="24"/>
        <v>0</v>
      </c>
      <c r="AH60" s="176">
        <f t="shared" si="16"/>
        <v>6</v>
      </c>
      <c r="AI60" s="225">
        <f t="shared" si="17"/>
        <v>0.50109217833328068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411">
        <f>'2022'!Wh/'2022'!Env_an*'2023'!Env_an</f>
        <v>10.086079705817632</v>
      </c>
      <c r="C61" s="841"/>
      <c r="D61" s="393">
        <f t="shared" si="0"/>
        <v>10.471922587367619</v>
      </c>
      <c r="E61" s="385">
        <f t="shared" si="1"/>
        <v>11.06678804210885</v>
      </c>
      <c r="F61" s="385">
        <f t="shared" si="2"/>
        <v>11.06678804210885</v>
      </c>
      <c r="G61" s="110">
        <f t="shared" si="21"/>
        <v>0.28154147775168276</v>
      </c>
      <c r="H61" s="414" t="b">
        <f>Wh_hp&gt;='2022'!Maxi_hp</f>
        <v>0</v>
      </c>
      <c r="I61" s="390">
        <f>IF(H61,Wh_hp,'2022'!Maxi_hp)</f>
        <v>40.772992464506032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3.6845467327597858E-2</v>
      </c>
      <c r="M61" s="845"/>
      <c r="N61" s="845"/>
      <c r="O61" s="48">
        <f>IF(t&lt;Tnet,'2022'!Resal+('2022'!Salim-'2022'!Resal)*(1-EXP(('2022'!Tnet-t)/('2022'!Tau_j))),Resal+(Salim-Resal)*(1-EXP((Tnet-t)/(Tau_j))))*Salcycl</f>
        <v>5.3752312999741543E-2</v>
      </c>
      <c r="P61" s="169">
        <f>(INDEX(Models!$BJ61:$BT61,,T61)*(1-R61)+INDEX(Models!$BJ61:$BT61,,T61+1)*R61-ERP_i)*Q61*Ramure*Pc/MaxiM</f>
        <v>1.6283257111455917E-4</v>
      </c>
      <c r="Q61" s="305">
        <f t="shared" si="4"/>
        <v>0.5</v>
      </c>
      <c r="R61" s="177">
        <f t="shared" si="5"/>
        <v>0.50127505567906883</v>
      </c>
      <c r="S61" s="811">
        <f t="shared" si="6"/>
        <v>0</v>
      </c>
      <c r="T61" s="176">
        <f t="shared" si="7"/>
        <v>6</v>
      </c>
      <c r="U61" s="251">
        <f t="shared" si="8"/>
        <v>0.50127505567906883</v>
      </c>
      <c r="V61" s="383">
        <f t="shared" si="9"/>
        <v>35.818656078878206</v>
      </c>
      <c r="W61" s="402">
        <f t="shared" si="10"/>
        <v>10.086079705817632</v>
      </c>
      <c r="X61" s="157">
        <f t="shared" si="11"/>
        <v>44973</v>
      </c>
      <c r="Y61" s="385">
        <f t="shared" si="12"/>
        <v>9.7874666804631936</v>
      </c>
      <c r="Z61" s="385">
        <f t="shared" si="22"/>
        <v>10.16188612361772</v>
      </c>
      <c r="AA61" s="386">
        <f t="shared" si="13"/>
        <v>11.06678804210885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8.1767348850271843E-2</v>
      </c>
      <c r="AD61" s="231">
        <f>(INDEX(Models!$BJ61:$BT61,,AH61)*(1-AF61)+INDEX(Models!$BJ61:$BT61,,AH61+1)*AF61-ERP_i)*AE61*Ramure*Pc/MaxiM</f>
        <v>1.6283257111455917E-4</v>
      </c>
      <c r="AE61" s="305">
        <f t="shared" si="15"/>
        <v>0.5</v>
      </c>
      <c r="AF61" s="177">
        <f t="shared" si="23"/>
        <v>0.50127505567906883</v>
      </c>
      <c r="AG61" s="811">
        <f t="shared" si="24"/>
        <v>0</v>
      </c>
      <c r="AH61" s="176">
        <f t="shared" si="16"/>
        <v>6</v>
      </c>
      <c r="AI61" s="225">
        <f t="shared" si="17"/>
        <v>0.50127505567906883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411">
        <f>'2022'!Wh/'2022'!Env_an*'2023'!Env_an</f>
        <v>10.912189043459033</v>
      </c>
      <c r="C62" s="841"/>
      <c r="D62" s="393">
        <f t="shared" si="0"/>
        <v>11.329882883239321</v>
      </c>
      <c r="E62" s="385">
        <f t="shared" si="1"/>
        <v>11.974146148483381</v>
      </c>
      <c r="F62" s="385">
        <f t="shared" si="2"/>
        <v>11.97415185811351</v>
      </c>
      <c r="G62" s="110">
        <f t="shared" si="21"/>
        <v>0.30194690858087703</v>
      </c>
      <c r="H62" s="414" t="b">
        <f>Wh_hp&gt;='2022'!Maxi_hp</f>
        <v>0</v>
      </c>
      <c r="I62" s="390">
        <f>IF(H62,Wh_hp,'2022'!Maxi_hp)</f>
        <v>41.216821259374889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3.6866562883734355E-2</v>
      </c>
      <c r="M62" s="845"/>
      <c r="N62" s="845"/>
      <c r="O62" s="48">
        <f>IF(t&lt;Tnet,'2022'!Resal+('2022'!Salim-'2022'!Resal)*(1-EXP(('2022'!Tnet-t)/('2022'!Tau_j))),Resal+(Salim-Resal)*(1-EXP((Tnet-t)/(Tau_j))))*Salcycl</f>
        <v>5.3804526623859567E-2</v>
      </c>
      <c r="P62" s="169">
        <f>(INDEX(Models!$BJ62:$BT62,,T62)*(1-R62)+INDEX(Models!$BJ62:$BT62,,T62+1)*R62-ERP_i)*Q62*Ramure*Pc/MaxiM</f>
        <v>1.6712142370217233E-4</v>
      </c>
      <c r="Q62" s="305">
        <f t="shared" si="4"/>
        <v>0.5</v>
      </c>
      <c r="R62" s="177">
        <f t="shared" si="5"/>
        <v>0.50146546182622509</v>
      </c>
      <c r="S62" s="811">
        <f t="shared" si="6"/>
        <v>0</v>
      </c>
      <c r="T62" s="176">
        <f t="shared" si="7"/>
        <v>6</v>
      </c>
      <c r="U62" s="251">
        <f t="shared" si="8"/>
        <v>0.50146546182622509</v>
      </c>
      <c r="V62" s="383">
        <f t="shared" si="9"/>
        <v>36.133407149474905</v>
      </c>
      <c r="W62" s="402">
        <f t="shared" si="10"/>
        <v>10.912189043459033</v>
      </c>
      <c r="X62" s="157">
        <f t="shared" si="11"/>
        <v>44974</v>
      </c>
      <c r="Y62" s="385">
        <f t="shared" si="12"/>
        <v>10.58938984144474</v>
      </c>
      <c r="Z62" s="385">
        <f t="shared" si="22"/>
        <v>10.994727660115938</v>
      </c>
      <c r="AA62" s="386">
        <f t="shared" si="13"/>
        <v>11.974146148483381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8.1794432456588545E-2</v>
      </c>
      <c r="AD62" s="231">
        <f>(INDEX(Models!$BJ62:$BT62,,AH62)*(1-AF62)+INDEX(Models!$BJ62:$BT62,,AH62+1)*AF62-ERP_i)*AE62*Ramure*Pc/MaxiM</f>
        <v>1.6712142370217233E-4</v>
      </c>
      <c r="AE62" s="305">
        <f t="shared" si="15"/>
        <v>0.5</v>
      </c>
      <c r="AF62" s="177">
        <f t="shared" si="23"/>
        <v>0.50146546182622509</v>
      </c>
      <c r="AG62" s="811">
        <f t="shared" si="24"/>
        <v>0</v>
      </c>
      <c r="AH62" s="176">
        <f t="shared" si="16"/>
        <v>6</v>
      </c>
      <c r="AI62" s="225">
        <f t="shared" si="17"/>
        <v>0.50146546182622509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411">
        <f>'2022'!Wh/'2022'!Env_an*'2023'!Env_an</f>
        <v>27.789344233073251</v>
      </c>
      <c r="C63" s="841"/>
      <c r="D63" s="393">
        <f t="shared" si="0"/>
        <v>28.853689253660704</v>
      </c>
      <c r="E63" s="385">
        <f t="shared" si="1"/>
        <v>30.496108782847855</v>
      </c>
      <c r="F63" s="385">
        <f t="shared" si="2"/>
        <v>30.499579118459867</v>
      </c>
      <c r="G63" s="110">
        <f t="shared" si="21"/>
        <v>0.7623523434412609</v>
      </c>
      <c r="H63" s="414" t="b">
        <f>Wh_hp&gt;='2022'!Maxi_hp</f>
        <v>0</v>
      </c>
      <c r="I63" s="390">
        <f>IF(H63,Wh_hp,'2022'!Maxi_hp)</f>
        <v>40.739227562492772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3.6887657977824007E-2</v>
      </c>
      <c r="M63" s="845"/>
      <c r="N63" s="845"/>
      <c r="O63" s="48">
        <f>IF(t&lt;Tnet,'2022'!Resal+('2022'!Salim-'2022'!Resal)*(1-EXP(('2022'!Tnet-t)/('2022'!Tau_j))),Resal+(Salim-Resal)*(1-EXP((Tnet-t)/(Tau_j))))*Salcycl</f>
        <v>5.3856691713760882E-2</v>
      </c>
      <c r="P63" s="169">
        <f>(INDEX(Models!$BJ63:$BT63,,T63)*(1-R63)+INDEX(Models!$BJ63:$BT63,,T63+1)*R63-ERP_i)*Q63*Ramure*Pc/MaxiM</f>
        <v>1.7225059640054455E-4</v>
      </c>
      <c r="Q63" s="305">
        <f t="shared" si="4"/>
        <v>0.5</v>
      </c>
      <c r="R63" s="177">
        <f t="shared" si="5"/>
        <v>0.50166370052897347</v>
      </c>
      <c r="S63" s="811">
        <f t="shared" si="6"/>
        <v>0</v>
      </c>
      <c r="T63" s="176">
        <f t="shared" si="7"/>
        <v>6</v>
      </c>
      <c r="U63" s="251">
        <f t="shared" si="8"/>
        <v>0.50166370052897347</v>
      </c>
      <c r="V63" s="383">
        <f t="shared" si="9"/>
        <v>36.44996898469158</v>
      </c>
      <c r="W63" s="402">
        <f t="shared" si="10"/>
        <v>27.789344233073251</v>
      </c>
      <c r="X63" s="157">
        <f t="shared" si="11"/>
        <v>44975</v>
      </c>
      <c r="Y63" s="385">
        <f t="shared" si="12"/>
        <v>26.967985191875325</v>
      </c>
      <c r="Z63" s="385">
        <f t="shared" si="22"/>
        <v>28.000871772915541</v>
      </c>
      <c r="AA63" s="386">
        <f t="shared" si="13"/>
        <v>30.496108782847855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8.1821488364303377E-2</v>
      </c>
      <c r="AD63" s="231">
        <f>(INDEX(Models!$BJ63:$BT63,,AH63)*(1-AF63)+INDEX(Models!$BJ63:$BT63,,AH63+1)*AF63-ERP_i)*AE63*Ramure*Pc/MaxiM</f>
        <v>1.7225059640054455E-4</v>
      </c>
      <c r="AE63" s="305">
        <f t="shared" si="15"/>
        <v>0.5</v>
      </c>
      <c r="AF63" s="177">
        <f t="shared" si="23"/>
        <v>0.50166370052897347</v>
      </c>
      <c r="AG63" s="811">
        <f t="shared" si="24"/>
        <v>0</v>
      </c>
      <c r="AH63" s="176">
        <f t="shared" si="16"/>
        <v>6</v>
      </c>
      <c r="AI63" s="225">
        <f t="shared" si="17"/>
        <v>0.50166370052897347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411">
        <f>'2022'!Wh/'2022'!Env_an*'2023'!Env_an</f>
        <v>20.139202767338698</v>
      </c>
      <c r="C64" s="841"/>
      <c r="D64" s="393">
        <f t="shared" si="0"/>
        <v>20.911001758051317</v>
      </c>
      <c r="E64" s="385">
        <f t="shared" si="1"/>
        <v>22.102522300939395</v>
      </c>
      <c r="F64" s="385">
        <f t="shared" si="2"/>
        <v>22.103916261181727</v>
      </c>
      <c r="G64" s="110">
        <f t="shared" si="21"/>
        <v>0.54766617264493667</v>
      </c>
      <c r="H64" s="414" t="b">
        <f>Wh_hp&gt;='2022'!Maxi_hp</f>
        <v>0</v>
      </c>
      <c r="I64" s="390">
        <f>IF(H64,Wh_hp,'2022'!Maxi_hp)</f>
        <v>38.479174675338513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3.6908752609876916E-2</v>
      </c>
      <c r="M64" s="845"/>
      <c r="N64" s="845"/>
      <c r="O64" s="48">
        <f>IF(t&lt;Tnet,'2022'!Resal+('2022'!Salim-'2022'!Resal)*(1-EXP(('2022'!Tnet-t)/('2022'!Tau_j))),Resal+(Salim-Resal)*(1-EXP((Tnet-t)/(Tau_j))))*Salcycl</f>
        <v>5.3908804011813409E-2</v>
      </c>
      <c r="P64" s="169">
        <f>(INDEX(Models!$BJ64:$BT64,,T64)*(1-R64)+INDEX(Models!$BJ64:$BT64,,T64+1)*R64-ERP_i)*Q64*Ramure*Pc/MaxiM</f>
        <v>1.7819763366340194E-4</v>
      </c>
      <c r="Q64" s="305">
        <f t="shared" si="4"/>
        <v>0.5</v>
      </c>
      <c r="R64" s="177">
        <f t="shared" si="5"/>
        <v>0.50187008727178239</v>
      </c>
      <c r="S64" s="811">
        <f t="shared" si="6"/>
        <v>0</v>
      </c>
      <c r="T64" s="176">
        <f t="shared" si="7"/>
        <v>6</v>
      </c>
      <c r="U64" s="251">
        <f t="shared" si="8"/>
        <v>0.50187008727178239</v>
      </c>
      <c r="V64" s="383">
        <f t="shared" si="9"/>
        <v>36.768536977967514</v>
      </c>
      <c r="W64" s="402">
        <f t="shared" si="10"/>
        <v>20.139202767338698</v>
      </c>
      <c r="X64" s="157">
        <f t="shared" si="11"/>
        <v>44976</v>
      </c>
      <c r="Y64" s="385">
        <f t="shared" si="12"/>
        <v>19.54445734734</v>
      </c>
      <c r="Z64" s="385">
        <f t="shared" si="22"/>
        <v>20.293463781654587</v>
      </c>
      <c r="AA64" s="386">
        <f t="shared" si="13"/>
        <v>22.102522300939395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8.1848510077418585E-2</v>
      </c>
      <c r="AD64" s="231">
        <f>(INDEX(Models!$BJ64:$BT64,,AH64)*(1-AF64)+INDEX(Models!$BJ64:$BT64,,AH64+1)*AF64-ERP_i)*AE64*Ramure*Pc/MaxiM</f>
        <v>1.7819763366340194E-4</v>
      </c>
      <c r="AE64" s="305">
        <f t="shared" si="15"/>
        <v>0.5</v>
      </c>
      <c r="AF64" s="177">
        <f t="shared" si="23"/>
        <v>0.50187008727178239</v>
      </c>
      <c r="AG64" s="811">
        <f t="shared" si="24"/>
        <v>0</v>
      </c>
      <c r="AH64" s="176">
        <f t="shared" si="16"/>
        <v>6</v>
      </c>
      <c r="AI64" s="225">
        <f t="shared" si="17"/>
        <v>0.50187008727178239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411">
        <f>'2022'!Wh/'2022'!Env_an*'2023'!Env_an</f>
        <v>19.20959508536334</v>
      </c>
      <c r="C65" s="841"/>
      <c r="D65" s="393">
        <f t="shared" si="0"/>
        <v>19.946205394419742</v>
      </c>
      <c r="E65" s="385">
        <f t="shared" si="1"/>
        <v>21.083911380970324</v>
      </c>
      <c r="F65" s="385">
        <f t="shared" si="2"/>
        <v>21.085125378664966</v>
      </c>
      <c r="G65" s="110">
        <f t="shared" si="21"/>
        <v>0.51786011105294116</v>
      </c>
      <c r="H65" s="414" t="b">
        <f>Wh_hp&gt;='2022'!Maxi_hp</f>
        <v>0</v>
      </c>
      <c r="I65" s="390">
        <f>IF(H65,Wh_hp,'2022'!Maxi_hp)</f>
        <v>40.655100676030095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3.6929846779903297E-2</v>
      </c>
      <c r="M65" s="845"/>
      <c r="N65" s="845"/>
      <c r="O65" s="48">
        <f>IF(t&lt;Tnet,'2022'!Resal+('2022'!Salim-'2022'!Resal)*(1-EXP(('2022'!Tnet-t)/('2022'!Tau_j))),Resal+(Salim-Resal)*(1-EXP((Tnet-t)/(Tau_j))))*Salcycl</f>
        <v>5.396085982307066E-2</v>
      </c>
      <c r="P65" s="169">
        <f>(INDEX(Models!$BJ65:$BT65,,T65)*(1-R65)+INDEX(Models!$BJ65:$BT65,,T65+1)*R65-ERP_i)*Q65*Ramure*Pc/MaxiM</f>
        <v>1.8493985274215801E-4</v>
      </c>
      <c r="Q65" s="305">
        <f t="shared" si="4"/>
        <v>0.5</v>
      </c>
      <c r="R65" s="177">
        <f t="shared" si="5"/>
        <v>0.50208494967769268</v>
      </c>
      <c r="S65" s="811">
        <f t="shared" si="6"/>
        <v>0</v>
      </c>
      <c r="T65" s="176">
        <f t="shared" si="7"/>
        <v>6</v>
      </c>
      <c r="U65" s="251">
        <f t="shared" si="8"/>
        <v>0.50208494967769268</v>
      </c>
      <c r="V65" s="383">
        <f t="shared" si="9"/>
        <v>37.08945316886166</v>
      </c>
      <c r="W65" s="402">
        <f t="shared" si="10"/>
        <v>19.20959508536334</v>
      </c>
      <c r="X65" s="157">
        <f t="shared" si="11"/>
        <v>44977</v>
      </c>
      <c r="Y65" s="385">
        <f t="shared" si="12"/>
        <v>18.642780502613228</v>
      </c>
      <c r="Z65" s="385">
        <f t="shared" si="22"/>
        <v>19.357655763995702</v>
      </c>
      <c r="AA65" s="386">
        <f t="shared" si="13"/>
        <v>21.083911380970324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8.1875491970274883E-2</v>
      </c>
      <c r="AD65" s="231">
        <f>(INDEX(Models!$BJ65:$BT65,,AH65)*(1-AF65)+INDEX(Models!$BJ65:$BT65,,AH65+1)*AF65-ERP_i)*AE65*Ramure*Pc/MaxiM</f>
        <v>1.8493985274215801E-4</v>
      </c>
      <c r="AE65" s="305">
        <f t="shared" si="15"/>
        <v>0.5</v>
      </c>
      <c r="AF65" s="177">
        <f t="shared" si="23"/>
        <v>0.50208494967769268</v>
      </c>
      <c r="AG65" s="811">
        <f t="shared" si="24"/>
        <v>0</v>
      </c>
      <c r="AH65" s="176">
        <f t="shared" si="16"/>
        <v>6</v>
      </c>
      <c r="AI65" s="225">
        <f t="shared" si="17"/>
        <v>0.50208494967769268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411">
        <f>'2022'!Wh/'2022'!Env_an*'2023'!Env_an</f>
        <v>21.235782883669682</v>
      </c>
      <c r="C66" s="841"/>
      <c r="D66" s="393">
        <f t="shared" si="0"/>
        <v>22.050572267240931</v>
      </c>
      <c r="E66" s="385">
        <f t="shared" si="1"/>
        <v>23.309589785910251</v>
      </c>
      <c r="F66" s="385">
        <f t="shared" si="2"/>
        <v>23.311298101618547</v>
      </c>
      <c r="G66" s="110">
        <f t="shared" si="21"/>
        <v>0.56754078085078297</v>
      </c>
      <c r="H66" s="414" t="b">
        <f>Wh_hp&gt;='2022'!Maxi_hp</f>
        <v>0</v>
      </c>
      <c r="I66" s="390">
        <f>IF(H66,Wh_hp,'2022'!Maxi_hp)</f>
        <v>38.737384022485628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3.6950940487913253E-2</v>
      </c>
      <c r="M66" s="845"/>
      <c r="N66" s="845"/>
      <c r="O66" s="48">
        <f>IF(t&lt;Tnet,'2022'!Resal+('2022'!Salim-'2022'!Resal)*(1-EXP(('2022'!Tnet-t)/('2022'!Tau_j))),Resal+(Salim-Resal)*(1-EXP((Tnet-t)/(Tau_j))))*Salcycl</f>
        <v>5.4012856091974162E-2</v>
      </c>
      <c r="P66" s="169">
        <f>(INDEX(Models!$BJ66:$BT66,,T66)*(1-R66)+INDEX(Models!$BJ66:$BT66,,T66+1)*R66-ERP_i)*Q66*Ramure*Pc/MaxiM</f>
        <v>1.9169051849441657E-4</v>
      </c>
      <c r="Q66" s="305">
        <f t="shared" si="4"/>
        <v>0.5</v>
      </c>
      <c r="R66" s="177">
        <f t="shared" si="5"/>
        <v>0.50230862792697928</v>
      </c>
      <c r="S66" s="811">
        <f t="shared" si="6"/>
        <v>0</v>
      </c>
      <c r="T66" s="176">
        <f t="shared" si="7"/>
        <v>6</v>
      </c>
      <c r="U66" s="251">
        <f t="shared" si="8"/>
        <v>0.50230862792697928</v>
      </c>
      <c r="V66" s="383">
        <f t="shared" si="9"/>
        <v>37.412762102488031</v>
      </c>
      <c r="W66" s="402">
        <f t="shared" si="10"/>
        <v>21.235782883669682</v>
      </c>
      <c r="X66" s="157">
        <f t="shared" si="11"/>
        <v>44978</v>
      </c>
      <c r="Y66" s="385">
        <f t="shared" si="12"/>
        <v>20.609709974197855</v>
      </c>
      <c r="Z66" s="385">
        <f t="shared" si="22"/>
        <v>21.400477754102614</v>
      </c>
      <c r="AA66" s="386">
        <f t="shared" si="13"/>
        <v>23.309589785910251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8.1902429401036633E-2</v>
      </c>
      <c r="AD66" s="231">
        <f>(INDEX(Models!$BJ66:$BT66,,AH66)*(1-AF66)+INDEX(Models!$BJ66:$BT66,,AH66+1)*AF66-ERP_i)*AE66*Ramure*Pc/MaxiM</f>
        <v>1.9169051849441657E-4</v>
      </c>
      <c r="AE66" s="305">
        <f t="shared" si="15"/>
        <v>0.5</v>
      </c>
      <c r="AF66" s="177">
        <f t="shared" si="23"/>
        <v>0.50230862792697928</v>
      </c>
      <c r="AG66" s="811">
        <f t="shared" si="24"/>
        <v>0</v>
      </c>
      <c r="AH66" s="176">
        <f t="shared" si="16"/>
        <v>6</v>
      </c>
      <c r="AI66" s="225">
        <f t="shared" si="17"/>
        <v>0.50230862792697928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411">
        <f>'2022'!Wh/'2022'!Env_an*'2023'!Env_an</f>
        <v>32.822521834106738</v>
      </c>
      <c r="C67" s="841"/>
      <c r="D67" s="393">
        <f t="shared" si="0"/>
        <v>34.082625825881699</v>
      </c>
      <c r="E67" s="385">
        <f t="shared" si="1"/>
        <v>36.030613389469941</v>
      </c>
      <c r="F67" s="385">
        <f t="shared" si="2"/>
        <v>36.036421844473104</v>
      </c>
      <c r="G67" s="110">
        <f t="shared" si="21"/>
        <v>0.86971091808427436</v>
      </c>
      <c r="H67" s="414" t="b">
        <f>Wh_hp&gt;='2022'!Maxi_hp</f>
        <v>0</v>
      </c>
      <c r="I67" s="390">
        <f>IF(H67,Wh_hp,'2022'!Maxi_hp)</f>
        <v>40.196901311599696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3.6972033733916776E-2</v>
      </c>
      <c r="M67" s="845"/>
      <c r="N67" s="845"/>
      <c r="O67" s="48">
        <f>IF(t&lt;Tnet,'2022'!Resal+('2022'!Salim-'2022'!Resal)*(1-EXP(('2022'!Tnet-t)/('2022'!Tau_j))),Resal+(Salim-Resal)*(1-EXP((Tnet-t)/(Tau_j))))*Salcycl</f>
        <v>5.4064790475022759E-2</v>
      </c>
      <c r="P67" s="169">
        <f>(INDEX(Models!$BJ67:$BT67,,T67)*(1-R67)+INDEX(Models!$BJ67:$BT67,,T67+1)*R67-ERP_i)*Q67*Ramure*Pc/MaxiM</f>
        <v>1.9803321096846963E-4</v>
      </c>
      <c r="Q67" s="305">
        <f t="shared" si="4"/>
        <v>0.5</v>
      </c>
      <c r="R67" s="177">
        <f t="shared" si="5"/>
        <v>0.50254147518604853</v>
      </c>
      <c r="S67" s="811">
        <f t="shared" si="6"/>
        <v>0</v>
      </c>
      <c r="T67" s="176">
        <f t="shared" si="7"/>
        <v>6</v>
      </c>
      <c r="U67" s="251">
        <f t="shared" si="8"/>
        <v>0.50254147518604853</v>
      </c>
      <c r="V67" s="383">
        <f t="shared" si="9"/>
        <v>37.738185685081945</v>
      </c>
      <c r="W67" s="402">
        <f t="shared" si="10"/>
        <v>32.822521834106738</v>
      </c>
      <c r="X67" s="157">
        <f t="shared" si="11"/>
        <v>44979</v>
      </c>
      <c r="Y67" s="385">
        <f t="shared" si="12"/>
        <v>31.85566482239344</v>
      </c>
      <c r="Z67" s="385">
        <f t="shared" si="22"/>
        <v>33.078649777852625</v>
      </c>
      <c r="AA67" s="386">
        <f t="shared" si="13"/>
        <v>36.030613389469941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8.1929318818647595E-2</v>
      </c>
      <c r="AD67" s="231">
        <f>(INDEX(Models!$BJ67:$BT67,,AH67)*(1-AF67)+INDEX(Models!$BJ67:$BT67,,AH67+1)*AF67-ERP_i)*AE67*Ramure*Pc/MaxiM</f>
        <v>1.9803321096846963E-4</v>
      </c>
      <c r="AE67" s="305">
        <f t="shared" si="15"/>
        <v>0.5</v>
      </c>
      <c r="AF67" s="177">
        <f t="shared" si="23"/>
        <v>0.50254147518604853</v>
      </c>
      <c r="AG67" s="811">
        <f t="shared" si="24"/>
        <v>0</v>
      </c>
      <c r="AH67" s="176">
        <f t="shared" si="16"/>
        <v>6</v>
      </c>
      <c r="AI67" s="225">
        <f t="shared" si="17"/>
        <v>0.50254147518604853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411">
        <f>'2022'!Wh/'2022'!Env_an*'2023'!Env_an</f>
        <v>33.961441269339403</v>
      </c>
      <c r="C68" s="841"/>
      <c r="D68" s="393">
        <f t="shared" si="0"/>
        <v>35.266042439074575</v>
      </c>
      <c r="E68" s="385">
        <f t="shared" si="1"/>
        <v>37.283712483611367</v>
      </c>
      <c r="F68" s="385">
        <f t="shared" si="2"/>
        <v>37.29014732523283</v>
      </c>
      <c r="G68" s="110">
        <f t="shared" si="21"/>
        <v>0.89215789637869314</v>
      </c>
      <c r="H68" s="414" t="b">
        <f>Wh_hp&gt;='2022'!Maxi_hp</f>
        <v>0</v>
      </c>
      <c r="I68" s="390">
        <f>IF(H68,Wh_hp,'2022'!Maxi_hp)</f>
        <v>40.899659056750139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3.6993126517924191E-2</v>
      </c>
      <c r="M68" s="845"/>
      <c r="N68" s="845"/>
      <c r="O68" s="48">
        <f>IF(t&lt;Tnet,'2022'!Resal+('2022'!Salim-'2022'!Resal)*(1-EXP(('2022'!Tnet-t)/('2022'!Tau_j))),Resal+(Salim-Resal)*(1-EXP((Tnet-t)/(Tau_j))))*Salcycl</f>
        <v>5.4116661408750273E-2</v>
      </c>
      <c r="P68" s="169">
        <f>(INDEX(Models!$BJ68:$BT68,,T68)*(1-R68)+INDEX(Models!$BJ68:$BT68,,T68+1)*R68-ERP_i)*Q68*Ramure*Pc/MaxiM</f>
        <v>2.039781825595596E-4</v>
      </c>
      <c r="Q68" s="305">
        <f t="shared" si="4"/>
        <v>0.5</v>
      </c>
      <c r="R68" s="177">
        <f t="shared" si="5"/>
        <v>0.50278385804642645</v>
      </c>
      <c r="S68" s="811">
        <f t="shared" si="6"/>
        <v>0</v>
      </c>
      <c r="T68" s="176">
        <f t="shared" si="7"/>
        <v>6</v>
      </c>
      <c r="U68" s="251">
        <f t="shared" si="8"/>
        <v>0.50278385804642645</v>
      </c>
      <c r="V68" s="383">
        <f t="shared" si="9"/>
        <v>38.06543019489412</v>
      </c>
      <c r="W68" s="402">
        <f t="shared" si="10"/>
        <v>33.961441269339403</v>
      </c>
      <c r="X68" s="157">
        <f t="shared" si="11"/>
        <v>44980</v>
      </c>
      <c r="Y68" s="385">
        <f t="shared" si="12"/>
        <v>32.961878865393231</v>
      </c>
      <c r="Z68" s="385">
        <f t="shared" si="22"/>
        <v>34.228082657612248</v>
      </c>
      <c r="AA68" s="386">
        <f t="shared" si="13"/>
        <v>37.283712483611367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8.1956157862290838E-2</v>
      </c>
      <c r="AD68" s="231">
        <f>(INDEX(Models!$BJ68:$BT68,,AH68)*(1-AF68)+INDEX(Models!$BJ68:$BT68,,AH68+1)*AF68-ERP_i)*AE68*Ramure*Pc/MaxiM</f>
        <v>2.039781825595596E-4</v>
      </c>
      <c r="AE68" s="305">
        <f t="shared" si="15"/>
        <v>0.5</v>
      </c>
      <c r="AF68" s="177">
        <f t="shared" si="23"/>
        <v>0.50278385804642645</v>
      </c>
      <c r="AG68" s="811">
        <f t="shared" si="24"/>
        <v>0</v>
      </c>
      <c r="AH68" s="176">
        <f t="shared" si="16"/>
        <v>6</v>
      </c>
      <c r="AI68" s="225">
        <f t="shared" si="17"/>
        <v>0.50278385804642645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411">
        <f>'2022'!Wh/'2022'!Env_an*'2023'!Env_an</f>
        <v>20.87921588824884</v>
      </c>
      <c r="C69" s="841"/>
      <c r="D69" s="393">
        <f t="shared" si="0"/>
        <v>21.681748886361362</v>
      </c>
      <c r="E69" s="385">
        <f t="shared" si="1"/>
        <v>22.923478607724935</v>
      </c>
      <c r="F69" s="385">
        <f t="shared" si="2"/>
        <v>22.925151733312823</v>
      </c>
      <c r="G69" s="110">
        <f t="shared" si="21"/>
        <v>0.54373742593121421</v>
      </c>
      <c r="H69" s="414" t="b">
        <f>Wh_hp&gt;='2022'!Maxi_hp</f>
        <v>0</v>
      </c>
      <c r="I69" s="390">
        <f>IF(H69,Wh_hp,'2022'!Maxi_hp)</f>
        <v>41.03378848015074</v>
      </c>
      <c r="J69" s="85">
        <f>IF(H69,An,'2022'!An_max)</f>
        <v>2019</v>
      </c>
      <c r="K69" s="197">
        <f t="shared" si="3"/>
        <v>44981</v>
      </c>
      <c r="L69" s="147">
        <f>IF(t&lt;Tvie,1-EXP((T0-t)*PertePVj)+'2022'!Pspv,1-EXP((T0-t)*PertePVj)+Pspv)</f>
        <v>3.7014218839945379E-2</v>
      </c>
      <c r="M69" s="845"/>
      <c r="N69" s="845"/>
      <c r="O69" s="48">
        <f>IF(t&lt;Tnet,'2022'!Resal+('2022'!Salim-'2022'!Resal)*(1-EXP(('2022'!Tnet-t)/('2022'!Tau_j))),Resal+(Salim-Resal)*(1-EXP((Tnet-t)/(Tau_j))))*Salcycl</f>
        <v>5.4168468172414538E-2</v>
      </c>
      <c r="P69" s="169">
        <f>(INDEX(Models!$BJ69:$BT69,,T69)*(1-R69)+INDEX(Models!$BJ69:$BT69,,T69+1)*R69-ERP_i)*Q69*Ramure*Pc/MaxiM</f>
        <v>2.0953657231076198E-4</v>
      </c>
      <c r="Q69" s="305">
        <f t="shared" si="4"/>
        <v>0.5</v>
      </c>
      <c r="R69" s="177">
        <f t="shared" si="5"/>
        <v>0.50303615697364468</v>
      </c>
      <c r="S69" s="811">
        <f t="shared" si="6"/>
        <v>0</v>
      </c>
      <c r="T69" s="176">
        <f t="shared" si="7"/>
        <v>6</v>
      </c>
      <c r="U69" s="251">
        <f t="shared" si="8"/>
        <v>0.50303615697364468</v>
      </c>
      <c r="V69" s="383">
        <f t="shared" si="9"/>
        <v>38.3942019329875</v>
      </c>
      <c r="W69" s="402">
        <f t="shared" si="10"/>
        <v>20.87921588824884</v>
      </c>
      <c r="X69" s="157">
        <f t="shared" si="11"/>
        <v>44981</v>
      </c>
      <c r="Y69" s="385">
        <f t="shared" si="12"/>
        <v>20.265211748603342</v>
      </c>
      <c r="Z69" s="385">
        <f t="shared" si="22"/>
        <v>21.044144311446619</v>
      </c>
      <c r="AA69" s="386">
        <f t="shared" si="13"/>
        <v>22.923478607724935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8.198294545248469E-2</v>
      </c>
      <c r="AD69" s="231">
        <f>(INDEX(Models!$BJ69:$BT69,,AH69)*(1-AF69)+INDEX(Models!$BJ69:$BT69,,AH69+1)*AF69-ERP_i)*AE69*Ramure*Pc/MaxiM</f>
        <v>2.0953657231076198E-4</v>
      </c>
      <c r="AE69" s="305">
        <f t="shared" si="15"/>
        <v>0.5</v>
      </c>
      <c r="AF69" s="177">
        <f t="shared" si="23"/>
        <v>0.50303615697364468</v>
      </c>
      <c r="AG69" s="811">
        <f t="shared" si="24"/>
        <v>0</v>
      </c>
      <c r="AH69" s="176">
        <f t="shared" si="16"/>
        <v>6</v>
      </c>
      <c r="AI69" s="225">
        <f t="shared" si="17"/>
        <v>0.50303615697364468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411">
        <f>'2022'!Wh/'2022'!Env_an*'2023'!Env_an</f>
        <v>30.41015888948229</v>
      </c>
      <c r="C70" s="841"/>
      <c r="D70" s="393">
        <f t="shared" si="0"/>
        <v>31.579723771167352</v>
      </c>
      <c r="E70" s="385">
        <f t="shared" si="1"/>
        <v>33.390144446538287</v>
      </c>
      <c r="F70" s="385">
        <f t="shared" si="2"/>
        <v>33.395115718578261</v>
      </c>
      <c r="G70" s="110">
        <f t="shared" si="21"/>
        <v>0.78524927996121452</v>
      </c>
      <c r="H70" s="414" t="b">
        <f>Wh_hp&gt;='2022'!Maxi_hp</f>
        <v>0</v>
      </c>
      <c r="I70" s="390">
        <f>IF(H70,Wh_hp,'2022'!Maxi_hp)</f>
        <v>42.028165575806206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3.7035310699990664E-2</v>
      </c>
      <c r="M70" s="845"/>
      <c r="N70" s="845"/>
      <c r="O70" s="48">
        <f>IF(t&lt;Tnet,'2022'!Resal+('2022'!Salim-'2022'!Resal)*(1-EXP(('2022'!Tnet-t)/('2022'!Tau_j))),Resal+(Salim-Resal)*(1-EXP((Tnet-t)/(Tau_j))))*Salcycl</f>
        <v>5.4220210944868369E-2</v>
      </c>
      <c r="P70" s="169">
        <f>(INDEX(Models!$BJ70:$BT70,,T70)*(1-R70)+INDEX(Models!$BJ70:$BT70,,T70+1)*R70-ERP_i)*Q70*Ramure*Pc/MaxiM</f>
        <v>2.1471946960343664E-4</v>
      </c>
      <c r="Q70" s="305">
        <f t="shared" si="4"/>
        <v>0.5</v>
      </c>
      <c r="R70" s="177">
        <f t="shared" si="5"/>
        <v>0.50329876676578078</v>
      </c>
      <c r="S70" s="811">
        <f t="shared" si="6"/>
        <v>0</v>
      </c>
      <c r="T70" s="176">
        <f t="shared" si="7"/>
        <v>6</v>
      </c>
      <c r="U70" s="251">
        <f t="shared" si="8"/>
        <v>0.50329876676578078</v>
      </c>
      <c r="V70" s="383">
        <f t="shared" si="9"/>
        <v>38.724207253363332</v>
      </c>
      <c r="W70" s="402">
        <f t="shared" si="10"/>
        <v>30.41015888948229</v>
      </c>
      <c r="X70" s="157">
        <f t="shared" si="11"/>
        <v>44982</v>
      </c>
      <c r="Y70" s="385">
        <f t="shared" si="12"/>
        <v>29.516629300290077</v>
      </c>
      <c r="Z70" s="385">
        <f t="shared" si="22"/>
        <v>30.651829322782408</v>
      </c>
      <c r="AA70" s="386">
        <f t="shared" si="13"/>
        <v>33.390144446538287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8.2009681873052576E-2</v>
      </c>
      <c r="AD70" s="231">
        <f>(INDEX(Models!$BJ70:$BT70,,AH70)*(1-AF70)+INDEX(Models!$BJ70:$BT70,,AH70+1)*AF70-ERP_i)*AE70*Ramure*Pc/MaxiM</f>
        <v>2.1471946960343664E-4</v>
      </c>
      <c r="AE70" s="305">
        <f t="shared" si="15"/>
        <v>0.5</v>
      </c>
      <c r="AF70" s="177">
        <f t="shared" si="23"/>
        <v>0.50329876676578078</v>
      </c>
      <c r="AG70" s="811">
        <f t="shared" si="24"/>
        <v>0</v>
      </c>
      <c r="AH70" s="176">
        <f t="shared" si="16"/>
        <v>6</v>
      </c>
      <c r="AI70" s="225">
        <f t="shared" si="17"/>
        <v>0.50329876676578078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411">
        <f>'2022'!Wh/'2022'!Env_an*'2023'!Env_an</f>
        <v>39.162480020730904</v>
      </c>
      <c r="C71" s="841"/>
      <c r="D71" s="393">
        <f t="shared" si="0"/>
        <v>40.66954711164648</v>
      </c>
      <c r="E71" s="385">
        <f t="shared" si="1"/>
        <v>43.003424259453382</v>
      </c>
      <c r="F71" s="385">
        <f t="shared" si="2"/>
        <v>43.012867213846988</v>
      </c>
      <c r="G71" s="110">
        <f t="shared" si="21"/>
        <v>1.0027480999671898</v>
      </c>
      <c r="H71" s="414" t="b">
        <f>Wh_hp&gt;='2022'!Maxi_hp</f>
        <v>1</v>
      </c>
      <c r="I71" s="390">
        <f>IF(H71,Wh_hp,'2022'!Maxi_hp)</f>
        <v>43.012867213846988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3.705640209807004E-2</v>
      </c>
      <c r="M71" s="845"/>
      <c r="N71" s="845"/>
      <c r="O71" s="48">
        <f>IF(t&lt;Tnet,'2022'!Resal+('2022'!Salim-'2022'!Resal)*(1-EXP(('2022'!Tnet-t)/('2022'!Tau_j))),Resal+(Salim-Resal)*(1-EXP((Tnet-t)/(Tau_j))))*Salcycl</f>
        <v>5.4271890855153174E-2</v>
      </c>
      <c r="P71" s="169">
        <f>(INDEX(Models!$BJ71:$BT71,,T71)*(1-R71)+INDEX(Models!$BJ71:$BT71,,T71+1)*R71-ERP_i)*Q71*Ramure*Pc/MaxiM</f>
        <v>2.1953789657084552E-4</v>
      </c>
      <c r="Q71" s="305">
        <f t="shared" si="4"/>
        <v>0.5</v>
      </c>
      <c r="R71" s="177">
        <f t="shared" si="5"/>
        <v>0.50357209702134609</v>
      </c>
      <c r="S71" s="811">
        <f t="shared" si="6"/>
        <v>0</v>
      </c>
      <c r="T71" s="176">
        <f t="shared" si="7"/>
        <v>6</v>
      </c>
      <c r="U71" s="251">
        <f t="shared" si="8"/>
        <v>0.50357209702134609</v>
      </c>
      <c r="V71" s="383">
        <f t="shared" si="9"/>
        <v>39.055152557269679</v>
      </c>
      <c r="W71" s="402">
        <f t="shared" si="10"/>
        <v>39.162480020730904</v>
      </c>
      <c r="X71" s="157">
        <f t="shared" si="11"/>
        <v>44983</v>
      </c>
      <c r="Y71" s="385">
        <f t="shared" si="12"/>
        <v>38.012756538914793</v>
      </c>
      <c r="Z71" s="385">
        <f t="shared" si="22"/>
        <v>39.475579485379335</v>
      </c>
      <c r="AA71" s="386">
        <f t="shared" si="13"/>
        <v>43.003424259453382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8.2036368843314306E-2</v>
      </c>
      <c r="AD71" s="231">
        <f>(INDEX(Models!$BJ71:$BT71,,AH71)*(1-AF71)+INDEX(Models!$BJ71:$BT71,,AH71+1)*AF71-ERP_i)*AE71*Ramure*Pc/MaxiM</f>
        <v>2.1953789657084552E-4</v>
      </c>
      <c r="AE71" s="305">
        <f t="shared" si="15"/>
        <v>0.5</v>
      </c>
      <c r="AF71" s="177">
        <f t="shared" si="23"/>
        <v>0.50357209702134609</v>
      </c>
      <c r="AG71" s="811">
        <f t="shared" si="24"/>
        <v>0</v>
      </c>
      <c r="AH71" s="176">
        <f t="shared" si="16"/>
        <v>6</v>
      </c>
      <c r="AI71" s="225">
        <f t="shared" si="17"/>
        <v>0.50357209702134609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411">
        <f>'2022'!Wh/'2022'!Env_an*'2023'!Env_an</f>
        <v>27.292264329508349</v>
      </c>
      <c r="C72" s="841"/>
      <c r="D72" s="393">
        <f t="shared" si="0"/>
        <v>28.343157556371779</v>
      </c>
      <c r="E72" s="385">
        <f t="shared" si="1"/>
        <v>29.971303989130504</v>
      </c>
      <c r="F72" s="385">
        <f t="shared" si="2"/>
        <v>29.975052587944255</v>
      </c>
      <c r="G72" s="110">
        <f t="shared" si="21"/>
        <v>0.69286162227663994</v>
      </c>
      <c r="H72" s="414" t="b">
        <f>Wh_hp&gt;='2022'!Maxi_hp</f>
        <v>0</v>
      </c>
      <c r="I72" s="390">
        <f>IF(H72,Wh_hp,'2022'!Maxi_hp)</f>
        <v>42.246597609719124</v>
      </c>
      <c r="J72" s="85">
        <f>IF(H72,An,'2022'!An_max)</f>
        <v>2019</v>
      </c>
      <c r="K72" s="197">
        <f t="shared" si="3"/>
        <v>44984</v>
      </c>
      <c r="L72" s="147">
        <f>IF(t&lt;Tvie,1-EXP((T0-t)*PertePVj)+'2022'!Pspv,1-EXP((T0-t)*PertePVj)+Pspv)</f>
        <v>3.707749303419372E-2</v>
      </c>
      <c r="M72" s="845"/>
      <c r="N72" s="845"/>
      <c r="O72" s="48">
        <f>IF(t&lt;Tnet,'2022'!Resal+('2022'!Salim-'2022'!Resal)*(1-EXP(('2022'!Tnet-t)/('2022'!Tau_j))),Resal+(Salim-Resal)*(1-EXP((Tnet-t)/(Tau_j))))*Salcycl</f>
        <v>5.4323510026430447E-2</v>
      </c>
      <c r="P72" s="169">
        <f>(INDEX(Models!$BJ72:$BT72,,T72)*(1-R72)+INDEX(Models!$BJ72:$BT72,,T72+1)*R72-ERP_i)*Q72*Ramure*Pc/MaxiM</f>
        <v>2.2278840191661519E-4</v>
      </c>
      <c r="Q72" s="305">
        <f t="shared" si="4"/>
        <v>0.5</v>
      </c>
      <c r="R72" s="177">
        <f t="shared" si="5"/>
        <v>0.50385657261615624</v>
      </c>
      <c r="S72" s="811">
        <f t="shared" si="6"/>
        <v>0</v>
      </c>
      <c r="T72" s="176">
        <f t="shared" si="7"/>
        <v>6</v>
      </c>
      <c r="U72" s="251">
        <f t="shared" si="8"/>
        <v>0.50385657261615624</v>
      </c>
      <c r="V72" s="383">
        <f t="shared" si="9"/>
        <v>39.38679213154272</v>
      </c>
      <c r="W72" s="402">
        <f t="shared" si="10"/>
        <v>27.292264329508349</v>
      </c>
      <c r="X72" s="157">
        <f t="shared" si="11"/>
        <v>44984</v>
      </c>
      <c r="Y72" s="385">
        <f t="shared" si="12"/>
        <v>26.491701174761403</v>
      </c>
      <c r="Z72" s="385">
        <f t="shared" si="22"/>
        <v>27.511768582746537</v>
      </c>
      <c r="AA72" s="386">
        <f t="shared" si="13"/>
        <v>29.971303989130504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8.2063009579961987E-2</v>
      </c>
      <c r="AD72" s="231">
        <f>(INDEX(Models!$BJ72:$BT72,,AH72)*(1-AF72)+INDEX(Models!$BJ72:$BT72,,AH72+1)*AF72-ERP_i)*AE72*Ramure*Pc/MaxiM</f>
        <v>2.2278840191661519E-4</v>
      </c>
      <c r="AE72" s="305">
        <f t="shared" si="15"/>
        <v>0.5</v>
      </c>
      <c r="AF72" s="177">
        <f t="shared" si="23"/>
        <v>0.50385657261615624</v>
      </c>
      <c r="AG72" s="811">
        <f t="shared" si="24"/>
        <v>0</v>
      </c>
      <c r="AH72" s="176">
        <f t="shared" si="16"/>
        <v>6</v>
      </c>
      <c r="AI72" s="225">
        <f t="shared" si="17"/>
        <v>0.50385657261615624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411">
        <f>'2022'!Wh/'2022'!Env_an*'2023'!Env_an</f>
        <v>33.724801460123423</v>
      </c>
      <c r="C73" s="841"/>
      <c r="D73" s="393">
        <f t="shared" si="0"/>
        <v>35.024147729474898</v>
      </c>
      <c r="E73" s="385">
        <f t="shared" si="1"/>
        <v>37.038096900866606</v>
      </c>
      <c r="F73" s="385">
        <f t="shared" si="2"/>
        <v>37.04460772131381</v>
      </c>
      <c r="G73" s="110">
        <f t="shared" si="21"/>
        <v>0.84904703366407919</v>
      </c>
      <c r="H73" s="414" t="b">
        <f>Wh_hp&gt;='2022'!Maxi_hp</f>
        <v>0</v>
      </c>
      <c r="I73" s="390">
        <f>IF(H73,Wh_hp,'2022'!Maxi_hp)</f>
        <v>37.045168016322464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3.7098583508371696E-2</v>
      </c>
      <c r="M73" s="845"/>
      <c r="N73" s="845"/>
      <c r="O73" s="48">
        <f>IF(t&lt;Tnet,'2022'!Resal+('2022'!Salim-'2022'!Resal)*(1-EXP(('2022'!Tnet-t)/('2022'!Tau_j))),Resal+(Salim-Resal)*(1-EXP((Tnet-t)/(Tau_j))))*Salcycl</f>
        <v>5.4375071612942E-2</v>
      </c>
      <c r="P73" s="169">
        <f>(INDEX(Models!$BJ73:$BT73,,T73)*(1-R73)+INDEX(Models!$BJ73:$BT73,,T73+1)*R73-ERP_i)*Q73*Ramure*Pc/MaxiM</f>
        <v>2.2406125364175477E-4</v>
      </c>
      <c r="Q73" s="305">
        <f t="shared" si="4"/>
        <v>0.5</v>
      </c>
      <c r="R73" s="177">
        <f t="shared" si="5"/>
        <v>0.5041526341887439</v>
      </c>
      <c r="S73" s="811">
        <f t="shared" si="6"/>
        <v>0</v>
      </c>
      <c r="T73" s="176">
        <f t="shared" si="7"/>
        <v>6</v>
      </c>
      <c r="U73" s="251">
        <f t="shared" si="8"/>
        <v>0.5041526341887439</v>
      </c>
      <c r="V73" s="383">
        <f t="shared" si="9"/>
        <v>39.718850380706527</v>
      </c>
      <c r="W73" s="402">
        <f t="shared" si="10"/>
        <v>33.724801460123423</v>
      </c>
      <c r="X73" s="157">
        <f t="shared" si="11"/>
        <v>44985</v>
      </c>
      <c r="Y73" s="385">
        <f t="shared" si="12"/>
        <v>32.736389207273305</v>
      </c>
      <c r="Z73" s="385">
        <f t="shared" si="22"/>
        <v>33.997654013792726</v>
      </c>
      <c r="AA73" s="386">
        <f t="shared" si="13"/>
        <v>37.038096900866606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8.2089608848200338E-2</v>
      </c>
      <c r="AD73" s="231">
        <f>(INDEX(Models!$BJ73:$BT73,,AH73)*(1-AF73)+INDEX(Models!$BJ73:$BT73,,AH73+1)*AF73-ERP_i)*AE73*Ramure*Pc/MaxiM</f>
        <v>2.2406125364175477E-4</v>
      </c>
      <c r="AE73" s="305">
        <f t="shared" si="15"/>
        <v>0.5</v>
      </c>
      <c r="AF73" s="177">
        <f t="shared" si="23"/>
        <v>0.5041526341887439</v>
      </c>
      <c r="AG73" s="811">
        <f t="shared" si="24"/>
        <v>0</v>
      </c>
      <c r="AH73" s="176">
        <f t="shared" si="16"/>
        <v>6</v>
      </c>
      <c r="AI73" s="225">
        <f t="shared" si="17"/>
        <v>0.5041526341887439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411">
        <f>'2022'!Wh/'2022'!Env_an*'2023'!Env_an</f>
        <v>39.149041167842817</v>
      </c>
      <c r="C74" s="841"/>
      <c r="D74" s="393">
        <f t="shared" si="0"/>
        <v>40.658262601526893</v>
      </c>
      <c r="E74" s="385">
        <f t="shared" si="1"/>
        <v>42.998525269679369</v>
      </c>
      <c r="F74" s="385">
        <f t="shared" si="2"/>
        <v>43.007824349820531</v>
      </c>
      <c r="G74" s="110">
        <f t="shared" si="21"/>
        <v>0.97747188783635719</v>
      </c>
      <c r="H74" s="414" t="b">
        <f>Wh_hp&gt;='2022'!Maxi_hp</f>
        <v>0</v>
      </c>
      <c r="I74" s="390">
        <f>IF(H74,Wh_hp,'2022'!Maxi_hp)</f>
        <v>43.00792316495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3.7119673520614183E-2</v>
      </c>
      <c r="M74" s="845"/>
      <c r="N74" s="845"/>
      <c r="O74" s="48">
        <f>IF(t&lt;Tnet,'2022'!Resal+('2022'!Salim-'2022'!Resal)*(1-EXP(('2022'!Tnet-t)/('2022'!Tau_j))),Resal+(Salim-Resal)*(1-EXP((Tnet-t)/(Tau_j))))*Salcycl</f>
        <v>5.4426579829767528E-2</v>
      </c>
      <c r="P74" s="169">
        <f>(INDEX(Models!$BJ74:$BT74,,T74)*(1-R74)+INDEX(Models!$BJ74:$BT74,,T74+1)*R74-ERP_i)*Q74*Ramure*Pc/MaxiM</f>
        <v>2.2340596970046734E-4</v>
      </c>
      <c r="Q74" s="305">
        <f t="shared" si="4"/>
        <v>0.5</v>
      </c>
      <c r="R74" s="177">
        <f t="shared" si="5"/>
        <v>0.5044607386338027</v>
      </c>
      <c r="S74" s="811">
        <f t="shared" si="6"/>
        <v>0</v>
      </c>
      <c r="T74" s="176">
        <f t="shared" si="7"/>
        <v>6</v>
      </c>
      <c r="U74" s="251">
        <f t="shared" si="8"/>
        <v>0.5044607386338027</v>
      </c>
      <c r="V74" s="383">
        <f t="shared" si="9"/>
        <v>40.051033901965866</v>
      </c>
      <c r="W74" s="402">
        <f t="shared" si="10"/>
        <v>39.149041167842817</v>
      </c>
      <c r="X74" s="157">
        <f t="shared" si="11"/>
        <v>44986</v>
      </c>
      <c r="Y74" s="385">
        <f t="shared" si="12"/>
        <v>38.002624612669848</v>
      </c>
      <c r="Z74" s="385">
        <f t="shared" si="22"/>
        <v>39.467650929809956</v>
      </c>
      <c r="AA74" s="386">
        <f t="shared" si="13"/>
        <v>42.998525269679369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8.211617300185016E-2</v>
      </c>
      <c r="AD74" s="231">
        <f>(INDEX(Models!$BJ74:$BT74,,AH74)*(1-AF74)+INDEX(Models!$BJ74:$BT74,,AH74+1)*AF74-ERP_i)*AE74*Ramure*Pc/MaxiM</f>
        <v>2.2340596970046734E-4</v>
      </c>
      <c r="AE74" s="305">
        <f t="shared" si="15"/>
        <v>0.5</v>
      </c>
      <c r="AF74" s="177">
        <f t="shared" si="23"/>
        <v>0.5044607386338027</v>
      </c>
      <c r="AG74" s="811">
        <f t="shared" si="24"/>
        <v>0</v>
      </c>
      <c r="AH74" s="176">
        <f t="shared" si="16"/>
        <v>6</v>
      </c>
      <c r="AI74" s="225">
        <f t="shared" si="17"/>
        <v>0.5044607386338027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411">
        <f>'2022'!Wh/'2022'!Env_an*'2023'!Env_an</f>
        <v>10.781076340340995</v>
      </c>
      <c r="C75" s="841"/>
      <c r="D75" s="393">
        <f t="shared" si="0"/>
        <v>11.196939206530361</v>
      </c>
      <c r="E75" s="385">
        <f t="shared" si="1"/>
        <v>11.842072082849334</v>
      </c>
      <c r="F75" s="385">
        <f t="shared" si="2"/>
        <v>11.842072082849334</v>
      </c>
      <c r="G75" s="110">
        <f t="shared" si="21"/>
        <v>0.26691137241517709</v>
      </c>
      <c r="H75" s="414" t="b">
        <f>Wh_hp&gt;='2022'!Maxi_hp</f>
        <v>0</v>
      </c>
      <c r="I75" s="390">
        <f>IF(H75,Wh_hp,'2022'!Maxi_hp)</f>
        <v>29.154269715170336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3.7140763070931393E-2</v>
      </c>
      <c r="M75" s="845"/>
      <c r="N75" s="845"/>
      <c r="O75" s="48">
        <f>IF(t&lt;Tnet,'2022'!Resal+('2022'!Salim-'2022'!Resal)*(1-EXP(('2022'!Tnet-t)/('2022'!Tau_j))),Resal+(Salim-Resal)*(1-EXP((Tnet-t)/(Tau_j))))*Salcycl</f>
        <v>5.4478039975225948E-2</v>
      </c>
      <c r="P75" s="169">
        <f>(INDEX(Models!$BJ75:$BT75,,T75)*(1-R75)+INDEX(Models!$BJ75:$BT75,,T75+1)*R75-ERP_i)*Q75*Ramure*Pc/MaxiM</f>
        <v>2.2087045933322181E-4</v>
      </c>
      <c r="Q75" s="305">
        <f t="shared" si="4"/>
        <v>0.5</v>
      </c>
      <c r="R75" s="177">
        <f t="shared" si="5"/>
        <v>0.50478135960306425</v>
      </c>
      <c r="S75" s="811">
        <f t="shared" si="6"/>
        <v>0</v>
      </c>
      <c r="T75" s="176">
        <f t="shared" si="7"/>
        <v>6</v>
      </c>
      <c r="U75" s="251">
        <f t="shared" si="8"/>
        <v>0.50478135960306425</v>
      </c>
      <c r="V75" s="383">
        <f t="shared" si="9"/>
        <v>40.383049330290355</v>
      </c>
      <c r="W75" s="402">
        <f t="shared" si="10"/>
        <v>10.781076340340995</v>
      </c>
      <c r="X75" s="157">
        <f t="shared" si="11"/>
        <v>44987</v>
      </c>
      <c r="Y75" s="385">
        <f t="shared" si="12"/>
        <v>10.465636898203135</v>
      </c>
      <c r="Z75" s="385">
        <f t="shared" si="22"/>
        <v>10.869332189803888</v>
      </c>
      <c r="AA75" s="386">
        <f t="shared" si="13"/>
        <v>11.842072082849334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8.2142710012232487E-2</v>
      </c>
      <c r="AD75" s="231">
        <f>(INDEX(Models!$BJ75:$BT75,,AH75)*(1-AF75)+INDEX(Models!$BJ75:$BT75,,AH75+1)*AF75-ERP_i)*AE75*Ramure*Pc/MaxiM</f>
        <v>2.2087045933322181E-4</v>
      </c>
      <c r="AE75" s="305">
        <f t="shared" si="15"/>
        <v>0.5</v>
      </c>
      <c r="AF75" s="177">
        <f t="shared" si="23"/>
        <v>0.50478135960306425</v>
      </c>
      <c r="AG75" s="811">
        <f t="shared" si="24"/>
        <v>0</v>
      </c>
      <c r="AH75" s="176">
        <f t="shared" si="16"/>
        <v>6</v>
      </c>
      <c r="AI75" s="225">
        <f t="shared" si="17"/>
        <v>0.50478135960306425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411">
        <f>'2022'!Wh/'2022'!Env_an*'2023'!Env_an</f>
        <v>34.74633886592256</v>
      </c>
      <c r="C76" s="841"/>
      <c r="D76" s="393">
        <f t="shared" si="0"/>
        <v>36.087414010181575</v>
      </c>
      <c r="E76" s="385">
        <f t="shared" si="1"/>
        <v>38.168734428109623</v>
      </c>
      <c r="F76" s="385">
        <f t="shared" si="2"/>
        <v>38.175268630088944</v>
      </c>
      <c r="G76" s="110">
        <f t="shared" si="21"/>
        <v>0.85337349328391565</v>
      </c>
      <c r="H76" s="414" t="b">
        <f>Wh_hp&gt;='2022'!Maxi_hp</f>
        <v>0</v>
      </c>
      <c r="I76" s="390">
        <f>IF(H76,Wh_hp,'2022'!Maxi_hp)</f>
        <v>39.010447727103518</v>
      </c>
      <c r="J76" s="85">
        <f>IF(H76,An,'2022'!An_max)</f>
        <v>2019</v>
      </c>
      <c r="K76" s="197">
        <f t="shared" si="3"/>
        <v>44988</v>
      </c>
      <c r="L76" s="147">
        <f>IF(t&lt;Tvie,1-EXP((T0-t)*PertePVj)+'2022'!Pspv,1-EXP((T0-t)*PertePVj)+Pspv)</f>
        <v>3.7161852159333209E-2</v>
      </c>
      <c r="M76" s="845"/>
      <c r="N76" s="845"/>
      <c r="O76" s="48">
        <f>IF(t&lt;Tnet,'2022'!Resal+('2022'!Salim-'2022'!Resal)*(1-EXP(('2022'!Tnet-t)/('2022'!Tau_j))),Resal+(Salim-Resal)*(1-EXP((Tnet-t)/(Tau_j))))*Salcycl</f>
        <v>5.4529458445843636E-2</v>
      </c>
      <c r="P76" s="169">
        <f>(INDEX(Models!$BJ76:$BT76,,T76)*(1-R76)+INDEX(Models!$BJ76:$BT76,,T76+1)*R76-ERP_i)*Q76*Ramure*Pc/MaxiM</f>
        <v>2.1650093222176737E-4</v>
      </c>
      <c r="Q76" s="305">
        <f t="shared" si="4"/>
        <v>0.5</v>
      </c>
      <c r="R76" s="177">
        <f t="shared" si="5"/>
        <v>0.50511498801292209</v>
      </c>
      <c r="S76" s="811">
        <f t="shared" si="6"/>
        <v>0</v>
      </c>
      <c r="T76" s="176">
        <f t="shared" si="7"/>
        <v>6</v>
      </c>
      <c r="U76" s="251">
        <f t="shared" si="8"/>
        <v>0.50511498801292209</v>
      </c>
      <c r="V76" s="383">
        <f t="shared" si="9"/>
        <v>40.714603336334527</v>
      </c>
      <c r="W76" s="402">
        <f t="shared" si="10"/>
        <v>34.74633886592256</v>
      </c>
      <c r="X76" s="157">
        <f t="shared" si="11"/>
        <v>44988</v>
      </c>
      <c r="Y76" s="385">
        <f t="shared" si="12"/>
        <v>33.73056861341842</v>
      </c>
      <c r="Z76" s="385">
        <f t="shared" si="22"/>
        <v>35.032438929704988</v>
      </c>
      <c r="AA76" s="386">
        <f t="shared" si="13"/>
        <v>38.168734428109623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8.2169229485767006E-2</v>
      </c>
      <c r="AD76" s="231">
        <f>(INDEX(Models!$BJ76:$BT76,,AH76)*(1-AF76)+INDEX(Models!$BJ76:$BT76,,AH76+1)*AF76-ERP_i)*AE76*Ramure*Pc/MaxiM</f>
        <v>2.1650093222176737E-4</v>
      </c>
      <c r="AE76" s="305">
        <f t="shared" si="15"/>
        <v>0.5</v>
      </c>
      <c r="AF76" s="177">
        <f t="shared" si="23"/>
        <v>0.50511498801292209</v>
      </c>
      <c r="AG76" s="811">
        <f t="shared" si="24"/>
        <v>0</v>
      </c>
      <c r="AH76" s="176">
        <f t="shared" si="16"/>
        <v>6</v>
      </c>
      <c r="AI76" s="225">
        <f t="shared" si="17"/>
        <v>0.50511498801292209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411">
        <f>'2022'!Wh/'2022'!Env_an*'2023'!Env_an</f>
        <v>3.996536134286595</v>
      </c>
      <c r="C77" s="841"/>
      <c r="D77" s="393">
        <f t="shared" si="0"/>
        <v>4.1508779845970727</v>
      </c>
      <c r="E77" s="385">
        <f t="shared" si="1"/>
        <v>4.390516050726287</v>
      </c>
      <c r="F77" s="385">
        <f t="shared" si="2"/>
        <v>4.390516050726287</v>
      </c>
      <c r="G77" s="110">
        <f t="shared" si="21"/>
        <v>9.7348186156449176E-2</v>
      </c>
      <c r="H77" s="414" t="b">
        <f>Wh_hp&gt;='2022'!Maxi_hp</f>
        <v>0</v>
      </c>
      <c r="I77" s="390">
        <f>IF(H77,Wh_hp,'2022'!Maxi_hp)</f>
        <v>30.286197485540761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3.7182940785829843E-2</v>
      </c>
      <c r="M77" s="845"/>
      <c r="N77" s="845"/>
      <c r="O77" s="48">
        <f>IF(t&lt;Tnet,'2022'!Resal+('2022'!Salim-'2022'!Resal)*(1-EXP(('2022'!Tnet-t)/('2022'!Tau_j))),Resal+(Salim-Resal)*(1-EXP((Tnet-t)/(Tau_j))))*Salcycl</f>
        <v>5.458084274388951E-2</v>
      </c>
      <c r="P77" s="169">
        <f>(INDEX(Models!$BJ77:$BT77,,T77)*(1-R77)+INDEX(Models!$BJ77:$BT77,,T77+1)*R77-ERP_i)*Q77*Ramure*Pc/MaxiM</f>
        <v>2.1034181066062403E-4</v>
      </c>
      <c r="Q77" s="305">
        <f t="shared" si="4"/>
        <v>0.5</v>
      </c>
      <c r="R77" s="177">
        <f t="shared" si="5"/>
        <v>0.50546213255802042</v>
      </c>
      <c r="S77" s="811">
        <f t="shared" si="6"/>
        <v>0</v>
      </c>
      <c r="T77" s="176">
        <f t="shared" si="7"/>
        <v>6</v>
      </c>
      <c r="U77" s="251">
        <f t="shared" si="8"/>
        <v>0.50546213255802042</v>
      </c>
      <c r="V77" s="383">
        <f t="shared" si="9"/>
        <v>41.045402625357795</v>
      </c>
      <c r="W77" s="402">
        <f t="shared" si="10"/>
        <v>3.996536134286595</v>
      </c>
      <c r="X77" s="157">
        <f t="shared" si="11"/>
        <v>44989</v>
      </c>
      <c r="Y77" s="385">
        <f t="shared" si="12"/>
        <v>3.8798006688015798</v>
      </c>
      <c r="Z77" s="385">
        <f t="shared" si="22"/>
        <v>4.0296343232308187</v>
      </c>
      <c r="AA77" s="386">
        <f t="shared" si="13"/>
        <v>4.390516050726287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8.2195742670333763E-2</v>
      </c>
      <c r="AD77" s="231">
        <f>(INDEX(Models!$BJ77:$BT77,,AH77)*(1-AF77)+INDEX(Models!$BJ77:$BT77,,AH77+1)*AF77-ERP_i)*AE77*Ramure*Pc/MaxiM</f>
        <v>2.1034181066062403E-4</v>
      </c>
      <c r="AE77" s="305">
        <f t="shared" si="15"/>
        <v>0.5</v>
      </c>
      <c r="AF77" s="177">
        <f t="shared" si="23"/>
        <v>0.50546213255802042</v>
      </c>
      <c r="AG77" s="811">
        <f t="shared" si="24"/>
        <v>0</v>
      </c>
      <c r="AH77" s="176">
        <f t="shared" si="16"/>
        <v>6</v>
      </c>
      <c r="AI77" s="225">
        <f t="shared" si="17"/>
        <v>0.50546213255802042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411">
        <f>'2022'!Wh/'2022'!Env_an*'2023'!Env_an</f>
        <v>13.230741515070299</v>
      </c>
      <c r="C78" s="841"/>
      <c r="D78" s="393">
        <f t="shared" si="0"/>
        <v>13.741999253120191</v>
      </c>
      <c r="E78" s="385">
        <f t="shared" si="1"/>
        <v>14.536140615957148</v>
      </c>
      <c r="F78" s="385">
        <f t="shared" si="2"/>
        <v>14.536223745983648</v>
      </c>
      <c r="G78" s="110">
        <f t="shared" si="21"/>
        <v>0.31971213475348492</v>
      </c>
      <c r="H78" s="414" t="b">
        <f>Wh_hp&gt;='2022'!Maxi_hp</f>
        <v>0</v>
      </c>
      <c r="I78" s="390">
        <f>IF(H78,Wh_hp,'2022'!Maxi_hp)</f>
        <v>44.531611979407565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3.7204028950431511E-2</v>
      </c>
      <c r="M78" s="845"/>
      <c r="N78" s="845"/>
      <c r="O78" s="48">
        <f>IF(t&lt;Tnet,'2022'!Resal+('2022'!Salim-'2022'!Resal)*(1-EXP(('2022'!Tnet-t)/('2022'!Tau_j))),Resal+(Salim-Resal)*(1-EXP((Tnet-t)/(Tau_j))))*Salcycl</f>
        <v>5.4632201477549248E-2</v>
      </c>
      <c r="P78" s="169">
        <f>(INDEX(Models!$BJ78:$BT78,,T78)*(1-R78)+INDEX(Models!$BJ78:$BT78,,T78+1)*R78-ERP_i)*Q78*Ramure*Pc/MaxiM</f>
        <v>2.0243564409673355E-4</v>
      </c>
      <c r="Q78" s="305">
        <f t="shared" si="4"/>
        <v>0.5</v>
      </c>
      <c r="R78" s="177">
        <f t="shared" si="5"/>
        <v>0.50582332022991605</v>
      </c>
      <c r="S78" s="811">
        <f t="shared" si="6"/>
        <v>0</v>
      </c>
      <c r="T78" s="176">
        <f t="shared" si="7"/>
        <v>6</v>
      </c>
      <c r="U78" s="251">
        <f t="shared" si="8"/>
        <v>0.50582332022991605</v>
      </c>
      <c r="V78" s="383">
        <f t="shared" si="9"/>
        <v>41.375153936260084</v>
      </c>
      <c r="W78" s="402">
        <f t="shared" si="10"/>
        <v>13.230741515070299</v>
      </c>
      <c r="X78" s="157">
        <f t="shared" si="11"/>
        <v>44990</v>
      </c>
      <c r="Y78" s="385">
        <f t="shared" si="12"/>
        <v>12.844609296806238</v>
      </c>
      <c r="Z78" s="385">
        <f t="shared" si="22"/>
        <v>13.340946247213729</v>
      </c>
      <c r="AA78" s="386">
        <f t="shared" si="13"/>
        <v>14.536140615957148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8.2222262450556236E-2</v>
      </c>
      <c r="AD78" s="231">
        <f>(INDEX(Models!$BJ78:$BT78,,AH78)*(1-AF78)+INDEX(Models!$BJ78:$BT78,,AH78+1)*AF78-ERP_i)*AE78*Ramure*Pc/MaxiM</f>
        <v>2.0243564409673355E-4</v>
      </c>
      <c r="AE78" s="305">
        <f t="shared" si="15"/>
        <v>0.5</v>
      </c>
      <c r="AF78" s="177">
        <f t="shared" si="23"/>
        <v>0.50582332022991605</v>
      </c>
      <c r="AG78" s="811">
        <f t="shared" si="24"/>
        <v>0</v>
      </c>
      <c r="AH78" s="176">
        <f t="shared" si="16"/>
        <v>6</v>
      </c>
      <c r="AI78" s="225">
        <f t="shared" si="17"/>
        <v>0.50582332022991605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411">
        <f>'2022'!Wh/'2022'!Env_an*'2023'!Env_an</f>
        <v>15.808415945827578</v>
      </c>
      <c r="C79" s="841"/>
      <c r="D79" s="393">
        <f t="shared" ref="D79:D142" si="25">Wh/(1-Ppv)</f>
        <v>16.419638920028202</v>
      </c>
      <c r="E79" s="385">
        <f t="shared" si="1"/>
        <v>17.369462704217383</v>
      </c>
      <c r="F79" s="385">
        <f t="shared" ref="F79:F142" si="26">Wh_sa/(1-Pvg*MEDIAN((-Sdif+Wh/Env_an)/Csdif,0,1))</f>
        <v>17.369840953724601</v>
      </c>
      <c r="G79" s="110">
        <f t="shared" si="21"/>
        <v>0.37899096015305117</v>
      </c>
      <c r="H79" s="414" t="b">
        <f>Wh_hp&gt;='2022'!Maxi_hp</f>
        <v>0</v>
      </c>
      <c r="I79" s="390">
        <f>IF(H79,Wh_hp,'2022'!Maxi_hp)</f>
        <v>23.382336400970807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3.7225116653148205E-2</v>
      </c>
      <c r="M79" s="845"/>
      <c r="N79" s="845"/>
      <c r="O79" s="48">
        <f>IF(t&lt;Tnet,'2022'!Resal+('2022'!Salim-'2022'!Resal)*(1-EXP(('2022'!Tnet-t)/('2022'!Tau_j))),Resal+(Salim-Resal)*(1-EXP((Tnet-t)/(Tau_j))))*Salcycl</f>
        <v>5.4683544353882611E-2</v>
      </c>
      <c r="P79" s="169">
        <f>(INDEX(Models!$BJ79:$BT79,,T79)*(1-R79)+INDEX(Models!$BJ79:$BT79,,T79+1)*R79-ERP_i)*Q79*Ramure*Pc/MaxiM</f>
        <v>1.9281768047713064E-4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0.50619909683981412</v>
      </c>
      <c r="S79" s="811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0.50619909683981412</v>
      </c>
      <c r="V79" s="383">
        <f t="shared" ref="V79:V142" si="33">MaxiM*(1-Ppv)*(1-Pvg)*(1-Psa)</f>
        <v>41.704720307941244</v>
      </c>
      <c r="W79" s="402">
        <f t="shared" ref="W79:W142" si="34">Wh*(A79&gt;Tmaj)</f>
        <v>15.808415945827578</v>
      </c>
      <c r="X79" s="157">
        <f t="shared" ref="X79:X142" si="35">t</f>
        <v>44991</v>
      </c>
      <c r="Y79" s="385">
        <f t="shared" ref="Y79:Y142" si="36">Wh_pvt_s*(1-Ppv)</f>
        <v>15.347445360811196</v>
      </c>
      <c r="Z79" s="385">
        <f t="shared" ref="Z79:Z142" si="37">Wh_sa_s*(1-Psa_s)</f>
        <v>15.94084518227101</v>
      </c>
      <c r="AA79" s="386">
        <f t="shared" ref="AA79:AA142" si="38">Wh_hp*(1-Pvg_s*MEDIAN((-Sdif+Wh/Env_an)/Csdif,0,1))</f>
        <v>17.369462704217383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8.2248803332269887E-2</v>
      </c>
      <c r="AD79" s="231">
        <f>(INDEX(Models!$BJ79:$BT79,,AH79)*(1-AF79)+INDEX(Models!$BJ79:$BT79,,AH79+1)*AF79-ERP_i)*AE79*Ramure*Pc/MaxiM</f>
        <v>1.9281768047713064E-4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0.50619909683981412</v>
      </c>
      <c r="AG79" s="811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0.50619909683981412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411">
        <f>'2022'!Wh/'2022'!Env_an*'2023'!Env_an</f>
        <v>36.924260570803057</v>
      </c>
      <c r="C80" s="841"/>
      <c r="D80" s="393">
        <f t="shared" si="25"/>
        <v>38.352755107430688</v>
      </c>
      <c r="E80" s="385">
        <f t="shared" ref="E80:E143" si="47">Wh_pvt/(1-Psa)</f>
        <v>40.573543214271183</v>
      </c>
      <c r="F80" s="385">
        <f t="shared" si="26"/>
        <v>40.579640322467213</v>
      </c>
      <c r="G80" s="110">
        <f t="shared" ref="G80:G143" si="48">+Wh_hp/MaxiM</f>
        <v>0.87838895465534095</v>
      </c>
      <c r="H80" s="414" t="b">
        <f>Wh_hp&gt;='2022'!Maxi_hp</f>
        <v>0</v>
      </c>
      <c r="I80" s="390">
        <f>IF(H80,Wh_hp,'2022'!Maxi_hp)</f>
        <v>42.685529835046331</v>
      </c>
      <c r="J80" s="85">
        <f>IF(H80,An,'2022'!An_max)</f>
        <v>2019</v>
      </c>
      <c r="K80" s="197">
        <f t="shared" si="27"/>
        <v>44992</v>
      </c>
      <c r="L80" s="147">
        <f>IF(t&lt;Tvie,1-EXP((T0-t)*PertePVj)+'2022'!Pspv,1-EXP((T0-t)*PertePVj)+Pspv)</f>
        <v>3.7246203893990137E-2</v>
      </c>
      <c r="M80" s="845"/>
      <c r="N80" s="845"/>
      <c r="O80" s="48">
        <f>IF(t&lt;Tnet,'2022'!Resal+('2022'!Salim-'2022'!Resal)*(1-EXP(('2022'!Tnet-t)/('2022'!Tau_j))),Resal+(Salim-Resal)*(1-EXP((Tnet-t)/(Tau_j))))*Salcycl</f>
        <v>5.4734882164773804E-2</v>
      </c>
      <c r="P80" s="169">
        <f>(INDEX(Models!$BJ80:$BT80,,T80)*(1-R80)+INDEX(Models!$BJ80:$BT80,,T80+1)*R80-ERP_i)*Q80*Ramure*Pc/MaxiM</f>
        <v>1.818330920664132E-4</v>
      </c>
      <c r="Q80" s="305">
        <f t="shared" si="28"/>
        <v>0.5</v>
      </c>
      <c r="R80" s="177">
        <f t="shared" si="29"/>
        <v>0.50659002754424975</v>
      </c>
      <c r="S80" s="811">
        <f t="shared" si="30"/>
        <v>0</v>
      </c>
      <c r="T80" s="176">
        <f t="shared" si="31"/>
        <v>6</v>
      </c>
      <c r="U80" s="251">
        <f t="shared" si="32"/>
        <v>0.50659002754424975</v>
      </c>
      <c r="V80" s="383">
        <f t="shared" si="33"/>
        <v>42.035016530246764</v>
      </c>
      <c r="W80" s="402">
        <f t="shared" si="34"/>
        <v>36.924260570803057</v>
      </c>
      <c r="X80" s="157">
        <f t="shared" si="35"/>
        <v>44992</v>
      </c>
      <c r="Y80" s="385">
        <f t="shared" si="36"/>
        <v>35.848464424901685</v>
      </c>
      <c r="Z80" s="385">
        <f t="shared" si="37"/>
        <v>37.235339470896641</v>
      </c>
      <c r="AA80" s="386">
        <f t="shared" si="38"/>
        <v>40.573543214271183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8.227538141653791E-2</v>
      </c>
      <c r="AD80" s="231">
        <f>(INDEX(Models!$BJ80:$BT80,,AH80)*(1-AF80)+INDEX(Models!$BJ80:$BT80,,AH80+1)*AF80-ERP_i)*AE80*Ramure*Pc/MaxiM</f>
        <v>1.818330920664132E-4</v>
      </c>
      <c r="AE80" s="305">
        <f t="shared" si="40"/>
        <v>0.5</v>
      </c>
      <c r="AF80" s="177">
        <f t="shared" si="41"/>
        <v>0.50659002754424975</v>
      </c>
      <c r="AG80" s="811">
        <f t="shared" ref="AG80:AG143" si="49">INDEX(Echel_vg,AH80)</f>
        <v>0</v>
      </c>
      <c r="AH80" s="176">
        <f t="shared" si="42"/>
        <v>6</v>
      </c>
      <c r="AI80" s="225">
        <f t="shared" si="43"/>
        <v>0.50659002754424975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411">
        <f>'2022'!Wh/'2022'!Env_an*'2023'!Env_an</f>
        <v>31.9108160957583</v>
      </c>
      <c r="C81" s="841"/>
      <c r="D81" s="393">
        <f t="shared" si="25"/>
        <v>33.146080720644186</v>
      </c>
      <c r="E81" s="385">
        <f t="shared" si="47"/>
        <v>35.067284945755432</v>
      </c>
      <c r="F81" s="385">
        <f t="shared" si="26"/>
        <v>35.07114951124408</v>
      </c>
      <c r="G81" s="110">
        <f t="shared" si="48"/>
        <v>0.75317562291521012</v>
      </c>
      <c r="H81" s="414" t="b">
        <f>Wh_hp&gt;='2022'!Maxi_hp</f>
        <v>0</v>
      </c>
      <c r="I81" s="390">
        <f>IF(H81,Wh_hp,'2022'!Maxi_hp)</f>
        <v>35.07193791062771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3.7267290672967301E-2</v>
      </c>
      <c r="M81" s="845"/>
      <c r="N81" s="845"/>
      <c r="O81" s="48">
        <f>IF(t&lt;Tnet,'2022'!Resal+('2022'!Salim-'2022'!Resal)*(1-EXP(('2022'!Tnet-t)/('2022'!Tau_j))),Resal+(Salim-Resal)*(1-EXP((Tnet-t)/(Tau_j))))*Salcycl</f>
        <v>5.4786226766146875E-2</v>
      </c>
      <c r="P81" s="169">
        <f>(INDEX(Models!$BJ81:$BT81,,T81)*(1-R81)+INDEX(Models!$BJ81:$BT81,,T81+1)*R81-ERP_i)*Q81*Ramure*Pc/MaxiM</f>
        <v>1.7019188848123651E-4</v>
      </c>
      <c r="Q81" s="305">
        <f t="shared" si="28"/>
        <v>0.5</v>
      </c>
      <c r="R81" s="177">
        <f t="shared" si="29"/>
        <v>0.50699669737245978</v>
      </c>
      <c r="S81" s="811">
        <f t="shared" si="30"/>
        <v>0</v>
      </c>
      <c r="T81" s="176">
        <f t="shared" si="31"/>
        <v>6</v>
      </c>
      <c r="U81" s="251">
        <f t="shared" si="32"/>
        <v>0.50699669737245978</v>
      </c>
      <c r="V81" s="383">
        <f t="shared" si="33"/>
        <v>42.365817843043146</v>
      </c>
      <c r="W81" s="402">
        <f t="shared" si="34"/>
        <v>31.9108160957583</v>
      </c>
      <c r="X81" s="157">
        <f t="shared" si="35"/>
        <v>44993</v>
      </c>
      <c r="Y81" s="385">
        <f t="shared" si="36"/>
        <v>30.981871488074088</v>
      </c>
      <c r="Z81" s="385">
        <f t="shared" si="37"/>
        <v>32.181176756455038</v>
      </c>
      <c r="AA81" s="386">
        <f t="shared" si="38"/>
        <v>35.067284945755432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8.2302014363667825E-2</v>
      </c>
      <c r="AD81" s="231">
        <f>(INDEX(Models!$BJ81:$BT81,,AH81)*(1-AF81)+INDEX(Models!$BJ81:$BT81,,AH81+1)*AF81-ERP_i)*AE81*Ramure*Pc/MaxiM</f>
        <v>1.7019188848123651E-4</v>
      </c>
      <c r="AE81" s="305">
        <f t="shared" si="40"/>
        <v>0.5</v>
      </c>
      <c r="AF81" s="177">
        <f t="shared" si="41"/>
        <v>0.50699669737245978</v>
      </c>
      <c r="AG81" s="811">
        <f t="shared" si="49"/>
        <v>0</v>
      </c>
      <c r="AH81" s="176">
        <f t="shared" si="42"/>
        <v>6</v>
      </c>
      <c r="AI81" s="225">
        <f t="shared" si="43"/>
        <v>0.50699669737245978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411">
        <f>'2022'!Wh/'2022'!Env_an*'2023'!Env_an</f>
        <v>28.474275346746943</v>
      </c>
      <c r="C82" s="841"/>
      <c r="D82" s="393">
        <f t="shared" si="25"/>
        <v>29.577159625145431</v>
      </c>
      <c r="E82" s="385">
        <f t="shared" si="47"/>
        <v>31.293203522585685</v>
      </c>
      <c r="F82" s="385">
        <f t="shared" si="26"/>
        <v>31.295793725115555</v>
      </c>
      <c r="G82" s="110">
        <f t="shared" si="48"/>
        <v>0.66684271424088659</v>
      </c>
      <c r="H82" s="414" t="b">
        <f>Wh_hp&gt;='2022'!Maxi_hp</f>
        <v>0</v>
      </c>
      <c r="I82" s="390">
        <f>IF(H82,Wh_hp,'2022'!Maxi_hp)</f>
        <v>44.010087492548095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3.7288376990089911E-2</v>
      </c>
      <c r="M82" s="845"/>
      <c r="N82" s="845"/>
      <c r="O82" s="48">
        <f>IF(t&lt;Tnet,'2022'!Resal+('2022'!Salim-'2022'!Resal)*(1-EXP(('2022'!Tnet-t)/('2022'!Tau_j))),Resal+(Salim-Resal)*(1-EXP((Tnet-t)/(Tau_j))))*Salcycl</f>
        <v>5.4837591050775902E-2</v>
      </c>
      <c r="P82" s="169">
        <f>(INDEX(Models!$BJ82:$BT82,,T82)*(1-R82)+INDEX(Models!$BJ82:$BT82,,T82+1)*R82-ERP_i)*Q82*Ramure*Pc/MaxiM</f>
        <v>1.5790888485309065E-4</v>
      </c>
      <c r="Q82" s="305">
        <f t="shared" si="28"/>
        <v>0.5</v>
      </c>
      <c r="R82" s="177">
        <f t="shared" si="29"/>
        <v>0.50741971175404676</v>
      </c>
      <c r="S82" s="811">
        <f t="shared" si="30"/>
        <v>0</v>
      </c>
      <c r="T82" s="176">
        <f t="shared" si="31"/>
        <v>6</v>
      </c>
      <c r="U82" s="251">
        <f t="shared" si="32"/>
        <v>0.50741971175404676</v>
      </c>
      <c r="V82" s="383">
        <f t="shared" si="33"/>
        <v>42.696928225411085</v>
      </c>
      <c r="W82" s="402">
        <f t="shared" si="34"/>
        <v>28.474275346746943</v>
      </c>
      <c r="X82" s="157">
        <f t="shared" si="35"/>
        <v>44994</v>
      </c>
      <c r="Y82" s="385">
        <f t="shared" si="36"/>
        <v>27.646068462662285</v>
      </c>
      <c r="Z82" s="385">
        <f t="shared" si="37"/>
        <v>28.716874089695807</v>
      </c>
      <c r="AA82" s="386">
        <f t="shared" si="38"/>
        <v>31.293203522585685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8.2328721347765671E-2</v>
      </c>
      <c r="AD82" s="231">
        <f>(INDEX(Models!$BJ82:$BT82,,AH82)*(1-AF82)+INDEX(Models!$BJ82:$BT82,,AH82+1)*AF82-ERP_i)*AE82*Ramure*Pc/MaxiM</f>
        <v>1.5790888485309065E-4</v>
      </c>
      <c r="AE82" s="305">
        <f t="shared" si="40"/>
        <v>0.5</v>
      </c>
      <c r="AF82" s="177">
        <f t="shared" si="41"/>
        <v>0.50741971175404676</v>
      </c>
      <c r="AG82" s="811">
        <f t="shared" si="49"/>
        <v>0</v>
      </c>
      <c r="AH82" s="176">
        <f t="shared" si="42"/>
        <v>6</v>
      </c>
      <c r="AI82" s="225">
        <f t="shared" si="43"/>
        <v>0.50741971175404676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411">
        <f>'2022'!Wh/'2022'!Env_an*'2023'!Env_an</f>
        <v>24.735968037206423</v>
      </c>
      <c r="C83" s="841"/>
      <c r="D83" s="393">
        <f t="shared" si="25"/>
        <v>25.694620527087629</v>
      </c>
      <c r="E83" s="385">
        <f t="shared" si="47"/>
        <v>27.186880933269165</v>
      </c>
      <c r="F83" s="385">
        <f t="shared" si="26"/>
        <v>27.188428998214423</v>
      </c>
      <c r="G83" s="110">
        <f t="shared" si="48"/>
        <v>0.57482807690682824</v>
      </c>
      <c r="H83" s="414" t="b">
        <f>Wh_hp&gt;='2022'!Maxi_hp</f>
        <v>0</v>
      </c>
      <c r="I83" s="390">
        <f>IF(H83,Wh_hp,'2022'!Maxi_hp)</f>
        <v>43.468612982947825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3.7309462845368069E-2</v>
      </c>
      <c r="M83" s="845"/>
      <c r="N83" s="845"/>
      <c r="O83" s="48">
        <f>IF(t&lt;Tnet,'2022'!Resal+('2022'!Salim-'2022'!Resal)*(1-EXP(('2022'!Tnet-t)/('2022'!Tau_j))),Resal+(Salim-Resal)*(1-EXP((Tnet-t)/(Tau_j))))*Salcycl</f>
        <v>5.4888988915069853E-2</v>
      </c>
      <c r="P83" s="169">
        <f>(INDEX(Models!$BJ83:$BT83,,T83)*(1-R83)+INDEX(Models!$BJ83:$BT83,,T83+1)*R83-ERP_i)*Q83*Ramure*Pc/MaxiM</f>
        <v>1.4499799902672469E-4</v>
      </c>
      <c r="Q83" s="305">
        <f t="shared" si="28"/>
        <v>0.5</v>
      </c>
      <c r="R83" s="177">
        <f t="shared" si="29"/>
        <v>0.50785969704538347</v>
      </c>
      <c r="S83" s="811">
        <f t="shared" si="30"/>
        <v>0</v>
      </c>
      <c r="T83" s="176">
        <f t="shared" si="31"/>
        <v>6</v>
      </c>
      <c r="U83" s="251">
        <f t="shared" si="32"/>
        <v>0.50785969704538347</v>
      </c>
      <c r="V83" s="383">
        <f t="shared" si="33"/>
        <v>43.028151662673203</v>
      </c>
      <c r="W83" s="402">
        <f t="shared" si="34"/>
        <v>24.735968037206423</v>
      </c>
      <c r="X83" s="157">
        <f t="shared" si="35"/>
        <v>44995</v>
      </c>
      <c r="Y83" s="385">
        <f t="shared" si="36"/>
        <v>24.017098717825565</v>
      </c>
      <c r="Z83" s="385">
        <f t="shared" si="37"/>
        <v>24.947891135204774</v>
      </c>
      <c r="AA83" s="386">
        <f t="shared" si="38"/>
        <v>27.186880933269165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8.2355523002437939E-2</v>
      </c>
      <c r="AD83" s="231">
        <f>(INDEX(Models!$BJ83:$BT83,,AH83)*(1-AF83)+INDEX(Models!$BJ83:$BT83,,AH83+1)*AF83-ERP_i)*AE83*Ramure*Pc/MaxiM</f>
        <v>1.4499799902672469E-4</v>
      </c>
      <c r="AE83" s="305">
        <f t="shared" si="40"/>
        <v>0.5</v>
      </c>
      <c r="AF83" s="177">
        <f t="shared" si="41"/>
        <v>0.50785969704538347</v>
      </c>
      <c r="AG83" s="811">
        <f t="shared" si="49"/>
        <v>0</v>
      </c>
      <c r="AH83" s="176">
        <f t="shared" si="42"/>
        <v>6</v>
      </c>
      <c r="AI83" s="225">
        <f t="shared" si="43"/>
        <v>0.50785969704538347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411">
        <f>'2022'!Wh/'2022'!Env_an*'2023'!Env_an</f>
        <v>15.696107060508082</v>
      </c>
      <c r="C84" s="841"/>
      <c r="D84" s="393">
        <f t="shared" si="25"/>
        <v>16.304773182313316</v>
      </c>
      <c r="E84" s="385">
        <f t="shared" si="47"/>
        <v>17.252640775201666</v>
      </c>
      <c r="F84" s="385">
        <f t="shared" si="26"/>
        <v>17.252841682287194</v>
      </c>
      <c r="G84" s="110">
        <f t="shared" si="48"/>
        <v>0.36195762057250092</v>
      </c>
      <c r="H84" s="414" t="b">
        <f>Wh_hp&gt;='2022'!Maxi_hp</f>
        <v>0</v>
      </c>
      <c r="I84" s="390">
        <f>IF(H84,Wh_hp,'2022'!Maxi_hp)</f>
        <v>34.137173352401021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3.7330548238811878E-2</v>
      </c>
      <c r="M84" s="845"/>
      <c r="N84" s="845"/>
      <c r="O84" s="48">
        <f>IF(t&lt;Tnet,'2022'!Resal+('2022'!Salim-'2022'!Resal)*(1-EXP(('2022'!Tnet-t)/('2022'!Tau_j))),Resal+(Salim-Resal)*(1-EXP((Tnet-t)/(Tau_j))))*Salcycl</f>
        <v>5.4940435220258162E-2</v>
      </c>
      <c r="P84" s="169">
        <f>(INDEX(Models!$BJ84:$BT84,,T84)*(1-R84)+INDEX(Models!$BJ84:$BT84,,T84+1)*R84-ERP_i)*Q84*Ramure*Pc/MaxiM</f>
        <v>1.3147221245506593E-4</v>
      </c>
      <c r="Q84" s="305">
        <f t="shared" si="28"/>
        <v>0.5</v>
      </c>
      <c r="R84" s="177">
        <f t="shared" si="29"/>
        <v>0.50831730105304829</v>
      </c>
      <c r="S84" s="811">
        <f t="shared" si="30"/>
        <v>0</v>
      </c>
      <c r="T84" s="176">
        <f t="shared" si="31"/>
        <v>6</v>
      </c>
      <c r="U84" s="251">
        <f t="shared" si="32"/>
        <v>0.50831730105304829</v>
      </c>
      <c r="V84" s="383">
        <f t="shared" si="33"/>
        <v>43.359292148552868</v>
      </c>
      <c r="W84" s="402">
        <f t="shared" si="34"/>
        <v>15.696107060508082</v>
      </c>
      <c r="X84" s="157">
        <f t="shared" si="35"/>
        <v>44996</v>
      </c>
      <c r="Y84" s="385">
        <f t="shared" si="36"/>
        <v>15.240334025293661</v>
      </c>
      <c r="Z84" s="385">
        <f t="shared" si="37"/>
        <v>15.831326108262518</v>
      </c>
      <c r="AA84" s="386">
        <f t="shared" si="38"/>
        <v>17.252640775201666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8.2382441358316238E-2</v>
      </c>
      <c r="AD84" s="231">
        <f>(INDEX(Models!$BJ84:$BT84,,AH84)*(1-AF84)+INDEX(Models!$BJ84:$BT84,,AH84+1)*AF84-ERP_i)*AE84*Ramure*Pc/MaxiM</f>
        <v>1.3147221245506593E-4</v>
      </c>
      <c r="AE84" s="305">
        <f t="shared" si="40"/>
        <v>0.5</v>
      </c>
      <c r="AF84" s="177">
        <f t="shared" si="41"/>
        <v>0.50831730105304829</v>
      </c>
      <c r="AG84" s="811">
        <f t="shared" si="49"/>
        <v>0</v>
      </c>
      <c r="AH84" s="176">
        <f t="shared" si="42"/>
        <v>6</v>
      </c>
      <c r="AI84" s="225">
        <f t="shared" si="43"/>
        <v>0.50831730105304829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411">
        <f>'2022'!Wh/'2022'!Env_an*'2023'!Env_an</f>
        <v>14.584169785876934</v>
      </c>
      <c r="C85" s="841"/>
      <c r="D85" s="393">
        <f t="shared" si="25"/>
        <v>15.150048853154063</v>
      </c>
      <c r="E85" s="385">
        <f t="shared" si="47"/>
        <v>16.031661090076959</v>
      </c>
      <c r="F85" s="385">
        <f t="shared" si="26"/>
        <v>16.031751950632376</v>
      </c>
      <c r="G85" s="110">
        <f t="shared" si="48"/>
        <v>0.33377179625522935</v>
      </c>
      <c r="H85" s="414" t="b">
        <f>Wh_hp&gt;='2022'!Maxi_hp</f>
        <v>0</v>
      </c>
      <c r="I85" s="390">
        <f>IF(H85,Wh_hp,'2022'!Maxi_hp)</f>
        <v>42.294025676295831</v>
      </c>
      <c r="J85" s="85">
        <f>IF(H85,An,'2022'!An_max)</f>
        <v>2019</v>
      </c>
      <c r="K85" s="197">
        <f t="shared" si="27"/>
        <v>44997</v>
      </c>
      <c r="L85" s="147">
        <f>IF(t&lt;Tvie,1-EXP((T0-t)*PertePVj)+'2022'!Pspv,1-EXP((T0-t)*PertePVj)+Pspv)</f>
        <v>3.7351633170431553E-2</v>
      </c>
      <c r="M85" s="845"/>
      <c r="N85" s="845"/>
      <c r="O85" s="48">
        <f>IF(t&lt;Tnet,'2022'!Resal+('2022'!Salim-'2022'!Resal)*(1-EXP(('2022'!Tnet-t)/('2022'!Tau_j))),Resal+(Salim-Resal)*(1-EXP((Tnet-t)/(Tau_j))))*Salcycl</f>
        <v>5.4991945748440435E-2</v>
      </c>
      <c r="P85" s="169">
        <f>(INDEX(Models!$BJ85:$BT85,,T85)*(1-R85)+INDEX(Models!$BJ85:$BT85,,T85+1)*R85-ERP_i)*Q85*Ramure*Pc/MaxiM</f>
        <v>1.173435316001965E-4</v>
      </c>
      <c r="Q85" s="305">
        <f t="shared" si="28"/>
        <v>0.5</v>
      </c>
      <c r="R85" s="177">
        <f t="shared" si="29"/>
        <v>0.5087931935524036</v>
      </c>
      <c r="S85" s="811">
        <f t="shared" si="30"/>
        <v>0</v>
      </c>
      <c r="T85" s="176">
        <f t="shared" si="31"/>
        <v>6</v>
      </c>
      <c r="U85" s="251">
        <f t="shared" si="32"/>
        <v>0.5087931935524036</v>
      </c>
      <c r="V85" s="383">
        <f t="shared" si="33"/>
        <v>43.690153687629802</v>
      </c>
      <c r="W85" s="402">
        <f t="shared" si="34"/>
        <v>14.584169785876934</v>
      </c>
      <c r="X85" s="157">
        <f t="shared" si="35"/>
        <v>44997</v>
      </c>
      <c r="Y85" s="385">
        <f t="shared" si="36"/>
        <v>14.161038722378997</v>
      </c>
      <c r="Z85" s="385">
        <f t="shared" si="37"/>
        <v>14.710499919111305</v>
      </c>
      <c r="AA85" s="386">
        <f t="shared" si="38"/>
        <v>16.031661090076959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8.2409499773133776E-2</v>
      </c>
      <c r="AD85" s="231">
        <f>(INDEX(Models!$BJ85:$BT85,,AH85)*(1-AF85)+INDEX(Models!$BJ85:$BT85,,AH85+1)*AF85-ERP_i)*AE85*Ramure*Pc/MaxiM</f>
        <v>1.173435316001965E-4</v>
      </c>
      <c r="AE85" s="305">
        <f t="shared" si="40"/>
        <v>0.5</v>
      </c>
      <c r="AF85" s="177">
        <f t="shared" si="41"/>
        <v>0.5087931935524036</v>
      </c>
      <c r="AG85" s="811">
        <f t="shared" si="49"/>
        <v>0</v>
      </c>
      <c r="AH85" s="176">
        <f t="shared" si="42"/>
        <v>6</v>
      </c>
      <c r="AI85" s="225">
        <f t="shared" si="43"/>
        <v>0.5087931935524036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411">
        <f>'2022'!Wh/'2022'!Env_an*'2023'!Env_an</f>
        <v>9.8996854255094746</v>
      </c>
      <c r="C86" s="841"/>
      <c r="D86" s="393">
        <f t="shared" si="25"/>
        <v>10.284027480752059</v>
      </c>
      <c r="E86" s="385">
        <f t="shared" si="47"/>
        <v>10.883070157305236</v>
      </c>
      <c r="F86" s="385">
        <f t="shared" si="26"/>
        <v>10.883070157305236</v>
      </c>
      <c r="G86" s="110">
        <f t="shared" si="48"/>
        <v>0.22486478865492343</v>
      </c>
      <c r="H86" s="414" t="b">
        <f>Wh_hp&gt;='2022'!Maxi_hp</f>
        <v>0</v>
      </c>
      <c r="I86" s="390">
        <f>IF(H86,Wh_hp,'2022'!Maxi_hp)</f>
        <v>41.647039184319176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3.7372717640236974E-2</v>
      </c>
      <c r="M86" s="845"/>
      <c r="N86" s="845"/>
      <c r="O86" s="48">
        <f>IF(t&lt;Tnet,'2022'!Resal+('2022'!Salim-'2022'!Resal)*(1-EXP(('2022'!Tnet-t)/('2022'!Tau_j))),Resal+(Salim-Resal)*(1-EXP((Tnet-t)/(Tau_j))))*Salcycl</f>
        <v>5.5043537153996173E-2</v>
      </c>
      <c r="P86" s="169">
        <f>(INDEX(Models!$BJ86:$BT86,,T86)*(1-R86)+INDEX(Models!$BJ86:$BT86,,T86+1)*R86-ERP_i)*Q86*Ramure*Pc/MaxiM</f>
        <v>1.0325537457396893E-4</v>
      </c>
      <c r="Q86" s="305">
        <f t="shared" si="28"/>
        <v>0.5</v>
      </c>
      <c r="R86" s="177">
        <f t="shared" si="29"/>
        <v>0.50928806679924932</v>
      </c>
      <c r="S86" s="811">
        <f t="shared" si="30"/>
        <v>0</v>
      </c>
      <c r="T86" s="176">
        <f t="shared" si="31"/>
        <v>6</v>
      </c>
      <c r="U86" s="251">
        <f t="shared" si="32"/>
        <v>0.50928806679924932</v>
      </c>
      <c r="V86" s="383">
        <f t="shared" si="33"/>
        <v>44.020512455478944</v>
      </c>
      <c r="W86" s="402">
        <f t="shared" si="34"/>
        <v>9.8996854255094746</v>
      </c>
      <c r="X86" s="157">
        <f t="shared" si="35"/>
        <v>44998</v>
      </c>
      <c r="Y86" s="385">
        <f t="shared" si="36"/>
        <v>9.6127050915933481</v>
      </c>
      <c r="Z86" s="385">
        <f t="shared" si="37"/>
        <v>9.9859055189345742</v>
      </c>
      <c r="AA86" s="386">
        <f t="shared" si="38"/>
        <v>10.883070157305236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8.2436722855125696E-2</v>
      </c>
      <c r="AD86" s="231">
        <f>(INDEX(Models!$BJ86:$BT86,,AH86)*(1-AF86)+INDEX(Models!$BJ86:$BT86,,AH86+1)*AF86-ERP_i)*AE86*Ramure*Pc/MaxiM</f>
        <v>1.0325537457396893E-4</v>
      </c>
      <c r="AE86" s="305">
        <f t="shared" si="40"/>
        <v>0.5</v>
      </c>
      <c r="AF86" s="177">
        <f t="shared" si="41"/>
        <v>0.50928806679924932</v>
      </c>
      <c r="AG86" s="811">
        <f t="shared" si="49"/>
        <v>0</v>
      </c>
      <c r="AH86" s="176">
        <f t="shared" si="42"/>
        <v>6</v>
      </c>
      <c r="AI86" s="225">
        <f t="shared" si="43"/>
        <v>0.50928806679924932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411">
        <f>'2022'!Wh/'2022'!Env_an*'2023'!Env_an</f>
        <v>14.266215180781897</v>
      </c>
      <c r="C87" s="841"/>
      <c r="D87" s="393">
        <f t="shared" si="25"/>
        <v>14.820406522635592</v>
      </c>
      <c r="E87" s="385">
        <f t="shared" si="47"/>
        <v>15.684550385097577</v>
      </c>
      <c r="F87" s="385">
        <f t="shared" si="26"/>
        <v>15.684594230989758</v>
      </c>
      <c r="G87" s="110">
        <f t="shared" si="48"/>
        <v>0.32164435131421504</v>
      </c>
      <c r="H87" s="414" t="b">
        <f>Wh_hp&gt;='2022'!Maxi_hp</f>
        <v>0</v>
      </c>
      <c r="I87" s="390">
        <f>IF(H87,Wh_hp,'2022'!Maxi_hp)</f>
        <v>41.178376020580401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3.7393801648238467E-2</v>
      </c>
      <c r="M87" s="845"/>
      <c r="N87" s="845"/>
      <c r="O87" s="48">
        <f>IF(t&lt;Tnet,'2022'!Resal+('2022'!Salim-'2022'!Resal)*(1-EXP(('2022'!Tnet-t)/('2022'!Tau_j))),Resal+(Salim-Resal)*(1-EXP((Tnet-t)/(Tau_j))))*Salcycl</f>
        <v>5.5095226910873832E-2</v>
      </c>
      <c r="P87" s="169">
        <f>(INDEX(Models!$BJ87:$BT87,,T87)*(1-R87)+INDEX(Models!$BJ87:$BT87,,T87+1)*R87-ERP_i)*Q87*Ramure*Pc/MaxiM</f>
        <v>9.0291054696479652E-5</v>
      </c>
      <c r="Q87" s="305">
        <f t="shared" si="28"/>
        <v>0.5</v>
      </c>
      <c r="R87" s="177">
        <f t="shared" si="29"/>
        <v>0.50980263603228693</v>
      </c>
      <c r="S87" s="811">
        <f t="shared" si="30"/>
        <v>0</v>
      </c>
      <c r="T87" s="176">
        <f t="shared" si="31"/>
        <v>6</v>
      </c>
      <c r="U87" s="251">
        <f t="shared" si="32"/>
        <v>0.50980263603228693</v>
      </c>
      <c r="V87" s="383">
        <f t="shared" si="33"/>
        <v>44.350124254446236</v>
      </c>
      <c r="W87" s="402">
        <f t="shared" si="34"/>
        <v>14.266215180781897</v>
      </c>
      <c r="X87" s="157">
        <f t="shared" si="35"/>
        <v>44999</v>
      </c>
      <c r="Y87" s="385">
        <f t="shared" si="36"/>
        <v>13.852998142538587</v>
      </c>
      <c r="Z87" s="385">
        <f t="shared" si="37"/>
        <v>14.391137483073154</v>
      </c>
      <c r="AA87" s="386">
        <f t="shared" si="38"/>
        <v>15.684550385097577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8.2464136380558134E-2</v>
      </c>
      <c r="AD87" s="231">
        <f>(INDEX(Models!$BJ87:$BT87,,AH87)*(1-AF87)+INDEX(Models!$BJ87:$BT87,,AH87+1)*AF87-ERP_i)*AE87*Ramure*Pc/MaxiM</f>
        <v>9.0291054696479652E-5</v>
      </c>
      <c r="AE87" s="305">
        <f t="shared" si="40"/>
        <v>0.5</v>
      </c>
      <c r="AF87" s="177">
        <f t="shared" si="41"/>
        <v>0.50980263603228693</v>
      </c>
      <c r="AG87" s="811">
        <f t="shared" si="49"/>
        <v>0</v>
      </c>
      <c r="AH87" s="176">
        <f t="shared" si="42"/>
        <v>6</v>
      </c>
      <c r="AI87" s="225">
        <f t="shared" si="43"/>
        <v>0.50980263603228693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411">
        <f>'2022'!Wh/'2022'!Env_an*'2023'!Env_an</f>
        <v>14.289909302346086</v>
      </c>
      <c r="C88" s="841"/>
      <c r="D88" s="393">
        <f t="shared" si="25"/>
        <v>14.845346227105022</v>
      </c>
      <c r="E88" s="385">
        <f t="shared" si="47"/>
        <v>15.711805698475304</v>
      </c>
      <c r="F88" s="385">
        <f t="shared" si="26"/>
        <v>15.711840616694346</v>
      </c>
      <c r="G88" s="110">
        <f t="shared" si="48"/>
        <v>0.31981213931710217</v>
      </c>
      <c r="H88" s="414" t="b">
        <f>Wh_hp&gt;='2022'!Maxi_hp</f>
        <v>0</v>
      </c>
      <c r="I88" s="390">
        <f>IF(H88,Wh_hp,'2022'!Maxi_hp)</f>
        <v>31.428093358036886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3.7414885194446024E-2</v>
      </c>
      <c r="M88" s="845"/>
      <c r="N88" s="845"/>
      <c r="O88" s="48">
        <f>IF(t&lt;Tnet,'2022'!Resal+('2022'!Salim-'2022'!Resal)*(1-EXP(('2022'!Tnet-t)/('2022'!Tau_j))),Resal+(Salim-Resal)*(1-EXP((Tnet-t)/(Tau_j))))*Salcycl</f>
        <v>5.5147033256296274E-2</v>
      </c>
      <c r="P88" s="169">
        <f>(INDEX(Models!$BJ88:$BT88,,T88)*(1-R88)+INDEX(Models!$BJ88:$BT88,,T88+1)*R88-ERP_i)*Q88*Ramure*Pc/MaxiM</f>
        <v>7.8425582369335802E-5</v>
      </c>
      <c r="Q88" s="305">
        <f t="shared" si="28"/>
        <v>0.5</v>
      </c>
      <c r="R88" s="177">
        <f t="shared" si="29"/>
        <v>0.51033763996391857</v>
      </c>
      <c r="S88" s="811">
        <f t="shared" si="30"/>
        <v>0</v>
      </c>
      <c r="T88" s="176">
        <f t="shared" si="31"/>
        <v>6</v>
      </c>
      <c r="U88" s="251">
        <f t="shared" si="32"/>
        <v>0.51033763996391857</v>
      </c>
      <c r="V88" s="383">
        <f t="shared" si="33"/>
        <v>44.678792975390479</v>
      </c>
      <c r="W88" s="402">
        <f t="shared" si="34"/>
        <v>14.289909302346086</v>
      </c>
      <c r="X88" s="157">
        <f t="shared" si="35"/>
        <v>45000</v>
      </c>
      <c r="Y88" s="385">
        <f t="shared" si="36"/>
        <v>13.876348905337693</v>
      </c>
      <c r="Z88" s="385">
        <f t="shared" si="37"/>
        <v>14.415711080407441</v>
      </c>
      <c r="AA88" s="386">
        <f t="shared" si="38"/>
        <v>15.711805698475304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8.2491767206212208E-2</v>
      </c>
      <c r="AD88" s="231">
        <f>(INDEX(Models!$BJ88:$BT88,,AH88)*(1-AF88)+INDEX(Models!$BJ88:$BT88,,AH88+1)*AF88-ERP_i)*AE88*Ramure*Pc/MaxiM</f>
        <v>7.8425582369335802E-5</v>
      </c>
      <c r="AE88" s="305">
        <f t="shared" si="40"/>
        <v>0.5</v>
      </c>
      <c r="AF88" s="177">
        <f t="shared" si="41"/>
        <v>0.51033763996391857</v>
      </c>
      <c r="AG88" s="811">
        <f t="shared" si="49"/>
        <v>0</v>
      </c>
      <c r="AH88" s="176">
        <f t="shared" si="42"/>
        <v>6</v>
      </c>
      <c r="AI88" s="225">
        <f t="shared" si="43"/>
        <v>0.51033763996391857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411">
        <f>'2022'!Wh/'2022'!Env_an*'2023'!Env_an</f>
        <v>12.8800165037119</v>
      </c>
      <c r="C89" s="841"/>
      <c r="D89" s="393">
        <f t="shared" si="25"/>
        <v>13.380945141573129</v>
      </c>
      <c r="E89" s="385">
        <f t="shared" si="47"/>
        <v>14.162712348279385</v>
      </c>
      <c r="F89" s="385">
        <f t="shared" si="26"/>
        <v>14.162712348279385</v>
      </c>
      <c r="G89" s="110">
        <f t="shared" si="48"/>
        <v>0.28616302444506675</v>
      </c>
      <c r="H89" s="414" t="b">
        <f>Wh_hp&gt;='2022'!Maxi_hp</f>
        <v>0</v>
      </c>
      <c r="I89" s="390">
        <f>IF(H89,Wh_hp,'2022'!Maxi_hp)</f>
        <v>50.491533478793343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3.7435968278869858E-2</v>
      </c>
      <c r="M89" s="845"/>
      <c r="N89" s="845"/>
      <c r="O89" s="48">
        <f>IF(t&lt;Tnet,'2022'!Resal+('2022'!Salim-'2022'!Resal)*(1-EXP(('2022'!Tnet-t)/('2022'!Tau_j))),Resal+(Salim-Resal)*(1-EXP((Tnet-t)/(Tau_j))))*Salcycl</f>
        <v>5.5198975131428983E-2</v>
      </c>
      <c r="P89" s="169">
        <f>(INDEX(Models!$BJ89:$BT89,,T89)*(1-R89)+INDEX(Models!$BJ89:$BT89,,T89+1)*R89-ERP_i)*Q89*Ramure*Pc/MaxiM</f>
        <v>6.7634654970385094E-5</v>
      </c>
      <c r="Q89" s="305">
        <f t="shared" si="28"/>
        <v>0.5</v>
      </c>
      <c r="R89" s="177">
        <f t="shared" si="29"/>
        <v>0.51089384125669046</v>
      </c>
      <c r="S89" s="811">
        <f t="shared" si="30"/>
        <v>0</v>
      </c>
      <c r="T89" s="176">
        <f t="shared" si="31"/>
        <v>6</v>
      </c>
      <c r="U89" s="251">
        <f t="shared" si="32"/>
        <v>0.51089384125669046</v>
      </c>
      <c r="V89" s="383">
        <f t="shared" si="33"/>
        <v>45.006322508699931</v>
      </c>
      <c r="W89" s="402">
        <f t="shared" si="34"/>
        <v>12.8800165037119</v>
      </c>
      <c r="X89" s="157">
        <f t="shared" si="35"/>
        <v>45001</v>
      </c>
      <c r="Y89" s="385">
        <f t="shared" si="36"/>
        <v>12.507567018512795</v>
      </c>
      <c r="Z89" s="385">
        <f t="shared" si="37"/>
        <v>12.994010378871534</v>
      </c>
      <c r="AA89" s="386">
        <f t="shared" si="38"/>
        <v>14.162712348279385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8.2519643177659821E-2</v>
      </c>
      <c r="AD89" s="231">
        <f>(INDEX(Models!$BJ89:$BT89,,AH89)*(1-AF89)+INDEX(Models!$BJ89:$BT89,,AH89+1)*AF89-ERP_i)*AE89*Ramure*Pc/MaxiM</f>
        <v>6.7634654970385094E-5</v>
      </c>
      <c r="AE89" s="305">
        <f t="shared" si="40"/>
        <v>0.5</v>
      </c>
      <c r="AF89" s="177">
        <f t="shared" si="41"/>
        <v>0.51089384125669046</v>
      </c>
      <c r="AG89" s="811">
        <f t="shared" si="49"/>
        <v>0</v>
      </c>
      <c r="AH89" s="176">
        <f t="shared" si="42"/>
        <v>6</v>
      </c>
      <c r="AI89" s="225">
        <f t="shared" si="43"/>
        <v>0.51089384125669046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411">
        <f>'2022'!Wh/'2022'!Env_an*'2023'!Env_an</f>
        <v>10.744989694826788</v>
      </c>
      <c r="C90" s="841"/>
      <c r="D90" s="393">
        <f t="shared" si="25"/>
        <v>11.163127530974666</v>
      </c>
      <c r="E90" s="385">
        <f t="shared" si="47"/>
        <v>11.815972690246211</v>
      </c>
      <c r="F90" s="385">
        <f t="shared" si="26"/>
        <v>11.815972690246211</v>
      </c>
      <c r="G90" s="110">
        <f t="shared" si="48"/>
        <v>0.23701237849560022</v>
      </c>
      <c r="H90" s="414" t="b">
        <f>Wh_hp&gt;='2022'!Maxi_hp</f>
        <v>0</v>
      </c>
      <c r="I90" s="390">
        <f>IF(H90,Wh_hp,'2022'!Maxi_hp)</f>
        <v>27.136616542417517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3.7457050901520073E-2</v>
      </c>
      <c r="M90" s="845"/>
      <c r="N90" s="845"/>
      <c r="O90" s="48">
        <f>IF(t&lt;Tnet,'2022'!Resal+('2022'!Salim-'2022'!Resal)*(1-EXP(('2022'!Tnet-t)/('2022'!Tau_j))),Resal+(Salim-Resal)*(1-EXP((Tnet-t)/(Tau_j))))*Salcycl</f>
        <v>5.525107211955993E-2</v>
      </c>
      <c r="P90" s="169">
        <f>(INDEX(Models!$BJ90:$BT90,,T90)*(1-R90)+INDEX(Models!$BJ90:$BT90,,T90+1)*R90-ERP_i)*Q90*Ramure*Pc/MaxiM</f>
        <v>5.7894702728865907E-5</v>
      </c>
      <c r="Q90" s="305">
        <f t="shared" si="28"/>
        <v>0.5</v>
      </c>
      <c r="R90" s="177">
        <f t="shared" si="29"/>
        <v>0.51147202698245475</v>
      </c>
      <c r="S90" s="811">
        <f t="shared" si="30"/>
        <v>0</v>
      </c>
      <c r="T90" s="176">
        <f t="shared" si="31"/>
        <v>6</v>
      </c>
      <c r="U90" s="251">
        <f t="shared" si="32"/>
        <v>0.51147202698245475</v>
      </c>
      <c r="V90" s="383">
        <f t="shared" si="33"/>
        <v>45.332516744656161</v>
      </c>
      <c r="W90" s="402">
        <f t="shared" si="34"/>
        <v>10.744989694826788</v>
      </c>
      <c r="X90" s="157">
        <f t="shared" si="35"/>
        <v>45002</v>
      </c>
      <c r="Y90" s="385">
        <f t="shared" si="36"/>
        <v>10.43453368236214</v>
      </c>
      <c r="Z90" s="385">
        <f t="shared" si="37"/>
        <v>10.8405902221144</v>
      </c>
      <c r="AA90" s="386">
        <f t="shared" si="38"/>
        <v>11.815972690246211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8.2547793034166692E-2</v>
      </c>
      <c r="AD90" s="231">
        <f>(INDEX(Models!$BJ90:$BT90,,AH90)*(1-AF90)+INDEX(Models!$BJ90:$BT90,,AH90+1)*AF90-ERP_i)*AE90*Ramure*Pc/MaxiM</f>
        <v>5.7894702728865907E-5</v>
      </c>
      <c r="AE90" s="305">
        <f t="shared" si="40"/>
        <v>0.5</v>
      </c>
      <c r="AF90" s="177">
        <f t="shared" si="41"/>
        <v>0.51147202698245475</v>
      </c>
      <c r="AG90" s="811">
        <f t="shared" si="49"/>
        <v>0</v>
      </c>
      <c r="AH90" s="176">
        <f t="shared" si="42"/>
        <v>6</v>
      </c>
      <c r="AI90" s="225">
        <f t="shared" si="43"/>
        <v>0.51147202698245475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411">
        <f>'2022'!Wh/'2022'!Env_an*'2023'!Env_an</f>
        <v>14.326167160420543</v>
      </c>
      <c r="C91" s="841"/>
      <c r="D91" s="393">
        <f t="shared" si="25"/>
        <v>14.883991369465067</v>
      </c>
      <c r="E91" s="385">
        <f t="shared" si="47"/>
        <v>15.755312862554351</v>
      </c>
      <c r="F91" s="385">
        <f t="shared" si="26"/>
        <v>15.755328113423078</v>
      </c>
      <c r="G91" s="110">
        <f t="shared" si="48"/>
        <v>0.31376174694609427</v>
      </c>
      <c r="H91" s="414" t="b">
        <f>Wh_hp&gt;='2022'!Maxi_hp</f>
        <v>0</v>
      </c>
      <c r="I91" s="390">
        <f>IF(H91,Wh_hp,'2022'!Maxi_hp)</f>
        <v>35.441978382349127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3.747813306240666E-2</v>
      </c>
      <c r="M91" s="845"/>
      <c r="N91" s="845"/>
      <c r="O91" s="48">
        <f>IF(t&lt;Tnet,'2022'!Resal+('2022'!Salim-'2022'!Resal)*(1-EXP(('2022'!Tnet-t)/('2022'!Tau_j))),Resal+(Salim-Resal)*(1-EXP((Tnet-t)/(Tau_j))))*Salcycl</f>
        <v>5.5303344382335591E-2</v>
      </c>
      <c r="P91" s="169">
        <f>(INDEX(Models!$BJ91:$BT91,,T91)*(1-R91)+INDEX(Models!$BJ91:$BT91,,T91+1)*R91-ERP_i)*Q91*Ramure*Pc/MaxiM</f>
        <v>4.9182933761527123E-5</v>
      </c>
      <c r="Q91" s="305">
        <f t="shared" si="28"/>
        <v>0.5</v>
      </c>
      <c r="R91" s="177">
        <f t="shared" si="29"/>
        <v>0.51207300906108022</v>
      </c>
      <c r="S91" s="811">
        <f t="shared" si="30"/>
        <v>0</v>
      </c>
      <c r="T91" s="176">
        <f t="shared" si="31"/>
        <v>6</v>
      </c>
      <c r="U91" s="251">
        <f t="shared" si="32"/>
        <v>0.51207300906108022</v>
      </c>
      <c r="V91" s="383">
        <f t="shared" si="33"/>
        <v>45.65717957565338</v>
      </c>
      <c r="W91" s="402">
        <f t="shared" si="34"/>
        <v>14.326167160420543</v>
      </c>
      <c r="X91" s="157">
        <f t="shared" si="35"/>
        <v>45003</v>
      </c>
      <c r="Y91" s="385">
        <f t="shared" si="36"/>
        <v>13.912578153137522</v>
      </c>
      <c r="Z91" s="385">
        <f t="shared" si="37"/>
        <v>14.454298266908431</v>
      </c>
      <c r="AA91" s="386">
        <f t="shared" si="38"/>
        <v>15.755312862554351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8.2576246311048707E-2</v>
      </c>
      <c r="AD91" s="231">
        <f>(INDEX(Models!$BJ91:$BT91,,AH91)*(1-AF91)+INDEX(Models!$BJ91:$BT91,,AH91+1)*AF91-ERP_i)*AE91*Ramure*Pc/MaxiM</f>
        <v>4.9182933761527123E-5</v>
      </c>
      <c r="AE91" s="305">
        <f t="shared" si="40"/>
        <v>0.5</v>
      </c>
      <c r="AF91" s="177">
        <f t="shared" si="41"/>
        <v>0.51207300906108022</v>
      </c>
      <c r="AG91" s="811">
        <f t="shared" si="49"/>
        <v>0</v>
      </c>
      <c r="AH91" s="176">
        <f t="shared" si="42"/>
        <v>6</v>
      </c>
      <c r="AI91" s="225">
        <f t="shared" si="43"/>
        <v>0.51207300906108022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411">
        <f>'2022'!Wh/'2022'!Env_an*'2023'!Env_an</f>
        <v>29.073832763533126</v>
      </c>
      <c r="C92" s="841"/>
      <c r="D92" s="393">
        <f t="shared" si="25"/>
        <v>30.206554851100787</v>
      </c>
      <c r="E92" s="385">
        <f t="shared" si="47"/>
        <v>31.976648196043982</v>
      </c>
      <c r="F92" s="385">
        <f t="shared" si="26"/>
        <v>31.977277850550891</v>
      </c>
      <c r="G92" s="110">
        <f t="shared" si="48"/>
        <v>0.63229940582441568</v>
      </c>
      <c r="H92" s="414" t="b">
        <f>Wh_hp&gt;='2022'!Maxi_hp</f>
        <v>0</v>
      </c>
      <c r="I92" s="390">
        <f>IF(H92,Wh_hp,'2022'!Maxi_hp)</f>
        <v>46.110957889709681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3.7499214761539834E-2</v>
      </c>
      <c r="M92" s="845"/>
      <c r="N92" s="845"/>
      <c r="O92" s="48">
        <f>IF(t&lt;Tnet,'2022'!Resal+('2022'!Salim-'2022'!Resal)*(1-EXP(('2022'!Tnet-t)/('2022'!Tau_j))),Resal+(Salim-Resal)*(1-EXP((Tnet-t)/(Tau_j))))*Salcycl</f>
        <v>5.535581259458533E-2</v>
      </c>
      <c r="P92" s="169">
        <f>(INDEX(Models!$BJ92:$BT92,,T92)*(1-R92)+INDEX(Models!$BJ92:$BT92,,T92+1)*R92-ERP_i)*Q92*Ramure*Pc/MaxiM</f>
        <v>4.1477378199222824E-5</v>
      </c>
      <c r="Q92" s="305">
        <f t="shared" si="28"/>
        <v>0.5</v>
      </c>
      <c r="R92" s="177">
        <f t="shared" si="29"/>
        <v>0.51269762467528679</v>
      </c>
      <c r="S92" s="811">
        <f t="shared" si="30"/>
        <v>0</v>
      </c>
      <c r="T92" s="176">
        <f t="shared" si="31"/>
        <v>6</v>
      </c>
      <c r="U92" s="251">
        <f t="shared" si="32"/>
        <v>0.51269762467528679</v>
      </c>
      <c r="V92" s="383">
        <f t="shared" si="33"/>
        <v>45.980114895854648</v>
      </c>
      <c r="W92" s="402">
        <f t="shared" si="34"/>
        <v>29.073832763533126</v>
      </c>
      <c r="X92" s="157">
        <f t="shared" si="35"/>
        <v>45004</v>
      </c>
      <c r="Y92" s="385">
        <f t="shared" si="36"/>
        <v>28.235168539953193</v>
      </c>
      <c r="Z92" s="385">
        <f t="shared" si="37"/>
        <v>29.335216108896901</v>
      </c>
      <c r="AA92" s="386">
        <f t="shared" si="38"/>
        <v>31.976648196043982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8.2605033240283968E-2</v>
      </c>
      <c r="AD92" s="231">
        <f>(INDEX(Models!$BJ92:$BT92,,AH92)*(1-AF92)+INDEX(Models!$BJ92:$BT92,,AH92+1)*AF92-ERP_i)*AE92*Ramure*Pc/MaxiM</f>
        <v>4.1477378199222824E-5</v>
      </c>
      <c r="AE92" s="305">
        <f t="shared" si="40"/>
        <v>0.5</v>
      </c>
      <c r="AF92" s="177">
        <f t="shared" si="41"/>
        <v>0.51269762467528679</v>
      </c>
      <c r="AG92" s="811">
        <f t="shared" si="49"/>
        <v>0</v>
      </c>
      <c r="AH92" s="176">
        <f t="shared" si="42"/>
        <v>6</v>
      </c>
      <c r="AI92" s="225">
        <f t="shared" si="43"/>
        <v>0.51269762467528679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411">
        <f>'2022'!Wh/'2022'!Env_an*'2023'!Env_an</f>
        <v>30.029025495618093</v>
      </c>
      <c r="C93" s="841"/>
      <c r="D93" s="393">
        <f t="shared" si="25"/>
        <v>31.199645427104716</v>
      </c>
      <c r="E93" s="385">
        <f t="shared" si="47"/>
        <v>33.029775682952639</v>
      </c>
      <c r="F93" s="385">
        <f t="shared" si="26"/>
        <v>33.030347244960872</v>
      </c>
      <c r="G93" s="110">
        <f t="shared" si="48"/>
        <v>0.64851150854148898</v>
      </c>
      <c r="H93" s="414" t="b">
        <f>Wh_hp&gt;='2022'!Maxi_hp</f>
        <v>0</v>
      </c>
      <c r="I93" s="390">
        <f>IF(H93,Wh_hp,'2022'!Maxi_hp)</f>
        <v>51.145293953169229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3.7520295998929698E-2</v>
      </c>
      <c r="M93" s="845"/>
      <c r="N93" s="845"/>
      <c r="O93" s="48">
        <f>IF(t&lt;Tnet,'2022'!Resal+('2022'!Salim-'2022'!Resal)*(1-EXP(('2022'!Tnet-t)/('2022'!Tau_j))),Resal+(Salim-Resal)*(1-EXP((Tnet-t)/(Tau_j))))*Salcycl</f>
        <v>5.5408497878248981E-2</v>
      </c>
      <c r="P93" s="169">
        <f>(INDEX(Models!$BJ93:$BT93,,T93)*(1-R93)+INDEX(Models!$BJ93:$BT93,,T93+1)*R93-ERP_i)*Q93*Ramure*Pc/MaxiM</f>
        <v>3.4754978744491452E-5</v>
      </c>
      <c r="Q93" s="305">
        <f t="shared" si="28"/>
        <v>0.5</v>
      </c>
      <c r="R93" s="177">
        <f t="shared" si="29"/>
        <v>0.5133467366579082</v>
      </c>
      <c r="S93" s="811">
        <f t="shared" si="30"/>
        <v>0</v>
      </c>
      <c r="T93" s="176">
        <f t="shared" si="31"/>
        <v>6</v>
      </c>
      <c r="U93" s="251">
        <f t="shared" si="32"/>
        <v>0.5133467366579082</v>
      </c>
      <c r="V93" s="383">
        <f t="shared" si="33"/>
        <v>46.303729478348046</v>
      </c>
      <c r="W93" s="402">
        <f t="shared" si="34"/>
        <v>30.029025495618093</v>
      </c>
      <c r="X93" s="157">
        <f t="shared" si="35"/>
        <v>45005</v>
      </c>
      <c r="Y93" s="385">
        <f t="shared" si="36"/>
        <v>29.163507607332164</v>
      </c>
      <c r="Z93" s="385">
        <f t="shared" si="37"/>
        <v>30.300387100214358</v>
      </c>
      <c r="AA93" s="386">
        <f t="shared" si="38"/>
        <v>33.029775682952639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8.2634184650154138E-2</v>
      </c>
      <c r="AD93" s="231">
        <f>(INDEX(Models!$BJ93:$BT93,,AH93)*(1-AF93)+INDEX(Models!$BJ93:$BT93,,AH93+1)*AF93-ERP_i)*AE93*Ramure*Pc/MaxiM</f>
        <v>3.4754978744491452E-5</v>
      </c>
      <c r="AE93" s="305">
        <f t="shared" si="40"/>
        <v>0.5</v>
      </c>
      <c r="AF93" s="177">
        <f t="shared" si="41"/>
        <v>0.5133467366579082</v>
      </c>
      <c r="AG93" s="811">
        <f t="shared" si="49"/>
        <v>0</v>
      </c>
      <c r="AH93" s="176">
        <f t="shared" si="42"/>
        <v>6</v>
      </c>
      <c r="AI93" s="225">
        <f t="shared" si="43"/>
        <v>0.5133467366579082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411">
        <f>'2022'!Wh/'2022'!Env_an*'2023'!Env_an</f>
        <v>43.784240478223829</v>
      </c>
      <c r="C94" s="841"/>
      <c r="D94" s="393">
        <f t="shared" si="25"/>
        <v>45.492075629696231</v>
      </c>
      <c r="E94" s="385">
        <f t="shared" si="47"/>
        <v>48.16327959129287</v>
      </c>
      <c r="F94" s="385">
        <f t="shared" si="26"/>
        <v>48.164557249265862</v>
      </c>
      <c r="G94" s="110">
        <f t="shared" si="48"/>
        <v>0.93897100748232698</v>
      </c>
      <c r="H94" s="414" t="b">
        <f>Wh_hp&gt;='2022'!Maxi_hp</f>
        <v>0</v>
      </c>
      <c r="I94" s="390">
        <f>IF(H94,Wh_hp,'2022'!Maxi_hp)</f>
        <v>51.378117175877115</v>
      </c>
      <c r="J94" s="85">
        <f>IF(H94,An,'2022'!An_max)</f>
        <v>2019</v>
      </c>
      <c r="K94" s="197">
        <f t="shared" si="27"/>
        <v>45006</v>
      </c>
      <c r="L94" s="147">
        <f>IF(t&lt;Tvie,1-EXP((T0-t)*PertePVj)+'2022'!Pspv,1-EXP((T0-t)*PertePVj)+Pspv)</f>
        <v>3.7541376774586355E-2</v>
      </c>
      <c r="M94" s="845"/>
      <c r="N94" s="845"/>
      <c r="O94" s="48">
        <f>IF(t&lt;Tnet,'2022'!Resal+('2022'!Salim-'2022'!Resal)*(1-EXP(('2022'!Tnet-t)/('2022'!Tau_j))),Resal+(Salim-Resal)*(1-EXP((Tnet-t)/(Tau_j))))*Salcycl</f>
        <v>5.54614217358975E-2</v>
      </c>
      <c r="P94" s="169">
        <f>(INDEX(Models!$BJ94:$BT94,,T94)*(1-R94)+INDEX(Models!$BJ94:$BT94,,T94+1)*R94-ERP_i)*Q94*Ramure*Pc/MaxiM</f>
        <v>2.9060448129040189E-5</v>
      </c>
      <c r="Q94" s="305">
        <f t="shared" si="28"/>
        <v>0.5</v>
      </c>
      <c r="R94" s="177">
        <f t="shared" si="29"/>
        <v>0.51402123384760845</v>
      </c>
      <c r="S94" s="811">
        <f t="shared" si="30"/>
        <v>0</v>
      </c>
      <c r="T94" s="176">
        <f t="shared" si="31"/>
        <v>6</v>
      </c>
      <c r="U94" s="251">
        <f t="shared" si="32"/>
        <v>0.51402123384760845</v>
      </c>
      <c r="V94" s="383">
        <f t="shared" si="33"/>
        <v>46.629905714165929</v>
      </c>
      <c r="W94" s="402">
        <f t="shared" si="34"/>
        <v>43.784240478223829</v>
      </c>
      <c r="X94" s="157">
        <f t="shared" si="35"/>
        <v>45006</v>
      </c>
      <c r="Y94" s="385">
        <f t="shared" si="36"/>
        <v>42.523272937406901</v>
      </c>
      <c r="Z94" s="385">
        <f t="shared" si="37"/>
        <v>44.181923161436202</v>
      </c>
      <c r="AA94" s="386">
        <f t="shared" si="38"/>
        <v>48.16327959129287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8.2663731864647191E-2</v>
      </c>
      <c r="AD94" s="231">
        <f>(INDEX(Models!$BJ94:$BT94,,AH94)*(1-AF94)+INDEX(Models!$BJ94:$BT94,,AH94+1)*AF94-ERP_i)*AE94*Ramure*Pc/MaxiM</f>
        <v>2.9060448129040189E-5</v>
      </c>
      <c r="AE94" s="305">
        <f t="shared" si="40"/>
        <v>0.5</v>
      </c>
      <c r="AF94" s="177">
        <f t="shared" si="41"/>
        <v>0.51402123384760845</v>
      </c>
      <c r="AG94" s="811">
        <f t="shared" si="49"/>
        <v>0</v>
      </c>
      <c r="AH94" s="176">
        <f t="shared" si="42"/>
        <v>6</v>
      </c>
      <c r="AI94" s="225">
        <f t="shared" si="43"/>
        <v>0.51402123384760845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411">
        <f>'2022'!Wh/'2022'!Env_an*'2023'!Env_an</f>
        <v>41.200231585247025</v>
      </c>
      <c r="C95" s="841"/>
      <c r="D95" s="393">
        <f t="shared" si="25"/>
        <v>42.808213258817567</v>
      </c>
      <c r="E95" s="385">
        <f t="shared" si="47"/>
        <v>45.324378259370171</v>
      </c>
      <c r="F95" s="385">
        <f t="shared" si="26"/>
        <v>45.325279108858943</v>
      </c>
      <c r="G95" s="110">
        <f t="shared" si="48"/>
        <v>0.87738701661875718</v>
      </c>
      <c r="H95" s="414" t="b">
        <f>Wh_hp&gt;='2022'!Maxi_hp</f>
        <v>0</v>
      </c>
      <c r="I95" s="390">
        <f>IF(H95,Wh_hp,'2022'!Maxi_hp)</f>
        <v>50.23936086110939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3.7562457088519907E-2</v>
      </c>
      <c r="M95" s="845"/>
      <c r="N95" s="845"/>
      <c r="O95" s="48">
        <f>IF(t&lt;Tnet,'2022'!Resal+('2022'!Salim-'2022'!Resal)*(1-EXP(('2022'!Tnet-t)/('2022'!Tau_j))),Resal+(Salim-Resal)*(1-EXP((Tnet-t)/(Tau_j))))*Salcycl</f>
        <v>5.551460598430661E-2</v>
      </c>
      <c r="P95" s="169">
        <f>(INDEX(Models!$BJ95:$BT95,,T95)*(1-R95)+INDEX(Models!$BJ95:$BT95,,T95+1)*R95-ERP_i)*Q95*Ramure*Pc/MaxiM</f>
        <v>2.4095724556404819E-5</v>
      </c>
      <c r="Q95" s="305">
        <f t="shared" si="28"/>
        <v>0.5</v>
      </c>
      <c r="R95" s="177">
        <f t="shared" si="29"/>
        <v>0.51472203140878314</v>
      </c>
      <c r="S95" s="811">
        <f t="shared" si="30"/>
        <v>0</v>
      </c>
      <c r="T95" s="176">
        <f t="shared" si="31"/>
        <v>6</v>
      </c>
      <c r="U95" s="251">
        <f t="shared" si="32"/>
        <v>0.51472203140878314</v>
      </c>
      <c r="V95" s="383">
        <f t="shared" si="33"/>
        <v>46.957678784024985</v>
      </c>
      <c r="W95" s="402">
        <f t="shared" si="34"/>
        <v>41.200231585247025</v>
      </c>
      <c r="X95" s="157">
        <f t="shared" si="35"/>
        <v>45007</v>
      </c>
      <c r="Y95" s="385">
        <f t="shared" si="36"/>
        <v>40.014628031315418</v>
      </c>
      <c r="Z95" s="385">
        <f t="shared" si="37"/>
        <v>41.576337421612564</v>
      </c>
      <c r="AA95" s="386">
        <f t="shared" si="38"/>
        <v>45.324378259370171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8.2693706603305758E-2</v>
      </c>
      <c r="AD95" s="231">
        <f>(INDEX(Models!$BJ95:$BT95,,AH95)*(1-AF95)+INDEX(Models!$BJ95:$BT95,,AH95+1)*AF95-ERP_i)*AE95*Ramure*Pc/MaxiM</f>
        <v>2.4095724556404819E-5</v>
      </c>
      <c r="AE95" s="305">
        <f t="shared" si="40"/>
        <v>0.5</v>
      </c>
      <c r="AF95" s="177">
        <f t="shared" si="41"/>
        <v>0.51472203140878314</v>
      </c>
      <c r="AG95" s="811">
        <f t="shared" si="49"/>
        <v>0</v>
      </c>
      <c r="AH95" s="176">
        <f t="shared" si="42"/>
        <v>6</v>
      </c>
      <c r="AI95" s="225">
        <f t="shared" si="43"/>
        <v>0.51472203140878314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411">
        <f>'2022'!Wh/'2022'!Env_an*'2023'!Env_an</f>
        <v>47.27366031532074</v>
      </c>
      <c r="C96" s="841"/>
      <c r="D96" s="393">
        <f t="shared" si="25"/>
        <v>49.119754420088228</v>
      </c>
      <c r="E96" s="385">
        <f t="shared" si="47"/>
        <v>52.009841047958965</v>
      </c>
      <c r="F96" s="385">
        <f t="shared" si="26"/>
        <v>52.010872952790756</v>
      </c>
      <c r="G96" s="110">
        <f t="shared" si="48"/>
        <v>0.99973753256245113</v>
      </c>
      <c r="H96" s="414" t="b">
        <f>Wh_hp&gt;='2022'!Maxi_hp</f>
        <v>0</v>
      </c>
      <c r="I96" s="390">
        <f>IF(H96,Wh_hp,'2022'!Maxi_hp)</f>
        <v>52.010873192692713</v>
      </c>
      <c r="J96" s="85">
        <f>IF(H96,An,'2022'!An_max)</f>
        <v>2022</v>
      </c>
      <c r="K96" s="197">
        <f t="shared" si="27"/>
        <v>45008</v>
      </c>
      <c r="L96" s="147">
        <f>IF(t&lt;Tvie,1-EXP((T0-t)*PertePVj)+'2022'!Pspv,1-EXP((T0-t)*PertePVj)+Pspv)</f>
        <v>3.7583536940740569E-2</v>
      </c>
      <c r="M96" s="845"/>
      <c r="N96" s="845"/>
      <c r="O96" s="48">
        <f>IF(t&lt;Tnet,'2022'!Resal+('2022'!Salim-'2022'!Resal)*(1-EXP(('2022'!Tnet-t)/('2022'!Tau_j))),Resal+(Salim-Resal)*(1-EXP((Tnet-t)/(Tau_j))))*Salcycl</f>
        <v>5.5568072688508198E-2</v>
      </c>
      <c r="P96" s="169">
        <f>(INDEX(Models!$BJ96:$BT96,,T96)*(1-R96)+INDEX(Models!$BJ96:$BT96,,T96+1)*R96-ERP_i)*Q96*Ramure*Pc/MaxiM</f>
        <v>1.9847616924047294E-5</v>
      </c>
      <c r="Q96" s="305">
        <f t="shared" si="28"/>
        <v>0.5</v>
      </c>
      <c r="R96" s="177">
        <f t="shared" si="29"/>
        <v>0.51545007111107777</v>
      </c>
      <c r="S96" s="811">
        <f t="shared" si="30"/>
        <v>0</v>
      </c>
      <c r="T96" s="176">
        <f t="shared" si="31"/>
        <v>6</v>
      </c>
      <c r="U96" s="251">
        <f t="shared" si="32"/>
        <v>0.51545007111107777</v>
      </c>
      <c r="V96" s="383">
        <f t="shared" si="33"/>
        <v>47.286071017408013</v>
      </c>
      <c r="W96" s="402">
        <f t="shared" si="34"/>
        <v>47.27366031532074</v>
      </c>
      <c r="X96" s="157">
        <f t="shared" si="35"/>
        <v>45008</v>
      </c>
      <c r="Y96" s="385">
        <f t="shared" si="36"/>
        <v>45.914359865853335</v>
      </c>
      <c r="Z96" s="385">
        <f t="shared" si="37"/>
        <v>47.707371629849419</v>
      </c>
      <c r="AA96" s="386">
        <f t="shared" si="38"/>
        <v>52.009841047958965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8.2724140882149341E-2</v>
      </c>
      <c r="AD96" s="231">
        <f>(INDEX(Models!$BJ96:$BT96,,AH96)*(1-AF96)+INDEX(Models!$BJ96:$BT96,,AH96+1)*AF96-ERP_i)*AE96*Ramure*Pc/MaxiM</f>
        <v>1.9847616924047294E-5</v>
      </c>
      <c r="AE96" s="305">
        <f t="shared" si="40"/>
        <v>0.5</v>
      </c>
      <c r="AF96" s="177">
        <f t="shared" si="41"/>
        <v>0.51545007111107777</v>
      </c>
      <c r="AG96" s="811">
        <f t="shared" si="49"/>
        <v>0</v>
      </c>
      <c r="AH96" s="176">
        <f t="shared" si="42"/>
        <v>6</v>
      </c>
      <c r="AI96" s="225">
        <f t="shared" si="43"/>
        <v>0.51545007111107777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411">
        <f>'2022'!Wh/'2022'!Env_an*'2023'!Env_an</f>
        <v>46.261786805526427</v>
      </c>
      <c r="C97" s="841"/>
      <c r="D97" s="393">
        <f t="shared" si="25"/>
        <v>48.069418858985117</v>
      </c>
      <c r="E97" s="385">
        <f t="shared" si="47"/>
        <v>50.900604337895565</v>
      </c>
      <c r="F97" s="385">
        <f t="shared" si="26"/>
        <v>50.90140052011494</v>
      </c>
      <c r="G97" s="110">
        <f t="shared" si="48"/>
        <v>0.97159772733776961</v>
      </c>
      <c r="H97" s="414" t="b">
        <f>Wh_hp&gt;='2022'!Maxi_hp</f>
        <v>0</v>
      </c>
      <c r="I97" s="390">
        <f>IF(H97,Wh_hp,'2022'!Maxi_hp)</f>
        <v>51.495753799818651</v>
      </c>
      <c r="J97" s="85">
        <f>IF(H97,An,'2022'!An_max)</f>
        <v>2019</v>
      </c>
      <c r="K97" s="197">
        <f t="shared" si="27"/>
        <v>45009</v>
      </c>
      <c r="L97" s="147">
        <f>IF(t&lt;Tvie,1-EXP((T0-t)*PertePVj)+'2022'!Pspv,1-EXP((T0-t)*PertePVj)+Pspv)</f>
        <v>3.7604616331258334E-2</v>
      </c>
      <c r="M97" s="845"/>
      <c r="N97" s="845"/>
      <c r="O97" s="48">
        <f>IF(t&lt;Tnet,'2022'!Resal+('2022'!Salim-'2022'!Resal)*(1-EXP(('2022'!Tnet-t)/('2022'!Tau_j))),Resal+(Salim-Resal)*(1-EXP((Tnet-t)/(Tau_j))))*Salcycl</f>
        <v>5.5621844096704086E-2</v>
      </c>
      <c r="P97" s="169">
        <f>(INDEX(Models!$BJ97:$BT97,,T97)*(1-R97)+INDEX(Models!$BJ97:$BT97,,T97+1)*R97-ERP_i)*Q97*Ramure*Pc/MaxiM</f>
        <v>1.6303135918926436E-5</v>
      </c>
      <c r="Q97" s="305">
        <f t="shared" si="28"/>
        <v>0.5</v>
      </c>
      <c r="R97" s="177">
        <f t="shared" si="29"/>
        <v>0.51620632156363766</v>
      </c>
      <c r="S97" s="811">
        <f t="shared" si="30"/>
        <v>0</v>
      </c>
      <c r="T97" s="176">
        <f t="shared" si="31"/>
        <v>6</v>
      </c>
      <c r="U97" s="251">
        <f t="shared" si="32"/>
        <v>0.51620632156363766</v>
      </c>
      <c r="V97" s="383">
        <f t="shared" si="33"/>
        <v>47.614104996504025</v>
      </c>
      <c r="W97" s="402">
        <f t="shared" si="34"/>
        <v>46.261786805526427</v>
      </c>
      <c r="X97" s="157">
        <f t="shared" si="35"/>
        <v>45009</v>
      </c>
      <c r="Y97" s="385">
        <f t="shared" si="36"/>
        <v>44.932625005692714</v>
      </c>
      <c r="Z97" s="385">
        <f t="shared" si="37"/>
        <v>46.688321419836122</v>
      </c>
      <c r="AA97" s="386">
        <f t="shared" si="38"/>
        <v>50.900604337895565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8.2755066916236922E-2</v>
      </c>
      <c r="AD97" s="231">
        <f>(INDEX(Models!$BJ97:$BT97,,AH97)*(1-AF97)+INDEX(Models!$BJ97:$BT97,,AH97+1)*AF97-ERP_i)*AE97*Ramure*Pc/MaxiM</f>
        <v>1.6303135918926436E-5</v>
      </c>
      <c r="AE97" s="305">
        <f t="shared" si="40"/>
        <v>0.5</v>
      </c>
      <c r="AF97" s="177">
        <f t="shared" si="41"/>
        <v>0.51620632156363766</v>
      </c>
      <c r="AG97" s="811">
        <f t="shared" si="49"/>
        <v>0</v>
      </c>
      <c r="AH97" s="176">
        <f t="shared" si="42"/>
        <v>6</v>
      </c>
      <c r="AI97" s="225">
        <f t="shared" si="43"/>
        <v>0.51620632156363766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411">
        <f>'2022'!Wh/'2022'!Env_an*'2023'!Env_an</f>
        <v>40.523332588610067</v>
      </c>
      <c r="C98" s="841"/>
      <c r="D98" s="393">
        <f t="shared" si="25"/>
        <v>42.107662672437591</v>
      </c>
      <c r="E98" s="385">
        <f t="shared" si="47"/>
        <v>44.590267865587599</v>
      </c>
      <c r="F98" s="385">
        <f t="shared" si="26"/>
        <v>44.590735037285569</v>
      </c>
      <c r="G98" s="110">
        <f t="shared" si="48"/>
        <v>0.84527603028631415</v>
      </c>
      <c r="H98" s="414" t="b">
        <f>Wh_hp&gt;='2022'!Maxi_hp</f>
        <v>0</v>
      </c>
      <c r="I98" s="390">
        <f>IF(H98,Wh_hp,'2022'!Maxi_hp)</f>
        <v>48.049790210842104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3.7625695260083303E-2</v>
      </c>
      <c r="M98" s="845"/>
      <c r="N98" s="845"/>
      <c r="O98" s="48">
        <f>IF(t&lt;Tnet,'2022'!Resal+('2022'!Salim-'2022'!Resal)*(1-EXP(('2022'!Tnet-t)/('2022'!Tau_j))),Resal+(Salim-Resal)*(1-EXP((Tnet-t)/(Tau_j))))*Salcycl</f>
        <v>5.5675942576383274E-2</v>
      </c>
      <c r="P98" s="169">
        <f>(INDEX(Models!$BJ98:$BT98,,T98)*(1-R98)+INDEX(Models!$BJ98:$BT98,,T98+1)*R98-ERP_i)*Q98*Ramure*Pc/MaxiM</f>
        <v>1.3449666785856751E-5</v>
      </c>
      <c r="Q98" s="305">
        <f t="shared" si="28"/>
        <v>0.5</v>
      </c>
      <c r="R98" s="177">
        <f t="shared" si="29"/>
        <v>0.51699177839888488</v>
      </c>
      <c r="S98" s="811">
        <f t="shared" si="30"/>
        <v>0</v>
      </c>
      <c r="T98" s="176">
        <f t="shared" si="31"/>
        <v>6</v>
      </c>
      <c r="U98" s="251">
        <f t="shared" si="32"/>
        <v>0.51699177839888488</v>
      </c>
      <c r="V98" s="383">
        <f t="shared" si="33"/>
        <v>47.940803557767438</v>
      </c>
      <c r="W98" s="402">
        <f t="shared" si="34"/>
        <v>40.523332588610067</v>
      </c>
      <c r="X98" s="157">
        <f t="shared" si="35"/>
        <v>45010</v>
      </c>
      <c r="Y98" s="385">
        <f t="shared" si="36"/>
        <v>39.359949302557553</v>
      </c>
      <c r="Z98" s="385">
        <f t="shared" si="37"/>
        <v>40.898794895812024</v>
      </c>
      <c r="AA98" s="386">
        <f t="shared" si="38"/>
        <v>44.590267865587599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8.278651702436754E-2</v>
      </c>
      <c r="AD98" s="231">
        <f>(INDEX(Models!$BJ98:$BT98,,AH98)*(1-AF98)+INDEX(Models!$BJ98:$BT98,,AH98+1)*AF98-ERP_i)*AE98*Ramure*Pc/MaxiM</f>
        <v>1.3449666785856751E-5</v>
      </c>
      <c r="AE98" s="305">
        <f t="shared" si="40"/>
        <v>0.5</v>
      </c>
      <c r="AF98" s="177">
        <f t="shared" si="41"/>
        <v>0.51699177839888488</v>
      </c>
      <c r="AG98" s="811">
        <f t="shared" si="49"/>
        <v>0</v>
      </c>
      <c r="AH98" s="176">
        <f t="shared" si="42"/>
        <v>6</v>
      </c>
      <c r="AI98" s="225">
        <f t="shared" si="43"/>
        <v>0.51699177839888488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411">
        <f>'2022'!Wh/'2022'!Env_an*'2023'!Env_an</f>
        <v>45.607046527089388</v>
      </c>
      <c r="C99" s="841"/>
      <c r="D99" s="393">
        <f t="shared" si="25"/>
        <v>47.391171226938134</v>
      </c>
      <c r="E99" s="385">
        <f t="shared" si="47"/>
        <v>50.188177987258115</v>
      </c>
      <c r="F99" s="385">
        <f t="shared" si="26"/>
        <v>50.18869934948313</v>
      </c>
      <c r="G99" s="110">
        <f t="shared" si="48"/>
        <v>0.9449254474954808</v>
      </c>
      <c r="H99" s="414" t="b">
        <f>Wh_hp&gt;='2022'!Maxi_hp</f>
        <v>0</v>
      </c>
      <c r="I99" s="390">
        <f>IF(H99,Wh_hp,'2022'!Maxi_hp)</f>
        <v>54.932815887950575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3.764677372722558E-2</v>
      </c>
      <c r="M99" s="845"/>
      <c r="N99" s="845"/>
      <c r="O99" s="48">
        <f>IF(t&lt;Tnet,'2022'!Resal+('2022'!Salim-'2022'!Resal)*(1-EXP(('2022'!Tnet-t)/('2022'!Tau_j))),Resal+(Salim-Resal)*(1-EXP((Tnet-t)/(Tau_j))))*Salcycl</f>
        <v>5.5730390551936237E-2</v>
      </c>
      <c r="P99" s="169">
        <f>(INDEX(Models!$BJ99:$BT99,,T99)*(1-R99)+INDEX(Models!$BJ99:$BT99,,T99+1)*R99-ERP_i)*Q99*Ramure*Pc/MaxiM</f>
        <v>1.1275130632839203E-5</v>
      </c>
      <c r="Q99" s="305">
        <f t="shared" si="28"/>
        <v>0.5</v>
      </c>
      <c r="R99" s="177">
        <f t="shared" si="29"/>
        <v>0.51780746440028846</v>
      </c>
      <c r="S99" s="811">
        <f t="shared" si="30"/>
        <v>0</v>
      </c>
      <c r="T99" s="176">
        <f t="shared" si="31"/>
        <v>6</v>
      </c>
      <c r="U99" s="251">
        <f t="shared" si="32"/>
        <v>0.51780746440028846</v>
      </c>
      <c r="V99" s="383">
        <f t="shared" si="33"/>
        <v>48.26518979880823</v>
      </c>
      <c r="W99" s="402">
        <f t="shared" si="34"/>
        <v>45.607046527089388</v>
      </c>
      <c r="X99" s="157">
        <f t="shared" si="35"/>
        <v>45011</v>
      </c>
      <c r="Y99" s="385">
        <f t="shared" si="36"/>
        <v>44.298723428484067</v>
      </c>
      <c r="Z99" s="385">
        <f t="shared" si="37"/>
        <v>46.031667187374097</v>
      </c>
      <c r="AA99" s="386">
        <f t="shared" si="38"/>
        <v>50.188177987258115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8.2818523536345265E-2</v>
      </c>
      <c r="AD99" s="231">
        <f>(INDEX(Models!$BJ99:$BT99,,AH99)*(1-AF99)+INDEX(Models!$BJ99:$BT99,,AH99+1)*AF99-ERP_i)*AE99*Ramure*Pc/MaxiM</f>
        <v>1.1275130632839203E-5</v>
      </c>
      <c r="AE99" s="305">
        <f t="shared" si="40"/>
        <v>0.5</v>
      </c>
      <c r="AF99" s="177">
        <f t="shared" si="41"/>
        <v>0.51780746440028846</v>
      </c>
      <c r="AG99" s="811">
        <f t="shared" si="49"/>
        <v>0</v>
      </c>
      <c r="AH99" s="176">
        <f t="shared" si="42"/>
        <v>6</v>
      </c>
      <c r="AI99" s="225">
        <f t="shared" si="43"/>
        <v>0.51780746440028846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411">
        <f>'2022'!Wh/'2022'!Env_an*'2023'!Env_an</f>
        <v>44.423803289910197</v>
      </c>
      <c r="C100" s="841"/>
      <c r="D100" s="393">
        <f t="shared" si="25"/>
        <v>46.162651190543734</v>
      </c>
      <c r="E100" s="385">
        <f t="shared" si="47"/>
        <v>48.889989545971233</v>
      </c>
      <c r="F100" s="385">
        <f t="shared" si="26"/>
        <v>48.890411259551456</v>
      </c>
      <c r="G100" s="110">
        <f t="shared" si="48"/>
        <v>0.91432696764070354</v>
      </c>
      <c r="H100" s="414" t="b">
        <f>Wh_hp&gt;='2022'!Maxi_hp</f>
        <v>0</v>
      </c>
      <c r="I100" s="390">
        <f>IF(H100,Wh_hp,'2022'!Maxi_hp)</f>
        <v>54.175577399192605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3.766785173269549E-2</v>
      </c>
      <c r="M100" s="845"/>
      <c r="N100" s="845"/>
      <c r="O100" s="48">
        <f>IF(t&lt;Tnet,'2022'!Resal+('2022'!Salim-'2022'!Resal)*(1-EXP(('2022'!Tnet-t)/('2022'!Tau_j))),Resal+(Salim-Resal)*(1-EXP((Tnet-t)/(Tau_j))))*Salcycl</f>
        <v>5.578521044401083E-2</v>
      </c>
      <c r="P100" s="169">
        <f>(INDEX(Models!$BJ100:$BT100,,T100)*(1-R100)+INDEX(Models!$BJ100:$BT100,,T100+1)*R100-ERP_i)*Q100*Ramure*Pc/MaxiM</f>
        <v>9.828598133495212E-6</v>
      </c>
      <c r="Q100" s="305">
        <f t="shared" si="28"/>
        <v>0.5</v>
      </c>
      <c r="R100" s="177">
        <f t="shared" si="29"/>
        <v>0.51865442956825303</v>
      </c>
      <c r="S100" s="811">
        <f t="shared" si="30"/>
        <v>0</v>
      </c>
      <c r="T100" s="176">
        <f t="shared" si="31"/>
        <v>6</v>
      </c>
      <c r="U100" s="251">
        <f t="shared" si="32"/>
        <v>0.51865442956825303</v>
      </c>
      <c r="V100" s="383">
        <f t="shared" si="33"/>
        <v>48.586284145559752</v>
      </c>
      <c r="W100" s="402">
        <f t="shared" si="34"/>
        <v>44.423803289910197</v>
      </c>
      <c r="X100" s="157">
        <f t="shared" si="35"/>
        <v>45012</v>
      </c>
      <c r="Y100" s="385">
        <f t="shared" si="36"/>
        <v>43.15039537714857</v>
      </c>
      <c r="Z100" s="385">
        <f t="shared" si="37"/>
        <v>44.839399218701772</v>
      </c>
      <c r="AA100" s="386">
        <f t="shared" si="38"/>
        <v>48.889989545971233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8.2851118703159018E-2</v>
      </c>
      <c r="AD100" s="231">
        <f>(INDEX(Models!$BJ100:$BT100,,AH100)*(1-AF100)+INDEX(Models!$BJ100:$BT100,,AH100+1)*AF100-ERP_i)*AE100*Ramure*Pc/MaxiM</f>
        <v>9.828598133495212E-6</v>
      </c>
      <c r="AE100" s="305">
        <f t="shared" si="40"/>
        <v>0.5</v>
      </c>
      <c r="AF100" s="177">
        <f t="shared" si="41"/>
        <v>0.51865442956825303</v>
      </c>
      <c r="AG100" s="811">
        <f t="shared" si="49"/>
        <v>0</v>
      </c>
      <c r="AH100" s="176">
        <f t="shared" si="42"/>
        <v>6</v>
      </c>
      <c r="AI100" s="225">
        <f t="shared" si="43"/>
        <v>0.51865442956825303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411">
        <f>'2022'!Wh/'2022'!Env_an*'2023'!Env_an</f>
        <v>34.781728624093049</v>
      </c>
      <c r="C101" s="841"/>
      <c r="D101" s="393">
        <f t="shared" si="25"/>
        <v>36.143955610884738</v>
      </c>
      <c r="E101" s="385">
        <f t="shared" si="47"/>
        <v>38.281617380182404</v>
      </c>
      <c r="F101" s="385">
        <f t="shared" si="26"/>
        <v>38.281808992252415</v>
      </c>
      <c r="G101" s="110">
        <f t="shared" si="48"/>
        <v>0.71123464532163283</v>
      </c>
      <c r="H101" s="414" t="b">
        <f>Wh_hp&gt;='2022'!Maxi_hp</f>
        <v>0</v>
      </c>
      <c r="I101" s="390">
        <f>IF(H101,Wh_hp,'2022'!Maxi_hp)</f>
        <v>52.923988977147388</v>
      </c>
      <c r="J101" s="85">
        <f>IF(H101,An,'2022'!An_max)</f>
        <v>2019</v>
      </c>
      <c r="K101" s="197">
        <f t="shared" si="27"/>
        <v>45013</v>
      </c>
      <c r="L101" s="147">
        <f>IF(t&lt;Tvie,1-EXP((T0-t)*PertePVj)+'2022'!Pspv,1-EXP((T0-t)*PertePVj)+Pspv)</f>
        <v>3.7688929276502803E-2</v>
      </c>
      <c r="M101" s="845"/>
      <c r="N101" s="845"/>
      <c r="O101" s="48">
        <f>IF(t&lt;Tnet,'2022'!Resal+('2022'!Salim-'2022'!Resal)*(1-EXP(('2022'!Tnet-t)/('2022'!Tau_j))),Resal+(Salim-Resal)*(1-EXP((Tnet-t)/(Tau_j))))*Salcycl</f>
        <v>5.584042461080254E-2</v>
      </c>
      <c r="P101" s="169">
        <f>(INDEX(Models!$BJ101:$BT101,,T101)*(1-R101)+INDEX(Models!$BJ101:$BT101,,T101+1)*R101-ERP_i)*Q101*Ramure*Pc/MaxiM</f>
        <v>8.5199317374626737E-6</v>
      </c>
      <c r="Q101" s="305">
        <f t="shared" si="28"/>
        <v>0.5</v>
      </c>
      <c r="R101" s="177">
        <f t="shared" si="29"/>
        <v>0.51953375111791733</v>
      </c>
      <c r="S101" s="811">
        <f t="shared" si="30"/>
        <v>0</v>
      </c>
      <c r="T101" s="176">
        <f t="shared" si="31"/>
        <v>6</v>
      </c>
      <c r="U101" s="251">
        <f t="shared" si="32"/>
        <v>0.51953375111791733</v>
      </c>
      <c r="V101" s="383">
        <f t="shared" si="33"/>
        <v>48.903138517534479</v>
      </c>
      <c r="W101" s="402">
        <f t="shared" si="34"/>
        <v>34.781728624093049</v>
      </c>
      <c r="X101" s="157">
        <f t="shared" si="35"/>
        <v>45013</v>
      </c>
      <c r="Y101" s="385">
        <f t="shared" si="36"/>
        <v>33.785462777664605</v>
      </c>
      <c r="Z101" s="385">
        <f t="shared" si="37"/>
        <v>35.108670995817995</v>
      </c>
      <c r="AA101" s="386">
        <f t="shared" si="38"/>
        <v>38.281617380182404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8.2884334610349455E-2</v>
      </c>
      <c r="AD101" s="231">
        <f>(INDEX(Models!$BJ101:$BT101,,AH101)*(1-AF101)+INDEX(Models!$BJ101:$BT101,,AH101+1)*AF101-ERP_i)*AE101*Ramure*Pc/MaxiM</f>
        <v>8.5199317374626737E-6</v>
      </c>
      <c r="AE101" s="305">
        <f t="shared" si="40"/>
        <v>0.5</v>
      </c>
      <c r="AF101" s="177">
        <f t="shared" si="41"/>
        <v>0.51953375111791733</v>
      </c>
      <c r="AG101" s="811">
        <f t="shared" si="49"/>
        <v>0</v>
      </c>
      <c r="AH101" s="176">
        <f t="shared" si="42"/>
        <v>6</v>
      </c>
      <c r="AI101" s="225">
        <f t="shared" si="43"/>
        <v>0.51953375111791733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411">
        <f>'2022'!Wh/'2022'!Env_an*'2023'!Env_an</f>
        <v>27.394295670103233</v>
      </c>
      <c r="C102" s="841"/>
      <c r="D102" s="393">
        <f t="shared" si="25"/>
        <v>28.467817239210991</v>
      </c>
      <c r="E102" s="385">
        <f t="shared" si="47"/>
        <v>30.153265854638757</v>
      </c>
      <c r="F102" s="385">
        <f t="shared" si="26"/>
        <v>30.153347067938288</v>
      </c>
      <c r="G102" s="110">
        <f t="shared" si="48"/>
        <v>0.556624857142617</v>
      </c>
      <c r="H102" s="414" t="b">
        <f>Wh_hp&gt;='2022'!Maxi_hp</f>
        <v>0</v>
      </c>
      <c r="I102" s="390">
        <f>IF(H102,Wh_hp,'2022'!Maxi_hp)</f>
        <v>54.418783965233558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3.7710006358657955E-2</v>
      </c>
      <c r="M102" s="845"/>
      <c r="N102" s="845"/>
      <c r="O102" s="48">
        <f>IF(t&lt;Tnet,'2022'!Resal+('2022'!Salim-'2022'!Resal)*(1-EXP(('2022'!Tnet-t)/('2022'!Tau_j))),Resal+(Salim-Resal)*(1-EXP((Tnet-t)/(Tau_j))))*Salcycl</f>
        <v>5.5896055291419729E-2</v>
      </c>
      <c r="P102" s="169">
        <f>(INDEX(Models!$BJ102:$BT102,,T102)*(1-R102)+INDEX(Models!$BJ102:$BT102,,T102+1)*R102-ERP_i)*Q102*Ramure*Pc/MaxiM</f>
        <v>7.3466028826589063E-6</v>
      </c>
      <c r="Q102" s="305">
        <f t="shared" si="28"/>
        <v>0.5</v>
      </c>
      <c r="R102" s="177">
        <f t="shared" si="29"/>
        <v>0.52044653340230373</v>
      </c>
      <c r="S102" s="811">
        <f t="shared" si="30"/>
        <v>0</v>
      </c>
      <c r="T102" s="176">
        <f t="shared" si="31"/>
        <v>6</v>
      </c>
      <c r="U102" s="251">
        <f t="shared" si="32"/>
        <v>0.52044653340230373</v>
      </c>
      <c r="V102" s="383">
        <f t="shared" si="33"/>
        <v>49.214776964151774</v>
      </c>
      <c r="W102" s="402">
        <f t="shared" si="34"/>
        <v>27.394295670103233</v>
      </c>
      <c r="X102" s="157">
        <f t="shared" si="35"/>
        <v>45014</v>
      </c>
      <c r="Y102" s="385">
        <f t="shared" si="36"/>
        <v>26.610216003118737</v>
      </c>
      <c r="Z102" s="385">
        <f t="shared" si="37"/>
        <v>27.653011232533618</v>
      </c>
      <c r="AA102" s="386">
        <f t="shared" si="38"/>
        <v>30.153265854638757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8.2918203094757087E-2</v>
      </c>
      <c r="AD102" s="231">
        <f>(INDEX(Models!$BJ102:$BT102,,AH102)*(1-AF102)+INDEX(Models!$BJ102:$BT102,,AH102+1)*AF102-ERP_i)*AE102*Ramure*Pc/MaxiM</f>
        <v>7.3466028826589063E-6</v>
      </c>
      <c r="AE102" s="305">
        <f t="shared" si="40"/>
        <v>0.5</v>
      </c>
      <c r="AF102" s="177">
        <f t="shared" si="41"/>
        <v>0.52044653340230373</v>
      </c>
      <c r="AG102" s="811">
        <f t="shared" si="49"/>
        <v>0</v>
      </c>
      <c r="AH102" s="176">
        <f t="shared" si="42"/>
        <v>6</v>
      </c>
      <c r="AI102" s="225">
        <f t="shared" si="43"/>
        <v>0.52044653340230373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411">
        <f>'2022'!Wh/'2022'!Env_an*'2023'!Env_an</f>
        <v>7.7039299596970965</v>
      </c>
      <c r="C103" s="841"/>
      <c r="D103" s="393">
        <f t="shared" si="25"/>
        <v>8.0060052064742493</v>
      </c>
      <c r="E103" s="385">
        <f t="shared" si="47"/>
        <v>8.4805076253892278</v>
      </c>
      <c r="F103" s="385">
        <f t="shared" si="26"/>
        <v>8.4805076253892278</v>
      </c>
      <c r="G103" s="110">
        <f t="shared" si="48"/>
        <v>0.1555704069915306</v>
      </c>
      <c r="H103" s="414" t="b">
        <f>Wh_hp&gt;='2022'!Maxi_hp</f>
        <v>0</v>
      </c>
      <c r="I103" s="390">
        <f>IF(H103,Wh_hp,'2022'!Maxi_hp)</f>
        <v>55.483183570295765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3.7731082979170827E-2</v>
      </c>
      <c r="M103" s="845"/>
      <c r="N103" s="845"/>
      <c r="O103" s="48">
        <f>IF(t&lt;Tnet,'2022'!Resal+('2022'!Salim-'2022'!Resal)*(1-EXP(('2022'!Tnet-t)/('2022'!Tau_j))),Resal+(Salim-Resal)*(1-EXP((Tnet-t)/(Tau_j))))*Salcycl</f>
        <v>5.5952124551412193E-2</v>
      </c>
      <c r="P103" s="169">
        <f>(INDEX(Models!$BJ103:$BT103,,T103)*(1-R103)+INDEX(Models!$BJ103:$BT103,,T103+1)*R103-ERP_i)*Q103*Ramure*Pc/MaxiM</f>
        <v>6.3062101889495595E-6</v>
      </c>
      <c r="Q103" s="305">
        <f t="shared" si="28"/>
        <v>0.5</v>
      </c>
      <c r="R103" s="177">
        <f t="shared" si="29"/>
        <v>0.52139390775392203</v>
      </c>
      <c r="S103" s="811">
        <f t="shared" si="30"/>
        <v>0</v>
      </c>
      <c r="T103" s="176">
        <f t="shared" si="31"/>
        <v>6</v>
      </c>
      <c r="U103" s="251">
        <f t="shared" si="32"/>
        <v>0.52139390775392203</v>
      </c>
      <c r="V103" s="383">
        <f t="shared" si="33"/>
        <v>49.520223839967805</v>
      </c>
      <c r="W103" s="402">
        <f t="shared" si="34"/>
        <v>7.7039299596970965</v>
      </c>
      <c r="X103" s="157">
        <f t="shared" si="35"/>
        <v>45015</v>
      </c>
      <c r="Y103" s="385">
        <f t="shared" si="36"/>
        <v>7.4835905294896365</v>
      </c>
      <c r="Z103" s="385">
        <f t="shared" si="37"/>
        <v>7.7770261484271215</v>
      </c>
      <c r="AA103" s="386">
        <f t="shared" si="38"/>
        <v>8.4805076253892278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8.2952755664766981E-2</v>
      </c>
      <c r="AD103" s="231">
        <f>(INDEX(Models!$BJ103:$BT103,,AH103)*(1-AF103)+INDEX(Models!$BJ103:$BT103,,AH103+1)*AF103-ERP_i)*AE103*Ramure*Pc/MaxiM</f>
        <v>6.3062101889495595E-6</v>
      </c>
      <c r="AE103" s="305">
        <f t="shared" si="40"/>
        <v>0.5</v>
      </c>
      <c r="AF103" s="177">
        <f t="shared" si="41"/>
        <v>0.52139390775392203</v>
      </c>
      <c r="AG103" s="811">
        <f t="shared" si="49"/>
        <v>0</v>
      </c>
      <c r="AH103" s="176">
        <f t="shared" si="42"/>
        <v>6</v>
      </c>
      <c r="AI103" s="225">
        <f t="shared" si="43"/>
        <v>0.52139390775392203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411">
        <f>'2022'!Wh/'2022'!Env_an*'2023'!Env_an</f>
        <v>28.074783877116353</v>
      </c>
      <c r="C104" s="841"/>
      <c r="D104" s="393">
        <f t="shared" si="25"/>
        <v>29.176250322336848</v>
      </c>
      <c r="E104" s="385">
        <f t="shared" si="47"/>
        <v>30.907328179532865</v>
      </c>
      <c r="F104" s="385">
        <f t="shared" si="26"/>
        <v>30.907390974621627</v>
      </c>
      <c r="G104" s="110">
        <f t="shared" si="48"/>
        <v>0.56353939329556813</v>
      </c>
      <c r="H104" s="414" t="b">
        <f>Wh_hp&gt;='2022'!Maxi_hp</f>
        <v>0</v>
      </c>
      <c r="I104" s="390">
        <f>IF(H104,Wh_hp,'2022'!Maxi_hp)</f>
        <v>49.250450204262727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3.7752159138051744E-2</v>
      </c>
      <c r="M104" s="845"/>
      <c r="N104" s="845"/>
      <c r="O104" s="48">
        <f>IF(t&lt;Tnet,'2022'!Resal+('2022'!Salim-'2022'!Resal)*(1-EXP(('2022'!Tnet-t)/('2022'!Tau_j))),Resal+(Salim-Resal)*(1-EXP((Tnet-t)/(Tau_j))))*Salcycl</f>
        <v>5.6008654230499048E-2</v>
      </c>
      <c r="P104" s="169">
        <f>(INDEX(Models!$BJ104:$BT104,,T104)*(1-R104)+INDEX(Models!$BJ104:$BT104,,T104+1)*R104-ERP_i)*Q104*Ramure*Pc/MaxiM</f>
        <v>5.3965065204395507E-6</v>
      </c>
      <c r="Q104" s="305">
        <f t="shared" si="28"/>
        <v>0.5</v>
      </c>
      <c r="R104" s="177">
        <f t="shared" si="29"/>
        <v>0.52237703223758625</v>
      </c>
      <c r="S104" s="811">
        <f t="shared" si="30"/>
        <v>0</v>
      </c>
      <c r="T104" s="176">
        <f t="shared" si="31"/>
        <v>6</v>
      </c>
      <c r="U104" s="251">
        <f t="shared" si="32"/>
        <v>0.52237703223758625</v>
      </c>
      <c r="V104" s="383">
        <f t="shared" si="33"/>
        <v>49.818503808617706</v>
      </c>
      <c r="W104" s="402">
        <f t="shared" si="34"/>
        <v>28.074783877116353</v>
      </c>
      <c r="X104" s="157">
        <f t="shared" si="35"/>
        <v>45016</v>
      </c>
      <c r="Y104" s="385">
        <f t="shared" si="36"/>
        <v>27.272403683012467</v>
      </c>
      <c r="Z104" s="385">
        <f t="shared" si="37"/>
        <v>28.342390104593836</v>
      </c>
      <c r="AA104" s="386">
        <f t="shared" si="38"/>
        <v>30.907328179532865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8.2988023424087398E-2</v>
      </c>
      <c r="AD104" s="231">
        <f>(INDEX(Models!$BJ104:$BT104,,AH104)*(1-AF104)+INDEX(Models!$BJ104:$BT104,,AH104+1)*AF104-ERP_i)*AE104*Ramure*Pc/MaxiM</f>
        <v>5.3965065204395507E-6</v>
      </c>
      <c r="AE104" s="305">
        <f t="shared" si="40"/>
        <v>0.5</v>
      </c>
      <c r="AF104" s="177">
        <f t="shared" si="41"/>
        <v>0.52237703223758625</v>
      </c>
      <c r="AG104" s="811">
        <f t="shared" si="49"/>
        <v>0</v>
      </c>
      <c r="AH104" s="176">
        <f t="shared" si="42"/>
        <v>6</v>
      </c>
      <c r="AI104" s="225">
        <f t="shared" si="43"/>
        <v>0.52237703223758625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411">
        <f>'2022'!Wh/'2022'!Env_an*'2023'!Env_an</f>
        <v>30.723643992486373</v>
      </c>
      <c r="C105" s="841"/>
      <c r="D105" s="393">
        <f t="shared" si="25"/>
        <v>31.929733306917402</v>
      </c>
      <c r="E105" s="385">
        <f t="shared" si="47"/>
        <v>33.826223025467854</v>
      </c>
      <c r="F105" s="385">
        <f t="shared" si="26"/>
        <v>33.826292865982353</v>
      </c>
      <c r="G105" s="110">
        <f t="shared" si="48"/>
        <v>0.61313906118801509</v>
      </c>
      <c r="H105" s="414" t="b">
        <f>Wh_hp&gt;='2022'!Maxi_hp</f>
        <v>0</v>
      </c>
      <c r="I105" s="390">
        <f>IF(H105,Wh_hp,'2022'!Maxi_hp)</f>
        <v>50.405835504746996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3.7773234835310587E-2</v>
      </c>
      <c r="M105" s="845"/>
      <c r="N105" s="845"/>
      <c r="O105" s="48">
        <f>IF(t&lt;Tnet,'2022'!Resal+('2022'!Salim-'2022'!Resal)*(1-EXP(('2022'!Tnet-t)/('2022'!Tau_j))),Resal+(Salim-Resal)*(1-EXP((Tnet-t)/(Tau_j))))*Salcycl</f>
        <v>5.6065665892481777E-2</v>
      </c>
      <c r="P105" s="169">
        <f>(INDEX(Models!$BJ105:$BT105,,T105)*(1-R105)+INDEX(Models!$BJ105:$BT105,,T105+1)*R105-ERP_i)*Q105*Ramure*Pc/MaxiM</f>
        <v>4.6154245006633566E-6</v>
      </c>
      <c r="Q105" s="305">
        <f t="shared" si="28"/>
        <v>0.5</v>
      </c>
      <c r="R105" s="177">
        <f t="shared" si="29"/>
        <v>0.52339709130687151</v>
      </c>
      <c r="S105" s="811">
        <f t="shared" si="30"/>
        <v>0</v>
      </c>
      <c r="T105" s="176">
        <f t="shared" si="31"/>
        <v>6</v>
      </c>
      <c r="U105" s="251">
        <f t="shared" si="32"/>
        <v>0.52339709130687151</v>
      </c>
      <c r="V105" s="383">
        <f t="shared" si="33"/>
        <v>50.108641854702398</v>
      </c>
      <c r="W105" s="402">
        <f t="shared" si="34"/>
        <v>30.723643992486373</v>
      </c>
      <c r="X105" s="157">
        <f t="shared" si="35"/>
        <v>45017</v>
      </c>
      <c r="Y105" s="385">
        <f t="shared" si="36"/>
        <v>29.846189527099323</v>
      </c>
      <c r="Z105" s="385">
        <f t="shared" si="37"/>
        <v>31.017833433464112</v>
      </c>
      <c r="AA105" s="386">
        <f t="shared" si="38"/>
        <v>33.826223025467854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8.3024036999025871E-2</v>
      </c>
      <c r="AD105" s="231">
        <f>(INDEX(Models!$BJ105:$BT105,,AH105)*(1-AF105)+INDEX(Models!$BJ105:$BT105,,AH105+1)*AF105-ERP_i)*AE105*Ramure*Pc/MaxiM</f>
        <v>4.6154245006633566E-6</v>
      </c>
      <c r="AE105" s="305">
        <f t="shared" si="40"/>
        <v>0.5</v>
      </c>
      <c r="AF105" s="177">
        <f t="shared" si="41"/>
        <v>0.52339709130687151</v>
      </c>
      <c r="AG105" s="811">
        <f t="shared" si="49"/>
        <v>0</v>
      </c>
      <c r="AH105" s="176">
        <f t="shared" si="42"/>
        <v>6</v>
      </c>
      <c r="AI105" s="225">
        <f t="shared" si="43"/>
        <v>0.52339709130687151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411">
        <f>'2022'!Wh/'2022'!Env_an*'2023'!Env_an</f>
        <v>20.945309767031581</v>
      </c>
      <c r="C106" s="841"/>
      <c r="D106" s="393">
        <f t="shared" si="25"/>
        <v>21.768016949241058</v>
      </c>
      <c r="E106" s="385">
        <f t="shared" si="47"/>
        <v>23.062349351016966</v>
      </c>
      <c r="F106" s="385">
        <f t="shared" si="26"/>
        <v>23.06236444592151</v>
      </c>
      <c r="G106" s="110">
        <f t="shared" si="48"/>
        <v>0.41566541904847887</v>
      </c>
      <c r="H106" s="414" t="b">
        <f>Wh_hp&gt;='2022'!Maxi_hp</f>
        <v>0</v>
      </c>
      <c r="I106" s="390">
        <f>IF(H106,Wh_hp,'2022'!Maxi_hp)</f>
        <v>45.758995612636852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3.7794310070957571E-2</v>
      </c>
      <c r="M106" s="845"/>
      <c r="N106" s="845"/>
      <c r="O106" s="48">
        <f>IF(t&lt;Tnet,'2022'!Resal+('2022'!Salim-'2022'!Resal)*(1-EXP(('2022'!Tnet-t)/('2022'!Tau_j))),Resal+(Salim-Resal)*(1-EXP((Tnet-t)/(Tau_j))))*Salcycl</f>
        <v>5.6123180777279798E-2</v>
      </c>
      <c r="P106" s="169">
        <f>(INDEX(Models!$BJ106:$BT106,,T106)*(1-R106)+INDEX(Models!$BJ106:$BT106,,T106+1)*R106-ERP_i)*Q106*Ramure*Pc/MaxiM</f>
        <v>3.9611007054593404E-6</v>
      </c>
      <c r="Q106" s="305">
        <f t="shared" si="28"/>
        <v>0.5</v>
      </c>
      <c r="R106" s="177">
        <f t="shared" si="29"/>
        <v>0.52445529535631086</v>
      </c>
      <c r="S106" s="811">
        <f t="shared" si="30"/>
        <v>0</v>
      </c>
      <c r="T106" s="176">
        <f t="shared" si="31"/>
        <v>6</v>
      </c>
      <c r="U106" s="251">
        <f t="shared" si="32"/>
        <v>0.52445529535631086</v>
      </c>
      <c r="V106" s="383">
        <f t="shared" si="33"/>
        <v>50.389663296239938</v>
      </c>
      <c r="W106" s="402">
        <f t="shared" si="34"/>
        <v>20.945309767031581</v>
      </c>
      <c r="X106" s="157">
        <f t="shared" si="35"/>
        <v>45018</v>
      </c>
      <c r="Y106" s="385">
        <f t="shared" si="36"/>
        <v>20.347543912504634</v>
      </c>
      <c r="Z106" s="385">
        <f t="shared" si="37"/>
        <v>21.146771553601141</v>
      </c>
      <c r="AA106" s="386">
        <f t="shared" si="38"/>
        <v>23.062349351016966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8.3060826469153901E-2</v>
      </c>
      <c r="AD106" s="231">
        <f>(INDEX(Models!$BJ106:$BT106,,AH106)*(1-AF106)+INDEX(Models!$BJ106:$BT106,,AH106+1)*AF106-ERP_i)*AE106*Ramure*Pc/MaxiM</f>
        <v>3.9611007054593404E-6</v>
      </c>
      <c r="AE106" s="305">
        <f t="shared" si="40"/>
        <v>0.5</v>
      </c>
      <c r="AF106" s="177">
        <f t="shared" si="41"/>
        <v>0.52445529535631086</v>
      </c>
      <c r="AG106" s="811">
        <f t="shared" si="49"/>
        <v>0</v>
      </c>
      <c r="AH106" s="176">
        <f t="shared" si="42"/>
        <v>6</v>
      </c>
      <c r="AI106" s="225">
        <f t="shared" si="43"/>
        <v>0.52445529535631086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411">
        <f>'2022'!Wh/'2022'!Env_an*'2023'!Env_an</f>
        <v>22.691694828499752</v>
      </c>
      <c r="C107" s="841"/>
      <c r="D107" s="393">
        <f t="shared" si="25"/>
        <v>23.583514505523841</v>
      </c>
      <c r="E107" s="385">
        <f t="shared" si="47"/>
        <v>24.987333372833977</v>
      </c>
      <c r="F107" s="385">
        <f t="shared" si="26"/>
        <v>24.987351489596524</v>
      </c>
      <c r="G107" s="110">
        <f t="shared" si="48"/>
        <v>0.4478914553720737</v>
      </c>
      <c r="H107" s="414" t="b">
        <f>Wh_hp&gt;='2022'!Maxi_hp</f>
        <v>0</v>
      </c>
      <c r="I107" s="390">
        <f>IF(H107,Wh_hp,'2022'!Maxi_hp)</f>
        <v>53.35954700357199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3.7815384845002797E-2</v>
      </c>
      <c r="M107" s="845"/>
      <c r="N107" s="845"/>
      <c r="O107" s="48">
        <f>IF(t&lt;Tnet,'2022'!Resal+('2022'!Salim-'2022'!Resal)*(1-EXP(('2022'!Tnet-t)/('2022'!Tau_j))),Resal+(Salim-Resal)*(1-EXP((Tnet-t)/(Tau_j))))*Salcycl</f>
        <v>5.618121975498009E-2</v>
      </c>
      <c r="P107" s="169">
        <f>(INDEX(Models!$BJ107:$BT107,,T107)*(1-R107)+INDEX(Models!$BJ107:$BT107,,T107+1)*R107-ERP_i)*Q107*Ramure*Pc/MaxiM</f>
        <v>3.4317193493961737E-6</v>
      </c>
      <c r="Q107" s="305">
        <f t="shared" si="28"/>
        <v>0.5</v>
      </c>
      <c r="R107" s="177">
        <f t="shared" si="29"/>
        <v>0.52555288016112445</v>
      </c>
      <c r="S107" s="811">
        <f t="shared" si="30"/>
        <v>0</v>
      </c>
      <c r="T107" s="176">
        <f t="shared" si="31"/>
        <v>6</v>
      </c>
      <c r="U107" s="251">
        <f t="shared" si="32"/>
        <v>0.52555288016112445</v>
      </c>
      <c r="V107" s="383">
        <f t="shared" si="33"/>
        <v>50.663242482271343</v>
      </c>
      <c r="W107" s="402">
        <f t="shared" si="34"/>
        <v>22.691694828499752</v>
      </c>
      <c r="X107" s="157">
        <f t="shared" si="35"/>
        <v>45019</v>
      </c>
      <c r="Y107" s="385">
        <f t="shared" si="36"/>
        <v>22.04453995522509</v>
      </c>
      <c r="Z107" s="385">
        <f t="shared" si="37"/>
        <v>22.910925417025048</v>
      </c>
      <c r="AA107" s="386">
        <f t="shared" si="38"/>
        <v>24.987333372833977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8.3098421301185346E-2</v>
      </c>
      <c r="AD107" s="231">
        <f>(INDEX(Models!$BJ107:$BT107,,AH107)*(1-AF107)+INDEX(Models!$BJ107:$BT107,,AH107+1)*AF107-ERP_i)*AE107*Ramure*Pc/MaxiM</f>
        <v>3.4317193493961737E-6</v>
      </c>
      <c r="AE107" s="305">
        <f t="shared" si="40"/>
        <v>0.5</v>
      </c>
      <c r="AF107" s="177">
        <f t="shared" si="41"/>
        <v>0.52555288016112445</v>
      </c>
      <c r="AG107" s="811">
        <f t="shared" si="49"/>
        <v>0</v>
      </c>
      <c r="AH107" s="176">
        <f t="shared" si="42"/>
        <v>6</v>
      </c>
      <c r="AI107" s="225">
        <f t="shared" si="43"/>
        <v>0.52555288016112445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411">
        <f>'2022'!Wh/'2022'!Env_an*'2023'!Env_an</f>
        <v>47.721453024657386</v>
      </c>
      <c r="C108" s="841"/>
      <c r="D108" s="393">
        <f t="shared" si="25"/>
        <v>49.59806831057935</v>
      </c>
      <c r="E108" s="385">
        <f t="shared" si="47"/>
        <v>52.553676752894859</v>
      </c>
      <c r="F108" s="385">
        <f t="shared" si="26"/>
        <v>52.553823801566274</v>
      </c>
      <c r="G108" s="110">
        <f t="shared" si="48"/>
        <v>0.93697049378099617</v>
      </c>
      <c r="H108" s="414" t="b">
        <f>Wh_hp&gt;='2022'!Maxi_hp</f>
        <v>0</v>
      </c>
      <c r="I108" s="390">
        <f>IF(H108,Wh_hp,'2022'!Maxi_hp)</f>
        <v>56.536713073450201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3.783645915745637E-2</v>
      </c>
      <c r="M108" s="845"/>
      <c r="N108" s="845"/>
      <c r="O108" s="48">
        <f>IF(t&lt;Tnet,'2022'!Resal+('2022'!Salim-'2022'!Resal)*(1-EXP(('2022'!Tnet-t)/('2022'!Tau_j))),Resal+(Salim-Resal)*(1-EXP((Tnet-t)/(Tau_j))))*Salcycl</f>
        <v>5.6239803281750517E-2</v>
      </c>
      <c r="P108" s="169">
        <f>(INDEX(Models!$BJ108:$BT108,,T108)*(1-R108)+INDEX(Models!$BJ108:$BT108,,T108+1)*R108-ERP_i)*Q108*Ramure*Pc/MaxiM</f>
        <v>3.0749306992832898E-6</v>
      </c>
      <c r="Q108" s="305">
        <f t="shared" si="28"/>
        <v>0.5</v>
      </c>
      <c r="R108" s="177">
        <f t="shared" si="29"/>
        <v>0.52669110619597714</v>
      </c>
      <c r="S108" s="811">
        <f t="shared" si="30"/>
        <v>0</v>
      </c>
      <c r="T108" s="176">
        <f t="shared" si="31"/>
        <v>6</v>
      </c>
      <c r="U108" s="251">
        <f t="shared" si="32"/>
        <v>0.52669110619597714</v>
      </c>
      <c r="V108" s="383">
        <f t="shared" si="33"/>
        <v>50.931635658346764</v>
      </c>
      <c r="W108" s="402">
        <f t="shared" si="34"/>
        <v>47.721453024657386</v>
      </c>
      <c r="X108" s="157">
        <f t="shared" si="35"/>
        <v>45020</v>
      </c>
      <c r="Y108" s="385">
        <f t="shared" si="36"/>
        <v>46.361397610611938</v>
      </c>
      <c r="Z108" s="385">
        <f t="shared" si="37"/>
        <v>48.184529596719464</v>
      </c>
      <c r="AA108" s="386">
        <f t="shared" si="38"/>
        <v>52.553676752894859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8.3136850285831329E-2</v>
      </c>
      <c r="AD108" s="231">
        <f>(INDEX(Models!$BJ108:$BT108,,AH108)*(1-AF108)+INDEX(Models!$BJ108:$BT108,,AH108+1)*AF108-ERP_i)*AE108*Ramure*Pc/MaxiM</f>
        <v>3.0749306992832898E-6</v>
      </c>
      <c r="AE108" s="305">
        <f t="shared" si="40"/>
        <v>0.5</v>
      </c>
      <c r="AF108" s="177">
        <f t="shared" si="41"/>
        <v>0.52669110619597714</v>
      </c>
      <c r="AG108" s="811">
        <f t="shared" si="49"/>
        <v>0</v>
      </c>
      <c r="AH108" s="176">
        <f t="shared" si="42"/>
        <v>6</v>
      </c>
      <c r="AI108" s="225">
        <f t="shared" si="43"/>
        <v>0.52669110619597714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411">
        <f>'2022'!Wh/'2022'!Env_an*'2023'!Env_an</f>
        <v>50.724132933750688</v>
      </c>
      <c r="C109" s="841"/>
      <c r="D109" s="393">
        <f t="shared" si="25"/>
        <v>52.719981368611357</v>
      </c>
      <c r="E109" s="385">
        <f t="shared" si="47"/>
        <v>55.865129581496483</v>
      </c>
      <c r="F109" s="385">
        <f t="shared" si="26"/>
        <v>55.865285487951354</v>
      </c>
      <c r="G109" s="110">
        <f t="shared" si="48"/>
        <v>0.99080731683098811</v>
      </c>
      <c r="H109" s="414" t="b">
        <f>Wh_hp&gt;='2022'!Maxi_hp</f>
        <v>0</v>
      </c>
      <c r="I109" s="390">
        <f>IF(H109,Wh_hp,'2022'!Maxi_hp)</f>
        <v>58.623693621493487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3.7857533008328503E-2</v>
      </c>
      <c r="M109" s="845"/>
      <c r="N109" s="845"/>
      <c r="O109" s="48">
        <f>IF(t&lt;Tnet,'2022'!Resal+('2022'!Salim-'2022'!Resal)*(1-EXP(('2022'!Tnet-t)/('2022'!Tau_j))),Resal+(Salim-Resal)*(1-EXP((Tnet-t)/(Tau_j))))*Salcycl</f>
        <v>5.6298951357428739E-2</v>
      </c>
      <c r="P109" s="169">
        <f>(INDEX(Models!$BJ109:$BT109,,T109)*(1-R109)+INDEX(Models!$BJ109:$BT109,,T109+1)*R109-ERP_i)*Q109*Ramure*Pc/MaxiM</f>
        <v>2.8278942305238294E-6</v>
      </c>
      <c r="Q109" s="305">
        <f t="shared" si="28"/>
        <v>0.5</v>
      </c>
      <c r="R109" s="177">
        <f t="shared" si="29"/>
        <v>0.5278712578239958</v>
      </c>
      <c r="S109" s="811">
        <f t="shared" si="30"/>
        <v>0</v>
      </c>
      <c r="T109" s="176">
        <f t="shared" si="31"/>
        <v>6</v>
      </c>
      <c r="U109" s="251">
        <f t="shared" si="32"/>
        <v>0.5278712578239958</v>
      </c>
      <c r="V109" s="383">
        <f t="shared" si="33"/>
        <v>51.194748149665493</v>
      </c>
      <c r="W109" s="402">
        <f t="shared" si="34"/>
        <v>50.724132933750688</v>
      </c>
      <c r="X109" s="157">
        <f t="shared" si="35"/>
        <v>45021</v>
      </c>
      <c r="Y109" s="385">
        <f t="shared" si="36"/>
        <v>49.279478223989443</v>
      </c>
      <c r="Z109" s="385">
        <f t="shared" si="37"/>
        <v>51.218483659775949</v>
      </c>
      <c r="AA109" s="386">
        <f t="shared" si="38"/>
        <v>55.865129581496483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8.317614147734087E-2</v>
      </c>
      <c r="AD109" s="231">
        <f>(INDEX(Models!$BJ109:$BT109,,AH109)*(1-AF109)+INDEX(Models!$BJ109:$BT109,,AH109+1)*AF109-ERP_i)*AE109*Ramure*Pc/MaxiM</f>
        <v>2.8278942305238294E-6</v>
      </c>
      <c r="AE109" s="305">
        <f t="shared" si="40"/>
        <v>0.5</v>
      </c>
      <c r="AF109" s="177">
        <f t="shared" si="41"/>
        <v>0.5278712578239958</v>
      </c>
      <c r="AG109" s="811">
        <f t="shared" si="49"/>
        <v>0</v>
      </c>
      <c r="AH109" s="176">
        <f t="shared" si="42"/>
        <v>6</v>
      </c>
      <c r="AI109" s="225">
        <f t="shared" si="43"/>
        <v>0.5278712578239958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411">
        <f>'2022'!Wh/'2022'!Env_an*'2023'!Env_an</f>
        <v>11.11218560966573</v>
      </c>
      <c r="C110" s="841"/>
      <c r="D110" s="393">
        <f t="shared" si="25"/>
        <v>11.549671053524266</v>
      </c>
      <c r="E110" s="385">
        <f t="shared" si="47"/>
        <v>12.239471557024967</v>
      </c>
      <c r="F110" s="385">
        <f t="shared" si="26"/>
        <v>12.239471557024967</v>
      </c>
      <c r="G110" s="110">
        <f t="shared" si="48"/>
        <v>0.21596928353513917</v>
      </c>
      <c r="H110" s="414" t="b">
        <f>Wh_hp&gt;='2022'!Maxi_hp</f>
        <v>0</v>
      </c>
      <c r="I110" s="390">
        <f>IF(H110,Wh_hp,'2022'!Maxi_hp)</f>
        <v>59.354429100482541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3.7878606397629189E-2</v>
      </c>
      <c r="M110" s="845"/>
      <c r="N110" s="845"/>
      <c r="O110" s="48">
        <f>IF(t&lt;Tnet,'2022'!Resal+('2022'!Salim-'2022'!Resal)*(1-EXP(('2022'!Tnet-t)/('2022'!Tau_j))),Resal+(Salim-Resal)*(1-EXP((Tnet-t)/(Tau_j))))*Salcycl</f>
        <v>5.6358683484564569E-2</v>
      </c>
      <c r="P110" s="169">
        <f>(INDEX(Models!$BJ110:$BT110,,T110)*(1-R110)+INDEX(Models!$BJ110:$BT110,,T110+1)*R110-ERP_i)*Q110*Ramure*Pc/MaxiM</f>
        <v>2.6897970697234364E-6</v>
      </c>
      <c r="Q110" s="305">
        <f t="shared" si="28"/>
        <v>0.5</v>
      </c>
      <c r="R110" s="177">
        <f t="shared" si="29"/>
        <v>0.52909464234703607</v>
      </c>
      <c r="S110" s="811">
        <f t="shared" si="30"/>
        <v>0</v>
      </c>
      <c r="T110" s="176">
        <f t="shared" si="31"/>
        <v>6</v>
      </c>
      <c r="U110" s="251">
        <f t="shared" si="32"/>
        <v>0.52909464234703607</v>
      </c>
      <c r="V110" s="383">
        <f t="shared" si="33"/>
        <v>51.45248221529355</v>
      </c>
      <c r="W110" s="402">
        <f t="shared" si="34"/>
        <v>11.11218560966573</v>
      </c>
      <c r="X110" s="157">
        <f t="shared" si="35"/>
        <v>45022</v>
      </c>
      <c r="Y110" s="385">
        <f t="shared" si="36"/>
        <v>10.795913885969542</v>
      </c>
      <c r="Z110" s="385">
        <f t="shared" si="37"/>
        <v>11.220947749168666</v>
      </c>
      <c r="AA110" s="386">
        <f t="shared" si="38"/>
        <v>12.239471557024967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8.3216322135387377E-2</v>
      </c>
      <c r="AD110" s="231">
        <f>(INDEX(Models!$BJ110:$BT110,,AH110)*(1-AF110)+INDEX(Models!$BJ110:$BT110,,AH110+1)*AF110-ERP_i)*AE110*Ramure*Pc/MaxiM</f>
        <v>2.6897970697234364E-6</v>
      </c>
      <c r="AE110" s="305">
        <f t="shared" si="40"/>
        <v>0.5</v>
      </c>
      <c r="AF110" s="177">
        <f t="shared" si="41"/>
        <v>0.52909464234703607</v>
      </c>
      <c r="AG110" s="811">
        <f t="shared" si="49"/>
        <v>0</v>
      </c>
      <c r="AH110" s="176">
        <f t="shared" si="42"/>
        <v>6</v>
      </c>
      <c r="AI110" s="225">
        <f t="shared" si="43"/>
        <v>0.52909464234703607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411">
        <f>'2022'!Wh/'2022'!Env_an*'2023'!Env_an</f>
        <v>37.985350235142725</v>
      </c>
      <c r="C111" s="841"/>
      <c r="D111" s="393">
        <f t="shared" si="25"/>
        <v>39.481693768179113</v>
      </c>
      <c r="E111" s="385">
        <f t="shared" si="47"/>
        <v>41.842400967852527</v>
      </c>
      <c r="F111" s="385">
        <f t="shared" si="26"/>
        <v>41.842470079816856</v>
      </c>
      <c r="G111" s="110">
        <f t="shared" si="48"/>
        <v>0.73465821144851085</v>
      </c>
      <c r="H111" s="414" t="b">
        <f>Wh_hp&gt;='2022'!Maxi_hp</f>
        <v>0</v>
      </c>
      <c r="I111" s="390">
        <f>IF(H111,Wh_hp,'2022'!Maxi_hp)</f>
        <v>56.351753523847592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3.7899679325368529E-2</v>
      </c>
      <c r="M111" s="845"/>
      <c r="N111" s="845"/>
      <c r="O111" s="48">
        <f>IF(t&lt;Tnet,'2022'!Resal+('2022'!Salim-'2022'!Resal)*(1-EXP(('2022'!Tnet-t)/('2022'!Tau_j))),Resal+(Salim-Resal)*(1-EXP((Tnet-t)/(Tau_j))))*Salcycl</f>
        <v>5.641901862866671E-2</v>
      </c>
      <c r="P111" s="169">
        <f>(INDEX(Models!$BJ111:$BT111,,T111)*(1-R111)+INDEX(Models!$BJ111:$BT111,,T111+1)*R111-ERP_i)*Q111*Ramure*Pc/MaxiM</f>
        <v>2.6600226449658712E-6</v>
      </c>
      <c r="Q111" s="305">
        <f t="shared" si="28"/>
        <v>0.5</v>
      </c>
      <c r="R111" s="177">
        <f t="shared" si="29"/>
        <v>0.53036258890798504</v>
      </c>
      <c r="S111" s="811">
        <f t="shared" si="30"/>
        <v>0</v>
      </c>
      <c r="T111" s="176">
        <f t="shared" si="31"/>
        <v>6</v>
      </c>
      <c r="U111" s="251">
        <f t="shared" si="32"/>
        <v>0.53036258890798504</v>
      </c>
      <c r="V111" s="383">
        <f t="shared" si="33"/>
        <v>51.704740166699466</v>
      </c>
      <c r="W111" s="402">
        <f t="shared" si="34"/>
        <v>37.985350235142725</v>
      </c>
      <c r="X111" s="157">
        <f t="shared" si="35"/>
        <v>45023</v>
      </c>
      <c r="Y111" s="385">
        <f t="shared" si="36"/>
        <v>36.904927838542093</v>
      </c>
      <c r="Z111" s="385">
        <f t="shared" si="37"/>
        <v>38.358710672359095</v>
      </c>
      <c r="AA111" s="386">
        <f t="shared" si="38"/>
        <v>41.842400967852527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8.3257418668922514E-2</v>
      </c>
      <c r="AD111" s="231">
        <f>(INDEX(Models!$BJ111:$BT111,,AH111)*(1-AF111)+INDEX(Models!$BJ111:$BT111,,AH111+1)*AF111-ERP_i)*AE111*Ramure*Pc/MaxiM</f>
        <v>2.6600226449658712E-6</v>
      </c>
      <c r="AE111" s="305">
        <f t="shared" si="40"/>
        <v>0.5</v>
      </c>
      <c r="AF111" s="177">
        <f t="shared" si="41"/>
        <v>0.53036258890798504</v>
      </c>
      <c r="AG111" s="811">
        <f t="shared" si="49"/>
        <v>0</v>
      </c>
      <c r="AH111" s="176">
        <f t="shared" si="42"/>
        <v>6</v>
      </c>
      <c r="AI111" s="225">
        <f t="shared" si="43"/>
        <v>0.53036258890798504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411">
        <f>'2022'!Wh/'2022'!Env_an*'2023'!Env_an</f>
        <v>31.289451219008935</v>
      </c>
      <c r="C112" s="841"/>
      <c r="D112" s="393">
        <f t="shared" si="25"/>
        <v>32.522737890122116</v>
      </c>
      <c r="E112" s="385">
        <f t="shared" si="47"/>
        <v>34.469578847894944</v>
      </c>
      <c r="F112" s="385">
        <f t="shared" si="26"/>
        <v>34.46961960559841</v>
      </c>
      <c r="G112" s="110">
        <f t="shared" si="48"/>
        <v>0.60228189921038355</v>
      </c>
      <c r="H112" s="414" t="b">
        <f>Wh_hp&gt;='2022'!Maxi_hp</f>
        <v>0</v>
      </c>
      <c r="I112" s="390">
        <f>IF(H112,Wh_hp,'2022'!Maxi_hp)</f>
        <v>55.793489046232402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3.7920751791556739E-2</v>
      </c>
      <c r="M112" s="845"/>
      <c r="N112" s="845"/>
      <c r="O112" s="48">
        <f>IF(t&lt;Tnet,'2022'!Resal+('2022'!Salim-'2022'!Resal)*(1-EXP(('2022'!Tnet-t)/('2022'!Tau_j))),Resal+(Salim-Resal)*(1-EXP((Tnet-t)/(Tau_j))))*Salcycl</f>
        <v>5.647997517938106E-2</v>
      </c>
      <c r="P112" s="169">
        <f>(INDEX(Models!$BJ112:$BT112,,T112)*(1-R112)+INDEX(Models!$BJ112:$BT112,,T112+1)*R112-ERP_i)*Q112*Ramure*Pc/MaxiM</f>
        <v>2.7381533442580262E-6</v>
      </c>
      <c r="Q112" s="305">
        <f t="shared" si="28"/>
        <v>0.5</v>
      </c>
      <c r="R112" s="177">
        <f t="shared" si="29"/>
        <v>0.5316764472357286</v>
      </c>
      <c r="S112" s="811">
        <f t="shared" si="30"/>
        <v>0</v>
      </c>
      <c r="T112" s="176">
        <f t="shared" si="31"/>
        <v>6</v>
      </c>
      <c r="U112" s="251">
        <f t="shared" si="32"/>
        <v>0.5316764472357286</v>
      </c>
      <c r="V112" s="383">
        <f t="shared" si="33"/>
        <v>51.951424377942978</v>
      </c>
      <c r="W112" s="402">
        <f t="shared" si="34"/>
        <v>31.289451219008935</v>
      </c>
      <c r="X112" s="157">
        <f t="shared" si="35"/>
        <v>45024</v>
      </c>
      <c r="Y112" s="385">
        <f t="shared" si="36"/>
        <v>30.400051065352454</v>
      </c>
      <c r="Z112" s="385">
        <f t="shared" si="37"/>
        <v>31.598281661269141</v>
      </c>
      <c r="AA112" s="386">
        <f t="shared" si="38"/>
        <v>34.469578847894944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8.3299456581586703E-2</v>
      </c>
      <c r="AD112" s="231">
        <f>(INDEX(Models!$BJ112:$BT112,,AH112)*(1-AF112)+INDEX(Models!$BJ112:$BT112,,AH112+1)*AF112-ERP_i)*AE112*Ramure*Pc/MaxiM</f>
        <v>2.7381533442580262E-6</v>
      </c>
      <c r="AE112" s="305">
        <f t="shared" si="40"/>
        <v>0.5</v>
      </c>
      <c r="AF112" s="177">
        <f t="shared" si="41"/>
        <v>0.5316764472357286</v>
      </c>
      <c r="AG112" s="811">
        <f t="shared" si="49"/>
        <v>0</v>
      </c>
      <c r="AH112" s="176">
        <f t="shared" si="42"/>
        <v>6</v>
      </c>
      <c r="AI112" s="225">
        <f t="shared" si="43"/>
        <v>0.5316764472357286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411">
        <f>'2022'!Wh/'2022'!Env_an*'2023'!Env_an</f>
        <v>34.839481987182133</v>
      </c>
      <c r="C113" s="841"/>
      <c r="D113" s="393">
        <f t="shared" si="25"/>
        <v>36.213487758771421</v>
      </c>
      <c r="E113" s="385">
        <f t="shared" si="47"/>
        <v>38.383766197085563</v>
      </c>
      <c r="F113" s="385">
        <f t="shared" si="26"/>
        <v>38.383825122721753</v>
      </c>
      <c r="G113" s="110">
        <f t="shared" si="48"/>
        <v>0.66751880955162213</v>
      </c>
      <c r="H113" s="414" t="b">
        <f>Wh_hp&gt;='2022'!Maxi_hp</f>
        <v>0</v>
      </c>
      <c r="I113" s="390">
        <f>IF(H113,Wh_hp,'2022'!Maxi_hp)</f>
        <v>41.648731192226585</v>
      </c>
      <c r="J113" s="85">
        <f>IF(H113,An,'2022'!An_max)</f>
        <v>2019</v>
      </c>
      <c r="K113" s="197">
        <f t="shared" si="27"/>
        <v>45025</v>
      </c>
      <c r="L113" s="147">
        <f>IF(t&lt;Tvie,1-EXP((T0-t)*PertePVj)+'2022'!Pspv,1-EXP((T0-t)*PertePVj)+Pspv)</f>
        <v>3.7941823796203811E-2</v>
      </c>
      <c r="M113" s="845"/>
      <c r="N113" s="845"/>
      <c r="O113" s="48">
        <f>IF(t&lt;Tnet,'2022'!Resal+('2022'!Salim-'2022'!Resal)*(1-EXP(('2022'!Tnet-t)/('2022'!Tau_j))),Resal+(Salim-Resal)*(1-EXP((Tnet-t)/(Tau_j))))*Salcycl</f>
        <v>5.6541570912312711E-2</v>
      </c>
      <c r="P113" s="169">
        <f>(INDEX(Models!$BJ113:$BT113,,T113)*(1-R113)+INDEX(Models!$BJ113:$BT113,,T113+1)*R113-ERP_i)*Q113*Ramure*Pc/MaxiM</f>
        <v>2.9239732927941721E-6</v>
      </c>
      <c r="Q113" s="305">
        <f t="shared" si="28"/>
        <v>0.5</v>
      </c>
      <c r="R113" s="177">
        <f t="shared" si="29"/>
        <v>0.53303758622329467</v>
      </c>
      <c r="S113" s="811">
        <f t="shared" si="30"/>
        <v>0</v>
      </c>
      <c r="T113" s="176">
        <f t="shared" si="31"/>
        <v>6</v>
      </c>
      <c r="U113" s="251">
        <f t="shared" si="32"/>
        <v>0.53303758622329467</v>
      </c>
      <c r="V113" s="383">
        <f t="shared" si="33"/>
        <v>52.192437281681173</v>
      </c>
      <c r="W113" s="402">
        <f t="shared" si="34"/>
        <v>34.839481987182133</v>
      </c>
      <c r="X113" s="157">
        <f t="shared" si="35"/>
        <v>45025</v>
      </c>
      <c r="Y113" s="385">
        <f t="shared" si="36"/>
        <v>33.849794388455329</v>
      </c>
      <c r="Z113" s="385">
        <f t="shared" si="37"/>
        <v>35.184768682101826</v>
      </c>
      <c r="AA113" s="386">
        <f t="shared" si="38"/>
        <v>38.383766197085563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8.3342460418244155E-2</v>
      </c>
      <c r="AD113" s="231">
        <f>(INDEX(Models!$BJ113:$BT113,,AH113)*(1-AF113)+INDEX(Models!$BJ113:$BT113,,AH113+1)*AF113-ERP_i)*AE113*Ramure*Pc/MaxiM</f>
        <v>2.9239732927941721E-6</v>
      </c>
      <c r="AE113" s="305">
        <f t="shared" si="40"/>
        <v>0.5</v>
      </c>
      <c r="AF113" s="177">
        <f t="shared" si="41"/>
        <v>0.53303758622329467</v>
      </c>
      <c r="AG113" s="811">
        <f t="shared" si="49"/>
        <v>0</v>
      </c>
      <c r="AH113" s="176">
        <f t="shared" si="42"/>
        <v>6</v>
      </c>
      <c r="AI113" s="225">
        <f t="shared" si="43"/>
        <v>0.53303758622329467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411">
        <f>'2022'!Wh/'2022'!Env_an*'2023'!Env_an</f>
        <v>52.46221390129525</v>
      </c>
      <c r="C114" s="841"/>
      <c r="D114" s="393">
        <f t="shared" si="25"/>
        <v>54.53242255120626</v>
      </c>
      <c r="E114" s="385">
        <f t="shared" si="47"/>
        <v>57.804370929081017</v>
      </c>
      <c r="F114" s="385">
        <f t="shared" si="26"/>
        <v>57.804561838176724</v>
      </c>
      <c r="G114" s="110">
        <f t="shared" si="48"/>
        <v>1.0006587548321231</v>
      </c>
      <c r="H114" s="414" t="b">
        <f>Wh_hp&gt;='2022'!Maxi_hp</f>
        <v>0</v>
      </c>
      <c r="I114" s="390">
        <f>IF(H114,Wh_hp,'2022'!Maxi_hp)</f>
        <v>58.06042842516851</v>
      </c>
      <c r="J114" s="85">
        <f>IF(H114,An,'2022'!An_max)</f>
        <v>2020</v>
      </c>
      <c r="K114" s="197">
        <f t="shared" si="27"/>
        <v>45026</v>
      </c>
      <c r="L114" s="147">
        <f>IF(t&lt;Tvie,1-EXP((T0-t)*PertePVj)+'2022'!Pspv,1-EXP((T0-t)*PertePVj)+Pspv)</f>
        <v>3.7962895339319846E-2</v>
      </c>
      <c r="M114" s="845"/>
      <c r="N114" s="845"/>
      <c r="O114" s="48">
        <f>IF(t&lt;Tnet,'2022'!Resal+('2022'!Salim-'2022'!Resal)*(1-EXP(('2022'!Tnet-t)/('2022'!Tau_j))),Resal+(Salim-Resal)*(1-EXP((Tnet-t)/(Tau_j))))*Salcycl</f>
        <v>5.6603822951192442E-2</v>
      </c>
      <c r="P114" s="169">
        <f>(INDEX(Models!$BJ114:$BT114,,T114)*(1-R114)+INDEX(Models!$BJ114:$BT114,,T114+1)*R114-ERP_i)*Q114*Ramure*Pc/MaxiM</f>
        <v>3.3026648700765739E-6</v>
      </c>
      <c r="Q114" s="305">
        <f t="shared" si="28"/>
        <v>0.5</v>
      </c>
      <c r="R114" s="177">
        <f t="shared" si="29"/>
        <v>0.53444739232963723</v>
      </c>
      <c r="S114" s="811">
        <f t="shared" si="30"/>
        <v>0</v>
      </c>
      <c r="T114" s="176">
        <f t="shared" si="31"/>
        <v>6</v>
      </c>
      <c r="U114" s="251">
        <f t="shared" si="32"/>
        <v>0.53444739232963723</v>
      </c>
      <c r="V114" s="383">
        <f t="shared" si="33"/>
        <v>52.427676915789974</v>
      </c>
      <c r="W114" s="402">
        <f t="shared" si="34"/>
        <v>52.46221390129525</v>
      </c>
      <c r="X114" s="157">
        <f t="shared" si="35"/>
        <v>45026</v>
      </c>
      <c r="Y114" s="385">
        <f t="shared" si="36"/>
        <v>50.972833153305942</v>
      </c>
      <c r="Z114" s="385">
        <f t="shared" si="37"/>
        <v>52.984269428240566</v>
      </c>
      <c r="AA114" s="386">
        <f t="shared" si="38"/>
        <v>57.804370929081017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8.3386453712196579E-2</v>
      </c>
      <c r="AD114" s="231">
        <f>(INDEX(Models!$BJ114:$BT114,,AH114)*(1-AF114)+INDEX(Models!$BJ114:$BT114,,AH114+1)*AF114-ERP_i)*AE114*Ramure*Pc/MaxiM</f>
        <v>3.3026648700765739E-6</v>
      </c>
      <c r="AE114" s="305">
        <f t="shared" si="40"/>
        <v>0.5</v>
      </c>
      <c r="AF114" s="177">
        <f t="shared" si="41"/>
        <v>0.53444739232963723</v>
      </c>
      <c r="AG114" s="811">
        <f t="shared" si="49"/>
        <v>0</v>
      </c>
      <c r="AH114" s="176">
        <f t="shared" si="42"/>
        <v>6</v>
      </c>
      <c r="AI114" s="225">
        <f t="shared" si="43"/>
        <v>0.53444739232963723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411">
        <f>'2022'!Wh/'2022'!Env_an*'2023'!Env_an</f>
        <v>44.054782379917533</v>
      </c>
      <c r="C115" s="841"/>
      <c r="D115" s="393">
        <f t="shared" si="25"/>
        <v>45.794228830070637</v>
      </c>
      <c r="E115" s="385">
        <f t="shared" si="47"/>
        <v>48.545123072760724</v>
      </c>
      <c r="F115" s="385">
        <f t="shared" si="26"/>
        <v>48.545265069325609</v>
      </c>
      <c r="G115" s="110">
        <f t="shared" si="48"/>
        <v>0.83663524776005849</v>
      </c>
      <c r="H115" s="414" t="b">
        <f>Wh_hp&gt;='2022'!Maxi_hp</f>
        <v>0</v>
      </c>
      <c r="I115" s="390">
        <f>IF(H115,Wh_hp,'2022'!Maxi_hp)</f>
        <v>59.123099904366789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3.7983966420915061E-2</v>
      </c>
      <c r="M115" s="845"/>
      <c r="N115" s="845"/>
      <c r="O115" s="48">
        <f>IF(t&lt;Tnet,'2022'!Resal+('2022'!Salim-'2022'!Resal)*(1-EXP(('2022'!Tnet-t)/('2022'!Tau_j))),Resal+(Salim-Resal)*(1-EXP((Tnet-t)/(Tau_j))))*Salcycl</f>
        <v>5.6666747730085475E-2</v>
      </c>
      <c r="P115" s="169">
        <f>(INDEX(Models!$BJ115:$BT115,,T115)*(1-R115)+INDEX(Models!$BJ115:$BT115,,T115+1)*R115-ERP_i)*Q115*Ramure*Pc/MaxiM</f>
        <v>3.8154801948268643E-6</v>
      </c>
      <c r="Q115" s="305">
        <f t="shared" si="28"/>
        <v>0.5</v>
      </c>
      <c r="R115" s="177">
        <f t="shared" si="29"/>
        <v>0.53590726779553433</v>
      </c>
      <c r="S115" s="811">
        <f t="shared" si="30"/>
        <v>0</v>
      </c>
      <c r="T115" s="176">
        <f t="shared" si="31"/>
        <v>6</v>
      </c>
      <c r="U115" s="251">
        <f t="shared" si="32"/>
        <v>0.53590726779553433</v>
      </c>
      <c r="V115" s="383">
        <f t="shared" si="33"/>
        <v>52.657048898371052</v>
      </c>
      <c r="W115" s="402">
        <f t="shared" si="34"/>
        <v>44.054782379917533</v>
      </c>
      <c r="X115" s="157">
        <f t="shared" si="35"/>
        <v>45027</v>
      </c>
      <c r="Y115" s="385">
        <f t="shared" si="36"/>
        <v>42.804838603789598</v>
      </c>
      <c r="Z115" s="385">
        <f t="shared" si="37"/>
        <v>44.494932630736365</v>
      </c>
      <c r="AA115" s="386">
        <f t="shared" si="38"/>
        <v>48.545123072760724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8.3431458932627101E-2</v>
      </c>
      <c r="AD115" s="231">
        <f>(INDEX(Models!$BJ115:$BT115,,AH115)*(1-AF115)+INDEX(Models!$BJ115:$BT115,,AH115+1)*AF115-ERP_i)*AE115*Ramure*Pc/MaxiM</f>
        <v>3.8154801948268643E-6</v>
      </c>
      <c r="AE115" s="305">
        <f t="shared" si="40"/>
        <v>0.5</v>
      </c>
      <c r="AF115" s="177">
        <f t="shared" si="41"/>
        <v>0.53590726779553433</v>
      </c>
      <c r="AG115" s="811">
        <f t="shared" si="49"/>
        <v>0</v>
      </c>
      <c r="AH115" s="176">
        <f t="shared" si="42"/>
        <v>6</v>
      </c>
      <c r="AI115" s="225">
        <f t="shared" si="43"/>
        <v>0.53590726779553433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411">
        <f>'2022'!Wh/'2022'!Env_an*'2023'!Env_an</f>
        <v>35.727224911631737</v>
      </c>
      <c r="C116" s="841"/>
      <c r="D116" s="393">
        <f t="shared" si="25"/>
        <v>37.13868189261445</v>
      </c>
      <c r="E116" s="385">
        <f t="shared" si="47"/>
        <v>39.372285882357552</v>
      </c>
      <c r="F116" s="385">
        <f t="shared" si="26"/>
        <v>39.372380166114134</v>
      </c>
      <c r="G116" s="110">
        <f t="shared" si="48"/>
        <v>0.67562108605653093</v>
      </c>
      <c r="H116" s="414" t="b">
        <f>Wh_hp&gt;='2022'!Maxi_hp</f>
        <v>0</v>
      </c>
      <c r="I116" s="390">
        <f>IF(H116,Wh_hp,'2022'!Maxi_hp)</f>
        <v>58.323508945597986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3.8005037040999556E-2</v>
      </c>
      <c r="M116" s="845"/>
      <c r="N116" s="845"/>
      <c r="O116" s="48">
        <f>IF(t&lt;Tnet,'2022'!Resal+('2022'!Salim-'2022'!Resal)*(1-EXP(('2022'!Tnet-t)/('2022'!Tau_j))),Resal+(Salim-Resal)*(1-EXP((Tnet-t)/(Tau_j))))*Salcycl</f>
        <v>5.6730360955343166E-2</v>
      </c>
      <c r="P116" s="169">
        <f>(INDEX(Models!$BJ116:$BT116,,T116)*(1-R116)+INDEX(Models!$BJ116:$BT116,,T116+1)*R116-ERP_i)*Q116*Ramure*Pc/MaxiM</f>
        <v>4.4626380971225909E-6</v>
      </c>
      <c r="Q116" s="305">
        <f t="shared" si="28"/>
        <v>0.5</v>
      </c>
      <c r="R116" s="177">
        <f t="shared" si="29"/>
        <v>0.53741862866416268</v>
      </c>
      <c r="S116" s="811">
        <f t="shared" si="30"/>
        <v>0</v>
      </c>
      <c r="T116" s="176">
        <f t="shared" si="31"/>
        <v>6</v>
      </c>
      <c r="U116" s="251">
        <f t="shared" si="32"/>
        <v>0.53741862866416268</v>
      </c>
      <c r="V116" s="383">
        <f t="shared" si="33"/>
        <v>52.880455873771282</v>
      </c>
      <c r="W116" s="402">
        <f t="shared" si="34"/>
        <v>35.727224911631737</v>
      </c>
      <c r="X116" s="157">
        <f t="shared" si="35"/>
        <v>45028</v>
      </c>
      <c r="Y116" s="385">
        <f t="shared" si="36"/>
        <v>34.71415195657994</v>
      </c>
      <c r="Z116" s="385">
        <f t="shared" si="37"/>
        <v>36.085585988727715</v>
      </c>
      <c r="AA116" s="386">
        <f t="shared" si="38"/>
        <v>39.372285882357552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8.3477497431831485E-2</v>
      </c>
      <c r="AD116" s="231">
        <f>(INDEX(Models!$BJ116:$BT116,,AH116)*(1-AF116)+INDEX(Models!$BJ116:$BT116,,AH116+1)*AF116-ERP_i)*AE116*Ramure*Pc/MaxiM</f>
        <v>4.4626380971225909E-6</v>
      </c>
      <c r="AE116" s="305">
        <f t="shared" si="40"/>
        <v>0.5</v>
      </c>
      <c r="AF116" s="177">
        <f t="shared" si="41"/>
        <v>0.53741862866416268</v>
      </c>
      <c r="AG116" s="811">
        <f t="shared" si="49"/>
        <v>0</v>
      </c>
      <c r="AH116" s="176">
        <f t="shared" si="42"/>
        <v>6</v>
      </c>
      <c r="AI116" s="225">
        <f t="shared" si="43"/>
        <v>0.53741862866416268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411">
        <f>'2022'!Wh/'2022'!Env_an*'2023'!Env_an</f>
        <v>7.1639950788855966</v>
      </c>
      <c r="C117" s="841"/>
      <c r="D117" s="393">
        <f t="shared" si="25"/>
        <v>7.4471824365528079</v>
      </c>
      <c r="E117" s="385">
        <f t="shared" si="47"/>
        <v>7.8956111245670701</v>
      </c>
      <c r="F117" s="385">
        <f t="shared" si="26"/>
        <v>7.8956111245670701</v>
      </c>
      <c r="G117" s="110">
        <f t="shared" si="48"/>
        <v>0.13492004245503622</v>
      </c>
      <c r="H117" s="414" t="b">
        <f>Wh_hp&gt;='2022'!Maxi_hp</f>
        <v>0</v>
      </c>
      <c r="I117" s="390">
        <f>IF(H117,Wh_hp,'2022'!Maxi_hp)</f>
        <v>59.034851740298983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3.8026107199583326E-2</v>
      </c>
      <c r="M117" s="845"/>
      <c r="N117" s="845"/>
      <c r="O117" s="48">
        <f>IF(t&lt;Tnet,'2022'!Resal+('2022'!Salim-'2022'!Resal)*(1-EXP(('2022'!Tnet-t)/('2022'!Tau_j))),Resal+(Salim-Resal)*(1-EXP((Tnet-t)/(Tau_j))))*Salcycl</f>
        <v>5.6794677567007332E-2</v>
      </c>
      <c r="P117" s="169">
        <f>(INDEX(Models!$BJ117:$BT117,,T117)*(1-R117)+INDEX(Models!$BJ117:$BT117,,T117+1)*R117-ERP_i)*Q117*Ramure*Pc/MaxiM</f>
        <v>5.2446042401640828E-6</v>
      </c>
      <c r="Q117" s="305">
        <f t="shared" si="28"/>
        <v>0.5</v>
      </c>
      <c r="R117" s="177">
        <f t="shared" si="29"/>
        <v>0.53898290259708415</v>
      </c>
      <c r="S117" s="811">
        <f t="shared" si="30"/>
        <v>0</v>
      </c>
      <c r="T117" s="176">
        <f t="shared" si="31"/>
        <v>6</v>
      </c>
      <c r="U117" s="251">
        <f t="shared" si="32"/>
        <v>0.53898290259708415</v>
      </c>
      <c r="V117" s="383">
        <f t="shared" si="33"/>
        <v>53.097800565502396</v>
      </c>
      <c r="W117" s="402">
        <f t="shared" si="34"/>
        <v>7.1639950788855966</v>
      </c>
      <c r="X117" s="157">
        <f t="shared" si="35"/>
        <v>45029</v>
      </c>
      <c r="Y117" s="385">
        <f t="shared" si="36"/>
        <v>6.9609714612092448</v>
      </c>
      <c r="Z117" s="385">
        <f t="shared" si="37"/>
        <v>7.2361334473901948</v>
      </c>
      <c r="AA117" s="386">
        <f t="shared" si="38"/>
        <v>7.8956111245670701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8.3524589391810511E-2</v>
      </c>
      <c r="AD117" s="231">
        <f>(INDEX(Models!$BJ117:$BT117,,AH117)*(1-AF117)+INDEX(Models!$BJ117:$BT117,,AH117+1)*AF117-ERP_i)*AE117*Ramure*Pc/MaxiM</f>
        <v>5.2446042401640828E-6</v>
      </c>
      <c r="AE117" s="305">
        <f t="shared" si="40"/>
        <v>0.5</v>
      </c>
      <c r="AF117" s="177">
        <f t="shared" si="41"/>
        <v>0.53898290259708415</v>
      </c>
      <c r="AG117" s="811">
        <f t="shared" si="49"/>
        <v>0</v>
      </c>
      <c r="AH117" s="176">
        <f t="shared" si="42"/>
        <v>6</v>
      </c>
      <c r="AI117" s="225">
        <f t="shared" si="43"/>
        <v>0.53898290259708415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411">
        <f>'2022'!Wh/'2022'!Env_an*'2023'!Env_an</f>
        <v>38.725169636518999</v>
      </c>
      <c r="C118" s="841"/>
      <c r="D118" s="393">
        <f t="shared" si="25"/>
        <v>40.256828304312307</v>
      </c>
      <c r="E118" s="385">
        <f t="shared" si="47"/>
        <v>42.683817883391356</v>
      </c>
      <c r="F118" s="385">
        <f t="shared" si="26"/>
        <v>42.683978112501251</v>
      </c>
      <c r="G118" s="110">
        <f t="shared" si="48"/>
        <v>0.72642680795673231</v>
      </c>
      <c r="H118" s="414" t="b">
        <f>Wh_hp&gt;='2022'!Maxi_hp</f>
        <v>0</v>
      </c>
      <c r="I118" s="390">
        <f>IF(H118,Wh_hp,'2022'!Maxi_hp)</f>
        <v>57.514245582008527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3.8047176896676582E-2</v>
      </c>
      <c r="M118" s="845"/>
      <c r="N118" s="845"/>
      <c r="O118" s="48">
        <f>IF(t&lt;Tnet,'2022'!Resal+('2022'!Salim-'2022'!Resal)*(1-EXP(('2022'!Tnet-t)/('2022'!Tau_j))),Resal+(Salim-Resal)*(1-EXP((Tnet-t)/(Tau_j))))*Salcycl</f>
        <v>5.6859711699393446E-2</v>
      </c>
      <c r="P118" s="169">
        <f>(INDEX(Models!$BJ118:$BT118,,T118)*(1-R118)+INDEX(Models!$BJ118:$BT118,,T118+1)*R118-ERP_i)*Q118*Ramure*Pc/MaxiM</f>
        <v>6.1620935946588325E-6</v>
      </c>
      <c r="Q118" s="305">
        <f t="shared" si="28"/>
        <v>0.5</v>
      </c>
      <c r="R118" s="177">
        <f t="shared" si="29"/>
        <v>0.54060152647664772</v>
      </c>
      <c r="S118" s="811">
        <f t="shared" si="30"/>
        <v>0</v>
      </c>
      <c r="T118" s="176">
        <f t="shared" si="31"/>
        <v>6</v>
      </c>
      <c r="U118" s="251">
        <f t="shared" si="32"/>
        <v>0.54060152647664772</v>
      </c>
      <c r="V118" s="383">
        <f t="shared" si="33"/>
        <v>53.308985781132563</v>
      </c>
      <c r="W118" s="402">
        <f t="shared" si="34"/>
        <v>38.725169636518999</v>
      </c>
      <c r="X118" s="157">
        <f t="shared" si="35"/>
        <v>45030</v>
      </c>
      <c r="Y118" s="385">
        <f t="shared" si="36"/>
        <v>37.628336961129037</v>
      </c>
      <c r="Z118" s="385">
        <f t="shared" si="37"/>
        <v>39.11661368146676</v>
      </c>
      <c r="AA118" s="386">
        <f t="shared" si="38"/>
        <v>42.683817883391356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8.3572753769822178E-2</v>
      </c>
      <c r="AD118" s="231">
        <f>(INDEX(Models!$BJ118:$BT118,,AH118)*(1-AF118)+INDEX(Models!$BJ118:$BT118,,AH118+1)*AF118-ERP_i)*AE118*Ramure*Pc/MaxiM</f>
        <v>6.1620935946588325E-6</v>
      </c>
      <c r="AE118" s="305">
        <f t="shared" si="40"/>
        <v>0.5</v>
      </c>
      <c r="AF118" s="177">
        <f t="shared" si="41"/>
        <v>0.54060152647664772</v>
      </c>
      <c r="AG118" s="811">
        <f t="shared" si="49"/>
        <v>0</v>
      </c>
      <c r="AH118" s="176">
        <f t="shared" si="42"/>
        <v>6</v>
      </c>
      <c r="AI118" s="225">
        <f t="shared" si="43"/>
        <v>0.54060152647664772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411">
        <f>'2022'!Wh/'2022'!Env_an*'2023'!Env_an</f>
        <v>44.37914486725132</v>
      </c>
      <c r="C119" s="841"/>
      <c r="D119" s="393">
        <f t="shared" si="25"/>
        <v>46.13544015863161</v>
      </c>
      <c r="E119" s="385">
        <f t="shared" si="47"/>
        <v>48.920248629227068</v>
      </c>
      <c r="F119" s="385">
        <f t="shared" si="26"/>
        <v>48.920515558772983</v>
      </c>
      <c r="G119" s="110">
        <f t="shared" si="48"/>
        <v>0.82929958042394125</v>
      </c>
      <c r="H119" s="414" t="b">
        <f>Wh_hp&gt;='2022'!Maxi_hp</f>
        <v>0</v>
      </c>
      <c r="I119" s="390">
        <f>IF(H119,Wh_hp,'2022'!Maxi_hp)</f>
        <v>58.00017289991299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3.8068246132289318E-2</v>
      </c>
      <c r="M119" s="845"/>
      <c r="N119" s="845"/>
      <c r="O119" s="48">
        <f>IF(t&lt;Tnet,'2022'!Resal+('2022'!Salim-'2022'!Resal)*(1-EXP(('2022'!Tnet-t)/('2022'!Tau_j))),Resal+(Salim-Resal)*(1-EXP((Tnet-t)/(Tau_j))))*Salcycl</f>
        <v>5.6925476640600978E-2</v>
      </c>
      <c r="P119" s="169">
        <f>(INDEX(Models!$BJ119:$BT119,,T119)*(1-R119)+INDEX(Models!$BJ119:$BT119,,T119+1)*R119-ERP_i)*Q119*Ramure*Pc/MaxiM</f>
        <v>7.2160729546568929E-6</v>
      </c>
      <c r="Q119" s="305">
        <f t="shared" si="28"/>
        <v>0.5</v>
      </c>
      <c r="R119" s="177">
        <f t="shared" si="29"/>
        <v>0.54227594378617927</v>
      </c>
      <c r="S119" s="811">
        <f t="shared" si="30"/>
        <v>0</v>
      </c>
      <c r="T119" s="176">
        <f t="shared" si="31"/>
        <v>6</v>
      </c>
      <c r="U119" s="251">
        <f t="shared" si="32"/>
        <v>0.54227594378617927</v>
      </c>
      <c r="V119" s="383">
        <f t="shared" si="33"/>
        <v>53.513914418038503</v>
      </c>
      <c r="W119" s="402">
        <f t="shared" si="34"/>
        <v>44.37914486725132</v>
      </c>
      <c r="X119" s="157">
        <f t="shared" si="35"/>
        <v>45031</v>
      </c>
      <c r="Y119" s="385">
        <f t="shared" si="36"/>
        <v>43.122861069874745</v>
      </c>
      <c r="Z119" s="385">
        <f t="shared" si="37"/>
        <v>44.82943919512735</v>
      </c>
      <c r="AA119" s="386">
        <f t="shared" si="38"/>
        <v>48.920248629227068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8.3622008242527412E-2</v>
      </c>
      <c r="AD119" s="231">
        <f>(INDEX(Models!$BJ119:$BT119,,AH119)*(1-AF119)+INDEX(Models!$BJ119:$BT119,,AH119+1)*AF119-ERP_i)*AE119*Ramure*Pc/MaxiM</f>
        <v>7.2160729546568929E-6</v>
      </c>
      <c r="AE119" s="305">
        <f t="shared" si="40"/>
        <v>0.5</v>
      </c>
      <c r="AF119" s="177">
        <f t="shared" si="41"/>
        <v>0.54227594378617927</v>
      </c>
      <c r="AG119" s="811">
        <f t="shared" si="49"/>
        <v>0</v>
      </c>
      <c r="AH119" s="176">
        <f t="shared" si="42"/>
        <v>6</v>
      </c>
      <c r="AI119" s="225">
        <f t="shared" si="43"/>
        <v>0.54227594378617927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411">
        <f>'2022'!Wh/'2022'!Env_an*'2023'!Env_an</f>
        <v>42.823399625916593</v>
      </c>
      <c r="C120" s="841"/>
      <c r="D120" s="393">
        <f t="shared" si="25"/>
        <v>44.519101710312142</v>
      </c>
      <c r="E120" s="385">
        <f t="shared" si="47"/>
        <v>47.209674777188887</v>
      </c>
      <c r="F120" s="385">
        <f t="shared" si="26"/>
        <v>47.209956751152966</v>
      </c>
      <c r="G120" s="110">
        <f t="shared" si="48"/>
        <v>0.79726886194472424</v>
      </c>
      <c r="H120" s="414" t="b">
        <f>Wh_hp&gt;='2022'!Maxi_hp</f>
        <v>0</v>
      </c>
      <c r="I120" s="390">
        <f>IF(H120,Wh_hp,'2022'!Maxi_hp)</f>
        <v>52.848516926149152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3.8089314906431859E-2</v>
      </c>
      <c r="M120" s="845"/>
      <c r="N120" s="845"/>
      <c r="O120" s="48">
        <f>IF(t&lt;Tnet,'2022'!Resal+('2022'!Salim-'2022'!Resal)*(1-EXP(('2022'!Tnet-t)/('2022'!Tau_j))),Resal+(Salim-Resal)*(1-EXP((Tnet-t)/(Tau_j))))*Salcycl</f>
        <v>5.6991984790727583E-2</v>
      </c>
      <c r="P120" s="169">
        <f>(INDEX(Models!$BJ120:$BT120,,T120)*(1-R120)+INDEX(Models!$BJ120:$BT120,,T120+1)*R120-ERP_i)*Q120*Ramure*Pc/MaxiM</f>
        <v>8.4077634872997112E-6</v>
      </c>
      <c r="Q120" s="305">
        <f t="shared" si="28"/>
        <v>0.5</v>
      </c>
      <c r="R120" s="177">
        <f t="shared" si="29"/>
        <v>0.54400760175982166</v>
      </c>
      <c r="S120" s="811">
        <f t="shared" si="30"/>
        <v>0</v>
      </c>
      <c r="T120" s="176">
        <f t="shared" si="31"/>
        <v>6</v>
      </c>
      <c r="U120" s="251">
        <f t="shared" si="32"/>
        <v>0.54400760175982166</v>
      </c>
      <c r="V120" s="383">
        <f t="shared" si="33"/>
        <v>53.712489467997621</v>
      </c>
      <c r="W120" s="402">
        <f t="shared" si="34"/>
        <v>42.823399625916593</v>
      </c>
      <c r="X120" s="157">
        <f t="shared" si="35"/>
        <v>45032</v>
      </c>
      <c r="Y120" s="385">
        <f t="shared" si="36"/>
        <v>41.611803602240826</v>
      </c>
      <c r="Z120" s="385">
        <f t="shared" si="37"/>
        <v>43.259529441855733</v>
      </c>
      <c r="AA120" s="386">
        <f t="shared" si="38"/>
        <v>47.209674777188887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8.3672369148406325E-2</v>
      </c>
      <c r="AD120" s="231">
        <f>(INDEX(Models!$BJ120:$BT120,,AH120)*(1-AF120)+INDEX(Models!$BJ120:$BT120,,AH120+1)*AF120-ERP_i)*AE120*Ramure*Pc/MaxiM</f>
        <v>8.4077634872997112E-6</v>
      </c>
      <c r="AE120" s="305">
        <f t="shared" si="40"/>
        <v>0.5</v>
      </c>
      <c r="AF120" s="177">
        <f t="shared" si="41"/>
        <v>0.54400760175982166</v>
      </c>
      <c r="AG120" s="811">
        <f t="shared" si="49"/>
        <v>0</v>
      </c>
      <c r="AH120" s="176">
        <f t="shared" si="42"/>
        <v>6</v>
      </c>
      <c r="AI120" s="225">
        <f t="shared" si="43"/>
        <v>0.54400760175982166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411">
        <f>'2022'!Wh/'2022'!Env_an*'2023'!Env_an</f>
        <v>52.306246016970896</v>
      </c>
      <c r="C121" s="841"/>
      <c r="D121" s="393">
        <f t="shared" si="25"/>
        <v>54.378636700562303</v>
      </c>
      <c r="E121" s="385">
        <f t="shared" si="47"/>
        <v>57.669197734034505</v>
      </c>
      <c r="F121" s="385">
        <f t="shared" si="26"/>
        <v>57.669735578269425</v>
      </c>
      <c r="G121" s="110">
        <f t="shared" si="48"/>
        <v>0.97035482688073327</v>
      </c>
      <c r="H121" s="414" t="b">
        <f>Wh_hp&gt;='2022'!Maxi_hp</f>
        <v>0</v>
      </c>
      <c r="I121" s="390">
        <f>IF(H121,Wh_hp,'2022'!Maxi_hp)</f>
        <v>57.669742711750253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3.8110383219114086E-2</v>
      </c>
      <c r="M121" s="845"/>
      <c r="N121" s="845"/>
      <c r="O121" s="48">
        <f>IF(t&lt;Tnet,'2022'!Resal+('2022'!Salim-'2022'!Resal)*(1-EXP(('2022'!Tnet-t)/('2022'!Tau_j))),Resal+(Salim-Resal)*(1-EXP((Tnet-t)/(Tau_j))))*Salcycl</f>
        <v>5.7059247618598624E-2</v>
      </c>
      <c r="P121" s="169">
        <f>(INDEX(Models!$BJ121:$BT121,,T121)*(1-R121)+INDEX(Models!$BJ121:$BT121,,T121+1)*R121-ERP_i)*Q121*Ramure*Pc/MaxiM</f>
        <v>9.7387136778873517E-6</v>
      </c>
      <c r="Q121" s="305">
        <f t="shared" si="28"/>
        <v>0.5</v>
      </c>
      <c r="R121" s="177">
        <f t="shared" si="29"/>
        <v>0.54579794829449846</v>
      </c>
      <c r="S121" s="811">
        <f t="shared" si="30"/>
        <v>0</v>
      </c>
      <c r="T121" s="176">
        <f t="shared" si="31"/>
        <v>6</v>
      </c>
      <c r="U121" s="251">
        <f t="shared" si="32"/>
        <v>0.54579794829449846</v>
      </c>
      <c r="V121" s="383">
        <f t="shared" si="33"/>
        <v>53.904224511537613</v>
      </c>
      <c r="W121" s="402">
        <f t="shared" si="34"/>
        <v>52.306246016970896</v>
      </c>
      <c r="X121" s="157">
        <f t="shared" si="35"/>
        <v>45033</v>
      </c>
      <c r="Y121" s="385">
        <f t="shared" si="36"/>
        <v>50.82712304632156</v>
      </c>
      <c r="Z121" s="385">
        <f t="shared" si="37"/>
        <v>52.840910390968226</v>
      </c>
      <c r="AA121" s="386">
        <f t="shared" si="38"/>
        <v>57.669197734034505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8.3723851428173693E-2</v>
      </c>
      <c r="AD121" s="231">
        <f>(INDEX(Models!$BJ121:$BT121,,AH121)*(1-AF121)+INDEX(Models!$BJ121:$BT121,,AH121+1)*AF121-ERP_i)*AE121*Ramure*Pc/MaxiM</f>
        <v>9.7387136778873517E-6</v>
      </c>
      <c r="AE121" s="305">
        <f t="shared" si="40"/>
        <v>0.5</v>
      </c>
      <c r="AF121" s="177">
        <f t="shared" si="41"/>
        <v>0.54579794829449846</v>
      </c>
      <c r="AG121" s="811">
        <f t="shared" si="49"/>
        <v>0</v>
      </c>
      <c r="AH121" s="176">
        <f t="shared" si="42"/>
        <v>6</v>
      </c>
      <c r="AI121" s="225">
        <f t="shared" si="43"/>
        <v>0.54579794829449846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411">
        <f>'2022'!Wh/'2022'!Env_an*'2023'!Env_an</f>
        <v>36.181017219286147</v>
      </c>
      <c r="C122" s="841"/>
      <c r="D122" s="393">
        <f t="shared" si="25"/>
        <v>37.615344902947072</v>
      </c>
      <c r="E122" s="385">
        <f t="shared" si="47"/>
        <v>39.894403486490091</v>
      </c>
      <c r="F122" s="385">
        <f t="shared" si="26"/>
        <v>39.894642193758791</v>
      </c>
      <c r="G122" s="110">
        <f t="shared" si="48"/>
        <v>0.66891419042400568</v>
      </c>
      <c r="H122" s="414" t="b">
        <f>Wh_hp&gt;='2022'!Maxi_hp</f>
        <v>0</v>
      </c>
      <c r="I122" s="390">
        <f>IF(H122,Wh_hp,'2022'!Maxi_hp)</f>
        <v>42.565319321773202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3.8131451070346212E-2</v>
      </c>
      <c r="M122" s="845"/>
      <c r="N122" s="845"/>
      <c r="O122" s="48">
        <f>IF(t&lt;Tnet,'2022'!Resal+('2022'!Salim-'2022'!Resal)*(1-EXP(('2022'!Tnet-t)/('2022'!Tau_j))),Resal+(Salim-Resal)*(1-EXP((Tnet-t)/(Tau_j))))*Salcycl</f>
        <v>5.712727561686208E-2</v>
      </c>
      <c r="P122" s="169">
        <f>(INDEX(Models!$BJ122:$BT122,,T122)*(1-R122)+INDEX(Models!$BJ122:$BT122,,T122+1)*R122-ERP_i)*Q122*Ramure*Pc/MaxiM</f>
        <v>1.1353232189929983E-5</v>
      </c>
      <c r="Q122" s="305">
        <f t="shared" si="28"/>
        <v>0.5</v>
      </c>
      <c r="R122" s="177">
        <f t="shared" si="29"/>
        <v>0.54764842861722141</v>
      </c>
      <c r="S122" s="811">
        <f t="shared" si="30"/>
        <v>0</v>
      </c>
      <c r="T122" s="176">
        <f t="shared" si="31"/>
        <v>6</v>
      </c>
      <c r="U122" s="251">
        <f t="shared" si="32"/>
        <v>0.54764842861722141</v>
      </c>
      <c r="V122" s="383">
        <f t="shared" si="33"/>
        <v>54.088885318324891</v>
      </c>
      <c r="W122" s="402">
        <f t="shared" si="34"/>
        <v>36.181017219286147</v>
      </c>
      <c r="X122" s="157">
        <f t="shared" si="35"/>
        <v>45034</v>
      </c>
      <c r="Y122" s="385">
        <f t="shared" si="36"/>
        <v>35.15840315491765</v>
      </c>
      <c r="Z122" s="385">
        <f t="shared" si="37"/>
        <v>36.552191246965243</v>
      </c>
      <c r="AA122" s="386">
        <f t="shared" si="38"/>
        <v>39.894403486490091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8.3776468562981668E-2</v>
      </c>
      <c r="AD122" s="231">
        <f>(INDEX(Models!$BJ122:$BT122,,AH122)*(1-AF122)+INDEX(Models!$BJ122:$BT122,,AH122+1)*AF122-ERP_i)*AE122*Ramure*Pc/MaxiM</f>
        <v>1.1353232189929983E-5</v>
      </c>
      <c r="AE122" s="305">
        <f t="shared" si="40"/>
        <v>0.5</v>
      </c>
      <c r="AF122" s="177">
        <f t="shared" si="41"/>
        <v>0.54764842861722141</v>
      </c>
      <c r="AG122" s="811">
        <f t="shared" si="49"/>
        <v>0</v>
      </c>
      <c r="AH122" s="176">
        <f t="shared" si="42"/>
        <v>6</v>
      </c>
      <c r="AI122" s="225">
        <f t="shared" si="43"/>
        <v>0.54764842861722141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411">
        <f>'2022'!Wh/'2022'!Env_an*'2023'!Env_an</f>
        <v>8.6492207385877524</v>
      </c>
      <c r="C123" s="841"/>
      <c r="D123" s="393">
        <f t="shared" si="25"/>
        <v>8.9922996156738435</v>
      </c>
      <c r="E123" s="385">
        <f t="shared" si="47"/>
        <v>9.5378258493384553</v>
      </c>
      <c r="F123" s="385">
        <f t="shared" si="26"/>
        <v>9.5378258493384553</v>
      </c>
      <c r="G123" s="110">
        <f t="shared" si="48"/>
        <v>0.15938127426645521</v>
      </c>
      <c r="H123" s="414" t="b">
        <f>Wh_hp&gt;='2022'!Maxi_hp</f>
        <v>0</v>
      </c>
      <c r="I123" s="390">
        <f>IF(H123,Wh_hp,'2022'!Maxi_hp)</f>
        <v>57.730407119667383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3.815251846013834E-2</v>
      </c>
      <c r="M123" s="845"/>
      <c r="N123" s="845"/>
      <c r="O123" s="48">
        <f>IF(t&lt;Tnet,'2022'!Resal+('2022'!Salim-'2022'!Resal)*(1-EXP(('2022'!Tnet-t)/('2022'!Tau_j))),Resal+(Salim-Resal)*(1-EXP((Tnet-t)/(Tau_j))))*Salcycl</f>
        <v>5.7196078255344701E-2</v>
      </c>
      <c r="P123" s="169">
        <f>(INDEX(Models!$BJ123:$BT123,,T123)*(1-R123)+INDEX(Models!$BJ123:$BT123,,T123+1)*R123-ERP_i)*Q123*Ramure*Pc/MaxiM</f>
        <v>1.3204585123599954E-5</v>
      </c>
      <c r="Q123" s="305">
        <f t="shared" si="28"/>
        <v>0.5</v>
      </c>
      <c r="R123" s="177">
        <f t="shared" si="29"/>
        <v>0.54956048170185823</v>
      </c>
      <c r="S123" s="811">
        <f t="shared" si="30"/>
        <v>0</v>
      </c>
      <c r="T123" s="176">
        <f t="shared" si="31"/>
        <v>6</v>
      </c>
      <c r="U123" s="251">
        <f t="shared" si="32"/>
        <v>0.54956048170185823</v>
      </c>
      <c r="V123" s="383">
        <f t="shared" si="33"/>
        <v>54.266767341542241</v>
      </c>
      <c r="W123" s="402">
        <f t="shared" si="34"/>
        <v>8.6492207385877524</v>
      </c>
      <c r="X123" s="157">
        <f t="shared" si="35"/>
        <v>45035</v>
      </c>
      <c r="Y123" s="385">
        <f t="shared" si="36"/>
        <v>8.4048807713651907</v>
      </c>
      <c r="Z123" s="385">
        <f t="shared" si="37"/>
        <v>8.7382676907460084</v>
      </c>
      <c r="AA123" s="386">
        <f t="shared" si="38"/>
        <v>9.5378258493384553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8.3830232510263794E-2</v>
      </c>
      <c r="AD123" s="231">
        <f>(INDEX(Models!$BJ123:$BT123,,AH123)*(1-AF123)+INDEX(Models!$BJ123:$BT123,,AH123+1)*AF123-ERP_i)*AE123*Ramure*Pc/MaxiM</f>
        <v>1.3204585123599954E-5</v>
      </c>
      <c r="AE123" s="305">
        <f t="shared" si="40"/>
        <v>0.5</v>
      </c>
      <c r="AF123" s="177">
        <f t="shared" si="41"/>
        <v>0.54956048170185823</v>
      </c>
      <c r="AG123" s="811">
        <f t="shared" si="49"/>
        <v>0</v>
      </c>
      <c r="AH123" s="176">
        <f t="shared" si="42"/>
        <v>6</v>
      </c>
      <c r="AI123" s="225">
        <f t="shared" si="43"/>
        <v>0.54956048170185823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411">
        <f>'2022'!Wh/'2022'!Env_an*'2023'!Env_an</f>
        <v>9.8976077603823622</v>
      </c>
      <c r="C124" s="841"/>
      <c r="D124" s="393">
        <f t="shared" si="25"/>
        <v>10.29043038330383</v>
      </c>
      <c r="E124" s="385">
        <f t="shared" si="47"/>
        <v>10.915514572461976</v>
      </c>
      <c r="F124" s="385">
        <f t="shared" si="26"/>
        <v>10.915514572461976</v>
      </c>
      <c r="G124" s="110">
        <f t="shared" si="48"/>
        <v>0.18181098995175002</v>
      </c>
      <c r="H124" s="414" t="b">
        <f>Wh_hp&gt;='2022'!Maxi_hp</f>
        <v>0</v>
      </c>
      <c r="I124" s="390">
        <f>IF(H124,Wh_hp,'2022'!Maxi_hp)</f>
        <v>54.953153725787914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3.8173585388500464E-2</v>
      </c>
      <c r="M124" s="845"/>
      <c r="N124" s="845"/>
      <c r="O124" s="48">
        <f>IF(t&lt;Tnet,'2022'!Resal+('2022'!Salim-'2022'!Resal)*(1-EXP(('2022'!Tnet-t)/('2022'!Tau_j))),Resal+(Salim-Resal)*(1-EXP((Tnet-t)/(Tau_j))))*Salcycl</f>
        <v>5.7265663932612863E-2</v>
      </c>
      <c r="P124" s="169">
        <f>(INDEX(Models!$BJ124:$BT124,,T124)*(1-R124)+INDEX(Models!$BJ124:$BT124,,T124+1)*R124-ERP_i)*Q124*Ramure*Pc/MaxiM</f>
        <v>1.5295417603297864E-5</v>
      </c>
      <c r="Q124" s="305">
        <f t="shared" si="28"/>
        <v>0.5</v>
      </c>
      <c r="R124" s="177">
        <f t="shared" si="29"/>
        <v>0.55153553643052744</v>
      </c>
      <c r="S124" s="811">
        <f t="shared" si="30"/>
        <v>0</v>
      </c>
      <c r="T124" s="176">
        <f t="shared" si="31"/>
        <v>6</v>
      </c>
      <c r="U124" s="251">
        <f t="shared" si="32"/>
        <v>0.55153553643052744</v>
      </c>
      <c r="V124" s="383">
        <f t="shared" si="33"/>
        <v>54.438163363859545</v>
      </c>
      <c r="W124" s="402">
        <f t="shared" si="34"/>
        <v>9.8976077603823622</v>
      </c>
      <c r="X124" s="157">
        <f t="shared" si="35"/>
        <v>45036</v>
      </c>
      <c r="Y124" s="385">
        <f t="shared" si="36"/>
        <v>9.6181342567693804</v>
      </c>
      <c r="Z124" s="385">
        <f t="shared" si="37"/>
        <v>9.9998649555224919</v>
      </c>
      <c r="AA124" s="386">
        <f t="shared" si="38"/>
        <v>10.915514572461976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8.3885153637146395E-2</v>
      </c>
      <c r="AD124" s="231">
        <f>(INDEX(Models!$BJ124:$BT124,,AH124)*(1-AF124)+INDEX(Models!$BJ124:$BT124,,AH124+1)*AF124-ERP_i)*AE124*Ramure*Pc/MaxiM</f>
        <v>1.5295417603297864E-5</v>
      </c>
      <c r="AE124" s="305">
        <f t="shared" si="40"/>
        <v>0.5</v>
      </c>
      <c r="AF124" s="177">
        <f t="shared" si="41"/>
        <v>0.55153553643052744</v>
      </c>
      <c r="AG124" s="811">
        <f t="shared" si="49"/>
        <v>0</v>
      </c>
      <c r="AH124" s="176">
        <f t="shared" si="42"/>
        <v>6</v>
      </c>
      <c r="AI124" s="225">
        <f t="shared" si="43"/>
        <v>0.55153553643052744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411">
        <f>'2022'!Wh/'2022'!Env_an*'2023'!Env_an</f>
        <v>9.1488694639379311</v>
      </c>
      <c r="C125" s="841"/>
      <c r="D125" s="393">
        <f t="shared" si="25"/>
        <v>9.5121840210051296</v>
      </c>
      <c r="E125" s="385">
        <f t="shared" si="47"/>
        <v>10.090747523916939</v>
      </c>
      <c r="F125" s="385">
        <f t="shared" si="26"/>
        <v>10.090747523916939</v>
      </c>
      <c r="G125" s="110">
        <f t="shared" si="48"/>
        <v>0.16754842840013667</v>
      </c>
      <c r="H125" s="414" t="b">
        <f>Wh_hp&gt;='2022'!Maxi_hp</f>
        <v>0</v>
      </c>
      <c r="I125" s="390">
        <f>IF(H125,Wh_hp,'2022'!Maxi_hp)</f>
        <v>55.659407422413302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3.8194651855442907E-2</v>
      </c>
      <c r="M125" s="845"/>
      <c r="N125" s="845"/>
      <c r="O125" s="48">
        <f>IF(t&lt;Tnet,'2022'!Resal+('2022'!Salim-'2022'!Resal)*(1-EXP(('2022'!Tnet-t)/('2022'!Tau_j))),Resal+(Salim-Resal)*(1-EXP((Tnet-t)/(Tau_j))))*Salcycl</f>
        <v>5.7336039925734564E-2</v>
      </c>
      <c r="P125" s="169">
        <f>(INDEX(Models!$BJ125:$BT125,,T125)*(1-R125)+INDEX(Models!$BJ125:$BT125,,T125+1)*R125-ERP_i)*Q125*Ramure*Pc/MaxiM</f>
        <v>1.7628789924833048E-5</v>
      </c>
      <c r="Q125" s="305">
        <f t="shared" si="28"/>
        <v>0.5</v>
      </c>
      <c r="R125" s="177">
        <f t="shared" si="29"/>
        <v>0.55357500749600053</v>
      </c>
      <c r="S125" s="811">
        <f t="shared" si="30"/>
        <v>0</v>
      </c>
      <c r="T125" s="176">
        <f t="shared" si="31"/>
        <v>6</v>
      </c>
      <c r="U125" s="251">
        <f t="shared" si="32"/>
        <v>0.55357500749600053</v>
      </c>
      <c r="V125" s="383">
        <f t="shared" si="33"/>
        <v>54.603366130008055</v>
      </c>
      <c r="W125" s="402">
        <f t="shared" si="34"/>
        <v>9.1488694639379311</v>
      </c>
      <c r="X125" s="157">
        <f t="shared" si="35"/>
        <v>45037</v>
      </c>
      <c r="Y125" s="385">
        <f t="shared" si="36"/>
        <v>8.8906570798747033</v>
      </c>
      <c r="Z125" s="385">
        <f t="shared" si="37"/>
        <v>9.2437176576589994</v>
      </c>
      <c r="AA125" s="386">
        <f t="shared" si="38"/>
        <v>10.090747523916939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8.3941240651430604E-2</v>
      </c>
      <c r="AD125" s="231">
        <f>(INDEX(Models!$BJ125:$BT125,,AH125)*(1-AF125)+INDEX(Models!$BJ125:$BT125,,AH125+1)*AF125-ERP_i)*AE125*Ramure*Pc/MaxiM</f>
        <v>1.7628789924833048E-5</v>
      </c>
      <c r="AE125" s="305">
        <f t="shared" si="40"/>
        <v>0.5</v>
      </c>
      <c r="AF125" s="177">
        <f t="shared" si="41"/>
        <v>0.55357500749600053</v>
      </c>
      <c r="AG125" s="811">
        <f t="shared" si="49"/>
        <v>0</v>
      </c>
      <c r="AH125" s="176">
        <f t="shared" si="42"/>
        <v>6</v>
      </c>
      <c r="AI125" s="225">
        <f t="shared" si="43"/>
        <v>0.55357500749600053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411">
        <f>'2022'!Wh/'2022'!Env_an*'2023'!Env_an</f>
        <v>26.774644638808631</v>
      </c>
      <c r="C126" s="841"/>
      <c r="D126" s="393">
        <f t="shared" si="25"/>
        <v>27.83851341307156</v>
      </c>
      <c r="E126" s="385">
        <f t="shared" si="47"/>
        <v>29.533976683749827</v>
      </c>
      <c r="F126" s="385">
        <f t="shared" si="26"/>
        <v>29.534137760931237</v>
      </c>
      <c r="G126" s="110">
        <f t="shared" si="48"/>
        <v>0.48891426229171187</v>
      </c>
      <c r="H126" s="414" t="b">
        <f>Wh_hp&gt;='2022'!Maxi_hp</f>
        <v>0</v>
      </c>
      <c r="I126" s="390">
        <f>IF(H126,Wh_hp,'2022'!Maxi_hp)</f>
        <v>61.619887493232405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3.8215717860975662E-2</v>
      </c>
      <c r="M126" s="845"/>
      <c r="N126" s="845"/>
      <c r="O126" s="48">
        <f>IF(t&lt;Tnet,'2022'!Resal+('2022'!Salim-'2022'!Resal)*(1-EXP(('2022'!Tnet-t)/('2022'!Tau_j))),Resal+(Salim-Resal)*(1-EXP((Tnet-t)/(Tau_j))))*Salcycl</f>
        <v>5.7407212338294628E-2</v>
      </c>
      <c r="P126" s="169">
        <f>(INDEX(Models!$BJ126:$BT126,,T126)*(1-R126)+INDEX(Models!$BJ126:$BT126,,T126+1)*R126-ERP_i)*Q126*Ramure*Pc/MaxiM</f>
        <v>2.0208144344935876E-5</v>
      </c>
      <c r="Q126" s="305">
        <f t="shared" si="28"/>
        <v>0.5</v>
      </c>
      <c r="R126" s="177">
        <f t="shared" si="29"/>
        <v>0.55568029104288297</v>
      </c>
      <c r="S126" s="811">
        <f t="shared" si="30"/>
        <v>0</v>
      </c>
      <c r="T126" s="176">
        <f t="shared" si="31"/>
        <v>6</v>
      </c>
      <c r="U126" s="251">
        <f t="shared" si="32"/>
        <v>0.55568029104288297</v>
      </c>
      <c r="V126" s="383">
        <f t="shared" si="33"/>
        <v>54.762668350813797</v>
      </c>
      <c r="W126" s="402">
        <f t="shared" si="34"/>
        <v>26.774644638808631</v>
      </c>
      <c r="X126" s="157">
        <f t="shared" si="35"/>
        <v>45038</v>
      </c>
      <c r="Y126" s="385">
        <f t="shared" si="36"/>
        <v>26.019310733068281</v>
      </c>
      <c r="Z126" s="385">
        <f t="shared" si="37"/>
        <v>27.053166927620087</v>
      </c>
      <c r="AA126" s="386">
        <f t="shared" si="38"/>
        <v>29.533976683749827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8.3998500530229281E-2</v>
      </c>
      <c r="AD126" s="231">
        <f>(INDEX(Models!$BJ126:$BT126,,AH126)*(1-AF126)+INDEX(Models!$BJ126:$BT126,,AH126+1)*AF126-ERP_i)*AE126*Ramure*Pc/MaxiM</f>
        <v>2.0208144344935876E-5</v>
      </c>
      <c r="AE126" s="305">
        <f t="shared" si="40"/>
        <v>0.5</v>
      </c>
      <c r="AF126" s="177">
        <f t="shared" si="41"/>
        <v>0.55568029104288297</v>
      </c>
      <c r="AG126" s="811">
        <f t="shared" si="49"/>
        <v>0</v>
      </c>
      <c r="AH126" s="176">
        <f t="shared" si="42"/>
        <v>6</v>
      </c>
      <c r="AI126" s="225">
        <f t="shared" si="43"/>
        <v>0.55568029104288297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411">
        <f>'2022'!Wh/'2022'!Env_an*'2023'!Env_an</f>
        <v>9.2643820872383511</v>
      </c>
      <c r="C127" s="841"/>
      <c r="D127" s="393">
        <f t="shared" si="25"/>
        <v>9.6327057714254885</v>
      </c>
      <c r="E127" s="385">
        <f t="shared" si="47"/>
        <v>10.220151776832283</v>
      </c>
      <c r="F127" s="385">
        <f t="shared" si="26"/>
        <v>10.220151776832283</v>
      </c>
      <c r="G127" s="110">
        <f t="shared" si="48"/>
        <v>0.16869596246867388</v>
      </c>
      <c r="H127" s="414" t="b">
        <f>Wh_hp&gt;='2022'!Maxi_hp</f>
        <v>0</v>
      </c>
      <c r="I127" s="390">
        <f>IF(H127,Wh_hp,'2022'!Maxi_hp)</f>
        <v>61.960154457717145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3.8236783405108832E-2</v>
      </c>
      <c r="M127" s="845"/>
      <c r="N127" s="845"/>
      <c r="O127" s="48">
        <f>IF(t&lt;Tnet,'2022'!Resal+('2022'!Salim-'2022'!Resal)*(1-EXP(('2022'!Tnet-t)/('2022'!Tau_j))),Resal+(Salim-Resal)*(1-EXP((Tnet-t)/(Tau_j))))*Salcycl</f>
        <v>5.7479186046772456E-2</v>
      </c>
      <c r="P127" s="169">
        <f>(INDEX(Models!$BJ127:$BT127,,T127)*(1-R127)+INDEX(Models!$BJ127:$BT127,,T127+1)*R127-ERP_i)*Q127*Ramure*Pc/MaxiM</f>
        <v>2.3037232452621692E-5</v>
      </c>
      <c r="Q127" s="305">
        <f t="shared" si="28"/>
        <v>0.5</v>
      </c>
      <c r="R127" s="177">
        <f t="shared" si="29"/>
        <v>0.55785276004691631</v>
      </c>
      <c r="S127" s="811">
        <f t="shared" si="30"/>
        <v>0</v>
      </c>
      <c r="T127" s="176">
        <f t="shared" si="31"/>
        <v>6</v>
      </c>
      <c r="U127" s="251">
        <f t="shared" si="32"/>
        <v>0.55785276004691631</v>
      </c>
      <c r="V127" s="383">
        <f t="shared" si="33"/>
        <v>54.91636270331599</v>
      </c>
      <c r="W127" s="402">
        <f t="shared" si="34"/>
        <v>9.2643820872383511</v>
      </c>
      <c r="X127" s="157">
        <f t="shared" si="35"/>
        <v>45039</v>
      </c>
      <c r="Y127" s="385">
        <f t="shared" si="36"/>
        <v>9.0031396301963014</v>
      </c>
      <c r="Z127" s="385">
        <f t="shared" si="37"/>
        <v>9.3610771080139532</v>
      </c>
      <c r="AA127" s="386">
        <f t="shared" si="38"/>
        <v>10.220151776832283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8.405693844642681E-2</v>
      </c>
      <c r="AD127" s="231">
        <f>(INDEX(Models!$BJ127:$BT127,,AH127)*(1-AF127)+INDEX(Models!$BJ127:$BT127,,AH127+1)*AF127-ERP_i)*AE127*Ramure*Pc/MaxiM</f>
        <v>2.3037232452621692E-5</v>
      </c>
      <c r="AE127" s="305">
        <f t="shared" si="40"/>
        <v>0.5</v>
      </c>
      <c r="AF127" s="177">
        <f t="shared" si="41"/>
        <v>0.55785276004691631</v>
      </c>
      <c r="AG127" s="811">
        <f t="shared" si="49"/>
        <v>0</v>
      </c>
      <c r="AH127" s="176">
        <f t="shared" si="42"/>
        <v>6</v>
      </c>
      <c r="AI127" s="225">
        <f t="shared" si="43"/>
        <v>0.55785276004691631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411">
        <f>'2022'!Wh/'2022'!Env_an*'2023'!Env_an</f>
        <v>29.396153004884074</v>
      </c>
      <c r="C128" s="841"/>
      <c r="D128" s="393">
        <f t="shared" si="25"/>
        <v>30.565524198626928</v>
      </c>
      <c r="E128" s="385">
        <f t="shared" si="47"/>
        <v>32.432052539775491</v>
      </c>
      <c r="F128" s="385">
        <f t="shared" si="26"/>
        <v>32.432337791609669</v>
      </c>
      <c r="G128" s="110">
        <f t="shared" si="48"/>
        <v>0.53383785585478072</v>
      </c>
      <c r="H128" s="414" t="b">
        <f>Wh_hp&gt;='2022'!Maxi_hp</f>
        <v>0</v>
      </c>
      <c r="I128" s="390">
        <f>IF(H128,Wh_hp,'2022'!Maxi_hp)</f>
        <v>59.446721075347604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3.8257848487852408E-2</v>
      </c>
      <c r="M128" s="845"/>
      <c r="N128" s="845"/>
      <c r="O128" s="48">
        <f>IF(t&lt;Tnet,'2022'!Resal+('2022'!Salim-'2022'!Resal)*(1-EXP(('2022'!Tnet-t)/('2022'!Tau_j))),Resal+(Salim-Resal)*(1-EXP((Tnet-t)/(Tau_j))))*Salcycl</f>
        <v>5.7551964645450843E-2</v>
      </c>
      <c r="P128" s="169">
        <f>(INDEX(Models!$BJ128:$BT128,,T128)*(1-R128)+INDEX(Models!$BJ128:$BT128,,T128+1)*R128-ERP_i)*Q128*Ramure*Pc/MaxiM</f>
        <v>2.6327888357849692E-5</v>
      </c>
      <c r="Q128" s="305">
        <f t="shared" si="28"/>
        <v>0.5</v>
      </c>
      <c r="R128" s="177">
        <f t="shared" si="29"/>
        <v>0.56009375943349782</v>
      </c>
      <c r="S128" s="811">
        <f t="shared" si="30"/>
        <v>0</v>
      </c>
      <c r="T128" s="176">
        <f t="shared" si="31"/>
        <v>6</v>
      </c>
      <c r="U128" s="251">
        <f t="shared" si="32"/>
        <v>0.56009375943349782</v>
      </c>
      <c r="V128" s="383">
        <f t="shared" si="33"/>
        <v>55.064730398999316</v>
      </c>
      <c r="W128" s="402">
        <f t="shared" si="34"/>
        <v>29.396153004884074</v>
      </c>
      <c r="X128" s="157">
        <f t="shared" si="35"/>
        <v>45040</v>
      </c>
      <c r="Y128" s="385">
        <f t="shared" si="36"/>
        <v>28.567569557892416</v>
      </c>
      <c r="Z128" s="385">
        <f t="shared" si="37"/>
        <v>29.703979921204052</v>
      </c>
      <c r="AA128" s="386">
        <f t="shared" si="38"/>
        <v>32.432052539775491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8.4116557693215979E-2</v>
      </c>
      <c r="AD128" s="231">
        <f>(INDEX(Models!$BJ128:$BT128,,AH128)*(1-AF128)+INDEX(Models!$BJ128:$BT128,,AH128+1)*AF128-ERP_i)*AE128*Ramure*Pc/MaxiM</f>
        <v>2.6327888357849692E-5</v>
      </c>
      <c r="AE128" s="305">
        <f t="shared" si="40"/>
        <v>0.5</v>
      </c>
      <c r="AF128" s="177">
        <f t="shared" si="41"/>
        <v>0.56009375943349782</v>
      </c>
      <c r="AG128" s="811">
        <f t="shared" si="49"/>
        <v>0</v>
      </c>
      <c r="AH128" s="176">
        <f t="shared" si="42"/>
        <v>6</v>
      </c>
      <c r="AI128" s="225">
        <f t="shared" si="43"/>
        <v>0.56009375943349782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411">
        <f>'2022'!Wh/'2022'!Env_an*'2023'!Env_an</f>
        <v>45.236934610910623</v>
      </c>
      <c r="C129" s="841"/>
      <c r="D129" s="393">
        <f t="shared" si="25"/>
        <v>47.037478149886823</v>
      </c>
      <c r="E129" s="385">
        <f t="shared" si="47"/>
        <v>49.913787634371268</v>
      </c>
      <c r="F129" s="385">
        <f t="shared" si="26"/>
        <v>49.914898703769687</v>
      </c>
      <c r="G129" s="110">
        <f t="shared" si="48"/>
        <v>0.81938357121204008</v>
      </c>
      <c r="H129" s="414" t="b">
        <f>Wh_hp&gt;='2022'!Maxi_hp</f>
        <v>0</v>
      </c>
      <c r="I129" s="390">
        <f>IF(H129,Wh_hp,'2022'!Maxi_hp)</f>
        <v>54.184367462537033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3.8278913109216717E-2</v>
      </c>
      <c r="M129" s="845"/>
      <c r="N129" s="845"/>
      <c r="O129" s="48">
        <f>IF(t&lt;Tnet,'2022'!Resal+('2022'!Salim-'2022'!Resal)*(1-EXP(('2022'!Tnet-t)/('2022'!Tau_j))),Resal+(Salim-Resal)*(1-EXP((Tnet-t)/(Tau_j))))*Salcycl</f>
        <v>5.7625550390084671E-2</v>
      </c>
      <c r="P129" s="169">
        <f>(INDEX(Models!$BJ129:$BT129,,T129)*(1-R129)+INDEX(Models!$BJ129:$BT129,,T129+1)*R129-ERP_i)*Q129*Ramure*Pc/MaxiM</f>
        <v>2.9999603899853246E-5</v>
      </c>
      <c r="Q129" s="305">
        <f t="shared" si="28"/>
        <v>0.5</v>
      </c>
      <c r="R129" s="177">
        <f t="shared" si="29"/>
        <v>0.56240460093846367</v>
      </c>
      <c r="S129" s="811">
        <f t="shared" si="30"/>
        <v>0</v>
      </c>
      <c r="T129" s="176">
        <f t="shared" si="31"/>
        <v>6</v>
      </c>
      <c r="U129" s="251">
        <f t="shared" si="32"/>
        <v>0.56240460093846367</v>
      </c>
      <c r="V129" s="383">
        <f t="shared" si="33"/>
        <v>55.208068655070477</v>
      </c>
      <c r="W129" s="402">
        <f t="shared" si="34"/>
        <v>45.236934610910623</v>
      </c>
      <c r="X129" s="157">
        <f t="shared" si="35"/>
        <v>45041</v>
      </c>
      <c r="Y129" s="385">
        <f t="shared" si="36"/>
        <v>43.962364340200828</v>
      </c>
      <c r="Z129" s="385">
        <f t="shared" si="37"/>
        <v>45.712176783322796</v>
      </c>
      <c r="AA129" s="386">
        <f t="shared" si="38"/>
        <v>49.913787634371268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8.4177359607051486E-2</v>
      </c>
      <c r="AD129" s="231">
        <f>(INDEX(Models!$BJ129:$BT129,,AH129)*(1-AF129)+INDEX(Models!$BJ129:$BT129,,AH129+1)*AF129-ERP_i)*AE129*Ramure*Pc/MaxiM</f>
        <v>2.9999603899853246E-5</v>
      </c>
      <c r="AE129" s="305">
        <f t="shared" si="40"/>
        <v>0.5</v>
      </c>
      <c r="AF129" s="177">
        <f t="shared" si="41"/>
        <v>0.56240460093846367</v>
      </c>
      <c r="AG129" s="811">
        <f t="shared" si="49"/>
        <v>0</v>
      </c>
      <c r="AH129" s="176">
        <f t="shared" si="42"/>
        <v>6</v>
      </c>
      <c r="AI129" s="225">
        <f t="shared" si="43"/>
        <v>0.56240460093846367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411">
        <f>'2022'!Wh/'2022'!Env_an*'2023'!Env_an</f>
        <v>52.662066503476154</v>
      </c>
      <c r="C130" s="841"/>
      <c r="D130" s="393">
        <f t="shared" si="25"/>
        <v>54.759348298588961</v>
      </c>
      <c r="E130" s="385">
        <f t="shared" si="47"/>
        <v>58.112432402063426</v>
      </c>
      <c r="F130" s="385">
        <f t="shared" si="26"/>
        <v>58.114274527182353</v>
      </c>
      <c r="G130" s="110">
        <f t="shared" si="48"/>
        <v>0.95149251551600289</v>
      </c>
      <c r="H130" s="414" t="b">
        <f>Wh_hp&gt;='2022'!Maxi_hp</f>
        <v>0</v>
      </c>
      <c r="I130" s="390">
        <f>IF(H130,Wh_hp,'2022'!Maxi_hp)</f>
        <v>58.114308236973073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3.8299977269211749E-2</v>
      </c>
      <c r="M130" s="845"/>
      <c r="N130" s="845"/>
      <c r="O130" s="48">
        <f>IF(t&lt;Tnet,'2022'!Resal+('2022'!Salim-'2022'!Resal)*(1-EXP(('2022'!Tnet-t)/('2022'!Tau_j))),Resal+(Salim-Resal)*(1-EXP((Tnet-t)/(Tau_j))))*Salcycl</f>
        <v>5.7699944140617423E-2</v>
      </c>
      <c r="P130" s="169">
        <f>(INDEX(Models!$BJ130:$BT130,,T130)*(1-R130)+INDEX(Models!$BJ130:$BT130,,T130+1)*R130-ERP_i)*Q130*Ramure*Pc/MaxiM</f>
        <v>3.4058335256127769E-5</v>
      </c>
      <c r="Q130" s="305">
        <f t="shared" si="28"/>
        <v>0.5</v>
      </c>
      <c r="R130" s="177">
        <f t="shared" si="29"/>
        <v>0.56478655771632269</v>
      </c>
      <c r="S130" s="811">
        <f t="shared" si="30"/>
        <v>0</v>
      </c>
      <c r="T130" s="176">
        <f t="shared" si="31"/>
        <v>6</v>
      </c>
      <c r="U130" s="251">
        <f t="shared" si="32"/>
        <v>0.56478655771632269</v>
      </c>
      <c r="V130" s="383">
        <f t="shared" si="33"/>
        <v>55.346669950338125</v>
      </c>
      <c r="W130" s="402">
        <f t="shared" si="34"/>
        <v>52.662066503476154</v>
      </c>
      <c r="X130" s="157">
        <f t="shared" si="35"/>
        <v>45042</v>
      </c>
      <c r="Y130" s="385">
        <f t="shared" si="36"/>
        <v>51.178866322408872</v>
      </c>
      <c r="Z130" s="385">
        <f t="shared" si="37"/>
        <v>53.21707924793877</v>
      </c>
      <c r="AA130" s="386">
        <f t="shared" si="38"/>
        <v>58.112432402063426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8.4239343489446339E-2</v>
      </c>
      <c r="AD130" s="231">
        <f>(INDEX(Models!$BJ130:$BT130,,AH130)*(1-AF130)+INDEX(Models!$BJ130:$BT130,,AH130+1)*AF130-ERP_i)*AE130*Ramure*Pc/MaxiM</f>
        <v>3.4058335256127769E-5</v>
      </c>
      <c r="AE130" s="305">
        <f t="shared" si="40"/>
        <v>0.5</v>
      </c>
      <c r="AF130" s="177">
        <f t="shared" si="41"/>
        <v>0.56478655771632269</v>
      </c>
      <c r="AG130" s="811">
        <f t="shared" si="49"/>
        <v>0</v>
      </c>
      <c r="AH130" s="176">
        <f t="shared" si="42"/>
        <v>6</v>
      </c>
      <c r="AI130" s="225">
        <f t="shared" si="43"/>
        <v>0.56478655771632269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411">
        <f>'2022'!Wh/'2022'!Env_an*'2023'!Env_an</f>
        <v>39.668299818048567</v>
      </c>
      <c r="C131" s="841"/>
      <c r="D131" s="393">
        <f t="shared" si="25"/>
        <v>41.249004613734421</v>
      </c>
      <c r="E131" s="385">
        <f t="shared" si="47"/>
        <v>43.778302395782212</v>
      </c>
      <c r="F131" s="385">
        <f t="shared" si="26"/>
        <v>43.779301909378511</v>
      </c>
      <c r="G131" s="110">
        <f t="shared" si="48"/>
        <v>0.71497993363044865</v>
      </c>
      <c r="H131" s="414" t="b">
        <f>Wh_hp&gt;='2022'!Maxi_hp</f>
        <v>0</v>
      </c>
      <c r="I131" s="390">
        <f>IF(H131,Wh_hp,'2022'!Maxi_hp)</f>
        <v>43.779467103843352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3.8321040967847608E-2</v>
      </c>
      <c r="M131" s="845"/>
      <c r="N131" s="845"/>
      <c r="O131" s="48">
        <f>IF(t&lt;Tnet,'2022'!Resal+('2022'!Salim-'2022'!Resal)*(1-EXP(('2022'!Tnet-t)/('2022'!Tau_j))),Resal+(Salim-Resal)*(1-EXP((Tnet-t)/(Tau_j))))*Salcycl</f>
        <v>5.7775145303292405E-2</v>
      </c>
      <c r="P131" s="169">
        <f>(INDEX(Models!$BJ131:$BT131,,T131)*(1-R131)+INDEX(Models!$BJ131:$BT131,,T131+1)*R131-ERP_i)*Q131*Ramure*Pc/MaxiM</f>
        <v>3.8510493528385113E-5</v>
      </c>
      <c r="Q131" s="305">
        <f t="shared" si="28"/>
        <v>0.5</v>
      </c>
      <c r="R131" s="177">
        <f t="shared" si="29"/>
        <v>0.56724085870345764</v>
      </c>
      <c r="S131" s="811">
        <f t="shared" si="30"/>
        <v>0</v>
      </c>
      <c r="T131" s="176">
        <f t="shared" si="31"/>
        <v>6</v>
      </c>
      <c r="U131" s="251">
        <f t="shared" si="32"/>
        <v>0.56724085870345764</v>
      </c>
      <c r="V131" s="383">
        <f t="shared" si="33"/>
        <v>55.480826731772957</v>
      </c>
      <c r="W131" s="402">
        <f t="shared" si="34"/>
        <v>39.668299818048567</v>
      </c>
      <c r="X131" s="157">
        <f t="shared" si="35"/>
        <v>45043</v>
      </c>
      <c r="Y131" s="385">
        <f t="shared" si="36"/>
        <v>38.551480076770517</v>
      </c>
      <c r="Z131" s="385">
        <f t="shared" si="37"/>
        <v>40.087681772271779</v>
      </c>
      <c r="AA131" s="386">
        <f t="shared" si="38"/>
        <v>43.778302395782212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8.4302506528119908E-2</v>
      </c>
      <c r="AD131" s="231">
        <f>(INDEX(Models!$BJ131:$BT131,,AH131)*(1-AF131)+INDEX(Models!$BJ131:$BT131,,AH131+1)*AF131-ERP_i)*AE131*Ramure*Pc/MaxiM</f>
        <v>3.8510493528385113E-5</v>
      </c>
      <c r="AE131" s="305">
        <f t="shared" si="40"/>
        <v>0.5</v>
      </c>
      <c r="AF131" s="177">
        <f t="shared" si="41"/>
        <v>0.56724085870345764</v>
      </c>
      <c r="AG131" s="811">
        <f t="shared" si="49"/>
        <v>0</v>
      </c>
      <c r="AH131" s="176">
        <f t="shared" si="42"/>
        <v>6</v>
      </c>
      <c r="AI131" s="225">
        <f t="shared" si="43"/>
        <v>0.56724085870345764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411">
        <f>'2022'!Wh/'2022'!Env_an*'2023'!Env_an</f>
        <v>19.744977988027181</v>
      </c>
      <c r="C132" s="841"/>
      <c r="D132" s="393">
        <f t="shared" si="25"/>
        <v>20.532226766262674</v>
      </c>
      <c r="E132" s="385">
        <f t="shared" si="47"/>
        <v>21.792975499457526</v>
      </c>
      <c r="F132" s="385">
        <f t="shared" si="26"/>
        <v>21.793049826313879</v>
      </c>
      <c r="G132" s="110">
        <f t="shared" si="48"/>
        <v>0.35504214958735558</v>
      </c>
      <c r="H132" s="414" t="b">
        <f>Wh_hp&gt;='2022'!Maxi_hp</f>
        <v>0</v>
      </c>
      <c r="I132" s="390">
        <f>IF(H132,Wh_hp,'2022'!Maxi_hp)</f>
        <v>46.870510731346037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3.8342104205134397E-2</v>
      </c>
      <c r="M132" s="845"/>
      <c r="N132" s="845"/>
      <c r="O132" s="48">
        <f>IF(t&lt;Tnet,'2022'!Resal+('2022'!Salim-'2022'!Resal)*(1-EXP(('2022'!Tnet-t)/('2022'!Tau_j))),Resal+(Salim-Resal)*(1-EXP((Tnet-t)/(Tau_j))))*Salcycl</f>
        <v>5.7851151772562358E-2</v>
      </c>
      <c r="P132" s="169">
        <f>(INDEX(Models!$BJ132:$BT132,,T132)*(1-R132)+INDEX(Models!$BJ132:$BT132,,T132+1)*R132-ERP_i)*Q132*Ramure*Pc/MaxiM</f>
        <v>4.3362917612309456E-5</v>
      </c>
      <c r="Q132" s="305">
        <f t="shared" si="28"/>
        <v>0.5</v>
      </c>
      <c r="R132" s="177">
        <f t="shared" si="29"/>
        <v>0.56976868274633485</v>
      </c>
      <c r="S132" s="811">
        <f t="shared" si="30"/>
        <v>0</v>
      </c>
      <c r="T132" s="176">
        <f t="shared" si="31"/>
        <v>6</v>
      </c>
      <c r="U132" s="251">
        <f t="shared" si="32"/>
        <v>0.56976868274633485</v>
      </c>
      <c r="V132" s="383">
        <f t="shared" si="33"/>
        <v>55.610831418697224</v>
      </c>
      <c r="W132" s="402">
        <f t="shared" si="34"/>
        <v>19.744977988027181</v>
      </c>
      <c r="X132" s="157">
        <f t="shared" si="35"/>
        <v>45044</v>
      </c>
      <c r="Y132" s="385">
        <f t="shared" si="36"/>
        <v>19.189278371361809</v>
      </c>
      <c r="Z132" s="385">
        <f t="shared" si="37"/>
        <v>19.954370941342674</v>
      </c>
      <c r="AA132" s="386">
        <f t="shared" si="38"/>
        <v>21.792975499457526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8.4366843718087975E-2</v>
      </c>
      <c r="AD132" s="231">
        <f>(INDEX(Models!$BJ132:$BT132,,AH132)*(1-AF132)+INDEX(Models!$BJ132:$BT132,,AH132+1)*AF132-ERP_i)*AE132*Ramure*Pc/MaxiM</f>
        <v>4.3362917612309456E-5</v>
      </c>
      <c r="AE132" s="305">
        <f t="shared" si="40"/>
        <v>0.5</v>
      </c>
      <c r="AF132" s="177">
        <f t="shared" si="41"/>
        <v>0.56976868274633485</v>
      </c>
      <c r="AG132" s="811">
        <f t="shared" si="49"/>
        <v>0</v>
      </c>
      <c r="AH132" s="176">
        <f t="shared" si="42"/>
        <v>6</v>
      </c>
      <c r="AI132" s="225">
        <f t="shared" si="43"/>
        <v>0.56976868274633485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411">
        <f>'2022'!Wh/'2022'!Env_an*'2023'!Env_an</f>
        <v>39.733535098256276</v>
      </c>
      <c r="C133" s="841"/>
      <c r="D133" s="393">
        <f t="shared" si="25"/>
        <v>41.318649342412009</v>
      </c>
      <c r="E133" s="385">
        <f t="shared" si="47"/>
        <v>43.859330903030582</v>
      </c>
      <c r="F133" s="385">
        <f t="shared" si="26"/>
        <v>43.860588773990685</v>
      </c>
      <c r="G133" s="110">
        <f t="shared" si="48"/>
        <v>0.71286146455191945</v>
      </c>
      <c r="H133" s="414" t="b">
        <f>Wh_hp&gt;='2022'!Maxi_hp</f>
        <v>0</v>
      </c>
      <c r="I133" s="390">
        <f>IF(H133,Wh_hp,'2022'!Maxi_hp)</f>
        <v>52.731591737433121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3.836316698108222E-2</v>
      </c>
      <c r="M133" s="845"/>
      <c r="N133" s="845"/>
      <c r="O133" s="48">
        <f>IF(t&lt;Tnet,'2022'!Resal+('2022'!Salim-'2022'!Resal)*(1-EXP(('2022'!Tnet-t)/('2022'!Tau_j))),Resal+(Salim-Resal)*(1-EXP((Tnet-t)/(Tau_j))))*Salcycl</f>
        <v>5.792795987325506E-2</v>
      </c>
      <c r="P133" s="169">
        <f>(INDEX(Models!$BJ133:$BT133,,T133)*(1-R133)+INDEX(Models!$BJ133:$BT133,,T133+1)*R133-ERP_i)*Q133*Ramure*Pc/MaxiM</f>
        <v>4.8622845276875102E-5</v>
      </c>
      <c r="Q133" s="305">
        <f t="shared" si="28"/>
        <v>0.5</v>
      </c>
      <c r="R133" s="177">
        <f t="shared" si="29"/>
        <v>0.57237115250746695</v>
      </c>
      <c r="S133" s="811">
        <f t="shared" si="30"/>
        <v>0</v>
      </c>
      <c r="T133" s="176">
        <f t="shared" si="31"/>
        <v>6</v>
      </c>
      <c r="U133" s="251">
        <f t="shared" si="32"/>
        <v>0.57237115250746695</v>
      </c>
      <c r="V133" s="383">
        <f t="shared" si="33"/>
        <v>55.736976405097451</v>
      </c>
      <c r="W133" s="402">
        <f t="shared" si="34"/>
        <v>39.733535098256276</v>
      </c>
      <c r="X133" s="157">
        <f t="shared" si="35"/>
        <v>45045</v>
      </c>
      <c r="Y133" s="385">
        <f t="shared" si="36"/>
        <v>38.615666206677368</v>
      </c>
      <c r="Z133" s="385">
        <f t="shared" si="37"/>
        <v>40.156184622680421</v>
      </c>
      <c r="AA133" s="386">
        <f t="shared" si="38"/>
        <v>43.859330903030582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8.4432347783360409E-2</v>
      </c>
      <c r="AD133" s="231">
        <f>(INDEX(Models!$BJ133:$BT133,,AH133)*(1-AF133)+INDEX(Models!$BJ133:$BT133,,AH133+1)*AF133-ERP_i)*AE133*Ramure*Pc/MaxiM</f>
        <v>4.8622845276875102E-5</v>
      </c>
      <c r="AE133" s="305">
        <f t="shared" si="40"/>
        <v>0.5</v>
      </c>
      <c r="AF133" s="177">
        <f t="shared" si="41"/>
        <v>0.57237115250746695</v>
      </c>
      <c r="AG133" s="811">
        <f t="shared" si="49"/>
        <v>0</v>
      </c>
      <c r="AH133" s="176">
        <f t="shared" si="42"/>
        <v>6</v>
      </c>
      <c r="AI133" s="225">
        <f t="shared" si="43"/>
        <v>0.57237115250746695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411">
        <f>'2022'!Wh/'2022'!Env_an*'2023'!Env_an</f>
        <v>42.234939435071318</v>
      </c>
      <c r="C134" s="841"/>
      <c r="D134" s="393">
        <f t="shared" si="25"/>
        <v>43.920805712387541</v>
      </c>
      <c r="E134" s="385">
        <f t="shared" si="47"/>
        <v>46.62533455403392</v>
      </c>
      <c r="F134" s="385">
        <f t="shared" si="26"/>
        <v>46.626984137322296</v>
      </c>
      <c r="G134" s="110">
        <f t="shared" si="48"/>
        <v>0.75607729151126679</v>
      </c>
      <c r="H134" s="414" t="b">
        <f>Wh_hp&gt;='2022'!Maxi_hp</f>
        <v>0</v>
      </c>
      <c r="I134" s="390">
        <f>IF(H134,Wh_hp,'2022'!Maxi_hp)</f>
        <v>62.081683557920357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3.8384229295701178E-2</v>
      </c>
      <c r="M134" s="845"/>
      <c r="N134" s="845"/>
      <c r="O134" s="48">
        <f>IF(t&lt;Tnet,'2022'!Resal+('2022'!Salim-'2022'!Resal)*(1-EXP(('2022'!Tnet-t)/('2022'!Tau_j))),Resal+(Salim-Resal)*(1-EXP((Tnet-t)/(Tau_j))))*Salcycl</f>
        <v>5.8005564303503593E-2</v>
      </c>
      <c r="P134" s="169">
        <f>(INDEX(Models!$BJ134:$BT134,,T134)*(1-R134)+INDEX(Models!$BJ134:$BT134,,T134+1)*R134-ERP_i)*Q134*Ramure*Pc/MaxiM</f>
        <v>5.4297882257696985E-5</v>
      </c>
      <c r="Q134" s="305">
        <f t="shared" si="28"/>
        <v>0.5</v>
      </c>
      <c r="R134" s="177">
        <f t="shared" si="29"/>
        <v>0.57504932816474608</v>
      </c>
      <c r="S134" s="811">
        <f t="shared" si="30"/>
        <v>0</v>
      </c>
      <c r="T134" s="176">
        <f t="shared" si="31"/>
        <v>6</v>
      </c>
      <c r="U134" s="251">
        <f t="shared" si="32"/>
        <v>0.57504932816474608</v>
      </c>
      <c r="V134" s="383">
        <f t="shared" si="33"/>
        <v>55.859554060723433</v>
      </c>
      <c r="W134" s="402">
        <f t="shared" si="34"/>
        <v>42.234939435071318</v>
      </c>
      <c r="X134" s="157">
        <f t="shared" si="35"/>
        <v>45046</v>
      </c>
      <c r="Y134" s="385">
        <f t="shared" si="36"/>
        <v>41.047088430857649</v>
      </c>
      <c r="Z134" s="385">
        <f t="shared" si="37"/>
        <v>42.6855399852628</v>
      </c>
      <c r="AA134" s="386">
        <f t="shared" si="38"/>
        <v>46.62533455403392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8.4499009099984215E-2</v>
      </c>
      <c r="AD134" s="231">
        <f>(INDEX(Models!$BJ134:$BT134,,AH134)*(1-AF134)+INDEX(Models!$BJ134:$BT134,,AH134+1)*AF134-ERP_i)*AE134*Ramure*Pc/MaxiM</f>
        <v>5.4297882257696985E-5</v>
      </c>
      <c r="AE134" s="305">
        <f t="shared" si="40"/>
        <v>0.5</v>
      </c>
      <c r="AF134" s="177">
        <f t="shared" si="41"/>
        <v>0.57504932816474608</v>
      </c>
      <c r="AG134" s="811">
        <f t="shared" si="49"/>
        <v>0</v>
      </c>
      <c r="AH134" s="176">
        <f t="shared" si="42"/>
        <v>6</v>
      </c>
      <c r="AI134" s="225">
        <f t="shared" si="43"/>
        <v>0.57504932816474608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411">
        <f>'2022'!Wh/'2022'!Env_an*'2023'!Env_an</f>
        <v>45.774854179133591</v>
      </c>
      <c r="C135" s="841"/>
      <c r="D135" s="393">
        <f t="shared" si="25"/>
        <v>47.603063700121211</v>
      </c>
      <c r="E135" s="385">
        <f t="shared" si="47"/>
        <v>50.538542270748948</v>
      </c>
      <c r="F135" s="385">
        <f t="shared" si="26"/>
        <v>50.540799954640306</v>
      </c>
      <c r="G135" s="110">
        <f t="shared" si="48"/>
        <v>0.81771771701421658</v>
      </c>
      <c r="H135" s="414" t="b">
        <f>Wh_hp&gt;='2022'!Maxi_hp</f>
        <v>0</v>
      </c>
      <c r="I135" s="390">
        <f>IF(H135,Wh_hp,'2022'!Maxi_hp)</f>
        <v>57.93362071879104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3.8405291149001486E-2</v>
      </c>
      <c r="M135" s="845"/>
      <c r="N135" s="845"/>
      <c r="O135" s="48">
        <f>IF(t&lt;Tnet,'2022'!Resal+('2022'!Salim-'2022'!Resal)*(1-EXP(('2022'!Tnet-t)/('2022'!Tau_j))),Resal+(Salim-Resal)*(1-EXP((Tnet-t)/(Tau_j))))*Salcycl</f>
        <v>5.8083958078995697E-2</v>
      </c>
      <c r="P135" s="169">
        <f>(INDEX(Models!$BJ135:$BT135,,T135)*(1-R135)+INDEX(Models!$BJ135:$BT135,,T135+1)*R135-ERP_i)*Q135*Ramure*Pc/MaxiM</f>
        <v>6.039698331134936E-5</v>
      </c>
      <c r="Q135" s="305">
        <f t="shared" si="28"/>
        <v>0.5</v>
      </c>
      <c r="R135" s="177">
        <f t="shared" si="29"/>
        <v>0.57780420092280615</v>
      </c>
      <c r="S135" s="811">
        <f t="shared" si="30"/>
        <v>0</v>
      </c>
      <c r="T135" s="176">
        <f t="shared" si="31"/>
        <v>6</v>
      </c>
      <c r="U135" s="251">
        <f t="shared" si="32"/>
        <v>0.57780420092280615</v>
      </c>
      <c r="V135" s="383">
        <f t="shared" si="33"/>
        <v>55.97791672854661</v>
      </c>
      <c r="W135" s="402">
        <f t="shared" si="34"/>
        <v>45.774854179133591</v>
      </c>
      <c r="X135" s="157">
        <f t="shared" si="35"/>
        <v>45047</v>
      </c>
      <c r="Y135" s="385">
        <f t="shared" si="36"/>
        <v>44.487850998074776</v>
      </c>
      <c r="Z135" s="385">
        <f t="shared" si="37"/>
        <v>46.264658684772648</v>
      </c>
      <c r="AA135" s="386">
        <f t="shared" si="38"/>
        <v>50.538542270748948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8.4566815621232694E-2</v>
      </c>
      <c r="AD135" s="231">
        <f>(INDEX(Models!$BJ135:$BT135,,AH135)*(1-AF135)+INDEX(Models!$BJ135:$BT135,,AH135+1)*AF135-ERP_i)*AE135*Ramure*Pc/MaxiM</f>
        <v>6.039698331134936E-5</v>
      </c>
      <c r="AE135" s="305">
        <f t="shared" si="40"/>
        <v>0.5</v>
      </c>
      <c r="AF135" s="177">
        <f t="shared" si="41"/>
        <v>0.57780420092280615</v>
      </c>
      <c r="AG135" s="811">
        <f t="shared" si="49"/>
        <v>0</v>
      </c>
      <c r="AH135" s="176">
        <f t="shared" si="42"/>
        <v>6</v>
      </c>
      <c r="AI135" s="225">
        <f t="shared" si="43"/>
        <v>0.57780420092280615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411">
        <f>'2022'!Wh/'2022'!Env_an*'2023'!Env_an</f>
        <v>29.426322067293878</v>
      </c>
      <c r="C136" s="841"/>
      <c r="D136" s="393">
        <f t="shared" si="25"/>
        <v>30.602255110728123</v>
      </c>
      <c r="E136" s="385">
        <f t="shared" si="47"/>
        <v>32.49209726869212</v>
      </c>
      <c r="F136" s="385">
        <f t="shared" si="26"/>
        <v>32.492798889276926</v>
      </c>
      <c r="G136" s="110">
        <f t="shared" si="48"/>
        <v>0.52459105960979113</v>
      </c>
      <c r="H136" s="414" t="b">
        <f>Wh_hp&gt;='2022'!Maxi_hp</f>
        <v>0</v>
      </c>
      <c r="I136" s="390">
        <f>IF(H136,Wh_hp,'2022'!Maxi_hp)</f>
        <v>50.847443819946974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3.8426352540993025E-2</v>
      </c>
      <c r="M136" s="845"/>
      <c r="N136" s="845"/>
      <c r="O136" s="48">
        <f>IF(t&lt;Tnet,'2022'!Resal+('2022'!Salim-'2022'!Resal)*(1-EXP(('2022'!Tnet-t)/('2022'!Tau_j))),Resal+(Salim-Resal)*(1-EXP((Tnet-t)/(Tau_j))))*Salcycl</f>
        <v>5.8163132479138485E-2</v>
      </c>
      <c r="P136" s="169">
        <f>(INDEX(Models!$BJ136:$BT136,,T136)*(1-R136)+INDEX(Models!$BJ136:$BT136,,T136+1)*R136-ERP_i)*Q136*Ramure*Pc/MaxiM</f>
        <v>6.7293701273821776E-5</v>
      </c>
      <c r="Q136" s="305">
        <f t="shared" si="28"/>
        <v>0.5</v>
      </c>
      <c r="R136" s="177">
        <f t="shared" si="29"/>
        <v>0.58063668635824117</v>
      </c>
      <c r="S136" s="811">
        <f t="shared" si="30"/>
        <v>0</v>
      </c>
      <c r="T136" s="176">
        <f t="shared" si="31"/>
        <v>6</v>
      </c>
      <c r="U136" s="251">
        <f t="shared" si="32"/>
        <v>0.58063668635824117</v>
      </c>
      <c r="V136" s="383">
        <f t="shared" si="33"/>
        <v>56.091267090652366</v>
      </c>
      <c r="W136" s="402">
        <f t="shared" si="34"/>
        <v>29.426322067293878</v>
      </c>
      <c r="X136" s="157">
        <f t="shared" si="35"/>
        <v>45048</v>
      </c>
      <c r="Y136" s="385">
        <f t="shared" si="36"/>
        <v>28.599223576503238</v>
      </c>
      <c r="Z136" s="385">
        <f t="shared" si="37"/>
        <v>29.742104156117129</v>
      </c>
      <c r="AA136" s="386">
        <f t="shared" si="38"/>
        <v>32.49209726869212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8.4635752805798645E-2</v>
      </c>
      <c r="AD136" s="231">
        <f>(INDEX(Models!$BJ136:$BT136,,AH136)*(1-AF136)+INDEX(Models!$BJ136:$BT136,,AH136+1)*AF136-ERP_i)*AE136*Ramure*Pc/MaxiM</f>
        <v>6.7293701273821776E-5</v>
      </c>
      <c r="AE136" s="305">
        <f t="shared" si="40"/>
        <v>0.5</v>
      </c>
      <c r="AF136" s="177">
        <f t="shared" si="41"/>
        <v>0.58063668635824117</v>
      </c>
      <c r="AG136" s="811">
        <f t="shared" si="49"/>
        <v>0</v>
      </c>
      <c r="AH136" s="176">
        <f t="shared" si="42"/>
        <v>6</v>
      </c>
      <c r="AI136" s="225">
        <f t="shared" si="43"/>
        <v>0.58063668635824117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411">
        <f>'2022'!Wh/'2022'!Env_an*'2023'!Env_an</f>
        <v>35.061453631007453</v>
      </c>
      <c r="C137" s="841"/>
      <c r="D137" s="393">
        <f t="shared" si="25"/>
        <v>36.463376129637226</v>
      </c>
      <c r="E137" s="385">
        <f t="shared" si="47"/>
        <v>38.718458276173926</v>
      </c>
      <c r="F137" s="385">
        <f t="shared" si="26"/>
        <v>38.719799263226236</v>
      </c>
      <c r="G137" s="110">
        <f t="shared" si="48"/>
        <v>0.62384738946438956</v>
      </c>
      <c r="H137" s="414" t="b">
        <f>Wh_hp&gt;='2022'!Maxi_hp</f>
        <v>0</v>
      </c>
      <c r="I137" s="390">
        <f>IF(H137,Wh_hp,'2022'!Maxi_hp)</f>
        <v>60.514631083164147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3.844741347168612E-2</v>
      </c>
      <c r="M137" s="845"/>
      <c r="N137" s="845"/>
      <c r="O137" s="48">
        <f>IF(t&lt;Tnet,'2022'!Resal+('2022'!Salim-'2022'!Resal)*(1-EXP(('2022'!Tnet-t)/('2022'!Tau_j))),Resal+(Salim-Resal)*(1-EXP((Tnet-t)/(Tau_j))))*Salcycl</f>
        <v>5.8243076995769846E-2</v>
      </c>
      <c r="P137" s="169">
        <f>(INDEX(Models!$BJ137:$BT137,,T137)*(1-R137)+INDEX(Models!$BJ137:$BT137,,T137+1)*R137-ERP_i)*Q137*Ramure*Pc/MaxiM</f>
        <v>7.4854079920611834E-5</v>
      </c>
      <c r="Q137" s="305">
        <f t="shared" si="28"/>
        <v>0.5</v>
      </c>
      <c r="R137" s="177">
        <f t="shared" si="29"/>
        <v>0.58354761762380492</v>
      </c>
      <c r="S137" s="811">
        <f t="shared" si="30"/>
        <v>0</v>
      </c>
      <c r="T137" s="176">
        <f t="shared" si="31"/>
        <v>6</v>
      </c>
      <c r="U137" s="251">
        <f t="shared" si="32"/>
        <v>0.58354761762380492</v>
      </c>
      <c r="V137" s="383">
        <f t="shared" si="33"/>
        <v>56.199711609888901</v>
      </c>
      <c r="W137" s="402">
        <f t="shared" si="34"/>
        <v>35.061453631007453</v>
      </c>
      <c r="X137" s="157">
        <f t="shared" si="35"/>
        <v>45049</v>
      </c>
      <c r="Y137" s="385">
        <f t="shared" si="36"/>
        <v>34.076250722099914</v>
      </c>
      <c r="Z137" s="385">
        <f t="shared" si="37"/>
        <v>35.438780155677428</v>
      </c>
      <c r="AA137" s="386">
        <f t="shared" si="38"/>
        <v>38.718458276173926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8.4705803549897693E-2</v>
      </c>
      <c r="AD137" s="231">
        <f>(INDEX(Models!$BJ137:$BT137,,AH137)*(1-AF137)+INDEX(Models!$BJ137:$BT137,,AH137+1)*AF137-ERP_i)*AE137*Ramure*Pc/MaxiM</f>
        <v>7.4854079920611834E-5</v>
      </c>
      <c r="AE137" s="305">
        <f t="shared" si="40"/>
        <v>0.5</v>
      </c>
      <c r="AF137" s="177">
        <f t="shared" si="41"/>
        <v>0.58354761762380492</v>
      </c>
      <c r="AG137" s="811">
        <f t="shared" si="49"/>
        <v>0</v>
      </c>
      <c r="AH137" s="176">
        <f t="shared" si="42"/>
        <v>6</v>
      </c>
      <c r="AI137" s="225">
        <f t="shared" si="43"/>
        <v>0.58354761762380492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411">
        <f>'2022'!Wh/'2022'!Env_an*'2023'!Env_an</f>
        <v>19.448759976981108</v>
      </c>
      <c r="C138" s="841"/>
      <c r="D138" s="393">
        <f t="shared" si="25"/>
        <v>20.226856270326344</v>
      </c>
      <c r="E138" s="385">
        <f t="shared" si="47"/>
        <v>21.479629436718785</v>
      </c>
      <c r="F138" s="385">
        <f t="shared" si="26"/>
        <v>21.479745265997042</v>
      </c>
      <c r="G138" s="110">
        <f t="shared" si="48"/>
        <v>0.34540128240873352</v>
      </c>
      <c r="H138" s="414" t="b">
        <f>Wh_hp&gt;='2022'!Maxi_hp</f>
        <v>0</v>
      </c>
      <c r="I138" s="390">
        <f>IF(H138,Wh_hp,'2022'!Maxi_hp)</f>
        <v>57.253924122877009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3.8468473941090764E-2</v>
      </c>
      <c r="M138" s="845"/>
      <c r="N138" s="845"/>
      <c r="O138" s="48">
        <f>IF(t&lt;Tnet,'2022'!Resal+('2022'!Salim-'2022'!Resal)*(1-EXP(('2022'!Tnet-t)/('2022'!Tau_j))),Resal+(Salim-Resal)*(1-EXP((Tnet-t)/(Tau_j))))*Salcycl</f>
        <v>5.8323779285077544E-2</v>
      </c>
      <c r="P138" s="169">
        <f>(INDEX(Models!$BJ138:$BT138,,T138)*(1-R138)+INDEX(Models!$BJ138:$BT138,,T138+1)*R138-ERP_i)*Q138*Ramure*Pc/MaxiM</f>
        <v>8.3092624535359257E-5</v>
      </c>
      <c r="Q138" s="305">
        <f t="shared" si="28"/>
        <v>0.5</v>
      </c>
      <c r="R138" s="177">
        <f t="shared" si="29"/>
        <v>0.58653773854009539</v>
      </c>
      <c r="S138" s="811">
        <f t="shared" si="30"/>
        <v>0</v>
      </c>
      <c r="T138" s="176">
        <f t="shared" si="31"/>
        <v>6</v>
      </c>
      <c r="U138" s="251">
        <f t="shared" si="32"/>
        <v>0.58653773854009539</v>
      </c>
      <c r="V138" s="383">
        <f t="shared" si="33"/>
        <v>56.303348562910436</v>
      </c>
      <c r="W138" s="402">
        <f t="shared" si="34"/>
        <v>19.448759976981108</v>
      </c>
      <c r="X138" s="157">
        <f t="shared" si="35"/>
        <v>45050</v>
      </c>
      <c r="Y138" s="385">
        <f t="shared" si="36"/>
        <v>18.902413663815672</v>
      </c>
      <c r="Z138" s="385">
        <f t="shared" si="37"/>
        <v>19.658652006234476</v>
      </c>
      <c r="AA138" s="386">
        <f t="shared" si="38"/>
        <v>21.479629436718785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8.4776948124226079E-2</v>
      </c>
      <c r="AD138" s="231">
        <f>(INDEX(Models!$BJ138:$BT138,,AH138)*(1-AF138)+INDEX(Models!$BJ138:$BT138,,AH138+1)*AF138-ERP_i)*AE138*Ramure*Pc/MaxiM</f>
        <v>8.3092624535359257E-5</v>
      </c>
      <c r="AE138" s="305">
        <f t="shared" si="40"/>
        <v>0.5</v>
      </c>
      <c r="AF138" s="177">
        <f t="shared" si="41"/>
        <v>0.58653773854009539</v>
      </c>
      <c r="AG138" s="811">
        <f t="shared" si="49"/>
        <v>0</v>
      </c>
      <c r="AH138" s="176">
        <f t="shared" si="42"/>
        <v>6</v>
      </c>
      <c r="AI138" s="225">
        <f t="shared" si="43"/>
        <v>0.58653773854009539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411">
        <f>'2022'!Wh/'2022'!Env_an*'2023'!Env_an</f>
        <v>40.765062103264256</v>
      </c>
      <c r="C139" s="841"/>
      <c r="D139" s="393">
        <f t="shared" si="25"/>
        <v>42.396898986132527</v>
      </c>
      <c r="E139" s="385">
        <f t="shared" si="47"/>
        <v>45.026693135260039</v>
      </c>
      <c r="F139" s="385">
        <f t="shared" si="26"/>
        <v>45.029195723853391</v>
      </c>
      <c r="G139" s="110">
        <f t="shared" si="48"/>
        <v>0.72272927463675507</v>
      </c>
      <c r="H139" s="414" t="b">
        <f>Wh_hp&gt;='2022'!Maxi_hp</f>
        <v>0</v>
      </c>
      <c r="I139" s="390">
        <f>IF(H139,Wh_hp,'2022'!Maxi_hp)</f>
        <v>60.369568048217943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3.8489533949217059E-2</v>
      </c>
      <c r="M139" s="845"/>
      <c r="N139" s="845"/>
      <c r="O139" s="48">
        <f>IF(t&lt;Tnet,'2022'!Resal+('2022'!Salim-'2022'!Resal)*(1-EXP(('2022'!Tnet-t)/('2022'!Tau_j))),Resal+(Salim-Resal)*(1-EXP((Tnet-t)/(Tau_j))))*Salcycl</f>
        <v>5.8405225123408865E-2</v>
      </c>
      <c r="P139" s="169">
        <f>(INDEX(Models!$BJ139:$BT139,,T139)*(1-R139)+INDEX(Models!$BJ139:$BT139,,T139+1)*R139-ERP_i)*Q139*Ramure*Pc/MaxiM</f>
        <v>9.2024596589476441E-5</v>
      </c>
      <c r="Q139" s="305">
        <f t="shared" si="28"/>
        <v>0.5</v>
      </c>
      <c r="R139" s="177">
        <f t="shared" si="29"/>
        <v>0.58960769660667178</v>
      </c>
      <c r="S139" s="811">
        <f t="shared" si="30"/>
        <v>0</v>
      </c>
      <c r="T139" s="176">
        <f t="shared" si="31"/>
        <v>6</v>
      </c>
      <c r="U139" s="251">
        <f t="shared" si="32"/>
        <v>0.58960769660667178</v>
      </c>
      <c r="V139" s="383">
        <f t="shared" si="33"/>
        <v>56.402276292907779</v>
      </c>
      <c r="W139" s="402">
        <f t="shared" si="34"/>
        <v>40.765062103264256</v>
      </c>
      <c r="X139" s="157">
        <f t="shared" si="35"/>
        <v>45051</v>
      </c>
      <c r="Y139" s="385">
        <f t="shared" si="36"/>
        <v>39.620207815537782</v>
      </c>
      <c r="Z139" s="385">
        <f t="shared" si="37"/>
        <v>41.20621585979201</v>
      </c>
      <c r="AA139" s="386">
        <f t="shared" si="38"/>
        <v>45.026693135260039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8.484916411674566E-2</v>
      </c>
      <c r="AD139" s="231">
        <f>(INDEX(Models!$BJ139:$BT139,,AH139)*(1-AF139)+INDEX(Models!$BJ139:$BT139,,AH139+1)*AF139-ERP_i)*AE139*Ramure*Pc/MaxiM</f>
        <v>9.2024596589476441E-5</v>
      </c>
      <c r="AE139" s="305">
        <f t="shared" si="40"/>
        <v>0.5</v>
      </c>
      <c r="AF139" s="177">
        <f t="shared" si="41"/>
        <v>0.58960769660667178</v>
      </c>
      <c r="AG139" s="811">
        <f t="shared" si="49"/>
        <v>0</v>
      </c>
      <c r="AH139" s="176">
        <f t="shared" si="42"/>
        <v>6</v>
      </c>
      <c r="AI139" s="225">
        <f t="shared" si="43"/>
        <v>0.58960769660667178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411">
        <f>'2022'!Wh/'2022'!Env_an*'2023'!Env_an</f>
        <v>37.291942894050941</v>
      </c>
      <c r="C140" s="841"/>
      <c r="D140" s="393">
        <f t="shared" si="25"/>
        <v>38.785599343884932</v>
      </c>
      <c r="E140" s="385">
        <f t="shared" si="47"/>
        <v>41.194986956776837</v>
      </c>
      <c r="F140" s="385">
        <f t="shared" si="26"/>
        <v>41.197141408067779</v>
      </c>
      <c r="G140" s="110">
        <f t="shared" si="48"/>
        <v>0.66004159858889988</v>
      </c>
      <c r="H140" s="414" t="b">
        <f>Wh_hp&gt;='2022'!Maxi_hp</f>
        <v>0</v>
      </c>
      <c r="I140" s="390">
        <f>IF(H140,Wh_hp,'2022'!Maxi_hp)</f>
        <v>64.189889106761925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3.8510593496075107E-2</v>
      </c>
      <c r="M140" s="845"/>
      <c r="N140" s="845"/>
      <c r="O140" s="48">
        <f>IF(t&lt;Tnet,'2022'!Resal+('2022'!Salim-'2022'!Resal)*(1-EXP(('2022'!Tnet-t)/('2022'!Tau_j))),Resal+(Salim-Resal)*(1-EXP((Tnet-t)/(Tau_j))))*Salcycl</f>
        <v>5.848739836766826E-2</v>
      </c>
      <c r="P140" s="169">
        <f>(INDEX(Models!$BJ140:$BT140,,T140)*(1-R140)+INDEX(Models!$BJ140:$BT140,,T140+1)*R140-ERP_i)*Q140*Ramure*Pc/MaxiM</f>
        <v>1.0166597910284712E-4</v>
      </c>
      <c r="Q140" s="305">
        <f t="shared" si="28"/>
        <v>0.5</v>
      </c>
      <c r="R140" s="177">
        <f t="shared" si="29"/>
        <v>0.59275803596801313</v>
      </c>
      <c r="S140" s="811">
        <f t="shared" si="30"/>
        <v>0</v>
      </c>
      <c r="T140" s="176">
        <f t="shared" si="31"/>
        <v>6</v>
      </c>
      <c r="U140" s="251">
        <f t="shared" si="32"/>
        <v>0.59275803596801313</v>
      </c>
      <c r="V140" s="383">
        <f t="shared" si="33"/>
        <v>56.496593214880917</v>
      </c>
      <c r="W140" s="402">
        <f t="shared" si="34"/>
        <v>37.291942894050941</v>
      </c>
      <c r="X140" s="157">
        <f t="shared" si="35"/>
        <v>45052</v>
      </c>
      <c r="Y140" s="385">
        <f t="shared" si="36"/>
        <v>36.244889935423927</v>
      </c>
      <c r="Z140" s="385">
        <f t="shared" si="37"/>
        <v>37.696608709620733</v>
      </c>
      <c r="AA140" s="386">
        <f t="shared" si="38"/>
        <v>41.194986956776837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8.4922426382285782E-2</v>
      </c>
      <c r="AD140" s="231">
        <f>(INDEX(Models!$BJ140:$BT140,,AH140)*(1-AF140)+INDEX(Models!$BJ140:$BT140,,AH140+1)*AF140-ERP_i)*AE140*Ramure*Pc/MaxiM</f>
        <v>1.0166597910284712E-4</v>
      </c>
      <c r="AE140" s="305">
        <f t="shared" si="40"/>
        <v>0.5</v>
      </c>
      <c r="AF140" s="177">
        <f t="shared" si="41"/>
        <v>0.59275803596801313</v>
      </c>
      <c r="AG140" s="811">
        <f t="shared" si="49"/>
        <v>0</v>
      </c>
      <c r="AH140" s="176">
        <f t="shared" si="42"/>
        <v>6</v>
      </c>
      <c r="AI140" s="225">
        <f t="shared" si="43"/>
        <v>0.59275803596801313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411">
        <f>'2022'!Wh/'2022'!Env_an*'2023'!Env_an</f>
        <v>50.707259747896721</v>
      </c>
      <c r="C141" s="841"/>
      <c r="D141" s="393">
        <f t="shared" si="25"/>
        <v>52.739395825200809</v>
      </c>
      <c r="E141" s="385">
        <f t="shared" si="47"/>
        <v>56.02053425379026</v>
      </c>
      <c r="F141" s="385">
        <f t="shared" si="26"/>
        <v>56.025879403318328</v>
      </c>
      <c r="G141" s="110">
        <f t="shared" si="48"/>
        <v>0.89608843190595733</v>
      </c>
      <c r="H141" s="414" t="b">
        <f>Wh_hp&gt;='2022'!Maxi_hp</f>
        <v>0</v>
      </c>
      <c r="I141" s="390">
        <f>IF(H141,Wh_hp,'2022'!Maxi_hp)</f>
        <v>60.114108347336412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3.8531652581675124E-2</v>
      </c>
      <c r="M141" s="845"/>
      <c r="N141" s="845"/>
      <c r="O141" s="48">
        <f>IF(t&lt;Tnet,'2022'!Resal+('2022'!Salim-'2022'!Resal)*(1-EXP(('2022'!Tnet-t)/('2022'!Tau_j))),Resal+(Salim-Resal)*(1-EXP((Tnet-t)/(Tau_j))))*Salcycl</f>
        <v>5.8570280921007987E-2</v>
      </c>
      <c r="P141" s="169">
        <f>(INDEX(Models!$BJ141:$BT141,,T141)*(1-R141)+INDEX(Models!$BJ141:$BT141,,T141+1)*R141-ERP_i)*Q141*Ramure*Pc/MaxiM</f>
        <v>1.1203343861636873E-4</v>
      </c>
      <c r="Q141" s="305">
        <f t="shared" si="28"/>
        <v>0.5</v>
      </c>
      <c r="R141" s="177">
        <f t="shared" si="29"/>
        <v>0.59598919037316545</v>
      </c>
      <c r="S141" s="811">
        <f t="shared" si="30"/>
        <v>0</v>
      </c>
      <c r="T141" s="176">
        <f t="shared" si="31"/>
        <v>6</v>
      </c>
      <c r="U141" s="251">
        <f t="shared" si="32"/>
        <v>0.59598919037316545</v>
      </c>
      <c r="V141" s="383">
        <f t="shared" si="33"/>
        <v>56.586397815105883</v>
      </c>
      <c r="W141" s="402">
        <f t="shared" si="34"/>
        <v>50.707259747896721</v>
      </c>
      <c r="X141" s="157">
        <f t="shared" si="35"/>
        <v>45053</v>
      </c>
      <c r="Y141" s="385">
        <f t="shared" si="36"/>
        <v>49.283880366263368</v>
      </c>
      <c r="Z141" s="385">
        <f t="shared" si="37"/>
        <v>51.258973317839725</v>
      </c>
      <c r="AA141" s="386">
        <f t="shared" si="38"/>
        <v>56.02053425379026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8.4996706999958219E-2</v>
      </c>
      <c r="AD141" s="231">
        <f>(INDEX(Models!$BJ141:$BT141,,AH141)*(1-AF141)+INDEX(Models!$BJ141:$BT141,,AH141+1)*AF141-ERP_i)*AE141*Ramure*Pc/MaxiM</f>
        <v>1.1203343861636873E-4</v>
      </c>
      <c r="AE141" s="305">
        <f t="shared" si="40"/>
        <v>0.5</v>
      </c>
      <c r="AF141" s="177">
        <f t="shared" si="41"/>
        <v>0.59598919037316545</v>
      </c>
      <c r="AG141" s="811">
        <f t="shared" si="49"/>
        <v>0</v>
      </c>
      <c r="AH141" s="176">
        <f t="shared" si="42"/>
        <v>6</v>
      </c>
      <c r="AI141" s="225">
        <f t="shared" si="43"/>
        <v>0.59598919037316545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411">
        <f>'2022'!Wh/'2022'!Env_an*'2023'!Env_an</f>
        <v>48.256237315771848</v>
      </c>
      <c r="C142" s="841"/>
      <c r="D142" s="393">
        <f t="shared" si="25"/>
        <v>50.191245924988614</v>
      </c>
      <c r="E142" s="385">
        <f t="shared" si="47"/>
        <v>53.318586440481546</v>
      </c>
      <c r="F142" s="385">
        <f t="shared" si="26"/>
        <v>53.323736705803988</v>
      </c>
      <c r="G142" s="110">
        <f t="shared" si="48"/>
        <v>0.85148107509935389</v>
      </c>
      <c r="H142" s="414" t="b">
        <f>Wh_hp&gt;='2022'!Maxi_hp</f>
        <v>0</v>
      </c>
      <c r="I142" s="390">
        <f>IF(H142,Wh_hp,'2022'!Maxi_hp)</f>
        <v>60.745186891784464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3.8552711206026991E-2</v>
      </c>
      <c r="M142" s="845"/>
      <c r="N142" s="845"/>
      <c r="O142" s="48">
        <f>IF(t&lt;Tnet,'2022'!Resal+('2022'!Salim-'2022'!Resal)*(1-EXP(('2022'!Tnet-t)/('2022'!Tau_j))),Resal+(Salim-Resal)*(1-EXP((Tnet-t)/(Tau_j))))*Salcycl</f>
        <v>5.8653852704514481E-2</v>
      </c>
      <c r="P142" s="169">
        <f>(INDEX(Models!$BJ142:$BT142,,T142)*(1-R142)+INDEX(Models!$BJ142:$BT142,,T142+1)*R142-ERP_i)*Q142*Ramure*Pc/MaxiM</f>
        <v>1.2259112026610609E-4</v>
      </c>
      <c r="Q142" s="305">
        <f t="shared" si="28"/>
        <v>0.5</v>
      </c>
      <c r="R142" s="177">
        <f t="shared" si="29"/>
        <v>0.59930147617129836</v>
      </c>
      <c r="S142" s="811">
        <f t="shared" si="30"/>
        <v>0</v>
      </c>
      <c r="T142" s="176">
        <f t="shared" si="31"/>
        <v>6</v>
      </c>
      <c r="U142" s="251">
        <f t="shared" si="32"/>
        <v>0.59930147617129836</v>
      </c>
      <c r="V142" s="383">
        <f t="shared" si="33"/>
        <v>56.671820010046076</v>
      </c>
      <c r="W142" s="402">
        <f t="shared" si="34"/>
        <v>48.256237315771848</v>
      </c>
      <c r="X142" s="157">
        <f t="shared" si="35"/>
        <v>45054</v>
      </c>
      <c r="Y142" s="385">
        <f t="shared" si="36"/>
        <v>46.901964826165361</v>
      </c>
      <c r="Z142" s="385">
        <f t="shared" si="37"/>
        <v>48.78266897501846</v>
      </c>
      <c r="AA142" s="386">
        <f t="shared" si="38"/>
        <v>53.318586440481546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8.5071975239374362E-2</v>
      </c>
      <c r="AD142" s="231">
        <f>(INDEX(Models!$BJ142:$BT142,,AH142)*(1-AF142)+INDEX(Models!$BJ142:$BT142,,AH142+1)*AF142-ERP_i)*AE142*Ramure*Pc/MaxiM</f>
        <v>1.2259112026610609E-4</v>
      </c>
      <c r="AE142" s="305">
        <f t="shared" si="40"/>
        <v>0.5</v>
      </c>
      <c r="AF142" s="177">
        <f t="shared" si="41"/>
        <v>0.59930147617129836</v>
      </c>
      <c r="AG142" s="811">
        <f t="shared" si="49"/>
        <v>0</v>
      </c>
      <c r="AH142" s="176">
        <f t="shared" si="42"/>
        <v>6</v>
      </c>
      <c r="AI142" s="225">
        <f t="shared" si="43"/>
        <v>0.59930147617129836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411">
        <f>'2022'!Wh/'2022'!Env_an*'2023'!Env_an</f>
        <v>50.496571203983265</v>
      </c>
      <c r="C143" s="841"/>
      <c r="D143" s="393">
        <f t="shared" ref="D143:D206" si="50">Wh/(1-Ppv)</f>
        <v>52.522564493428618</v>
      </c>
      <c r="E143" s="385">
        <f t="shared" si="47"/>
        <v>55.800159367645563</v>
      </c>
      <c r="F143" s="385">
        <f t="shared" ref="F143:F206" si="51">Wh_sa/(1-Pvg*MEDIAN((-Sdif+Wh/Env_an)/Csdif,0,1))</f>
        <v>55.806418613761053</v>
      </c>
      <c r="G143" s="110">
        <f t="shared" si="48"/>
        <v>0.88974217332009864</v>
      </c>
      <c r="H143" s="414" t="b">
        <f>Wh_hp&gt;='2022'!Maxi_hp</f>
        <v>0</v>
      </c>
      <c r="I143" s="390">
        <f>IF(H143,Wh_hp,'2022'!Maxi_hp)</f>
        <v>55.806669798350285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3.8573769369141031E-2</v>
      </c>
      <c r="M143" s="845"/>
      <c r="N143" s="845"/>
      <c r="O143" s="48">
        <f>IF(t&lt;Tnet,'2022'!Resal+('2022'!Salim-'2022'!Resal)*(1-EXP(('2022'!Tnet-t)/('2022'!Tau_j))),Resal+(Salim-Resal)*(1-EXP((Tnet-t)/(Tau_j))))*Salcycl</f>
        <v>5.8738091635583765E-2</v>
      </c>
      <c r="P143" s="169">
        <f>(INDEX(Models!$BJ143:$BT143,,T143)*(1-R143)+INDEX(Models!$BJ143:$BT143,,T143+1)*R143-ERP_i)*Q143*Ramure*Pc/MaxiM</f>
        <v>1.3312511370423645E-4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0.6026950853886438</v>
      </c>
      <c r="S143" s="811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0.6026950853886438</v>
      </c>
      <c r="V143" s="383">
        <f t="shared" ref="V143:V206" si="58">MaxiM*(1-Ppv)*(1-Pvg)*(1-Psa)</f>
        <v>56.752971738792638</v>
      </c>
      <c r="W143" s="402">
        <f t="shared" ref="W143:W206" si="59">Wh*(A143&gt;Tmaj)</f>
        <v>50.496571203983265</v>
      </c>
      <c r="X143" s="157">
        <f t="shared" ref="X143:X206" si="60">t</f>
        <v>45055</v>
      </c>
      <c r="Y143" s="385">
        <f t="shared" ref="Y143:Y206" si="61">Wh_pvt_s*(1-Ppv)</f>
        <v>49.079728791381463</v>
      </c>
      <c r="Z143" s="385">
        <f t="shared" ref="Z143:Z206" si="62">Wh_sa_s*(1-Psa_s)</f>
        <v>51.048876375233512</v>
      </c>
      <c r="AA143" s="386">
        <f t="shared" ref="AA143:AA206" si="63">Wh_hp*(1-Pvg_s*MEDIAN((-Sdif+Wh/Env_an)/Csdif,0,1))</f>
        <v>55.800159367645563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8.5148197536635911E-2</v>
      </c>
      <c r="AD143" s="231">
        <f>(INDEX(Models!$BJ143:$BT143,,AH143)*(1-AF143)+INDEX(Models!$BJ143:$BT143,,AH143+1)*AF143-ERP_i)*AE143*Ramure*Pc/MaxiM</f>
        <v>1.3312511370423645E-4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0.6026950853886438</v>
      </c>
      <c r="AG143" s="811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0.6026950853886438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411">
        <f>'2022'!Wh/'2022'!Env_an*'2023'!Env_an</f>
        <v>50.17293135549837</v>
      </c>
      <c r="C144" s="841"/>
      <c r="D144" s="393">
        <f t="shared" si="50"/>
        <v>52.187082791164755</v>
      </c>
      <c r="E144" s="385">
        <f t="shared" ref="E144:E169" si="72">Wh_pvt/(1-Psa)</f>
        <v>55.448742721162361</v>
      </c>
      <c r="F144" s="385">
        <f t="shared" si="51"/>
        <v>55.455375333771428</v>
      </c>
      <c r="G144" s="110">
        <f t="shared" ref="G144:G169" si="73">+Wh_hp/MaxiM</f>
        <v>0.88283946775877764</v>
      </c>
      <c r="H144" s="414" t="b">
        <f>Wh_hp&gt;='2022'!Maxi_hp</f>
        <v>0</v>
      </c>
      <c r="I144" s="390">
        <f>IF(H144,Wh_hp,'2022'!Maxi_hp)</f>
        <v>55.455663117094851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3.8594827071027238E-2</v>
      </c>
      <c r="M144" s="845"/>
      <c r="N144" s="845"/>
      <c r="O144" s="48">
        <f>IF(t&lt;Tnet,'2022'!Resal+('2022'!Salim-'2022'!Resal)*(1-EXP(('2022'!Tnet-t)/('2022'!Tau_j))),Resal+(Salim-Resal)*(1-EXP((Tnet-t)/(Tau_j))))*Salcycl</f>
        <v>5.8822973613660998E-2</v>
      </c>
      <c r="P144" s="169">
        <f>(INDEX(Models!$BJ144:$BT144,,T144)*(1-R144)+INDEX(Models!$BJ144:$BT144,,T144+1)*R144-ERP_i)*Q144*Ramure*Pc/MaxiM</f>
        <v>1.4363962278251551E-4</v>
      </c>
      <c r="Q144" s="305">
        <f t="shared" si="53"/>
        <v>0.5</v>
      </c>
      <c r="R144" s="177">
        <f t="shared" si="54"/>
        <v>0.60617007893536201</v>
      </c>
      <c r="S144" s="811">
        <f t="shared" si="55"/>
        <v>0</v>
      </c>
      <c r="T144" s="176">
        <f t="shared" si="56"/>
        <v>6</v>
      </c>
      <c r="U144" s="251">
        <f t="shared" si="57"/>
        <v>0.60617007893536201</v>
      </c>
      <c r="V144" s="383">
        <f t="shared" si="58"/>
        <v>56.8299527157778</v>
      </c>
      <c r="W144" s="402">
        <f t="shared" si="59"/>
        <v>50.17293135549837</v>
      </c>
      <c r="X144" s="157">
        <f t="shared" si="60"/>
        <v>45056</v>
      </c>
      <c r="Y144" s="385">
        <f t="shared" si="61"/>
        <v>48.765455447350654</v>
      </c>
      <c r="Z144" s="385">
        <f t="shared" si="62"/>
        <v>50.723104909851962</v>
      </c>
      <c r="AA144" s="386">
        <f t="shared" si="63"/>
        <v>55.448742721162361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8.5225337481039526E-2</v>
      </c>
      <c r="AD144" s="231">
        <f>(INDEX(Models!$BJ144:$BT144,,AH144)*(1-AF144)+INDEX(Models!$BJ144:$BT144,,AH144+1)*AF144-ERP_i)*AE144*Ramure*Pc/MaxiM</f>
        <v>1.4363962278251551E-4</v>
      </c>
      <c r="AE144" s="305">
        <f t="shared" si="65"/>
        <v>0.5</v>
      </c>
      <c r="AF144" s="177">
        <f t="shared" si="66"/>
        <v>0.60617007893536201</v>
      </c>
      <c r="AG144" s="811">
        <f t="shared" ref="AG144:AG207" si="74">INDEX(Echel_vg,AH144)</f>
        <v>0</v>
      </c>
      <c r="AH144" s="176">
        <f t="shared" si="67"/>
        <v>6</v>
      </c>
      <c r="AI144" s="225">
        <f t="shared" si="68"/>
        <v>0.60617007893536201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411">
        <f>'2022'!Wh/'2022'!Env_an*'2023'!Env_an</f>
        <v>54.158483081199407</v>
      </c>
      <c r="C145" s="841"/>
      <c r="D145" s="393">
        <f t="shared" si="50"/>
        <v>56.333865098680732</v>
      </c>
      <c r="E145" s="385">
        <f t="shared" si="72"/>
        <v>59.860134166937598</v>
      </c>
      <c r="F145" s="385">
        <f t="shared" si="51"/>
        <v>59.868726438251485</v>
      </c>
      <c r="G145" s="110">
        <f t="shared" si="73"/>
        <v>0.95176068832874205</v>
      </c>
      <c r="H145" s="414" t="b">
        <f>Wh_hp&gt;='2022'!Maxi_hp</f>
        <v>0</v>
      </c>
      <c r="I145" s="390">
        <f>IF(H145,Wh_hp,'2022'!Maxi_hp)</f>
        <v>59.868864727425738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3.8615884311695714E-2</v>
      </c>
      <c r="M145" s="845"/>
      <c r="N145" s="845"/>
      <c r="O145" s="48">
        <f>IF(t&lt;Tnet,'2022'!Resal+('2022'!Salim-'2022'!Resal)*(1-EXP(('2022'!Tnet-t)/('2022'!Tau_j))),Resal+(Salim-Resal)*(1-EXP((Tnet-t)/(Tau_j))))*Salcycl</f>
        <v>5.8908472513991082E-2</v>
      </c>
      <c r="P145" s="169">
        <f>(INDEX(Models!$BJ145:$BT145,,T145)*(1-R145)+INDEX(Models!$BJ145:$BT145,,T145+1)*R145-ERP_i)*Q145*Ramure*Pc/MaxiM</f>
        <v>1.5413849147368616E-4</v>
      </c>
      <c r="Q145" s="305">
        <f t="shared" si="53"/>
        <v>0.5</v>
      </c>
      <c r="R145" s="177">
        <f t="shared" si="54"/>
        <v>0.60972637999372625</v>
      </c>
      <c r="S145" s="811">
        <f t="shared" si="55"/>
        <v>0</v>
      </c>
      <c r="T145" s="176">
        <f t="shared" si="56"/>
        <v>6</v>
      </c>
      <c r="U145" s="251">
        <f t="shared" si="57"/>
        <v>0.60972637999372625</v>
      </c>
      <c r="V145" s="383">
        <f t="shared" si="58"/>
        <v>56.902862769492721</v>
      </c>
      <c r="W145" s="402">
        <f t="shared" si="59"/>
        <v>54.158483081199407</v>
      </c>
      <c r="X145" s="157">
        <f t="shared" si="60"/>
        <v>45057</v>
      </c>
      <c r="Y145" s="385">
        <f t="shared" si="61"/>
        <v>52.639494971276051</v>
      </c>
      <c r="Z145" s="385">
        <f t="shared" si="62"/>
        <v>54.753863843057914</v>
      </c>
      <c r="AA145" s="386">
        <f t="shared" si="63"/>
        <v>59.860134166937598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8.5303355813392462E-2</v>
      </c>
      <c r="AD145" s="231">
        <f>(INDEX(Models!$BJ145:$BT145,,AH145)*(1-AF145)+INDEX(Models!$BJ145:$BT145,,AH145+1)*AF145-ERP_i)*AE145*Ramure*Pc/MaxiM</f>
        <v>1.5413849147368616E-4</v>
      </c>
      <c r="AE145" s="305">
        <f t="shared" si="65"/>
        <v>0.5</v>
      </c>
      <c r="AF145" s="177">
        <f t="shared" si="66"/>
        <v>0.60972637999372625</v>
      </c>
      <c r="AG145" s="811">
        <f t="shared" si="74"/>
        <v>0</v>
      </c>
      <c r="AH145" s="176">
        <f t="shared" si="67"/>
        <v>6</v>
      </c>
      <c r="AI145" s="225">
        <f t="shared" si="68"/>
        <v>0.60972637999372625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411">
        <f>'2022'!Wh/'2022'!Env_an*'2023'!Env_an</f>
        <v>39.489017130178766</v>
      </c>
      <c r="C146" s="841"/>
      <c r="D146" s="393">
        <f t="shared" si="50"/>
        <v>41.076070860262917</v>
      </c>
      <c r="E146" s="385">
        <f t="shared" si="72"/>
        <v>43.651257604372972</v>
      </c>
      <c r="F146" s="385">
        <f t="shared" si="51"/>
        <v>43.655293819693988</v>
      </c>
      <c r="G146" s="110">
        <f t="shared" si="73"/>
        <v>0.69308264283834609</v>
      </c>
      <c r="H146" s="414" t="b">
        <f>Wh_hp&gt;='2022'!Maxi_hp</f>
        <v>0</v>
      </c>
      <c r="I146" s="390">
        <f>IF(H146,Wh_hp,'2022'!Maxi_hp)</f>
        <v>59.238727729135654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3.8636941091156562E-2</v>
      </c>
      <c r="M146" s="845"/>
      <c r="N146" s="845"/>
      <c r="O146" s="48">
        <f>IF(t&lt;Tnet,'2022'!Resal+('2022'!Salim-'2022'!Resal)*(1-EXP(('2022'!Tnet-t)/('2022'!Tau_j))),Resal+(Salim-Resal)*(1-EXP((Tnet-t)/(Tau_j))))*Salcycl</f>
        <v>5.8994560189992766E-2</v>
      </c>
      <c r="P146" s="169">
        <f>(INDEX(Models!$BJ146:$BT146,,T146)*(1-R146)+INDEX(Models!$BJ146:$BT146,,T146+1)*R146-ERP_i)*Q146*Ramure*Pc/MaxiM</f>
        <v>1.6462519984195386E-4</v>
      </c>
      <c r="Q146" s="305">
        <f t="shared" si="53"/>
        <v>0.5</v>
      </c>
      <c r="R146" s="177">
        <f t="shared" si="54"/>
        <v>0.61336376764155509</v>
      </c>
      <c r="S146" s="811">
        <f t="shared" si="55"/>
        <v>0</v>
      </c>
      <c r="T146" s="176">
        <f t="shared" si="56"/>
        <v>6</v>
      </c>
      <c r="U146" s="251">
        <f t="shared" si="57"/>
        <v>0.61336376764155509</v>
      </c>
      <c r="V146" s="383">
        <f t="shared" si="58"/>
        <v>56.971801852686504</v>
      </c>
      <c r="W146" s="402">
        <f t="shared" si="59"/>
        <v>39.489017130178766</v>
      </c>
      <c r="X146" s="157">
        <f t="shared" si="60"/>
        <v>45058</v>
      </c>
      <c r="Y146" s="385">
        <f t="shared" si="61"/>
        <v>38.381667131404079</v>
      </c>
      <c r="Z146" s="385">
        <f t="shared" si="62"/>
        <v>39.924216741766266</v>
      </c>
      <c r="AA146" s="386">
        <f t="shared" si="63"/>
        <v>43.651257604372972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8.5382210436780875E-2</v>
      </c>
      <c r="AD146" s="231">
        <f>(INDEX(Models!$BJ146:$BT146,,AH146)*(1-AF146)+INDEX(Models!$BJ146:$BT146,,AH146+1)*AF146-ERP_i)*AE146*Ramure*Pc/MaxiM</f>
        <v>1.6462519984195386E-4</v>
      </c>
      <c r="AE146" s="305">
        <f t="shared" si="65"/>
        <v>0.5</v>
      </c>
      <c r="AF146" s="177">
        <f t="shared" si="66"/>
        <v>0.61336376764155509</v>
      </c>
      <c r="AG146" s="811">
        <f t="shared" si="74"/>
        <v>0</v>
      </c>
      <c r="AH146" s="176">
        <f t="shared" si="67"/>
        <v>6</v>
      </c>
      <c r="AI146" s="225">
        <f t="shared" si="68"/>
        <v>0.61336376764155509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411">
        <f>'2022'!Wh/'2022'!Env_an*'2023'!Env_an</f>
        <v>40.167022872206665</v>
      </c>
      <c r="C147" s="841"/>
      <c r="D147" s="393">
        <f t="shared" si="50"/>
        <v>41.782240621928956</v>
      </c>
      <c r="E147" s="385">
        <f t="shared" si="72"/>
        <v>44.405788161414812</v>
      </c>
      <c r="F147" s="385">
        <f t="shared" si="51"/>
        <v>44.410278780928316</v>
      </c>
      <c r="G147" s="110">
        <f t="shared" si="73"/>
        <v>0.7041769778874839</v>
      </c>
      <c r="H147" s="414" t="b">
        <f>Wh_hp&gt;='2022'!Maxi_hp</f>
        <v>0</v>
      </c>
      <c r="I147" s="390">
        <f>IF(H147,Wh_hp,'2022'!Maxi_hp)</f>
        <v>65.408960512497771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3.8657997409419886E-2</v>
      </c>
      <c r="M147" s="845"/>
      <c r="N147" s="845"/>
      <c r="O147" s="48">
        <f>IF(t&lt;Tnet,'2022'!Resal+('2022'!Salim-'2022'!Resal)*(1-EXP(('2022'!Tnet-t)/('2022'!Tau_j))),Resal+(Salim-Resal)*(1-EXP((Tnet-t)/(Tau_j))))*Salcycl</f>
        <v>5.908120648482295E-2</v>
      </c>
      <c r="P147" s="169">
        <f>(INDEX(Models!$BJ147:$BT147,,T147)*(1-R147)+INDEX(Models!$BJ147:$BT147,,T147+1)*R147-ERP_i)*Q147*Ramure*Pc/MaxiM</f>
        <v>1.7510286006743668E-4</v>
      </c>
      <c r="Q147" s="305">
        <f t="shared" si="53"/>
        <v>0.5</v>
      </c>
      <c r="R147" s="177">
        <f t="shared" si="54"/>
        <v>0.61708187076700716</v>
      </c>
      <c r="S147" s="811">
        <f t="shared" si="55"/>
        <v>0</v>
      </c>
      <c r="T147" s="176">
        <f t="shared" si="56"/>
        <v>6</v>
      </c>
      <c r="U147" s="251">
        <f t="shared" si="57"/>
        <v>0.61708187076700716</v>
      </c>
      <c r="V147" s="383">
        <f t="shared" si="58"/>
        <v>57.036870031150976</v>
      </c>
      <c r="W147" s="402">
        <f t="shared" si="59"/>
        <v>40.167022872206665</v>
      </c>
      <c r="X147" s="157">
        <f t="shared" si="60"/>
        <v>45059</v>
      </c>
      <c r="Y147" s="385">
        <f t="shared" si="61"/>
        <v>39.040855367147813</v>
      </c>
      <c r="Z147" s="385">
        <f t="shared" si="62"/>
        <v>40.610787068433829</v>
      </c>
      <c r="AA147" s="386">
        <f t="shared" si="63"/>
        <v>44.405788161414812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8.5461856440565101E-2</v>
      </c>
      <c r="AD147" s="231">
        <f>(INDEX(Models!$BJ147:$BT147,,AH147)*(1-AF147)+INDEX(Models!$BJ147:$BT147,,AH147+1)*AF147-ERP_i)*AE147*Ramure*Pc/MaxiM</f>
        <v>1.7510286006743668E-4</v>
      </c>
      <c r="AE147" s="305">
        <f t="shared" si="65"/>
        <v>0.5</v>
      </c>
      <c r="AF147" s="177">
        <f t="shared" si="66"/>
        <v>0.61708187076700716</v>
      </c>
      <c r="AG147" s="811">
        <f t="shared" si="74"/>
        <v>0</v>
      </c>
      <c r="AH147" s="176">
        <f t="shared" si="67"/>
        <v>6</v>
      </c>
      <c r="AI147" s="225">
        <f t="shared" si="68"/>
        <v>0.61708187076700716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411">
        <f>'2022'!Wh/'2022'!Env_an*'2023'!Env_an</f>
        <v>48.596459842401238</v>
      </c>
      <c r="C148" s="841"/>
      <c r="D148" s="393">
        <f t="shared" si="50"/>
        <v>50.551753821164858</v>
      </c>
      <c r="E148" s="385">
        <f t="shared" si="72"/>
        <v>53.73092560495455</v>
      </c>
      <c r="F148" s="385">
        <f t="shared" si="51"/>
        <v>53.738776888575202</v>
      </c>
      <c r="G148" s="110">
        <f t="shared" si="73"/>
        <v>0.85107006819520048</v>
      </c>
      <c r="H148" s="414" t="b">
        <f>Wh_hp&gt;='2022'!Maxi_hp</f>
        <v>0</v>
      </c>
      <c r="I148" s="390">
        <f>IF(H148,Wh_hp,'2022'!Maxi_hp)</f>
        <v>63.832836981428784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3.8679053266495789E-2</v>
      </c>
      <c r="M148" s="845"/>
      <c r="N148" s="845"/>
      <c r="O148" s="48">
        <f>IF(t&lt;Tnet,'2022'!Resal+('2022'!Salim-'2022'!Resal)*(1-EXP(('2022'!Tnet-t)/('2022'!Tau_j))),Resal+(Salim-Resal)*(1-EXP((Tnet-t)/(Tau_j))))*Salcycl</f>
        <v>5.9168379252646591E-2</v>
      </c>
      <c r="P148" s="169">
        <f>(INDEX(Models!$BJ148:$BT148,,T148)*(1-R148)+INDEX(Models!$BJ148:$BT148,,T148+1)*R148-ERP_i)*Q148*Ramure*Pc/MaxiM</f>
        <v>1.8557421250214211E-4</v>
      </c>
      <c r="Q148" s="305">
        <f t="shared" si="53"/>
        <v>0.5</v>
      </c>
      <c r="R148" s="177">
        <f t="shared" si="54"/>
        <v>0.62088016233260945</v>
      </c>
      <c r="S148" s="811">
        <f t="shared" si="55"/>
        <v>0</v>
      </c>
      <c r="T148" s="176">
        <f t="shared" si="56"/>
        <v>6</v>
      </c>
      <c r="U148" s="251">
        <f t="shared" si="57"/>
        <v>0.62088016233260945</v>
      </c>
      <c r="V148" s="383">
        <f t="shared" si="58"/>
        <v>57.098167489149375</v>
      </c>
      <c r="W148" s="402">
        <f t="shared" si="59"/>
        <v>48.596459842401238</v>
      </c>
      <c r="X148" s="157">
        <f t="shared" si="60"/>
        <v>45060</v>
      </c>
      <c r="Y148" s="385">
        <f t="shared" si="61"/>
        <v>47.234179350617552</v>
      </c>
      <c r="Z148" s="385">
        <f t="shared" si="62"/>
        <v>49.134661541617</v>
      </c>
      <c r="AA148" s="386">
        <f t="shared" si="63"/>
        <v>53.73092560495455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8.5542246138297057E-2</v>
      </c>
      <c r="AD148" s="231">
        <f>(INDEX(Models!$BJ148:$BT148,,AH148)*(1-AF148)+INDEX(Models!$BJ148:$BT148,,AH148+1)*AF148-ERP_i)*AE148*Ramure*Pc/MaxiM</f>
        <v>1.8557421250214211E-4</v>
      </c>
      <c r="AE148" s="305">
        <f t="shared" si="65"/>
        <v>0.5</v>
      </c>
      <c r="AF148" s="177">
        <f t="shared" si="66"/>
        <v>0.62088016233260945</v>
      </c>
      <c r="AG148" s="811">
        <f t="shared" si="74"/>
        <v>0</v>
      </c>
      <c r="AH148" s="176">
        <f t="shared" si="67"/>
        <v>6</v>
      </c>
      <c r="AI148" s="225">
        <f t="shared" si="68"/>
        <v>0.62088016233260945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411">
        <f>'2022'!Wh/'2022'!Env_an*'2023'!Env_an</f>
        <v>51.41280126186728</v>
      </c>
      <c r="C149" s="841"/>
      <c r="D149" s="393">
        <f t="shared" si="50"/>
        <v>53.482583036942493</v>
      </c>
      <c r="E149" s="385">
        <f t="shared" si="72"/>
        <v>56.851370362796459</v>
      </c>
      <c r="F149" s="385">
        <f t="shared" si="51"/>
        <v>56.860917664722876</v>
      </c>
      <c r="G149" s="110">
        <f t="shared" si="73"/>
        <v>0.89950549364817944</v>
      </c>
      <c r="H149" s="414" t="b">
        <f>Wh_hp&gt;='2022'!Maxi_hp</f>
        <v>0</v>
      </c>
      <c r="I149" s="390">
        <f>IF(H149,Wh_hp,'2022'!Maxi_hp)</f>
        <v>64.337487236928794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3.8700108662394483E-2</v>
      </c>
      <c r="M149" s="845"/>
      <c r="N149" s="845"/>
      <c r="O149" s="48">
        <f>IF(t&lt;Tnet,'2022'!Resal+('2022'!Salim-'2022'!Resal)*(1-EXP(('2022'!Tnet-t)/('2022'!Tau_j))),Resal+(Salim-Resal)*(1-EXP((Tnet-t)/(Tau_j))))*Salcycl</f>
        <v>5.9256044390066223E-2</v>
      </c>
      <c r="P149" s="169">
        <f>(INDEX(Models!$BJ149:$BT149,,T149)*(1-R149)+INDEX(Models!$BJ149:$BT149,,T149+1)*R149-ERP_i)*Q149*Ramure*Pc/MaxiM</f>
        <v>1.9604389711942472E-4</v>
      </c>
      <c r="Q149" s="305">
        <f t="shared" si="53"/>
        <v>0.5</v>
      </c>
      <c r="R149" s="177">
        <f t="shared" si="54"/>
        <v>0.62475795404764911</v>
      </c>
      <c r="S149" s="811">
        <f t="shared" si="55"/>
        <v>0</v>
      </c>
      <c r="T149" s="176">
        <f t="shared" si="56"/>
        <v>6</v>
      </c>
      <c r="U149" s="251">
        <f t="shared" si="57"/>
        <v>0.62475795404764911</v>
      </c>
      <c r="V149" s="383">
        <f t="shared" si="58"/>
        <v>57.155131064038414</v>
      </c>
      <c r="W149" s="402">
        <f t="shared" si="59"/>
        <v>51.41280126186728</v>
      </c>
      <c r="X149" s="157">
        <f t="shared" si="60"/>
        <v>45061</v>
      </c>
      <c r="Y149" s="385">
        <f t="shared" si="61"/>
        <v>49.971797084737382</v>
      </c>
      <c r="Z149" s="385">
        <f t="shared" si="62"/>
        <v>51.983566767290355</v>
      </c>
      <c r="AA149" s="386">
        <f t="shared" si="63"/>
        <v>56.851370362796459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8.5623329120164834E-2</v>
      </c>
      <c r="AD149" s="231">
        <f>(INDEX(Models!$BJ149:$BT149,,AH149)*(1-AF149)+INDEX(Models!$BJ149:$BT149,,AH149+1)*AF149-ERP_i)*AE149*Ramure*Pc/MaxiM</f>
        <v>1.9604389711942472E-4</v>
      </c>
      <c r="AE149" s="305">
        <f t="shared" si="65"/>
        <v>0.5</v>
      </c>
      <c r="AF149" s="177">
        <f t="shared" si="66"/>
        <v>0.62475795404764911</v>
      </c>
      <c r="AG149" s="811">
        <f t="shared" si="74"/>
        <v>0</v>
      </c>
      <c r="AH149" s="176">
        <f t="shared" si="67"/>
        <v>6</v>
      </c>
      <c r="AI149" s="225">
        <f t="shared" si="68"/>
        <v>0.62475795404764911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411">
        <f>'2022'!Wh/'2022'!Env_an*'2023'!Env_an</f>
        <v>49.006947763796589</v>
      </c>
      <c r="C150" s="841"/>
      <c r="D150" s="393">
        <f t="shared" si="50"/>
        <v>50.980991058933149</v>
      </c>
      <c r="E150" s="385">
        <f t="shared" si="72"/>
        <v>54.197283650001133</v>
      </c>
      <c r="F150" s="385">
        <f t="shared" si="51"/>
        <v>54.206130931219263</v>
      </c>
      <c r="G150" s="110">
        <f t="shared" si="73"/>
        <v>0.85661895061318727</v>
      </c>
      <c r="H150" s="414" t="b">
        <f>Wh_hp&gt;='2022'!Maxi_hp</f>
        <v>0</v>
      </c>
      <c r="I150" s="390">
        <f>IF(H150,Wh_hp,'2022'!Maxi_hp)</f>
        <v>55.759884023555387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3.8721163597125852E-2</v>
      </c>
      <c r="M150" s="845"/>
      <c r="N150" s="845"/>
      <c r="O150" s="48">
        <f>IF(t&lt;Tnet,'2022'!Resal+('2022'!Salim-'2022'!Resal)*(1-EXP(('2022'!Tnet-t)/('2022'!Tau_j))),Resal+(Salim-Resal)*(1-EXP((Tnet-t)/(Tau_j))))*Salcycl</f>
        <v>5.9344165878097759E-2</v>
      </c>
      <c r="P150" s="169">
        <f>(INDEX(Models!$BJ150:$BT150,,T150)*(1-R150)+INDEX(Models!$BJ150:$BT150,,T150+1)*R150-ERP_i)*Q150*Ramure*Pc/MaxiM</f>
        <v>2.0524537417630179E-4</v>
      </c>
      <c r="Q150" s="305">
        <f t="shared" si="53"/>
        <v>0.5</v>
      </c>
      <c r="R150" s="177">
        <f t="shared" si="54"/>
        <v>0.62871439150877528</v>
      </c>
      <c r="S150" s="811">
        <f t="shared" si="55"/>
        <v>0</v>
      </c>
      <c r="T150" s="176">
        <f t="shared" si="56"/>
        <v>6</v>
      </c>
      <c r="U150" s="251">
        <f t="shared" si="57"/>
        <v>0.62871439150877528</v>
      </c>
      <c r="V150" s="383">
        <f t="shared" si="58"/>
        <v>57.207335463501082</v>
      </c>
      <c r="W150" s="402">
        <f t="shared" si="59"/>
        <v>49.006947763796589</v>
      </c>
      <c r="X150" s="157">
        <f t="shared" si="60"/>
        <v>45062</v>
      </c>
      <c r="Y150" s="385">
        <f t="shared" si="61"/>
        <v>47.633579802820037</v>
      </c>
      <c r="Z150" s="385">
        <f t="shared" si="62"/>
        <v>49.552302619150453</v>
      </c>
      <c r="AA150" s="386">
        <f t="shared" si="63"/>
        <v>54.197283650001133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8.5705052320469599E-2</v>
      </c>
      <c r="AD150" s="231">
        <f>(INDEX(Models!$BJ150:$BT150,,AH150)*(1-AF150)+INDEX(Models!$BJ150:$BT150,,AH150+1)*AF150-ERP_i)*AE150*Ramure*Pc/MaxiM</f>
        <v>2.0524537417630179E-4</v>
      </c>
      <c r="AE150" s="305">
        <f t="shared" si="65"/>
        <v>0.5</v>
      </c>
      <c r="AF150" s="177">
        <f t="shared" si="66"/>
        <v>0.62871439150877528</v>
      </c>
      <c r="AG150" s="811">
        <f t="shared" si="74"/>
        <v>0</v>
      </c>
      <c r="AH150" s="176">
        <f t="shared" si="67"/>
        <v>6</v>
      </c>
      <c r="AI150" s="225">
        <f t="shared" si="68"/>
        <v>0.62871439150877528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411">
        <f>'2022'!Wh/'2022'!Env_an*'2023'!Env_an</f>
        <v>52.186364585779444</v>
      </c>
      <c r="C151" s="841"/>
      <c r="D151" s="393">
        <f t="shared" si="50"/>
        <v>54.289666691736322</v>
      </c>
      <c r="E151" s="385">
        <f t="shared" si="72"/>
        <v>57.720130211345349</v>
      </c>
      <c r="F151" s="385">
        <f t="shared" si="51"/>
        <v>57.730858891274544</v>
      </c>
      <c r="G151" s="110">
        <f t="shared" si="73"/>
        <v>0.91144802614489884</v>
      </c>
      <c r="H151" s="414" t="b">
        <f>Wh_hp&gt;='2022'!Maxi_hp</f>
        <v>0</v>
      </c>
      <c r="I151" s="390">
        <f>IF(H151,Wh_hp,'2022'!Maxi_hp)</f>
        <v>59.143869986274652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3.8742218070700218E-2</v>
      </c>
      <c r="M151" s="845"/>
      <c r="N151" s="845"/>
      <c r="O151" s="48">
        <f>IF(t&lt;Tnet,'2022'!Resal+('2022'!Salim-'2022'!Resal)*(1-EXP(('2022'!Tnet-t)/('2022'!Tau_j))),Resal+(Salim-Resal)*(1-EXP((Tnet-t)/(Tau_j))))*Salcycl</f>
        <v>5.9432705835004151E-2</v>
      </c>
      <c r="P151" s="169">
        <f>(INDEX(Models!$BJ151:$BT151,,T151)*(1-R151)+INDEX(Models!$BJ151:$BT151,,T151+1)*R151-ERP_i)*Q151*Ramure*Pc/MaxiM</f>
        <v>2.1274499008849221E-4</v>
      </c>
      <c r="Q151" s="305">
        <f t="shared" si="53"/>
        <v>0.5</v>
      </c>
      <c r="R151" s="177">
        <f t="shared" si="54"/>
        <v>0.63274844986874901</v>
      </c>
      <c r="S151" s="811">
        <f t="shared" si="55"/>
        <v>0</v>
      </c>
      <c r="T151" s="176">
        <f t="shared" si="56"/>
        <v>6</v>
      </c>
      <c r="U151" s="251">
        <f t="shared" si="57"/>
        <v>0.63274844986874901</v>
      </c>
      <c r="V151" s="383">
        <f t="shared" si="58"/>
        <v>57.255003832974928</v>
      </c>
      <c r="W151" s="402">
        <f t="shared" si="59"/>
        <v>52.186364585779444</v>
      </c>
      <c r="X151" s="157">
        <f t="shared" si="60"/>
        <v>45063</v>
      </c>
      <c r="Y151" s="385">
        <f t="shared" si="61"/>
        <v>50.724104942513982</v>
      </c>
      <c r="Z151" s="385">
        <f t="shared" si="62"/>
        <v>52.768472615855217</v>
      </c>
      <c r="AA151" s="386">
        <f t="shared" si="63"/>
        <v>57.720130211345349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8.5787360100529439E-2</v>
      </c>
      <c r="AD151" s="231">
        <f>(INDEX(Models!$BJ151:$BT151,,AH151)*(1-AF151)+INDEX(Models!$BJ151:$BT151,,AH151+1)*AF151-ERP_i)*AE151*Ramure*Pc/MaxiM</f>
        <v>2.1274499008849221E-4</v>
      </c>
      <c r="AE151" s="305">
        <f t="shared" si="65"/>
        <v>0.5</v>
      </c>
      <c r="AF151" s="177">
        <f t="shared" si="66"/>
        <v>0.63274844986874901</v>
      </c>
      <c r="AG151" s="811">
        <f t="shared" si="74"/>
        <v>0</v>
      </c>
      <c r="AH151" s="176">
        <f t="shared" si="67"/>
        <v>6</v>
      </c>
      <c r="AI151" s="225">
        <f t="shared" si="68"/>
        <v>0.63274844986874901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411">
        <f>'2022'!Wh/'2022'!Env_an*'2023'!Env_an</f>
        <v>50.201570946984631</v>
      </c>
      <c r="C152" s="841"/>
      <c r="D152" s="393">
        <f t="shared" si="50"/>
        <v>52.226022465639758</v>
      </c>
      <c r="E152" s="385">
        <f t="shared" si="72"/>
        <v>55.531337913355728</v>
      </c>
      <c r="F152" s="385">
        <f t="shared" si="51"/>
        <v>55.541326509461172</v>
      </c>
      <c r="G152" s="110">
        <f t="shared" si="73"/>
        <v>0.87610971772058133</v>
      </c>
      <c r="H152" s="414" t="b">
        <f>Wh_hp&gt;='2022'!Maxi_hp</f>
        <v>0</v>
      </c>
      <c r="I152" s="390">
        <f>IF(H152,Wh_hp,'2022'!Maxi_hp)</f>
        <v>63.972000087795209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3.8763272083127576E-2</v>
      </c>
      <c r="M152" s="845"/>
      <c r="N152" s="845"/>
      <c r="O152" s="48">
        <f>IF(t&lt;Tnet,'2022'!Resal+('2022'!Salim-'2022'!Resal)*(1-EXP(('2022'!Tnet-t)/('2022'!Tau_j))),Resal+(Salim-Resal)*(1-EXP((Tnet-t)/(Tau_j))))*Salcycl</f>
        <v>5.9521624580217702E-2</v>
      </c>
      <c r="P152" s="169">
        <f>(INDEX(Models!$BJ152:$BT152,,T152)*(1-R152)+INDEX(Models!$BJ152:$BT152,,T152+1)*R152-ERP_i)*Q152*Ramure*Pc/MaxiM</f>
        <v>2.1850204462769886E-4</v>
      </c>
      <c r="Q152" s="305">
        <f t="shared" si="53"/>
        <v>0.5</v>
      </c>
      <c r="R152" s="177">
        <f t="shared" si="54"/>
        <v>0.63685893009270611</v>
      </c>
      <c r="S152" s="811">
        <f t="shared" si="55"/>
        <v>0</v>
      </c>
      <c r="T152" s="176">
        <f t="shared" si="56"/>
        <v>6</v>
      </c>
      <c r="U152" s="251">
        <f t="shared" si="57"/>
        <v>0.63685893009270611</v>
      </c>
      <c r="V152" s="383">
        <f t="shared" si="58"/>
        <v>57.298336871354877</v>
      </c>
      <c r="W152" s="402">
        <f t="shared" si="59"/>
        <v>50.201570946984631</v>
      </c>
      <c r="X152" s="157">
        <f t="shared" si="60"/>
        <v>45064</v>
      </c>
      <c r="Y152" s="385">
        <f t="shared" si="61"/>
        <v>48.795116924134042</v>
      </c>
      <c r="Z152" s="385">
        <f t="shared" si="62"/>
        <v>50.762851134370969</v>
      </c>
      <c r="AA152" s="386">
        <f t="shared" si="63"/>
        <v>55.531337913355728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8.5870194347287571E-2</v>
      </c>
      <c r="AD152" s="231">
        <f>(INDEX(Models!$BJ152:$BT152,,AH152)*(1-AF152)+INDEX(Models!$BJ152:$BT152,,AH152+1)*AF152-ERP_i)*AE152*Ramure*Pc/MaxiM</f>
        <v>2.1850204462769886E-4</v>
      </c>
      <c r="AE152" s="305">
        <f t="shared" si="65"/>
        <v>0.5</v>
      </c>
      <c r="AF152" s="177">
        <f t="shared" si="66"/>
        <v>0.63685893009270611</v>
      </c>
      <c r="AG152" s="811">
        <f t="shared" si="74"/>
        <v>0</v>
      </c>
      <c r="AH152" s="176">
        <f t="shared" si="67"/>
        <v>6</v>
      </c>
      <c r="AI152" s="225">
        <f t="shared" si="68"/>
        <v>0.63685893009270611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411">
        <f>'2022'!Wh/'2022'!Env_an*'2023'!Env_an</f>
        <v>52.985179774998031</v>
      </c>
      <c r="C153" s="841"/>
      <c r="D153" s="393">
        <f t="shared" si="50"/>
        <v>55.12309171401008</v>
      </c>
      <c r="E153" s="385">
        <f t="shared" si="72"/>
        <v>58.617321897129962</v>
      </c>
      <c r="F153" s="385">
        <f t="shared" si="51"/>
        <v>58.628950877067304</v>
      </c>
      <c r="G153" s="110">
        <f t="shared" si="73"/>
        <v>0.92407008591550099</v>
      </c>
      <c r="H153" s="414" t="b">
        <f>Wh_hp&gt;='2022'!Maxi_hp</f>
        <v>0</v>
      </c>
      <c r="I153" s="390">
        <f>IF(H153,Wh_hp,'2022'!Maxi_hp)</f>
        <v>63.050548226982031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3.8784325634417915E-2</v>
      </c>
      <c r="M153" s="845"/>
      <c r="N153" s="845"/>
      <c r="O153" s="48">
        <f>IF(t&lt;Tnet,'2022'!Resal+('2022'!Salim-'2022'!Resal)*(1-EXP(('2022'!Tnet-t)/('2022'!Tau_j))),Resal+(Salim-Resal)*(1-EXP((Tnet-t)/(Tau_j))))*Salcycl</f>
        <v>5.9610880709494933E-2</v>
      </c>
      <c r="P153" s="169">
        <f>(INDEX(Models!$BJ153:$BT153,,T153)*(1-R153)+INDEX(Models!$BJ153:$BT153,,T153+1)*R153-ERP_i)*Q153*Ramure*Pc/MaxiM</f>
        <v>2.2247368869653851E-4</v>
      </c>
      <c r="Q153" s="305">
        <f t="shared" si="53"/>
        <v>0.5</v>
      </c>
      <c r="R153" s="177">
        <f t="shared" si="54"/>
        <v>0.64104445586000258</v>
      </c>
      <c r="S153" s="811">
        <f t="shared" si="55"/>
        <v>0</v>
      </c>
      <c r="T153" s="176">
        <f t="shared" si="56"/>
        <v>6</v>
      </c>
      <c r="U153" s="251">
        <f t="shared" si="57"/>
        <v>0.64104445586000258</v>
      </c>
      <c r="V153" s="383">
        <f t="shared" si="58"/>
        <v>57.337535394231153</v>
      </c>
      <c r="W153" s="402">
        <f t="shared" si="59"/>
        <v>52.985179774998031</v>
      </c>
      <c r="X153" s="157">
        <f t="shared" si="60"/>
        <v>45065</v>
      </c>
      <c r="Y153" s="385">
        <f t="shared" si="61"/>
        <v>51.500934473290258</v>
      </c>
      <c r="Z153" s="385">
        <f t="shared" si="62"/>
        <v>53.578958236695122</v>
      </c>
      <c r="AA153" s="386">
        <f t="shared" si="63"/>
        <v>58.617321897129962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8.5953494587775237E-2</v>
      </c>
      <c r="AD153" s="231">
        <f>(INDEX(Models!$BJ153:$BT153,,AH153)*(1-AF153)+INDEX(Models!$BJ153:$BT153,,AH153+1)*AF153-ERP_i)*AE153*Ramure*Pc/MaxiM</f>
        <v>2.2247368869653851E-4</v>
      </c>
      <c r="AE153" s="305">
        <f t="shared" si="65"/>
        <v>0.5</v>
      </c>
      <c r="AF153" s="177">
        <f t="shared" si="66"/>
        <v>0.64104445586000258</v>
      </c>
      <c r="AG153" s="811">
        <f t="shared" si="74"/>
        <v>0</v>
      </c>
      <c r="AH153" s="176">
        <f t="shared" si="67"/>
        <v>6</v>
      </c>
      <c r="AI153" s="225">
        <f t="shared" si="68"/>
        <v>0.64104445586000258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411">
        <f>'2022'!Wh/'2022'!Env_an*'2023'!Env_an</f>
        <v>48.002406252723333</v>
      </c>
      <c r="C154" s="841"/>
      <c r="D154" s="393">
        <f t="shared" si="50"/>
        <v>49.940360869922969</v>
      </c>
      <c r="E154" s="385">
        <f t="shared" si="72"/>
        <v>53.111117484256788</v>
      </c>
      <c r="F154" s="385">
        <f t="shared" si="51"/>
        <v>53.120265202137269</v>
      </c>
      <c r="G154" s="110">
        <f t="shared" si="73"/>
        <v>0.83663146781794606</v>
      </c>
      <c r="H154" s="414" t="b">
        <f>Wh_hp&gt;='2022'!Maxi_hp</f>
        <v>0</v>
      </c>
      <c r="I154" s="390">
        <f>IF(H154,Wh_hp,'2022'!Maxi_hp)</f>
        <v>62.803447200223168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3.8805378724581563E-2</v>
      </c>
      <c r="M154" s="845"/>
      <c r="N154" s="845"/>
      <c r="O154" s="48">
        <f>IF(t&lt;Tnet,'2022'!Resal+('2022'!Salim-'2022'!Resal)*(1-EXP(('2022'!Tnet-t)/('2022'!Tau_j))),Resal+(Salim-Resal)*(1-EXP((Tnet-t)/(Tau_j))))*Salcycl</f>
        <v>5.9700431181356581E-2</v>
      </c>
      <c r="P154" s="169">
        <f>(INDEX(Models!$BJ154:$BT154,,T154)*(1-R154)+INDEX(Models!$BJ154:$BT154,,T154+1)*R154-ERP_i)*Q154*Ramure*Pc/MaxiM</f>
        <v>2.246150960090091E-4</v>
      </c>
      <c r="Q154" s="305">
        <f t="shared" si="53"/>
        <v>0.5</v>
      </c>
      <c r="R154" s="177">
        <f t="shared" si="54"/>
        <v>0.64530347116766329</v>
      </c>
      <c r="S154" s="811">
        <f t="shared" si="55"/>
        <v>0</v>
      </c>
      <c r="T154" s="176">
        <f t="shared" si="56"/>
        <v>6</v>
      </c>
      <c r="U154" s="251">
        <f t="shared" si="57"/>
        <v>0.64530347116766329</v>
      </c>
      <c r="V154" s="383">
        <f t="shared" si="58"/>
        <v>57.372800311672037</v>
      </c>
      <c r="W154" s="402">
        <f t="shared" si="59"/>
        <v>48.002406252723333</v>
      </c>
      <c r="X154" s="157">
        <f t="shared" si="60"/>
        <v>45066</v>
      </c>
      <c r="Y154" s="385">
        <f t="shared" si="61"/>
        <v>46.65791112811754</v>
      </c>
      <c r="Z154" s="385">
        <f t="shared" si="62"/>
        <v>48.541585746918464</v>
      </c>
      <c r="AA154" s="386">
        <f t="shared" si="63"/>
        <v>53.111117484256788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8.6037198119448738E-2</v>
      </c>
      <c r="AD154" s="231">
        <f>(INDEX(Models!$BJ154:$BT154,,AH154)*(1-AF154)+INDEX(Models!$BJ154:$BT154,,AH154+1)*AF154-ERP_i)*AE154*Ramure*Pc/MaxiM</f>
        <v>2.246150960090091E-4</v>
      </c>
      <c r="AE154" s="305">
        <f t="shared" si="65"/>
        <v>0.5</v>
      </c>
      <c r="AF154" s="177">
        <f t="shared" si="66"/>
        <v>0.64530347116766329</v>
      </c>
      <c r="AG154" s="811">
        <f t="shared" si="74"/>
        <v>0</v>
      </c>
      <c r="AH154" s="176">
        <f t="shared" si="67"/>
        <v>6</v>
      </c>
      <c r="AI154" s="225">
        <f t="shared" si="68"/>
        <v>0.64530347116766329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411">
        <f>'2022'!Wh/'2022'!Env_an*'2023'!Env_an</f>
        <v>47.921665744423017</v>
      </c>
      <c r="C155" s="841"/>
      <c r="D155" s="393">
        <f t="shared" si="50"/>
        <v>49.857452709515812</v>
      </c>
      <c r="E155" s="385">
        <f t="shared" si="72"/>
        <v>53.028009679731646</v>
      </c>
      <c r="F155" s="385">
        <f t="shared" si="51"/>
        <v>53.0371220412257</v>
      </c>
      <c r="G155" s="110">
        <f t="shared" si="73"/>
        <v>0.83476490336414133</v>
      </c>
      <c r="H155" s="414" t="b">
        <f>Wh_hp&gt;='2022'!Maxi_hp</f>
        <v>0</v>
      </c>
      <c r="I155" s="390">
        <f>IF(H155,Wh_hp,'2022'!Maxi_hp)</f>
        <v>61.178268574854386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3.882643135362851E-2</v>
      </c>
      <c r="M155" s="845"/>
      <c r="N155" s="845"/>
      <c r="O155" s="48">
        <f>IF(t&lt;Tnet,'2022'!Resal+('2022'!Salim-'2022'!Resal)*(1-EXP(('2022'!Tnet-t)/('2022'!Tau_j))),Resal+(Salim-Resal)*(1-EXP((Tnet-t)/(Tau_j))))*Salcycl</f>
        <v>5.979023141477028E-2</v>
      </c>
      <c r="P155" s="169">
        <f>(INDEX(Models!$BJ155:$BT155,,T155)*(1-R155)+INDEX(Models!$BJ155:$BT155,,T155+1)*R155-ERP_i)*Q155*Ramure*Pc/MaxiM</f>
        <v>2.2487964659172169E-4</v>
      </c>
      <c r="Q155" s="305">
        <f t="shared" si="53"/>
        <v>0.5</v>
      </c>
      <c r="R155" s="177">
        <f t="shared" si="54"/>
        <v>0.64963423868860615</v>
      </c>
      <c r="S155" s="811">
        <f t="shared" si="55"/>
        <v>0</v>
      </c>
      <c r="T155" s="176">
        <f t="shared" si="56"/>
        <v>6</v>
      </c>
      <c r="U155" s="251">
        <f t="shared" si="57"/>
        <v>0.64963423868860615</v>
      </c>
      <c r="V155" s="383">
        <f t="shared" si="58"/>
        <v>57.404332617265197</v>
      </c>
      <c r="W155" s="402">
        <f t="shared" si="59"/>
        <v>47.921665744423017</v>
      </c>
      <c r="X155" s="157">
        <f t="shared" si="60"/>
        <v>45067</v>
      </c>
      <c r="Y155" s="385">
        <f t="shared" si="61"/>
        <v>46.57959736587069</v>
      </c>
      <c r="Z155" s="385">
        <f t="shared" si="62"/>
        <v>48.461171723093791</v>
      </c>
      <c r="AA155" s="386">
        <f t="shared" si="63"/>
        <v>53.028009679731646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8.6121240156282738E-2</v>
      </c>
      <c r="AD155" s="231">
        <f>(INDEX(Models!$BJ155:$BT155,,AH155)*(1-AF155)+INDEX(Models!$BJ155:$BT155,,AH155+1)*AF155-ERP_i)*AE155*Ramure*Pc/MaxiM</f>
        <v>2.2487964659172169E-4</v>
      </c>
      <c r="AE155" s="305">
        <f t="shared" si="65"/>
        <v>0.5</v>
      </c>
      <c r="AF155" s="177">
        <f t="shared" si="66"/>
        <v>0.64963423868860615</v>
      </c>
      <c r="AG155" s="811">
        <f t="shared" si="74"/>
        <v>0</v>
      </c>
      <c r="AH155" s="176">
        <f t="shared" si="67"/>
        <v>6</v>
      </c>
      <c r="AI155" s="225">
        <f t="shared" si="68"/>
        <v>0.64963423868860615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411">
        <f>'2022'!Wh/'2022'!Env_an*'2023'!Env_an</f>
        <v>36.268893226185327</v>
      </c>
      <c r="C156" s="841"/>
      <c r="D156" s="393">
        <f t="shared" si="50"/>
        <v>37.734795055285296</v>
      </c>
      <c r="E156" s="385">
        <f t="shared" si="72"/>
        <v>40.138285010163266</v>
      </c>
      <c r="F156" s="385">
        <f t="shared" si="51"/>
        <v>40.1425311354405</v>
      </c>
      <c r="G156" s="110">
        <f t="shared" si="73"/>
        <v>0.63143235047540502</v>
      </c>
      <c r="H156" s="414" t="b">
        <f>Wh_hp&gt;='2022'!Maxi_hp</f>
        <v>0</v>
      </c>
      <c r="I156" s="390">
        <f>IF(H156,Wh_hp,'2022'!Maxi_hp)</f>
        <v>62.875998222350205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3.8847483521568749E-2</v>
      </c>
      <c r="M156" s="845"/>
      <c r="N156" s="845"/>
      <c r="O156" s="48">
        <f>IF(t&lt;Tnet,'2022'!Resal+('2022'!Salim-'2022'!Resal)*(1-EXP(('2022'!Tnet-t)/('2022'!Tau_j))),Resal+(Salim-Resal)*(1-EXP((Tnet-t)/(Tau_j))))*Salcycl</f>
        <v>5.9880235397934703E-2</v>
      </c>
      <c r="P156" s="169">
        <f>(INDEX(Models!$BJ156:$BT156,,T156)*(1-R156)+INDEX(Models!$BJ156:$BT156,,T156+1)*R156-ERP_i)*Q156*Ramure*Pc/MaxiM</f>
        <v>2.2335408446197958E-4</v>
      </c>
      <c r="Q156" s="305">
        <f t="shared" si="53"/>
        <v>0.5</v>
      </c>
      <c r="R156" s="177">
        <f t="shared" si="54"/>
        <v>0.6540348389341617</v>
      </c>
      <c r="S156" s="811">
        <f t="shared" si="55"/>
        <v>0</v>
      </c>
      <c r="T156" s="176">
        <f t="shared" si="56"/>
        <v>6</v>
      </c>
      <c r="U156" s="251">
        <f t="shared" si="57"/>
        <v>0.6540348389341617</v>
      </c>
      <c r="V156" s="383">
        <f t="shared" si="58"/>
        <v>57.432325614633825</v>
      </c>
      <c r="W156" s="402">
        <f t="shared" si="59"/>
        <v>36.268893226185327</v>
      </c>
      <c r="X156" s="157">
        <f t="shared" si="60"/>
        <v>45068</v>
      </c>
      <c r="Y156" s="385">
        <f t="shared" si="61"/>
        <v>35.253288401008447</v>
      </c>
      <c r="Z156" s="385">
        <f t="shared" si="62"/>
        <v>36.678141914639149</v>
      </c>
      <c r="AA156" s="386">
        <f t="shared" si="63"/>
        <v>40.138285010163266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8.6205553990360687E-2</v>
      </c>
      <c r="AD156" s="231">
        <f>(INDEX(Models!$BJ156:$BT156,,AH156)*(1-AF156)+INDEX(Models!$BJ156:$BT156,,AH156+1)*AF156-ERP_i)*AE156*Ramure*Pc/MaxiM</f>
        <v>2.2335408446197958E-4</v>
      </c>
      <c r="AE156" s="305">
        <f t="shared" si="65"/>
        <v>0.5</v>
      </c>
      <c r="AF156" s="177">
        <f t="shared" si="66"/>
        <v>0.6540348389341617</v>
      </c>
      <c r="AG156" s="811">
        <f t="shared" si="74"/>
        <v>0</v>
      </c>
      <c r="AH156" s="176">
        <f t="shared" si="67"/>
        <v>6</v>
      </c>
      <c r="AI156" s="225">
        <f t="shared" si="68"/>
        <v>0.6540348389341617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411">
        <f>'2022'!Wh/'2022'!Env_an*'2023'!Env_an</f>
        <v>18.909124870908581</v>
      </c>
      <c r="C157" s="841"/>
      <c r="D157" s="393">
        <f t="shared" si="50"/>
        <v>19.673817332993387</v>
      </c>
      <c r="E157" s="385">
        <f t="shared" si="72"/>
        <v>20.928933775338251</v>
      </c>
      <c r="F157" s="385">
        <f t="shared" si="51"/>
        <v>20.929125714240275</v>
      </c>
      <c r="G157" s="110">
        <f t="shared" si="73"/>
        <v>0.32903118685361887</v>
      </c>
      <c r="H157" s="414" t="b">
        <f>Wh_hp&gt;='2022'!Maxi_hp</f>
        <v>0</v>
      </c>
      <c r="I157" s="390">
        <f>IF(H157,Wh_hp,'2022'!Maxi_hp)</f>
        <v>58.76828057791041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3.8868535228412493E-2</v>
      </c>
      <c r="M157" s="845"/>
      <c r="N157" s="845"/>
      <c r="O157" s="48">
        <f>IF(t&lt;Tnet,'2022'!Resal+('2022'!Salim-'2022'!Resal)*(1-EXP(('2022'!Tnet-t)/('2022'!Tau_j))),Resal+(Salim-Resal)*(1-EXP((Tnet-t)/(Tau_j))))*Salcycl</f>
        <v>5.9970395807924015E-2</v>
      </c>
      <c r="P157" s="169">
        <f>(INDEX(Models!$BJ157:$BT157,,T157)*(1-R157)+INDEX(Models!$BJ157:$BT157,,T157+1)*R157-ERP_i)*Q157*Ramure*Pc/MaxiM</f>
        <v>2.2059999303075903E-4</v>
      </c>
      <c r="Q157" s="305">
        <f t="shared" si="53"/>
        <v>0.5</v>
      </c>
      <c r="R157" s="177">
        <f t="shared" si="54"/>
        <v>0.65850317026593408</v>
      </c>
      <c r="S157" s="811">
        <f t="shared" si="55"/>
        <v>0</v>
      </c>
      <c r="T157" s="176">
        <f t="shared" si="56"/>
        <v>6</v>
      </c>
      <c r="U157" s="251">
        <f t="shared" si="57"/>
        <v>0.65850317026593408</v>
      </c>
      <c r="V157" s="383">
        <f t="shared" si="58"/>
        <v>57.456945269803093</v>
      </c>
      <c r="W157" s="402">
        <f t="shared" si="59"/>
        <v>18.909124870908581</v>
      </c>
      <c r="X157" s="157">
        <f t="shared" si="60"/>
        <v>45069</v>
      </c>
      <c r="Y157" s="385">
        <f t="shared" si="61"/>
        <v>18.379692578843901</v>
      </c>
      <c r="Z157" s="385">
        <f t="shared" si="62"/>
        <v>19.12297459038221</v>
      </c>
      <c r="AA157" s="386">
        <f t="shared" si="63"/>
        <v>20.928933775338251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8.6290071168561272E-2</v>
      </c>
      <c r="AD157" s="231">
        <f>(INDEX(Models!$BJ157:$BT157,,AH157)*(1-AF157)+INDEX(Models!$BJ157:$BT157,,AH157+1)*AF157-ERP_i)*AE157*Ramure*Pc/MaxiM</f>
        <v>2.2059999303075903E-4</v>
      </c>
      <c r="AE157" s="305">
        <f t="shared" si="65"/>
        <v>0.5</v>
      </c>
      <c r="AF157" s="177">
        <f t="shared" si="66"/>
        <v>0.65850317026593408</v>
      </c>
      <c r="AG157" s="811">
        <f t="shared" si="74"/>
        <v>0</v>
      </c>
      <c r="AH157" s="176">
        <f t="shared" si="67"/>
        <v>6</v>
      </c>
      <c r="AI157" s="225">
        <f t="shared" si="68"/>
        <v>0.65850317026593408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411">
        <f>'2022'!Wh/'2022'!Env_an*'2023'!Env_an</f>
        <v>16.395285659227419</v>
      </c>
      <c r="C158" s="841"/>
      <c r="D158" s="393">
        <f t="shared" si="50"/>
        <v>17.058691101973782</v>
      </c>
      <c r="E158" s="385">
        <f t="shared" si="72"/>
        <v>18.148714976782319</v>
      </c>
      <c r="F158" s="385">
        <f t="shared" si="51"/>
        <v>18.148714976782319</v>
      </c>
      <c r="G158" s="110">
        <f t="shared" si="73"/>
        <v>0.28518081715109755</v>
      </c>
      <c r="H158" s="414" t="b">
        <f>Wh_hp&gt;='2022'!Maxi_hp</f>
        <v>0</v>
      </c>
      <c r="I158" s="390">
        <f>IF(H158,Wh_hp,'2022'!Maxi_hp)</f>
        <v>30.554357090064354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3.8889586474169957E-2</v>
      </c>
      <c r="M158" s="845"/>
      <c r="N158" s="845"/>
      <c r="O158" s="48">
        <f>IF(t&lt;Tnet,'2022'!Resal+('2022'!Salim-'2022'!Resal)*(1-EXP(('2022'!Tnet-t)/('2022'!Tau_j))),Resal+(Salim-Resal)*(1-EXP((Tnet-t)/(Tau_j))))*Salcycl</f>
        <v>6.0060664140849956E-2</v>
      </c>
      <c r="P158" s="169">
        <f>(INDEX(Models!$BJ158:$BT158,,T158)*(1-R158)+INDEX(Models!$BJ158:$BT158,,T158+1)*R158-ERP_i)*Q158*Ramure*Pc/MaxiM</f>
        <v>2.1658063893777461E-4</v>
      </c>
      <c r="Q158" s="305">
        <f t="shared" si="53"/>
        <v>0.5</v>
      </c>
      <c r="R158" s="177">
        <f t="shared" si="54"/>
        <v>0.66303694979676364</v>
      </c>
      <c r="S158" s="811">
        <f t="shared" si="55"/>
        <v>0</v>
      </c>
      <c r="T158" s="176">
        <f t="shared" si="56"/>
        <v>6</v>
      </c>
      <c r="U158" s="251">
        <f t="shared" si="57"/>
        <v>0.66303694979676364</v>
      </c>
      <c r="V158" s="383">
        <f t="shared" si="58"/>
        <v>57.478391855153887</v>
      </c>
      <c r="W158" s="402">
        <f t="shared" si="59"/>
        <v>16.395285659227419</v>
      </c>
      <c r="X158" s="157">
        <f t="shared" si="60"/>
        <v>45070</v>
      </c>
      <c r="Y158" s="385">
        <f t="shared" si="61"/>
        <v>15.936291686094473</v>
      </c>
      <c r="Z158" s="385">
        <f t="shared" si="62"/>
        <v>16.581124771744221</v>
      </c>
      <c r="AA158" s="386">
        <f t="shared" si="63"/>
        <v>18.148714976782319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8.6374721683795175E-2</v>
      </c>
      <c r="AD158" s="231">
        <f>(INDEX(Models!$BJ158:$BT158,,AH158)*(1-AF158)+INDEX(Models!$BJ158:$BT158,,AH158+1)*AF158-ERP_i)*AE158*Ramure*Pc/MaxiM</f>
        <v>2.1658063893777461E-4</v>
      </c>
      <c r="AE158" s="305">
        <f t="shared" si="65"/>
        <v>0.5</v>
      </c>
      <c r="AF158" s="177">
        <f t="shared" si="66"/>
        <v>0.66303694979676364</v>
      </c>
      <c r="AG158" s="811">
        <f t="shared" si="74"/>
        <v>0</v>
      </c>
      <c r="AH158" s="176">
        <f t="shared" si="67"/>
        <v>6</v>
      </c>
      <c r="AI158" s="225">
        <f t="shared" si="68"/>
        <v>0.66303694979676364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411">
        <f>'2022'!Wh/'2022'!Env_an*'2023'!Env_an</f>
        <v>38.454315319857614</v>
      </c>
      <c r="C159" s="841"/>
      <c r="D159" s="393">
        <f t="shared" si="50"/>
        <v>40.011175662355704</v>
      </c>
      <c r="E159" s="385">
        <f t="shared" si="72"/>
        <v>42.571918758132362</v>
      </c>
      <c r="F159" s="385">
        <f t="shared" si="51"/>
        <v>42.57665779492114</v>
      </c>
      <c r="G159" s="110">
        <f t="shared" si="73"/>
        <v>0.66874030179903921</v>
      </c>
      <c r="H159" s="414" t="b">
        <f>Wh_hp&gt;='2022'!Maxi_hp</f>
        <v>0</v>
      </c>
      <c r="I159" s="390">
        <f>IF(H159,Wh_hp,'2022'!Maxi_hp)</f>
        <v>59.691953884707942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3.8910637258851022E-2</v>
      </c>
      <c r="M159" s="845"/>
      <c r="N159" s="845"/>
      <c r="O159" s="48">
        <f>IF(t&lt;Tnet,'2022'!Resal+('2022'!Salim-'2022'!Resal)*(1-EXP(('2022'!Tnet-t)/('2022'!Tau_j))),Resal+(Salim-Resal)*(1-EXP((Tnet-t)/(Tau_j))))*Salcycl</f>
        <v>6.0150990852097526E-2</v>
      </c>
      <c r="P159" s="169">
        <f>(INDEX(Models!$BJ159:$BT159,,T159)*(1-R159)+INDEX(Models!$BJ159:$BT159,,T159+1)*R159-ERP_i)*Q159*Ramure*Pc/MaxiM</f>
        <v>2.1125996830312856E-4</v>
      </c>
      <c r="Q159" s="305">
        <f t="shared" si="53"/>
        <v>0.5</v>
      </c>
      <c r="R159" s="177">
        <f t="shared" si="54"/>
        <v>0.66763371521448067</v>
      </c>
      <c r="S159" s="811">
        <f t="shared" si="55"/>
        <v>0</v>
      </c>
      <c r="T159" s="176">
        <f t="shared" si="56"/>
        <v>6</v>
      </c>
      <c r="U159" s="251">
        <f t="shared" si="57"/>
        <v>0.66763371521448067</v>
      </c>
      <c r="V159" s="383">
        <f t="shared" si="58"/>
        <v>57.496865564279801</v>
      </c>
      <c r="W159" s="402">
        <f t="shared" si="59"/>
        <v>38.454315319857614</v>
      </c>
      <c r="X159" s="157">
        <f t="shared" si="60"/>
        <v>45071</v>
      </c>
      <c r="Y159" s="385">
        <f t="shared" si="61"/>
        <v>37.377894357061706</v>
      </c>
      <c r="Z159" s="385">
        <f t="shared" si="62"/>
        <v>38.891174750342884</v>
      </c>
      <c r="AA159" s="386">
        <f t="shared" si="63"/>
        <v>42.571918758132362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8.6459434180103878E-2</v>
      </c>
      <c r="AD159" s="231">
        <f>(INDEX(Models!$BJ159:$BT159,,AH159)*(1-AF159)+INDEX(Models!$BJ159:$BT159,,AH159+1)*AF159-ERP_i)*AE159*Ramure*Pc/MaxiM</f>
        <v>2.1125996830312856E-4</v>
      </c>
      <c r="AE159" s="305">
        <f t="shared" si="65"/>
        <v>0.5</v>
      </c>
      <c r="AF159" s="177">
        <f t="shared" si="66"/>
        <v>0.66763371521448067</v>
      </c>
      <c r="AG159" s="811">
        <f t="shared" si="74"/>
        <v>0</v>
      </c>
      <c r="AH159" s="176">
        <f t="shared" si="67"/>
        <v>6</v>
      </c>
      <c r="AI159" s="225">
        <f t="shared" si="68"/>
        <v>0.66763371521448067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411">
        <f>'2022'!Wh/'2022'!Env_an*'2023'!Env_an</f>
        <v>23.316676248028894</v>
      </c>
      <c r="C160" s="841"/>
      <c r="D160" s="393">
        <f t="shared" si="50"/>
        <v>24.261205937980204</v>
      </c>
      <c r="E160" s="385">
        <f t="shared" si="72"/>
        <v>25.816421381846396</v>
      </c>
      <c r="F160" s="385">
        <f t="shared" si="51"/>
        <v>25.817216877973106</v>
      </c>
      <c r="G160" s="110">
        <f t="shared" si="73"/>
        <v>0.40534834967311906</v>
      </c>
      <c r="H160" s="414" t="b">
        <f>Wh_hp&gt;='2022'!Maxi_hp</f>
        <v>0</v>
      </c>
      <c r="I160" s="390">
        <f>IF(H160,Wh_hp,'2022'!Maxi_hp)</f>
        <v>61.991403277896538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3.893168758246579E-2</v>
      </c>
      <c r="M160" s="845"/>
      <c r="N160" s="845"/>
      <c r="O160" s="48">
        <f>IF(t&lt;Tnet,'2022'!Resal+('2022'!Salim-'2022'!Resal)*(1-EXP(('2022'!Tnet-t)/('2022'!Tau_j))),Resal+(Salim-Resal)*(1-EXP((Tnet-t)/(Tau_j))))*Salcycl</f>
        <v>6.0241325506090113E-2</v>
      </c>
      <c r="P160" s="169">
        <f>(INDEX(Models!$BJ160:$BT160,,T160)*(1-R160)+INDEX(Models!$BJ160:$BT160,,T160+1)*R160-ERP_i)*Q160*Ramure*Pc/MaxiM</f>
        <v>2.0460139038782556E-4</v>
      </c>
      <c r="Q160" s="305">
        <f t="shared" si="53"/>
        <v>0.5</v>
      </c>
      <c r="R160" s="177">
        <f t="shared" si="54"/>
        <v>0.672290827555313</v>
      </c>
      <c r="S160" s="811">
        <f t="shared" si="55"/>
        <v>0</v>
      </c>
      <c r="T160" s="176">
        <f t="shared" si="56"/>
        <v>6</v>
      </c>
      <c r="U160" s="251">
        <f t="shared" si="57"/>
        <v>0.672290827555313</v>
      </c>
      <c r="V160" s="383">
        <f t="shared" si="58"/>
        <v>57.512566575150224</v>
      </c>
      <c r="W160" s="402">
        <f t="shared" si="59"/>
        <v>23.316676248028894</v>
      </c>
      <c r="X160" s="157">
        <f t="shared" si="60"/>
        <v>45072</v>
      </c>
      <c r="Y160" s="385">
        <f t="shared" si="61"/>
        <v>22.664068150516716</v>
      </c>
      <c r="Z160" s="385">
        <f t="shared" si="62"/>
        <v>23.582161494333356</v>
      </c>
      <c r="AA160" s="386">
        <f t="shared" si="63"/>
        <v>25.816421381846396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8.6544136170791222E-2</v>
      </c>
      <c r="AD160" s="231">
        <f>(INDEX(Models!$BJ160:$BT160,,AH160)*(1-AF160)+INDEX(Models!$BJ160:$BT160,,AH160+1)*AF160-ERP_i)*AE160*Ramure*Pc/MaxiM</f>
        <v>2.0460139038782556E-4</v>
      </c>
      <c r="AE160" s="305">
        <f t="shared" si="65"/>
        <v>0.5</v>
      </c>
      <c r="AF160" s="177">
        <f t="shared" si="66"/>
        <v>0.672290827555313</v>
      </c>
      <c r="AG160" s="811">
        <f t="shared" si="74"/>
        <v>0</v>
      </c>
      <c r="AH160" s="176">
        <f t="shared" si="67"/>
        <v>6</v>
      </c>
      <c r="AI160" s="225">
        <f t="shared" si="68"/>
        <v>0.672290827555313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411">
        <f>'2022'!Wh/'2022'!Env_an*'2023'!Env_an</f>
        <v>43.371477498144607</v>
      </c>
      <c r="C161" s="841"/>
      <c r="D161" s="393">
        <f t="shared" si="50"/>
        <v>45.129390809396952</v>
      </c>
      <c r="E161" s="385">
        <f t="shared" si="72"/>
        <v>48.026933355139164</v>
      </c>
      <c r="F161" s="385">
        <f t="shared" si="51"/>
        <v>48.033056330497907</v>
      </c>
      <c r="G161" s="110">
        <f t="shared" si="73"/>
        <v>0.7538975478055272</v>
      </c>
      <c r="H161" s="414" t="b">
        <f>Wh_hp&gt;='2022'!Maxi_hp</f>
        <v>0</v>
      </c>
      <c r="I161" s="390">
        <f>IF(H161,Wh_hp,'2022'!Maxi_hp)</f>
        <v>62.096546618278133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3.8952737445024588E-2</v>
      </c>
      <c r="M161" s="845"/>
      <c r="N161" s="845"/>
      <c r="O161" s="48">
        <f>IF(t&lt;Tnet,'2022'!Resal+('2022'!Salim-'2022'!Resal)*(1-EXP(('2022'!Tnet-t)/('2022'!Tau_j))),Resal+(Salim-Resal)*(1-EXP((Tnet-t)/(Tau_j))))*Salcycl</f>
        <v>6.0331616934941358E-2</v>
      </c>
      <c r="P161" s="169">
        <f>(INDEX(Models!$BJ161:$BT161,,T161)*(1-R161)+INDEX(Models!$BJ161:$BT161,,T161+1)*R161-ERP_i)*Q161*Ramure*Pc/MaxiM</f>
        <v>1.9656792209612529E-4</v>
      </c>
      <c r="Q161" s="305">
        <f t="shared" si="53"/>
        <v>0.5</v>
      </c>
      <c r="R161" s="177">
        <f t="shared" si="54"/>
        <v>0.67700547494628882</v>
      </c>
      <c r="S161" s="811">
        <f t="shared" si="55"/>
        <v>0</v>
      </c>
      <c r="T161" s="176">
        <f t="shared" si="56"/>
        <v>6</v>
      </c>
      <c r="U161" s="251">
        <f t="shared" si="57"/>
        <v>0.67700547494628882</v>
      </c>
      <c r="V161" s="383">
        <f t="shared" si="58"/>
        <v>57.525695030387212</v>
      </c>
      <c r="W161" s="402">
        <f t="shared" si="59"/>
        <v>43.371477498144607</v>
      </c>
      <c r="X161" s="157">
        <f t="shared" si="60"/>
        <v>45073</v>
      </c>
      <c r="Y161" s="385">
        <f t="shared" si="61"/>
        <v>42.157702808383299</v>
      </c>
      <c r="Z161" s="385">
        <f t="shared" si="62"/>
        <v>43.866419947241383</v>
      </c>
      <c r="AA161" s="386">
        <f t="shared" si="63"/>
        <v>48.026933355139164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8.6628754268620808E-2</v>
      </c>
      <c r="AD161" s="231">
        <f>(INDEX(Models!$BJ161:$BT161,,AH161)*(1-AF161)+INDEX(Models!$BJ161:$BT161,,AH161+1)*AF161-ERP_i)*AE161*Ramure*Pc/MaxiM</f>
        <v>1.9656792209612529E-4</v>
      </c>
      <c r="AE161" s="305">
        <f t="shared" si="65"/>
        <v>0.5</v>
      </c>
      <c r="AF161" s="177">
        <f t="shared" si="66"/>
        <v>0.67700547494628882</v>
      </c>
      <c r="AG161" s="811">
        <f t="shared" si="74"/>
        <v>0</v>
      </c>
      <c r="AH161" s="176">
        <f t="shared" si="67"/>
        <v>6</v>
      </c>
      <c r="AI161" s="225">
        <f t="shared" si="68"/>
        <v>0.67700547494628882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411">
        <f>'2022'!Wh/'2022'!Env_an*'2023'!Env_an</f>
        <v>52.258562240771873</v>
      </c>
      <c r="C162" s="841"/>
      <c r="D162" s="393">
        <f t="shared" si="50"/>
        <v>54.377873907615147</v>
      </c>
      <c r="E162" s="385">
        <f t="shared" si="72"/>
        <v>57.874772619715252</v>
      </c>
      <c r="F162" s="385">
        <f t="shared" si="51"/>
        <v>57.884184644112729</v>
      </c>
      <c r="G162" s="110">
        <f t="shared" si="73"/>
        <v>0.90824650557673614</v>
      </c>
      <c r="H162" s="414" t="b">
        <f>Wh_hp&gt;='2022'!Maxi_hp</f>
        <v>0</v>
      </c>
      <c r="I162" s="390">
        <f>IF(H162,Wh_hp,'2022'!Maxi_hp)</f>
        <v>61.293375317013549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3.8973786846537295E-2</v>
      </c>
      <c r="M162" s="845"/>
      <c r="N162" s="845"/>
      <c r="O162" s="48">
        <f>IF(t&lt;Tnet,'2022'!Resal+('2022'!Salim-'2022'!Resal)*(1-EXP(('2022'!Tnet-t)/('2022'!Tau_j))),Resal+(Salim-Resal)*(1-EXP((Tnet-t)/(Tau_j))))*Salcycl</f>
        <v>6.0421813405256847E-2</v>
      </c>
      <c r="P162" s="169">
        <f>(INDEX(Models!$BJ162:$BT162,,T162)*(1-R162)+INDEX(Models!$BJ162:$BT162,,T162+1)*R162-ERP_i)*Q162*Ramure*Pc/MaxiM</f>
        <v>1.8712233871414139E-4</v>
      </c>
      <c r="Q162" s="305">
        <f t="shared" si="53"/>
        <v>0.5</v>
      </c>
      <c r="R162" s="177">
        <f t="shared" si="54"/>
        <v>0.68177467732783126</v>
      </c>
      <c r="S162" s="811">
        <f t="shared" si="55"/>
        <v>0</v>
      </c>
      <c r="T162" s="176">
        <f t="shared" si="56"/>
        <v>6</v>
      </c>
      <c r="U162" s="251">
        <f t="shared" si="57"/>
        <v>0.68177467732783126</v>
      </c>
      <c r="V162" s="383">
        <f t="shared" si="58"/>
        <v>57.536451018393642</v>
      </c>
      <c r="W162" s="402">
        <f t="shared" si="59"/>
        <v>52.258562240771873</v>
      </c>
      <c r="X162" s="157">
        <f t="shared" si="60"/>
        <v>45074</v>
      </c>
      <c r="Y162" s="385">
        <f t="shared" si="61"/>
        <v>50.796256244002819</v>
      </c>
      <c r="Z162" s="385">
        <f t="shared" si="62"/>
        <v>52.856265051629087</v>
      </c>
      <c r="AA162" s="386">
        <f t="shared" si="63"/>
        <v>57.874772619715252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8.6713214426981405E-2</v>
      </c>
      <c r="AD162" s="231">
        <f>(INDEX(Models!$BJ162:$BT162,,AH162)*(1-AF162)+INDEX(Models!$BJ162:$BT162,,AH162+1)*AF162-ERP_i)*AE162*Ramure*Pc/MaxiM</f>
        <v>1.8712233871414139E-4</v>
      </c>
      <c r="AE162" s="305">
        <f t="shared" si="65"/>
        <v>0.5</v>
      </c>
      <c r="AF162" s="177">
        <f t="shared" si="66"/>
        <v>0.68177467732783126</v>
      </c>
      <c r="AG162" s="811">
        <f t="shared" si="74"/>
        <v>0</v>
      </c>
      <c r="AH162" s="176">
        <f t="shared" si="67"/>
        <v>6</v>
      </c>
      <c r="AI162" s="225">
        <f t="shared" si="68"/>
        <v>0.68177467732783126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411">
        <f>'2022'!Wh/'2022'!Env_an*'2023'!Env_an</f>
        <v>56.324591359475534</v>
      </c>
      <c r="C163" s="841"/>
      <c r="D163" s="393">
        <f t="shared" si="50"/>
        <v>58.610081877762326</v>
      </c>
      <c r="E163" s="385">
        <f t="shared" si="72"/>
        <v>62.385121808943332</v>
      </c>
      <c r="F163" s="385">
        <f t="shared" si="51"/>
        <v>62.395784625461808</v>
      </c>
      <c r="G163" s="110">
        <f t="shared" si="73"/>
        <v>0.97879095716230435</v>
      </c>
      <c r="H163" s="414" t="b">
        <f>Wh_hp&gt;='2022'!Maxi_hp</f>
        <v>0</v>
      </c>
      <c r="I163" s="390">
        <f>IF(H163,Wh_hp,'2022'!Maxi_hp)</f>
        <v>62.395871267870142</v>
      </c>
      <c r="J163" s="85">
        <f>IF(H163,An,'2022'!An_max)</f>
        <v>2022</v>
      </c>
      <c r="K163" s="197">
        <f t="shared" si="52"/>
        <v>45075</v>
      </c>
      <c r="L163" s="147">
        <f>IF(t&lt;Tvie,1-EXP((T0-t)*PertePVj)+'2022'!Pspv,1-EXP((T0-t)*PertePVj)+Pspv)</f>
        <v>3.8994835787014126E-2</v>
      </c>
      <c r="M163" s="845"/>
      <c r="N163" s="845"/>
      <c r="O163" s="48">
        <f>IF(t&lt;Tnet,'2022'!Resal+('2022'!Salim-'2022'!Resal)*(1-EXP(('2022'!Tnet-t)/('2022'!Tau_j))),Resal+(Salim-Resal)*(1-EXP((Tnet-t)/(Tau_j))))*Salcycl</f>
        <v>6.0511862792256885E-2</v>
      </c>
      <c r="P163" s="169">
        <f>(INDEX(Models!$BJ163:$BT163,,T163)*(1-R163)+INDEX(Models!$BJ163:$BT163,,T163+1)*R163-ERP_i)*Q163*Ramure*Pc/MaxiM</f>
        <v>1.7622817114664076E-4</v>
      </c>
      <c r="Q163" s="305">
        <f t="shared" si="53"/>
        <v>0.5</v>
      </c>
      <c r="R163" s="177">
        <f t="shared" si="54"/>
        <v>0.68659529215905324</v>
      </c>
      <c r="S163" s="811">
        <f t="shared" si="55"/>
        <v>0</v>
      </c>
      <c r="T163" s="176">
        <f t="shared" si="56"/>
        <v>6</v>
      </c>
      <c r="U163" s="251">
        <f t="shared" si="57"/>
        <v>0.68659529215905324</v>
      </c>
      <c r="V163" s="383">
        <f t="shared" si="58"/>
        <v>57.544759916733639</v>
      </c>
      <c r="W163" s="402">
        <f t="shared" si="59"/>
        <v>56.324591359475534</v>
      </c>
      <c r="X163" s="157">
        <f t="shared" si="60"/>
        <v>45075</v>
      </c>
      <c r="Y163" s="385">
        <f t="shared" si="61"/>
        <v>54.748707152283707</v>
      </c>
      <c r="Z163" s="385">
        <f t="shared" si="62"/>
        <v>56.970252805165828</v>
      </c>
      <c r="AA163" s="386">
        <f t="shared" si="63"/>
        <v>62.385121808943332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8.6797442190795618E-2</v>
      </c>
      <c r="AD163" s="231">
        <f>(INDEX(Models!$BJ163:$BT163,,AH163)*(1-AF163)+INDEX(Models!$BJ163:$BT163,,AH163+1)*AF163-ERP_i)*AE163*Ramure*Pc/MaxiM</f>
        <v>1.7622817114664076E-4</v>
      </c>
      <c r="AE163" s="305">
        <f t="shared" si="65"/>
        <v>0.5</v>
      </c>
      <c r="AF163" s="177">
        <f t="shared" si="66"/>
        <v>0.68659529215905324</v>
      </c>
      <c r="AG163" s="811">
        <f t="shared" si="74"/>
        <v>0</v>
      </c>
      <c r="AH163" s="176">
        <f t="shared" si="67"/>
        <v>6</v>
      </c>
      <c r="AI163" s="225">
        <f t="shared" si="68"/>
        <v>0.68659529215905324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411">
        <f>'2022'!Wh/'2022'!Env_an*'2023'!Env_an</f>
        <v>47.964464007307093</v>
      </c>
      <c r="C164" s="841"/>
      <c r="D164" s="393">
        <f t="shared" si="50"/>
        <v>49.911817710634104</v>
      </c>
      <c r="E164" s="385">
        <f t="shared" si="72"/>
        <v>53.131689070132218</v>
      </c>
      <c r="F164" s="385">
        <f t="shared" si="51"/>
        <v>53.138353301182065</v>
      </c>
      <c r="G164" s="110">
        <f t="shared" si="73"/>
        <v>0.83340270632972169</v>
      </c>
      <c r="H164" s="414" t="b">
        <f>Wh_hp&gt;='2022'!Maxi_hp</f>
        <v>0</v>
      </c>
      <c r="I164" s="390">
        <f>IF(H164,Wh_hp,'2022'!Maxi_hp)</f>
        <v>57.223999787813696</v>
      </c>
      <c r="J164" s="85">
        <f>IF(H164,An,'2022'!An_max)</f>
        <v>2019</v>
      </c>
      <c r="K164" s="197">
        <f t="shared" si="52"/>
        <v>45076</v>
      </c>
      <c r="L164" s="147">
        <f>IF(t&lt;Tvie,1-EXP((T0-t)*PertePVj)+'2022'!Pspv,1-EXP((T0-t)*PertePVj)+Pspv)</f>
        <v>3.9015884266465184E-2</v>
      </c>
      <c r="M164" s="845"/>
      <c r="N164" s="845"/>
      <c r="O164" s="48">
        <f>IF(t&lt;Tnet,'2022'!Resal+('2022'!Salim-'2022'!Resal)*(1-EXP(('2022'!Tnet-t)/('2022'!Tau_j))),Resal+(Salim-Resal)*(1-EXP((Tnet-t)/(Tau_j))))*Salcycl</f>
        <v>6.0601712760307305E-2</v>
      </c>
      <c r="P164" s="169">
        <f>(INDEX(Models!$BJ164:$BT164,,T164)*(1-R164)+INDEX(Models!$BJ164:$BT164,,T164+1)*R164-ERP_i)*Q164*Ramure*Pc/MaxiM</f>
        <v>1.645728549459904E-4</v>
      </c>
      <c r="Q164" s="305">
        <f t="shared" si="53"/>
        <v>0.5</v>
      </c>
      <c r="R164" s="177">
        <f t="shared" si="54"/>
        <v>0.69146402109914074</v>
      </c>
      <c r="S164" s="811">
        <f t="shared" si="55"/>
        <v>0</v>
      </c>
      <c r="T164" s="176">
        <f t="shared" si="56"/>
        <v>6</v>
      </c>
      <c r="U164" s="251">
        <f t="shared" si="57"/>
        <v>0.69146402109914074</v>
      </c>
      <c r="V164" s="383">
        <f t="shared" si="58"/>
        <v>57.550311653218259</v>
      </c>
      <c r="W164" s="402">
        <f t="shared" si="59"/>
        <v>47.964464007307093</v>
      </c>
      <c r="X164" s="157">
        <f t="shared" si="60"/>
        <v>45076</v>
      </c>
      <c r="Y164" s="385">
        <f t="shared" si="61"/>
        <v>46.622658989084613</v>
      </c>
      <c r="Z164" s="385">
        <f t="shared" si="62"/>
        <v>48.515535507573688</v>
      </c>
      <c r="AA164" s="386">
        <f t="shared" si="63"/>
        <v>53.131689070132218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8.6881362955831251E-2</v>
      </c>
      <c r="AD164" s="231">
        <f>(INDEX(Models!$BJ164:$BT164,,AH164)*(1-AF164)+INDEX(Models!$BJ164:$BT164,,AH164+1)*AF164-ERP_i)*AE164*Ramure*Pc/MaxiM</f>
        <v>1.645728549459904E-4</v>
      </c>
      <c r="AE164" s="305">
        <f t="shared" si="65"/>
        <v>0.5</v>
      </c>
      <c r="AF164" s="177">
        <f t="shared" si="66"/>
        <v>0.69146402109914074</v>
      </c>
      <c r="AG164" s="811">
        <f t="shared" si="74"/>
        <v>0</v>
      </c>
      <c r="AH164" s="176">
        <f t="shared" si="67"/>
        <v>6</v>
      </c>
      <c r="AI164" s="225">
        <f t="shared" si="68"/>
        <v>0.69146402109914074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411">
        <f>'2022'!Wh/'2022'!Env_an*'2023'!Env_an</f>
        <v>50.937506588943393</v>
      </c>
      <c r="C165" s="841"/>
      <c r="D165" s="393">
        <f t="shared" si="50"/>
        <v>53.006726585297898</v>
      </c>
      <c r="E165" s="385">
        <f t="shared" si="72"/>
        <v>56.431636588866112</v>
      </c>
      <c r="F165" s="385">
        <f t="shared" si="51"/>
        <v>56.438881060270376</v>
      </c>
      <c r="G165" s="110">
        <f t="shared" si="73"/>
        <v>0.88503261997201743</v>
      </c>
      <c r="H165" s="414" t="b">
        <f>Wh_hp&gt;='2022'!Maxi_hp</f>
        <v>0</v>
      </c>
      <c r="I165" s="390">
        <f>IF(H165,Wh_hp,'2022'!Maxi_hp)</f>
        <v>63.126585406149495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3.9036932284900461E-2</v>
      </c>
      <c r="M165" s="845"/>
      <c r="N165" s="845"/>
      <c r="O165" s="48">
        <f>IF(t&lt;Tnet,'2022'!Resal+('2022'!Salim-'2022'!Resal)*(1-EXP(('2022'!Tnet-t)/('2022'!Tau_j))),Resal+(Salim-Resal)*(1-EXP((Tnet-t)/(Tau_j))))*Salcycl</f>
        <v>6.0691310948864888E-2</v>
      </c>
      <c r="P165" s="169">
        <f>(INDEX(Models!$BJ165:$BT165,,T165)*(1-R165)+INDEX(Models!$BJ165:$BT165,,T165+1)*R165-ERP_i)*Q165*Ramure*Pc/MaxiM</f>
        <v>1.5357824300004592E-4</v>
      </c>
      <c r="Q165" s="305">
        <f t="shared" si="53"/>
        <v>0.5</v>
      </c>
      <c r="R165" s="177">
        <f t="shared" si="54"/>
        <v>0.69637741764876748</v>
      </c>
      <c r="S165" s="811">
        <f t="shared" si="55"/>
        <v>0</v>
      </c>
      <c r="T165" s="176">
        <f t="shared" si="56"/>
        <v>6</v>
      </c>
      <c r="U165" s="251">
        <f t="shared" si="57"/>
        <v>0.69637741764876748</v>
      </c>
      <c r="V165" s="383">
        <f t="shared" si="58"/>
        <v>57.5529316084817</v>
      </c>
      <c r="W165" s="402">
        <f t="shared" si="59"/>
        <v>50.937506588943393</v>
      </c>
      <c r="X165" s="157">
        <f t="shared" si="60"/>
        <v>45077</v>
      </c>
      <c r="Y165" s="385">
        <f t="shared" si="61"/>
        <v>49.51272340014642</v>
      </c>
      <c r="Z165" s="385">
        <f t="shared" si="62"/>
        <v>51.524064829956245</v>
      </c>
      <c r="AA165" s="386">
        <f t="shared" si="63"/>
        <v>56.431636588866112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8.6964902234965905E-2</v>
      </c>
      <c r="AD165" s="231">
        <f>(INDEX(Models!$BJ165:$BT165,,AH165)*(1-AF165)+INDEX(Models!$BJ165:$BT165,,AH165+1)*AF165-ERP_i)*AE165*Ramure*Pc/MaxiM</f>
        <v>1.5357824300004592E-4</v>
      </c>
      <c r="AE165" s="305">
        <f t="shared" si="65"/>
        <v>0.5</v>
      </c>
      <c r="AF165" s="177">
        <f t="shared" si="66"/>
        <v>0.69637741764876748</v>
      </c>
      <c r="AG165" s="811">
        <f t="shared" si="74"/>
        <v>0</v>
      </c>
      <c r="AH165" s="176">
        <f t="shared" si="67"/>
        <v>6</v>
      </c>
      <c r="AI165" s="225">
        <f t="shared" si="68"/>
        <v>0.69637741764876748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411">
        <f>'2022'!Wh/'2022'!Env_an*'2023'!Env_an</f>
        <v>53.215485865759398</v>
      </c>
      <c r="C166" s="841"/>
      <c r="D166" s="393">
        <f t="shared" si="50"/>
        <v>55.3784565035754</v>
      </c>
      <c r="E166" s="385">
        <f t="shared" si="72"/>
        <v>58.962215652683398</v>
      </c>
      <c r="F166" s="385">
        <f t="shared" si="51"/>
        <v>58.969754288459519</v>
      </c>
      <c r="G166" s="110">
        <f t="shared" si="73"/>
        <v>0.92462779149747432</v>
      </c>
      <c r="H166" s="414" t="b">
        <f>Wh_hp&gt;='2022'!Maxi_hp</f>
        <v>0</v>
      </c>
      <c r="I166" s="390">
        <f>IF(H166,Wh_hp,'2022'!Maxi_hp)</f>
        <v>64.729267905613341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3.9057979842330059E-2</v>
      </c>
      <c r="M166" s="845"/>
      <c r="N166" s="845"/>
      <c r="O166" s="48">
        <f>IF(t&lt;Tnet,'2022'!Resal+('2022'!Salim-'2022'!Resal)*(1-EXP(('2022'!Tnet-t)/('2022'!Tau_j))),Resal+(Salim-Resal)*(1-EXP((Tnet-t)/(Tau_j))))*Salcycl</f>
        <v>6.078060516277263E-2</v>
      </c>
      <c r="P166" s="169">
        <f>(INDEX(Models!$BJ166:$BT166,,T166)*(1-R166)+INDEX(Models!$BJ166:$BT166,,T166+1)*R166-ERP_i)*Q166*Ramure*Pc/MaxiM</f>
        <v>1.432617537798902E-4</v>
      </c>
      <c r="Q166" s="305">
        <f t="shared" si="53"/>
        <v>0.5</v>
      </c>
      <c r="R166" s="177">
        <f t="shared" si="54"/>
        <v>0.70133189572584986</v>
      </c>
      <c r="S166" s="811">
        <f t="shared" si="55"/>
        <v>0</v>
      </c>
      <c r="T166" s="176">
        <f t="shared" si="56"/>
        <v>6</v>
      </c>
      <c r="U166" s="251">
        <f t="shared" si="57"/>
        <v>0.70133189572584986</v>
      </c>
      <c r="V166" s="383">
        <f t="shared" si="58"/>
        <v>57.552526024045683</v>
      </c>
      <c r="W166" s="402">
        <f t="shared" si="59"/>
        <v>53.215485865759398</v>
      </c>
      <c r="X166" s="157">
        <f t="shared" si="60"/>
        <v>45078</v>
      </c>
      <c r="Y166" s="385">
        <f t="shared" si="61"/>
        <v>51.727195230339085</v>
      </c>
      <c r="Z166" s="385">
        <f t="shared" si="62"/>
        <v>53.829673534155333</v>
      </c>
      <c r="AA166" s="386">
        <f t="shared" si="63"/>
        <v>58.962215652683398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8.7047985929858518E-2</v>
      </c>
      <c r="AD166" s="231">
        <f>(INDEX(Models!$BJ166:$BT166,,AH166)*(1-AF166)+INDEX(Models!$BJ166:$BT166,,AH166+1)*AF166-ERP_i)*AE166*Ramure*Pc/MaxiM</f>
        <v>1.432617537798902E-4</v>
      </c>
      <c r="AE166" s="305">
        <f t="shared" si="65"/>
        <v>0.5</v>
      </c>
      <c r="AF166" s="177">
        <f t="shared" si="66"/>
        <v>0.70133189572584986</v>
      </c>
      <c r="AG166" s="811">
        <f t="shared" si="74"/>
        <v>0</v>
      </c>
      <c r="AH166" s="176">
        <f t="shared" si="67"/>
        <v>6</v>
      </c>
      <c r="AI166" s="225">
        <f t="shared" si="68"/>
        <v>0.70133189572584986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411">
        <f>'2022'!Wh/'2022'!Env_an*'2023'!Env_an</f>
        <v>42.74908029745221</v>
      </c>
      <c r="C167" s="841"/>
      <c r="D167" s="393">
        <f t="shared" si="50"/>
        <v>44.487612921242771</v>
      </c>
      <c r="E167" s="385">
        <f t="shared" si="72"/>
        <v>47.371068222148139</v>
      </c>
      <c r="F167" s="385">
        <f t="shared" si="51"/>
        <v>47.375073460406455</v>
      </c>
      <c r="G167" s="110">
        <f t="shared" si="73"/>
        <v>0.74279275699768743</v>
      </c>
      <c r="H167" s="414" t="b">
        <f>Wh_hp&gt;='2022'!Maxi_hp</f>
        <v>0</v>
      </c>
      <c r="I167" s="390">
        <f>IF(H167,Wh_hp,'2022'!Maxi_hp)</f>
        <v>63.739845271535835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3.9079026938764194E-2</v>
      </c>
      <c r="M167" s="845"/>
      <c r="N167" s="845"/>
      <c r="O167" s="48">
        <f>IF(t&lt;Tnet,'2022'!Resal+('2022'!Salim-'2022'!Resal)*(1-EXP(('2022'!Tnet-t)/('2022'!Tau_j))),Resal+(Salim-Resal)*(1-EXP((Tnet-t)/(Tau_j))))*Salcycl</f>
        <v>6.0869543565775439E-2</v>
      </c>
      <c r="P167" s="169">
        <f>(INDEX(Models!$BJ167:$BT167,,T167)*(1-R167)+INDEX(Models!$BJ167:$BT167,,T167+1)*R167-ERP_i)*Q167*Ramure*Pc/MaxiM</f>
        <v>1.3364115434458807E-4</v>
      </c>
      <c r="Q167" s="305">
        <f t="shared" si="53"/>
        <v>0.5</v>
      </c>
      <c r="R167" s="177">
        <f t="shared" si="54"/>
        <v>0.70632373914026236</v>
      </c>
      <c r="S167" s="811">
        <f t="shared" si="55"/>
        <v>0</v>
      </c>
      <c r="T167" s="176">
        <f t="shared" si="56"/>
        <v>6</v>
      </c>
      <c r="U167" s="251">
        <f t="shared" si="57"/>
        <v>0.70632373914026236</v>
      </c>
      <c r="V167" s="383">
        <f t="shared" si="58"/>
        <v>57.549001148753213</v>
      </c>
      <c r="W167" s="402">
        <f t="shared" si="59"/>
        <v>42.74908029745221</v>
      </c>
      <c r="X167" s="157">
        <f t="shared" si="60"/>
        <v>45079</v>
      </c>
      <c r="Y167" s="385">
        <f t="shared" si="61"/>
        <v>41.553683573291899</v>
      </c>
      <c r="Z167" s="385">
        <f t="shared" si="62"/>
        <v>43.243601438849893</v>
      </c>
      <c r="AA167" s="386">
        <f t="shared" si="63"/>
        <v>47.371068222148139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8.7130540606396259E-2</v>
      </c>
      <c r="AD167" s="231">
        <f>(INDEX(Models!$BJ167:$BT167,,AH167)*(1-AF167)+INDEX(Models!$BJ167:$BT167,,AH167+1)*AF167-ERP_i)*AE167*Ramure*Pc/MaxiM</f>
        <v>1.3364115434458807E-4</v>
      </c>
      <c r="AE167" s="305">
        <f t="shared" si="65"/>
        <v>0.5</v>
      </c>
      <c r="AF167" s="177">
        <f t="shared" si="66"/>
        <v>0.70632373914026236</v>
      </c>
      <c r="AG167" s="811">
        <f t="shared" si="74"/>
        <v>0</v>
      </c>
      <c r="AH167" s="176">
        <f t="shared" si="67"/>
        <v>6</v>
      </c>
      <c r="AI167" s="225">
        <f t="shared" si="68"/>
        <v>0.70632373914026236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411">
        <f>'2022'!Wh/'2022'!Env_an*'2023'!Env_an</f>
        <v>52.097910076876303</v>
      </c>
      <c r="C168" s="841"/>
      <c r="D168" s="393">
        <f t="shared" si="50"/>
        <v>54.217831268509279</v>
      </c>
      <c r="E168" s="385">
        <f t="shared" si="72"/>
        <v>57.737391502891604</v>
      </c>
      <c r="F168" s="385">
        <f t="shared" si="51"/>
        <v>57.743620589581553</v>
      </c>
      <c r="G168" s="110">
        <f t="shared" si="73"/>
        <v>0.90536987440175531</v>
      </c>
      <c r="H168" s="414" t="b">
        <f>Wh_hp&gt;='2022'!Maxi_hp</f>
        <v>0</v>
      </c>
      <c r="I168" s="390">
        <f>IF(H168,Wh_hp,'2022'!Maxi_hp)</f>
        <v>57.743879265054304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3.9100073574212968E-2</v>
      </c>
      <c r="M168" s="845"/>
      <c r="N168" s="845"/>
      <c r="O168" s="48">
        <f>IF(t&lt;Tnet,'2022'!Resal+('2022'!Salim-'2022'!Resal)*(1-EXP(('2022'!Tnet-t)/('2022'!Tau_j))),Resal+(Salim-Resal)*(1-EXP((Tnet-t)/(Tau_j))))*Salcycl</f>
        <v>6.0958074876071598E-2</v>
      </c>
      <c r="P168" s="169">
        <f>(INDEX(Models!$BJ168:$BT168,,T168)*(1-R168)+INDEX(Models!$BJ168:$BT168,,T168+1)*R168-ERP_i)*Q168*Ramure*Pc/MaxiM</f>
        <v>1.2473451624747339E-4</v>
      </c>
      <c r="Q168" s="305">
        <f t="shared" si="53"/>
        <v>0.5</v>
      </c>
      <c r="R168" s="177">
        <f t="shared" si="54"/>
        <v>0.71134911192253425</v>
      </c>
      <c r="S168" s="811">
        <f t="shared" si="55"/>
        <v>0</v>
      </c>
      <c r="T168" s="176">
        <f t="shared" si="56"/>
        <v>6</v>
      </c>
      <c r="U168" s="251">
        <f t="shared" si="57"/>
        <v>0.71134911192253425</v>
      </c>
      <c r="V168" s="383">
        <f t="shared" si="58"/>
        <v>57.542263227191789</v>
      </c>
      <c r="W168" s="402">
        <f t="shared" si="59"/>
        <v>52.097910076876303</v>
      </c>
      <c r="X168" s="157">
        <f t="shared" si="60"/>
        <v>45080</v>
      </c>
      <c r="Y168" s="385">
        <f t="shared" si="61"/>
        <v>50.641318716920487</v>
      </c>
      <c r="Z168" s="385">
        <f t="shared" si="62"/>
        <v>52.701969606021876</v>
      </c>
      <c r="AA168" s="386">
        <f t="shared" si="63"/>
        <v>57.737391502891604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8.7212493772212574E-2</v>
      </c>
      <c r="AD168" s="231">
        <f>(INDEX(Models!$BJ168:$BT168,,AH168)*(1-AF168)+INDEX(Models!$BJ168:$BT168,,AH168+1)*AF168-ERP_i)*AE168*Ramure*Pc/MaxiM</f>
        <v>1.2473451624747339E-4</v>
      </c>
      <c r="AE168" s="305">
        <f t="shared" si="65"/>
        <v>0.5</v>
      </c>
      <c r="AF168" s="177">
        <f t="shared" si="66"/>
        <v>0.71134911192253425</v>
      </c>
      <c r="AG168" s="811">
        <f t="shared" si="74"/>
        <v>0</v>
      </c>
      <c r="AH168" s="176">
        <f t="shared" si="67"/>
        <v>6</v>
      </c>
      <c r="AI168" s="225">
        <f t="shared" si="68"/>
        <v>0.71134911192253425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411">
        <f>'2022'!Wh/'2022'!Env_an*'2023'!Env_an</f>
        <v>23.526152948532239</v>
      </c>
      <c r="C169" s="841"/>
      <c r="D169" s="393">
        <f t="shared" si="50"/>
        <v>24.483994218271377</v>
      </c>
      <c r="E169" s="385">
        <f t="shared" si="72"/>
        <v>26.075822768916499</v>
      </c>
      <c r="F169" s="385">
        <f t="shared" si="51"/>
        <v>26.076295714399709</v>
      </c>
      <c r="G169" s="110">
        <f t="shared" si="73"/>
        <v>0.40888111052104203</v>
      </c>
      <c r="H169" s="414" t="b">
        <f>Wh_hp&gt;='2022'!Maxi_hp</f>
        <v>0</v>
      </c>
      <c r="I169" s="390">
        <f>IF(H169,Wh_hp,'2022'!Maxi_hp)</f>
        <v>59.953702782585943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3.9121119748686262E-2</v>
      </c>
      <c r="M169" s="845"/>
      <c r="N169" s="845"/>
      <c r="O169" s="48">
        <f>IF(t&lt;Tnet,'2022'!Resal+('2022'!Salim-'2022'!Resal)*(1-EXP(('2022'!Tnet-t)/('2022'!Tau_j))),Resal+(Salim-Resal)*(1-EXP((Tnet-t)/(Tau_j))))*Salcycl</f>
        <v>6.1046148562669815E-2</v>
      </c>
      <c r="P169" s="169">
        <f>(INDEX(Models!$BJ169:$BT169,,T169)*(1-R169)+INDEX(Models!$BJ169:$BT169,,T169+1)*R169-ERP_i)*Q169*Ramure*Pc/MaxiM</f>
        <v>1.1656017076234077E-4</v>
      </c>
      <c r="Q169" s="305">
        <f t="shared" si="53"/>
        <v>0.5</v>
      </c>
      <c r="R169" s="177">
        <f t="shared" si="54"/>
        <v>0.71640406945219404</v>
      </c>
      <c r="S169" s="811">
        <f t="shared" si="55"/>
        <v>0</v>
      </c>
      <c r="T169" s="176">
        <f t="shared" si="56"/>
        <v>6</v>
      </c>
      <c r="U169" s="251">
        <f t="shared" si="57"/>
        <v>0.71640406945219404</v>
      </c>
      <c r="V169" s="383">
        <f t="shared" si="58"/>
        <v>57.532218491887804</v>
      </c>
      <c r="W169" s="402">
        <f t="shared" si="59"/>
        <v>23.526152948532239</v>
      </c>
      <c r="X169" s="157">
        <f t="shared" si="60"/>
        <v>45081</v>
      </c>
      <c r="Y169" s="385">
        <f t="shared" si="61"/>
        <v>22.868500122182713</v>
      </c>
      <c r="Z169" s="385">
        <f t="shared" si="62"/>
        <v>23.799565785233572</v>
      </c>
      <c r="AA169" s="386">
        <f t="shared" si="63"/>
        <v>26.075822768916499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8.7293774154513892E-2</v>
      </c>
      <c r="AD169" s="231">
        <f>(INDEX(Models!$BJ169:$BT169,,AH169)*(1-AF169)+INDEX(Models!$BJ169:$BT169,,AH169+1)*AF169-ERP_i)*AE169*Ramure*Pc/MaxiM</f>
        <v>1.1656017076234077E-4</v>
      </c>
      <c r="AE169" s="305">
        <f t="shared" si="65"/>
        <v>0.5</v>
      </c>
      <c r="AF169" s="177">
        <f t="shared" si="66"/>
        <v>0.71640406945219404</v>
      </c>
      <c r="AG169" s="811">
        <f t="shared" si="74"/>
        <v>0</v>
      </c>
      <c r="AH169" s="176">
        <f t="shared" si="67"/>
        <v>6</v>
      </c>
      <c r="AI169" s="225">
        <f t="shared" si="68"/>
        <v>0.71640406945219404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411">
        <f>'2022'!Wh/'2022'!Env_an*'2023'!Env_an</f>
        <v>32.453792398255942</v>
      </c>
      <c r="C170" s="841"/>
      <c r="D170" s="393">
        <f t="shared" si="50"/>
        <v>33.77585240158546</v>
      </c>
      <c r="E170" s="385">
        <f t="shared" ref="E170:E232" si="75">Wh_pvt/(1-Psa)</f>
        <v>35.975146772972792</v>
      </c>
      <c r="F170" s="385">
        <f t="shared" si="51"/>
        <v>35.976630768901188</v>
      </c>
      <c r="G170" s="110">
        <f t="shared" ref="G170:G232" si="76">+Wh_hp/MaxiM</f>
        <v>0.56419125990852326</v>
      </c>
      <c r="H170" s="414" t="b">
        <f>Wh_hp&gt;='2022'!Maxi_hp</f>
        <v>0</v>
      </c>
      <c r="I170" s="390">
        <f>IF(H170,Wh_hp,'2022'!Maxi_hp)</f>
        <v>43.180770881481472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3.9142165462194511E-2</v>
      </c>
      <c r="M170" s="845"/>
      <c r="N170" s="845"/>
      <c r="O170" s="48">
        <f>IF(t&lt;Tnet,'2022'!Resal+('2022'!Salim-'2022'!Resal)*(1-EXP(('2022'!Tnet-t)/('2022'!Tau_j))),Resal+(Salim-Resal)*(1-EXP((Tnet-t)/(Tau_j))))*Salcycl</f>
        <v>6.1133715041285203E-2</v>
      </c>
      <c r="P170" s="169">
        <f>(INDEX(Models!$BJ170:$BT170,,T170)*(1-R170)+INDEX(Models!$BJ170:$BT170,,T170+1)*R170-ERP_i)*Q170*Ramure*Pc/MaxiM</f>
        <v>1.0927698878687908E-4</v>
      </c>
      <c r="Q170" s="305">
        <f t="shared" si="53"/>
        <v>0.5</v>
      </c>
      <c r="R170" s="177">
        <f t="shared" si="54"/>
        <v>0.72148457032246605</v>
      </c>
      <c r="S170" s="811">
        <f t="shared" si="55"/>
        <v>0</v>
      </c>
      <c r="T170" s="176">
        <f t="shared" si="56"/>
        <v>6</v>
      </c>
      <c r="U170" s="251">
        <f t="shared" si="57"/>
        <v>0.72148457032246605</v>
      </c>
      <c r="V170" s="383">
        <f t="shared" si="58"/>
        <v>57.518765077128421</v>
      </c>
      <c r="W170" s="402">
        <f t="shared" si="59"/>
        <v>32.453792398255942</v>
      </c>
      <c r="X170" s="157">
        <f t="shared" si="60"/>
        <v>45082</v>
      </c>
      <c r="Y170" s="385">
        <f t="shared" si="61"/>
        <v>31.546733641346545</v>
      </c>
      <c r="Z170" s="385">
        <f t="shared" si="62"/>
        <v>32.831843075433987</v>
      </c>
      <c r="AA170" s="386">
        <f t="shared" si="63"/>
        <v>35.975146772972792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8.7374311976408367E-2</v>
      </c>
      <c r="AD170" s="231">
        <f>(INDEX(Models!$BJ170:$BT170,,AH170)*(1-AF170)+INDEX(Models!$BJ170:$BT170,,AH170+1)*AF170-ERP_i)*AE170*Ramure*Pc/MaxiM</f>
        <v>1.0927698878687908E-4</v>
      </c>
      <c r="AE170" s="305">
        <f t="shared" si="65"/>
        <v>0.5</v>
      </c>
      <c r="AF170" s="177">
        <f t="shared" si="66"/>
        <v>0.72148457032246605</v>
      </c>
      <c r="AG170" s="811">
        <f t="shared" si="74"/>
        <v>0</v>
      </c>
      <c r="AH170" s="176">
        <f t="shared" si="67"/>
        <v>6</v>
      </c>
      <c r="AI170" s="225">
        <f t="shared" si="68"/>
        <v>0.72148457032246605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411">
        <f>'2022'!Wh/'2022'!Env_an*'2023'!Env_an</f>
        <v>45.706961669835032</v>
      </c>
      <c r="C171" s="841"/>
      <c r="D171" s="393">
        <f t="shared" si="50"/>
        <v>47.569953793958632</v>
      </c>
      <c r="E171" s="385">
        <f t="shared" si="75"/>
        <v>50.672138919946384</v>
      </c>
      <c r="F171" s="385">
        <f t="shared" si="51"/>
        <v>50.675820584939125</v>
      </c>
      <c r="G171" s="110">
        <f t="shared" si="76"/>
        <v>0.79485462267700369</v>
      </c>
      <c r="H171" s="414" t="b">
        <f>Wh_hp&gt;='2022'!Maxi_hp</f>
        <v>0</v>
      </c>
      <c r="I171" s="390">
        <f>IF(H171,Wh_hp,'2022'!Maxi_hp)</f>
        <v>62.343880742671914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3.9163210714747487E-2</v>
      </c>
      <c r="M171" s="845"/>
      <c r="N171" s="845"/>
      <c r="O171" s="48">
        <f>IF(t&lt;Tnet,'2022'!Resal+('2022'!Salim-'2022'!Resal)*(1-EXP(('2022'!Tnet-t)/('2022'!Tau_j))),Resal+(Salim-Resal)*(1-EXP((Tnet-t)/(Tau_j))))*Salcycl</f>
        <v>6.1220725868483511E-2</v>
      </c>
      <c r="P171" s="169">
        <f>(INDEX(Models!$BJ171:$BT171,,T171)*(1-R171)+INDEX(Models!$BJ171:$BT171,,T171+1)*R171-ERP_i)*Q171*Ramure*Pc/MaxiM</f>
        <v>1.0276444441247822E-4</v>
      </c>
      <c r="Q171" s="305">
        <f t="shared" si="53"/>
        <v>0.5</v>
      </c>
      <c r="R171" s="177">
        <f t="shared" si="54"/>
        <v>0.72658648886960597</v>
      </c>
      <c r="S171" s="811">
        <f t="shared" si="55"/>
        <v>0</v>
      </c>
      <c r="T171" s="176">
        <f t="shared" si="56"/>
        <v>6</v>
      </c>
      <c r="U171" s="251">
        <f t="shared" si="57"/>
        <v>0.72658648886960597</v>
      </c>
      <c r="V171" s="383">
        <f t="shared" si="58"/>
        <v>57.50181717033643</v>
      </c>
      <c r="W171" s="402">
        <f t="shared" si="59"/>
        <v>45.706961669835032</v>
      </c>
      <c r="X171" s="157">
        <f t="shared" si="60"/>
        <v>45083</v>
      </c>
      <c r="Y171" s="385">
        <f t="shared" si="61"/>
        <v>44.429723152407824</v>
      </c>
      <c r="Z171" s="385">
        <f t="shared" si="62"/>
        <v>46.240655694978351</v>
      </c>
      <c r="AA171" s="386">
        <f t="shared" si="63"/>
        <v>50.672138919946384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8.7454039229901914E-2</v>
      </c>
      <c r="AD171" s="231">
        <f>(INDEX(Models!$BJ171:$BT171,,AH171)*(1-AF171)+INDEX(Models!$BJ171:$BT171,,AH171+1)*AF171-ERP_i)*AE171*Ramure*Pc/MaxiM</f>
        <v>1.0276444441247822E-4</v>
      </c>
      <c r="AE171" s="305">
        <f t="shared" si="65"/>
        <v>0.5</v>
      </c>
      <c r="AF171" s="177">
        <f t="shared" si="66"/>
        <v>0.72658648886960597</v>
      </c>
      <c r="AG171" s="811">
        <f t="shared" si="74"/>
        <v>0</v>
      </c>
      <c r="AH171" s="176">
        <f t="shared" si="67"/>
        <v>6</v>
      </c>
      <c r="AI171" s="225">
        <f t="shared" si="68"/>
        <v>0.72658648886960597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411">
        <f>'2022'!Wh/'2022'!Env_an*'2023'!Env_an</f>
        <v>23.828425270953794</v>
      </c>
      <c r="C172" s="841"/>
      <c r="D172" s="393">
        <f t="shared" si="50"/>
        <v>24.800202752205639</v>
      </c>
      <c r="E172" s="385">
        <f t="shared" si="75"/>
        <v>26.419933131173249</v>
      </c>
      <c r="F172" s="385">
        <f t="shared" si="51"/>
        <v>26.420352671599939</v>
      </c>
      <c r="G172" s="110">
        <f t="shared" si="76"/>
        <v>0.41450870448628874</v>
      </c>
      <c r="H172" s="414" t="b">
        <f>Wh_hp&gt;='2022'!Maxi_hp</f>
        <v>0</v>
      </c>
      <c r="I172" s="390">
        <f>IF(H172,Wh_hp,'2022'!Maxi_hp)</f>
        <v>54.813719171232592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3.9184255506355403E-2</v>
      </c>
      <c r="M172" s="845"/>
      <c r="N172" s="845"/>
      <c r="O172" s="48">
        <f>IF(t&lt;Tnet,'2022'!Resal+('2022'!Salim-'2022'!Resal)*(1-EXP(('2022'!Tnet-t)/('2022'!Tau_j))),Resal+(Salim-Resal)*(1-EXP((Tnet-t)/(Tau_j))))*Salcycl</f>
        <v>6.1307133932767925E-2</v>
      </c>
      <c r="P172" s="169">
        <f>(INDEX(Models!$BJ172:$BT172,,T172)*(1-R172)+INDEX(Models!$BJ172:$BT172,,T172+1)*R172-ERP_i)*Q172*Ramure*Pc/MaxiM</f>
        <v>9.704365655563855E-5</v>
      </c>
      <c r="Q172" s="305">
        <f t="shared" si="53"/>
        <v>0.5</v>
      </c>
      <c r="R172" s="177">
        <f t="shared" si="54"/>
        <v>0.73170562828743191</v>
      </c>
      <c r="S172" s="811">
        <f t="shared" si="55"/>
        <v>0</v>
      </c>
      <c r="T172" s="176">
        <f t="shared" si="56"/>
        <v>6</v>
      </c>
      <c r="U172" s="251">
        <f t="shared" si="57"/>
        <v>0.73170562828743191</v>
      </c>
      <c r="V172" s="383">
        <f t="shared" si="58"/>
        <v>57.481280771465755</v>
      </c>
      <c r="W172" s="402">
        <f t="shared" si="59"/>
        <v>23.828425270953794</v>
      </c>
      <c r="X172" s="157">
        <f t="shared" si="60"/>
        <v>45084</v>
      </c>
      <c r="Y172" s="385">
        <f t="shared" si="61"/>
        <v>23.162692644371393</v>
      </c>
      <c r="Z172" s="385">
        <f t="shared" si="62"/>
        <v>24.107320032081972</v>
      </c>
      <c r="AA172" s="386">
        <f t="shared" si="63"/>
        <v>26.419933131173249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8.753288994371422E-2</v>
      </c>
      <c r="AD172" s="231">
        <f>(INDEX(Models!$BJ172:$BT172,,AH172)*(1-AF172)+INDEX(Models!$BJ172:$BT172,,AH172+1)*AF172-ERP_i)*AE172*Ramure*Pc/MaxiM</f>
        <v>9.704365655563855E-5</v>
      </c>
      <c r="AE172" s="305">
        <f t="shared" si="65"/>
        <v>0.5</v>
      </c>
      <c r="AF172" s="177">
        <f t="shared" si="66"/>
        <v>0.73170562828743191</v>
      </c>
      <c r="AG172" s="811">
        <f t="shared" si="74"/>
        <v>0</v>
      </c>
      <c r="AH172" s="176">
        <f t="shared" si="67"/>
        <v>6</v>
      </c>
      <c r="AI172" s="225">
        <f t="shared" si="68"/>
        <v>0.73170562828743191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411">
        <f>'2022'!Wh/'2022'!Env_an*'2023'!Env_an</f>
        <v>19.481160722298416</v>
      </c>
      <c r="C173" s="841"/>
      <c r="D173" s="393">
        <f t="shared" si="50"/>
        <v>20.276090947414666</v>
      </c>
      <c r="E173" s="385">
        <f t="shared" si="75"/>
        <v>21.602319873834343</v>
      </c>
      <c r="F173" s="385">
        <f t="shared" si="51"/>
        <v>21.602430924459284</v>
      </c>
      <c r="G173" s="110">
        <f t="shared" si="76"/>
        <v>0.33902648912994215</v>
      </c>
      <c r="H173" s="414" t="b">
        <f>Wh_hp&gt;='2022'!Maxi_hp</f>
        <v>0</v>
      </c>
      <c r="I173" s="390">
        <f>IF(H173,Wh_hp,'2022'!Maxi_hp)</f>
        <v>64.469263284236831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3.9205299837028473E-2</v>
      </c>
      <c r="M173" s="845"/>
      <c r="N173" s="845"/>
      <c r="O173" s="48">
        <f>IF(t&lt;Tnet,'2022'!Resal+('2022'!Salim-'2022'!Resal)*(1-EXP(('2022'!Tnet-t)/('2022'!Tau_j))),Resal+(Salim-Resal)*(1-EXP((Tnet-t)/(Tau_j))))*Salcycl</f>
        <v>6.1392893641301141E-2</v>
      </c>
      <c r="P173" s="169">
        <f>(INDEX(Models!$BJ173:$BT173,,T173)*(1-R173)+INDEX(Models!$BJ173:$BT173,,T173+1)*R173-ERP_i)*Q173*Ramure*Pc/MaxiM</f>
        <v>9.2135886865668141E-5</v>
      </c>
      <c r="Q173" s="305">
        <f t="shared" si="53"/>
        <v>0.5</v>
      </c>
      <c r="R173" s="177">
        <f t="shared" si="54"/>
        <v>0.73683773424069843</v>
      </c>
      <c r="S173" s="811">
        <f t="shared" si="55"/>
        <v>0</v>
      </c>
      <c r="T173" s="176">
        <f t="shared" si="56"/>
        <v>6</v>
      </c>
      <c r="U173" s="251">
        <f t="shared" si="57"/>
        <v>0.73683773424069843</v>
      </c>
      <c r="V173" s="383">
        <f t="shared" si="58"/>
        <v>57.457061822707111</v>
      </c>
      <c r="W173" s="402">
        <f t="shared" si="59"/>
        <v>19.481160722298416</v>
      </c>
      <c r="X173" s="157">
        <f t="shared" si="60"/>
        <v>45085</v>
      </c>
      <c r="Y173" s="385">
        <f t="shared" si="61"/>
        <v>18.936997725058319</v>
      </c>
      <c r="Z173" s="385">
        <f t="shared" si="62"/>
        <v>19.709723338238852</v>
      </c>
      <c r="AA173" s="386">
        <f t="shared" si="63"/>
        <v>21.602319873834343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8.7610800444070991E-2</v>
      </c>
      <c r="AD173" s="231">
        <f>(INDEX(Models!$BJ173:$BT173,,AH173)*(1-AF173)+INDEX(Models!$BJ173:$BT173,,AH173+1)*AF173-ERP_i)*AE173*Ramure*Pc/MaxiM</f>
        <v>9.2135886865668141E-5</v>
      </c>
      <c r="AE173" s="305">
        <f t="shared" si="65"/>
        <v>0.5</v>
      </c>
      <c r="AF173" s="177">
        <f t="shared" si="66"/>
        <v>0.73683773424069843</v>
      </c>
      <c r="AG173" s="811">
        <f t="shared" si="74"/>
        <v>0</v>
      </c>
      <c r="AH173" s="176">
        <f t="shared" si="67"/>
        <v>6</v>
      </c>
      <c r="AI173" s="225">
        <f t="shared" si="68"/>
        <v>0.73683773424069843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411">
        <f>'2022'!Wh/'2022'!Env_an*'2023'!Env_an</f>
        <v>44.518167794493536</v>
      </c>
      <c r="C174" s="841"/>
      <c r="D174" s="393">
        <f t="shared" si="50"/>
        <v>46.335749843776739</v>
      </c>
      <c r="E174" s="385">
        <f t="shared" si="75"/>
        <v>49.370976837296638</v>
      </c>
      <c r="F174" s="385">
        <f t="shared" si="51"/>
        <v>49.373928410854987</v>
      </c>
      <c r="G174" s="110">
        <f t="shared" si="76"/>
        <v>0.77516337250675516</v>
      </c>
      <c r="H174" s="414" t="b">
        <f>Wh_hp&gt;='2022'!Maxi_hp</f>
        <v>0</v>
      </c>
      <c r="I174" s="390">
        <f>IF(H174,Wh_hp,'2022'!Maxi_hp)</f>
        <v>60.601331416290115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3.9226343706776579E-2</v>
      </c>
      <c r="M174" s="845"/>
      <c r="N174" s="845"/>
      <c r="O174" s="48">
        <f>IF(t&lt;Tnet,'2022'!Resal+('2022'!Salim-'2022'!Resal)*(1-EXP(('2022'!Tnet-t)/('2022'!Tau_j))),Resal+(Salim-Resal)*(1-EXP((Tnet-t)/(Tau_j))))*Salcycl</f>
        <v>6.1477961100963575E-2</v>
      </c>
      <c r="P174" s="169">
        <f>(INDEX(Models!$BJ174:$BT174,,T174)*(1-R174)+INDEX(Models!$BJ174:$BT174,,T174+1)*R174-ERP_i)*Q174*Ramure*Pc/MaxiM</f>
        <v>8.8062492356938448E-5</v>
      </c>
      <c r="Q174" s="305">
        <f t="shared" si="53"/>
        <v>0.5</v>
      </c>
      <c r="R174" s="177">
        <f t="shared" si="54"/>
        <v>0.74197850888500438</v>
      </c>
      <c r="S174" s="811">
        <f t="shared" si="55"/>
        <v>0</v>
      </c>
      <c r="T174" s="176">
        <f t="shared" si="56"/>
        <v>6</v>
      </c>
      <c r="U174" s="251">
        <f t="shared" si="57"/>
        <v>0.74197850888500438</v>
      </c>
      <c r="V174" s="383">
        <f t="shared" si="58"/>
        <v>57.429066198814709</v>
      </c>
      <c r="W174" s="402">
        <f t="shared" si="59"/>
        <v>44.518167794493536</v>
      </c>
      <c r="X174" s="157">
        <f t="shared" si="60"/>
        <v>45086</v>
      </c>
      <c r="Y174" s="385">
        <f t="shared" si="61"/>
        <v>43.274925831634199</v>
      </c>
      <c r="Z174" s="385">
        <f t="shared" si="62"/>
        <v>45.041748957391171</v>
      </c>
      <c r="AA174" s="386">
        <f t="shared" si="63"/>
        <v>49.370976837296638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8.7687709606649206E-2</v>
      </c>
      <c r="AD174" s="231">
        <f>(INDEX(Models!$BJ174:$BT174,,AH174)*(1-AF174)+INDEX(Models!$BJ174:$BT174,,AH174+1)*AF174-ERP_i)*AE174*Ramure*Pc/MaxiM</f>
        <v>8.8062492356938448E-5</v>
      </c>
      <c r="AE174" s="305">
        <f t="shared" si="65"/>
        <v>0.5</v>
      </c>
      <c r="AF174" s="177">
        <f t="shared" si="66"/>
        <v>0.74197850888500438</v>
      </c>
      <c r="AG174" s="811">
        <f t="shared" si="74"/>
        <v>0</v>
      </c>
      <c r="AH174" s="176">
        <f t="shared" si="67"/>
        <v>6</v>
      </c>
      <c r="AI174" s="225">
        <f t="shared" si="68"/>
        <v>0.74197850888500438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411">
        <f>'2022'!Wh/'2022'!Env_an*'2023'!Env_an</f>
        <v>54.329036739844881</v>
      </c>
      <c r="C175" s="841"/>
      <c r="D175" s="393">
        <f t="shared" si="50"/>
        <v>56.54841424447153</v>
      </c>
      <c r="E175" s="385">
        <f t="shared" si="75"/>
        <v>60.258037268267245</v>
      </c>
      <c r="F175" s="385">
        <f t="shared" si="51"/>
        <v>60.262759805885864</v>
      </c>
      <c r="G175" s="110">
        <f t="shared" si="76"/>
        <v>0.94653894255814475</v>
      </c>
      <c r="H175" s="414" t="b">
        <f>Wh_hp&gt;='2022'!Maxi_hp</f>
        <v>0</v>
      </c>
      <c r="I175" s="390">
        <f>IF(H175,Wh_hp,'2022'!Maxi_hp)</f>
        <v>61.199848181326935</v>
      </c>
      <c r="J175" s="85">
        <f>IF(H175,An,'2022'!An_max)</f>
        <v>2021</v>
      </c>
      <c r="K175" s="197">
        <f t="shared" si="52"/>
        <v>45087</v>
      </c>
      <c r="L175" s="147">
        <f>IF(t&lt;Tvie,1-EXP((T0-t)*PertePVj)+'2022'!Pspv,1-EXP((T0-t)*PertePVj)+Pspv)</f>
        <v>3.9247387115610044E-2</v>
      </c>
      <c r="M175" s="845"/>
      <c r="N175" s="845"/>
      <c r="O175" s="48">
        <f>IF(t&lt;Tnet,'2022'!Resal+('2022'!Salim-'2022'!Resal)*(1-EXP(('2022'!Tnet-t)/('2022'!Tau_j))),Resal+(Salim-Resal)*(1-EXP((Tnet-t)/(Tau_j))))*Salcycl</f>
        <v>6.1562294292470413E-2</v>
      </c>
      <c r="P175" s="169">
        <f>(INDEX(Models!$BJ175:$BT175,,T175)*(1-R175)+INDEX(Models!$BJ175:$BT175,,T175+1)*R175-ERP_i)*Q175*Ramure*Pc/MaxiM</f>
        <v>8.484488021770679E-5</v>
      </c>
      <c r="Q175" s="305">
        <f t="shared" si="53"/>
        <v>0.5</v>
      </c>
      <c r="R175" s="177">
        <f t="shared" si="54"/>
        <v>0.74712362519601583</v>
      </c>
      <c r="S175" s="811">
        <f t="shared" si="55"/>
        <v>0</v>
      </c>
      <c r="T175" s="176">
        <f t="shared" si="56"/>
        <v>6</v>
      </c>
      <c r="U175" s="251">
        <f t="shared" si="57"/>
        <v>0.74712362519601583</v>
      </c>
      <c r="V175" s="383">
        <f t="shared" si="58"/>
        <v>57.3971996985671</v>
      </c>
      <c r="W175" s="402">
        <f t="shared" si="59"/>
        <v>54.329036739844881</v>
      </c>
      <c r="X175" s="157">
        <f t="shared" si="60"/>
        <v>45087</v>
      </c>
      <c r="Y175" s="385">
        <f t="shared" si="61"/>
        <v>52.8121651674577</v>
      </c>
      <c r="Z175" s="385">
        <f t="shared" si="62"/>
        <v>54.969577453350873</v>
      </c>
      <c r="AA175" s="386">
        <f t="shared" si="63"/>
        <v>60.258037268267245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8.776355909788898E-2</v>
      </c>
      <c r="AD175" s="231">
        <f>(INDEX(Models!$BJ175:$BT175,,AH175)*(1-AF175)+INDEX(Models!$BJ175:$BT175,,AH175+1)*AF175-ERP_i)*AE175*Ramure*Pc/MaxiM</f>
        <v>8.484488021770679E-5</v>
      </c>
      <c r="AE175" s="305">
        <f t="shared" si="65"/>
        <v>0.5</v>
      </c>
      <c r="AF175" s="177">
        <f t="shared" si="66"/>
        <v>0.74712362519601583</v>
      </c>
      <c r="AG175" s="811">
        <f t="shared" si="74"/>
        <v>0</v>
      </c>
      <c r="AH175" s="176">
        <f t="shared" si="67"/>
        <v>6</v>
      </c>
      <c r="AI175" s="225">
        <f t="shared" si="68"/>
        <v>0.74712362519601583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411">
        <f>'2022'!Wh/'2022'!Env_an*'2023'!Env_an</f>
        <v>53.121444265809885</v>
      </c>
      <c r="C176" s="841"/>
      <c r="D176" s="393">
        <f t="shared" si="50"/>
        <v>55.292701861897925</v>
      </c>
      <c r="E176" s="385">
        <f t="shared" si="75"/>
        <v>58.925195836345615</v>
      </c>
      <c r="F176" s="385">
        <f t="shared" si="51"/>
        <v>58.929544392598167</v>
      </c>
      <c r="G176" s="110">
        <f t="shared" si="76"/>
        <v>0.92607591574777626</v>
      </c>
      <c r="H176" s="414" t="b">
        <f>Wh_hp&gt;='2022'!Maxi_hp</f>
        <v>0</v>
      </c>
      <c r="I176" s="390">
        <f>IF(H176,Wh_hp,'2022'!Maxi_hp)</f>
        <v>58.929674289697104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3.9268430063538751E-2</v>
      </c>
      <c r="M176" s="845"/>
      <c r="N176" s="845"/>
      <c r="O176" s="48">
        <f>IF(t&lt;Tnet,'2022'!Resal+('2022'!Salim-'2022'!Resal)*(1-EXP(('2022'!Tnet-t)/('2022'!Tau_j))),Resal+(Salim-Resal)*(1-EXP((Tnet-t)/(Tau_j))))*Salcycl</f>
        <v>6.1645853236301569E-2</v>
      </c>
      <c r="P176" s="169">
        <f>(INDEX(Models!$BJ176:$BT176,,T176)*(1-R176)+INDEX(Models!$BJ176:$BT176,,T176+1)*R176-ERP_i)*Q176*Ramure*Pc/MaxiM</f>
        <v>8.2504465414888318E-5</v>
      </c>
      <c r="Q176" s="305">
        <f t="shared" si="53"/>
        <v>0.5</v>
      </c>
      <c r="R176" s="177">
        <f t="shared" si="54"/>
        <v>0.75226874150702738</v>
      </c>
      <c r="S176" s="811">
        <f t="shared" si="55"/>
        <v>0</v>
      </c>
      <c r="T176" s="176">
        <f t="shared" si="56"/>
        <v>6</v>
      </c>
      <c r="U176" s="251">
        <f t="shared" si="57"/>
        <v>0.75226874150702738</v>
      </c>
      <c r="V176" s="383">
        <f t="shared" si="58"/>
        <v>57.361368041450483</v>
      </c>
      <c r="W176" s="402">
        <f t="shared" si="59"/>
        <v>53.121444265809885</v>
      </c>
      <c r="X176" s="157">
        <f t="shared" si="60"/>
        <v>45088</v>
      </c>
      <c r="Y176" s="385">
        <f t="shared" si="61"/>
        <v>51.638656273692263</v>
      </c>
      <c r="Z176" s="385">
        <f t="shared" si="62"/>
        <v>53.749307183803097</v>
      </c>
      <c r="AA176" s="386">
        <f t="shared" si="63"/>
        <v>58.925195836345615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8.7838293603938827E-2</v>
      </c>
      <c r="AD176" s="231">
        <f>(INDEX(Models!$BJ176:$BT176,,AH176)*(1-AF176)+INDEX(Models!$BJ176:$BT176,,AH176+1)*AF176-ERP_i)*AE176*Ramure*Pc/MaxiM</f>
        <v>8.2504465414888318E-5</v>
      </c>
      <c r="AE176" s="305">
        <f t="shared" si="65"/>
        <v>0.5</v>
      </c>
      <c r="AF176" s="177">
        <f t="shared" si="66"/>
        <v>0.75226874150702738</v>
      </c>
      <c r="AG176" s="811">
        <f t="shared" si="74"/>
        <v>0</v>
      </c>
      <c r="AH176" s="176">
        <f t="shared" si="67"/>
        <v>6</v>
      </c>
      <c r="AI176" s="225">
        <f t="shared" si="68"/>
        <v>0.75226874150702738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411">
        <f>'2022'!Wh/'2022'!Env_an*'2023'!Env_an</f>
        <v>40.646941480118393</v>
      </c>
      <c r="C177" s="841"/>
      <c r="D177" s="393">
        <f t="shared" si="50"/>
        <v>42.309249580132338</v>
      </c>
      <c r="E177" s="385">
        <f t="shared" si="75"/>
        <v>45.092762698364389</v>
      </c>
      <c r="F177" s="385">
        <f t="shared" si="51"/>
        <v>45.094899170064608</v>
      </c>
      <c r="G177" s="110">
        <f t="shared" si="76"/>
        <v>0.70908841818706725</v>
      </c>
      <c r="H177" s="414" t="b">
        <f>Wh_hp&gt;='2022'!Maxi_hp</f>
        <v>0</v>
      </c>
      <c r="I177" s="390">
        <f>IF(H177,Wh_hp,'2022'!Maxi_hp)</f>
        <v>58.244062693126686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3.9289472550572913E-2</v>
      </c>
      <c r="M177" s="845"/>
      <c r="N177" s="845"/>
      <c r="O177" s="48">
        <f>IF(t&lt;Tnet,'2022'!Resal+('2022'!Salim-'2022'!Resal)*(1-EXP(('2022'!Tnet-t)/('2022'!Tau_j))),Resal+(Salim-Resal)*(1-EXP((Tnet-t)/(Tau_j))))*Salcycl</f>
        <v>6.1728600149243369E-2</v>
      </c>
      <c r="P177" s="169">
        <f>(INDEX(Models!$BJ177:$BT177,,T177)*(1-R177)+INDEX(Models!$BJ177:$BT177,,T177+1)*R177-ERP_i)*Q177*Ramure*Pc/MaxiM</f>
        <v>8.1063475650268175E-5</v>
      </c>
      <c r="Q177" s="305">
        <f t="shared" si="53"/>
        <v>0.5</v>
      </c>
      <c r="R177" s="177">
        <f t="shared" si="54"/>
        <v>0.75740951615133323</v>
      </c>
      <c r="S177" s="811">
        <f t="shared" si="55"/>
        <v>0</v>
      </c>
      <c r="T177" s="176">
        <f t="shared" si="56"/>
        <v>6</v>
      </c>
      <c r="U177" s="251">
        <f t="shared" si="57"/>
        <v>0.75740951615133323</v>
      </c>
      <c r="V177" s="383">
        <f t="shared" si="58"/>
        <v>57.320880062558942</v>
      </c>
      <c r="W177" s="402">
        <f t="shared" si="59"/>
        <v>40.646941480118393</v>
      </c>
      <c r="X177" s="157">
        <f t="shared" si="60"/>
        <v>45089</v>
      </c>
      <c r="Y177" s="385">
        <f t="shared" si="61"/>
        <v>39.512654030260109</v>
      </c>
      <c r="Z177" s="385">
        <f t="shared" si="62"/>
        <v>41.128574009864899</v>
      </c>
      <c r="AA177" s="386">
        <f t="shared" si="63"/>
        <v>45.092762698364389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8.7911861045570444E-2</v>
      </c>
      <c r="AD177" s="231">
        <f>(INDEX(Models!$BJ177:$BT177,,AH177)*(1-AF177)+INDEX(Models!$BJ177:$BT177,,AH177+1)*AF177-ERP_i)*AE177*Ramure*Pc/MaxiM</f>
        <v>8.1063475650268175E-5</v>
      </c>
      <c r="AE177" s="305">
        <f t="shared" si="65"/>
        <v>0.5</v>
      </c>
      <c r="AF177" s="177">
        <f t="shared" si="66"/>
        <v>0.75740951615133323</v>
      </c>
      <c r="AG177" s="811">
        <f t="shared" si="74"/>
        <v>0</v>
      </c>
      <c r="AH177" s="176">
        <f t="shared" si="67"/>
        <v>6</v>
      </c>
      <c r="AI177" s="225">
        <f t="shared" si="68"/>
        <v>0.75740951615133323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411">
        <f>'2022'!Wh/'2022'!Env_an*'2023'!Env_an</f>
        <v>51.466334772154454</v>
      </c>
      <c r="C178" s="841"/>
      <c r="D178" s="393">
        <f t="shared" si="50"/>
        <v>53.572289020607442</v>
      </c>
      <c r="E178" s="385">
        <f t="shared" si="75"/>
        <v>57.101778475689954</v>
      </c>
      <c r="F178" s="385">
        <f t="shared" si="51"/>
        <v>57.105712331667689</v>
      </c>
      <c r="G178" s="110">
        <f t="shared" si="76"/>
        <v>0.89856664803932262</v>
      </c>
      <c r="H178" s="414" t="b">
        <f>Wh_hp&gt;='2022'!Maxi_hp</f>
        <v>0</v>
      </c>
      <c r="I178" s="390">
        <f>IF(H178,Wh_hp,'2022'!Maxi_hp)</f>
        <v>66.115436428019962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3.9310514576722633E-2</v>
      </c>
      <c r="M178" s="845"/>
      <c r="N178" s="845"/>
      <c r="O178" s="48">
        <f>IF(t&lt;Tnet,'2022'!Resal+('2022'!Salim-'2022'!Resal)*(1-EXP(('2022'!Tnet-t)/('2022'!Tau_j))),Resal+(Salim-Resal)*(1-EXP((Tnet-t)/(Tau_j))))*Salcycl</f>
        <v>6.1810499590395827E-2</v>
      </c>
      <c r="P178" s="169">
        <f>(INDEX(Models!$BJ178:$BT178,,T178)*(1-R178)+INDEX(Models!$BJ178:$BT178,,T178+1)*R178-ERP_i)*Q178*Ramure*Pc/MaxiM</f>
        <v>8.0559510351600077E-5</v>
      </c>
      <c r="Q178" s="305">
        <f t="shared" si="53"/>
        <v>0.5</v>
      </c>
      <c r="R178" s="177">
        <f t="shared" si="54"/>
        <v>0.76254162210459975</v>
      </c>
      <c r="S178" s="811">
        <f t="shared" si="55"/>
        <v>0</v>
      </c>
      <c r="T178" s="176">
        <f t="shared" si="56"/>
        <v>6</v>
      </c>
      <c r="U178" s="251">
        <f t="shared" si="57"/>
        <v>0.76254162210459975</v>
      </c>
      <c r="V178" s="383">
        <f t="shared" si="58"/>
        <v>57.275366401652853</v>
      </c>
      <c r="W178" s="402">
        <f t="shared" si="59"/>
        <v>51.466334772154454</v>
      </c>
      <c r="X178" s="157">
        <f t="shared" si="60"/>
        <v>45090</v>
      </c>
      <c r="Y178" s="385">
        <f t="shared" si="61"/>
        <v>50.030521341574669</v>
      </c>
      <c r="Z178" s="385">
        <f t="shared" si="62"/>
        <v>52.077723448312071</v>
      </c>
      <c r="AA178" s="386">
        <f t="shared" si="63"/>
        <v>57.101778475689954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8.7984212777484319E-2</v>
      </c>
      <c r="AD178" s="231">
        <f>(INDEX(Models!$BJ178:$BT178,,AH178)*(1-AF178)+INDEX(Models!$BJ178:$BT178,,AH178+1)*AF178-ERP_i)*AE178*Ramure*Pc/MaxiM</f>
        <v>8.0559510351600077E-5</v>
      </c>
      <c r="AE178" s="305">
        <f t="shared" si="65"/>
        <v>0.5</v>
      </c>
      <c r="AF178" s="177">
        <f t="shared" si="66"/>
        <v>0.76254162210459975</v>
      </c>
      <c r="AG178" s="811">
        <f t="shared" si="74"/>
        <v>0</v>
      </c>
      <c r="AH178" s="176">
        <f t="shared" si="67"/>
        <v>6</v>
      </c>
      <c r="AI178" s="225">
        <f t="shared" si="68"/>
        <v>0.76254162210459975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411">
        <f>'2022'!Wh/'2022'!Env_an*'2023'!Env_an</f>
        <v>46.939978106270139</v>
      </c>
      <c r="C179" s="841"/>
      <c r="D179" s="393">
        <f t="shared" si="50"/>
        <v>48.861788275006994</v>
      </c>
      <c r="E179" s="385">
        <f t="shared" si="75"/>
        <v>52.085434940164276</v>
      </c>
      <c r="F179" s="385">
        <f t="shared" si="51"/>
        <v>52.088539833649556</v>
      </c>
      <c r="G179" s="110">
        <f t="shared" si="76"/>
        <v>0.82024981512088146</v>
      </c>
      <c r="H179" s="414" t="b">
        <f>Wh_hp&gt;='2022'!Maxi_hp</f>
        <v>0</v>
      </c>
      <c r="I179" s="390">
        <f>IF(H179,Wh_hp,'2022'!Maxi_hp)</f>
        <v>57.514759839675243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3.9331556141998014E-2</v>
      </c>
      <c r="M179" s="845"/>
      <c r="N179" s="845"/>
      <c r="O179" s="48">
        <f>IF(t&lt;Tnet,'2022'!Resal+('2022'!Salim-'2022'!Resal)*(1-EXP(('2022'!Tnet-t)/('2022'!Tau_j))),Resal+(Salim-Resal)*(1-EXP((Tnet-t)/(Tau_j))))*Salcycl</f>
        <v>6.1891518595565263E-2</v>
      </c>
      <c r="P179" s="169">
        <f>(INDEX(Models!$BJ179:$BT179,,T179)*(1-R179)+INDEX(Models!$BJ179:$BT179,,T179+1)*R179-ERP_i)*Q179*Ramure*Pc/MaxiM</f>
        <v>8.0200398676632612E-5</v>
      </c>
      <c r="Q179" s="305">
        <f t="shared" si="53"/>
        <v>0.5</v>
      </c>
      <c r="R179" s="177">
        <f t="shared" si="54"/>
        <v>0.76766076152242579</v>
      </c>
      <c r="S179" s="811">
        <f t="shared" si="55"/>
        <v>0</v>
      </c>
      <c r="T179" s="176">
        <f t="shared" si="56"/>
        <v>6</v>
      </c>
      <c r="U179" s="251">
        <f t="shared" si="57"/>
        <v>0.76766076152242579</v>
      </c>
      <c r="V179" s="383">
        <f t="shared" si="58"/>
        <v>57.225263055757047</v>
      </c>
      <c r="W179" s="402">
        <f t="shared" si="59"/>
        <v>46.939978106270139</v>
      </c>
      <c r="X179" s="157">
        <f t="shared" si="60"/>
        <v>45091</v>
      </c>
      <c r="Y179" s="385">
        <f t="shared" si="61"/>
        <v>45.630825137680318</v>
      </c>
      <c r="Z179" s="385">
        <f t="shared" si="62"/>
        <v>47.499036144488045</v>
      </c>
      <c r="AA179" s="386">
        <f t="shared" si="63"/>
        <v>52.085434940164276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8.8055303770527782E-2</v>
      </c>
      <c r="AD179" s="231">
        <f>(INDEX(Models!$BJ179:$BT179,,AH179)*(1-AF179)+INDEX(Models!$BJ179:$BT179,,AH179+1)*AF179-ERP_i)*AE179*Ramure*Pc/MaxiM</f>
        <v>8.0200398676632612E-5</v>
      </c>
      <c r="AE179" s="305">
        <f t="shared" si="65"/>
        <v>0.5</v>
      </c>
      <c r="AF179" s="177">
        <f t="shared" si="66"/>
        <v>0.76766076152242579</v>
      </c>
      <c r="AG179" s="811">
        <f t="shared" si="74"/>
        <v>0</v>
      </c>
      <c r="AH179" s="176">
        <f t="shared" si="67"/>
        <v>6</v>
      </c>
      <c r="AI179" s="225">
        <f t="shared" si="68"/>
        <v>0.76766076152242579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411">
        <f>'2022'!Wh/'2022'!Env_an*'2023'!Env_an</f>
        <v>51.203743167928167</v>
      </c>
      <c r="C180" s="841"/>
      <c r="D180" s="393">
        <f t="shared" si="50"/>
        <v>53.301287258111792</v>
      </c>
      <c r="E180" s="385">
        <f t="shared" si="75"/>
        <v>56.822681254538821</v>
      </c>
      <c r="F180" s="385">
        <f t="shared" si="51"/>
        <v>56.826549016796932</v>
      </c>
      <c r="G180" s="110">
        <f t="shared" si="76"/>
        <v>0.89561435382596943</v>
      </c>
      <c r="H180" s="414" t="b">
        <f>Wh_hp&gt;='2022'!Maxi_hp</f>
        <v>0</v>
      </c>
      <c r="I180" s="390">
        <f>IF(H180,Wh_hp,'2022'!Maxi_hp)</f>
        <v>56.826713041719522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3.9352597246409049E-2</v>
      </c>
      <c r="M180" s="845"/>
      <c r="N180" s="845"/>
      <c r="O180" s="48">
        <f>IF(t&lt;Tnet,'2022'!Resal+('2022'!Salim-'2022'!Resal)*(1-EXP(('2022'!Tnet-t)/('2022'!Tau_j))),Resal+(Salim-Resal)*(1-EXP((Tnet-t)/(Tau_j))))*Salcycl</f>
        <v>6.1971626799038962E-2</v>
      </c>
      <c r="P180" s="169">
        <f>(INDEX(Models!$BJ180:$BT180,,T180)*(1-R180)+INDEX(Models!$BJ180:$BT180,,T180+1)*R180-ERP_i)*Q180*Ramure*Pc/MaxiM</f>
        <v>7.9989610793033999E-5</v>
      </c>
      <c r="Q180" s="305">
        <f t="shared" si="53"/>
        <v>0.5</v>
      </c>
      <c r="R180" s="177">
        <f t="shared" si="54"/>
        <v>0.77276268006956572</v>
      </c>
      <c r="S180" s="811">
        <f t="shared" si="55"/>
        <v>0</v>
      </c>
      <c r="T180" s="176">
        <f t="shared" si="56"/>
        <v>6</v>
      </c>
      <c r="U180" s="251">
        <f t="shared" si="57"/>
        <v>0.77276268006956572</v>
      </c>
      <c r="V180" s="383">
        <f t="shared" si="58"/>
        <v>57.170960022750279</v>
      </c>
      <c r="W180" s="402">
        <f t="shared" si="59"/>
        <v>51.203743167928167</v>
      </c>
      <c r="X180" s="157">
        <f t="shared" si="60"/>
        <v>45092</v>
      </c>
      <c r="Y180" s="385">
        <f t="shared" si="61"/>
        <v>49.77611539773816</v>
      </c>
      <c r="Z180" s="385">
        <f t="shared" si="62"/>
        <v>51.815177197232153</v>
      </c>
      <c r="AA180" s="386">
        <f t="shared" si="63"/>
        <v>56.822681254538821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8.8125092775460781E-2</v>
      </c>
      <c r="AD180" s="231">
        <f>(INDEX(Models!$BJ180:$BT180,,AH180)*(1-AF180)+INDEX(Models!$BJ180:$BT180,,AH180+1)*AF180-ERP_i)*AE180*Ramure*Pc/MaxiM</f>
        <v>7.9989610793033999E-5</v>
      </c>
      <c r="AE180" s="305">
        <f t="shared" si="65"/>
        <v>0.5</v>
      </c>
      <c r="AF180" s="177">
        <f t="shared" si="66"/>
        <v>0.77276268006956572</v>
      </c>
      <c r="AG180" s="811">
        <f t="shared" si="74"/>
        <v>0</v>
      </c>
      <c r="AH180" s="176">
        <f t="shared" si="67"/>
        <v>6</v>
      </c>
      <c r="AI180" s="225">
        <f t="shared" si="68"/>
        <v>0.77276268006956572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411">
        <f>'2022'!Wh/'2022'!Env_an*'2023'!Env_an</f>
        <v>49.209695142650695</v>
      </c>
      <c r="C181" s="841"/>
      <c r="D181" s="393">
        <f t="shared" si="50"/>
        <v>51.226675722869672</v>
      </c>
      <c r="E181" s="385">
        <f t="shared" si="75"/>
        <v>54.615618344788047</v>
      </c>
      <c r="F181" s="385">
        <f t="shared" si="51"/>
        <v>54.619121055305662</v>
      </c>
      <c r="G181" s="110">
        <f t="shared" si="76"/>
        <v>0.8616085551733218</v>
      </c>
      <c r="H181" s="414" t="b">
        <f>Wh_hp&gt;='2022'!Maxi_hp</f>
        <v>0</v>
      </c>
      <c r="I181" s="390">
        <f>IF(H181,Wh_hp,'2022'!Maxi_hp)</f>
        <v>64.761857489550721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3.9373637889965951E-2</v>
      </c>
      <c r="M181" s="845"/>
      <c r="N181" s="845"/>
      <c r="O181" s="48">
        <f>IF(t&lt;Tnet,'2022'!Resal+('2022'!Salim-'2022'!Resal)*(1-EXP(('2022'!Tnet-t)/('2022'!Tau_j))),Resal+(Salim-Resal)*(1-EXP((Tnet-t)/(Tau_j))))*Salcycl</f>
        <v>6.2050796541824361E-2</v>
      </c>
      <c r="P181" s="169">
        <f>(INDEX(Models!$BJ181:$BT181,,T181)*(1-R181)+INDEX(Models!$BJ181:$BT181,,T181+1)*R181-ERP_i)*Q181*Ramure*Pc/MaxiM</f>
        <v>7.9930648363935134E-5</v>
      </c>
      <c r="Q181" s="305">
        <f t="shared" si="53"/>
        <v>0.5</v>
      </c>
      <c r="R181" s="177">
        <f t="shared" si="54"/>
        <v>0.77784318093983762</v>
      </c>
      <c r="S181" s="811">
        <f t="shared" si="55"/>
        <v>0</v>
      </c>
      <c r="T181" s="176">
        <f t="shared" si="56"/>
        <v>6</v>
      </c>
      <c r="U181" s="251">
        <f t="shared" si="57"/>
        <v>0.77784318093983762</v>
      </c>
      <c r="V181" s="383">
        <f t="shared" si="58"/>
        <v>57.112846941773583</v>
      </c>
      <c r="W181" s="402">
        <f t="shared" si="59"/>
        <v>49.209695142650695</v>
      </c>
      <c r="X181" s="157">
        <f t="shared" si="60"/>
        <v>45093</v>
      </c>
      <c r="Y181" s="385">
        <f t="shared" si="61"/>
        <v>47.838110676852189</v>
      </c>
      <c r="Z181" s="385">
        <f t="shared" si="62"/>
        <v>49.798873488933687</v>
      </c>
      <c r="AA181" s="386">
        <f t="shared" si="63"/>
        <v>54.615618344788047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8.8193542467033495E-2</v>
      </c>
      <c r="AD181" s="231">
        <f>(INDEX(Models!$BJ181:$BT181,,AH181)*(1-AF181)+INDEX(Models!$BJ181:$BT181,,AH181+1)*AF181-ERP_i)*AE181*Ramure*Pc/MaxiM</f>
        <v>7.9930648363935134E-5</v>
      </c>
      <c r="AE181" s="305">
        <f t="shared" si="65"/>
        <v>0.5</v>
      </c>
      <c r="AF181" s="177">
        <f t="shared" si="66"/>
        <v>0.77784318093983762</v>
      </c>
      <c r="AG181" s="811">
        <f t="shared" si="74"/>
        <v>0</v>
      </c>
      <c r="AH181" s="176">
        <f t="shared" si="67"/>
        <v>6</v>
      </c>
      <c r="AI181" s="225">
        <f t="shared" si="68"/>
        <v>0.77784318093983762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411">
        <f>'2022'!Wh/'2022'!Env_an*'2023'!Env_an</f>
        <v>49.277412740919793</v>
      </c>
      <c r="C182" s="841"/>
      <c r="D182" s="393">
        <f t="shared" si="50"/>
        <v>51.29829245798004</v>
      </c>
      <c r="E182" s="385">
        <f t="shared" si="75"/>
        <v>54.696533553318424</v>
      </c>
      <c r="F182" s="385">
        <f t="shared" si="51"/>
        <v>54.7000589183382</v>
      </c>
      <c r="G182" s="110">
        <f t="shared" si="76"/>
        <v>0.86372499383323253</v>
      </c>
      <c r="H182" s="414" t="b">
        <f>Wh_hp&gt;='2022'!Maxi_hp</f>
        <v>0</v>
      </c>
      <c r="I182" s="390">
        <f>IF(H182,Wh_hp,'2022'!Maxi_hp)</f>
        <v>62.682408537874828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3.9394678072678713E-2</v>
      </c>
      <c r="M182" s="845"/>
      <c r="N182" s="845"/>
      <c r="O182" s="48">
        <f>IF(t&lt;Tnet,'2022'!Resal+('2022'!Salim-'2022'!Resal)*(1-EXP(('2022'!Tnet-t)/('2022'!Tau_j))),Resal+(Salim-Resal)*(1-EXP((Tnet-t)/(Tau_j))))*Salcycl</f>
        <v>6.2129002965530922E-2</v>
      </c>
      <c r="P182" s="169">
        <f>(INDEX(Models!$BJ182:$BT182,,T182)*(1-R182)+INDEX(Models!$BJ182:$BT182,,T182+1)*R182-ERP_i)*Q182*Ramure*Pc/MaxiM</f>
        <v>8.0027026369647539E-5</v>
      </c>
      <c r="Q182" s="305">
        <f t="shared" si="53"/>
        <v>0.5</v>
      </c>
      <c r="R182" s="177">
        <f t="shared" si="54"/>
        <v>0.78289813846949752</v>
      </c>
      <c r="S182" s="811">
        <f t="shared" si="55"/>
        <v>0</v>
      </c>
      <c r="T182" s="176">
        <f t="shared" si="56"/>
        <v>6</v>
      </c>
      <c r="U182" s="251">
        <f t="shared" si="57"/>
        <v>0.78289813846949752</v>
      </c>
      <c r="V182" s="383">
        <f t="shared" si="58"/>
        <v>57.051313090695388</v>
      </c>
      <c r="W182" s="402">
        <f t="shared" si="59"/>
        <v>49.277412740919793</v>
      </c>
      <c r="X182" s="157">
        <f t="shared" si="60"/>
        <v>45094</v>
      </c>
      <c r="Y182" s="385">
        <f t="shared" si="61"/>
        <v>47.904411058445902</v>
      </c>
      <c r="Z182" s="385">
        <f t="shared" si="62"/>
        <v>49.868983613720097</v>
      </c>
      <c r="AA182" s="386">
        <f t="shared" si="63"/>
        <v>54.696533553318424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8.826061956727857E-2</v>
      </c>
      <c r="AD182" s="231">
        <f>(INDEX(Models!$BJ182:$BT182,,AH182)*(1-AF182)+INDEX(Models!$BJ182:$BT182,,AH182+1)*AF182-ERP_i)*AE182*Ramure*Pc/MaxiM</f>
        <v>8.0027026369647539E-5</v>
      </c>
      <c r="AE182" s="305">
        <f t="shared" si="65"/>
        <v>0.5</v>
      </c>
      <c r="AF182" s="177">
        <f t="shared" si="66"/>
        <v>0.78289813846949752</v>
      </c>
      <c r="AG182" s="811">
        <f t="shared" si="74"/>
        <v>0</v>
      </c>
      <c r="AH182" s="176">
        <f t="shared" si="67"/>
        <v>6</v>
      </c>
      <c r="AI182" s="225">
        <f t="shared" si="68"/>
        <v>0.78289813846949752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411">
        <f>'2022'!Wh/'2022'!Env_an*'2023'!Env_an</f>
        <v>52.50621483922459</v>
      </c>
      <c r="C183" s="841"/>
      <c r="D183" s="393">
        <f t="shared" si="50"/>
        <v>54.660705793221545</v>
      </c>
      <c r="E183" s="385">
        <f t="shared" si="75"/>
        <v>58.286488135677168</v>
      </c>
      <c r="F183" s="385">
        <f t="shared" si="51"/>
        <v>58.290642214744921</v>
      </c>
      <c r="G183" s="110">
        <f t="shared" si="76"/>
        <v>0.92136757663940128</v>
      </c>
      <c r="H183" s="414" t="b">
        <f>Wh_hp&gt;='2022'!Maxi_hp</f>
        <v>0</v>
      </c>
      <c r="I183" s="390">
        <f>IF(H183,Wh_hp,'2022'!Maxi_hp)</f>
        <v>60.904385564297691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3.9415717794557548E-2</v>
      </c>
      <c r="M183" s="845"/>
      <c r="N183" s="845"/>
      <c r="O183" s="48">
        <f>IF(t&lt;Tnet,'2022'!Resal+('2022'!Salim-'2022'!Resal)*(1-EXP(('2022'!Tnet-t)/('2022'!Tau_j))),Resal+(Salim-Resal)*(1-EXP((Tnet-t)/(Tau_j))))*Salcycl</f>
        <v>6.2206224091176314E-2</v>
      </c>
      <c r="P183" s="169">
        <f>(INDEX(Models!$BJ183:$BT183,,T183)*(1-R183)+INDEX(Models!$BJ183:$BT183,,T183+1)*R183-ERP_i)*Q183*Ramure*Pc/MaxiM</f>
        <v>8.0282255123171044E-5</v>
      </c>
      <c r="Q183" s="305">
        <f t="shared" si="53"/>
        <v>0.5</v>
      </c>
      <c r="R183" s="177">
        <f t="shared" si="54"/>
        <v>0.7879235112517694</v>
      </c>
      <c r="S183" s="811">
        <f t="shared" si="55"/>
        <v>0</v>
      </c>
      <c r="T183" s="176">
        <f t="shared" si="56"/>
        <v>6</v>
      </c>
      <c r="U183" s="251">
        <f t="shared" si="57"/>
        <v>0.7879235112517694</v>
      </c>
      <c r="V183" s="383">
        <f t="shared" si="58"/>
        <v>56.986747386811814</v>
      </c>
      <c r="W183" s="402">
        <f t="shared" si="59"/>
        <v>52.50621483922459</v>
      </c>
      <c r="X183" s="157">
        <f t="shared" si="60"/>
        <v>45095</v>
      </c>
      <c r="Y183" s="385">
        <f t="shared" si="61"/>
        <v>51.043775988373419</v>
      </c>
      <c r="Z183" s="385">
        <f t="shared" si="62"/>
        <v>53.138258593176275</v>
      </c>
      <c r="AA183" s="386">
        <f t="shared" si="63"/>
        <v>58.286488135677168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8.8326294947073003E-2</v>
      </c>
      <c r="AD183" s="231">
        <f>(INDEX(Models!$BJ183:$BT183,,AH183)*(1-AF183)+INDEX(Models!$BJ183:$BT183,,AH183+1)*AF183-ERP_i)*AE183*Ramure*Pc/MaxiM</f>
        <v>8.0282255123171044E-5</v>
      </c>
      <c r="AE183" s="305">
        <f t="shared" si="65"/>
        <v>0.5</v>
      </c>
      <c r="AF183" s="177">
        <f t="shared" si="66"/>
        <v>0.7879235112517694</v>
      </c>
      <c r="AG183" s="811">
        <f t="shared" si="74"/>
        <v>0</v>
      </c>
      <c r="AH183" s="176">
        <f t="shared" si="67"/>
        <v>6</v>
      </c>
      <c r="AI183" s="225">
        <f t="shared" si="68"/>
        <v>0.7879235112517694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411">
        <f>'2022'!Wh/'2022'!Env_an*'2023'!Env_an</f>
        <v>53.578346806670552</v>
      </c>
      <c r="C184" s="841"/>
      <c r="D184" s="393">
        <f t="shared" si="50"/>
        <v>55.778052304435825</v>
      </c>
      <c r="E184" s="385">
        <f t="shared" si="75"/>
        <v>59.48278536760904</v>
      </c>
      <c r="F184" s="385">
        <f t="shared" si="51"/>
        <v>59.487184346300438</v>
      </c>
      <c r="G184" s="110">
        <f t="shared" si="76"/>
        <v>0.94129338654142503</v>
      </c>
      <c r="H184" s="414" t="b">
        <f>Wh_hp&gt;='2022'!Maxi_hp</f>
        <v>0</v>
      </c>
      <c r="I184" s="390">
        <f>IF(H184,Wh_hp,'2022'!Maxi_hp)</f>
        <v>59.487278705048723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3.9436757055612337E-2</v>
      </c>
      <c r="M184" s="845"/>
      <c r="N184" s="845"/>
      <c r="O184" s="48">
        <f>IF(t&lt;Tnet,'2022'!Resal+('2022'!Salim-'2022'!Resal)*(1-EXP(('2022'!Tnet-t)/('2022'!Tau_j))),Resal+(Salim-Resal)*(1-EXP((Tnet-t)/(Tau_j))))*Salcycl</f>
        <v>6.2282440882309498E-2</v>
      </c>
      <c r="P184" s="169">
        <f>(INDEX(Models!$BJ184:$BT184,,T184)*(1-R184)+INDEX(Models!$BJ184:$BT184,,T184+1)*R184-ERP_i)*Q184*Ramure*Pc/MaxiM</f>
        <v>8.0717073687360311E-5</v>
      </c>
      <c r="Q184" s="305">
        <f t="shared" si="53"/>
        <v>0.5</v>
      </c>
      <c r="R184" s="177">
        <f t="shared" si="54"/>
        <v>0.7929153546661819</v>
      </c>
      <c r="S184" s="811">
        <f t="shared" si="55"/>
        <v>0</v>
      </c>
      <c r="T184" s="176">
        <f t="shared" si="56"/>
        <v>6</v>
      </c>
      <c r="U184" s="251">
        <f t="shared" si="57"/>
        <v>0.7929153546661819</v>
      </c>
      <c r="V184" s="383">
        <f t="shared" si="58"/>
        <v>56.919537402989988</v>
      </c>
      <c r="W184" s="402">
        <f t="shared" si="59"/>
        <v>53.578346806670552</v>
      </c>
      <c r="X184" s="157">
        <f t="shared" si="60"/>
        <v>45096</v>
      </c>
      <c r="Y184" s="385">
        <f t="shared" si="61"/>
        <v>52.086608730629408</v>
      </c>
      <c r="Z184" s="385">
        <f t="shared" si="62"/>
        <v>54.225069627867271</v>
      </c>
      <c r="AA184" s="386">
        <f t="shared" si="63"/>
        <v>59.48278536760904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8.839054370518469E-2</v>
      </c>
      <c r="AD184" s="231">
        <f>(INDEX(Models!$BJ184:$BT184,,AH184)*(1-AF184)+INDEX(Models!$BJ184:$BT184,,AH184+1)*AF184-ERP_i)*AE184*Ramure*Pc/MaxiM</f>
        <v>8.0717073687360311E-5</v>
      </c>
      <c r="AE184" s="305">
        <f t="shared" si="65"/>
        <v>0.5</v>
      </c>
      <c r="AF184" s="177">
        <f t="shared" si="66"/>
        <v>0.7929153546661819</v>
      </c>
      <c r="AG184" s="811">
        <f t="shared" si="74"/>
        <v>0</v>
      </c>
      <c r="AH184" s="176">
        <f t="shared" si="67"/>
        <v>6</v>
      </c>
      <c r="AI184" s="225">
        <f t="shared" si="68"/>
        <v>0.7929153546661819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411">
        <f>'2022'!Wh/'2022'!Env_an*'2023'!Env_an</f>
        <v>29.838528822545801</v>
      </c>
      <c r="C185" s="841"/>
      <c r="D185" s="393">
        <f t="shared" si="50"/>
        <v>31.064255889861965</v>
      </c>
      <c r="E185" s="385">
        <f t="shared" si="75"/>
        <v>33.130175347607086</v>
      </c>
      <c r="F185" s="385">
        <f t="shared" si="51"/>
        <v>33.131039301203359</v>
      </c>
      <c r="G185" s="110">
        <f t="shared" si="76"/>
        <v>0.52483452101001804</v>
      </c>
      <c r="H185" s="414" t="b">
        <f>Wh_hp&gt;='2022'!Maxi_hp</f>
        <v>0</v>
      </c>
      <c r="I185" s="390">
        <f>IF(H185,Wh_hp,'2022'!Maxi_hp)</f>
        <v>58.208712843769881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3.9457795855853406E-2</v>
      </c>
      <c r="M185" s="845"/>
      <c r="N185" s="845"/>
      <c r="O185" s="48">
        <f>IF(t&lt;Tnet,'2022'!Resal+('2022'!Salim-'2022'!Resal)*(1-EXP(('2022'!Tnet-t)/('2022'!Tau_j))),Resal+(Salim-Resal)*(1-EXP((Tnet-t)/(Tau_j))))*Salcycl</f>
        <v>6.2357637291960102E-2</v>
      </c>
      <c r="P185" s="169">
        <f>(INDEX(Models!$BJ185:$BT185,,T185)*(1-R185)+INDEX(Models!$BJ185:$BT185,,T185+1)*R185-ERP_i)*Q185*Ramure*Pc/MaxiM</f>
        <v>8.1177288910796314E-5</v>
      </c>
      <c r="Q185" s="305">
        <f t="shared" si="53"/>
        <v>0.5</v>
      </c>
      <c r="R185" s="177">
        <f t="shared" si="54"/>
        <v>0.79786983274326428</v>
      </c>
      <c r="S185" s="811">
        <f t="shared" si="55"/>
        <v>0</v>
      </c>
      <c r="T185" s="176">
        <f t="shared" si="56"/>
        <v>6</v>
      </c>
      <c r="U185" s="251">
        <f t="shared" si="57"/>
        <v>0.79786983274326428</v>
      </c>
      <c r="V185" s="383">
        <f t="shared" si="58"/>
        <v>56.850080300789031</v>
      </c>
      <c r="W185" s="402">
        <f t="shared" si="59"/>
        <v>29.838528822545801</v>
      </c>
      <c r="X185" s="157">
        <f t="shared" si="60"/>
        <v>45097</v>
      </c>
      <c r="Y185" s="385">
        <f t="shared" si="61"/>
        <v>29.008086892606087</v>
      </c>
      <c r="Z185" s="385">
        <f t="shared" si="62"/>
        <v>30.199700510247339</v>
      </c>
      <c r="AA185" s="386">
        <f t="shared" si="63"/>
        <v>33.130175347607086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8.8453345224187227E-2</v>
      </c>
      <c r="AD185" s="231">
        <f>(INDEX(Models!$BJ185:$BT185,,AH185)*(1-AF185)+INDEX(Models!$BJ185:$BT185,,AH185+1)*AF185-ERP_i)*AE185*Ramure*Pc/MaxiM</f>
        <v>8.1177288910796314E-5</v>
      </c>
      <c r="AE185" s="305">
        <f t="shared" si="65"/>
        <v>0.5</v>
      </c>
      <c r="AF185" s="177">
        <f t="shared" si="66"/>
        <v>0.79786983274326428</v>
      </c>
      <c r="AG185" s="811">
        <f t="shared" si="74"/>
        <v>0</v>
      </c>
      <c r="AH185" s="176">
        <f t="shared" si="67"/>
        <v>6</v>
      </c>
      <c r="AI185" s="225">
        <f t="shared" si="68"/>
        <v>0.79786983274326428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411">
        <f>'2022'!Wh/'2022'!Env_an*'2023'!Env_an</f>
        <v>22.283695302407455</v>
      </c>
      <c r="C186" s="841"/>
      <c r="D186" s="393">
        <f t="shared" si="50"/>
        <v>23.199587990066345</v>
      </c>
      <c r="E186" s="385">
        <f t="shared" si="75"/>
        <v>24.744427122547055</v>
      </c>
      <c r="F186" s="385">
        <f t="shared" si="51"/>
        <v>24.744694048626272</v>
      </c>
      <c r="G186" s="110">
        <f t="shared" si="76"/>
        <v>0.39243749440860837</v>
      </c>
      <c r="H186" s="414" t="b">
        <f>Wh_hp&gt;='2022'!Maxi_hp</f>
        <v>0</v>
      </c>
      <c r="I186" s="390">
        <f>IF(H186,Wh_hp,'2022'!Maxi_hp)</f>
        <v>54.428674381419142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3.9478834195290746E-2</v>
      </c>
      <c r="M186" s="845"/>
      <c r="N186" s="845"/>
      <c r="O186" s="48">
        <f>IF(t&lt;Tnet,'2022'!Resal+('2022'!Salim-'2022'!Resal)*(1-EXP(('2022'!Tnet-t)/('2022'!Tau_j))),Resal+(Salim-Resal)*(1-EXP((Tnet-t)/(Tau_j))))*Salcycl</f>
        <v>6.2431800293046853E-2</v>
      </c>
      <c r="P186" s="169">
        <f>(INDEX(Models!$BJ186:$BT186,,T186)*(1-R186)+INDEX(Models!$BJ186:$BT186,,T186+1)*R186-ERP_i)*Q186*Ramure*Pc/MaxiM</f>
        <v>8.1663525175246844E-5</v>
      </c>
      <c r="Q186" s="305">
        <f t="shared" si="53"/>
        <v>0.5</v>
      </c>
      <c r="R186" s="177">
        <f t="shared" si="54"/>
        <v>0.80278322929289092</v>
      </c>
      <c r="S186" s="811">
        <f t="shared" si="55"/>
        <v>0</v>
      </c>
      <c r="T186" s="176">
        <f t="shared" si="56"/>
        <v>6</v>
      </c>
      <c r="U186" s="251">
        <f t="shared" si="57"/>
        <v>0.80278322929289092</v>
      </c>
      <c r="V186" s="383">
        <f t="shared" si="58"/>
        <v>56.778764049083328</v>
      </c>
      <c r="W186" s="402">
        <f t="shared" si="59"/>
        <v>22.283695302407455</v>
      </c>
      <c r="X186" s="157">
        <f t="shared" si="60"/>
        <v>45098</v>
      </c>
      <c r="Y186" s="385">
        <f t="shared" si="61"/>
        <v>21.663769183378392</v>
      </c>
      <c r="Z186" s="385">
        <f t="shared" si="62"/>
        <v>22.554181994759933</v>
      </c>
      <c r="AA186" s="386">
        <f t="shared" si="63"/>
        <v>24.744427122547055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8.8514683202803965E-2</v>
      </c>
      <c r="AD186" s="231">
        <f>(INDEX(Models!$BJ186:$BT186,,AH186)*(1-AF186)+INDEX(Models!$BJ186:$BT186,,AH186+1)*AF186-ERP_i)*AE186*Ramure*Pc/MaxiM</f>
        <v>8.1663525175246844E-5</v>
      </c>
      <c r="AE186" s="305">
        <f t="shared" si="65"/>
        <v>0.5</v>
      </c>
      <c r="AF186" s="177">
        <f t="shared" si="66"/>
        <v>0.80278322929289092</v>
      </c>
      <c r="AG186" s="811">
        <f t="shared" si="74"/>
        <v>0</v>
      </c>
      <c r="AH186" s="176">
        <f t="shared" si="67"/>
        <v>6</v>
      </c>
      <c r="AI186" s="225">
        <f t="shared" si="68"/>
        <v>0.80278322929289092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411">
        <f>'2022'!Wh/'2022'!Env_an*'2023'!Env_an</f>
        <v>37.273249668428569</v>
      </c>
      <c r="C187" s="841"/>
      <c r="D187" s="393">
        <f t="shared" si="50"/>
        <v>38.806085064152825</v>
      </c>
      <c r="E187" s="385">
        <f t="shared" si="75"/>
        <v>41.39337462942472</v>
      </c>
      <c r="F187" s="385">
        <f t="shared" si="51"/>
        <v>41.395110990473206</v>
      </c>
      <c r="G187" s="110">
        <f t="shared" si="76"/>
        <v>0.65728081144170536</v>
      </c>
      <c r="H187" s="414" t="b">
        <f>Wh_hp&gt;='2022'!Maxi_hp</f>
        <v>0</v>
      </c>
      <c r="I187" s="390">
        <f>IF(H187,Wh_hp,'2022'!Maxi_hp)</f>
        <v>63.004166310746122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3.9499872073934461E-2</v>
      </c>
      <c r="M187" s="845"/>
      <c r="N187" s="845"/>
      <c r="O187" s="48">
        <f>IF(t&lt;Tnet,'2022'!Resal+('2022'!Salim-'2022'!Resal)*(1-EXP(('2022'!Tnet-t)/('2022'!Tau_j))),Resal+(Salim-Resal)*(1-EXP((Tnet-t)/(Tau_j))))*Salcycl</f>
        <v>6.2504919892003782E-2</v>
      </c>
      <c r="P187" s="169">
        <f>(INDEX(Models!$BJ187:$BT187,,T187)*(1-R187)+INDEX(Models!$BJ187:$BT187,,T187+1)*R187-ERP_i)*Q187*Ramure*Pc/MaxiM</f>
        <v>8.2176414330419767E-5</v>
      </c>
      <c r="Q187" s="305">
        <f t="shared" si="53"/>
        <v>0.5</v>
      </c>
      <c r="R187" s="177">
        <f t="shared" si="54"/>
        <v>0.80765195823297853</v>
      </c>
      <c r="S187" s="811">
        <f t="shared" si="55"/>
        <v>0</v>
      </c>
      <c r="T187" s="176">
        <f t="shared" si="56"/>
        <v>6</v>
      </c>
      <c r="U187" s="251">
        <f t="shared" si="57"/>
        <v>0.80765195823297853</v>
      </c>
      <c r="V187" s="383">
        <f t="shared" si="58"/>
        <v>56.705976258530292</v>
      </c>
      <c r="W187" s="402">
        <f t="shared" si="59"/>
        <v>37.273249668428569</v>
      </c>
      <c r="X187" s="157">
        <f t="shared" si="60"/>
        <v>45099</v>
      </c>
      <c r="Y187" s="385">
        <f t="shared" si="61"/>
        <v>36.236764580884582</v>
      </c>
      <c r="Z187" s="385">
        <f t="shared" si="62"/>
        <v>37.726975278106266</v>
      </c>
      <c r="AA187" s="386">
        <f t="shared" si="63"/>
        <v>41.39337462942472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8.8574545664420745E-2</v>
      </c>
      <c r="AD187" s="231">
        <f>(INDEX(Models!$BJ187:$BT187,,AH187)*(1-AF187)+INDEX(Models!$BJ187:$BT187,,AH187+1)*AF187-ERP_i)*AE187*Ramure*Pc/MaxiM</f>
        <v>8.2176414330419767E-5</v>
      </c>
      <c r="AE187" s="305">
        <f t="shared" si="65"/>
        <v>0.5</v>
      </c>
      <c r="AF187" s="177">
        <f t="shared" si="66"/>
        <v>0.80765195823297853</v>
      </c>
      <c r="AG187" s="811">
        <f t="shared" si="74"/>
        <v>0</v>
      </c>
      <c r="AH187" s="176">
        <f t="shared" si="67"/>
        <v>6</v>
      </c>
      <c r="AI187" s="225">
        <f t="shared" si="68"/>
        <v>0.80765195823297853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411">
        <f>'2022'!Wh/'2022'!Env_an*'2023'!Env_an</f>
        <v>39.810667046789845</v>
      </c>
      <c r="C188" s="841"/>
      <c r="D188" s="393">
        <f t="shared" si="50"/>
        <v>41.448759728569797</v>
      </c>
      <c r="E188" s="385">
        <f t="shared" si="75"/>
        <v>44.21564144228099</v>
      </c>
      <c r="F188" s="385">
        <f t="shared" si="51"/>
        <v>44.217746962476127</v>
      </c>
      <c r="G188" s="110">
        <f t="shared" si="76"/>
        <v>0.70294526784577016</v>
      </c>
      <c r="H188" s="414" t="b">
        <f>Wh_hp&gt;='2022'!Maxi_hp</f>
        <v>0</v>
      </c>
      <c r="I188" s="390">
        <f>IF(H188,Wh_hp,'2022'!Maxi_hp)</f>
        <v>55.386626209177535</v>
      </c>
      <c r="J188" s="85">
        <f>IF(H188,An,'2022'!An_max)</f>
        <v>2019</v>
      </c>
      <c r="K188" s="197">
        <f t="shared" si="52"/>
        <v>45100</v>
      </c>
      <c r="L188" s="147">
        <f>IF(t&lt;Tvie,1-EXP((T0-t)*PertePVj)+'2022'!Pspv,1-EXP((T0-t)*PertePVj)+Pspv)</f>
        <v>3.9520909491794654E-2</v>
      </c>
      <c r="M188" s="845"/>
      <c r="N188" s="845"/>
      <c r="O188" s="48">
        <f>IF(t&lt;Tnet,'2022'!Resal+('2022'!Salim-'2022'!Resal)*(1-EXP(('2022'!Tnet-t)/('2022'!Tau_j))),Resal+(Salim-Resal)*(1-EXP((Tnet-t)/(Tau_j))))*Salcycl</f>
        <v>6.2576989125512877E-2</v>
      </c>
      <c r="P188" s="169">
        <f>(INDEX(Models!$BJ188:$BT188,,T188)*(1-R188)+INDEX(Models!$BJ188:$BT188,,T188+1)*R188-ERP_i)*Q188*Ramure*Pc/MaxiM</f>
        <v>8.2715745456105966E-5</v>
      </c>
      <c r="Q188" s="305">
        <f t="shared" si="53"/>
        <v>0.5</v>
      </c>
      <c r="R188" s="177">
        <f t="shared" si="54"/>
        <v>0.8124725730642004</v>
      </c>
      <c r="S188" s="811">
        <f t="shared" si="55"/>
        <v>0</v>
      </c>
      <c r="T188" s="176">
        <f t="shared" si="56"/>
        <v>6</v>
      </c>
      <c r="U188" s="251">
        <f t="shared" si="57"/>
        <v>0.8124725730642004</v>
      </c>
      <c r="V188" s="383">
        <f t="shared" si="58"/>
        <v>56.632104233585913</v>
      </c>
      <c r="W188" s="402">
        <f t="shared" si="59"/>
        <v>39.810667046789845</v>
      </c>
      <c r="X188" s="157">
        <f t="shared" si="60"/>
        <v>45100</v>
      </c>
      <c r="Y188" s="385">
        <f t="shared" si="61"/>
        <v>38.70411837736598</v>
      </c>
      <c r="Z188" s="385">
        <f t="shared" si="62"/>
        <v>40.296679813078484</v>
      </c>
      <c r="AA188" s="386">
        <f t="shared" si="63"/>
        <v>44.21564144228099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8.8632924941693197E-2</v>
      </c>
      <c r="AD188" s="231">
        <f>(INDEX(Models!$BJ188:$BT188,,AH188)*(1-AF188)+INDEX(Models!$BJ188:$BT188,,AH188+1)*AF188-ERP_i)*AE188*Ramure*Pc/MaxiM</f>
        <v>8.2715745456105966E-5</v>
      </c>
      <c r="AE188" s="305">
        <f t="shared" si="65"/>
        <v>0.5</v>
      </c>
      <c r="AF188" s="177">
        <f t="shared" si="66"/>
        <v>0.8124725730642004</v>
      </c>
      <c r="AG188" s="811">
        <f t="shared" si="74"/>
        <v>0</v>
      </c>
      <c r="AH188" s="176">
        <f t="shared" si="67"/>
        <v>6</v>
      </c>
      <c r="AI188" s="225">
        <f t="shared" si="68"/>
        <v>0.8124725730642004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411">
        <f>'2022'!Wh/'2022'!Env_an*'2023'!Env_an</f>
        <v>38.048683308078949</v>
      </c>
      <c r="C189" s="841"/>
      <c r="D189" s="393">
        <f t="shared" si="50"/>
        <v>39.615143178195943</v>
      </c>
      <c r="E189" s="385">
        <f t="shared" si="75"/>
        <v>42.262824796824589</v>
      </c>
      <c r="F189" s="385">
        <f t="shared" si="51"/>
        <v>42.264699084978318</v>
      </c>
      <c r="G189" s="110">
        <f t="shared" si="76"/>
        <v>0.67271676293738536</v>
      </c>
      <c r="H189" s="414" t="b">
        <f>Wh_hp&gt;='2022'!Maxi_hp</f>
        <v>0</v>
      </c>
      <c r="I189" s="390">
        <f>IF(H189,Wh_hp,'2022'!Maxi_hp)</f>
        <v>62.031075143124923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3.9541946448881427E-2</v>
      </c>
      <c r="M189" s="845"/>
      <c r="N189" s="845"/>
      <c r="O189" s="48">
        <f>IF(t&lt;Tnet,'2022'!Resal+('2022'!Salim-'2022'!Resal)*(1-EXP(('2022'!Tnet-t)/('2022'!Tau_j))),Resal+(Salim-Resal)*(1-EXP((Tnet-t)/(Tau_j))))*Salcycl</f>
        <v>6.2648004040363595E-2</v>
      </c>
      <c r="P189" s="169">
        <f>(INDEX(Models!$BJ189:$BT189,,T189)*(1-R189)+INDEX(Models!$BJ189:$BT189,,T189+1)*R189-ERP_i)*Q189*Ramure*Pc/MaxiM</f>
        <v>8.3281238025804312E-5</v>
      </c>
      <c r="Q189" s="305">
        <f t="shared" si="53"/>
        <v>0.5</v>
      </c>
      <c r="R189" s="177">
        <f t="shared" si="54"/>
        <v>0.81724177544574284</v>
      </c>
      <c r="S189" s="811">
        <f t="shared" si="55"/>
        <v>0</v>
      </c>
      <c r="T189" s="176">
        <f t="shared" si="56"/>
        <v>6</v>
      </c>
      <c r="U189" s="251">
        <f t="shared" si="57"/>
        <v>0.81724177544574284</v>
      </c>
      <c r="V189" s="383">
        <f t="shared" si="58"/>
        <v>56.557534938983352</v>
      </c>
      <c r="W189" s="402">
        <f t="shared" si="59"/>
        <v>38.048683308078949</v>
      </c>
      <c r="X189" s="157">
        <f t="shared" si="60"/>
        <v>45101</v>
      </c>
      <c r="Y189" s="385">
        <f t="shared" si="61"/>
        <v>36.991602592839534</v>
      </c>
      <c r="Z189" s="385">
        <f t="shared" si="62"/>
        <v>38.514542572754557</v>
      </c>
      <c r="AA189" s="386">
        <f t="shared" si="63"/>
        <v>42.262824796824589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8.8689817637359045E-2</v>
      </c>
      <c r="AD189" s="231">
        <f>(INDEX(Models!$BJ189:$BT189,,AH189)*(1-AF189)+INDEX(Models!$BJ189:$BT189,,AH189+1)*AF189-ERP_i)*AE189*Ramure*Pc/MaxiM</f>
        <v>8.3281238025804312E-5</v>
      </c>
      <c r="AE189" s="305">
        <f t="shared" si="65"/>
        <v>0.5</v>
      </c>
      <c r="AF189" s="177">
        <f t="shared" si="66"/>
        <v>0.81724177544574284</v>
      </c>
      <c r="AG189" s="811">
        <f t="shared" si="74"/>
        <v>0</v>
      </c>
      <c r="AH189" s="176">
        <f t="shared" si="67"/>
        <v>6</v>
      </c>
      <c r="AI189" s="225">
        <f t="shared" si="68"/>
        <v>0.81724177544574284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411">
        <f>'2022'!Wh/'2022'!Env_an*'2023'!Env_an</f>
        <v>33.484482166637456</v>
      </c>
      <c r="C190" s="841"/>
      <c r="D190" s="393">
        <f t="shared" si="50"/>
        <v>34.863798012823871</v>
      </c>
      <c r="E190" s="385">
        <f t="shared" si="75"/>
        <v>37.196699244164535</v>
      </c>
      <c r="F190" s="385">
        <f t="shared" si="51"/>
        <v>37.198004387077603</v>
      </c>
      <c r="G190" s="110">
        <f t="shared" si="76"/>
        <v>0.59279877206489695</v>
      </c>
      <c r="H190" s="414" t="b">
        <f>Wh_hp&gt;='2022'!Maxi_hp</f>
        <v>0</v>
      </c>
      <c r="I190" s="390">
        <f>IF(H190,Wh_hp,'2022'!Maxi_hp)</f>
        <v>59.517932616441065</v>
      </c>
      <c r="J190" s="85">
        <f>IF(H190,An,'2022'!An_max)</f>
        <v>2021</v>
      </c>
      <c r="K190" s="197">
        <f t="shared" si="52"/>
        <v>45102</v>
      </c>
      <c r="L190" s="147">
        <f>IF(t&lt;Tvie,1-EXP((T0-t)*PertePVj)+'2022'!Pspv,1-EXP((T0-t)*PertePVj)+Pspv)</f>
        <v>3.9562982945204772E-2</v>
      </c>
      <c r="M190" s="845"/>
      <c r="N190" s="845"/>
      <c r="O190" s="48">
        <f>IF(t&lt;Tnet,'2022'!Resal+('2022'!Salim-'2022'!Resal)*(1-EXP(('2022'!Tnet-t)/('2022'!Tau_j))),Resal+(Salim-Resal)*(1-EXP((Tnet-t)/(Tau_j))))*Salcycl</f>
        <v>6.2717963656591158E-2</v>
      </c>
      <c r="P190" s="169">
        <f>(INDEX(Models!$BJ190:$BT190,,T190)*(1-R190)+INDEX(Models!$BJ190:$BT190,,T190+1)*R190-ERP_i)*Q190*Ramure*Pc/MaxiM</f>
        <v>8.3873413554211155E-5</v>
      </c>
      <c r="Q190" s="305">
        <f t="shared" si="53"/>
        <v>0.5</v>
      </c>
      <c r="R190" s="177">
        <f t="shared" si="54"/>
        <v>0.82195642283671866</v>
      </c>
      <c r="S190" s="811">
        <f t="shared" si="55"/>
        <v>0</v>
      </c>
      <c r="T190" s="176">
        <f t="shared" si="56"/>
        <v>6</v>
      </c>
      <c r="U190" s="251">
        <f t="shared" si="57"/>
        <v>0.82195642283671866</v>
      </c>
      <c r="V190" s="383">
        <f t="shared" si="58"/>
        <v>56.482654955185573</v>
      </c>
      <c r="W190" s="402">
        <f t="shared" si="59"/>
        <v>33.484482166637456</v>
      </c>
      <c r="X190" s="157">
        <f t="shared" si="60"/>
        <v>45102</v>
      </c>
      <c r="Y190" s="385">
        <f t="shared" si="61"/>
        <v>32.554656009914574</v>
      </c>
      <c r="Z190" s="385">
        <f t="shared" si="62"/>
        <v>33.895669816792633</v>
      </c>
      <c r="AA190" s="386">
        <f t="shared" si="63"/>
        <v>37.196699244164535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8.8745224561552247E-2</v>
      </c>
      <c r="AD190" s="231">
        <f>(INDEX(Models!$BJ190:$BT190,,AH190)*(1-AF190)+INDEX(Models!$BJ190:$BT190,,AH190+1)*AF190-ERP_i)*AE190*Ramure*Pc/MaxiM</f>
        <v>8.3873413554211155E-5</v>
      </c>
      <c r="AE190" s="305">
        <f t="shared" si="65"/>
        <v>0.5</v>
      </c>
      <c r="AF190" s="177">
        <f t="shared" si="66"/>
        <v>0.82195642283671866</v>
      </c>
      <c r="AG190" s="811">
        <f t="shared" si="74"/>
        <v>0</v>
      </c>
      <c r="AH190" s="176">
        <f t="shared" si="67"/>
        <v>6</v>
      </c>
      <c r="AI190" s="225">
        <f t="shared" si="68"/>
        <v>0.82195642283671866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411">
        <f>'2022'!Wh/'2022'!Env_an*'2023'!Env_an</f>
        <v>11.235027669749568</v>
      </c>
      <c r="C191" s="841"/>
      <c r="D191" s="393">
        <f t="shared" si="50"/>
        <v>11.698084883829804</v>
      </c>
      <c r="E191" s="385">
        <f t="shared" si="75"/>
        <v>12.481776565335343</v>
      </c>
      <c r="F191" s="385">
        <f t="shared" si="51"/>
        <v>12.481776565335343</v>
      </c>
      <c r="G191" s="110">
        <f t="shared" si="76"/>
        <v>0.19916147722874933</v>
      </c>
      <c r="H191" s="414" t="b">
        <f>Wh_hp&gt;='2022'!Maxi_hp</f>
        <v>0</v>
      </c>
      <c r="I191" s="390">
        <f>IF(H191,Wh_hp,'2022'!Maxi_hp)</f>
        <v>61.557220620707511</v>
      </c>
      <c r="J191" s="85">
        <f>IF(H191,An,'2022'!An_max)</f>
        <v>2019</v>
      </c>
      <c r="K191" s="197">
        <f t="shared" si="52"/>
        <v>45103</v>
      </c>
      <c r="L191" s="147">
        <f>IF(t&lt;Tvie,1-EXP((T0-t)*PertePVj)+'2022'!Pspv,1-EXP((T0-t)*PertePVj)+Pspv)</f>
        <v>3.9584018980774904E-2</v>
      </c>
      <c r="M191" s="845"/>
      <c r="N191" s="845"/>
      <c r="O191" s="48">
        <f>IF(t&lt;Tnet,'2022'!Resal+('2022'!Salim-'2022'!Resal)*(1-EXP(('2022'!Tnet-t)/('2022'!Tau_j))),Resal+(Salim-Resal)*(1-EXP((Tnet-t)/(Tau_j))))*Salcycl</f>
        <v>6.2786869914177507E-2</v>
      </c>
      <c r="P191" s="169">
        <f>(INDEX(Models!$BJ191:$BT191,,T191)*(1-R191)+INDEX(Models!$BJ191:$BT191,,T191+1)*R191-ERP_i)*Q191*Ramure*Pc/MaxiM</f>
        <v>8.4494225396395078E-5</v>
      </c>
      <c r="Q191" s="305">
        <f t="shared" si="53"/>
        <v>0.5</v>
      </c>
      <c r="R191" s="177">
        <f t="shared" si="54"/>
        <v>0.82661353517755098</v>
      </c>
      <c r="S191" s="811">
        <f t="shared" si="55"/>
        <v>0</v>
      </c>
      <c r="T191" s="176">
        <f t="shared" si="56"/>
        <v>6</v>
      </c>
      <c r="U191" s="251">
        <f t="shared" si="57"/>
        <v>0.82661353517755098</v>
      </c>
      <c r="V191" s="383">
        <f t="shared" si="58"/>
        <v>56.406884158055682</v>
      </c>
      <c r="W191" s="402">
        <f t="shared" si="59"/>
        <v>11.235027669749568</v>
      </c>
      <c r="X191" s="157">
        <f t="shared" si="60"/>
        <v>45103</v>
      </c>
      <c r="Y191" s="385">
        <f t="shared" si="61"/>
        <v>10.92320031224159</v>
      </c>
      <c r="Z191" s="385">
        <f t="shared" si="62"/>
        <v>11.373405407779169</v>
      </c>
      <c r="AA191" s="386">
        <f t="shared" si="63"/>
        <v>12.481776565335343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8.8799150646099986E-2</v>
      </c>
      <c r="AD191" s="231">
        <f>(INDEX(Models!$BJ191:$BT191,,AH191)*(1-AF191)+INDEX(Models!$BJ191:$BT191,,AH191+1)*AF191-ERP_i)*AE191*Ramure*Pc/MaxiM</f>
        <v>8.4494225396395078E-5</v>
      </c>
      <c r="AE191" s="305">
        <f t="shared" si="65"/>
        <v>0.5</v>
      </c>
      <c r="AF191" s="177">
        <f t="shared" si="66"/>
        <v>0.82661353517755098</v>
      </c>
      <c r="AG191" s="811">
        <f t="shared" si="74"/>
        <v>0</v>
      </c>
      <c r="AH191" s="176">
        <f t="shared" si="67"/>
        <v>6</v>
      </c>
      <c r="AI191" s="225">
        <f t="shared" si="68"/>
        <v>0.82661353517755098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411">
        <f>'2022'!Wh/'2022'!Env_an*'2023'!Env_an</f>
        <v>12.263971790923577</v>
      </c>
      <c r="C192" s="841"/>
      <c r="D192" s="393">
        <f t="shared" si="50"/>
        <v>12.769717134703097</v>
      </c>
      <c r="E192" s="385">
        <f t="shared" si="75"/>
        <v>13.626187434154193</v>
      </c>
      <c r="F192" s="385">
        <f t="shared" si="51"/>
        <v>13.626187434154193</v>
      </c>
      <c r="G192" s="110">
        <f t="shared" si="76"/>
        <v>0.21770036380966287</v>
      </c>
      <c r="H192" s="414" t="b">
        <f>Wh_hp&gt;='2022'!Maxi_hp</f>
        <v>0</v>
      </c>
      <c r="I192" s="390">
        <f>IF(H192,Wh_hp,'2022'!Maxi_hp)</f>
        <v>61.321800192772599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3.9605054555601815E-2</v>
      </c>
      <c r="M192" s="845"/>
      <c r="N192" s="845"/>
      <c r="O192" s="48">
        <f>IF(t&lt;Tnet,'2022'!Resal+('2022'!Salim-'2022'!Resal)*(1-EXP(('2022'!Tnet-t)/('2022'!Tau_j))),Resal+(Salim-Resal)*(1-EXP((Tnet-t)/(Tau_j))))*Salcycl</f>
        <v>6.2854727603727595E-2</v>
      </c>
      <c r="P192" s="169">
        <f>(INDEX(Models!$BJ192:$BT192,,T192)*(1-R192)+INDEX(Models!$BJ192:$BT192,,T192+1)*R192-ERP_i)*Q192*Ramure*Pc/MaxiM</f>
        <v>8.5311928237427254E-5</v>
      </c>
      <c r="Q192" s="305">
        <f t="shared" si="53"/>
        <v>0.5</v>
      </c>
      <c r="R192" s="177">
        <f t="shared" si="54"/>
        <v>0.83121030059526813</v>
      </c>
      <c r="S192" s="811">
        <f t="shared" si="55"/>
        <v>0</v>
      </c>
      <c r="T192" s="176">
        <f t="shared" si="56"/>
        <v>6</v>
      </c>
      <c r="U192" s="251">
        <f t="shared" si="57"/>
        <v>0.83121030059526813</v>
      </c>
      <c r="V192" s="383">
        <f t="shared" si="58"/>
        <v>56.329375446353481</v>
      </c>
      <c r="W192" s="402">
        <f t="shared" si="59"/>
        <v>12.263971790923577</v>
      </c>
      <c r="X192" s="157">
        <f t="shared" si="60"/>
        <v>45104</v>
      </c>
      <c r="Y192" s="385">
        <f t="shared" si="61"/>
        <v>11.923763097111195</v>
      </c>
      <c r="Z192" s="385">
        <f t="shared" si="62"/>
        <v>12.415478812827132</v>
      </c>
      <c r="AA192" s="386">
        <f t="shared" si="63"/>
        <v>13.626187434154193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8.8851604836464149E-2</v>
      </c>
      <c r="AD192" s="231">
        <f>(INDEX(Models!$BJ192:$BT192,,AH192)*(1-AF192)+INDEX(Models!$BJ192:$BT192,,AH192+1)*AF192-ERP_i)*AE192*Ramure*Pc/MaxiM</f>
        <v>8.5311928237427254E-5</v>
      </c>
      <c r="AE192" s="305">
        <f t="shared" si="65"/>
        <v>0.5</v>
      </c>
      <c r="AF192" s="177">
        <f t="shared" si="66"/>
        <v>0.83121030059526813</v>
      </c>
      <c r="AG192" s="811">
        <f t="shared" si="74"/>
        <v>0</v>
      </c>
      <c r="AH192" s="176">
        <f t="shared" si="67"/>
        <v>6</v>
      </c>
      <c r="AI192" s="225">
        <f t="shared" si="68"/>
        <v>0.83121030059526813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411">
        <f>'2022'!Wh/'2022'!Env_an*'2023'!Env_an</f>
        <v>55.674888506698913</v>
      </c>
      <c r="C193" s="841"/>
      <c r="D193" s="393">
        <f t="shared" si="50"/>
        <v>57.972095980356734</v>
      </c>
      <c r="E193" s="385">
        <f t="shared" si="75"/>
        <v>61.864719679118906</v>
      </c>
      <c r="F193" s="385">
        <f t="shared" si="51"/>
        <v>61.869981755866888</v>
      </c>
      <c r="G193" s="110">
        <f t="shared" si="76"/>
        <v>0.9897722683823067</v>
      </c>
      <c r="H193" s="414" t="b">
        <f>Wh_hp&gt;='2022'!Maxi_hp</f>
        <v>0</v>
      </c>
      <c r="I193" s="390">
        <f>IF(H193,Wh_hp,'2022'!Maxi_hp)</f>
        <v>61.869999951616521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3.9626089669695719E-2</v>
      </c>
      <c r="M193" s="845"/>
      <c r="N193" s="845"/>
      <c r="O193" s="48">
        <f>IF(t&lt;Tnet,'2022'!Resal+('2022'!Salim-'2022'!Resal)*(1-EXP(('2022'!Tnet-t)/('2022'!Tau_j))),Resal+(Salim-Resal)*(1-EXP((Tnet-t)/(Tau_j))))*Salcycl</f>
        <v>6.2921544281660163E-2</v>
      </c>
      <c r="P193" s="169">
        <f>(INDEX(Models!$BJ193:$BT193,,T193)*(1-R193)+INDEX(Models!$BJ193:$BT193,,T193+1)*R193-ERP_i)*Q193*Ramure*Pc/MaxiM</f>
        <v>8.6311509933598447E-5</v>
      </c>
      <c r="Q193" s="305">
        <f t="shared" si="53"/>
        <v>0.5</v>
      </c>
      <c r="R193" s="177">
        <f t="shared" si="54"/>
        <v>0.83574408012609758</v>
      </c>
      <c r="S193" s="811">
        <f t="shared" si="55"/>
        <v>0</v>
      </c>
      <c r="T193" s="176">
        <f t="shared" si="56"/>
        <v>6</v>
      </c>
      <c r="U193" s="251">
        <f t="shared" si="57"/>
        <v>0.83574408012609758</v>
      </c>
      <c r="V193" s="383">
        <f t="shared" si="58"/>
        <v>56.250129525868886</v>
      </c>
      <c r="W193" s="402">
        <f t="shared" si="59"/>
        <v>55.674888506698913</v>
      </c>
      <c r="X193" s="157">
        <f t="shared" si="60"/>
        <v>45105</v>
      </c>
      <c r="Y193" s="385">
        <f t="shared" si="61"/>
        <v>54.131269219037975</v>
      </c>
      <c r="Z193" s="385">
        <f t="shared" si="62"/>
        <v>56.364785253714821</v>
      </c>
      <c r="AA193" s="386">
        <f t="shared" si="63"/>
        <v>61.864719679118906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8.8902599962163403E-2</v>
      </c>
      <c r="AD193" s="231">
        <f>(INDEX(Models!$BJ193:$BT193,,AH193)*(1-AF193)+INDEX(Models!$BJ193:$BT193,,AH193+1)*AF193-ERP_i)*AE193*Ramure*Pc/MaxiM</f>
        <v>8.6311509933598447E-5</v>
      </c>
      <c r="AE193" s="305">
        <f t="shared" si="65"/>
        <v>0.5</v>
      </c>
      <c r="AF193" s="177">
        <f t="shared" si="66"/>
        <v>0.83574408012609758</v>
      </c>
      <c r="AG193" s="811">
        <f t="shared" si="74"/>
        <v>0</v>
      </c>
      <c r="AH193" s="176">
        <f t="shared" si="67"/>
        <v>6</v>
      </c>
      <c r="AI193" s="225">
        <f t="shared" si="68"/>
        <v>0.83574408012609758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411">
        <f>'2022'!Wh/'2022'!Env_an*'2023'!Env_an</f>
        <v>52.858243814166997</v>
      </c>
      <c r="C194" s="841"/>
      <c r="D194" s="393">
        <f t="shared" si="50"/>
        <v>55.040438939601536</v>
      </c>
      <c r="E194" s="385">
        <f t="shared" si="75"/>
        <v>58.740335869333677</v>
      </c>
      <c r="F194" s="385">
        <f t="shared" si="51"/>
        <v>58.745043024822998</v>
      </c>
      <c r="G194" s="110">
        <f t="shared" si="76"/>
        <v>0.94104785631016341</v>
      </c>
      <c r="H194" s="414" t="b">
        <f>Wh_hp&gt;='2022'!Maxi_hp</f>
        <v>0</v>
      </c>
      <c r="I194" s="390">
        <f>IF(H194,Wh_hp,'2022'!Maxi_hp)</f>
        <v>58.745144461778843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3.9647124323066607E-2</v>
      </c>
      <c r="M194" s="845"/>
      <c r="N194" s="845"/>
      <c r="O194" s="48">
        <f>IF(t&lt;Tnet,'2022'!Resal+('2022'!Salim-'2022'!Resal)*(1-EXP(('2022'!Tnet-t)/('2022'!Tau_j))),Resal+(Salim-Resal)*(1-EXP((Tnet-t)/(Tau_j))))*Salcycl</f>
        <v>6.2987330170574091E-2</v>
      </c>
      <c r="P194" s="169">
        <f>(INDEX(Models!$BJ194:$BT194,,T194)*(1-R194)+INDEX(Models!$BJ194:$BT194,,T194+1)*R194-ERP_i)*Q194*Ramure*Pc/MaxiM</f>
        <v>8.7496404787888908E-5</v>
      </c>
      <c r="Q194" s="305">
        <f t="shared" si="53"/>
        <v>0.5</v>
      </c>
      <c r="R194" s="177">
        <f t="shared" si="54"/>
        <v>0.84021241145786996</v>
      </c>
      <c r="S194" s="811">
        <f t="shared" si="55"/>
        <v>0</v>
      </c>
      <c r="T194" s="176">
        <f t="shared" si="56"/>
        <v>6</v>
      </c>
      <c r="U194" s="251">
        <f t="shared" si="57"/>
        <v>0.84021241145786996</v>
      </c>
      <c r="V194" s="383">
        <f t="shared" si="58"/>
        <v>56.169145890925549</v>
      </c>
      <c r="W194" s="402">
        <f t="shared" si="59"/>
        <v>52.858243814166997</v>
      </c>
      <c r="X194" s="157">
        <f t="shared" si="60"/>
        <v>45106</v>
      </c>
      <c r="Y194" s="385">
        <f t="shared" si="61"/>
        <v>51.39353052046949</v>
      </c>
      <c r="Z194" s="385">
        <f t="shared" si="62"/>
        <v>53.515256550091785</v>
      </c>
      <c r="AA194" s="386">
        <f t="shared" si="63"/>
        <v>58.740335869333677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8.8952152586681571E-2</v>
      </c>
      <c r="AD194" s="231">
        <f>(INDEX(Models!$BJ194:$BT194,,AH194)*(1-AF194)+INDEX(Models!$BJ194:$BT194,,AH194+1)*AF194-ERP_i)*AE194*Ramure*Pc/MaxiM</f>
        <v>8.7496404787888908E-5</v>
      </c>
      <c r="AE194" s="305">
        <f t="shared" si="65"/>
        <v>0.5</v>
      </c>
      <c r="AF194" s="177">
        <f t="shared" si="66"/>
        <v>0.84021241145786996</v>
      </c>
      <c r="AG194" s="811">
        <f t="shared" si="74"/>
        <v>0</v>
      </c>
      <c r="AH194" s="176">
        <f t="shared" si="67"/>
        <v>6</v>
      </c>
      <c r="AI194" s="225">
        <f t="shared" si="68"/>
        <v>0.84021241145786996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411">
        <f>'2022'!Wh/'2022'!Env_an*'2023'!Env_an</f>
        <v>13.142453602047588</v>
      </c>
      <c r="C195" s="841"/>
      <c r="D195" s="393">
        <f t="shared" si="50"/>
        <v>13.685325253544439</v>
      </c>
      <c r="E195" s="385">
        <f t="shared" si="75"/>
        <v>14.606281976828637</v>
      </c>
      <c r="F195" s="385">
        <f t="shared" si="51"/>
        <v>14.606281976828637</v>
      </c>
      <c r="G195" s="110">
        <f t="shared" si="76"/>
        <v>0.23430421700651985</v>
      </c>
      <c r="H195" s="414" t="b">
        <f>Wh_hp&gt;='2022'!Maxi_hp</f>
        <v>0</v>
      </c>
      <c r="I195" s="390">
        <f>IF(H195,Wh_hp,'2022'!Maxi_hp)</f>
        <v>52.467807817786799</v>
      </c>
      <c r="J195" s="85">
        <f>IF(H195,An,'2022'!An_max)</f>
        <v>2019</v>
      </c>
      <c r="K195" s="197">
        <f t="shared" si="52"/>
        <v>45107</v>
      </c>
      <c r="L195" s="147">
        <f>IF(t&lt;Tvie,1-EXP((T0-t)*PertePVj)+'2022'!Pspv,1-EXP((T0-t)*PertePVj)+Pspv)</f>
        <v>3.9668158515724694E-2</v>
      </c>
      <c r="M195" s="845"/>
      <c r="N195" s="845"/>
      <c r="O195" s="48">
        <f>IF(t&lt;Tnet,'2022'!Resal+('2022'!Salim-'2022'!Resal)*(1-EXP(('2022'!Tnet-t)/('2022'!Tau_j))),Resal+(Salim-Resal)*(1-EXP((Tnet-t)/(Tau_j))))*Salcycl</f>
        <v>6.3052098045566995E-2</v>
      </c>
      <c r="P195" s="169">
        <f>(INDEX(Models!$BJ195:$BT195,,T195)*(1-R195)+INDEX(Models!$BJ195:$BT195,,T195+1)*R195-ERP_i)*Q195*Ramure*Pc/MaxiM</f>
        <v>8.8869947370463171E-5</v>
      </c>
      <c r="Q195" s="305">
        <f t="shared" si="53"/>
        <v>0.5</v>
      </c>
      <c r="R195" s="177">
        <f t="shared" si="54"/>
        <v>0.84461301170342562</v>
      </c>
      <c r="S195" s="811">
        <f t="shared" si="55"/>
        <v>0</v>
      </c>
      <c r="T195" s="176">
        <f t="shared" si="56"/>
        <v>6</v>
      </c>
      <c r="U195" s="251">
        <f t="shared" si="57"/>
        <v>0.84461301170342562</v>
      </c>
      <c r="V195" s="383">
        <f t="shared" si="58"/>
        <v>56.086423884218782</v>
      </c>
      <c r="W195" s="402">
        <f t="shared" si="59"/>
        <v>13.142453602047588</v>
      </c>
      <c r="X195" s="157">
        <f t="shared" si="60"/>
        <v>45107</v>
      </c>
      <c r="Y195" s="385">
        <f t="shared" si="61"/>
        <v>12.778481588255902</v>
      </c>
      <c r="Z195" s="385">
        <f t="shared" si="62"/>
        <v>13.306318749678924</v>
      </c>
      <c r="AA195" s="386">
        <f t="shared" si="63"/>
        <v>14.606281976828637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8.9000282838026218E-2</v>
      </c>
      <c r="AD195" s="231">
        <f>(INDEX(Models!$BJ195:$BT195,,AH195)*(1-AF195)+INDEX(Models!$BJ195:$BT195,,AH195+1)*AF195-ERP_i)*AE195*Ramure*Pc/MaxiM</f>
        <v>8.8869947370463171E-5</v>
      </c>
      <c r="AE195" s="305">
        <f t="shared" si="65"/>
        <v>0.5</v>
      </c>
      <c r="AF195" s="177">
        <f t="shared" si="66"/>
        <v>0.84461301170342562</v>
      </c>
      <c r="AG195" s="811">
        <f t="shared" si="74"/>
        <v>0</v>
      </c>
      <c r="AH195" s="176">
        <f t="shared" si="67"/>
        <v>6</v>
      </c>
      <c r="AI195" s="225">
        <f t="shared" si="68"/>
        <v>0.84461301170342562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411">
        <f>'2022'!Wh/'2022'!Env_an*'2023'!Env_an</f>
        <v>47.31180366060979</v>
      </c>
      <c r="C196" s="841"/>
      <c r="D196" s="393">
        <f t="shared" si="50"/>
        <v>49.267178166354945</v>
      </c>
      <c r="E196" s="385">
        <f t="shared" si="75"/>
        <v>52.586201672451118</v>
      </c>
      <c r="F196" s="385">
        <f t="shared" si="51"/>
        <v>52.589903352862727</v>
      </c>
      <c r="G196" s="110">
        <f t="shared" si="76"/>
        <v>0.84480708915537894</v>
      </c>
      <c r="H196" s="414" t="b">
        <f>Wh_hp&gt;='2022'!Maxi_hp</f>
        <v>0</v>
      </c>
      <c r="I196" s="390">
        <f>IF(H196,Wh_hp,'2022'!Maxi_hp)</f>
        <v>60.470455322225597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3.9689192247679861E-2</v>
      </c>
      <c r="M196" s="845"/>
      <c r="N196" s="845"/>
      <c r="O196" s="48">
        <f>IF(t&lt;Tnet,'2022'!Resal+('2022'!Salim-'2022'!Resal)*(1-EXP(('2022'!Tnet-t)/('2022'!Tau_j))),Resal+(Salim-Resal)*(1-EXP((Tnet-t)/(Tau_j))))*Salcycl</f>
        <v>6.3115863107392728E-2</v>
      </c>
      <c r="P196" s="169">
        <f>(INDEX(Models!$BJ196:$BT196,,T196)*(1-R196)+INDEX(Models!$BJ196:$BT196,,T196+1)*R196-ERP_i)*Q196*Ramure*Pc/MaxiM</f>
        <v>9.0435373395823928E-5</v>
      </c>
      <c r="Q196" s="305">
        <f t="shared" si="53"/>
        <v>0.5</v>
      </c>
      <c r="R196" s="177">
        <f t="shared" si="54"/>
        <v>0.84894377922436837</v>
      </c>
      <c r="S196" s="811">
        <f t="shared" si="55"/>
        <v>0</v>
      </c>
      <c r="T196" s="176">
        <f t="shared" si="56"/>
        <v>6</v>
      </c>
      <c r="U196" s="251">
        <f t="shared" si="57"/>
        <v>0.84894377922436837</v>
      </c>
      <c r="V196" s="383">
        <f t="shared" si="58"/>
        <v>56.001962705853579</v>
      </c>
      <c r="W196" s="402">
        <f t="shared" si="59"/>
        <v>47.31180366060979</v>
      </c>
      <c r="X196" s="157">
        <f t="shared" si="60"/>
        <v>45108</v>
      </c>
      <c r="Y196" s="385">
        <f t="shared" si="61"/>
        <v>46.002303924322618</v>
      </c>
      <c r="Z196" s="385">
        <f t="shared" si="62"/>
        <v>47.903557424282745</v>
      </c>
      <c r="AA196" s="386">
        <f t="shared" si="63"/>
        <v>52.586201672451118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8.9047014221251844E-2</v>
      </c>
      <c r="AD196" s="231">
        <f>(INDEX(Models!$BJ196:$BT196,,AH196)*(1-AF196)+INDEX(Models!$BJ196:$BT196,,AH196+1)*AF196-ERP_i)*AE196*Ramure*Pc/MaxiM</f>
        <v>9.0435373395823928E-5</v>
      </c>
      <c r="AE196" s="305">
        <f t="shared" si="65"/>
        <v>0.5</v>
      </c>
      <c r="AF196" s="177">
        <f t="shared" si="66"/>
        <v>0.84894377922436837</v>
      </c>
      <c r="AG196" s="811">
        <f t="shared" si="74"/>
        <v>0</v>
      </c>
      <c r="AH196" s="176">
        <f t="shared" si="67"/>
        <v>6</v>
      </c>
      <c r="AI196" s="225">
        <f t="shared" si="68"/>
        <v>0.84894377922436837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411">
        <f>'2022'!Wh/'2022'!Env_an*'2023'!Env_an</f>
        <v>52.704998574092158</v>
      </c>
      <c r="C197" s="841"/>
      <c r="D197" s="393">
        <f t="shared" si="50"/>
        <v>54.884473389893209</v>
      </c>
      <c r="E197" s="385">
        <f t="shared" si="75"/>
        <v>58.585847739935062</v>
      </c>
      <c r="F197" s="385">
        <f t="shared" si="51"/>
        <v>58.590806452267245</v>
      </c>
      <c r="G197" s="110">
        <f t="shared" si="76"/>
        <v>0.94257144320051056</v>
      </c>
      <c r="H197" s="414" t="b">
        <f>Wh_hp&gt;='2022'!Maxi_hp</f>
        <v>0</v>
      </c>
      <c r="I197" s="390">
        <f>IF(H197,Wh_hp,'2022'!Maxi_hp)</f>
        <v>58.590912235340006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3.9710225518942321E-2</v>
      </c>
      <c r="M197" s="845"/>
      <c r="N197" s="845"/>
      <c r="O197" s="48">
        <f>IF(t&lt;Tnet,'2022'!Resal+('2022'!Salim-'2022'!Resal)*(1-EXP(('2022'!Tnet-t)/('2022'!Tau_j))),Resal+(Salim-Resal)*(1-EXP((Tnet-t)/(Tau_j))))*Salcycl</f>
        <v>6.3178642843445806E-2</v>
      </c>
      <c r="P197" s="169">
        <f>(INDEX(Models!$BJ197:$BT197,,T197)*(1-R197)+INDEX(Models!$BJ197:$BT197,,T197+1)*R197-ERP_i)*Q197*Ramure*Pc/MaxiM</f>
        <v>9.219582170770506E-5</v>
      </c>
      <c r="Q197" s="305">
        <f t="shared" si="53"/>
        <v>0.5</v>
      </c>
      <c r="R197" s="177">
        <f t="shared" si="54"/>
        <v>0.85320279453202907</v>
      </c>
      <c r="S197" s="811">
        <f t="shared" si="55"/>
        <v>0</v>
      </c>
      <c r="T197" s="176">
        <f t="shared" si="56"/>
        <v>6</v>
      </c>
      <c r="U197" s="251">
        <f t="shared" si="57"/>
        <v>0.85320279453202907</v>
      </c>
      <c r="V197" s="383">
        <f t="shared" si="58"/>
        <v>55.915761419461703</v>
      </c>
      <c r="W197" s="402">
        <f t="shared" si="59"/>
        <v>52.704998574092158</v>
      </c>
      <c r="X197" s="157">
        <f t="shared" si="60"/>
        <v>45109</v>
      </c>
      <c r="Y197" s="385">
        <f t="shared" si="61"/>
        <v>51.247107886227241</v>
      </c>
      <c r="Z197" s="385">
        <f t="shared" si="62"/>
        <v>53.366295516289625</v>
      </c>
      <c r="AA197" s="386">
        <f t="shared" si="63"/>
        <v>58.585847739935062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8.9092373414399406E-2</v>
      </c>
      <c r="AD197" s="231">
        <f>(INDEX(Models!$BJ197:$BT197,,AH197)*(1-AF197)+INDEX(Models!$BJ197:$BT197,,AH197+1)*AF197-ERP_i)*AE197*Ramure*Pc/MaxiM</f>
        <v>9.219582170770506E-5</v>
      </c>
      <c r="AE197" s="305">
        <f t="shared" si="65"/>
        <v>0.5</v>
      </c>
      <c r="AF197" s="177">
        <f t="shared" si="66"/>
        <v>0.85320279453202907</v>
      </c>
      <c r="AG197" s="811">
        <f t="shared" si="74"/>
        <v>0</v>
      </c>
      <c r="AH197" s="176">
        <f t="shared" si="67"/>
        <v>6</v>
      </c>
      <c r="AI197" s="225">
        <f t="shared" si="68"/>
        <v>0.85320279453202907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411">
        <f>'2022'!Wh/'2022'!Env_an*'2023'!Env_an</f>
        <v>43.918482361560933</v>
      </c>
      <c r="C198" s="841"/>
      <c r="D198" s="393">
        <f t="shared" si="50"/>
        <v>45.735615933057041</v>
      </c>
      <c r="E198" s="385">
        <f t="shared" si="75"/>
        <v>48.823218582448646</v>
      </c>
      <c r="F198" s="385">
        <f t="shared" si="51"/>
        <v>48.82644579901703</v>
      </c>
      <c r="G198" s="110">
        <f t="shared" si="76"/>
        <v>0.78665530554258145</v>
      </c>
      <c r="H198" s="414" t="b">
        <f>Wh_hp&gt;='2022'!Maxi_hp</f>
        <v>0</v>
      </c>
      <c r="I198" s="390">
        <f>IF(H198,Wh_hp,'2022'!Maxi_hp)</f>
        <v>53.763656051916264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3.973125832952229E-2</v>
      </c>
      <c r="M198" s="845"/>
      <c r="N198" s="845"/>
      <c r="O198" s="48">
        <f>IF(t&lt;Tnet,'2022'!Resal+('2022'!Salim-'2022'!Resal)*(1-EXP(('2022'!Tnet-t)/('2022'!Tau_j))),Resal+(Salim-Resal)*(1-EXP((Tnet-t)/(Tau_j))))*Salcycl</f>
        <v>6.3240456877653645E-2</v>
      </c>
      <c r="P198" s="169">
        <f>(INDEX(Models!$BJ198:$BT198,,T198)*(1-R198)+INDEX(Models!$BJ198:$BT198,,T198+1)*R198-ERP_i)*Q198*Ramure*Pc/MaxiM</f>
        <v>9.5066878971771779E-5</v>
      </c>
      <c r="Q198" s="305">
        <f t="shared" si="53"/>
        <v>0.5</v>
      </c>
      <c r="R198" s="177">
        <f t="shared" si="54"/>
        <v>0.85738832029932555</v>
      </c>
      <c r="S198" s="811">
        <f t="shared" si="55"/>
        <v>0</v>
      </c>
      <c r="T198" s="176">
        <f t="shared" si="56"/>
        <v>6</v>
      </c>
      <c r="U198" s="251">
        <f t="shared" si="57"/>
        <v>0.85738832029932555</v>
      </c>
      <c r="V198" s="383">
        <f t="shared" si="58"/>
        <v>55.827768015323386</v>
      </c>
      <c r="W198" s="402">
        <f t="shared" si="59"/>
        <v>43.918482361560933</v>
      </c>
      <c r="X198" s="157">
        <f t="shared" si="60"/>
        <v>45110</v>
      </c>
      <c r="Y198" s="385">
        <f t="shared" si="61"/>
        <v>42.704392691921733</v>
      </c>
      <c r="Z198" s="385">
        <f t="shared" si="62"/>
        <v>44.471293127414967</v>
      </c>
      <c r="AA198" s="386">
        <f t="shared" si="63"/>
        <v>48.823218582448646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8.9136390049429026E-2</v>
      </c>
      <c r="AD198" s="231">
        <f>(INDEX(Models!$BJ198:$BT198,,AH198)*(1-AF198)+INDEX(Models!$BJ198:$BT198,,AH198+1)*AF198-ERP_i)*AE198*Ramure*Pc/MaxiM</f>
        <v>9.5066878971771779E-5</v>
      </c>
      <c r="AE198" s="305">
        <f t="shared" si="65"/>
        <v>0.5</v>
      </c>
      <c r="AF198" s="177">
        <f t="shared" si="66"/>
        <v>0.85738832029932555</v>
      </c>
      <c r="AG198" s="811">
        <f t="shared" si="74"/>
        <v>0</v>
      </c>
      <c r="AH198" s="176">
        <f t="shared" si="67"/>
        <v>6</v>
      </c>
      <c r="AI198" s="225">
        <f t="shared" si="68"/>
        <v>0.85738832029932555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411">
        <f>'2022'!Wh/'2022'!Env_an*'2023'!Env_an</f>
        <v>41.678695952894707</v>
      </c>
      <c r="C199" s="841"/>
      <c r="D199" s="393">
        <f t="shared" si="50"/>
        <v>43.40410869856148</v>
      </c>
      <c r="E199" s="385">
        <f t="shared" si="75"/>
        <v>46.337322706741794</v>
      </c>
      <c r="F199" s="385">
        <f t="shared" si="51"/>
        <v>46.340258562829284</v>
      </c>
      <c r="G199" s="110">
        <f t="shared" si="76"/>
        <v>0.74773443308779641</v>
      </c>
      <c r="H199" s="414" t="b">
        <f>Wh_hp&gt;='2022'!Maxi_hp</f>
        <v>0</v>
      </c>
      <c r="I199" s="390">
        <f>IF(H199,Wh_hp,'2022'!Maxi_hp)</f>
        <v>58.995697367701958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3.9752290679429536E-2</v>
      </c>
      <c r="M199" s="845"/>
      <c r="N199" s="845"/>
      <c r="O199" s="48">
        <f>IF(t&lt;Tnet,'2022'!Resal+('2022'!Salim-'2022'!Resal)*(1-EXP(('2022'!Tnet-t)/('2022'!Tau_j))),Resal+(Salim-Resal)*(1-EXP((Tnet-t)/(Tau_j))))*Salcycl</f>
        <v>6.3301326810440692E-2</v>
      </c>
      <c r="P199" s="169">
        <f>(INDEX(Models!$BJ199:$BT199,,T199)*(1-R199)+INDEX(Models!$BJ199:$BT199,,T199+1)*R199-ERP_i)*Q199*Ramure*Pc/MaxiM</f>
        <v>9.9043953641945448E-5</v>
      </c>
      <c r="Q199" s="305">
        <f t="shared" si="53"/>
        <v>0.5</v>
      </c>
      <c r="R199" s="177">
        <f t="shared" si="54"/>
        <v>0.86149880052328265</v>
      </c>
      <c r="S199" s="811">
        <f t="shared" si="55"/>
        <v>0</v>
      </c>
      <c r="T199" s="176">
        <f t="shared" si="56"/>
        <v>6</v>
      </c>
      <c r="U199" s="251">
        <f t="shared" si="57"/>
        <v>0.86149880052328265</v>
      </c>
      <c r="V199" s="383">
        <f t="shared" si="58"/>
        <v>55.737981985954747</v>
      </c>
      <c r="W199" s="402">
        <f t="shared" si="59"/>
        <v>41.678695952894707</v>
      </c>
      <c r="X199" s="157">
        <f t="shared" si="60"/>
        <v>45111</v>
      </c>
      <c r="Y199" s="385">
        <f t="shared" si="61"/>
        <v>40.527256621485101</v>
      </c>
      <c r="Z199" s="385">
        <f t="shared" si="62"/>
        <v>42.205002134460102</v>
      </c>
      <c r="AA199" s="386">
        <f t="shared" si="63"/>
        <v>46.337322706741794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8.9179096479833159E-2</v>
      </c>
      <c r="AD199" s="231">
        <f>(INDEX(Models!$BJ199:$BT199,,AH199)*(1-AF199)+INDEX(Models!$BJ199:$BT199,,AH199+1)*AF199-ERP_i)*AE199*Ramure*Pc/MaxiM</f>
        <v>9.9043953641945448E-5</v>
      </c>
      <c r="AE199" s="305">
        <f t="shared" si="65"/>
        <v>0.5</v>
      </c>
      <c r="AF199" s="177">
        <f t="shared" si="66"/>
        <v>0.86149880052328265</v>
      </c>
      <c r="AG199" s="811">
        <f t="shared" si="74"/>
        <v>0</v>
      </c>
      <c r="AH199" s="176">
        <f t="shared" si="67"/>
        <v>6</v>
      </c>
      <c r="AI199" s="225">
        <f t="shared" si="68"/>
        <v>0.86149880052328265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411">
        <f>'2022'!Wh/'2022'!Env_an*'2023'!Env_an</f>
        <v>52.221444006234556</v>
      </c>
      <c r="C200" s="841"/>
      <c r="D200" s="393">
        <f t="shared" si="50"/>
        <v>54.384496112866415</v>
      </c>
      <c r="E200" s="385">
        <f t="shared" si="75"/>
        <v>58.063471776519926</v>
      </c>
      <c r="F200" s="385">
        <f t="shared" si="51"/>
        <v>58.068987446346561</v>
      </c>
      <c r="G200" s="110">
        <f t="shared" si="76"/>
        <v>0.9384428143171184</v>
      </c>
      <c r="H200" s="414" t="b">
        <f>Wh_hp&gt;='2022'!Maxi_hp</f>
        <v>0</v>
      </c>
      <c r="I200" s="390">
        <f>IF(H200,Wh_hp,'2022'!Maxi_hp)</f>
        <v>61.322232788721351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3.9773322568674496E-2</v>
      </c>
      <c r="M200" s="845"/>
      <c r="N200" s="845"/>
      <c r="O200" s="48">
        <f>IF(t&lt;Tnet,'2022'!Resal+('2022'!Salim-'2022'!Resal)*(1-EXP(('2022'!Tnet-t)/('2022'!Tau_j))),Resal+(Salim-Resal)*(1-EXP((Tnet-t)/(Tau_j))))*Salcycl</f>
        <v>6.33612760500009E-2</v>
      </c>
      <c r="P200" s="169">
        <f>(INDEX(Models!$BJ200:$BT200,,T200)*(1-R200)+INDEX(Models!$BJ200:$BT200,,T200+1)*R200-ERP_i)*Q200*Ramure*Pc/MaxiM</f>
        <v>1.0414158864894445E-4</v>
      </c>
      <c r="Q200" s="305">
        <f t="shared" si="53"/>
        <v>0.5</v>
      </c>
      <c r="R200" s="177">
        <f t="shared" si="54"/>
        <v>0.86553285888325648</v>
      </c>
      <c r="S200" s="811">
        <f t="shared" si="55"/>
        <v>0</v>
      </c>
      <c r="T200" s="176">
        <f t="shared" si="56"/>
        <v>6</v>
      </c>
      <c r="U200" s="251">
        <f t="shared" si="57"/>
        <v>0.86553285888325648</v>
      </c>
      <c r="V200" s="383">
        <f t="shared" si="58"/>
        <v>55.64640165835403</v>
      </c>
      <c r="W200" s="402">
        <f t="shared" si="59"/>
        <v>52.221444006234556</v>
      </c>
      <c r="X200" s="157">
        <f t="shared" si="60"/>
        <v>45112</v>
      </c>
      <c r="Y200" s="385">
        <f t="shared" si="61"/>
        <v>50.779684852970476</v>
      </c>
      <c r="Z200" s="385">
        <f t="shared" si="62"/>
        <v>52.88301819400575</v>
      </c>
      <c r="AA200" s="386">
        <f t="shared" si="63"/>
        <v>58.063471776519926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8.9220527536713418E-2</v>
      </c>
      <c r="AD200" s="231">
        <f>(INDEX(Models!$BJ200:$BT200,,AH200)*(1-AF200)+INDEX(Models!$BJ200:$BT200,,AH200+1)*AF200-ERP_i)*AE200*Ramure*Pc/MaxiM</f>
        <v>1.0414158864894445E-4</v>
      </c>
      <c r="AE200" s="305">
        <f t="shared" si="65"/>
        <v>0.5</v>
      </c>
      <c r="AF200" s="177">
        <f t="shared" si="66"/>
        <v>0.86553285888325648</v>
      </c>
      <c r="AG200" s="811">
        <f t="shared" si="74"/>
        <v>0</v>
      </c>
      <c r="AH200" s="176">
        <f t="shared" si="67"/>
        <v>6</v>
      </c>
      <c r="AI200" s="225">
        <f t="shared" si="68"/>
        <v>0.86553285888325648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411">
        <f>'2022'!Wh/'2022'!Env_an*'2023'!Env_an</f>
        <v>44.84687683294068</v>
      </c>
      <c r="C201" s="841"/>
      <c r="D201" s="393">
        <f t="shared" si="50"/>
        <v>46.705491703402288</v>
      </c>
      <c r="E201" s="385">
        <f t="shared" si="75"/>
        <v>49.868145958430958</v>
      </c>
      <c r="F201" s="385">
        <f t="shared" si="51"/>
        <v>49.872135049408151</v>
      </c>
      <c r="G201" s="110">
        <f t="shared" si="76"/>
        <v>0.80725601701132632</v>
      </c>
      <c r="H201" s="414" t="b">
        <f>Wh_hp&gt;='2022'!Maxi_hp</f>
        <v>0</v>
      </c>
      <c r="I201" s="390">
        <f>IF(H201,Wh_hp,'2022'!Maxi_hp)</f>
        <v>60.73746121896113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3.9794353997267051E-2</v>
      </c>
      <c r="M201" s="845"/>
      <c r="N201" s="845"/>
      <c r="O201" s="48">
        <f>IF(t&lt;Tnet,'2022'!Resal+('2022'!Salim-'2022'!Resal)*(1-EXP(('2022'!Tnet-t)/('2022'!Tau_j))),Resal+(Salim-Resal)*(1-EXP((Tnet-t)/(Tau_j))))*Salcycl</f>
        <v>6.3420329636176817E-2</v>
      </c>
      <c r="P201" s="169">
        <f>(INDEX(Models!$BJ201:$BT201,,T201)*(1-R201)+INDEX(Models!$BJ201:$BT201,,T201+1)*R201-ERP_i)*Q201*Ramure*Pc/MaxiM</f>
        <v>1.1037375276980746E-4</v>
      </c>
      <c r="Q201" s="305">
        <f t="shared" si="53"/>
        <v>0.5</v>
      </c>
      <c r="R201" s="177">
        <f t="shared" si="54"/>
        <v>0.86948929634438255</v>
      </c>
      <c r="S201" s="811">
        <f t="shared" si="55"/>
        <v>0</v>
      </c>
      <c r="T201" s="176">
        <f t="shared" si="56"/>
        <v>6</v>
      </c>
      <c r="U201" s="251">
        <f t="shared" si="57"/>
        <v>0.86948929634438255</v>
      </c>
      <c r="V201" s="383">
        <f t="shared" si="58"/>
        <v>55.553025309966905</v>
      </c>
      <c r="W201" s="402">
        <f t="shared" si="59"/>
        <v>44.84687683294068</v>
      </c>
      <c r="X201" s="157">
        <f t="shared" si="60"/>
        <v>45113</v>
      </c>
      <c r="Y201" s="385">
        <f t="shared" si="61"/>
        <v>43.609543957828826</v>
      </c>
      <c r="Z201" s="385">
        <f t="shared" si="62"/>
        <v>45.41687933139346</v>
      </c>
      <c r="AA201" s="386">
        <f t="shared" si="63"/>
        <v>49.868145958430958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8.9260720275182892E-2</v>
      </c>
      <c r="AD201" s="231">
        <f>(INDEX(Models!$BJ201:$BT201,,AH201)*(1-AF201)+INDEX(Models!$BJ201:$BT201,,AH201+1)*AF201-ERP_i)*AE201*Ramure*Pc/MaxiM</f>
        <v>1.1037375276980746E-4</v>
      </c>
      <c r="AE201" s="305">
        <f t="shared" si="65"/>
        <v>0.5</v>
      </c>
      <c r="AF201" s="177">
        <f t="shared" si="66"/>
        <v>0.86948929634438255</v>
      </c>
      <c r="AG201" s="811">
        <f t="shared" si="74"/>
        <v>0</v>
      </c>
      <c r="AH201" s="176">
        <f t="shared" si="67"/>
        <v>6</v>
      </c>
      <c r="AI201" s="225">
        <f t="shared" si="68"/>
        <v>0.86948929634438255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411">
        <f>'2022'!Wh/'2022'!Env_an*'2023'!Env_an</f>
        <v>51.508925376692957</v>
      </c>
      <c r="C202" s="841"/>
      <c r="D202" s="393">
        <f t="shared" si="50"/>
        <v>53.644814309826288</v>
      </c>
      <c r="E202" s="385">
        <f t="shared" si="75"/>
        <v>57.280922130563205</v>
      </c>
      <c r="F202" s="385">
        <f t="shared" si="51"/>
        <v>57.286981697550807</v>
      </c>
      <c r="G202" s="110">
        <f t="shared" si="76"/>
        <v>0.92878298080801347</v>
      </c>
      <c r="H202" s="414" t="b">
        <f>Wh_hp&gt;='2022'!Maxi_hp</f>
        <v>0</v>
      </c>
      <c r="I202" s="390">
        <f>IF(H202,Wh_hp,'2022'!Maxi_hp)</f>
        <v>57.287148915483868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3.9815384965217304E-2</v>
      </c>
      <c r="M202" s="845"/>
      <c r="N202" s="845"/>
      <c r="O202" s="48">
        <f>IF(t&lt;Tnet,'2022'!Resal+('2022'!Salim-'2022'!Resal)*(1-EXP(('2022'!Tnet-t)/('2022'!Tau_j))),Resal+(Salim-Resal)*(1-EXP((Tnet-t)/(Tau_j))))*Salcycl</f>
        <v>6.3478514058292482E-2</v>
      </c>
      <c r="P202" s="169">
        <f>(INDEX(Models!$BJ202:$BT202,,T202)*(1-R202)+INDEX(Models!$BJ202:$BT202,,T202+1)*R202-ERP_i)*Q202*Ramure*Pc/MaxiM</f>
        <v>1.1775388020013458E-4</v>
      </c>
      <c r="Q202" s="305">
        <f t="shared" si="53"/>
        <v>0.5</v>
      </c>
      <c r="R202" s="177">
        <f t="shared" si="54"/>
        <v>0.8733670880594222</v>
      </c>
      <c r="S202" s="811">
        <f t="shared" si="55"/>
        <v>0</v>
      </c>
      <c r="T202" s="176">
        <f t="shared" si="56"/>
        <v>6</v>
      </c>
      <c r="U202" s="251">
        <f t="shared" si="57"/>
        <v>0.8733670880594222</v>
      </c>
      <c r="V202" s="383">
        <f t="shared" si="58"/>
        <v>55.457851176583944</v>
      </c>
      <c r="W202" s="402">
        <f t="shared" si="59"/>
        <v>51.508925376692957</v>
      </c>
      <c r="X202" s="157">
        <f t="shared" si="60"/>
        <v>45114</v>
      </c>
      <c r="Y202" s="385">
        <f t="shared" si="61"/>
        <v>50.088752677916489</v>
      </c>
      <c r="Z202" s="385">
        <f t="shared" si="62"/>
        <v>52.165752183086191</v>
      </c>
      <c r="AA202" s="386">
        <f t="shared" si="63"/>
        <v>57.280922130563205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8.9299713713018647E-2</v>
      </c>
      <c r="AD202" s="231">
        <f>(INDEX(Models!$BJ202:$BT202,,AH202)*(1-AF202)+INDEX(Models!$BJ202:$BT202,,AH202+1)*AF202-ERP_i)*AE202*Ramure*Pc/MaxiM</f>
        <v>1.1775388020013458E-4</v>
      </c>
      <c r="AE202" s="305">
        <f t="shared" si="65"/>
        <v>0.5</v>
      </c>
      <c r="AF202" s="177">
        <f t="shared" si="66"/>
        <v>0.8733670880594222</v>
      </c>
      <c r="AG202" s="811">
        <f t="shared" si="74"/>
        <v>0</v>
      </c>
      <c r="AH202" s="176">
        <f t="shared" si="67"/>
        <v>6</v>
      </c>
      <c r="AI202" s="225">
        <f t="shared" si="68"/>
        <v>0.8733670880594222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411">
        <f>'2022'!Wh/'2022'!Env_an*'2023'!Env_an</f>
        <v>54.17171124815038</v>
      </c>
      <c r="C203" s="841"/>
      <c r="D203" s="393">
        <f t="shared" si="50"/>
        <v>56.419252011948025</v>
      </c>
      <c r="E203" s="385">
        <f t="shared" si="75"/>
        <v>60.247103359796675</v>
      </c>
      <c r="F203" s="385">
        <f t="shared" si="51"/>
        <v>60.254479678082525</v>
      </c>
      <c r="G203" s="110">
        <f t="shared" si="76"/>
        <v>0.97851594409893672</v>
      </c>
      <c r="H203" s="414" t="b">
        <f>Wh_hp&gt;='2022'!Maxi_hp</f>
        <v>0</v>
      </c>
      <c r="I203" s="390">
        <f>IF(H203,Wh_hp,'2022'!Maxi_hp)</f>
        <v>63.132463716134929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3.9836415472535469E-2</v>
      </c>
      <c r="M203" s="845"/>
      <c r="N203" s="845"/>
      <c r="O203" s="48">
        <f>IF(t&lt;Tnet,'2022'!Resal+('2022'!Salim-'2022'!Resal)*(1-EXP(('2022'!Tnet-t)/('2022'!Tau_j))),Resal+(Salim-Resal)*(1-EXP((Tnet-t)/(Tau_j))))*Salcycl</f>
        <v>6.3535857068325041E-2</v>
      </c>
      <c r="P203" s="169">
        <f>(INDEX(Models!$BJ203:$BT203,,T203)*(1-R203)+INDEX(Models!$BJ203:$BT203,,T203+1)*R203-ERP_i)*Q203*Ramure*Pc/MaxiM</f>
        <v>1.2629491434111966E-4</v>
      </c>
      <c r="Q203" s="305">
        <f t="shared" si="53"/>
        <v>0.5</v>
      </c>
      <c r="R203" s="177">
        <f t="shared" si="54"/>
        <v>0.87716537962502461</v>
      </c>
      <c r="S203" s="811">
        <f t="shared" si="55"/>
        <v>0</v>
      </c>
      <c r="T203" s="176">
        <f t="shared" si="56"/>
        <v>6</v>
      </c>
      <c r="U203" s="251">
        <f t="shared" si="57"/>
        <v>0.87716537962502461</v>
      </c>
      <c r="V203" s="383">
        <f t="shared" si="58"/>
        <v>55.360877466353166</v>
      </c>
      <c r="W203" s="402">
        <f t="shared" si="59"/>
        <v>54.17171124815038</v>
      </c>
      <c r="X203" s="157">
        <f t="shared" si="60"/>
        <v>45115</v>
      </c>
      <c r="Y203" s="385">
        <f t="shared" si="61"/>
        <v>52.679158872341723</v>
      </c>
      <c r="Z203" s="385">
        <f t="shared" si="62"/>
        <v>54.864774837578615</v>
      </c>
      <c r="AA203" s="386">
        <f t="shared" si="63"/>
        <v>60.247103359796675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8.9337548563533611E-2</v>
      </c>
      <c r="AD203" s="231">
        <f>(INDEX(Models!$BJ203:$BT203,,AH203)*(1-AF203)+INDEX(Models!$BJ203:$BT203,,AH203+1)*AF203-ERP_i)*AE203*Ramure*Pc/MaxiM</f>
        <v>1.2629491434111966E-4</v>
      </c>
      <c r="AE203" s="305">
        <f t="shared" si="65"/>
        <v>0.5</v>
      </c>
      <c r="AF203" s="177">
        <f t="shared" si="66"/>
        <v>0.87716537962502461</v>
      </c>
      <c r="AG203" s="811">
        <f t="shared" si="74"/>
        <v>0</v>
      </c>
      <c r="AH203" s="176">
        <f t="shared" si="67"/>
        <v>6</v>
      </c>
      <c r="AI203" s="225">
        <f t="shared" si="68"/>
        <v>0.87716537962502461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411">
        <f>'2022'!Wh/'2022'!Env_an*'2023'!Env_an</f>
        <v>53.474429216059534</v>
      </c>
      <c r="C204" s="841"/>
      <c r="D204" s="393">
        <f t="shared" si="50"/>
        <v>55.694260155959597</v>
      </c>
      <c r="E204" s="385">
        <f t="shared" si="75"/>
        <v>59.476513659177293</v>
      </c>
      <c r="F204" s="385">
        <f t="shared" si="51"/>
        <v>59.484230190054156</v>
      </c>
      <c r="G204" s="110">
        <f t="shared" si="76"/>
        <v>0.96764492803920488</v>
      </c>
      <c r="H204" s="414" t="b">
        <f>Wh_hp&gt;='2022'!Maxi_hp</f>
        <v>0</v>
      </c>
      <c r="I204" s="390">
        <f>IF(H204,Wh_hp,'2022'!Maxi_hp)</f>
        <v>60.536567302517156</v>
      </c>
      <c r="J204" s="85">
        <f>IF(H204,An,'2022'!An_max)</f>
        <v>2020</v>
      </c>
      <c r="K204" s="197">
        <f t="shared" si="52"/>
        <v>45116</v>
      </c>
      <c r="L204" s="147">
        <f>IF(t&lt;Tvie,1-EXP((T0-t)*PertePVj)+'2022'!Pspv,1-EXP((T0-t)*PertePVj)+Pspv)</f>
        <v>3.9857445519231427E-2</v>
      </c>
      <c r="M204" s="845"/>
      <c r="N204" s="845"/>
      <c r="O204" s="48">
        <f>IF(t&lt;Tnet,'2022'!Resal+('2022'!Salim-'2022'!Resal)*(1-EXP(('2022'!Tnet-t)/('2022'!Tau_j))),Resal+(Salim-Resal)*(1-EXP((Tnet-t)/(Tau_j))))*Salcycl</f>
        <v>6.359238749082409E-2</v>
      </c>
      <c r="P204" s="169">
        <f>(INDEX(Models!$BJ204:$BT204,,T204)*(1-R204)+INDEX(Models!$BJ204:$BT204,,T204+1)*R204-ERP_i)*Q204*Ramure*Pc/MaxiM</f>
        <v>1.3600935524908555E-4</v>
      </c>
      <c r="Q204" s="305">
        <f t="shared" si="53"/>
        <v>0.5</v>
      </c>
      <c r="R204" s="177">
        <f t="shared" si="54"/>
        <v>0.88088348275047668</v>
      </c>
      <c r="S204" s="811">
        <f t="shared" si="55"/>
        <v>0</v>
      </c>
      <c r="T204" s="176">
        <f t="shared" si="56"/>
        <v>6</v>
      </c>
      <c r="U204" s="251">
        <f t="shared" si="57"/>
        <v>0.88088348275047668</v>
      </c>
      <c r="V204" s="383">
        <f t="shared" si="58"/>
        <v>55.262102364104983</v>
      </c>
      <c r="W204" s="402">
        <f t="shared" si="59"/>
        <v>53.474429216059534</v>
      </c>
      <c r="X204" s="157">
        <f t="shared" si="60"/>
        <v>45116</v>
      </c>
      <c r="Y204" s="385">
        <f t="shared" si="61"/>
        <v>52.002130966276468</v>
      </c>
      <c r="Z204" s="385">
        <f t="shared" si="62"/>
        <v>54.160843849274528</v>
      </c>
      <c r="AA204" s="386">
        <f t="shared" si="63"/>
        <v>59.476513659177293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8.9374266964663412E-2</v>
      </c>
      <c r="AD204" s="231">
        <f>(INDEX(Models!$BJ204:$BT204,,AH204)*(1-AF204)+INDEX(Models!$BJ204:$BT204,,AH204+1)*AF204-ERP_i)*AE204*Ramure*Pc/MaxiM</f>
        <v>1.3600935524908555E-4</v>
      </c>
      <c r="AE204" s="305">
        <f t="shared" si="65"/>
        <v>0.5</v>
      </c>
      <c r="AF204" s="177">
        <f t="shared" si="66"/>
        <v>0.88088348275047668</v>
      </c>
      <c r="AG204" s="811">
        <f t="shared" si="74"/>
        <v>0</v>
      </c>
      <c r="AH204" s="176">
        <f t="shared" si="67"/>
        <v>6</v>
      </c>
      <c r="AI204" s="225">
        <f t="shared" si="68"/>
        <v>0.88088348275047668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411">
        <f>'2022'!Wh/'2022'!Env_an*'2023'!Env_an</f>
        <v>52.79455529345185</v>
      </c>
      <c r="C205" s="841"/>
      <c r="D205" s="393">
        <f t="shared" si="50"/>
        <v>54.987367666028398</v>
      </c>
      <c r="E205" s="385">
        <f t="shared" si="75"/>
        <v>58.725111491980471</v>
      </c>
      <c r="F205" s="385">
        <f t="shared" si="51"/>
        <v>58.733211101344629</v>
      </c>
      <c r="G205" s="110">
        <f t="shared" si="76"/>
        <v>0.95708523084521113</v>
      </c>
      <c r="H205" s="414" t="b">
        <f>Wh_hp&gt;='2022'!Maxi_hp</f>
        <v>0</v>
      </c>
      <c r="I205" s="390">
        <f>IF(H205,Wh_hp,'2022'!Maxi_hp)</f>
        <v>59.982897259607313</v>
      </c>
      <c r="J205" s="85">
        <f>IF(H205,An,'2022'!An_max)</f>
        <v>2019</v>
      </c>
      <c r="K205" s="197">
        <f t="shared" si="52"/>
        <v>45117</v>
      </c>
      <c r="L205" s="147">
        <f>IF(t&lt;Tvie,1-EXP((T0-t)*PertePVj)+'2022'!Pspv,1-EXP((T0-t)*PertePVj)+Pspv)</f>
        <v>3.9878475105315503E-2</v>
      </c>
      <c r="M205" s="845"/>
      <c r="N205" s="845"/>
      <c r="O205" s="48">
        <f>IF(t&lt;Tnet,'2022'!Resal+('2022'!Salim-'2022'!Resal)*(1-EXP(('2022'!Tnet-t)/('2022'!Tau_j))),Resal+(Salim-Resal)*(1-EXP((Tnet-t)/(Tau_j))))*Salcycl</f>
        <v>6.3648135030999531E-2</v>
      </c>
      <c r="P205" s="169">
        <f>(INDEX(Models!$BJ205:$BT205,,T205)*(1-R205)+INDEX(Models!$BJ205:$BT205,,T205+1)*R205-ERP_i)*Q205*Ramure*Pc/MaxiM</f>
        <v>1.4690986698631095E-4</v>
      </c>
      <c r="Q205" s="305">
        <f t="shared" si="53"/>
        <v>0.5</v>
      </c>
      <c r="R205" s="177">
        <f t="shared" si="54"/>
        <v>0.8845208703983054</v>
      </c>
      <c r="S205" s="811">
        <f t="shared" si="55"/>
        <v>0</v>
      </c>
      <c r="T205" s="176">
        <f t="shared" si="56"/>
        <v>6</v>
      </c>
      <c r="U205" s="251">
        <f t="shared" si="57"/>
        <v>0.8845208703983054</v>
      </c>
      <c r="V205" s="383">
        <f t="shared" si="58"/>
        <v>55.161314921350673</v>
      </c>
      <c r="W205" s="402">
        <f t="shared" si="59"/>
        <v>52.79455529345185</v>
      </c>
      <c r="X205" s="157">
        <f t="shared" si="60"/>
        <v>45117</v>
      </c>
      <c r="Y205" s="385">
        <f t="shared" si="61"/>
        <v>51.342022735530804</v>
      </c>
      <c r="Z205" s="385">
        <f t="shared" si="62"/>
        <v>53.4745044291789</v>
      </c>
      <c r="AA205" s="386">
        <f t="shared" si="63"/>
        <v>58.725111491980471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8.9409912206273076E-2</v>
      </c>
      <c r="AD205" s="231">
        <f>(INDEX(Models!$BJ205:$BT205,,AH205)*(1-AF205)+INDEX(Models!$BJ205:$BT205,,AH205+1)*AF205-ERP_i)*AE205*Ramure*Pc/MaxiM</f>
        <v>1.4690986698631095E-4</v>
      </c>
      <c r="AE205" s="305">
        <f t="shared" si="65"/>
        <v>0.5</v>
      </c>
      <c r="AF205" s="177">
        <f t="shared" si="66"/>
        <v>0.8845208703983054</v>
      </c>
      <c r="AG205" s="811">
        <f t="shared" si="74"/>
        <v>0</v>
      </c>
      <c r="AH205" s="176">
        <f t="shared" si="67"/>
        <v>6</v>
      </c>
      <c r="AI205" s="225">
        <f t="shared" si="68"/>
        <v>0.8845208703983054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411">
        <f>'2022'!Wh/'2022'!Env_an*'2023'!Env_an</f>
        <v>51.398587588800666</v>
      </c>
      <c r="C206" s="841"/>
      <c r="D206" s="393">
        <f t="shared" si="50"/>
        <v>53.5345912384117</v>
      </c>
      <c r="E206" s="385">
        <f t="shared" si="75"/>
        <v>57.176941372369342</v>
      </c>
      <c r="F206" s="385">
        <f t="shared" si="51"/>
        <v>57.185178743919998</v>
      </c>
      <c r="G206" s="110">
        <f t="shared" si="76"/>
        <v>0.93351510028713558</v>
      </c>
      <c r="H206" s="414" t="b">
        <f>Wh_hp&gt;='2022'!Maxi_hp</f>
        <v>0</v>
      </c>
      <c r="I206" s="390">
        <f>IF(H206,Wh_hp,'2022'!Maxi_hp)</f>
        <v>61.452728703103304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3.9899504230797689E-2</v>
      </c>
      <c r="M206" s="845"/>
      <c r="N206" s="845"/>
      <c r="O206" s="48">
        <f>IF(t&lt;Tnet,'2022'!Resal+('2022'!Salim-'2022'!Resal)*(1-EXP(('2022'!Tnet-t)/('2022'!Tau_j))),Resal+(Salim-Resal)*(1-EXP((Tnet-t)/(Tau_j))))*Salcycl</f>
        <v>6.37031300823971E-2</v>
      </c>
      <c r="P206" s="169">
        <f>(INDEX(Models!$BJ206:$BT206,,T206)*(1-R206)+INDEX(Models!$BJ206:$BT206,,T206+1)*R206-ERP_i)*Q206*Ramure*Pc/MaxiM</f>
        <v>1.5916096661901691E-4</v>
      </c>
      <c r="Q206" s="305">
        <f t="shared" si="53"/>
        <v>0.5</v>
      </c>
      <c r="R206" s="177">
        <f t="shared" si="54"/>
        <v>0.88807717145666976</v>
      </c>
      <c r="S206" s="811">
        <f t="shared" si="55"/>
        <v>0</v>
      </c>
      <c r="T206" s="176">
        <f t="shared" si="56"/>
        <v>6</v>
      </c>
      <c r="U206" s="251">
        <f t="shared" si="57"/>
        <v>0.88807717145666976</v>
      </c>
      <c r="V206" s="383">
        <f t="shared" si="58"/>
        <v>55.058360213793158</v>
      </c>
      <c r="W206" s="402">
        <f t="shared" si="59"/>
        <v>51.398587588800666</v>
      </c>
      <c r="X206" s="157">
        <f t="shared" si="60"/>
        <v>45118</v>
      </c>
      <c r="Y206" s="385">
        <f t="shared" si="61"/>
        <v>49.985497828961449</v>
      </c>
      <c r="Z206" s="385">
        <f t="shared" si="62"/>
        <v>52.062776812665469</v>
      </c>
      <c r="AA206" s="386">
        <f t="shared" si="63"/>
        <v>57.176941372369342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8.9444528457677946E-2</v>
      </c>
      <c r="AD206" s="231">
        <f>(INDEX(Models!$BJ206:$BT206,,AH206)*(1-AF206)+INDEX(Models!$BJ206:$BT206,,AH206+1)*AF206-ERP_i)*AE206*Ramure*Pc/MaxiM</f>
        <v>1.5916096661901691E-4</v>
      </c>
      <c r="AE206" s="305">
        <f t="shared" si="65"/>
        <v>0.5</v>
      </c>
      <c r="AF206" s="177">
        <f t="shared" si="66"/>
        <v>0.88807717145666976</v>
      </c>
      <c r="AG206" s="811">
        <f t="shared" si="74"/>
        <v>0</v>
      </c>
      <c r="AH206" s="176">
        <f t="shared" si="67"/>
        <v>6</v>
      </c>
      <c r="AI206" s="225">
        <f t="shared" si="68"/>
        <v>0.88807717145666976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411">
        <f>'2022'!Wh/'2022'!Env_an*'2023'!Env_an</f>
        <v>51.492855592632502</v>
      </c>
      <c r="C207" s="841"/>
      <c r="D207" s="393">
        <f t="shared" ref="D207:D270" si="77">Wh/(1-Ppv)</f>
        <v>53.633951518554696</v>
      </c>
      <c r="E207" s="385">
        <f t="shared" si="75"/>
        <v>57.286382526382042</v>
      </c>
      <c r="F207" s="385">
        <f t="shared" ref="F207:F270" si="78">Wh_sa/(1-Pvg*MEDIAN((-Sdif+Wh/Env_an)/Csdif,0,1))</f>
        <v>57.295381850901968</v>
      </c>
      <c r="G207" s="110">
        <f t="shared" si="76"/>
        <v>0.93701407893083821</v>
      </c>
      <c r="H207" s="414" t="b">
        <f>Wh_hp&gt;='2022'!Maxi_hp</f>
        <v>0</v>
      </c>
      <c r="I207" s="390">
        <f>IF(H207,Wh_hp,'2022'!Maxi_hp)</f>
        <v>61.87528776158792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3.9920532895687977E-2</v>
      </c>
      <c r="M207" s="845"/>
      <c r="N207" s="845"/>
      <c r="O207" s="48">
        <f>IF(t&lt;Tnet,'2022'!Resal+('2022'!Salim-'2022'!Resal)*(1-EXP(('2022'!Tnet-t)/('2022'!Tau_j))),Resal+(Salim-Resal)*(1-EXP((Tnet-t)/(Tau_j))))*Salcycl</f>
        <v>6.3757403535566179E-2</v>
      </c>
      <c r="P207" s="169">
        <f>(INDEX(Models!$BJ207:$BT207,,T207)*(1-R207)+INDEX(Models!$BJ207:$BT207,,T207+1)*R207-ERP_i)*Q207*Ramure*Pc/MaxiM</f>
        <v>1.7259546627175636E-4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0.89155216500338796</v>
      </c>
      <c r="S207" s="811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0.89155216500338796</v>
      </c>
      <c r="V207" s="383">
        <f t="shared" ref="V207:V270" si="85">MaxiM*(1-Ppv)*(1-Pvg)*(1-Psa)</f>
        <v>54.953342878559255</v>
      </c>
      <c r="W207" s="402">
        <f t="shared" ref="W207:W270" si="86">Wh*(A207&gt;Tmaj)</f>
        <v>51.492855592632502</v>
      </c>
      <c r="X207" s="157">
        <f t="shared" ref="X207:X270" si="87">t</f>
        <v>45119</v>
      </c>
      <c r="Y207" s="385">
        <f t="shared" ref="Y207:Y270" si="88">Wh_pvt_s*(1-Ppv)</f>
        <v>50.078227344604045</v>
      </c>
      <c r="Z207" s="385">
        <f t="shared" ref="Z207:Z270" si="89">Wh_sa_s*(1-Psa_s)</f>
        <v>52.160502396374106</v>
      </c>
      <c r="AA207" s="386">
        <f t="shared" ref="AA207:AA270" si="90">Wh_hp*(1-Pvg_s*MEDIAN((-Sdif+Wh/Env_an)/Csdif,0,1))</f>
        <v>57.286382526382042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8.9478160497345319E-2</v>
      </c>
      <c r="AD207" s="231">
        <f>(INDEX(Models!$BJ207:$BT207,,AH207)*(1-AF207)+INDEX(Models!$BJ207:$BT207,,AH207+1)*AF207-ERP_i)*AE207*Ramure*Pc/MaxiM</f>
        <v>1.7259546627175636E-4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0.89155216500338796</v>
      </c>
      <c r="AG207" s="811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0.89155216500338796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411">
        <f>'2022'!Wh/'2022'!Env_an*'2023'!Env_an</f>
        <v>50.886537571219506</v>
      </c>
      <c r="C208" s="841"/>
      <c r="D208" s="393">
        <f t="shared" si="77"/>
        <v>53.003583437611638</v>
      </c>
      <c r="E208" s="385">
        <f t="shared" si="75"/>
        <v>56.616327128748139</v>
      </c>
      <c r="F208" s="385">
        <f t="shared" si="78"/>
        <v>56.62583530622566</v>
      </c>
      <c r="G208" s="110">
        <f t="shared" si="76"/>
        <v>0.92778366413209468</v>
      </c>
      <c r="H208" s="414" t="b">
        <f>Wh_hp&gt;='2022'!Maxi_hp</f>
        <v>0</v>
      </c>
      <c r="I208" s="390">
        <f>IF(H208,Wh_hp,'2022'!Maxi_hp)</f>
        <v>56.626097687284791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3.9941561099996581E-2</v>
      </c>
      <c r="M208" s="845"/>
      <c r="N208" s="845"/>
      <c r="O208" s="48">
        <f>IF(t&lt;Tnet,'2022'!Resal+('2022'!Salim-'2022'!Resal)*(1-EXP(('2022'!Tnet-t)/('2022'!Tau_j))),Resal+(Salim-Resal)*(1-EXP((Tnet-t)/(Tau_j))))*Salcycl</f>
        <v>6.381098658909741E-2</v>
      </c>
      <c r="P208" s="169">
        <f>(INDEX(Models!$BJ208:$BT208,,T208)*(1-R208)+INDEX(Models!$BJ208:$BT208,,T208+1)*R208-ERP_i)*Q208*Ramure*Pc/MaxiM</f>
        <v>1.8722260837271588E-4</v>
      </c>
      <c r="Q208" s="305">
        <f t="shared" si="80"/>
        <v>0.5</v>
      </c>
      <c r="R208" s="177">
        <f t="shared" si="81"/>
        <v>0.8949457742207334</v>
      </c>
      <c r="S208" s="811">
        <f t="shared" si="82"/>
        <v>0</v>
      </c>
      <c r="T208" s="176">
        <f t="shared" si="83"/>
        <v>6</v>
      </c>
      <c r="U208" s="251">
        <f t="shared" si="84"/>
        <v>0.8949457742207334</v>
      </c>
      <c r="V208" s="383">
        <f t="shared" si="85"/>
        <v>54.84635776807837</v>
      </c>
      <c r="W208" s="402">
        <f t="shared" si="86"/>
        <v>50.886537571219506</v>
      </c>
      <c r="X208" s="157">
        <f t="shared" si="87"/>
        <v>45120</v>
      </c>
      <c r="Y208" s="385">
        <f t="shared" si="88"/>
        <v>49.489621754337733</v>
      </c>
      <c r="Z208" s="385">
        <f t="shared" si="89"/>
        <v>51.548551368436449</v>
      </c>
      <c r="AA208" s="386">
        <f t="shared" si="90"/>
        <v>56.616327128748139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8.9510853446698041E-2</v>
      </c>
      <c r="AD208" s="231">
        <f>(INDEX(Models!$BJ208:$BT208,,AH208)*(1-AF208)+INDEX(Models!$BJ208:$BT208,,AH208+1)*AF208-ERP_i)*AE208*Ramure*Pc/MaxiM</f>
        <v>1.8722260837271588E-4</v>
      </c>
      <c r="AE208" s="305">
        <f t="shared" si="92"/>
        <v>0.5</v>
      </c>
      <c r="AF208" s="177">
        <f t="shared" si="93"/>
        <v>0.8949457742207334</v>
      </c>
      <c r="AG208" s="811">
        <f t="shared" ref="AG208:AG271" si="99">INDEX(Echel_vg,AH208)</f>
        <v>0</v>
      </c>
      <c r="AH208" s="176">
        <f t="shared" si="94"/>
        <v>6</v>
      </c>
      <c r="AI208" s="225">
        <f t="shared" si="95"/>
        <v>0.8949457742207334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411">
        <f>'2022'!Wh/'2022'!Env_an*'2023'!Env_an</f>
        <v>50.343179303403524</v>
      </c>
      <c r="C209" s="841"/>
      <c r="D209" s="393">
        <f t="shared" si="77"/>
        <v>52.43876823796932</v>
      </c>
      <c r="E209" s="385">
        <f t="shared" si="75"/>
        <v>56.016180585007696</v>
      </c>
      <c r="F209" s="385">
        <f t="shared" si="78"/>
        <v>56.026252110124517</v>
      </c>
      <c r="G209" s="110">
        <f t="shared" si="76"/>
        <v>0.919698689236915</v>
      </c>
      <c r="H209" s="414" t="b">
        <f>Wh_hp&gt;='2022'!Maxi_hp</f>
        <v>0</v>
      </c>
      <c r="I209" s="390">
        <f>IF(H209,Wh_hp,'2022'!Maxi_hp)</f>
        <v>61.910407700916835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3.9962588843733493E-2</v>
      </c>
      <c r="M209" s="845"/>
      <c r="N209" s="845"/>
      <c r="O209" s="48">
        <f>IF(t&lt;Tnet,'2022'!Resal+('2022'!Salim-'2022'!Resal)*(1-EXP(('2022'!Tnet-t)/('2022'!Tau_j))),Resal+(Salim-Resal)*(1-EXP((Tnet-t)/(Tau_j))))*Salcycl</f>
        <v>6.3863910564367271E-2</v>
      </c>
      <c r="P209" s="169">
        <f>(INDEX(Models!$BJ209:$BT209,,T209)*(1-R209)+INDEX(Models!$BJ209:$BT209,,T209+1)*R209-ERP_i)*Q209*Ramure*Pc/MaxiM</f>
        <v>2.0305146123271301E-4</v>
      </c>
      <c r="Q209" s="305">
        <f t="shared" si="80"/>
        <v>0.5</v>
      </c>
      <c r="R209" s="177">
        <f t="shared" si="81"/>
        <v>0.89825806001886632</v>
      </c>
      <c r="S209" s="811">
        <f t="shared" si="82"/>
        <v>0</v>
      </c>
      <c r="T209" s="176">
        <f t="shared" si="83"/>
        <v>6</v>
      </c>
      <c r="U209" s="251">
        <f t="shared" si="84"/>
        <v>0.89825806001886632</v>
      </c>
      <c r="V209" s="383">
        <f t="shared" si="85"/>
        <v>54.737499723154421</v>
      </c>
      <c r="W209" s="402">
        <f t="shared" si="86"/>
        <v>50.343179303403524</v>
      </c>
      <c r="X209" s="157">
        <f t="shared" si="87"/>
        <v>45121</v>
      </c>
      <c r="Y209" s="385">
        <f t="shared" si="88"/>
        <v>48.962237446084465</v>
      </c>
      <c r="Z209" s="385">
        <f t="shared" si="89"/>
        <v>51.000343191953817</v>
      </c>
      <c r="AA209" s="386">
        <f t="shared" si="90"/>
        <v>56.016180585007696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8.9542652509877294E-2</v>
      </c>
      <c r="AD209" s="231">
        <f>(INDEX(Models!$BJ209:$BT209,,AH209)*(1-AF209)+INDEX(Models!$BJ209:$BT209,,AH209+1)*AF209-ERP_i)*AE209*Ramure*Pc/MaxiM</f>
        <v>2.0305146123271301E-4</v>
      </c>
      <c r="AE209" s="305">
        <f t="shared" si="92"/>
        <v>0.5</v>
      </c>
      <c r="AF209" s="177">
        <f t="shared" si="93"/>
        <v>0.89825806001886632</v>
      </c>
      <c r="AG209" s="811">
        <f t="shared" si="99"/>
        <v>0</v>
      </c>
      <c r="AH209" s="176">
        <f t="shared" si="94"/>
        <v>6</v>
      </c>
      <c r="AI209" s="225">
        <f t="shared" si="95"/>
        <v>0.89825806001886632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411">
        <f>'2022'!Wh/'2022'!Env_an*'2023'!Env_an</f>
        <v>48.660185900840091</v>
      </c>
      <c r="C210" s="841"/>
      <c r="D210" s="393">
        <f t="shared" si="77"/>
        <v>50.686828598200982</v>
      </c>
      <c r="E210" s="385">
        <f t="shared" si="75"/>
        <v>54.14774720207685</v>
      </c>
      <c r="F210" s="385">
        <f t="shared" si="78"/>
        <v>54.15780693713927</v>
      </c>
      <c r="G210" s="110">
        <f t="shared" si="76"/>
        <v>0.89074333196413691</v>
      </c>
      <c r="H210" s="414" t="b">
        <f>Wh_hp&gt;='2022'!Maxi_hp</f>
        <v>0</v>
      </c>
      <c r="I210" s="390">
        <f>IF(H210,Wh_hp,'2022'!Maxi_hp)</f>
        <v>63.341573131215071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3.9983616126908816E-2</v>
      </c>
      <c r="M210" s="845"/>
      <c r="N210" s="845"/>
      <c r="O210" s="48">
        <f>IF(t&lt;Tnet,'2022'!Resal+('2022'!Salim-'2022'!Resal)*(1-EXP(('2022'!Tnet-t)/('2022'!Tau_j))),Resal+(Salim-Resal)*(1-EXP((Tnet-t)/(Tau_j))))*Salcycl</f>
        <v>6.3916206725274829E-2</v>
      </c>
      <c r="P210" s="169">
        <f>(INDEX(Models!$BJ210:$BT210,,T210)*(1-R210)+INDEX(Models!$BJ210:$BT210,,T210+1)*R210-ERP_i)*Q210*Ramure*Pc/MaxiM</f>
        <v>2.2009095347964242E-4</v>
      </c>
      <c r="Q210" s="305">
        <f t="shared" si="80"/>
        <v>0.5</v>
      </c>
      <c r="R210" s="177">
        <f t="shared" si="81"/>
        <v>0.90148921442401864</v>
      </c>
      <c r="S210" s="811">
        <f t="shared" si="82"/>
        <v>0</v>
      </c>
      <c r="T210" s="176">
        <f t="shared" si="83"/>
        <v>6</v>
      </c>
      <c r="U210" s="251">
        <f t="shared" si="84"/>
        <v>0.90148921442401864</v>
      </c>
      <c r="V210" s="383">
        <f t="shared" si="85"/>
        <v>54.626863583924262</v>
      </c>
      <c r="W210" s="402">
        <f t="shared" si="86"/>
        <v>48.660185900840091</v>
      </c>
      <c r="X210" s="157">
        <f t="shared" si="87"/>
        <v>45122</v>
      </c>
      <c r="Y210" s="385">
        <f t="shared" si="88"/>
        <v>47.326444554322819</v>
      </c>
      <c r="Z210" s="385">
        <f t="shared" si="89"/>
        <v>49.297538405947776</v>
      </c>
      <c r="AA210" s="386">
        <f t="shared" si="90"/>
        <v>54.14774720207685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8.9573602721242054E-2</v>
      </c>
      <c r="AD210" s="231">
        <f>(INDEX(Models!$BJ210:$BT210,,AH210)*(1-AF210)+INDEX(Models!$BJ210:$BT210,,AH210+1)*AF210-ERP_i)*AE210*Ramure*Pc/MaxiM</f>
        <v>2.2009095347964242E-4</v>
      </c>
      <c r="AE210" s="305">
        <f t="shared" si="92"/>
        <v>0.5</v>
      </c>
      <c r="AF210" s="177">
        <f t="shared" si="93"/>
        <v>0.90148921442401864</v>
      </c>
      <c r="AG210" s="811">
        <f t="shared" si="99"/>
        <v>0</v>
      </c>
      <c r="AH210" s="176">
        <f t="shared" si="94"/>
        <v>6</v>
      </c>
      <c r="AI210" s="225">
        <f t="shared" si="95"/>
        <v>0.90148921442401864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411">
        <f>'2022'!Wh/'2022'!Env_an*'2023'!Env_an</f>
        <v>50.003547240290111</v>
      </c>
      <c r="C211" s="841"/>
      <c r="D211" s="393">
        <f t="shared" si="77"/>
        <v>52.087280290524788</v>
      </c>
      <c r="E211" s="385">
        <f t="shared" si="75"/>
        <v>55.646895688945015</v>
      </c>
      <c r="F211" s="385">
        <f t="shared" si="78"/>
        <v>55.658593681128785</v>
      </c>
      <c r="G211" s="110">
        <f t="shared" si="76"/>
        <v>0.91722564664744988</v>
      </c>
      <c r="H211" s="414" t="b">
        <f>Wh_hp&gt;='2022'!Maxi_hp</f>
        <v>0</v>
      </c>
      <c r="I211" s="390">
        <f>IF(H211,Wh_hp,'2022'!Maxi_hp)</f>
        <v>61.340662594559738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4.0004642949532765E-2</v>
      </c>
      <c r="M211" s="845"/>
      <c r="N211" s="845"/>
      <c r="O211" s="48">
        <f>IF(t&lt;Tnet,'2022'!Resal+('2022'!Salim-'2022'!Resal)*(1-EXP(('2022'!Tnet-t)/('2022'!Tau_j))),Resal+(Salim-Resal)*(1-EXP((Tnet-t)/(Tau_j))))*Salcycl</f>
        <v>6.3967906104192396E-2</v>
      </c>
      <c r="P211" s="169">
        <f>(INDEX(Models!$BJ211:$BT211,,T211)*(1-R211)+INDEX(Models!$BJ211:$BT211,,T211+1)*R211-ERP_i)*Q211*Ramure*Pc/MaxiM</f>
        <v>2.3834990683463273E-4</v>
      </c>
      <c r="Q211" s="305">
        <f t="shared" si="80"/>
        <v>0.5</v>
      </c>
      <c r="R211" s="177">
        <f t="shared" si="81"/>
        <v>0.90463955378535998</v>
      </c>
      <c r="S211" s="811">
        <f t="shared" si="82"/>
        <v>0</v>
      </c>
      <c r="T211" s="176">
        <f t="shared" si="83"/>
        <v>6</v>
      </c>
      <c r="U211" s="251">
        <f t="shared" si="84"/>
        <v>0.90463955378535998</v>
      </c>
      <c r="V211" s="383">
        <f t="shared" si="85"/>
        <v>54.514544195540864</v>
      </c>
      <c r="W211" s="402">
        <f t="shared" si="86"/>
        <v>50.003547240290111</v>
      </c>
      <c r="X211" s="157">
        <f t="shared" si="87"/>
        <v>45123</v>
      </c>
      <c r="Y211" s="385">
        <f t="shared" si="88"/>
        <v>48.634061007117019</v>
      </c>
      <c r="Z211" s="385">
        <f t="shared" si="89"/>
        <v>50.660725231570375</v>
      </c>
      <c r="AA211" s="386">
        <f t="shared" si="90"/>
        <v>55.646895688945015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8.9603748702287572E-2</v>
      </c>
      <c r="AD211" s="231">
        <f>(INDEX(Models!$BJ211:$BT211,,AH211)*(1-AF211)+INDEX(Models!$BJ211:$BT211,,AH211+1)*AF211-ERP_i)*AE211*Ramure*Pc/MaxiM</f>
        <v>2.3834990683463273E-4</v>
      </c>
      <c r="AE211" s="305">
        <f t="shared" si="92"/>
        <v>0.5</v>
      </c>
      <c r="AF211" s="177">
        <f t="shared" si="93"/>
        <v>0.90463955378535998</v>
      </c>
      <c r="AG211" s="811">
        <f t="shared" si="99"/>
        <v>0</v>
      </c>
      <c r="AH211" s="176">
        <f t="shared" si="94"/>
        <v>6</v>
      </c>
      <c r="AI211" s="225">
        <f t="shared" si="95"/>
        <v>0.90463955378535998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411">
        <f>'2022'!Wh/'2022'!Env_an*'2023'!Env_an</f>
        <v>49.607455118666145</v>
      </c>
      <c r="C212" s="841"/>
      <c r="D212" s="393">
        <f t="shared" si="77"/>
        <v>51.675814167961455</v>
      </c>
      <c r="E212" s="385">
        <f t="shared" si="75"/>
        <v>55.21032621353951</v>
      </c>
      <c r="F212" s="385">
        <f t="shared" si="78"/>
        <v>55.222679840559103</v>
      </c>
      <c r="G212" s="110">
        <f t="shared" si="76"/>
        <v>0.91185994934279435</v>
      </c>
      <c r="H212" s="414" t="b">
        <f>Wh_hp&gt;='2022'!Maxi_hp</f>
        <v>0</v>
      </c>
      <c r="I212" s="390">
        <f>IF(H212,Wh_hp,'2022'!Maxi_hp)</f>
        <v>60.188178256844751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4.0025669311615331E-2</v>
      </c>
      <c r="M212" s="845"/>
      <c r="N212" s="845"/>
      <c r="O212" s="48">
        <f>IF(t&lt;Tnet,'2022'!Resal+('2022'!Salim-'2022'!Resal)*(1-EXP(('2022'!Tnet-t)/('2022'!Tau_j))),Resal+(Salim-Resal)*(1-EXP((Tnet-t)/(Tau_j))))*Salcycl</f>
        <v>6.4019039335276862E-2</v>
      </c>
      <c r="P212" s="169">
        <f>(INDEX(Models!$BJ212:$BT212,,T212)*(1-R212)+INDEX(Models!$BJ212:$BT212,,T212+1)*R212-ERP_i)*Q212*Ramure*Pc/MaxiM</f>
        <v>2.5591878555542946E-4</v>
      </c>
      <c r="Q212" s="305">
        <f t="shared" si="80"/>
        <v>0.5</v>
      </c>
      <c r="R212" s="177">
        <f t="shared" si="81"/>
        <v>0.90770951185193638</v>
      </c>
      <c r="S212" s="811">
        <f t="shared" si="82"/>
        <v>0</v>
      </c>
      <c r="T212" s="176">
        <f t="shared" si="83"/>
        <v>6</v>
      </c>
      <c r="U212" s="251">
        <f t="shared" si="84"/>
        <v>0.90770951185193638</v>
      </c>
      <c r="V212" s="383">
        <f t="shared" si="85"/>
        <v>54.400740800770762</v>
      </c>
      <c r="W212" s="402">
        <f t="shared" si="86"/>
        <v>49.607455118666145</v>
      </c>
      <c r="X212" s="157">
        <f t="shared" si="87"/>
        <v>45124</v>
      </c>
      <c r="Y212" s="385">
        <f t="shared" si="88"/>
        <v>48.249895375258369</v>
      </c>
      <c r="Z212" s="385">
        <f t="shared" si="89"/>
        <v>50.261651622141834</v>
      </c>
      <c r="AA212" s="386">
        <f t="shared" si="90"/>
        <v>55.21032621353951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8.9633134429553285E-2</v>
      </c>
      <c r="AD212" s="231">
        <f>(INDEX(Models!$BJ212:$BT212,,AH212)*(1-AF212)+INDEX(Models!$BJ212:$BT212,,AH212+1)*AF212-ERP_i)*AE212*Ramure*Pc/MaxiM</f>
        <v>2.5591878555542946E-4</v>
      </c>
      <c r="AE212" s="305">
        <f t="shared" si="92"/>
        <v>0.5</v>
      </c>
      <c r="AF212" s="177">
        <f t="shared" si="93"/>
        <v>0.90770951185193638</v>
      </c>
      <c r="AG212" s="811">
        <f t="shared" si="99"/>
        <v>0</v>
      </c>
      <c r="AH212" s="176">
        <f t="shared" si="94"/>
        <v>6</v>
      </c>
      <c r="AI212" s="225">
        <f t="shared" si="95"/>
        <v>0.90770951185193638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411">
        <f>'2022'!Wh/'2022'!Env_an*'2023'!Env_an</f>
        <v>51.411296131001158</v>
      </c>
      <c r="C213" s="841"/>
      <c r="D213" s="393">
        <f t="shared" si="77"/>
        <v>53.556038480869148</v>
      </c>
      <c r="E213" s="385">
        <f t="shared" si="75"/>
        <v>57.222247048780474</v>
      </c>
      <c r="F213" s="385">
        <f t="shared" si="78"/>
        <v>57.236628162388079</v>
      </c>
      <c r="G213" s="110">
        <f t="shared" si="76"/>
        <v>0.94703268615122216</v>
      </c>
      <c r="H213" s="414" t="b">
        <f>Wh_hp&gt;='2022'!Maxi_hp</f>
        <v>0</v>
      </c>
      <c r="I213" s="390">
        <f>IF(H213,Wh_hp,'2022'!Maxi_hp)</f>
        <v>57.23689776410086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4.0046695213166617E-2</v>
      </c>
      <c r="M213" s="845"/>
      <c r="N213" s="845"/>
      <c r="O213" s="48">
        <f>IF(t&lt;Tnet,'2022'!Resal+('2022'!Salim-'2022'!Resal)*(1-EXP(('2022'!Tnet-t)/('2022'!Tau_j))),Resal+(Salim-Resal)*(1-EXP((Tnet-t)/(Tau_j))))*Salcycl</f>
        <v>6.4069636496203619E-2</v>
      </c>
      <c r="P213" s="169">
        <f>(INDEX(Models!$BJ213:$BT213,,T213)*(1-R213)+INDEX(Models!$BJ213:$BT213,,T213+1)*R213-ERP_i)*Q213*Ramure*Pc/MaxiM</f>
        <v>2.7181738040742154E-4</v>
      </c>
      <c r="Q213" s="305">
        <f t="shared" si="80"/>
        <v>0.5</v>
      </c>
      <c r="R213" s="177">
        <f t="shared" si="81"/>
        <v>0.91069963276822685</v>
      </c>
      <c r="S213" s="811">
        <f t="shared" si="82"/>
        <v>0</v>
      </c>
      <c r="T213" s="176">
        <f t="shared" si="83"/>
        <v>6</v>
      </c>
      <c r="U213" s="251">
        <f t="shared" si="84"/>
        <v>0.91069963276822685</v>
      </c>
      <c r="V213" s="383">
        <f t="shared" si="85"/>
        <v>54.285601321292582</v>
      </c>
      <c r="W213" s="402">
        <f t="shared" si="86"/>
        <v>51.411296131001158</v>
      </c>
      <c r="X213" s="157">
        <f t="shared" si="87"/>
        <v>45125</v>
      </c>
      <c r="Y213" s="385">
        <f t="shared" si="88"/>
        <v>50.005500889350451</v>
      </c>
      <c r="Z213" s="385">
        <f t="shared" si="89"/>
        <v>52.091597205818921</v>
      </c>
      <c r="AA213" s="386">
        <f t="shared" si="90"/>
        <v>57.222247048780474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8.9661803014967359E-2</v>
      </c>
      <c r="AD213" s="231">
        <f>(INDEX(Models!$BJ213:$BT213,,AH213)*(1-AF213)+INDEX(Models!$BJ213:$BT213,,AH213+1)*AF213-ERP_i)*AE213*Ramure*Pc/MaxiM</f>
        <v>2.7181738040742154E-4</v>
      </c>
      <c r="AE213" s="305">
        <f t="shared" si="92"/>
        <v>0.5</v>
      </c>
      <c r="AF213" s="177">
        <f t="shared" si="93"/>
        <v>0.91069963276822685</v>
      </c>
      <c r="AG213" s="811">
        <f t="shared" si="99"/>
        <v>0</v>
      </c>
      <c r="AH213" s="176">
        <f t="shared" si="94"/>
        <v>6</v>
      </c>
      <c r="AI213" s="225">
        <f t="shared" si="95"/>
        <v>0.91069963276822685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411">
        <f>'2022'!Wh/'2022'!Env_an*'2023'!Env_an</f>
        <v>41.2462135718485</v>
      </c>
      <c r="C214" s="841"/>
      <c r="D214" s="393">
        <f t="shared" si="77"/>
        <v>42.967836856114388</v>
      </c>
      <c r="E214" s="385">
        <f t="shared" si="75"/>
        <v>45.911681327046594</v>
      </c>
      <c r="F214" s="385">
        <f t="shared" si="78"/>
        <v>45.920339351676994</v>
      </c>
      <c r="G214" s="110">
        <f t="shared" si="76"/>
        <v>0.76135840914024111</v>
      </c>
      <c r="H214" s="414" t="b">
        <f>Wh_hp&gt;='2022'!Maxi_hp</f>
        <v>0</v>
      </c>
      <c r="I214" s="390">
        <f>IF(H214,Wh_hp,'2022'!Maxi_hp)</f>
        <v>60.582660665176114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4.0067720654196615E-2</v>
      </c>
      <c r="M214" s="845"/>
      <c r="N214" s="845"/>
      <c r="O214" s="48">
        <f>IF(t&lt;Tnet,'2022'!Resal+('2022'!Salim-'2022'!Resal)*(1-EXP(('2022'!Tnet-t)/('2022'!Tau_j))),Resal+(Salim-Resal)*(1-EXP((Tnet-t)/(Tau_j))))*Salcycl</f>
        <v>6.4119726959291037E-2</v>
      </c>
      <c r="P214" s="169">
        <f>(INDEX(Models!$BJ214:$BT214,,T214)*(1-R214)+INDEX(Models!$BJ214:$BT214,,T214+1)*R214-ERP_i)*Q214*Ramure*Pc/MaxiM</f>
        <v>2.8602464103194618E-4</v>
      </c>
      <c r="Q214" s="305">
        <f t="shared" si="80"/>
        <v>0.5</v>
      </c>
      <c r="R214" s="177">
        <f t="shared" si="81"/>
        <v>0.9136105640337906</v>
      </c>
      <c r="S214" s="811">
        <f t="shared" si="82"/>
        <v>0</v>
      </c>
      <c r="T214" s="176">
        <f t="shared" si="83"/>
        <v>6</v>
      </c>
      <c r="U214" s="251">
        <f t="shared" si="84"/>
        <v>0.9136105640337906</v>
      </c>
      <c r="V214" s="383">
        <f t="shared" si="85"/>
        <v>54.169221262000832</v>
      </c>
      <c r="W214" s="402">
        <f t="shared" si="86"/>
        <v>41.2462135718485</v>
      </c>
      <c r="X214" s="157">
        <f t="shared" si="87"/>
        <v>45126</v>
      </c>
      <c r="Y214" s="385">
        <f t="shared" si="88"/>
        <v>40.119286784628336</v>
      </c>
      <c r="Z214" s="385">
        <f t="shared" si="89"/>
        <v>41.793871971853832</v>
      </c>
      <c r="AA214" s="386">
        <f t="shared" si="90"/>
        <v>45.911681327046594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8.9689796499936955E-2</v>
      </c>
      <c r="AD214" s="231">
        <f>(INDEX(Models!$BJ214:$BT214,,AH214)*(1-AF214)+INDEX(Models!$BJ214:$BT214,,AH214+1)*AF214-ERP_i)*AE214*Ramure*Pc/MaxiM</f>
        <v>2.8602464103194618E-4</v>
      </c>
      <c r="AE214" s="305">
        <f t="shared" si="92"/>
        <v>0.5</v>
      </c>
      <c r="AF214" s="177">
        <f t="shared" si="93"/>
        <v>0.9136105640337906</v>
      </c>
      <c r="AG214" s="811">
        <f t="shared" si="99"/>
        <v>0</v>
      </c>
      <c r="AH214" s="176">
        <f t="shared" si="94"/>
        <v>6</v>
      </c>
      <c r="AI214" s="225">
        <f t="shared" si="95"/>
        <v>0.9136105640337906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411">
        <f>'2022'!Wh/'2022'!Env_an*'2023'!Env_an</f>
        <v>41.661153753470124</v>
      </c>
      <c r="C215" s="841"/>
      <c r="D215" s="393">
        <f t="shared" si="77"/>
        <v>43.401047298916652</v>
      </c>
      <c r="E215" s="385">
        <f t="shared" si="75"/>
        <v>46.377030716505367</v>
      </c>
      <c r="F215" s="385">
        <f t="shared" si="78"/>
        <v>46.38634329478019</v>
      </c>
      <c r="G215" s="110">
        <f t="shared" si="76"/>
        <v>0.77068960265438613</v>
      </c>
      <c r="H215" s="414" t="b">
        <f>Wh_hp&gt;='2022'!Maxi_hp</f>
        <v>0</v>
      </c>
      <c r="I215" s="390">
        <f>IF(H215,Wh_hp,'2022'!Maxi_hp)</f>
        <v>59.347072848746947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4.0088745634715539E-2</v>
      </c>
      <c r="M215" s="845"/>
      <c r="N215" s="845"/>
      <c r="O215" s="48">
        <f>IF(t&lt;Tnet,'2022'!Resal+('2022'!Salim-'2022'!Resal)*(1-EXP(('2022'!Tnet-t)/('2022'!Tau_j))),Resal+(Salim-Resal)*(1-EXP((Tnet-t)/(Tau_j))))*Salcycl</f>
        <v>6.416933925288093E-2</v>
      </c>
      <c r="P215" s="169">
        <f>(INDEX(Models!$BJ215:$BT215,,T215)*(1-R215)+INDEX(Models!$BJ215:$BT215,,T215+1)*R215-ERP_i)*Q215*Ramure*Pc/MaxiM</f>
        <v>2.9852018492764165E-4</v>
      </c>
      <c r="Q215" s="305">
        <f t="shared" si="80"/>
        <v>0.5</v>
      </c>
      <c r="R215" s="177">
        <f t="shared" si="81"/>
        <v>0.91644304946922572</v>
      </c>
      <c r="S215" s="811">
        <f t="shared" si="82"/>
        <v>0</v>
      </c>
      <c r="T215" s="176">
        <f t="shared" si="83"/>
        <v>6</v>
      </c>
      <c r="U215" s="251">
        <f t="shared" si="84"/>
        <v>0.91644304946922572</v>
      </c>
      <c r="V215" s="383">
        <f t="shared" si="85"/>
        <v>54.051696091885816</v>
      </c>
      <c r="W215" s="402">
        <f t="shared" si="86"/>
        <v>41.661153753470124</v>
      </c>
      <c r="X215" s="157">
        <f t="shared" si="87"/>
        <v>45127</v>
      </c>
      <c r="Y215" s="385">
        <f t="shared" si="88"/>
        <v>40.52382031033013</v>
      </c>
      <c r="Z215" s="385">
        <f t="shared" si="89"/>
        <v>42.216215432462469</v>
      </c>
      <c r="AA215" s="386">
        <f t="shared" si="90"/>
        <v>46.377030716505367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8.9717155664346709E-2</v>
      </c>
      <c r="AD215" s="231">
        <f>(INDEX(Models!$BJ215:$BT215,,AH215)*(1-AF215)+INDEX(Models!$BJ215:$BT215,,AH215+1)*AF215-ERP_i)*AE215*Ramure*Pc/MaxiM</f>
        <v>2.9852018492764165E-4</v>
      </c>
      <c r="AE215" s="305">
        <f t="shared" si="92"/>
        <v>0.5</v>
      </c>
      <c r="AF215" s="177">
        <f t="shared" si="93"/>
        <v>0.91644304946922572</v>
      </c>
      <c r="AG215" s="811">
        <f t="shared" si="99"/>
        <v>0</v>
      </c>
      <c r="AH215" s="176">
        <f t="shared" si="94"/>
        <v>6</v>
      </c>
      <c r="AI215" s="225">
        <f t="shared" si="95"/>
        <v>0.91644304946922572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411">
        <f>'2022'!Wh/'2022'!Env_an*'2023'!Env_an</f>
        <v>48.997241887838612</v>
      </c>
      <c r="C216" s="841"/>
      <c r="D216" s="393">
        <f t="shared" si="77"/>
        <v>51.044630275835729</v>
      </c>
      <c r="E216" s="385">
        <f t="shared" si="75"/>
        <v>54.547595060137951</v>
      </c>
      <c r="F216" s="385">
        <f t="shared" si="78"/>
        <v>54.562264025757102</v>
      </c>
      <c r="G216" s="110">
        <f t="shared" si="76"/>
        <v>0.90844473597393405</v>
      </c>
      <c r="H216" s="414" t="b">
        <f>Wh_hp&gt;='2022'!Maxi_hp</f>
        <v>0</v>
      </c>
      <c r="I216" s="390">
        <f>IF(H216,Wh_hp,'2022'!Maxi_hp)</f>
        <v>54.562753738097314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4.0109770154733382E-2</v>
      </c>
      <c r="M216" s="845"/>
      <c r="N216" s="845"/>
      <c r="O216" s="48">
        <f>IF(t&lt;Tnet,'2022'!Resal+('2022'!Salim-'2022'!Resal)*(1-EXP(('2022'!Tnet-t)/('2022'!Tau_j))),Resal+(Salim-Resal)*(1-EXP((Tnet-t)/(Tau_j))))*Salcycl</f>
        <v>6.4218500933730521E-2</v>
      </c>
      <c r="P216" s="169">
        <f>(INDEX(Models!$BJ216:$BT216,,T216)*(1-R216)+INDEX(Models!$BJ216:$BT216,,T216+1)*R216-ERP_i)*Q216*Ramure*Pc/MaxiM</f>
        <v>3.0928423438585616E-4</v>
      </c>
      <c r="Q216" s="305">
        <f t="shared" si="80"/>
        <v>0.5</v>
      </c>
      <c r="R216" s="177">
        <f t="shared" si="81"/>
        <v>0.91919792222728569</v>
      </c>
      <c r="S216" s="811">
        <f t="shared" si="82"/>
        <v>0</v>
      </c>
      <c r="T216" s="176">
        <f t="shared" si="83"/>
        <v>6</v>
      </c>
      <c r="U216" s="251">
        <f t="shared" si="84"/>
        <v>0.91919792222728569</v>
      </c>
      <c r="V216" s="383">
        <f t="shared" si="85"/>
        <v>53.93312125650472</v>
      </c>
      <c r="W216" s="402">
        <f t="shared" si="86"/>
        <v>48.997241887838612</v>
      </c>
      <c r="X216" s="157">
        <f t="shared" si="87"/>
        <v>45128</v>
      </c>
      <c r="Y216" s="385">
        <f t="shared" si="88"/>
        <v>47.660738520066552</v>
      </c>
      <c r="Z216" s="385">
        <f t="shared" si="89"/>
        <v>49.652280060970533</v>
      </c>
      <c r="AA216" s="386">
        <f t="shared" si="90"/>
        <v>54.547595060137951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8.9743919851469234E-2</v>
      </c>
      <c r="AD216" s="231">
        <f>(INDEX(Models!$BJ216:$BT216,,AH216)*(1-AF216)+INDEX(Models!$BJ216:$BT216,,AH216+1)*AF216-ERP_i)*AE216*Ramure*Pc/MaxiM</f>
        <v>3.0928423438585616E-4</v>
      </c>
      <c r="AE216" s="305">
        <f t="shared" si="92"/>
        <v>0.5</v>
      </c>
      <c r="AF216" s="177">
        <f t="shared" si="93"/>
        <v>0.91919792222728569</v>
      </c>
      <c r="AG216" s="811">
        <f t="shared" si="99"/>
        <v>0</v>
      </c>
      <c r="AH216" s="176">
        <f t="shared" si="94"/>
        <v>6</v>
      </c>
      <c r="AI216" s="225">
        <f t="shared" si="95"/>
        <v>0.91919792222728569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411">
        <f>'2022'!Wh/'2022'!Env_an*'2023'!Env_an</f>
        <v>39.059123226029932</v>
      </c>
      <c r="C217" s="841"/>
      <c r="D217" s="393">
        <f t="shared" si="77"/>
        <v>40.692130751352224</v>
      </c>
      <c r="E217" s="385">
        <f t="shared" si="75"/>
        <v>43.486914666601137</v>
      </c>
      <c r="F217" s="385">
        <f t="shared" si="78"/>
        <v>43.495336501021512</v>
      </c>
      <c r="G217" s="110">
        <f t="shared" si="76"/>
        <v>0.72573212709838553</v>
      </c>
      <c r="H217" s="414" t="b">
        <f>Wh_hp&gt;='2022'!Maxi_hp</f>
        <v>0</v>
      </c>
      <c r="I217" s="390">
        <f>IF(H217,Wh_hp,'2022'!Maxi_hp)</f>
        <v>55.563972127949256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4.0130794214260357E-2</v>
      </c>
      <c r="M217" s="845"/>
      <c r="N217" s="845"/>
      <c r="O217" s="48">
        <f>IF(t&lt;Tnet,'2022'!Resal+('2022'!Salim-'2022'!Resal)*(1-EXP(('2022'!Tnet-t)/('2022'!Tau_j))),Resal+(Salim-Resal)*(1-EXP((Tnet-t)/(Tau_j))))*Salcycl</f>
        <v>6.4267238471055949E-2</v>
      </c>
      <c r="P217" s="169">
        <f>(INDEX(Models!$BJ217:$BT217,,T217)*(1-R217)+INDEX(Models!$BJ217:$BT217,,T217+1)*R217-ERP_i)*Q217*Ramure*Pc/MaxiM</f>
        <v>3.1829755422259289E-4</v>
      </c>
      <c r="Q217" s="305">
        <f t="shared" si="80"/>
        <v>0.5</v>
      </c>
      <c r="R217" s="177">
        <f t="shared" si="81"/>
        <v>0.92187609788456482</v>
      </c>
      <c r="S217" s="811">
        <f t="shared" si="82"/>
        <v>0</v>
      </c>
      <c r="T217" s="176">
        <f t="shared" si="83"/>
        <v>6</v>
      </c>
      <c r="U217" s="251">
        <f t="shared" si="84"/>
        <v>0.92187609788456482</v>
      </c>
      <c r="V217" s="383">
        <f t="shared" si="85"/>
        <v>53.813592190363551</v>
      </c>
      <c r="W217" s="402">
        <f t="shared" si="86"/>
        <v>39.059123226029932</v>
      </c>
      <c r="X217" s="157">
        <f t="shared" si="87"/>
        <v>45129</v>
      </c>
      <c r="Y217" s="385">
        <f t="shared" si="88"/>
        <v>37.994588030523559</v>
      </c>
      <c r="Z217" s="385">
        <f t="shared" si="89"/>
        <v>39.583088822420926</v>
      </c>
      <c r="AA217" s="386">
        <f t="shared" si="90"/>
        <v>43.486914666601137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8.9770126809627079E-2</v>
      </c>
      <c r="AD217" s="231">
        <f>(INDEX(Models!$BJ217:$BT217,,AH217)*(1-AF217)+INDEX(Models!$BJ217:$BT217,,AH217+1)*AF217-ERP_i)*AE217*Ramure*Pc/MaxiM</f>
        <v>3.1829755422259289E-4</v>
      </c>
      <c r="AE217" s="305">
        <f t="shared" si="92"/>
        <v>0.5</v>
      </c>
      <c r="AF217" s="177">
        <f t="shared" si="93"/>
        <v>0.92187609788456482</v>
      </c>
      <c r="AG217" s="811">
        <f t="shared" si="99"/>
        <v>0</v>
      </c>
      <c r="AH217" s="176">
        <f t="shared" si="94"/>
        <v>6</v>
      </c>
      <c r="AI217" s="225">
        <f t="shared" si="95"/>
        <v>0.92187609788456482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411">
        <f>'2022'!Wh/'2022'!Env_an*'2023'!Env_an</f>
        <v>43.650654101976166</v>
      </c>
      <c r="C218" s="841"/>
      <c r="D218" s="393">
        <f t="shared" si="77"/>
        <v>45.476623191110001</v>
      </c>
      <c r="E218" s="385">
        <f t="shared" si="75"/>
        <v>48.602522474661122</v>
      </c>
      <c r="F218" s="385">
        <f t="shared" si="78"/>
        <v>48.614119795644065</v>
      </c>
      <c r="G218" s="110">
        <f t="shared" si="76"/>
        <v>0.81289349164674141</v>
      </c>
      <c r="H218" s="414" t="b">
        <f>Wh_hp&gt;='2022'!Maxi_hp</f>
        <v>0</v>
      </c>
      <c r="I218" s="390">
        <f>IF(H218,Wh_hp,'2022'!Maxi_hp)</f>
        <v>57.937152506467669</v>
      </c>
      <c r="J218" s="85">
        <f>IF(H218,An,'2022'!An_max)</f>
        <v>2019</v>
      </c>
      <c r="K218" s="197">
        <f t="shared" si="79"/>
        <v>45130</v>
      </c>
      <c r="L218" s="147">
        <f>IF(t&lt;Tvie,1-EXP((T0-t)*PertePVj)+'2022'!Pspv,1-EXP((T0-t)*PertePVj)+Pspv)</f>
        <v>4.0151817813306456E-2</v>
      </c>
      <c r="M218" s="845"/>
      <c r="N218" s="845"/>
      <c r="O218" s="48">
        <f>IF(t&lt;Tnet,'2022'!Resal+('2022'!Salim-'2022'!Resal)*(1-EXP(('2022'!Tnet-t)/('2022'!Tau_j))),Resal+(Salim-Resal)*(1-EXP((Tnet-t)/(Tau_j))))*Salcycl</f>
        <v>6.4315577142746161E-2</v>
      </c>
      <c r="P218" s="169">
        <f>(INDEX(Models!$BJ218:$BT218,,T218)*(1-R218)+INDEX(Models!$BJ218:$BT218,,T218+1)*R218-ERP_i)*Q218*Ramure*Pc/MaxiM</f>
        <v>3.2554139121719286E-4</v>
      </c>
      <c r="Q218" s="305">
        <f t="shared" si="80"/>
        <v>0.5</v>
      </c>
      <c r="R218" s="177">
        <f t="shared" si="81"/>
        <v>0.9244785676456968</v>
      </c>
      <c r="S218" s="811">
        <f t="shared" si="82"/>
        <v>0</v>
      </c>
      <c r="T218" s="176">
        <f t="shared" si="83"/>
        <v>6</v>
      </c>
      <c r="U218" s="251">
        <f t="shared" si="84"/>
        <v>0.9244785676456968</v>
      </c>
      <c r="V218" s="383">
        <f t="shared" si="85"/>
        <v>53.693204328637364</v>
      </c>
      <c r="W218" s="402">
        <f t="shared" si="86"/>
        <v>43.650654101976166</v>
      </c>
      <c r="X218" s="157">
        <f t="shared" si="87"/>
        <v>45130</v>
      </c>
      <c r="Y218" s="385">
        <f t="shared" si="88"/>
        <v>42.461974548181516</v>
      </c>
      <c r="Z218" s="385">
        <f t="shared" si="89"/>
        <v>44.238219477007384</v>
      </c>
      <c r="AA218" s="386">
        <f t="shared" si="90"/>
        <v>48.602522474661122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8.979581255127371E-2</v>
      </c>
      <c r="AD218" s="231">
        <f>(INDEX(Models!$BJ218:$BT218,,AH218)*(1-AF218)+INDEX(Models!$BJ218:$BT218,,AH218+1)*AF218-ERP_i)*AE218*Ramure*Pc/MaxiM</f>
        <v>3.2554139121719286E-4</v>
      </c>
      <c r="AE218" s="305">
        <f t="shared" si="92"/>
        <v>0.5</v>
      </c>
      <c r="AF218" s="177">
        <f t="shared" si="93"/>
        <v>0.9244785676456968</v>
      </c>
      <c r="AG218" s="811">
        <f t="shared" si="99"/>
        <v>0</v>
      </c>
      <c r="AH218" s="176">
        <f t="shared" si="94"/>
        <v>6</v>
      </c>
      <c r="AI218" s="225">
        <f t="shared" si="95"/>
        <v>0.9244785676456968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411">
        <f>'2022'!Wh/'2022'!Env_an*'2023'!Env_an</f>
        <v>48.957809819902678</v>
      </c>
      <c r="C219" s="841"/>
      <c r="D219" s="393">
        <f t="shared" si="77"/>
        <v>51.006901980618281</v>
      </c>
      <c r="E219" s="385">
        <f t="shared" si="75"/>
        <v>54.515727221755412</v>
      </c>
      <c r="F219" s="385">
        <f t="shared" si="78"/>
        <v>54.531556238491106</v>
      </c>
      <c r="G219" s="110">
        <f t="shared" si="76"/>
        <v>0.91383534498762575</v>
      </c>
      <c r="H219" s="414" t="b">
        <f>Wh_hp&gt;='2022'!Maxi_hp</f>
        <v>0</v>
      </c>
      <c r="I219" s="390">
        <f>IF(H219,Wh_hp,'2022'!Maxi_hp)</f>
        <v>57.924820130429069</v>
      </c>
      <c r="J219" s="85">
        <f>IF(H219,An,'2022'!An_max)</f>
        <v>2019</v>
      </c>
      <c r="K219" s="197">
        <f t="shared" si="79"/>
        <v>45131</v>
      </c>
      <c r="L219" s="147">
        <f>IF(t&lt;Tvie,1-EXP((T0-t)*PertePVj)+'2022'!Pspv,1-EXP((T0-t)*PertePVj)+Pspv)</f>
        <v>4.0172840951881783E-2</v>
      </c>
      <c r="M219" s="845"/>
      <c r="N219" s="845"/>
      <c r="O219" s="48">
        <f>IF(t&lt;Tnet,'2022'!Resal+('2022'!Salim-'2022'!Resal)*(1-EXP(('2022'!Tnet-t)/('2022'!Tau_j))),Resal+(Salim-Resal)*(1-EXP((Tnet-t)/(Tau_j))))*Salcycl</f>
        <v>6.4363540944141984E-2</v>
      </c>
      <c r="P219" s="169">
        <f>(INDEX(Models!$BJ219:$BT219,,T219)*(1-R219)+INDEX(Models!$BJ219:$BT219,,T219+1)*R219-ERP_i)*Q219*Ramure*Pc/MaxiM</f>
        <v>3.3099837037176244E-4</v>
      </c>
      <c r="Q219" s="305">
        <f t="shared" si="80"/>
        <v>0.5</v>
      </c>
      <c r="R219" s="177">
        <f t="shared" si="81"/>
        <v>0.92700639168857413</v>
      </c>
      <c r="S219" s="811">
        <f t="shared" si="82"/>
        <v>0</v>
      </c>
      <c r="T219" s="176">
        <f t="shared" si="83"/>
        <v>6</v>
      </c>
      <c r="U219" s="251">
        <f t="shared" si="84"/>
        <v>0.92700639168857413</v>
      </c>
      <c r="V219" s="383">
        <f t="shared" si="85"/>
        <v>53.571812104980587</v>
      </c>
      <c r="W219" s="402">
        <f t="shared" si="86"/>
        <v>48.957809819902678</v>
      </c>
      <c r="X219" s="157">
        <f t="shared" si="87"/>
        <v>45131</v>
      </c>
      <c r="Y219" s="385">
        <f t="shared" si="88"/>
        <v>47.625730488569424</v>
      </c>
      <c r="Z219" s="385">
        <f t="shared" si="89"/>
        <v>49.6190694747593</v>
      </c>
      <c r="AA219" s="386">
        <f t="shared" si="90"/>
        <v>54.515727221755412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8.9821011229985454E-2</v>
      </c>
      <c r="AD219" s="231">
        <f>(INDEX(Models!$BJ219:$BT219,,AH219)*(1-AF219)+INDEX(Models!$BJ219:$BT219,,AH219+1)*AF219-ERP_i)*AE219*Ramure*Pc/MaxiM</f>
        <v>3.3099837037176244E-4</v>
      </c>
      <c r="AE219" s="305">
        <f t="shared" si="92"/>
        <v>0.5</v>
      </c>
      <c r="AF219" s="177">
        <f t="shared" si="93"/>
        <v>0.92700639168857413</v>
      </c>
      <c r="AG219" s="811">
        <f t="shared" si="99"/>
        <v>0</v>
      </c>
      <c r="AH219" s="176">
        <f t="shared" si="94"/>
        <v>6</v>
      </c>
      <c r="AI219" s="225">
        <f t="shared" si="95"/>
        <v>0.92700639168857413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411">
        <f>'2022'!Wh/'2022'!Env_an*'2023'!Env_an</f>
        <v>25.020027284975168</v>
      </c>
      <c r="C220" s="841"/>
      <c r="D220" s="393">
        <f t="shared" si="77"/>
        <v>26.067792585283069</v>
      </c>
      <c r="E220" s="385">
        <f t="shared" si="75"/>
        <v>27.862444764287218</v>
      </c>
      <c r="F220" s="385">
        <f t="shared" si="78"/>
        <v>27.864678620789881</v>
      </c>
      <c r="G220" s="110">
        <f t="shared" si="76"/>
        <v>0.46798935960704224</v>
      </c>
      <c r="H220" s="414" t="b">
        <f>Wh_hp&gt;='2022'!Maxi_hp</f>
        <v>0</v>
      </c>
      <c r="I220" s="390">
        <f>IF(H220,Wh_hp,'2022'!Maxi_hp)</f>
        <v>58.619065963281635</v>
      </c>
      <c r="J220" s="85">
        <f>IF(H220,An,'2022'!An_max)</f>
        <v>2019</v>
      </c>
      <c r="K220" s="197">
        <f t="shared" si="79"/>
        <v>45132</v>
      </c>
      <c r="L220" s="147">
        <f>IF(t&lt;Tvie,1-EXP((T0-t)*PertePVj)+'2022'!Pspv,1-EXP((T0-t)*PertePVj)+Pspv)</f>
        <v>4.019386362999644E-2</v>
      </c>
      <c r="M220" s="845"/>
      <c r="N220" s="845"/>
      <c r="O220" s="48">
        <f>IF(t&lt;Tnet,'2022'!Resal+('2022'!Salim-'2022'!Resal)*(1-EXP(('2022'!Tnet-t)/('2022'!Tau_j))),Resal+(Salim-Resal)*(1-EXP((Tnet-t)/(Tau_j))))*Salcycl</f>
        <v>6.4411152509648101E-2</v>
      </c>
      <c r="P220" s="169">
        <f>(INDEX(Models!$BJ220:$BT220,,T220)*(1-R220)+INDEX(Models!$BJ220:$BT220,,T220+1)*R220-ERP_i)*Q220*Ramure*Pc/MaxiM</f>
        <v>3.3381866849850199E-4</v>
      </c>
      <c r="Q220" s="305">
        <f t="shared" si="80"/>
        <v>0.5</v>
      </c>
      <c r="R220" s="177">
        <f t="shared" si="81"/>
        <v>0.92946069267570919</v>
      </c>
      <c r="S220" s="811">
        <f t="shared" si="82"/>
        <v>0</v>
      </c>
      <c r="T220" s="176">
        <f t="shared" si="83"/>
        <v>6</v>
      </c>
      <c r="U220" s="251">
        <f t="shared" si="84"/>
        <v>0.92946069267570919</v>
      </c>
      <c r="V220" s="383">
        <f t="shared" si="85"/>
        <v>53.449250323484357</v>
      </c>
      <c r="W220" s="402">
        <f t="shared" si="86"/>
        <v>25.020027284975168</v>
      </c>
      <c r="X220" s="157">
        <f t="shared" si="87"/>
        <v>45132</v>
      </c>
      <c r="Y220" s="385">
        <f t="shared" si="88"/>
        <v>24.339841270690375</v>
      </c>
      <c r="Z220" s="385">
        <f t="shared" si="89"/>
        <v>25.359122377299961</v>
      </c>
      <c r="AA220" s="386">
        <f t="shared" si="90"/>
        <v>27.862444764287218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8.9845755035677932E-2</v>
      </c>
      <c r="AD220" s="231">
        <f>(INDEX(Models!$BJ220:$BT220,,AH220)*(1-AF220)+INDEX(Models!$BJ220:$BT220,,AH220+1)*AF220-ERP_i)*AE220*Ramure*Pc/MaxiM</f>
        <v>3.3381866849850199E-4</v>
      </c>
      <c r="AE220" s="305">
        <f t="shared" si="92"/>
        <v>0.5</v>
      </c>
      <c r="AF220" s="177">
        <f t="shared" si="93"/>
        <v>0.92946069267570919</v>
      </c>
      <c r="AG220" s="811">
        <f t="shared" si="99"/>
        <v>0</v>
      </c>
      <c r="AH220" s="176">
        <f t="shared" si="94"/>
        <v>6</v>
      </c>
      <c r="AI220" s="225">
        <f t="shared" si="95"/>
        <v>0.92946069267570919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411">
        <f>'2022'!Wh/'2022'!Env_an*'2023'!Env_an</f>
        <v>52.594833797311033</v>
      </c>
      <c r="C221" s="841"/>
      <c r="D221" s="393">
        <f t="shared" si="77"/>
        <v>54.798551281722673</v>
      </c>
      <c r="E221" s="385">
        <f t="shared" si="75"/>
        <v>58.574149153219061</v>
      </c>
      <c r="F221" s="385">
        <f t="shared" si="78"/>
        <v>58.593326153618776</v>
      </c>
      <c r="G221" s="110">
        <f t="shared" si="76"/>
        <v>0.98629105959122976</v>
      </c>
      <c r="H221" s="414" t="b">
        <f>Wh_hp&gt;='2022'!Maxi_hp</f>
        <v>0</v>
      </c>
      <c r="I221" s="390">
        <f>IF(H221,Wh_hp,'2022'!Maxi_hp)</f>
        <v>58.593405907385026</v>
      </c>
      <c r="J221" s="85">
        <f>IF(H221,An,'2022'!An_max)</f>
        <v>2022</v>
      </c>
      <c r="K221" s="197">
        <f t="shared" si="79"/>
        <v>45133</v>
      </c>
      <c r="L221" s="147">
        <f>IF(t&lt;Tvie,1-EXP((T0-t)*PertePVj)+'2022'!Pspv,1-EXP((T0-t)*PertePVj)+Pspv)</f>
        <v>4.021488584766042E-2</v>
      </c>
      <c r="M221" s="845"/>
      <c r="N221" s="845"/>
      <c r="O221" s="48">
        <f>IF(t&lt;Tnet,'2022'!Resal+('2022'!Salim-'2022'!Resal)*(1-EXP(('2022'!Tnet-t)/('2022'!Tau_j))),Resal+(Salim-Resal)*(1-EXP((Tnet-t)/(Tau_j))))*Salcycl</f>
        <v>6.4458433047318048E-2</v>
      </c>
      <c r="P221" s="169">
        <f>(INDEX(Models!$BJ221:$BT221,,T221)*(1-R221)+INDEX(Models!$BJ221:$BT221,,T221+1)*R221-ERP_i)*Q221*Ramure*Pc/MaxiM</f>
        <v>3.3382445139385674E-4</v>
      </c>
      <c r="Q221" s="305">
        <f t="shared" si="80"/>
        <v>0.5</v>
      </c>
      <c r="R221" s="177">
        <f t="shared" si="81"/>
        <v>0.93184264945356809</v>
      </c>
      <c r="S221" s="811">
        <f t="shared" si="82"/>
        <v>0</v>
      </c>
      <c r="T221" s="176">
        <f t="shared" si="83"/>
        <v>6</v>
      </c>
      <c r="U221" s="251">
        <f t="shared" si="84"/>
        <v>0.93184264945356809</v>
      </c>
      <c r="V221" s="383">
        <f t="shared" si="85"/>
        <v>53.325526462582587</v>
      </c>
      <c r="W221" s="402">
        <f t="shared" si="86"/>
        <v>52.594833797311033</v>
      </c>
      <c r="X221" s="157">
        <f t="shared" si="87"/>
        <v>45133</v>
      </c>
      <c r="Y221" s="385">
        <f t="shared" si="88"/>
        <v>51.166227003850786</v>
      </c>
      <c r="Z221" s="385">
        <f t="shared" si="89"/>
        <v>53.310086027995588</v>
      </c>
      <c r="AA221" s="386">
        <f t="shared" si="90"/>
        <v>58.574149153219061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8.9870074108181444E-2</v>
      </c>
      <c r="AD221" s="231">
        <f>(INDEX(Models!$BJ221:$BT221,,AH221)*(1-AF221)+INDEX(Models!$BJ221:$BT221,,AH221+1)*AF221-ERP_i)*AE221*Ramure*Pc/MaxiM</f>
        <v>3.3382445139385674E-4</v>
      </c>
      <c r="AE221" s="305">
        <f t="shared" si="92"/>
        <v>0.5</v>
      </c>
      <c r="AF221" s="177">
        <f t="shared" si="93"/>
        <v>0.93184264945356809</v>
      </c>
      <c r="AG221" s="811">
        <f t="shared" si="99"/>
        <v>0</v>
      </c>
      <c r="AH221" s="176">
        <f t="shared" si="94"/>
        <v>6</v>
      </c>
      <c r="AI221" s="225">
        <f t="shared" si="95"/>
        <v>0.93184264945356809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411">
        <f>'2022'!Wh/'2022'!Env_an*'2023'!Env_an</f>
        <v>52.60421801334509</v>
      </c>
      <c r="C222" s="841"/>
      <c r="D222" s="393">
        <f t="shared" si="77"/>
        <v>54.809529164682445</v>
      </c>
      <c r="E222" s="385">
        <f t="shared" si="75"/>
        <v>58.588824883266419</v>
      </c>
      <c r="F222" s="385">
        <f t="shared" si="78"/>
        <v>58.607912930898266</v>
      </c>
      <c r="G222" s="110">
        <f t="shared" si="76"/>
        <v>0.98878395567439326</v>
      </c>
      <c r="H222" s="414" t="b">
        <f>Wh_hp&gt;='2022'!Maxi_hp</f>
        <v>0</v>
      </c>
      <c r="I222" s="390">
        <f>IF(H222,Wh_hp,'2022'!Maxi_hp)</f>
        <v>58.607976859934475</v>
      </c>
      <c r="J222" s="85">
        <f>IF(H222,An,'2022'!An_max)</f>
        <v>2022</v>
      </c>
      <c r="K222" s="197">
        <f t="shared" si="79"/>
        <v>45134</v>
      </c>
      <c r="L222" s="147">
        <f>IF(t&lt;Tvie,1-EXP((T0-t)*PertePVj)+'2022'!Pspv,1-EXP((T0-t)*PertePVj)+Pspv)</f>
        <v>4.0235907604883936E-2</v>
      </c>
      <c r="M222" s="845"/>
      <c r="N222" s="845"/>
      <c r="O222" s="48">
        <f>IF(t&lt;Tnet,'2022'!Resal+('2022'!Salim-'2022'!Resal)*(1-EXP(('2022'!Tnet-t)/('2022'!Tau_j))),Resal+(Salim-Resal)*(1-EXP((Tnet-t)/(Tau_j))))*Salcycl</f>
        <v>6.4505402286424374E-2</v>
      </c>
      <c r="P222" s="169">
        <f>(INDEX(Models!$BJ222:$BT222,,T222)*(1-R222)+INDEX(Models!$BJ222:$BT222,,T222+1)*R222-ERP_i)*Q222*Ramure*Pc/MaxiM</f>
        <v>3.3099159501565219E-4</v>
      </c>
      <c r="Q222" s="305">
        <f t="shared" si="80"/>
        <v>0.5</v>
      </c>
      <c r="R222" s="177">
        <f t="shared" si="81"/>
        <v>0.93415349095853384</v>
      </c>
      <c r="S222" s="811">
        <f t="shared" si="82"/>
        <v>0</v>
      </c>
      <c r="T222" s="176">
        <f t="shared" si="83"/>
        <v>6</v>
      </c>
      <c r="U222" s="251">
        <f t="shared" si="84"/>
        <v>0.93415349095853384</v>
      </c>
      <c r="V222" s="383">
        <f t="shared" si="85"/>
        <v>53.200639803151809</v>
      </c>
      <c r="W222" s="402">
        <f t="shared" si="86"/>
        <v>52.60421801334509</v>
      </c>
      <c r="X222" s="157">
        <f t="shared" si="87"/>
        <v>45134</v>
      </c>
      <c r="Y222" s="385">
        <f t="shared" si="88"/>
        <v>51.176580540393708</v>
      </c>
      <c r="Z222" s="385">
        <f t="shared" si="89"/>
        <v>53.322041266079488</v>
      </c>
      <c r="AA222" s="386">
        <f t="shared" si="90"/>
        <v>58.588824883266419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8.9893996469131793E-2</v>
      </c>
      <c r="AD222" s="231">
        <f>(INDEX(Models!$BJ222:$BT222,,AH222)*(1-AF222)+INDEX(Models!$BJ222:$BT222,,AH222+1)*AF222-ERP_i)*AE222*Ramure*Pc/MaxiM</f>
        <v>3.3099159501565219E-4</v>
      </c>
      <c r="AE222" s="305">
        <f t="shared" si="92"/>
        <v>0.5</v>
      </c>
      <c r="AF222" s="177">
        <f t="shared" si="93"/>
        <v>0.93415349095853384</v>
      </c>
      <c r="AG222" s="811">
        <f t="shared" si="99"/>
        <v>0</v>
      </c>
      <c r="AH222" s="176">
        <f t="shared" si="94"/>
        <v>6</v>
      </c>
      <c r="AI222" s="225">
        <f t="shared" si="95"/>
        <v>0.93415349095853384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411">
        <f>'2022'!Wh/'2022'!Env_an*'2023'!Env_an</f>
        <v>42.216737266144328</v>
      </c>
      <c r="C223" s="841"/>
      <c r="D223" s="393">
        <f t="shared" si="77"/>
        <v>43.987540558987106</v>
      </c>
      <c r="E223" s="385">
        <f t="shared" si="75"/>
        <v>47.022971076286709</v>
      </c>
      <c r="F223" s="385">
        <f t="shared" si="78"/>
        <v>47.033799538609045</v>
      </c>
      <c r="G223" s="110">
        <f t="shared" si="76"/>
        <v>0.79534713506521793</v>
      </c>
      <c r="H223" s="414" t="b">
        <f>Wh_hp&gt;='2022'!Maxi_hp</f>
        <v>0</v>
      </c>
      <c r="I223" s="390">
        <f>IF(H223,Wh_hp,'2022'!Maxi_hp)</f>
        <v>56.44038029737262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4.025692890167698E-2</v>
      </c>
      <c r="M223" s="845"/>
      <c r="N223" s="845"/>
      <c r="O223" s="48">
        <f>IF(t&lt;Tnet,'2022'!Resal+('2022'!Salim-'2022'!Resal)*(1-EXP(('2022'!Tnet-t)/('2022'!Tau_j))),Resal+(Salim-Resal)*(1-EXP((Tnet-t)/(Tau_j))))*Salcycl</f>
        <v>6.4552078437900742E-2</v>
      </c>
      <c r="P223" s="169">
        <f>(INDEX(Models!$BJ223:$BT223,,T223)*(1-R223)+INDEX(Models!$BJ223:$BT223,,T223+1)*R223-ERP_i)*Q223*Ramure*Pc/MaxiM</f>
        <v>3.252960581338753E-4</v>
      </c>
      <c r="Q223" s="305">
        <f t="shared" si="80"/>
        <v>0.5</v>
      </c>
      <c r="R223" s="177">
        <f t="shared" si="81"/>
        <v>0.93639449034511535</v>
      </c>
      <c r="S223" s="811">
        <f t="shared" si="82"/>
        <v>0</v>
      </c>
      <c r="T223" s="176">
        <f t="shared" si="83"/>
        <v>6</v>
      </c>
      <c r="U223" s="251">
        <f t="shared" si="84"/>
        <v>0.93639449034511535</v>
      </c>
      <c r="V223" s="383">
        <f t="shared" si="85"/>
        <v>53.074589680337269</v>
      </c>
      <c r="W223" s="402">
        <f t="shared" si="86"/>
        <v>42.216737266144328</v>
      </c>
      <c r="X223" s="157">
        <f t="shared" si="87"/>
        <v>45135</v>
      </c>
      <c r="Y223" s="385">
        <f t="shared" si="88"/>
        <v>41.071994369967406</v>
      </c>
      <c r="Z223" s="385">
        <f t="shared" si="89"/>
        <v>42.794780818750702</v>
      </c>
      <c r="AA223" s="386">
        <f t="shared" si="90"/>
        <v>47.022971076286709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8.9917547971958028E-2</v>
      </c>
      <c r="AD223" s="231">
        <f>(INDEX(Models!$BJ223:$BT223,,AH223)*(1-AF223)+INDEX(Models!$BJ223:$BT223,,AH223+1)*AF223-ERP_i)*AE223*Ramure*Pc/MaxiM</f>
        <v>3.252960581338753E-4</v>
      </c>
      <c r="AE223" s="305">
        <f t="shared" si="92"/>
        <v>0.5</v>
      </c>
      <c r="AF223" s="177">
        <f t="shared" si="93"/>
        <v>0.93639449034511535</v>
      </c>
      <c r="AG223" s="811">
        <f t="shared" si="99"/>
        <v>0</v>
      </c>
      <c r="AH223" s="176">
        <f t="shared" si="94"/>
        <v>6</v>
      </c>
      <c r="AI223" s="225">
        <f t="shared" si="95"/>
        <v>0.93639449034511535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411">
        <f>'2022'!Wh/'2022'!Env_an*'2023'!Env_an</f>
        <v>28.558702053334823</v>
      </c>
      <c r="C224" s="841"/>
      <c r="D224" s="393">
        <f t="shared" si="77"/>
        <v>29.757263621837069</v>
      </c>
      <c r="E224" s="385">
        <f t="shared" si="75"/>
        <v>31.812289083663746</v>
      </c>
      <c r="F224" s="385">
        <f t="shared" si="78"/>
        <v>31.815734938263304</v>
      </c>
      <c r="G224" s="110">
        <f t="shared" si="76"/>
        <v>0.53926656998428735</v>
      </c>
      <c r="H224" s="414" t="b">
        <f>Wh_hp&gt;='2022'!Maxi_hp</f>
        <v>0</v>
      </c>
      <c r="I224" s="390">
        <f>IF(H224,Wh_hp,'2022'!Maxi_hp)</f>
        <v>59.643858292588483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4.0277949738049657E-2</v>
      </c>
      <c r="M224" s="845"/>
      <c r="N224" s="845"/>
      <c r="O224" s="48">
        <f>IF(t&lt;Tnet,'2022'!Resal+('2022'!Salim-'2022'!Resal)*(1-EXP(('2022'!Tnet-t)/('2022'!Tau_j))),Resal+(Salim-Resal)*(1-EXP((Tnet-t)/(Tau_j))))*Salcycl</f>
        <v>6.4598478167419038E-2</v>
      </c>
      <c r="P224" s="169">
        <f>(INDEX(Models!$BJ224:$BT224,,T224)*(1-R224)+INDEX(Models!$BJ224:$BT224,,T224+1)*R224-ERP_i)*Q224*Ramure*Pc/MaxiM</f>
        <v>3.167138045526175E-4</v>
      </c>
      <c r="Q224" s="305">
        <f t="shared" si="80"/>
        <v>0.5</v>
      </c>
      <c r="R224" s="177">
        <f t="shared" si="81"/>
        <v>0.9385669593491488</v>
      </c>
      <c r="S224" s="811">
        <f t="shared" si="82"/>
        <v>0</v>
      </c>
      <c r="T224" s="176">
        <f t="shared" si="83"/>
        <v>6</v>
      </c>
      <c r="U224" s="251">
        <f t="shared" si="84"/>
        <v>0.9385669593491488</v>
      </c>
      <c r="V224" s="383">
        <f t="shared" si="85"/>
        <v>52.947375489419464</v>
      </c>
      <c r="W224" s="402">
        <f t="shared" si="86"/>
        <v>28.558702053334823</v>
      </c>
      <c r="X224" s="157">
        <f t="shared" si="87"/>
        <v>45136</v>
      </c>
      <c r="Y224" s="385">
        <f t="shared" si="88"/>
        <v>27.784978215447953</v>
      </c>
      <c r="Z224" s="385">
        <f t="shared" si="89"/>
        <v>28.951067872061721</v>
      </c>
      <c r="AA224" s="386">
        <f t="shared" si="90"/>
        <v>31.812289083663746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8.9940752269578775E-2</v>
      </c>
      <c r="AD224" s="231">
        <f>(INDEX(Models!$BJ224:$BT224,,AH224)*(1-AF224)+INDEX(Models!$BJ224:$BT224,,AH224+1)*AF224-ERP_i)*AE224*Ramure*Pc/MaxiM</f>
        <v>3.167138045526175E-4</v>
      </c>
      <c r="AE224" s="305">
        <f t="shared" si="92"/>
        <v>0.5</v>
      </c>
      <c r="AF224" s="177">
        <f t="shared" si="93"/>
        <v>0.9385669593491488</v>
      </c>
      <c r="AG224" s="811">
        <f t="shared" si="99"/>
        <v>0</v>
      </c>
      <c r="AH224" s="176">
        <f t="shared" si="94"/>
        <v>6</v>
      </c>
      <c r="AI224" s="225">
        <f t="shared" si="95"/>
        <v>0.9385669593491488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411">
        <f>'2022'!Wh/'2022'!Env_an*'2023'!Env_an</f>
        <v>48.064421508362365</v>
      </c>
      <c r="C225" s="841"/>
      <c r="D225" s="393">
        <f t="shared" si="77"/>
        <v>50.082702853900663</v>
      </c>
      <c r="E225" s="385">
        <f t="shared" si="75"/>
        <v>53.544036568026158</v>
      </c>
      <c r="F225" s="385">
        <f t="shared" si="78"/>
        <v>53.558281513581733</v>
      </c>
      <c r="G225" s="110">
        <f t="shared" si="76"/>
        <v>0.90994788807550875</v>
      </c>
      <c r="H225" s="414" t="b">
        <f>Wh_hp&gt;='2022'!Maxi_hp</f>
        <v>0</v>
      </c>
      <c r="I225" s="390">
        <f>IF(H225,Wh_hp,'2022'!Maxi_hp)</f>
        <v>55.994393253662331</v>
      </c>
      <c r="J225" s="85">
        <f>IF(H225,An,'2022'!An_max)</f>
        <v>2018</v>
      </c>
      <c r="K225" s="197">
        <f t="shared" si="79"/>
        <v>45137</v>
      </c>
      <c r="L225" s="147">
        <f>IF(t&lt;Tvie,1-EXP((T0-t)*PertePVj)+'2022'!Pspv,1-EXP((T0-t)*PertePVj)+Pspv)</f>
        <v>4.0298970114012178E-2</v>
      </c>
      <c r="M225" s="845"/>
      <c r="N225" s="845"/>
      <c r="O225" s="48">
        <f>IF(t&lt;Tnet,'2022'!Resal+('2022'!Salim-'2022'!Resal)*(1-EXP(('2022'!Tnet-t)/('2022'!Tau_j))),Resal+(Salim-Resal)*(1-EXP((Tnet-t)/(Tau_j))))*Salcycl</f>
        <v>6.4644616580746078E-2</v>
      </c>
      <c r="P225" s="169">
        <f>(INDEX(Models!$BJ225:$BT225,,T225)*(1-R225)+INDEX(Models!$BJ225:$BT225,,T225+1)*R225-ERP_i)*Q225*Ramure*Pc/MaxiM</f>
        <v>3.0522073311240312E-4</v>
      </c>
      <c r="Q225" s="305">
        <f t="shared" si="80"/>
        <v>0.5</v>
      </c>
      <c r="R225" s="177">
        <f t="shared" si="81"/>
        <v>0.94067224289603124</v>
      </c>
      <c r="S225" s="811">
        <f t="shared" si="82"/>
        <v>0</v>
      </c>
      <c r="T225" s="176">
        <f t="shared" si="83"/>
        <v>6</v>
      </c>
      <c r="U225" s="251">
        <f t="shared" si="84"/>
        <v>0.94067224289603124</v>
      </c>
      <c r="V225" s="383">
        <f t="shared" si="85"/>
        <v>52.818996688579965</v>
      </c>
      <c r="W225" s="402">
        <f t="shared" si="86"/>
        <v>48.064421508362365</v>
      </c>
      <c r="X225" s="157">
        <f t="shared" si="87"/>
        <v>45137</v>
      </c>
      <c r="Y225" s="385">
        <f t="shared" si="88"/>
        <v>46.763371882576308</v>
      </c>
      <c r="Z225" s="385">
        <f t="shared" si="89"/>
        <v>48.727020630718485</v>
      </c>
      <c r="AA225" s="386">
        <f t="shared" si="90"/>
        <v>53.544036568026158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8.9963630799254291E-2</v>
      </c>
      <c r="AD225" s="231">
        <f>(INDEX(Models!$BJ225:$BT225,,AH225)*(1-AF225)+INDEX(Models!$BJ225:$BT225,,AH225+1)*AF225-ERP_i)*AE225*Ramure*Pc/MaxiM</f>
        <v>3.0522073311240312E-4</v>
      </c>
      <c r="AE225" s="305">
        <f t="shared" si="92"/>
        <v>0.5</v>
      </c>
      <c r="AF225" s="177">
        <f t="shared" si="93"/>
        <v>0.94067224289603124</v>
      </c>
      <c r="AG225" s="811">
        <f t="shared" si="99"/>
        <v>0</v>
      </c>
      <c r="AH225" s="176">
        <f t="shared" si="94"/>
        <v>6</v>
      </c>
      <c r="AI225" s="225">
        <f t="shared" si="95"/>
        <v>0.94067224289603124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411">
        <f>'2022'!Wh/'2022'!Env_an*'2023'!Env_an</f>
        <v>50.657501447434086</v>
      </c>
      <c r="C226" s="841"/>
      <c r="D226" s="393">
        <f t="shared" si="77"/>
        <v>52.785825401318085</v>
      </c>
      <c r="E226" s="385">
        <f t="shared" si="75"/>
        <v>56.436747203832326</v>
      </c>
      <c r="F226" s="385">
        <f t="shared" si="78"/>
        <v>56.452293440459165</v>
      </c>
      <c r="G226" s="110">
        <f t="shared" si="76"/>
        <v>0.96142051468374157</v>
      </c>
      <c r="H226" s="414" t="b">
        <f>Wh_hp&gt;='2022'!Maxi_hp</f>
        <v>0</v>
      </c>
      <c r="I226" s="390">
        <f>IF(H226,Wh_hp,'2022'!Maxi_hp)</f>
        <v>58.250484133448317</v>
      </c>
      <c r="J226" s="85">
        <f>IF(H226,An,'2022'!An_max)</f>
        <v>2019</v>
      </c>
      <c r="K226" s="197">
        <f t="shared" si="79"/>
        <v>45138</v>
      </c>
      <c r="L226" s="147">
        <f>IF(t&lt;Tvie,1-EXP((T0-t)*PertePVj)+'2022'!Pspv,1-EXP((T0-t)*PertePVj)+Pspv)</f>
        <v>4.0319990029574426E-2</v>
      </c>
      <c r="M226" s="845"/>
      <c r="N226" s="845"/>
      <c r="O226" s="48">
        <f>IF(t&lt;Tnet,'2022'!Resal+('2022'!Salim-'2022'!Resal)*(1-EXP(('2022'!Tnet-t)/('2022'!Tau_j))),Resal+(Salim-Resal)*(1-EXP((Tnet-t)/(Tau_j))))*Salcycl</f>
        <v>6.4690507220910937E-2</v>
      </c>
      <c r="P226" s="169">
        <f>(INDEX(Models!$BJ226:$BT226,,T226)*(1-R226)+INDEX(Models!$BJ226:$BT226,,T226+1)*R226-ERP_i)*Q226*Ramure*Pc/MaxiM</f>
        <v>2.9144319806942063E-4</v>
      </c>
      <c r="Q226" s="305">
        <f t="shared" si="80"/>
        <v>0.5</v>
      </c>
      <c r="R226" s="177">
        <f t="shared" si="81"/>
        <v>0.94271171396150433</v>
      </c>
      <c r="S226" s="811">
        <f t="shared" si="82"/>
        <v>0</v>
      </c>
      <c r="T226" s="176">
        <f t="shared" si="83"/>
        <v>6</v>
      </c>
      <c r="U226" s="251">
        <f t="shared" si="84"/>
        <v>0.94271171396150433</v>
      </c>
      <c r="V226" s="383">
        <f t="shared" si="85"/>
        <v>52.689418512304776</v>
      </c>
      <c r="W226" s="402">
        <f t="shared" si="86"/>
        <v>50.657501447434086</v>
      </c>
      <c r="X226" s="157">
        <f t="shared" si="87"/>
        <v>45138</v>
      </c>
      <c r="Y226" s="385">
        <f t="shared" si="88"/>
        <v>49.287455762569046</v>
      </c>
      <c r="Z226" s="385">
        <f t="shared" si="89"/>
        <v>51.358218625485314</v>
      </c>
      <c r="AA226" s="386">
        <f t="shared" si="90"/>
        <v>56.436747203832326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8.9986202783886832E-2</v>
      </c>
      <c r="AD226" s="231">
        <f>(INDEX(Models!$BJ226:$BT226,,AH226)*(1-AF226)+INDEX(Models!$BJ226:$BT226,,AH226+1)*AF226-ERP_i)*AE226*Ramure*Pc/MaxiM</f>
        <v>2.9144319806942063E-4</v>
      </c>
      <c r="AE226" s="305">
        <f t="shared" si="92"/>
        <v>0.5</v>
      </c>
      <c r="AF226" s="177">
        <f t="shared" si="93"/>
        <v>0.94271171396150433</v>
      </c>
      <c r="AG226" s="811">
        <f t="shared" si="99"/>
        <v>0</v>
      </c>
      <c r="AH226" s="176">
        <f t="shared" si="94"/>
        <v>6</v>
      </c>
      <c r="AI226" s="225">
        <f t="shared" si="95"/>
        <v>0.94271171396150433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411">
        <f>'2022'!Wh/'2022'!Env_an*'2023'!Env_an</f>
        <v>49.774969236905385</v>
      </c>
      <c r="C227" s="841"/>
      <c r="D227" s="393">
        <f t="shared" si="77"/>
        <v>51.867350516020856</v>
      </c>
      <c r="E227" s="385">
        <f t="shared" si="75"/>
        <v>55.457453194367261</v>
      </c>
      <c r="F227" s="385">
        <f t="shared" si="78"/>
        <v>55.471675642243412</v>
      </c>
      <c r="G227" s="110">
        <f t="shared" si="76"/>
        <v>0.94701887677848551</v>
      </c>
      <c r="H227" s="414" t="b">
        <f>Wh_hp&gt;='2022'!Maxi_hp</f>
        <v>0</v>
      </c>
      <c r="I227" s="390">
        <f>IF(H227,Wh_hp,'2022'!Maxi_hp)</f>
        <v>55.471900998050899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4.0341009484746615E-2</v>
      </c>
      <c r="M227" s="845"/>
      <c r="N227" s="845"/>
      <c r="O227" s="48">
        <f>IF(t&lt;Tnet,'2022'!Resal+('2022'!Salim-'2022'!Resal)*(1-EXP(('2022'!Tnet-t)/('2022'!Tau_j))),Resal+(Salim-Resal)*(1-EXP((Tnet-t)/(Tau_j))))*Salcycl</f>
        <v>6.4736162076607054E-2</v>
      </c>
      <c r="P227" s="169">
        <f>(INDEX(Models!$BJ227:$BT227,,T227)*(1-R227)+INDEX(Models!$BJ227:$BT227,,T227+1)*R227-ERP_i)*Q227*Ramure*Pc/MaxiM</f>
        <v>2.7737723267958121E-4</v>
      </c>
      <c r="Q227" s="305">
        <f t="shared" si="80"/>
        <v>0.5</v>
      </c>
      <c r="R227" s="177">
        <f t="shared" si="81"/>
        <v>0.94468676869017354</v>
      </c>
      <c r="S227" s="811">
        <f t="shared" si="82"/>
        <v>0</v>
      </c>
      <c r="T227" s="176">
        <f t="shared" si="83"/>
        <v>6</v>
      </c>
      <c r="U227" s="251">
        <f t="shared" si="84"/>
        <v>0.94468676869017354</v>
      </c>
      <c r="V227" s="383">
        <f t="shared" si="85"/>
        <v>52.558534585667225</v>
      </c>
      <c r="W227" s="402">
        <f t="shared" si="86"/>
        <v>49.774969236905385</v>
      </c>
      <c r="X227" s="157">
        <f t="shared" si="87"/>
        <v>45139</v>
      </c>
      <c r="Y227" s="385">
        <f t="shared" si="88"/>
        <v>48.42997004262471</v>
      </c>
      <c r="Z227" s="385">
        <f t="shared" si="89"/>
        <v>50.465811836579604</v>
      </c>
      <c r="AA227" s="386">
        <f t="shared" si="90"/>
        <v>55.457453194367261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9.000848524891597E-2</v>
      </c>
      <c r="AD227" s="231">
        <f>(INDEX(Models!$BJ227:$BT227,,AH227)*(1-AF227)+INDEX(Models!$BJ227:$BT227,,AH227+1)*AF227-ERP_i)*AE227*Ramure*Pc/MaxiM</f>
        <v>2.7737723267958121E-4</v>
      </c>
      <c r="AE227" s="305">
        <f t="shared" si="92"/>
        <v>0.5</v>
      </c>
      <c r="AF227" s="177">
        <f t="shared" si="93"/>
        <v>0.94468676869017354</v>
      </c>
      <c r="AG227" s="811">
        <f t="shared" si="99"/>
        <v>0</v>
      </c>
      <c r="AH227" s="176">
        <f t="shared" si="94"/>
        <v>6</v>
      </c>
      <c r="AI227" s="225">
        <f t="shared" si="95"/>
        <v>0.94468676869017354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411">
        <f>'2022'!Wh/'2022'!Env_an*'2023'!Env_an</f>
        <v>49.974414637199708</v>
      </c>
      <c r="C228" s="841"/>
      <c r="D228" s="393">
        <f t="shared" si="77"/>
        <v>52.076320571204242</v>
      </c>
      <c r="E228" s="385">
        <f t="shared" si="75"/>
        <v>55.68359230691604</v>
      </c>
      <c r="F228" s="385">
        <f t="shared" si="78"/>
        <v>55.697263185773821</v>
      </c>
      <c r="G228" s="110">
        <f t="shared" si="76"/>
        <v>0.95321420641866317</v>
      </c>
      <c r="H228" s="414" t="b">
        <f>Wh_hp&gt;='2022'!Maxi_hp</f>
        <v>0</v>
      </c>
      <c r="I228" s="390">
        <f>IF(H228,Wh_hp,'2022'!Maxi_hp)</f>
        <v>56.845203333586923</v>
      </c>
      <c r="J228" s="85">
        <f>IF(H228,An,'2022'!An_max)</f>
        <v>2019</v>
      </c>
      <c r="K228" s="197">
        <f t="shared" si="79"/>
        <v>45140</v>
      </c>
      <c r="L228" s="147">
        <f>IF(t&lt;Tvie,1-EXP((T0-t)*PertePVj)+'2022'!Pspv,1-EXP((T0-t)*PertePVj)+Pspv)</f>
        <v>4.0362028479538736E-2</v>
      </c>
      <c r="M228" s="845"/>
      <c r="N228" s="845"/>
      <c r="O228" s="48">
        <f>IF(t&lt;Tnet,'2022'!Resal+('2022'!Salim-'2022'!Resal)*(1-EXP(('2022'!Tnet-t)/('2022'!Tau_j))),Resal+(Salim-Resal)*(1-EXP((Tnet-t)/(Tau_j))))*Salcycl</f>
        <v>6.4781591601154015E-2</v>
      </c>
      <c r="P228" s="169">
        <f>(INDEX(Models!$BJ228:$BT228,,T228)*(1-R228)+INDEX(Models!$BJ228:$BT228,,T228+1)*R228-ERP_i)*Q228*Ramure*Pc/MaxiM</f>
        <v>2.630230793280877E-4</v>
      </c>
      <c r="Q228" s="305">
        <f t="shared" si="80"/>
        <v>0.5</v>
      </c>
      <c r="R228" s="177">
        <f t="shared" si="81"/>
        <v>0.94659882177481036</v>
      </c>
      <c r="S228" s="811">
        <f t="shared" si="82"/>
        <v>0</v>
      </c>
      <c r="T228" s="176">
        <f t="shared" si="83"/>
        <v>6</v>
      </c>
      <c r="U228" s="251">
        <f t="shared" si="84"/>
        <v>0.94659882177481036</v>
      </c>
      <c r="V228" s="383">
        <f t="shared" si="85"/>
        <v>52.42634432829081</v>
      </c>
      <c r="W228" s="402">
        <f t="shared" si="86"/>
        <v>49.974414637199708</v>
      </c>
      <c r="X228" s="157">
        <f t="shared" si="87"/>
        <v>45140</v>
      </c>
      <c r="Y228" s="385">
        <f t="shared" si="88"/>
        <v>48.625212077671797</v>
      </c>
      <c r="Z228" s="385">
        <f t="shared" si="89"/>
        <v>50.670371036516471</v>
      </c>
      <c r="AA228" s="386">
        <f t="shared" si="90"/>
        <v>55.68359230691604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9.0030493053820396E-2</v>
      </c>
      <c r="AD228" s="231">
        <f>(INDEX(Models!$BJ228:$BT228,,AH228)*(1-AF228)+INDEX(Models!$BJ228:$BT228,,AH228+1)*AF228-ERP_i)*AE228*Ramure*Pc/MaxiM</f>
        <v>2.630230793280877E-4</v>
      </c>
      <c r="AE228" s="305">
        <f t="shared" si="92"/>
        <v>0.5</v>
      </c>
      <c r="AF228" s="177">
        <f t="shared" si="93"/>
        <v>0.94659882177481036</v>
      </c>
      <c r="AG228" s="811">
        <f t="shared" si="99"/>
        <v>0</v>
      </c>
      <c r="AH228" s="176">
        <f t="shared" si="94"/>
        <v>6</v>
      </c>
      <c r="AI228" s="225">
        <f t="shared" si="95"/>
        <v>0.94659882177481036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411">
        <f>'2022'!Wh/'2022'!Env_an*'2023'!Env_an</f>
        <v>47.884647356345091</v>
      </c>
      <c r="C229" s="841"/>
      <c r="D229" s="393">
        <f t="shared" si="77"/>
        <v>49.8997513615641</v>
      </c>
      <c r="E229" s="385">
        <f t="shared" si="75"/>
        <v>53.358834079667673</v>
      </c>
      <c r="F229" s="385">
        <f t="shared" si="78"/>
        <v>53.370493888415687</v>
      </c>
      <c r="G229" s="110">
        <f t="shared" si="76"/>
        <v>0.91567427000970236</v>
      </c>
      <c r="H229" s="414" t="b">
        <f>Wh_hp&gt;='2022'!Maxi_hp</f>
        <v>0</v>
      </c>
      <c r="I229" s="390">
        <f>IF(H229,Wh_hp,'2022'!Maxi_hp)</f>
        <v>57.532187418566849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4.0383047013961004E-2</v>
      </c>
      <c r="M229" s="845"/>
      <c r="N229" s="845"/>
      <c r="O229" s="48">
        <f>IF(t&lt;Tnet,'2022'!Resal+('2022'!Salim-'2022'!Resal)*(1-EXP(('2022'!Tnet-t)/('2022'!Tau_j))),Resal+(Salim-Resal)*(1-EXP((Tnet-t)/(Tau_j))))*Salcycl</f>
        <v>6.4826804741253824E-2</v>
      </c>
      <c r="P229" s="169">
        <f>(INDEX(Models!$BJ229:$BT229,,T229)*(1-R229)+INDEX(Models!$BJ229:$BT229,,T229+1)*R229-ERP_i)*Q229*Ramure*Pc/MaxiM</f>
        <v>2.4838073984808799E-4</v>
      </c>
      <c r="Q229" s="305">
        <f t="shared" si="80"/>
        <v>0.5</v>
      </c>
      <c r="R229" s="177">
        <f t="shared" si="81"/>
        <v>0.94844930209753331</v>
      </c>
      <c r="S229" s="811">
        <f t="shared" si="82"/>
        <v>0</v>
      </c>
      <c r="T229" s="176">
        <f t="shared" si="83"/>
        <v>6</v>
      </c>
      <c r="U229" s="251">
        <f t="shared" si="84"/>
        <v>0.94844930209753331</v>
      </c>
      <c r="V229" s="383">
        <f t="shared" si="85"/>
        <v>52.292847257790378</v>
      </c>
      <c r="W229" s="402">
        <f t="shared" si="86"/>
        <v>47.884647356345091</v>
      </c>
      <c r="X229" s="157">
        <f t="shared" si="87"/>
        <v>45141</v>
      </c>
      <c r="Y229" s="385">
        <f t="shared" si="88"/>
        <v>46.593003170002248</v>
      </c>
      <c r="Z229" s="385">
        <f t="shared" si="89"/>
        <v>48.553751603719434</v>
      </c>
      <c r="AA229" s="386">
        <f t="shared" si="90"/>
        <v>53.358834079667673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9.0052238937117404E-2</v>
      </c>
      <c r="AD229" s="231">
        <f>(INDEX(Models!$BJ229:$BT229,,AH229)*(1-AF229)+INDEX(Models!$BJ229:$BT229,,AH229+1)*AF229-ERP_i)*AE229*Ramure*Pc/MaxiM</f>
        <v>2.4838073984808799E-4</v>
      </c>
      <c r="AE229" s="305">
        <f t="shared" si="92"/>
        <v>0.5</v>
      </c>
      <c r="AF229" s="177">
        <f t="shared" si="93"/>
        <v>0.94844930209753331</v>
      </c>
      <c r="AG229" s="811">
        <f t="shared" si="99"/>
        <v>0</v>
      </c>
      <c r="AH229" s="176">
        <f t="shared" si="94"/>
        <v>6</v>
      </c>
      <c r="AI229" s="225">
        <f t="shared" si="95"/>
        <v>0.94844930209753331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411">
        <f>'2022'!Wh/'2022'!Env_an*'2023'!Env_an</f>
        <v>44.935646284704532</v>
      </c>
      <c r="C230" s="841"/>
      <c r="D230" s="393">
        <f t="shared" si="77"/>
        <v>46.827674701254821</v>
      </c>
      <c r="E230" s="385">
        <f t="shared" si="75"/>
        <v>50.076208963298861</v>
      </c>
      <c r="F230" s="385">
        <f t="shared" si="78"/>
        <v>50.085588480538249</v>
      </c>
      <c r="G230" s="110">
        <f t="shared" si="76"/>
        <v>0.86148881716999537</v>
      </c>
      <c r="H230" s="414" t="b">
        <f>Wh_hp&gt;='2022'!Maxi_hp</f>
        <v>0</v>
      </c>
      <c r="I230" s="390">
        <f>IF(H230,Wh_hp,'2022'!Maxi_hp)</f>
        <v>54.820289563876685</v>
      </c>
      <c r="J230" s="85">
        <f>IF(H230,An,'2022'!An_max)</f>
        <v>2019</v>
      </c>
      <c r="K230" s="197">
        <f t="shared" si="79"/>
        <v>45142</v>
      </c>
      <c r="L230" s="147">
        <f>IF(t&lt;Tvie,1-EXP((T0-t)*PertePVj)+'2022'!Pspv,1-EXP((T0-t)*PertePVj)+Pspv)</f>
        <v>4.0404065088023411E-2</v>
      </c>
      <c r="M230" s="845"/>
      <c r="N230" s="845"/>
      <c r="O230" s="48">
        <f>IF(t&lt;Tnet,'2022'!Resal+('2022'!Salim-'2022'!Resal)*(1-EXP(('2022'!Tnet-t)/('2022'!Tau_j))),Resal+(Salim-Resal)*(1-EXP((Tnet-t)/(Tau_j))))*Salcycl</f>
        <v>6.4871808974695092E-2</v>
      </c>
      <c r="P230" s="169">
        <f>(INDEX(Models!$BJ230:$BT230,,T230)*(1-R230)+INDEX(Models!$BJ230:$BT230,,T230+1)*R230-ERP_i)*Q230*Ramure*Pc/MaxiM</f>
        <v>2.3344998824111933E-4</v>
      </c>
      <c r="Q230" s="305">
        <f t="shared" si="80"/>
        <v>0.5</v>
      </c>
      <c r="R230" s="177">
        <f t="shared" si="81"/>
        <v>0.95023964863221011</v>
      </c>
      <c r="S230" s="811">
        <f t="shared" si="82"/>
        <v>0</v>
      </c>
      <c r="T230" s="176">
        <f t="shared" si="83"/>
        <v>6</v>
      </c>
      <c r="U230" s="251">
        <f t="shared" si="84"/>
        <v>0.95023964863221011</v>
      </c>
      <c r="V230" s="383">
        <f t="shared" si="85"/>
        <v>52.158042986812845</v>
      </c>
      <c r="W230" s="402">
        <f t="shared" si="86"/>
        <v>44.935646284704532</v>
      </c>
      <c r="X230" s="157">
        <f t="shared" si="87"/>
        <v>45142</v>
      </c>
      <c r="Y230" s="385">
        <f t="shared" si="88"/>
        <v>43.724620052856679</v>
      </c>
      <c r="Z230" s="385">
        <f t="shared" si="89"/>
        <v>45.565657858760652</v>
      </c>
      <c r="AA230" s="386">
        <f t="shared" si="90"/>
        <v>50.076208963298861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9.0073733573642109E-2</v>
      </c>
      <c r="AD230" s="231">
        <f>(INDEX(Models!$BJ230:$BT230,,AH230)*(1-AF230)+INDEX(Models!$BJ230:$BT230,,AH230+1)*AF230-ERP_i)*AE230*Ramure*Pc/MaxiM</f>
        <v>2.3344998824111933E-4</v>
      </c>
      <c r="AE230" s="305">
        <f t="shared" si="92"/>
        <v>0.5</v>
      </c>
      <c r="AF230" s="177">
        <f t="shared" si="93"/>
        <v>0.95023964863221011</v>
      </c>
      <c r="AG230" s="811">
        <f t="shared" si="99"/>
        <v>0</v>
      </c>
      <c r="AH230" s="176">
        <f t="shared" si="94"/>
        <v>6</v>
      </c>
      <c r="AI230" s="225">
        <f t="shared" si="95"/>
        <v>0.95023964863221011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411">
        <f>'2022'!Wh/'2022'!Env_an*'2023'!Env_an</f>
        <v>41.808999778880249</v>
      </c>
      <c r="C231" s="841"/>
      <c r="D231" s="393">
        <f t="shared" si="77"/>
        <v>43.570334139824944</v>
      </c>
      <c r="E231" s="385">
        <f t="shared" si="75"/>
        <v>46.59513218004755</v>
      </c>
      <c r="F231" s="385">
        <f t="shared" si="78"/>
        <v>46.602449985613553</v>
      </c>
      <c r="G231" s="110">
        <f t="shared" si="76"/>
        <v>0.80363107467202499</v>
      </c>
      <c r="H231" s="414" t="b">
        <f>Wh_hp&gt;='2022'!Maxi_hp</f>
        <v>0</v>
      </c>
      <c r="I231" s="390">
        <f>IF(H231,Wh_hp,'2022'!Maxi_hp)</f>
        <v>56.442491959447445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4.0425082701735948E-2</v>
      </c>
      <c r="M231" s="845"/>
      <c r="N231" s="845"/>
      <c r="O231" s="48">
        <f>IF(t&lt;Tnet,'2022'!Resal+('2022'!Salim-'2022'!Resal)*(1-EXP(('2022'!Tnet-t)/('2022'!Tau_j))),Resal+(Salim-Resal)*(1-EXP((Tnet-t)/(Tau_j))))*Salcycl</f>
        <v>6.4916610356089005E-2</v>
      </c>
      <c r="P231" s="169">
        <f>(INDEX(Models!$BJ231:$BT231,,T231)*(1-R231)+INDEX(Models!$BJ231:$BT231,,T231+1)*R231-ERP_i)*Q231*Ramure*Pc/MaxiM</f>
        <v>2.1823038411436862E-4</v>
      </c>
      <c r="Q231" s="305">
        <f t="shared" si="80"/>
        <v>0.5</v>
      </c>
      <c r="R231" s="177">
        <f t="shared" si="81"/>
        <v>0.95197130660585239</v>
      </c>
      <c r="S231" s="811">
        <f t="shared" si="82"/>
        <v>0</v>
      </c>
      <c r="T231" s="176">
        <f t="shared" si="83"/>
        <v>6</v>
      </c>
      <c r="U231" s="251">
        <f t="shared" si="84"/>
        <v>0.95197130660585239</v>
      </c>
      <c r="V231" s="383">
        <f t="shared" si="85"/>
        <v>52.021931217987905</v>
      </c>
      <c r="W231" s="402">
        <f t="shared" si="86"/>
        <v>41.808999778880249</v>
      </c>
      <c r="X231" s="157">
        <f t="shared" si="87"/>
        <v>45143</v>
      </c>
      <c r="Y231" s="385">
        <f t="shared" si="88"/>
        <v>40.683236345957575</v>
      </c>
      <c r="Z231" s="385">
        <f t="shared" si="89"/>
        <v>42.397144415261984</v>
      </c>
      <c r="AA231" s="386">
        <f t="shared" si="90"/>
        <v>46.59513218004755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9.0094985642796055E-2</v>
      </c>
      <c r="AD231" s="231">
        <f>(INDEX(Models!$BJ231:$BT231,,AH231)*(1-AF231)+INDEX(Models!$BJ231:$BT231,,AH231+1)*AF231-ERP_i)*AE231*Ramure*Pc/MaxiM</f>
        <v>2.1823038411436862E-4</v>
      </c>
      <c r="AE231" s="305">
        <f t="shared" si="92"/>
        <v>0.5</v>
      </c>
      <c r="AF231" s="177">
        <f t="shared" si="93"/>
        <v>0.95197130660585239</v>
      </c>
      <c r="AG231" s="811">
        <f t="shared" si="99"/>
        <v>0</v>
      </c>
      <c r="AH231" s="176">
        <f t="shared" si="94"/>
        <v>6</v>
      </c>
      <c r="AI231" s="225">
        <f t="shared" si="95"/>
        <v>0.95197130660585239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411">
        <f>'2022'!Wh/'2022'!Env_an*'2023'!Env_an</f>
        <v>45.815228817403387</v>
      </c>
      <c r="C232" s="841"/>
      <c r="D232" s="393">
        <f t="shared" si="77"/>
        <v>47.746383825322752</v>
      </c>
      <c r="E232" s="385">
        <f t="shared" si="75"/>
        <v>51.063532891081742</v>
      </c>
      <c r="F232" s="385">
        <f t="shared" si="78"/>
        <v>51.072156148715528</v>
      </c>
      <c r="G232" s="110">
        <f t="shared" si="76"/>
        <v>0.88299330476093585</v>
      </c>
      <c r="H232" s="414" t="b">
        <f>Wh_hp&gt;='2022'!Maxi_hp</f>
        <v>0</v>
      </c>
      <c r="I232" s="390">
        <f>IF(H232,Wh_hp,'2022'!Maxi_hp)</f>
        <v>57.46185272567628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4.0446099855108941E-2</v>
      </c>
      <c r="M232" s="845"/>
      <c r="N232" s="845"/>
      <c r="O232" s="48">
        <f>IF(t&lt;Tnet,'2022'!Resal+('2022'!Salim-'2022'!Resal)*(1-EXP(('2022'!Tnet-t)/('2022'!Tau_j))),Resal+(Salim-Resal)*(1-EXP((Tnet-t)/(Tau_j))))*Salcycl</f>
        <v>6.4961213569661308E-2</v>
      </c>
      <c r="P232" s="169">
        <f>(INDEX(Models!$BJ232:$BT232,,T232)*(1-R232)+INDEX(Models!$BJ232:$BT232,,T232+1)*R232-ERP_i)*Q232*Ramure*Pc/MaxiM</f>
        <v>2.0272128663516141E-4</v>
      </c>
      <c r="Q232" s="305">
        <f t="shared" si="80"/>
        <v>0.5</v>
      </c>
      <c r="R232" s="177">
        <f t="shared" si="81"/>
        <v>0.95364572391538394</v>
      </c>
      <c r="S232" s="811">
        <f t="shared" si="82"/>
        <v>0</v>
      </c>
      <c r="T232" s="176">
        <f t="shared" si="83"/>
        <v>6</v>
      </c>
      <c r="U232" s="251">
        <f t="shared" si="84"/>
        <v>0.95364572391538394</v>
      </c>
      <c r="V232" s="383">
        <f t="shared" si="85"/>
        <v>51.884511739788472</v>
      </c>
      <c r="W232" s="402">
        <f t="shared" si="86"/>
        <v>45.815228817403387</v>
      </c>
      <c r="X232" s="157">
        <f t="shared" si="87"/>
        <v>45144</v>
      </c>
      <c r="Y232" s="385">
        <f t="shared" si="88"/>
        <v>44.582689162123643</v>
      </c>
      <c r="Z232" s="385">
        <f t="shared" si="89"/>
        <v>46.461891463722601</v>
      </c>
      <c r="AA232" s="386">
        <f t="shared" si="90"/>
        <v>51.063532891081742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9.0116001906378515E-2</v>
      </c>
      <c r="AD232" s="231">
        <f>(INDEX(Models!$BJ232:$BT232,,AH232)*(1-AF232)+INDEX(Models!$BJ232:$BT232,,AH232+1)*AF232-ERP_i)*AE232*Ramure*Pc/MaxiM</f>
        <v>2.0272128663516141E-4</v>
      </c>
      <c r="AE232" s="305">
        <f t="shared" si="92"/>
        <v>0.5</v>
      </c>
      <c r="AF232" s="177">
        <f t="shared" si="93"/>
        <v>0.95364572391538394</v>
      </c>
      <c r="AG232" s="811">
        <f t="shared" si="99"/>
        <v>0</v>
      </c>
      <c r="AH232" s="176">
        <f t="shared" si="94"/>
        <v>6</v>
      </c>
      <c r="AI232" s="225">
        <f t="shared" si="95"/>
        <v>0.95364572391538394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411">
        <f>'2022'!Wh/'2022'!Env_an*'2023'!Env_an</f>
        <v>48.697806576770347</v>
      </c>
      <c r="C233" s="841"/>
      <c r="D233" s="393">
        <f t="shared" si="77"/>
        <v>50.751576539600848</v>
      </c>
      <c r="E233" s="385">
        <f t="shared" ref="E233:E296" si="100">Wh_pvt/(1-Psa)</f>
        <v>54.280087381395667</v>
      </c>
      <c r="F233" s="385">
        <f t="shared" si="78"/>
        <v>54.289381248159749</v>
      </c>
      <c r="G233" s="110">
        <f t="shared" ref="G233:G296" si="101">+Wh_hp/MaxiM</f>
        <v>0.94107847785491194</v>
      </c>
      <c r="H233" s="414" t="b">
        <f>Wh_hp&gt;='2022'!Maxi_hp</f>
        <v>0</v>
      </c>
      <c r="I233" s="390">
        <f>IF(H233,Wh_hp,'2022'!Maxi_hp)</f>
        <v>55.820902062700583</v>
      </c>
      <c r="J233" s="85">
        <f>IF(H233,An,'2022'!An_max)</f>
        <v>2020</v>
      </c>
      <c r="K233" s="197">
        <f t="shared" si="79"/>
        <v>45145</v>
      </c>
      <c r="L233" s="147">
        <f>IF(t&lt;Tvie,1-EXP((T0-t)*PertePVj)+'2022'!Pspv,1-EXP((T0-t)*PertePVj)+Pspv)</f>
        <v>4.0467116548152271E-2</v>
      </c>
      <c r="M233" s="845"/>
      <c r="N233" s="845"/>
      <c r="O233" s="48">
        <f>IF(t&lt;Tnet,'2022'!Resal+('2022'!Salim-'2022'!Resal)*(1-EXP(('2022'!Tnet-t)/('2022'!Tau_j))),Resal+(Salim-Resal)*(1-EXP((Tnet-t)/(Tau_j))))*Salcycl</f>
        <v>6.5005621988077508E-2</v>
      </c>
      <c r="P233" s="169">
        <f>(INDEX(Models!$BJ233:$BT233,,T233)*(1-R233)+INDEX(Models!$BJ233:$BT233,,T233+1)*R233-ERP_i)*Q233*Ramure*Pc/MaxiM</f>
        <v>1.8692111511187879E-4</v>
      </c>
      <c r="Q233" s="305">
        <f t="shared" si="80"/>
        <v>0.5</v>
      </c>
      <c r="R233" s="177">
        <f t="shared" si="81"/>
        <v>0.95526434779494762</v>
      </c>
      <c r="S233" s="811">
        <f t="shared" si="82"/>
        <v>0</v>
      </c>
      <c r="T233" s="176">
        <f t="shared" si="83"/>
        <v>6</v>
      </c>
      <c r="U233" s="251">
        <f t="shared" si="84"/>
        <v>0.95526434779494762</v>
      </c>
      <c r="V233" s="383">
        <f t="shared" si="85"/>
        <v>51.74599311466492</v>
      </c>
      <c r="W233" s="402">
        <f t="shared" si="86"/>
        <v>48.697806576770347</v>
      </c>
      <c r="X233" s="157">
        <f t="shared" si="87"/>
        <v>45145</v>
      </c>
      <c r="Y233" s="385">
        <f t="shared" si="88"/>
        <v>47.388886805781169</v>
      </c>
      <c r="Z233" s="385">
        <f t="shared" si="89"/>
        <v>49.387454690769111</v>
      </c>
      <c r="AA233" s="386">
        <f t="shared" si="90"/>
        <v>54.280087381395667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9.0136787294552018E-2</v>
      </c>
      <c r="AD233" s="231">
        <f>(INDEX(Models!$BJ233:$BT233,,AH233)*(1-AF233)+INDEX(Models!$BJ233:$BT233,,AH233+1)*AF233-ERP_i)*AE233*Ramure*Pc/MaxiM</f>
        <v>1.8692111511187879E-4</v>
      </c>
      <c r="AE233" s="305">
        <f t="shared" si="92"/>
        <v>0.5</v>
      </c>
      <c r="AF233" s="177">
        <f t="shared" si="93"/>
        <v>0.95526434779494762</v>
      </c>
      <c r="AG233" s="811">
        <f t="shared" si="99"/>
        <v>0</v>
      </c>
      <c r="AH233" s="176">
        <f t="shared" si="94"/>
        <v>6</v>
      </c>
      <c r="AI233" s="225">
        <f t="shared" si="95"/>
        <v>0.95526434779494762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411">
        <f>'2022'!Wh/'2022'!Env_an*'2023'!Env_an</f>
        <v>49.481040271606012</v>
      </c>
      <c r="C234" s="841"/>
      <c r="D234" s="393">
        <f t="shared" si="77"/>
        <v>51.568971642855161</v>
      </c>
      <c r="E234" s="385">
        <f t="shared" si="100"/>
        <v>55.156920362464362</v>
      </c>
      <c r="F234" s="385">
        <f t="shared" si="78"/>
        <v>55.165807976148805</v>
      </c>
      <c r="G234" s="110">
        <f t="shared" si="101"/>
        <v>0.95880441945256734</v>
      </c>
      <c r="H234" s="414" t="b">
        <f>Wh_hp&gt;='2022'!Maxi_hp</f>
        <v>0</v>
      </c>
      <c r="I234" s="390">
        <f>IF(H234,Wh_hp,'2022'!Maxi_hp)</f>
        <v>55.165911052981301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4.0488132780876041E-2</v>
      </c>
      <c r="M234" s="845"/>
      <c r="N234" s="845"/>
      <c r="O234" s="48">
        <f>IF(t&lt;Tnet,'2022'!Resal+('2022'!Salim-'2022'!Resal)*(1-EXP(('2022'!Tnet-t)/('2022'!Tau_j))),Resal+(Salim-Resal)*(1-EXP((Tnet-t)/(Tau_j))))*Salcycl</f>
        <v>6.5049837736243288E-2</v>
      </c>
      <c r="P234" s="169">
        <f>(INDEX(Models!$BJ234:$BT234,,T234)*(1-R234)+INDEX(Models!$BJ234:$BT234,,T234+1)*R234-ERP_i)*Q234*Ramure*Pc/MaxiM</f>
        <v>1.7117894869446505E-4</v>
      </c>
      <c r="Q234" s="305">
        <f t="shared" si="80"/>
        <v>0.5</v>
      </c>
      <c r="R234" s="177">
        <f t="shared" si="81"/>
        <v>0.95682862172786909</v>
      </c>
      <c r="S234" s="811">
        <f t="shared" si="82"/>
        <v>0</v>
      </c>
      <c r="T234" s="176">
        <f t="shared" si="83"/>
        <v>6</v>
      </c>
      <c r="U234" s="251">
        <f t="shared" si="84"/>
        <v>0.95682862172786909</v>
      </c>
      <c r="V234" s="383">
        <f t="shared" si="85"/>
        <v>51.606501629686854</v>
      </c>
      <c r="W234" s="402">
        <f t="shared" si="86"/>
        <v>49.481040271606012</v>
      </c>
      <c r="X234" s="157">
        <f t="shared" si="87"/>
        <v>45146</v>
      </c>
      <c r="Y234" s="385">
        <f t="shared" si="88"/>
        <v>48.152257596224743</v>
      </c>
      <c r="Z234" s="385">
        <f t="shared" si="89"/>
        <v>50.184118864293524</v>
      </c>
      <c r="AA234" s="386">
        <f t="shared" si="90"/>
        <v>55.156920362464362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9.0157344998451933E-2</v>
      </c>
      <c r="AD234" s="231">
        <f>(INDEX(Models!$BJ234:$BT234,,AH234)*(1-AF234)+INDEX(Models!$BJ234:$BT234,,AH234+1)*AF234-ERP_i)*AE234*Ramure*Pc/MaxiM</f>
        <v>1.7117894869446505E-4</v>
      </c>
      <c r="AE234" s="305">
        <f t="shared" si="92"/>
        <v>0.5</v>
      </c>
      <c r="AF234" s="177">
        <f t="shared" si="93"/>
        <v>0.95682862172786909</v>
      </c>
      <c r="AG234" s="811">
        <f t="shared" si="99"/>
        <v>0</v>
      </c>
      <c r="AH234" s="176">
        <f t="shared" si="94"/>
        <v>6</v>
      </c>
      <c r="AI234" s="225">
        <f t="shared" si="95"/>
        <v>0.95682862172786909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411">
        <f>'2022'!Wh/'2022'!Env_an*'2023'!Env_an</f>
        <v>47.827229723295929</v>
      </c>
      <c r="C235" s="841"/>
      <c r="D235" s="393">
        <f t="shared" si="77"/>
        <v>49.846467687714345</v>
      </c>
      <c r="E235" s="385">
        <f t="shared" si="100"/>
        <v>53.317082484343395</v>
      </c>
      <c r="F235" s="385">
        <f t="shared" si="78"/>
        <v>53.324578373196552</v>
      </c>
      <c r="G235" s="110">
        <f t="shared" si="101"/>
        <v>0.92928478314875251</v>
      </c>
      <c r="H235" s="414" t="b">
        <f>Wh_hp&gt;='2022'!Maxi_hp</f>
        <v>0</v>
      </c>
      <c r="I235" s="390">
        <f>IF(H235,Wh_hp,'2022'!Maxi_hp)</f>
        <v>55.939165383860541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4.0509148553290464E-2</v>
      </c>
      <c r="M235" s="845"/>
      <c r="N235" s="845"/>
      <c r="O235" s="48">
        <f>IF(t&lt;Tnet,'2022'!Resal+('2022'!Salim-'2022'!Resal)*(1-EXP(('2022'!Tnet-t)/('2022'!Tau_j))),Resal+(Salim-Resal)*(1-EXP((Tnet-t)/(Tau_j))))*Salcycl</f>
        <v>6.5093861758999963E-2</v>
      </c>
      <c r="P235" s="169">
        <f>(INDEX(Models!$BJ235:$BT235,,T235)*(1-R235)+INDEX(Models!$BJ235:$BT235,,T235+1)*R235-ERP_i)*Q235*Ramure*Pc/MaxiM</f>
        <v>1.5636386182751234E-4</v>
      </c>
      <c r="Q235" s="305">
        <f t="shared" si="80"/>
        <v>0.5</v>
      </c>
      <c r="R235" s="177">
        <f t="shared" si="81"/>
        <v>0.95833998259649733</v>
      </c>
      <c r="S235" s="811">
        <f t="shared" si="82"/>
        <v>0</v>
      </c>
      <c r="T235" s="176">
        <f t="shared" si="83"/>
        <v>6</v>
      </c>
      <c r="U235" s="251">
        <f t="shared" si="84"/>
        <v>0.95833998259649733</v>
      </c>
      <c r="V235" s="383">
        <f t="shared" si="85"/>
        <v>51.465896305557742</v>
      </c>
      <c r="W235" s="402">
        <f t="shared" si="86"/>
        <v>47.827229723295929</v>
      </c>
      <c r="X235" s="157">
        <f t="shared" si="87"/>
        <v>45147</v>
      </c>
      <c r="Y235" s="385">
        <f t="shared" si="88"/>
        <v>46.5440106661827</v>
      </c>
      <c r="Z235" s="385">
        <f t="shared" si="89"/>
        <v>48.509071864524984</v>
      </c>
      <c r="AA235" s="386">
        <f t="shared" si="90"/>
        <v>53.317082484343395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9.0177676567923359E-2</v>
      </c>
      <c r="AD235" s="231">
        <f>(INDEX(Models!$BJ235:$BT235,,AH235)*(1-AF235)+INDEX(Models!$BJ235:$BT235,,AH235+1)*AF235-ERP_i)*AE235*Ramure*Pc/MaxiM</f>
        <v>1.5636386182751234E-4</v>
      </c>
      <c r="AE235" s="305">
        <f t="shared" si="92"/>
        <v>0.5</v>
      </c>
      <c r="AF235" s="177">
        <f t="shared" si="93"/>
        <v>0.95833998259649733</v>
      </c>
      <c r="AG235" s="811">
        <f t="shared" si="99"/>
        <v>0</v>
      </c>
      <c r="AH235" s="176">
        <f t="shared" si="94"/>
        <v>6</v>
      </c>
      <c r="AI235" s="225">
        <f t="shared" si="95"/>
        <v>0.95833998259649733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411">
        <f>'2022'!Wh/'2022'!Env_an*'2023'!Env_an</f>
        <v>45.859079618410156</v>
      </c>
      <c r="C236" s="841"/>
      <c r="D236" s="393">
        <f t="shared" si="77"/>
        <v>47.79627028522556</v>
      </c>
      <c r="E236" s="385">
        <f t="shared" si="100"/>
        <v>51.126534862862172</v>
      </c>
      <c r="F236" s="385">
        <f t="shared" si="78"/>
        <v>51.132712254289437</v>
      </c>
      <c r="G236" s="110">
        <f t="shared" si="101"/>
        <v>0.89350037564886753</v>
      </c>
      <c r="H236" s="414" t="b">
        <f>Wh_hp&gt;='2022'!Maxi_hp</f>
        <v>0</v>
      </c>
      <c r="I236" s="390">
        <f>IF(H236,Wh_hp,'2022'!Maxi_hp)</f>
        <v>53.022413412282127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4.0530163865405533E-2</v>
      </c>
      <c r="M236" s="845"/>
      <c r="N236" s="845"/>
      <c r="O236" s="48">
        <f>IF(t&lt;Tnet,'2022'!Resal+('2022'!Salim-'2022'!Resal)*(1-EXP(('2022'!Tnet-t)/('2022'!Tau_j))),Resal+(Salim-Resal)*(1-EXP((Tnet-t)/(Tau_j))))*Salcycl</f>
        <v>6.5137693891624993E-2</v>
      </c>
      <c r="P236" s="169">
        <f>(INDEX(Models!$BJ236:$BT236,,T236)*(1-R236)+INDEX(Models!$BJ236:$BT236,,T236+1)*R236-ERP_i)*Q236*Ramure*Pc/MaxiM</f>
        <v>1.4248500447857807E-4</v>
      </c>
      <c r="Q236" s="305">
        <f t="shared" si="80"/>
        <v>0.5</v>
      </c>
      <c r="R236" s="177">
        <f t="shared" si="81"/>
        <v>0.95979985806239454</v>
      </c>
      <c r="S236" s="811">
        <f t="shared" si="82"/>
        <v>0</v>
      </c>
      <c r="T236" s="176">
        <f t="shared" si="83"/>
        <v>6</v>
      </c>
      <c r="U236" s="251">
        <f t="shared" si="84"/>
        <v>0.95979985806239454</v>
      </c>
      <c r="V236" s="383">
        <f t="shared" si="85"/>
        <v>51.324080879897281</v>
      </c>
      <c r="W236" s="402">
        <f t="shared" si="86"/>
        <v>45.859079618410156</v>
      </c>
      <c r="X236" s="157">
        <f t="shared" si="87"/>
        <v>45148</v>
      </c>
      <c r="Y236" s="385">
        <f t="shared" si="88"/>
        <v>44.629772832921965</v>
      </c>
      <c r="Z236" s="385">
        <f t="shared" si="89"/>
        <v>46.515034816228763</v>
      </c>
      <c r="AA236" s="386">
        <f t="shared" si="90"/>
        <v>51.126534862862172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9.0197782012861522E-2</v>
      </c>
      <c r="AD236" s="231">
        <f>(INDEX(Models!$BJ236:$BT236,,AH236)*(1-AF236)+INDEX(Models!$BJ236:$BT236,,AH236+1)*AF236-ERP_i)*AE236*Ramure*Pc/MaxiM</f>
        <v>1.4248500447857807E-4</v>
      </c>
      <c r="AE236" s="305">
        <f t="shared" si="92"/>
        <v>0.5</v>
      </c>
      <c r="AF236" s="177">
        <f t="shared" si="93"/>
        <v>0.95979985806239454</v>
      </c>
      <c r="AG236" s="811">
        <f t="shared" si="99"/>
        <v>0</v>
      </c>
      <c r="AH236" s="176">
        <f t="shared" si="94"/>
        <v>6</v>
      </c>
      <c r="AI236" s="225">
        <f t="shared" si="95"/>
        <v>0.95979985806239454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411">
        <f>'2022'!Wh/'2022'!Env_an*'2023'!Env_an</f>
        <v>42.202275453458441</v>
      </c>
      <c r="C237" s="841"/>
      <c r="D237" s="393">
        <f t="shared" si="77"/>
        <v>43.985957893027198</v>
      </c>
      <c r="E237" s="385">
        <f t="shared" si="100"/>
        <v>47.052930629839437</v>
      </c>
      <c r="F237" s="385">
        <f t="shared" si="78"/>
        <v>47.05749915798765</v>
      </c>
      <c r="G237" s="110">
        <f t="shared" si="101"/>
        <v>0.82454306819693501</v>
      </c>
      <c r="H237" s="414" t="b">
        <f>Wh_hp&gt;='2022'!Maxi_hp</f>
        <v>0</v>
      </c>
      <c r="I237" s="390">
        <f>IF(H237,Wh_hp,'2022'!Maxi_hp)</f>
        <v>54.934751797677123</v>
      </c>
      <c r="J237" s="85">
        <f>IF(H237,An,'2022'!An_max)</f>
        <v>2018</v>
      </c>
      <c r="K237" s="197">
        <f t="shared" si="79"/>
        <v>45149</v>
      </c>
      <c r="L237" s="147">
        <f>IF(t&lt;Tvie,1-EXP((T0-t)*PertePVj)+'2022'!Pspv,1-EXP((T0-t)*PertePVj)+Pspv)</f>
        <v>4.055117871723124E-2</v>
      </c>
      <c r="M237" s="845"/>
      <c r="N237" s="845"/>
      <c r="O237" s="48">
        <f>IF(t&lt;Tnet,'2022'!Resal+('2022'!Salim-'2022'!Resal)*(1-EXP(('2022'!Tnet-t)/('2022'!Tau_j))),Resal+(Salim-Resal)*(1-EXP((Tnet-t)/(Tau_j))))*Salcycl</f>
        <v>6.518133293205057E-2</v>
      </c>
      <c r="P237" s="169">
        <f>(INDEX(Models!$BJ237:$BT237,,T237)*(1-R237)+INDEX(Models!$BJ237:$BT237,,T237+1)*R237-ERP_i)*Q237*Ramure*Pc/MaxiM</f>
        <v>1.2955142148163707E-4</v>
      </c>
      <c r="Q237" s="305">
        <f t="shared" si="80"/>
        <v>0.5</v>
      </c>
      <c r="R237" s="177">
        <f t="shared" si="81"/>
        <v>0.9612096641687371</v>
      </c>
      <c r="S237" s="811">
        <f t="shared" si="82"/>
        <v>0</v>
      </c>
      <c r="T237" s="176">
        <f t="shared" si="83"/>
        <v>6</v>
      </c>
      <c r="U237" s="251">
        <f t="shared" si="84"/>
        <v>0.9612096641687371</v>
      </c>
      <c r="V237" s="383">
        <f t="shared" si="85"/>
        <v>51.180959184770771</v>
      </c>
      <c r="W237" s="402">
        <f t="shared" si="86"/>
        <v>42.202275453458441</v>
      </c>
      <c r="X237" s="157">
        <f t="shared" si="87"/>
        <v>45149</v>
      </c>
      <c r="Y237" s="385">
        <f t="shared" si="88"/>
        <v>41.072013505824778</v>
      </c>
      <c r="Z237" s="385">
        <f t="shared" si="89"/>
        <v>42.807925336665804</v>
      </c>
      <c r="AA237" s="386">
        <f t="shared" si="90"/>
        <v>47.052930629839437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9.0217659906641115E-2</v>
      </c>
      <c r="AD237" s="231">
        <f>(INDEX(Models!$BJ237:$BT237,,AH237)*(1-AF237)+INDEX(Models!$BJ237:$BT237,,AH237+1)*AF237-ERP_i)*AE237*Ramure*Pc/MaxiM</f>
        <v>1.2955142148163707E-4</v>
      </c>
      <c r="AE237" s="305">
        <f t="shared" si="92"/>
        <v>0.5</v>
      </c>
      <c r="AF237" s="177">
        <f t="shared" si="93"/>
        <v>0.9612096641687371</v>
      </c>
      <c r="AG237" s="811">
        <f t="shared" si="99"/>
        <v>0</v>
      </c>
      <c r="AH237" s="176">
        <f t="shared" si="94"/>
        <v>6</v>
      </c>
      <c r="AI237" s="225">
        <f t="shared" si="95"/>
        <v>0.9612096641687371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411">
        <f>'2022'!Wh/'2022'!Env_an*'2023'!Env_an</f>
        <v>44.291804061088278</v>
      </c>
      <c r="C238" s="841"/>
      <c r="D238" s="393">
        <f t="shared" si="77"/>
        <v>46.16481171689658</v>
      </c>
      <c r="E238" s="385">
        <f t="shared" si="100"/>
        <v>49.386002716889337</v>
      </c>
      <c r="F238" s="385">
        <f t="shared" si="78"/>
        <v>49.390713386164222</v>
      </c>
      <c r="G238" s="110">
        <f t="shared" si="101"/>
        <v>0.86782747902618584</v>
      </c>
      <c r="H238" s="414" t="b">
        <f>Wh_hp&gt;='2022'!Maxi_hp</f>
        <v>0</v>
      </c>
      <c r="I238" s="390">
        <f>IF(H238,Wh_hp,'2022'!Maxi_hp)</f>
        <v>52.198759439863373</v>
      </c>
      <c r="J238" s="85">
        <f>IF(H238,An,'2022'!An_max)</f>
        <v>2018</v>
      </c>
      <c r="K238" s="197">
        <f t="shared" si="79"/>
        <v>45150</v>
      </c>
      <c r="L238" s="147">
        <f>IF(t&lt;Tvie,1-EXP((T0-t)*PertePVj)+'2022'!Pspv,1-EXP((T0-t)*PertePVj)+Pspv)</f>
        <v>4.057219310877791E-2</v>
      </c>
      <c r="M238" s="845"/>
      <c r="N238" s="845"/>
      <c r="O238" s="48">
        <f>IF(t&lt;Tnet,'2022'!Resal+('2022'!Salim-'2022'!Resal)*(1-EXP(('2022'!Tnet-t)/('2022'!Tau_j))),Resal+(Salim-Resal)*(1-EXP((Tnet-t)/(Tau_j))))*Salcycl</f>
        <v>6.5224776713729782E-2</v>
      </c>
      <c r="P238" s="169">
        <f>(INDEX(Models!$BJ238:$BT238,,T238)*(1-R238)+INDEX(Models!$BJ238:$BT238,,T238+1)*R238-ERP_i)*Q238*Ramure*Pc/MaxiM</f>
        <v>1.175720838117404E-4</v>
      </c>
      <c r="Q238" s="305">
        <f t="shared" si="80"/>
        <v>0.5</v>
      </c>
      <c r="R238" s="177">
        <f t="shared" si="81"/>
        <v>0.96257080315630317</v>
      </c>
      <c r="S238" s="811">
        <f t="shared" si="82"/>
        <v>0</v>
      </c>
      <c r="T238" s="176">
        <f t="shared" si="83"/>
        <v>6</v>
      </c>
      <c r="U238" s="251">
        <f t="shared" si="84"/>
        <v>0.96257080315630317</v>
      </c>
      <c r="V238" s="383">
        <f t="shared" si="85"/>
        <v>51.036435139178401</v>
      </c>
      <c r="W238" s="402">
        <f t="shared" si="86"/>
        <v>44.291804061088278</v>
      </c>
      <c r="X238" s="157">
        <f t="shared" si="87"/>
        <v>45150</v>
      </c>
      <c r="Y238" s="385">
        <f t="shared" si="88"/>
        <v>43.10665271708244</v>
      </c>
      <c r="Z238" s="385">
        <f t="shared" si="89"/>
        <v>44.92954280401608</v>
      </c>
      <c r="AA238" s="386">
        <f t="shared" si="90"/>
        <v>49.386002716889337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9.0237307490148563E-2</v>
      </c>
      <c r="AD238" s="231">
        <f>(INDEX(Models!$BJ238:$BT238,,AH238)*(1-AF238)+INDEX(Models!$BJ238:$BT238,,AH238+1)*AF238-ERP_i)*AE238*Ramure*Pc/MaxiM</f>
        <v>1.175720838117404E-4</v>
      </c>
      <c r="AE238" s="305">
        <f t="shared" si="92"/>
        <v>0.5</v>
      </c>
      <c r="AF238" s="177">
        <f t="shared" si="93"/>
        <v>0.96257080315630317</v>
      </c>
      <c r="AG238" s="811">
        <f t="shared" si="99"/>
        <v>0</v>
      </c>
      <c r="AH238" s="176">
        <f t="shared" si="94"/>
        <v>6</v>
      </c>
      <c r="AI238" s="225">
        <f t="shared" si="95"/>
        <v>0.96257080315630317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411">
        <f>'2022'!Wh/'2022'!Env_an*'2023'!Env_an</f>
        <v>30.854048601332913</v>
      </c>
      <c r="C239" s="841"/>
      <c r="D239" s="393">
        <f t="shared" si="77"/>
        <v>32.159506090365021</v>
      </c>
      <c r="E239" s="385">
        <f t="shared" si="100"/>
        <v>34.405056051792464</v>
      </c>
      <c r="F239" s="385">
        <f t="shared" si="78"/>
        <v>34.406660207494525</v>
      </c>
      <c r="G239" s="110">
        <f t="shared" si="101"/>
        <v>0.60624777223900839</v>
      </c>
      <c r="H239" s="414" t="b">
        <f>Wh_hp&gt;='2022'!Maxi_hp</f>
        <v>0</v>
      </c>
      <c r="I239" s="390">
        <f>IF(H239,Wh_hp,'2022'!Maxi_hp)</f>
        <v>49.571963401626377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4.0593207040055312E-2</v>
      </c>
      <c r="M239" s="845"/>
      <c r="N239" s="845"/>
      <c r="O239" s="48">
        <f>IF(t&lt;Tnet,'2022'!Resal+('2022'!Salim-'2022'!Resal)*(1-EXP(('2022'!Tnet-t)/('2022'!Tau_j))),Resal+(Salim-Resal)*(1-EXP((Tnet-t)/(Tau_j))))*Salcycl</f>
        <v>6.5268022178108079E-2</v>
      </c>
      <c r="P239" s="169">
        <f>(INDEX(Models!$BJ239:$BT239,,T239)*(1-R239)+INDEX(Models!$BJ239:$BT239,,T239+1)*R239-ERP_i)*Q239*Ramure*Pc/MaxiM</f>
        <v>1.0655591790312383E-4</v>
      </c>
      <c r="Q239" s="305">
        <f t="shared" si="80"/>
        <v>0.5</v>
      </c>
      <c r="R239" s="177">
        <f t="shared" si="81"/>
        <v>0.96388466148404672</v>
      </c>
      <c r="S239" s="811">
        <f t="shared" si="82"/>
        <v>0</v>
      </c>
      <c r="T239" s="176">
        <f t="shared" si="83"/>
        <v>6</v>
      </c>
      <c r="U239" s="251">
        <f t="shared" si="84"/>
        <v>0.96388466148404672</v>
      </c>
      <c r="V239" s="383">
        <f t="shared" si="85"/>
        <v>50.89041274419575</v>
      </c>
      <c r="W239" s="402">
        <f t="shared" si="86"/>
        <v>30.854048601332913</v>
      </c>
      <c r="X239" s="157">
        <f t="shared" si="87"/>
        <v>45151</v>
      </c>
      <c r="Y239" s="385">
        <f t="shared" si="88"/>
        <v>30.029210530864436</v>
      </c>
      <c r="Z239" s="385">
        <f t="shared" si="89"/>
        <v>31.299768514478465</v>
      </c>
      <c r="AA239" s="386">
        <f t="shared" si="90"/>
        <v>34.405056051792464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9.0256720774975013E-2</v>
      </c>
      <c r="AD239" s="231">
        <f>(INDEX(Models!$BJ239:$BT239,,AH239)*(1-AF239)+INDEX(Models!$BJ239:$BT239,,AH239+1)*AF239-ERP_i)*AE239*Ramure*Pc/MaxiM</f>
        <v>1.0655591790312383E-4</v>
      </c>
      <c r="AE239" s="305">
        <f t="shared" si="92"/>
        <v>0.5</v>
      </c>
      <c r="AF239" s="177">
        <f t="shared" si="93"/>
        <v>0.96388466148404672</v>
      </c>
      <c r="AG239" s="811">
        <f t="shared" si="99"/>
        <v>0</v>
      </c>
      <c r="AH239" s="176">
        <f t="shared" si="94"/>
        <v>6</v>
      </c>
      <c r="AI239" s="225">
        <f t="shared" si="95"/>
        <v>0.96388466148404672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411">
        <f>'2022'!Wh/'2022'!Env_an*'2023'!Env_an</f>
        <v>32.079108007667713</v>
      </c>
      <c r="C240" s="841"/>
      <c r="D240" s="393">
        <f t="shared" si="77"/>
        <v>33.437131020178924</v>
      </c>
      <c r="E240" s="385">
        <f t="shared" si="100"/>
        <v>35.773538964728552</v>
      </c>
      <c r="F240" s="385">
        <f t="shared" si="78"/>
        <v>35.77518181576967</v>
      </c>
      <c r="G240" s="110">
        <f t="shared" si="101"/>
        <v>0.63215840512954391</v>
      </c>
      <c r="H240" s="414" t="b">
        <f>Wh_hp&gt;='2022'!Maxi_hp</f>
        <v>0</v>
      </c>
      <c r="I240" s="390">
        <f>IF(H240,Wh_hp,'2022'!Maxi_hp)</f>
        <v>57.385484130512104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4.0614220511073773E-2</v>
      </c>
      <c r="M240" s="845"/>
      <c r="N240" s="845"/>
      <c r="O240" s="48">
        <f>IF(t&lt;Tnet,'2022'!Resal+('2022'!Salim-'2022'!Resal)*(1-EXP(('2022'!Tnet-t)/('2022'!Tau_j))),Resal+(Salim-Resal)*(1-EXP((Tnet-t)/(Tau_j))))*Salcycl</f>
        <v>6.5311065445698341E-2</v>
      </c>
      <c r="P240" s="169">
        <f>(INDEX(Models!$BJ240:$BT240,,T240)*(1-R240)+INDEX(Models!$BJ240:$BT240,,T240+1)*R240-ERP_i)*Q240*Ramure*Pc/MaxiM</f>
        <v>9.6766961258749372E-5</v>
      </c>
      <c r="Q240" s="305">
        <f t="shared" si="80"/>
        <v>0.5</v>
      </c>
      <c r="R240" s="177">
        <f t="shared" si="81"/>
        <v>0.9651526080449957</v>
      </c>
      <c r="S240" s="811">
        <f t="shared" si="82"/>
        <v>0</v>
      </c>
      <c r="T240" s="176">
        <f t="shared" si="83"/>
        <v>6</v>
      </c>
      <c r="U240" s="251">
        <f t="shared" si="84"/>
        <v>0.9651526080449957</v>
      </c>
      <c r="V240" s="383">
        <f t="shared" si="85"/>
        <v>50.742783132131173</v>
      </c>
      <c r="W240" s="402">
        <f t="shared" si="86"/>
        <v>32.079108007667713</v>
      </c>
      <c r="X240" s="157">
        <f t="shared" si="87"/>
        <v>45152</v>
      </c>
      <c r="Y240" s="385">
        <f t="shared" si="88"/>
        <v>31.222299477416211</v>
      </c>
      <c r="Z240" s="385">
        <f t="shared" si="89"/>
        <v>32.544050730091726</v>
      </c>
      <c r="AA240" s="386">
        <f t="shared" si="90"/>
        <v>35.773538964728552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9.0275894644390342E-2</v>
      </c>
      <c r="AD240" s="231">
        <f>(INDEX(Models!$BJ240:$BT240,,AH240)*(1-AF240)+INDEX(Models!$BJ240:$BT240,,AH240+1)*AF240-ERP_i)*AE240*Ramure*Pc/MaxiM</f>
        <v>9.6766961258749372E-5</v>
      </c>
      <c r="AE240" s="305">
        <f t="shared" si="92"/>
        <v>0.5</v>
      </c>
      <c r="AF240" s="177">
        <f t="shared" si="93"/>
        <v>0.9651526080449957</v>
      </c>
      <c r="AG240" s="811">
        <f t="shared" si="99"/>
        <v>0</v>
      </c>
      <c r="AH240" s="176">
        <f t="shared" si="94"/>
        <v>6</v>
      </c>
      <c r="AI240" s="225">
        <f t="shared" si="95"/>
        <v>0.9651526080449957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411">
        <f>'2022'!Wh/'2022'!Env_an*'2023'!Env_an</f>
        <v>36.783560308633092</v>
      </c>
      <c r="C241" s="841"/>
      <c r="D241" s="393">
        <f t="shared" si="77"/>
        <v>38.341579338655649</v>
      </c>
      <c r="E241" s="385">
        <f t="shared" si="100"/>
        <v>41.022563958674212</v>
      </c>
      <c r="F241" s="385">
        <f t="shared" si="78"/>
        <v>41.024754724590743</v>
      </c>
      <c r="G241" s="110">
        <f t="shared" si="101"/>
        <v>0.72701662525908461</v>
      </c>
      <c r="H241" s="414" t="b">
        <f>Wh_hp&gt;='2022'!Maxi_hp</f>
        <v>0</v>
      </c>
      <c r="I241" s="390">
        <f>IF(H241,Wh_hp,'2022'!Maxi_hp)</f>
        <v>56.300151621417385</v>
      </c>
      <c r="J241" s="85">
        <f>IF(H241,An,'2022'!An_max)</f>
        <v>2018</v>
      </c>
      <c r="K241" s="197">
        <f t="shared" si="79"/>
        <v>45153</v>
      </c>
      <c r="L241" s="147">
        <f>IF(t&lt;Tvie,1-EXP((T0-t)*PertePVj)+'2022'!Pspv,1-EXP((T0-t)*PertePVj)+Pspv)</f>
        <v>4.0635233521843284E-2</v>
      </c>
      <c r="M241" s="845"/>
      <c r="N241" s="845"/>
      <c r="O241" s="48">
        <f>IF(t&lt;Tnet,'2022'!Resal+('2022'!Salim-'2022'!Resal)*(1-EXP(('2022'!Tnet-t)/('2022'!Tau_j))),Resal+(Salim-Resal)*(1-EXP((Tnet-t)/(Tau_j))))*Salcycl</f>
        <v>6.5353901884810633E-2</v>
      </c>
      <c r="P241" s="169">
        <f>(INDEX(Models!$BJ241:$BT241,,T241)*(1-R241)+INDEX(Models!$BJ241:$BT241,,T241+1)*R241-ERP_i)*Q241*Ramure*Pc/MaxiM</f>
        <v>8.7534246705885964E-5</v>
      </c>
      <c r="Q241" s="305">
        <f t="shared" si="80"/>
        <v>0.5</v>
      </c>
      <c r="R241" s="177">
        <f t="shared" si="81"/>
        <v>0.96637599256803586</v>
      </c>
      <c r="S241" s="811">
        <f t="shared" si="82"/>
        <v>0</v>
      </c>
      <c r="T241" s="176">
        <f t="shared" si="83"/>
        <v>6</v>
      </c>
      <c r="U241" s="251">
        <f t="shared" si="84"/>
        <v>0.96637599256803586</v>
      </c>
      <c r="V241" s="383">
        <f t="shared" si="85"/>
        <v>50.593484968539812</v>
      </c>
      <c r="W241" s="402">
        <f t="shared" si="86"/>
        <v>36.783560308633092</v>
      </c>
      <c r="X241" s="157">
        <f t="shared" si="87"/>
        <v>45153</v>
      </c>
      <c r="Y241" s="385">
        <f t="shared" si="88"/>
        <v>35.8019953333622</v>
      </c>
      <c r="Z241" s="385">
        <f t="shared" si="89"/>
        <v>37.318438809038078</v>
      </c>
      <c r="AA241" s="386">
        <f t="shared" si="90"/>
        <v>41.022563958674212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9.0294822950794648E-2</v>
      </c>
      <c r="AD241" s="231">
        <f>(INDEX(Models!$BJ241:$BT241,,AH241)*(1-AF241)+INDEX(Models!$BJ241:$BT241,,AH241+1)*AF241-ERP_i)*AE241*Ramure*Pc/MaxiM</f>
        <v>8.7534246705885964E-5</v>
      </c>
      <c r="AE241" s="305">
        <f t="shared" si="92"/>
        <v>0.5</v>
      </c>
      <c r="AF241" s="177">
        <f t="shared" si="93"/>
        <v>0.96637599256803586</v>
      </c>
      <c r="AG241" s="811">
        <f t="shared" si="99"/>
        <v>0</v>
      </c>
      <c r="AH241" s="176">
        <f t="shared" si="94"/>
        <v>6</v>
      </c>
      <c r="AI241" s="225">
        <f t="shared" si="95"/>
        <v>0.96637599256803586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411">
        <f>'2022'!Wh/'2022'!Env_an*'2023'!Env_an</f>
        <v>30.899678091781812</v>
      </c>
      <c r="C242" s="841"/>
      <c r="D242" s="393">
        <f t="shared" si="77"/>
        <v>32.209182543041727</v>
      </c>
      <c r="E242" s="385">
        <f t="shared" si="100"/>
        <v>34.462939037976909</v>
      </c>
      <c r="F242" s="385">
        <f t="shared" si="78"/>
        <v>34.464152684385425</v>
      </c>
      <c r="G242" s="110">
        <f t="shared" si="101"/>
        <v>0.61254649985633747</v>
      </c>
      <c r="H242" s="414" t="b">
        <f>Wh_hp&gt;='2022'!Maxi_hp</f>
        <v>0</v>
      </c>
      <c r="I242" s="390">
        <f>IF(H242,Wh_hp,'2022'!Maxi_hp)</f>
        <v>56.421516120211891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4.0656246072373947E-2</v>
      </c>
      <c r="M242" s="845"/>
      <c r="N242" s="845"/>
      <c r="O242" s="48">
        <f>IF(t&lt;Tnet,'2022'!Resal+('2022'!Salim-'2022'!Resal)*(1-EXP(('2022'!Tnet-t)/('2022'!Tau_j))),Resal+(Salim-Resal)*(1-EXP((Tnet-t)/(Tau_j))))*Salcycl</f>
        <v>6.5396526177051231E-2</v>
      </c>
      <c r="P242" s="169">
        <f>(INDEX(Models!$BJ242:$BT242,,T242)*(1-R242)+INDEX(Models!$BJ242:$BT242,,T242+1)*R242-ERP_i)*Q242*Ramure*Pc/MaxiM</f>
        <v>7.8862550283308359E-5</v>
      </c>
      <c r="Q242" s="305">
        <f t="shared" si="80"/>
        <v>0.5</v>
      </c>
      <c r="R242" s="177">
        <f t="shared" si="81"/>
        <v>0.96755614419605462</v>
      </c>
      <c r="S242" s="811">
        <f t="shared" si="82"/>
        <v>0</v>
      </c>
      <c r="T242" s="176">
        <f t="shared" si="83"/>
        <v>6</v>
      </c>
      <c r="U242" s="251">
        <f t="shared" si="84"/>
        <v>0.96755614419605462</v>
      </c>
      <c r="V242" s="383">
        <f t="shared" si="85"/>
        <v>50.442422491115053</v>
      </c>
      <c r="W242" s="402">
        <f t="shared" si="86"/>
        <v>30.899678091781812</v>
      </c>
      <c r="X242" s="157">
        <f t="shared" si="87"/>
        <v>45154</v>
      </c>
      <c r="Y242" s="385">
        <f t="shared" si="88"/>
        <v>30.075878000388741</v>
      </c>
      <c r="Z242" s="385">
        <f t="shared" si="89"/>
        <v>31.350470441127925</v>
      </c>
      <c r="AA242" s="386">
        <f t="shared" si="90"/>
        <v>34.462939037976909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9.0313498608437182E-2</v>
      </c>
      <c r="AD242" s="231">
        <f>(INDEX(Models!$BJ242:$BT242,,AH242)*(1-AF242)+INDEX(Models!$BJ242:$BT242,,AH242+1)*AF242-ERP_i)*AE242*Ramure*Pc/MaxiM</f>
        <v>7.8862550283308359E-5</v>
      </c>
      <c r="AE242" s="305">
        <f t="shared" si="92"/>
        <v>0.5</v>
      </c>
      <c r="AF242" s="177">
        <f t="shared" si="93"/>
        <v>0.96755614419605462</v>
      </c>
      <c r="AG242" s="811">
        <f t="shared" si="99"/>
        <v>0</v>
      </c>
      <c r="AH242" s="176">
        <f t="shared" si="94"/>
        <v>6</v>
      </c>
      <c r="AI242" s="225">
        <f t="shared" si="95"/>
        <v>0.96755614419605462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411">
        <f>'2022'!Wh/'2022'!Env_an*'2023'!Env_an</f>
        <v>21.240990391569124</v>
      </c>
      <c r="C243" s="841"/>
      <c r="D243" s="393">
        <f t="shared" si="77"/>
        <v>22.141652089772968</v>
      </c>
      <c r="E243" s="385">
        <f t="shared" si="100"/>
        <v>23.692033465647221</v>
      </c>
      <c r="F243" s="385">
        <f t="shared" si="78"/>
        <v>23.692326532791473</v>
      </c>
      <c r="G243" s="110">
        <f t="shared" si="101"/>
        <v>0.42234959944876255</v>
      </c>
      <c r="H243" s="414" t="b">
        <f>Wh_hp&gt;='2022'!Maxi_hp</f>
        <v>0</v>
      </c>
      <c r="I243" s="390">
        <f>IF(H243,Wh_hp,'2022'!Maxi_hp)</f>
        <v>55.293372982977111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4.0677258162675756E-2</v>
      </c>
      <c r="M243" s="845"/>
      <c r="N243" s="845"/>
      <c r="O243" s="48">
        <f>IF(t&lt;Tnet,'2022'!Resal+('2022'!Salim-'2022'!Resal)*(1-EXP(('2022'!Tnet-t)/('2022'!Tau_j))),Resal+(Salim-Resal)*(1-EXP((Tnet-t)/(Tau_j))))*Salcycl</f>
        <v>6.5438932378778764E-2</v>
      </c>
      <c r="P243" s="169">
        <f>(INDEX(Models!$BJ243:$BT243,,T243)*(1-R243)+INDEX(Models!$BJ243:$BT243,,T243+1)*R243-ERP_i)*Q243*Ramure*Pc/MaxiM</f>
        <v>7.0756669250958537E-5</v>
      </c>
      <c r="Q243" s="305">
        <f t="shared" si="80"/>
        <v>0.5</v>
      </c>
      <c r="R243" s="177">
        <f t="shared" si="81"/>
        <v>0.96869437023090721</v>
      </c>
      <c r="S243" s="811">
        <f t="shared" si="82"/>
        <v>0</v>
      </c>
      <c r="T243" s="176">
        <f t="shared" si="83"/>
        <v>6</v>
      </c>
      <c r="U243" s="251">
        <f t="shared" si="84"/>
        <v>0.96869437023090721</v>
      </c>
      <c r="V243" s="383">
        <f t="shared" si="85"/>
        <v>50.289499994913065</v>
      </c>
      <c r="W243" s="402">
        <f t="shared" si="86"/>
        <v>21.240990391569124</v>
      </c>
      <c r="X243" s="157">
        <f t="shared" si="87"/>
        <v>45155</v>
      </c>
      <c r="Y243" s="385">
        <f t="shared" si="88"/>
        <v>20.675215082750693</v>
      </c>
      <c r="Z243" s="385">
        <f t="shared" si="89"/>
        <v>21.551886743717645</v>
      </c>
      <c r="AA243" s="386">
        <f t="shared" si="90"/>
        <v>23.692033465647221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9.0331913680297929E-2</v>
      </c>
      <c r="AD243" s="231">
        <f>(INDEX(Models!$BJ243:$BT243,,AH243)*(1-AF243)+INDEX(Models!$BJ243:$BT243,,AH243+1)*AF243-ERP_i)*AE243*Ramure*Pc/MaxiM</f>
        <v>7.0756669250958537E-5</v>
      </c>
      <c r="AE243" s="305">
        <f t="shared" si="92"/>
        <v>0.5</v>
      </c>
      <c r="AF243" s="177">
        <f t="shared" si="93"/>
        <v>0.96869437023090721</v>
      </c>
      <c r="AG243" s="811">
        <f t="shared" si="99"/>
        <v>0</v>
      </c>
      <c r="AH243" s="176">
        <f t="shared" si="94"/>
        <v>6</v>
      </c>
      <c r="AI243" s="225">
        <f t="shared" si="95"/>
        <v>0.96869437023090721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411">
        <f>'2022'!Wh/'2022'!Env_an*'2023'!Env_an</f>
        <v>36.961679558860787</v>
      </c>
      <c r="C244" s="841"/>
      <c r="D244" s="393">
        <f t="shared" si="77"/>
        <v>38.529774725701614</v>
      </c>
      <c r="E244" s="385">
        <f t="shared" si="100"/>
        <v>41.229530298423406</v>
      </c>
      <c r="F244" s="385">
        <f t="shared" si="78"/>
        <v>41.231158545368068</v>
      </c>
      <c r="G244" s="110">
        <f t="shared" si="101"/>
        <v>0.73723109992847824</v>
      </c>
      <c r="H244" s="414" t="b">
        <f>Wh_hp&gt;='2022'!Maxi_hp</f>
        <v>0</v>
      </c>
      <c r="I244" s="390">
        <f>IF(H244,Wh_hp,'2022'!Maxi_hp)</f>
        <v>53.147705265054185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4.0698269792758923E-2</v>
      </c>
      <c r="M244" s="845"/>
      <c r="N244" s="845"/>
      <c r="O244" s="48">
        <f>IF(t&lt;Tnet,'2022'!Resal+('2022'!Salim-'2022'!Resal)*(1-EXP(('2022'!Tnet-t)/('2022'!Tau_j))),Resal+(Salim-Resal)*(1-EXP((Tnet-t)/(Tau_j))))*Salcycl</f>
        <v>6.5481113977789523E-2</v>
      </c>
      <c r="P244" s="169">
        <f>(INDEX(Models!$BJ244:$BT244,,T244)*(1-R244)+INDEX(Models!$BJ244:$BT244,,T244+1)*R244-ERP_i)*Q244*Ramure*Pc/MaxiM</f>
        <v>6.322143512526817E-5</v>
      </c>
      <c r="Q244" s="305">
        <f t="shared" si="80"/>
        <v>0.5</v>
      </c>
      <c r="R244" s="177">
        <f t="shared" si="81"/>
        <v>0.9697919550357208</v>
      </c>
      <c r="S244" s="811">
        <f t="shared" si="82"/>
        <v>0</v>
      </c>
      <c r="T244" s="176">
        <f t="shared" si="83"/>
        <v>6</v>
      </c>
      <c r="U244" s="251">
        <f t="shared" si="84"/>
        <v>0.9697919550357208</v>
      </c>
      <c r="V244" s="383">
        <f t="shared" si="85"/>
        <v>50.134621829775426</v>
      </c>
      <c r="W244" s="402">
        <f t="shared" si="86"/>
        <v>36.961679558860787</v>
      </c>
      <c r="X244" s="157">
        <f t="shared" si="87"/>
        <v>45156</v>
      </c>
      <c r="Y244" s="385">
        <f t="shared" si="88"/>
        <v>35.978073975752345</v>
      </c>
      <c r="Z244" s="385">
        <f t="shared" si="89"/>
        <v>37.504439784529403</v>
      </c>
      <c r="AA244" s="386">
        <f t="shared" si="90"/>
        <v>41.229530298423406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9.0350059458146295E-2</v>
      </c>
      <c r="AD244" s="231">
        <f>(INDEX(Models!$BJ244:$BT244,,AH244)*(1-AF244)+INDEX(Models!$BJ244:$BT244,,AH244+1)*AF244-ERP_i)*AE244*Ramure*Pc/MaxiM</f>
        <v>6.322143512526817E-5</v>
      </c>
      <c r="AE244" s="305">
        <f t="shared" si="92"/>
        <v>0.5</v>
      </c>
      <c r="AF244" s="177">
        <f t="shared" si="93"/>
        <v>0.9697919550357208</v>
      </c>
      <c r="AG244" s="811">
        <f t="shared" si="99"/>
        <v>0</v>
      </c>
      <c r="AH244" s="176">
        <f t="shared" si="94"/>
        <v>6</v>
      </c>
      <c r="AI244" s="225">
        <f t="shared" si="95"/>
        <v>0.9697919550357208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411">
        <f>'2022'!Wh/'2022'!Env_an*'2023'!Env_an</f>
        <v>38.271519444520749</v>
      </c>
      <c r="C245" s="841"/>
      <c r="D245" s="393">
        <f t="shared" si="77"/>
        <v>39.896058249691528</v>
      </c>
      <c r="E245" s="385">
        <f t="shared" si="100"/>
        <v>42.693464878972783</v>
      </c>
      <c r="F245" s="385">
        <f t="shared" si="78"/>
        <v>42.69506320763108</v>
      </c>
      <c r="G245" s="110">
        <f t="shared" si="101"/>
        <v>0.76575762284239102</v>
      </c>
      <c r="H245" s="414" t="b">
        <f>Wh_hp&gt;='2022'!Maxi_hp</f>
        <v>0</v>
      </c>
      <c r="I245" s="390">
        <f>IF(H245,Wh_hp,'2022'!Maxi_hp)</f>
        <v>53.076716411968974</v>
      </c>
      <c r="J245" s="85">
        <f>IF(H245,An,'2022'!An_max)</f>
        <v>2018</v>
      </c>
      <c r="K245" s="197">
        <f t="shared" si="79"/>
        <v>45157</v>
      </c>
      <c r="L245" s="147">
        <f>IF(t&lt;Tvie,1-EXP((T0-t)*PertePVj)+'2022'!Pspv,1-EXP((T0-t)*PertePVj)+Pspv)</f>
        <v>4.0719280962633442E-2</v>
      </c>
      <c r="M245" s="845"/>
      <c r="N245" s="845"/>
      <c r="O245" s="48">
        <f>IF(t&lt;Tnet,'2022'!Resal+('2022'!Salim-'2022'!Resal)*(1-EXP(('2022'!Tnet-t)/('2022'!Tau_j))),Resal+(Salim-Resal)*(1-EXP((Tnet-t)/(Tau_j))))*Salcycl</f>
        <v>6.5523063944595034E-2</v>
      </c>
      <c r="P245" s="169">
        <f>(INDEX(Models!$BJ245:$BT245,,T245)*(1-R245)+INDEX(Models!$BJ245:$BT245,,T245+1)*R245-ERP_i)*Q245*Ramure*Pc/MaxiM</f>
        <v>5.6261726010903443E-5</v>
      </c>
      <c r="Q245" s="305">
        <f t="shared" si="80"/>
        <v>0.5</v>
      </c>
      <c r="R245" s="177">
        <f t="shared" si="81"/>
        <v>0.97085015908516015</v>
      </c>
      <c r="S245" s="811">
        <f t="shared" si="82"/>
        <v>0</v>
      </c>
      <c r="T245" s="176">
        <f t="shared" si="83"/>
        <v>6</v>
      </c>
      <c r="U245" s="251">
        <f t="shared" si="84"/>
        <v>0.97085015908516015</v>
      </c>
      <c r="V245" s="383">
        <f t="shared" si="85"/>
        <v>49.977692396989163</v>
      </c>
      <c r="W245" s="402">
        <f t="shared" si="86"/>
        <v>38.271519444520749</v>
      </c>
      <c r="X245" s="157">
        <f t="shared" si="87"/>
        <v>45157</v>
      </c>
      <c r="Y245" s="385">
        <f t="shared" si="88"/>
        <v>37.253997657695457</v>
      </c>
      <c r="Z245" s="385">
        <f t="shared" si="89"/>
        <v>38.835344981268527</v>
      </c>
      <c r="AA245" s="386">
        <f t="shared" si="90"/>
        <v>42.693464878972783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9.0367926534921261E-2</v>
      </c>
      <c r="AD245" s="231">
        <f>(INDEX(Models!$BJ245:$BT245,,AH245)*(1-AF245)+INDEX(Models!$BJ245:$BT245,,AH245+1)*AF245-ERP_i)*AE245*Ramure*Pc/MaxiM</f>
        <v>5.6261726010903443E-5</v>
      </c>
      <c r="AE245" s="305">
        <f t="shared" si="92"/>
        <v>0.5</v>
      </c>
      <c r="AF245" s="177">
        <f t="shared" si="93"/>
        <v>0.97085015908516015</v>
      </c>
      <c r="AG245" s="811">
        <f t="shared" si="99"/>
        <v>0</v>
      </c>
      <c r="AH245" s="176">
        <f t="shared" si="94"/>
        <v>6</v>
      </c>
      <c r="AI245" s="225">
        <f t="shared" si="95"/>
        <v>0.97085015908516015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411">
        <f>'2022'!Wh/'2022'!Env_an*'2023'!Env_an</f>
        <v>45.579775367239201</v>
      </c>
      <c r="C246" s="841"/>
      <c r="D246" s="393">
        <f t="shared" si="77"/>
        <v>47.515573698701409</v>
      </c>
      <c r="E246" s="385">
        <f t="shared" si="100"/>
        <v>50.849510395330341</v>
      </c>
      <c r="F246" s="385">
        <f t="shared" si="78"/>
        <v>50.851738679314082</v>
      </c>
      <c r="G246" s="110">
        <f t="shared" si="101"/>
        <v>0.91490897424067774</v>
      </c>
      <c r="H246" s="414" t="b">
        <f>Wh_hp&gt;='2022'!Maxi_hp</f>
        <v>0</v>
      </c>
      <c r="I246" s="390">
        <f>IF(H246,Wh_hp,'2022'!Maxi_hp)</f>
        <v>53.656818151544883</v>
      </c>
      <c r="J246" s="85">
        <f>IF(H246,An,'2022'!An_max)</f>
        <v>2018</v>
      </c>
      <c r="K246" s="197">
        <f t="shared" si="79"/>
        <v>45158</v>
      </c>
      <c r="L246" s="147">
        <f>IF(t&lt;Tvie,1-EXP((T0-t)*PertePVj)+'2022'!Pspv,1-EXP((T0-t)*PertePVj)+Pspv)</f>
        <v>4.0740291672309414E-2</v>
      </c>
      <c r="M246" s="845"/>
      <c r="N246" s="845"/>
      <c r="O246" s="48">
        <f>IF(t&lt;Tnet,'2022'!Resal+('2022'!Salim-'2022'!Resal)*(1-EXP(('2022'!Tnet-t)/('2022'!Tau_j))),Resal+(Salim-Resal)*(1-EXP((Tnet-t)/(Tau_j))))*Salcycl</f>
        <v>6.5564774777754672E-2</v>
      </c>
      <c r="P246" s="169">
        <f>(INDEX(Models!$BJ246:$BT246,,T246)*(1-R246)+INDEX(Models!$BJ246:$BT246,,T246+1)*R246-ERP_i)*Q246*Ramure*Pc/MaxiM</f>
        <v>4.988247834669506E-5</v>
      </c>
      <c r="Q246" s="305">
        <f t="shared" si="80"/>
        <v>0.5</v>
      </c>
      <c r="R246" s="177">
        <f t="shared" si="81"/>
        <v>0.97187021815444541</v>
      </c>
      <c r="S246" s="811">
        <f t="shared" si="82"/>
        <v>0</v>
      </c>
      <c r="T246" s="176">
        <f t="shared" si="83"/>
        <v>6</v>
      </c>
      <c r="U246" s="251">
        <f t="shared" si="84"/>
        <v>0.97187021815444541</v>
      </c>
      <c r="V246" s="383">
        <f t="shared" si="85"/>
        <v>49.81861614311439</v>
      </c>
      <c r="W246" s="402">
        <f t="shared" si="86"/>
        <v>45.579775367239201</v>
      </c>
      <c r="X246" s="157">
        <f t="shared" si="87"/>
        <v>45158</v>
      </c>
      <c r="Y246" s="385">
        <f t="shared" si="88"/>
        <v>44.369072611756216</v>
      </c>
      <c r="Z246" s="385">
        <f t="shared" si="89"/>
        <v>46.253451725921337</v>
      </c>
      <c r="AA246" s="386">
        <f t="shared" si="90"/>
        <v>50.849510395330341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9.0385504868716937E-2</v>
      </c>
      <c r="AD246" s="231">
        <f>(INDEX(Models!$BJ246:$BT246,,AH246)*(1-AF246)+INDEX(Models!$BJ246:$BT246,,AH246+1)*AF246-ERP_i)*AE246*Ramure*Pc/MaxiM</f>
        <v>4.988247834669506E-5</v>
      </c>
      <c r="AE246" s="305">
        <f t="shared" si="92"/>
        <v>0.5</v>
      </c>
      <c r="AF246" s="177">
        <f t="shared" si="93"/>
        <v>0.97187021815444541</v>
      </c>
      <c r="AG246" s="811">
        <f t="shared" si="99"/>
        <v>0</v>
      </c>
      <c r="AH246" s="176">
        <f t="shared" si="94"/>
        <v>6</v>
      </c>
      <c r="AI246" s="225">
        <f t="shared" si="95"/>
        <v>0.97187021815444541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411">
        <f>'2022'!Wh/'2022'!Env_an*'2023'!Env_an</f>
        <v>30.728005318862735</v>
      </c>
      <c r="C247" s="841"/>
      <c r="D247" s="393">
        <f t="shared" si="77"/>
        <v>32.03374236300629</v>
      </c>
      <c r="E247" s="385">
        <f t="shared" si="100"/>
        <v>34.282915494909027</v>
      </c>
      <c r="F247" s="385">
        <f t="shared" si="78"/>
        <v>34.283603809276599</v>
      </c>
      <c r="G247" s="110">
        <f t="shared" si="101"/>
        <v>0.61876276202152436</v>
      </c>
      <c r="H247" s="414" t="b">
        <f>Wh_hp&gt;='2022'!Maxi_hp</f>
        <v>0</v>
      </c>
      <c r="I247" s="390">
        <f>IF(H247,Wh_hp,'2022'!Maxi_hp)</f>
        <v>54.498162972904758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4.0761301921796944E-2</v>
      </c>
      <c r="M247" s="845"/>
      <c r="N247" s="845"/>
      <c r="O247" s="48">
        <f>IF(t&lt;Tnet,'2022'!Resal+('2022'!Salim-'2022'!Resal)*(1-EXP(('2022'!Tnet-t)/('2022'!Tau_j))),Resal+(Salim-Resal)*(1-EXP((Tnet-t)/(Tau_j))))*Salcycl</f>
        <v>6.5606238542831513E-2</v>
      </c>
      <c r="P247" s="169">
        <f>(INDEX(Models!$BJ247:$BT247,,T247)*(1-R247)+INDEX(Models!$BJ247:$BT247,,T247+1)*R247-ERP_i)*Q247*Ramure*Pc/MaxiM</f>
        <v>4.4087003792275874E-5</v>
      </c>
      <c r="Q247" s="305">
        <f t="shared" si="80"/>
        <v>0.5</v>
      </c>
      <c r="R247" s="177">
        <f t="shared" si="81"/>
        <v>0.97285334263810963</v>
      </c>
      <c r="S247" s="811">
        <f t="shared" si="82"/>
        <v>0</v>
      </c>
      <c r="T247" s="176">
        <f t="shared" si="83"/>
        <v>6</v>
      </c>
      <c r="U247" s="251">
        <f t="shared" si="84"/>
        <v>0.97285334263810963</v>
      </c>
      <c r="V247" s="383">
        <f t="shared" si="85"/>
        <v>49.659206100796851</v>
      </c>
      <c r="W247" s="402">
        <f t="shared" si="86"/>
        <v>30.728005318862735</v>
      </c>
      <c r="X247" s="157">
        <f t="shared" si="87"/>
        <v>45159</v>
      </c>
      <c r="Y247" s="385">
        <f t="shared" si="88"/>
        <v>29.91255854776578</v>
      </c>
      <c r="Z247" s="385">
        <f t="shared" si="89"/>
        <v>31.183644496093009</v>
      </c>
      <c r="AA247" s="386">
        <f t="shared" si="90"/>
        <v>34.282915494909027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9.0402783837805659E-2</v>
      </c>
      <c r="AD247" s="231">
        <f>(INDEX(Models!$BJ247:$BT247,,AH247)*(1-AF247)+INDEX(Models!$BJ247:$BT247,,AH247+1)*AF247-ERP_i)*AE247*Ramure*Pc/MaxiM</f>
        <v>4.4087003792275874E-5</v>
      </c>
      <c r="AE247" s="305">
        <f t="shared" si="92"/>
        <v>0.5</v>
      </c>
      <c r="AF247" s="177">
        <f t="shared" si="93"/>
        <v>0.97285334263810963</v>
      </c>
      <c r="AG247" s="811">
        <f t="shared" si="99"/>
        <v>0</v>
      </c>
      <c r="AH247" s="176">
        <f t="shared" si="94"/>
        <v>6</v>
      </c>
      <c r="AI247" s="225">
        <f t="shared" si="95"/>
        <v>0.97285334263810963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411">
        <f>'2022'!Wh/'2022'!Env_an*'2023'!Env_an</f>
        <v>23.941493345867883</v>
      </c>
      <c r="C248" s="841"/>
      <c r="D248" s="393">
        <f t="shared" si="77"/>
        <v>24.959395180228647</v>
      </c>
      <c r="E248" s="385">
        <f t="shared" si="100"/>
        <v>26.713037918655495</v>
      </c>
      <c r="F248" s="385">
        <f t="shared" si="78"/>
        <v>26.713311527479519</v>
      </c>
      <c r="G248" s="110">
        <f t="shared" si="101"/>
        <v>0.48364461257077579</v>
      </c>
      <c r="H248" s="414" t="b">
        <f>Wh_hp&gt;='2022'!Maxi_hp</f>
        <v>0</v>
      </c>
      <c r="I248" s="390">
        <f>IF(H248,Wh_hp,'2022'!Maxi_hp)</f>
        <v>56.835581680919191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4.0782311711106134E-2</v>
      </c>
      <c r="M248" s="845"/>
      <c r="N248" s="845"/>
      <c r="O248" s="48">
        <f>IF(t&lt;Tnet,'2022'!Resal+('2022'!Salim-'2022'!Resal)*(1-EXP(('2022'!Tnet-t)/('2022'!Tau_j))),Resal+(Salim-Resal)*(1-EXP((Tnet-t)/(Tau_j))))*Salcycl</f>
        <v>6.5647446904650325E-2</v>
      </c>
      <c r="P248" s="169">
        <f>(INDEX(Models!$BJ248:$BT248,,T248)*(1-R248)+INDEX(Models!$BJ248:$BT248,,T248+1)*R248-ERP_i)*Q248*Ramure*Pc/MaxiM</f>
        <v>3.9038154905649453E-5</v>
      </c>
      <c r="Q248" s="305">
        <f t="shared" si="80"/>
        <v>0.5</v>
      </c>
      <c r="R248" s="177">
        <f t="shared" si="81"/>
        <v>0.97380071698972803</v>
      </c>
      <c r="S248" s="811">
        <f t="shared" si="82"/>
        <v>0</v>
      </c>
      <c r="T248" s="176">
        <f t="shared" si="83"/>
        <v>6</v>
      </c>
      <c r="U248" s="251">
        <f t="shared" si="84"/>
        <v>0.97380071698972803</v>
      </c>
      <c r="V248" s="383">
        <f t="shared" si="85"/>
        <v>49.500817963291077</v>
      </c>
      <c r="W248" s="402">
        <f t="shared" si="86"/>
        <v>23.941493345867883</v>
      </c>
      <c r="X248" s="157">
        <f t="shared" si="87"/>
        <v>45160</v>
      </c>
      <c r="Y248" s="385">
        <f t="shared" si="88"/>
        <v>23.306737243911066</v>
      </c>
      <c r="Z248" s="385">
        <f t="shared" si="89"/>
        <v>24.297651647236538</v>
      </c>
      <c r="AA248" s="386">
        <f t="shared" si="90"/>
        <v>26.713037918655495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9.0419752286284502E-2</v>
      </c>
      <c r="AD248" s="231">
        <f>(INDEX(Models!$BJ248:$BT248,,AH248)*(1-AF248)+INDEX(Models!$BJ248:$BT248,,AH248+1)*AF248-ERP_i)*AE248*Ramure*Pc/MaxiM</f>
        <v>3.9038154905649453E-5</v>
      </c>
      <c r="AE248" s="305">
        <f t="shared" si="92"/>
        <v>0.5</v>
      </c>
      <c r="AF248" s="177">
        <f t="shared" si="93"/>
        <v>0.97380071698972803</v>
      </c>
      <c r="AG248" s="811">
        <f t="shared" si="99"/>
        <v>0</v>
      </c>
      <c r="AH248" s="176">
        <f t="shared" si="94"/>
        <v>6</v>
      </c>
      <c r="AI248" s="225">
        <f t="shared" si="95"/>
        <v>0.97380071698972803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411">
        <f>'2022'!Wh/'2022'!Env_an*'2023'!Env_an</f>
        <v>42.826713045929829</v>
      </c>
      <c r="C249" s="841"/>
      <c r="D249" s="393">
        <f t="shared" si="77"/>
        <v>44.648520981510607</v>
      </c>
      <c r="E249" s="385">
        <f t="shared" si="100"/>
        <v>47.787612354076415</v>
      </c>
      <c r="F249" s="385">
        <f t="shared" si="78"/>
        <v>47.788945320373237</v>
      </c>
      <c r="G249" s="110">
        <f t="shared" si="101"/>
        <v>0.86793862380701736</v>
      </c>
      <c r="H249" s="414" t="b">
        <f>Wh_hp&gt;='2022'!Maxi_hp</f>
        <v>0</v>
      </c>
      <c r="I249" s="390">
        <f>IF(H249,Wh_hp,'2022'!Maxi_hp)</f>
        <v>54.138140935976416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4.0803321040246976E-2</v>
      </c>
      <c r="M249" s="845"/>
      <c r="N249" s="845"/>
      <c r="O249" s="48">
        <f>IF(t&lt;Tnet,'2022'!Resal+('2022'!Salim-'2022'!Resal)*(1-EXP(('2022'!Tnet-t)/('2022'!Tau_j))),Resal+(Salim-Resal)*(1-EXP((Tnet-t)/(Tau_j))))*Salcycl</f>
        <v>6.5688391152650544E-2</v>
      </c>
      <c r="P249" s="169">
        <f>(INDEX(Models!$BJ249:$BT249,,T249)*(1-R249)+INDEX(Models!$BJ249:$BT249,,T249+1)*R249-ERP_i)*Q249*Ramure*Pc/MaxiM</f>
        <v>3.4378272796917395E-5</v>
      </c>
      <c r="Q249" s="305">
        <f t="shared" si="80"/>
        <v>0.5</v>
      </c>
      <c r="R249" s="177">
        <f t="shared" si="81"/>
        <v>0.97471349927411444</v>
      </c>
      <c r="S249" s="811">
        <f t="shared" si="82"/>
        <v>0</v>
      </c>
      <c r="T249" s="176">
        <f t="shared" si="83"/>
        <v>6</v>
      </c>
      <c r="U249" s="251">
        <f t="shared" si="84"/>
        <v>0.97471349927411444</v>
      </c>
      <c r="V249" s="383">
        <f t="shared" si="85"/>
        <v>49.342700175939243</v>
      </c>
      <c r="W249" s="402">
        <f t="shared" si="86"/>
        <v>42.826713045929829</v>
      </c>
      <c r="X249" s="157">
        <f t="shared" si="87"/>
        <v>45161</v>
      </c>
      <c r="Y249" s="385">
        <f t="shared" si="88"/>
        <v>41.692320834958032</v>
      </c>
      <c r="Z249" s="385">
        <f t="shared" si="89"/>
        <v>43.465872796988073</v>
      </c>
      <c r="AA249" s="386">
        <f t="shared" si="90"/>
        <v>47.787612354076415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9.0436398560090142E-2</v>
      </c>
      <c r="AD249" s="231">
        <f>(INDEX(Models!$BJ249:$BT249,,AH249)*(1-AF249)+INDEX(Models!$BJ249:$BT249,,AH249+1)*AF249-ERP_i)*AE249*Ramure*Pc/MaxiM</f>
        <v>3.4378272796917395E-5</v>
      </c>
      <c r="AE249" s="305">
        <f t="shared" si="92"/>
        <v>0.5</v>
      </c>
      <c r="AF249" s="177">
        <f t="shared" si="93"/>
        <v>0.97471349927411444</v>
      </c>
      <c r="AG249" s="811">
        <f t="shared" si="99"/>
        <v>0</v>
      </c>
      <c r="AH249" s="176">
        <f t="shared" si="94"/>
        <v>6</v>
      </c>
      <c r="AI249" s="225">
        <f t="shared" si="95"/>
        <v>0.97471349927411444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411">
        <f>'2022'!Wh/'2022'!Env_an*'2023'!Env_an</f>
        <v>44.249488537498983</v>
      </c>
      <c r="C250" s="841"/>
      <c r="D250" s="393">
        <f t="shared" si="77"/>
        <v>46.132830426475984</v>
      </c>
      <c r="E250" s="385">
        <f t="shared" si="100"/>
        <v>49.378428206338953</v>
      </c>
      <c r="F250" s="385">
        <f t="shared" si="78"/>
        <v>49.379702003416249</v>
      </c>
      <c r="G250" s="110">
        <f t="shared" si="101"/>
        <v>0.89966701723179976</v>
      </c>
      <c r="H250" s="414" t="b">
        <f>Wh_hp&gt;='2022'!Maxi_hp</f>
        <v>0</v>
      </c>
      <c r="I250" s="390">
        <f>IF(H250,Wh_hp,'2022'!Maxi_hp)</f>
        <v>54.480093410292213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4.0824329909229573E-2</v>
      </c>
      <c r="M250" s="845"/>
      <c r="N250" s="845"/>
      <c r="O250" s="48">
        <f>IF(t&lt;Tnet,'2022'!Resal+('2022'!Salim-'2022'!Resal)*(1-EXP(('2022'!Tnet-t)/('2022'!Tau_j))),Resal+(Salim-Resal)*(1-EXP((Tnet-t)/(Tau_j))))*Salcycl</f>
        <v>6.5729062219244905E-2</v>
      </c>
      <c r="P250" s="169">
        <f>(INDEX(Models!$BJ250:$BT250,,T250)*(1-R250)+INDEX(Models!$BJ250:$BT250,,T250+1)*R250-ERP_i)*Q250*Ramure*Pc/MaxiM</f>
        <v>3.0111809118932536E-5</v>
      </c>
      <c r="Q250" s="305">
        <f t="shared" si="80"/>
        <v>0.5</v>
      </c>
      <c r="R250" s="177">
        <f t="shared" si="81"/>
        <v>0.97559282082377863</v>
      </c>
      <c r="S250" s="811">
        <f t="shared" si="82"/>
        <v>0</v>
      </c>
      <c r="T250" s="176">
        <f t="shared" si="83"/>
        <v>6</v>
      </c>
      <c r="U250" s="251">
        <f t="shared" si="84"/>
        <v>0.97559282082377863</v>
      </c>
      <c r="V250" s="383">
        <f t="shared" si="85"/>
        <v>49.184083345458646</v>
      </c>
      <c r="W250" s="402">
        <f t="shared" si="86"/>
        <v>44.249488537498983</v>
      </c>
      <c r="X250" s="157">
        <f t="shared" si="87"/>
        <v>45162</v>
      </c>
      <c r="Y250" s="385">
        <f t="shared" si="88"/>
        <v>43.078512594186321</v>
      </c>
      <c r="Z250" s="385">
        <f t="shared" si="89"/>
        <v>44.912015533202208</v>
      </c>
      <c r="AA250" s="386">
        <f t="shared" si="90"/>
        <v>49.378428206338953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9.045271053328853E-2</v>
      </c>
      <c r="AD250" s="231">
        <f>(INDEX(Models!$BJ250:$BT250,,AH250)*(1-AF250)+INDEX(Models!$BJ250:$BT250,,AH250+1)*AF250-ERP_i)*AE250*Ramure*Pc/MaxiM</f>
        <v>3.0111809118932536E-5</v>
      </c>
      <c r="AE250" s="305">
        <f t="shared" si="92"/>
        <v>0.5</v>
      </c>
      <c r="AF250" s="177">
        <f t="shared" si="93"/>
        <v>0.97559282082377863</v>
      </c>
      <c r="AG250" s="811">
        <f t="shared" si="99"/>
        <v>0</v>
      </c>
      <c r="AH250" s="176">
        <f t="shared" si="94"/>
        <v>6</v>
      </c>
      <c r="AI250" s="225">
        <f t="shared" si="95"/>
        <v>0.97559282082377863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411">
        <f>'2022'!Wh/'2022'!Env_an*'2023'!Env_an</f>
        <v>31.575061573245943</v>
      </c>
      <c r="C251" s="841"/>
      <c r="D251" s="393">
        <f t="shared" si="77"/>
        <v>32.919676914124729</v>
      </c>
      <c r="E251" s="385">
        <f t="shared" si="100"/>
        <v>35.237208779440017</v>
      </c>
      <c r="F251" s="385">
        <f t="shared" si="78"/>
        <v>35.237663316750698</v>
      </c>
      <c r="G251" s="110">
        <f t="shared" si="101"/>
        <v>0.64406234747842628</v>
      </c>
      <c r="H251" s="414" t="b">
        <f>Wh_hp&gt;='2022'!Maxi_hp</f>
        <v>0</v>
      </c>
      <c r="I251" s="390">
        <f>IF(H251,Wh_hp,'2022'!Maxi_hp)</f>
        <v>50.04617729749566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4.0845338318064028E-2</v>
      </c>
      <c r="M251" s="845"/>
      <c r="N251" s="845"/>
      <c r="O251" s="48">
        <f>IF(t&lt;Tnet,'2022'!Resal+('2022'!Salim-'2022'!Resal)*(1-EXP(('2022'!Tnet-t)/('2022'!Tau_j))),Resal+(Salim-Resal)*(1-EXP((Tnet-t)/(Tau_j))))*Salcycl</f>
        <v>6.5769450691211012E-2</v>
      </c>
      <c r="P251" s="169">
        <f>(INDEX(Models!$BJ251:$BT251,,T251)*(1-R251)+INDEX(Models!$BJ251:$BT251,,T251+1)*R251-ERP_i)*Q251*Ramure*Pc/MaxiM</f>
        <v>2.624293954717462E-5</v>
      </c>
      <c r="Q251" s="305">
        <f t="shared" si="80"/>
        <v>0.5</v>
      </c>
      <c r="R251" s="177">
        <f t="shared" si="81"/>
        <v>0.9764397859917433</v>
      </c>
      <c r="S251" s="811">
        <f t="shared" si="82"/>
        <v>0</v>
      </c>
      <c r="T251" s="176">
        <f t="shared" si="83"/>
        <v>6</v>
      </c>
      <c r="U251" s="251">
        <f t="shared" si="84"/>
        <v>0.9764397859917433</v>
      </c>
      <c r="V251" s="383">
        <f t="shared" si="85"/>
        <v>49.024198296504046</v>
      </c>
      <c r="W251" s="402">
        <f t="shared" si="86"/>
        <v>31.575061573245943</v>
      </c>
      <c r="X251" s="157">
        <f t="shared" si="87"/>
        <v>45163</v>
      </c>
      <c r="Y251" s="385">
        <f t="shared" si="88"/>
        <v>30.740278822174883</v>
      </c>
      <c r="Z251" s="385">
        <f t="shared" si="89"/>
        <v>32.049345168452746</v>
      </c>
      <c r="AA251" s="386">
        <f t="shared" si="90"/>
        <v>35.237208779440017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9.0468675624708103E-2</v>
      </c>
      <c r="AD251" s="231">
        <f>(INDEX(Models!$BJ251:$BT251,,AH251)*(1-AF251)+INDEX(Models!$BJ251:$BT251,,AH251+1)*AF251-ERP_i)*AE251*Ramure*Pc/MaxiM</f>
        <v>2.624293954717462E-5</v>
      </c>
      <c r="AE251" s="305">
        <f t="shared" si="92"/>
        <v>0.5</v>
      </c>
      <c r="AF251" s="177">
        <f t="shared" si="93"/>
        <v>0.9764397859917433</v>
      </c>
      <c r="AG251" s="811">
        <f t="shared" si="99"/>
        <v>0</v>
      </c>
      <c r="AH251" s="176">
        <f t="shared" si="94"/>
        <v>6</v>
      </c>
      <c r="AI251" s="225">
        <f t="shared" si="95"/>
        <v>0.9764397859917433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411">
        <f>'2022'!Wh/'2022'!Env_an*'2023'!Env_an</f>
        <v>39.668501036308818</v>
      </c>
      <c r="C252" s="841"/>
      <c r="D252" s="393">
        <f t="shared" si="77"/>
        <v>41.358679139144954</v>
      </c>
      <c r="E252" s="385">
        <f t="shared" si="100"/>
        <v>44.272213442243263</v>
      </c>
      <c r="F252" s="385">
        <f t="shared" si="78"/>
        <v>44.272950746923563</v>
      </c>
      <c r="G252" s="110">
        <f t="shared" si="101"/>
        <v>0.8118381167331572</v>
      </c>
      <c r="H252" s="414" t="b">
        <f>Wh_hp&gt;='2022'!Maxi_hp</f>
        <v>0</v>
      </c>
      <c r="I252" s="390">
        <f>IF(H252,Wh_hp,'2022'!Maxi_hp)</f>
        <v>54.589001673677714</v>
      </c>
      <c r="J252" s="85">
        <f>IF(H252,An,'2022'!An_max)</f>
        <v>2018</v>
      </c>
      <c r="K252" s="197">
        <f t="shared" si="79"/>
        <v>45164</v>
      </c>
      <c r="L252" s="147">
        <f>IF(t&lt;Tvie,1-EXP((T0-t)*PertePVj)+'2022'!Pspv,1-EXP((T0-t)*PertePVj)+Pspv)</f>
        <v>4.0866346266760334E-2</v>
      </c>
      <c r="M252" s="845"/>
      <c r="N252" s="845"/>
      <c r="O252" s="48">
        <f>IF(t&lt;Tnet,'2022'!Resal+('2022'!Salim-'2022'!Resal)*(1-EXP(('2022'!Tnet-t)/('2022'!Tau_j))),Resal+(Salim-Resal)*(1-EXP((Tnet-t)/(Tau_j))))*Salcycl</f>
        <v>6.5809546814262029E-2</v>
      </c>
      <c r="P252" s="169">
        <f>(INDEX(Models!$BJ252:$BT252,,T252)*(1-R252)+INDEX(Models!$BJ252:$BT252,,T252+1)*R252-ERP_i)*Q252*Ramure*Pc/MaxiM</f>
        <v>2.2775594427291994E-5</v>
      </c>
      <c r="Q252" s="305">
        <f t="shared" si="80"/>
        <v>0.5</v>
      </c>
      <c r="R252" s="177">
        <f t="shared" si="81"/>
        <v>0.97725547199314688</v>
      </c>
      <c r="S252" s="811">
        <f t="shared" si="82"/>
        <v>0</v>
      </c>
      <c r="T252" s="176">
        <f t="shared" si="83"/>
        <v>6</v>
      </c>
      <c r="U252" s="251">
        <f t="shared" si="84"/>
        <v>0.97725547199314688</v>
      </c>
      <c r="V252" s="383">
        <f t="shared" si="85"/>
        <v>48.862276068221355</v>
      </c>
      <c r="W252" s="402">
        <f t="shared" si="86"/>
        <v>39.668501036308818</v>
      </c>
      <c r="X252" s="157">
        <f t="shared" si="87"/>
        <v>45164</v>
      </c>
      <c r="Y252" s="385">
        <f t="shared" si="88"/>
        <v>38.62073855110021</v>
      </c>
      <c r="Z252" s="385">
        <f t="shared" si="89"/>
        <v>40.266274049269938</v>
      </c>
      <c r="AA252" s="386">
        <f t="shared" si="90"/>
        <v>44.272213442243263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9.0484280805146575E-2</v>
      </c>
      <c r="AD252" s="231">
        <f>(INDEX(Models!$BJ252:$BT252,,AH252)*(1-AF252)+INDEX(Models!$BJ252:$BT252,,AH252+1)*AF252-ERP_i)*AE252*Ramure*Pc/MaxiM</f>
        <v>2.2775594427291994E-5</v>
      </c>
      <c r="AE252" s="305">
        <f t="shared" si="92"/>
        <v>0.5</v>
      </c>
      <c r="AF252" s="177">
        <f t="shared" si="93"/>
        <v>0.97725547199314688</v>
      </c>
      <c r="AG252" s="811">
        <f t="shared" si="99"/>
        <v>0</v>
      </c>
      <c r="AH252" s="176">
        <f t="shared" si="94"/>
        <v>6</v>
      </c>
      <c r="AI252" s="225">
        <f t="shared" si="95"/>
        <v>0.97725547199314688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411">
        <f>'2022'!Wh/'2022'!Env_an*'2023'!Env_an</f>
        <v>46.738733873719795</v>
      </c>
      <c r="C253" s="841"/>
      <c r="D253" s="393">
        <f t="shared" si="77"/>
        <v>48.731224696829479</v>
      </c>
      <c r="E253" s="385">
        <f t="shared" si="100"/>
        <v>52.166344048235395</v>
      </c>
      <c r="F253" s="385">
        <f t="shared" si="78"/>
        <v>52.167313355742678</v>
      </c>
      <c r="G253" s="110">
        <f t="shared" si="101"/>
        <v>0.95977483326768598</v>
      </c>
      <c r="H253" s="414" t="b">
        <f>Wh_hp&gt;='2022'!Maxi_hp</f>
        <v>0</v>
      </c>
      <c r="I253" s="390">
        <f>IF(H253,Wh_hp,'2022'!Maxi_hp)</f>
        <v>52.167327430527344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4.0887353755328815E-2</v>
      </c>
      <c r="M253" s="845"/>
      <c r="N253" s="845"/>
      <c r="O253" s="48">
        <f>IF(t&lt;Tnet,'2022'!Resal+('2022'!Salim-'2022'!Resal)*(1-EXP(('2022'!Tnet-t)/('2022'!Tau_j))),Resal+(Salim-Resal)*(1-EXP((Tnet-t)/(Tau_j))))*Salcycl</f>
        <v>6.5849340491057728E-2</v>
      </c>
      <c r="P253" s="169">
        <f>(INDEX(Models!$BJ253:$BT253,,T253)*(1-R253)+INDEX(Models!$BJ253:$BT253,,T253+1)*R253-ERP_i)*Q253*Ramure*Pc/MaxiM</f>
        <v>1.9713542985163718E-5</v>
      </c>
      <c r="Q253" s="305">
        <f t="shared" si="80"/>
        <v>0.5</v>
      </c>
      <c r="R253" s="177">
        <f t="shared" si="81"/>
        <v>0.97804092882839411</v>
      </c>
      <c r="S253" s="811">
        <f t="shared" si="82"/>
        <v>0</v>
      </c>
      <c r="T253" s="176">
        <f t="shared" si="83"/>
        <v>6</v>
      </c>
      <c r="U253" s="251">
        <f t="shared" si="84"/>
        <v>0.97804092882839411</v>
      </c>
      <c r="V253" s="383">
        <f t="shared" si="85"/>
        <v>48.697547911345779</v>
      </c>
      <c r="W253" s="402">
        <f t="shared" si="86"/>
        <v>46.738733873719795</v>
      </c>
      <c r="X253" s="157">
        <f t="shared" si="87"/>
        <v>45165</v>
      </c>
      <c r="Y253" s="385">
        <f t="shared" si="88"/>
        <v>45.505401945721772</v>
      </c>
      <c r="Z253" s="385">
        <f t="shared" si="89"/>
        <v>47.44531533797884</v>
      </c>
      <c r="AA253" s="386">
        <f t="shared" si="90"/>
        <v>52.166344048235395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9.0499512595539996E-2</v>
      </c>
      <c r="AD253" s="231">
        <f>(INDEX(Models!$BJ253:$BT253,,AH253)*(1-AF253)+INDEX(Models!$BJ253:$BT253,,AH253+1)*AF253-ERP_i)*AE253*Ramure*Pc/MaxiM</f>
        <v>1.9713542985163718E-5</v>
      </c>
      <c r="AE253" s="305">
        <f t="shared" si="92"/>
        <v>0.5</v>
      </c>
      <c r="AF253" s="177">
        <f t="shared" si="93"/>
        <v>0.97804092882839411</v>
      </c>
      <c r="AG253" s="811">
        <f t="shared" si="99"/>
        <v>0</v>
      </c>
      <c r="AH253" s="176">
        <f t="shared" si="94"/>
        <v>6</v>
      </c>
      <c r="AI253" s="225">
        <f t="shared" si="95"/>
        <v>0.97804092882839411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411">
        <f>'2022'!Wh/'2022'!Env_an*'2023'!Env_an</f>
        <v>45.870746641008246</v>
      </c>
      <c r="C254" s="841"/>
      <c r="D254" s="393">
        <f t="shared" si="77"/>
        <v>47.827282363230978</v>
      </c>
      <c r="E254" s="385">
        <f t="shared" si="100"/>
        <v>51.200845737025887</v>
      </c>
      <c r="F254" s="385">
        <f t="shared" si="78"/>
        <v>51.201656087395051</v>
      </c>
      <c r="G254" s="110">
        <f t="shared" si="101"/>
        <v>0.94521746164639675</v>
      </c>
      <c r="H254" s="414" t="b">
        <f>Wh_hp&gt;='2022'!Maxi_hp</f>
        <v>0</v>
      </c>
      <c r="I254" s="390">
        <f>IF(H254,Wh_hp,'2022'!Maxi_hp)</f>
        <v>54.458266820267049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4.0908360783779241E-2</v>
      </c>
      <c r="M254" s="845"/>
      <c r="N254" s="845"/>
      <c r="O254" s="48">
        <f>IF(t&lt;Tnet,'2022'!Resal+('2022'!Salim-'2022'!Resal)*(1-EXP(('2022'!Tnet-t)/('2022'!Tau_j))),Resal+(Salim-Resal)*(1-EXP((Tnet-t)/(Tau_j))))*Salcycl</f>
        <v>6.5888821273030501E-2</v>
      </c>
      <c r="P254" s="169">
        <f>(INDEX(Models!$BJ254:$BT254,,T254)*(1-R254)+INDEX(Models!$BJ254:$BT254,,T254+1)*R254-ERP_i)*Q254*Ramure*Pc/MaxiM</f>
        <v>1.7170379692152045E-5</v>
      </c>
      <c r="Q254" s="305">
        <f t="shared" si="80"/>
        <v>0.5</v>
      </c>
      <c r="R254" s="177">
        <f t="shared" si="81"/>
        <v>0.978797179280954</v>
      </c>
      <c r="S254" s="811">
        <f t="shared" si="82"/>
        <v>0</v>
      </c>
      <c r="T254" s="176">
        <f t="shared" si="83"/>
        <v>6</v>
      </c>
      <c r="U254" s="251">
        <f t="shared" si="84"/>
        <v>0.978797179280954</v>
      </c>
      <c r="V254" s="383">
        <f t="shared" si="85"/>
        <v>48.529239950732972</v>
      </c>
      <c r="W254" s="402">
        <f t="shared" si="86"/>
        <v>45.870746641008246</v>
      </c>
      <c r="X254" s="157">
        <f t="shared" si="87"/>
        <v>45166</v>
      </c>
      <c r="Y254" s="385">
        <f t="shared" si="88"/>
        <v>44.661477617626815</v>
      </c>
      <c r="Z254" s="385">
        <f t="shared" si="89"/>
        <v>46.566434104382999</v>
      </c>
      <c r="AA254" s="386">
        <f t="shared" si="90"/>
        <v>51.200845737025887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9.0514357056635825E-2</v>
      </c>
      <c r="AD254" s="231">
        <f>(INDEX(Models!$BJ254:$BT254,,AH254)*(1-AF254)+INDEX(Models!$BJ254:$BT254,,AH254+1)*AF254-ERP_i)*AE254*Ramure*Pc/MaxiM</f>
        <v>1.7170379692152045E-5</v>
      </c>
      <c r="AE254" s="305">
        <f t="shared" si="92"/>
        <v>0.5</v>
      </c>
      <c r="AF254" s="177">
        <f t="shared" si="93"/>
        <v>0.978797179280954</v>
      </c>
      <c r="AG254" s="811">
        <f t="shared" si="99"/>
        <v>0</v>
      </c>
      <c r="AH254" s="176">
        <f t="shared" si="94"/>
        <v>6</v>
      </c>
      <c r="AI254" s="225">
        <f t="shared" si="95"/>
        <v>0.978797179280954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411">
        <f>'2022'!Wh/'2022'!Env_an*'2023'!Env_an</f>
        <v>30.927896804633111</v>
      </c>
      <c r="C255" s="841"/>
      <c r="D255" s="393">
        <f t="shared" si="77"/>
        <v>32.247777954836266</v>
      </c>
      <c r="E255" s="385">
        <f t="shared" si="100"/>
        <v>34.523866690441459</v>
      </c>
      <c r="F255" s="385">
        <f t="shared" si="78"/>
        <v>34.524115972814464</v>
      </c>
      <c r="G255" s="110">
        <f t="shared" si="101"/>
        <v>0.63957478110883115</v>
      </c>
      <c r="H255" s="414" t="b">
        <f>Wh_hp&gt;='2022'!Maxi_hp</f>
        <v>0</v>
      </c>
      <c r="I255" s="390">
        <f>IF(H255,Wh_hp,'2022'!Maxi_hp)</f>
        <v>53.843045701686705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4.0929367352121937E-2</v>
      </c>
      <c r="M255" s="845"/>
      <c r="N255" s="845"/>
      <c r="O255" s="48">
        <f>IF(t&lt;Tnet,'2022'!Resal+('2022'!Salim-'2022'!Resal)*(1-EXP(('2022'!Tnet-t)/('2022'!Tau_j))),Resal+(Salim-Resal)*(1-EXP((Tnet-t)/(Tau_j))))*Salcycl</f>
        <v>6.5927978346509264E-2</v>
      </c>
      <c r="P255" s="169">
        <f>(INDEX(Models!$BJ255:$BT255,,T255)*(1-R255)+INDEX(Models!$BJ255:$BT255,,T255+1)*R255-ERP_i)*Q255*Ramure*Pc/MaxiM</f>
        <v>1.4884194798540884E-5</v>
      </c>
      <c r="Q255" s="305">
        <f t="shared" si="80"/>
        <v>0.5</v>
      </c>
      <c r="R255" s="177">
        <f t="shared" si="81"/>
        <v>0.97952521898324862</v>
      </c>
      <c r="S255" s="811">
        <f t="shared" si="82"/>
        <v>0</v>
      </c>
      <c r="T255" s="176">
        <f t="shared" si="83"/>
        <v>6</v>
      </c>
      <c r="U255" s="251">
        <f t="shared" si="84"/>
        <v>0.97952521898324862</v>
      </c>
      <c r="V255" s="383">
        <f t="shared" si="85"/>
        <v>48.356596750470111</v>
      </c>
      <c r="W255" s="402">
        <f t="shared" si="86"/>
        <v>30.927896804633111</v>
      </c>
      <c r="X255" s="157">
        <f t="shared" si="87"/>
        <v>45167</v>
      </c>
      <c r="Y255" s="385">
        <f t="shared" si="88"/>
        <v>30.113343270554807</v>
      </c>
      <c r="Z255" s="385">
        <f t="shared" si="89"/>
        <v>31.398462475506633</v>
      </c>
      <c r="AA255" s="386">
        <f t="shared" si="90"/>
        <v>34.523866690441459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9.0528799770859578E-2</v>
      </c>
      <c r="AD255" s="231">
        <f>(INDEX(Models!$BJ255:$BT255,,AH255)*(1-AF255)+INDEX(Models!$BJ255:$BT255,,AH255+1)*AF255-ERP_i)*AE255*Ramure*Pc/MaxiM</f>
        <v>1.4884194798540884E-5</v>
      </c>
      <c r="AE255" s="305">
        <f t="shared" si="92"/>
        <v>0.5</v>
      </c>
      <c r="AF255" s="177">
        <f t="shared" si="93"/>
        <v>0.97952521898324862</v>
      </c>
      <c r="AG255" s="811">
        <f t="shared" si="99"/>
        <v>0</v>
      </c>
      <c r="AH255" s="176">
        <f t="shared" si="94"/>
        <v>6</v>
      </c>
      <c r="AI255" s="225">
        <f t="shared" si="95"/>
        <v>0.97952521898324862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411">
        <f>'2022'!Wh/'2022'!Env_an*'2023'!Env_an</f>
        <v>44.90901993151639</v>
      </c>
      <c r="C256" s="841"/>
      <c r="D256" s="393">
        <f t="shared" si="77"/>
        <v>46.826586121047306</v>
      </c>
      <c r="E256" s="385">
        <f t="shared" si="100"/>
        <v>50.133749150246878</v>
      </c>
      <c r="F256" s="385">
        <f t="shared" si="78"/>
        <v>50.134331245039284</v>
      </c>
      <c r="G256" s="110">
        <f t="shared" si="101"/>
        <v>0.93213025621252343</v>
      </c>
      <c r="H256" s="414" t="b">
        <f>Wh_hp&gt;='2022'!Maxi_hp</f>
        <v>0</v>
      </c>
      <c r="I256" s="390">
        <f>IF(H256,Wh_hp,'2022'!Maxi_hp)</f>
        <v>52.67575781397985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4.0950373460366785E-2</v>
      </c>
      <c r="M256" s="845"/>
      <c r="N256" s="845"/>
      <c r="O256" s="48">
        <f>IF(t&lt;Tnet,'2022'!Resal+('2022'!Salim-'2022'!Resal)*(1-EXP(('2022'!Tnet-t)/('2022'!Tau_j))),Resal+(Salim-Resal)*(1-EXP((Tnet-t)/(Tau_j))))*Salcycl</f>
        <v>6.5966800513727109E-2</v>
      </c>
      <c r="P256" s="169">
        <f>(INDEX(Models!$BJ256:$BT256,,T256)*(1-R256)+INDEX(Models!$BJ256:$BT256,,T256+1)*R256-ERP_i)*Q256*Ramure*Pc/MaxiM</f>
        <v>1.2857281474207837E-5</v>
      </c>
      <c r="Q256" s="305">
        <f t="shared" si="80"/>
        <v>0.5</v>
      </c>
      <c r="R256" s="177">
        <f t="shared" si="81"/>
        <v>0.98022601654442321</v>
      </c>
      <c r="S256" s="811">
        <f t="shared" si="82"/>
        <v>0</v>
      </c>
      <c r="T256" s="176">
        <f t="shared" si="83"/>
        <v>6</v>
      </c>
      <c r="U256" s="251">
        <f t="shared" si="84"/>
        <v>0.98022601654442321</v>
      </c>
      <c r="V256" s="383">
        <f t="shared" si="85"/>
        <v>48.178850164880679</v>
      </c>
      <c r="W256" s="402">
        <f t="shared" si="86"/>
        <v>44.90901993151639</v>
      </c>
      <c r="X256" s="157">
        <f t="shared" si="87"/>
        <v>45168</v>
      </c>
      <c r="Y256" s="385">
        <f t="shared" si="88"/>
        <v>43.727386119358286</v>
      </c>
      <c r="Z256" s="385">
        <f t="shared" si="89"/>
        <v>45.594497833372785</v>
      </c>
      <c r="AA256" s="386">
        <f t="shared" si="90"/>
        <v>50.133749150246878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9.0542825817201883E-2</v>
      </c>
      <c r="AD256" s="231">
        <f>(INDEX(Models!$BJ256:$BT256,,AH256)*(1-AF256)+INDEX(Models!$BJ256:$BT256,,AH256+1)*AF256-ERP_i)*AE256*Ramure*Pc/MaxiM</f>
        <v>1.2857281474207837E-5</v>
      </c>
      <c r="AE256" s="305">
        <f t="shared" si="92"/>
        <v>0.5</v>
      </c>
      <c r="AF256" s="177">
        <f t="shared" si="93"/>
        <v>0.98022601654442321</v>
      </c>
      <c r="AG256" s="811">
        <f t="shared" si="99"/>
        <v>0</v>
      </c>
      <c r="AH256" s="176">
        <f t="shared" si="94"/>
        <v>6</v>
      </c>
      <c r="AI256" s="225">
        <f t="shared" si="95"/>
        <v>0.98022601654442321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411">
        <f>'2022'!Wh/'2022'!Env_an*'2023'!Env_an</f>
        <v>21.136834406858991</v>
      </c>
      <c r="C257" s="841"/>
      <c r="D257" s="393">
        <f t="shared" si="77"/>
        <v>22.039836920832464</v>
      </c>
      <c r="E257" s="385">
        <f t="shared" si="100"/>
        <v>23.597389105625961</v>
      </c>
      <c r="F257" s="385">
        <f t="shared" si="78"/>
        <v>23.59744160135779</v>
      </c>
      <c r="G257" s="110">
        <f t="shared" si="101"/>
        <v>0.44039055524980547</v>
      </c>
      <c r="H257" s="414" t="b">
        <f>Wh_hp&gt;='2022'!Maxi_hp</f>
        <v>0</v>
      </c>
      <c r="I257" s="390">
        <f>IF(H257,Wh_hp,'2022'!Maxi_hp)</f>
        <v>52.060228799144411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4.0971379108523998E-2</v>
      </c>
      <c r="M257" s="845"/>
      <c r="N257" s="845"/>
      <c r="O257" s="48">
        <f>IF(t&lt;Tnet,'2022'!Resal+('2022'!Salim-'2022'!Resal)*(1-EXP(('2022'!Tnet-t)/('2022'!Tau_j))),Resal+(Salim-Resal)*(1-EXP((Tnet-t)/(Tau_j))))*Salcycl</f>
        <v>6.6005276169394236E-2</v>
      </c>
      <c r="P257" s="169">
        <f>(INDEX(Models!$BJ257:$BT257,,T257)*(1-R257)+INDEX(Models!$BJ257:$BT257,,T257+1)*R257-ERP_i)*Q257*Ramure*Pc/MaxiM</f>
        <v>1.1091930574793942E-5</v>
      </c>
      <c r="Q257" s="305">
        <f t="shared" si="80"/>
        <v>0.5</v>
      </c>
      <c r="R257" s="177">
        <f t="shared" si="81"/>
        <v>0.98090051373412346</v>
      </c>
      <c r="S257" s="811">
        <f t="shared" si="82"/>
        <v>0</v>
      </c>
      <c r="T257" s="176">
        <f t="shared" si="83"/>
        <v>6</v>
      </c>
      <c r="U257" s="251">
        <f t="shared" si="84"/>
        <v>0.98090051373412346</v>
      </c>
      <c r="V257" s="383">
        <f t="shared" si="85"/>
        <v>47.995232249991837</v>
      </c>
      <c r="W257" s="402">
        <f t="shared" si="86"/>
        <v>21.136834406858991</v>
      </c>
      <c r="X257" s="157">
        <f t="shared" si="87"/>
        <v>45169</v>
      </c>
      <c r="Y257" s="385">
        <f t="shared" si="88"/>
        <v>20.581227996124294</v>
      </c>
      <c r="Z257" s="385">
        <f t="shared" si="89"/>
        <v>21.460494033006835</v>
      </c>
      <c r="AA257" s="386">
        <f t="shared" si="90"/>
        <v>23.597389105625961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9.055641974008298E-2</v>
      </c>
      <c r="AD257" s="231">
        <f>(INDEX(Models!$BJ257:$BT257,,AH257)*(1-AF257)+INDEX(Models!$BJ257:$BT257,,AH257+1)*AF257-ERP_i)*AE257*Ramure*Pc/MaxiM</f>
        <v>1.1091930574793942E-5</v>
      </c>
      <c r="AE257" s="305">
        <f t="shared" si="92"/>
        <v>0.5</v>
      </c>
      <c r="AF257" s="177">
        <f t="shared" si="93"/>
        <v>0.98090051373412346</v>
      </c>
      <c r="AG257" s="811">
        <f t="shared" si="99"/>
        <v>0</v>
      </c>
      <c r="AH257" s="176">
        <f t="shared" si="94"/>
        <v>6</v>
      </c>
      <c r="AI257" s="225">
        <f t="shared" si="95"/>
        <v>0.98090051373412346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411">
        <f>'2022'!Wh/'2022'!Env_an*'2023'!Env_an</f>
        <v>40.746463806427762</v>
      </c>
      <c r="C258" s="841"/>
      <c r="D258" s="393">
        <f t="shared" si="77"/>
        <v>42.488154566469994</v>
      </c>
      <c r="E258" s="385">
        <f t="shared" si="100"/>
        <v>45.492643084773462</v>
      </c>
      <c r="F258" s="385">
        <f t="shared" si="78"/>
        <v>45.492987354682711</v>
      </c>
      <c r="G258" s="110">
        <f t="shared" si="101"/>
        <v>0.85234604051778973</v>
      </c>
      <c r="H258" s="414" t="b">
        <f>Wh_hp&gt;='2022'!Maxi_hp</f>
        <v>0</v>
      </c>
      <c r="I258" s="390">
        <f>IF(H258,Wh_hp,'2022'!Maxi_hp)</f>
        <v>53.475031417285187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4.0992384296603568E-2</v>
      </c>
      <c r="M258" s="845"/>
      <c r="N258" s="845"/>
      <c r="O258" s="48">
        <f>IF(t&lt;Tnet,'2022'!Resal+('2022'!Salim-'2022'!Resal)*(1-EXP(('2022'!Tnet-t)/('2022'!Tau_j))),Resal+(Salim-Resal)*(1-EXP((Tnet-t)/(Tau_j))))*Salcycl</f>
        <v>6.6043393273605644E-2</v>
      </c>
      <c r="P258" s="169">
        <f>(INDEX(Models!$BJ258:$BT258,,T258)*(1-R258)+INDEX(Models!$BJ258:$BT258,,T258+1)*R258-ERP_i)*Q258*Ramure*Pc/MaxiM</f>
        <v>9.5904734623957435E-6</v>
      </c>
      <c r="Q258" s="305">
        <f t="shared" si="80"/>
        <v>0.5</v>
      </c>
      <c r="R258" s="177">
        <f t="shared" si="81"/>
        <v>0.98154962571674487</v>
      </c>
      <c r="S258" s="811">
        <f t="shared" si="82"/>
        <v>0</v>
      </c>
      <c r="T258" s="176">
        <f t="shared" si="83"/>
        <v>6</v>
      </c>
      <c r="U258" s="251">
        <f t="shared" si="84"/>
        <v>0.98154962571674487</v>
      </c>
      <c r="V258" s="383">
        <f t="shared" si="85"/>
        <v>47.804975258151373</v>
      </c>
      <c r="W258" s="402">
        <f t="shared" si="86"/>
        <v>40.746463806427762</v>
      </c>
      <c r="X258" s="157">
        <f t="shared" si="87"/>
        <v>45170</v>
      </c>
      <c r="Y258" s="385">
        <f t="shared" si="88"/>
        <v>39.676441085590227</v>
      </c>
      <c r="Z258" s="385">
        <f t="shared" si="89"/>
        <v>41.372394166535408</v>
      </c>
      <c r="AA258" s="386">
        <f t="shared" si="90"/>
        <v>45.492643084773462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9.0569565513266767E-2</v>
      </c>
      <c r="AD258" s="231">
        <f>(INDEX(Models!$BJ258:$BT258,,AH258)*(1-AF258)+INDEX(Models!$BJ258:$BT258,,AH258+1)*AF258-ERP_i)*AE258*Ramure*Pc/MaxiM</f>
        <v>9.5904734623957435E-6</v>
      </c>
      <c r="AE258" s="305">
        <f t="shared" si="92"/>
        <v>0.5</v>
      </c>
      <c r="AF258" s="177">
        <f t="shared" si="93"/>
        <v>0.98154962571674487</v>
      </c>
      <c r="AG258" s="811">
        <f t="shared" si="99"/>
        <v>0</v>
      </c>
      <c r="AH258" s="176">
        <f t="shared" si="94"/>
        <v>6</v>
      </c>
      <c r="AI258" s="225">
        <f t="shared" si="95"/>
        <v>0.98154962571674487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411">
        <f>'2022'!Wh/'2022'!Env_an*'2023'!Env_an</f>
        <v>37.376124629410008</v>
      </c>
      <c r="C259" s="841"/>
      <c r="D259" s="393">
        <f t="shared" si="77"/>
        <v>38.974605277747088</v>
      </c>
      <c r="E259" s="385">
        <f t="shared" si="100"/>
        <v>41.732324850415488</v>
      </c>
      <c r="F259" s="385">
        <f t="shared" si="78"/>
        <v>41.732566488108738</v>
      </c>
      <c r="G259" s="110">
        <f t="shared" si="101"/>
        <v>0.78509009363193882</v>
      </c>
      <c r="H259" s="414" t="b">
        <f>Wh_hp&gt;='2022'!Maxi_hp</f>
        <v>0</v>
      </c>
      <c r="I259" s="390">
        <f>IF(H259,Wh_hp,'2022'!Maxi_hp)</f>
        <v>51.427835350869806</v>
      </c>
      <c r="J259" s="85">
        <f>IF(H259,An,'2022'!An_max)</f>
        <v>2019</v>
      </c>
      <c r="K259" s="197">
        <f t="shared" si="79"/>
        <v>45171</v>
      </c>
      <c r="L259" s="147">
        <f>IF(t&lt;Tvie,1-EXP((T0-t)*PertePVj)+'2022'!Pspv,1-EXP((T0-t)*PertePVj)+Pspv)</f>
        <v>4.1013389024615599E-2</v>
      </c>
      <c r="M259" s="845"/>
      <c r="N259" s="845"/>
      <c r="O259" s="48">
        <f>IF(t&lt;Tnet,'2022'!Resal+('2022'!Salim-'2022'!Resal)*(1-EXP(('2022'!Tnet-t)/('2022'!Tau_j))),Resal+(Salim-Resal)*(1-EXP((Tnet-t)/(Tau_j))))*Salcycl</f>
        <v>6.6081139321931298E-2</v>
      </c>
      <c r="P259" s="169">
        <f>(INDEX(Models!$BJ259:$BT259,,T259)*(1-R259)+INDEX(Models!$BJ259:$BT259,,T259+1)*R259-ERP_i)*Q259*Ramure*Pc/MaxiM</f>
        <v>8.3553263666515407E-6</v>
      </c>
      <c r="Q259" s="305">
        <f t="shared" si="80"/>
        <v>0.5</v>
      </c>
      <c r="R259" s="177">
        <f t="shared" si="81"/>
        <v>0.98217424133095155</v>
      </c>
      <c r="S259" s="811">
        <f t="shared" si="82"/>
        <v>0</v>
      </c>
      <c r="T259" s="176">
        <f t="shared" si="83"/>
        <v>6</v>
      </c>
      <c r="U259" s="251">
        <f t="shared" si="84"/>
        <v>0.98217424133095155</v>
      </c>
      <c r="V259" s="383">
        <f t="shared" si="85"/>
        <v>47.607311639206991</v>
      </c>
      <c r="W259" s="402">
        <f t="shared" si="86"/>
        <v>37.376124629410008</v>
      </c>
      <c r="X259" s="157">
        <f t="shared" si="87"/>
        <v>45171</v>
      </c>
      <c r="Y259" s="385">
        <f t="shared" si="88"/>
        <v>36.395572170301072</v>
      </c>
      <c r="Z259" s="385">
        <f t="shared" si="89"/>
        <v>37.952117113797001</v>
      </c>
      <c r="AA259" s="386">
        <f t="shared" si="90"/>
        <v>41.732324850415488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9.0582246500001781E-2</v>
      </c>
      <c r="AD259" s="231">
        <f>(INDEX(Models!$BJ259:$BT259,,AH259)*(1-AF259)+INDEX(Models!$BJ259:$BT259,,AH259+1)*AF259-ERP_i)*AE259*Ramure*Pc/MaxiM</f>
        <v>8.3553263666515407E-6</v>
      </c>
      <c r="AE259" s="305">
        <f t="shared" si="92"/>
        <v>0.5</v>
      </c>
      <c r="AF259" s="177">
        <f t="shared" si="93"/>
        <v>0.98217424133095155</v>
      </c>
      <c r="AG259" s="811">
        <f t="shared" si="99"/>
        <v>0</v>
      </c>
      <c r="AH259" s="176">
        <f t="shared" si="94"/>
        <v>6</v>
      </c>
      <c r="AI259" s="225">
        <f t="shared" si="95"/>
        <v>0.98217424133095155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411">
        <f>'2022'!Wh/'2022'!Env_an*'2023'!Env_an</f>
        <v>31.20841442563205</v>
      </c>
      <c r="C260" s="841"/>
      <c r="D260" s="393">
        <f t="shared" si="77"/>
        <v>32.543830776981565</v>
      </c>
      <c r="E260" s="385">
        <f t="shared" si="100"/>
        <v>34.847923235183444</v>
      </c>
      <c r="F260" s="385">
        <f t="shared" si="78"/>
        <v>34.848055066324072</v>
      </c>
      <c r="G260" s="110">
        <f t="shared" si="101"/>
        <v>0.65838251921991142</v>
      </c>
      <c r="H260" s="414" t="b">
        <f>Wh_hp&gt;='2022'!Maxi_hp</f>
        <v>0</v>
      </c>
      <c r="I260" s="390">
        <f>IF(H260,Wh_hp,'2022'!Maxi_hp)</f>
        <v>54.150203084511908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4.1034393292570304E-2</v>
      </c>
      <c r="M260" s="845"/>
      <c r="N260" s="845"/>
      <c r="O260" s="48">
        <f>IF(t&lt;Tnet,'2022'!Resal+('2022'!Salim-'2022'!Resal)*(1-EXP(('2022'!Tnet-t)/('2022'!Tau_j))),Resal+(Salim-Resal)*(1-EXP((Tnet-t)/(Tau_j))))*Salcycl</f>
        <v>6.6118501313604944E-2</v>
      </c>
      <c r="P260" s="169">
        <f>(INDEX(Models!$BJ260:$BT260,,T260)*(1-R260)+INDEX(Models!$BJ260:$BT260,,T260+1)*R260-ERP_i)*Q260*Ramure*Pc/MaxiM</f>
        <v>7.389036474057034E-6</v>
      </c>
      <c r="Q260" s="305">
        <f t="shared" si="80"/>
        <v>0.5</v>
      </c>
      <c r="R260" s="177">
        <f t="shared" si="81"/>
        <v>0.98277522340957701</v>
      </c>
      <c r="S260" s="811">
        <f t="shared" si="82"/>
        <v>0</v>
      </c>
      <c r="T260" s="176">
        <f t="shared" si="83"/>
        <v>6</v>
      </c>
      <c r="U260" s="251">
        <f t="shared" si="84"/>
        <v>0.98277522340957701</v>
      </c>
      <c r="V260" s="383">
        <f t="shared" si="85"/>
        <v>47.40147403116385</v>
      </c>
      <c r="W260" s="402">
        <f t="shared" si="86"/>
        <v>31.20841442563205</v>
      </c>
      <c r="X260" s="157">
        <f t="shared" si="87"/>
        <v>45172</v>
      </c>
      <c r="Y260" s="385">
        <f t="shared" si="88"/>
        <v>30.39047830856175</v>
      </c>
      <c r="Z260" s="385">
        <f t="shared" si="89"/>
        <v>31.690894955978923</v>
      </c>
      <c r="AA260" s="386">
        <f t="shared" si="90"/>
        <v>34.847923235183444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9.0594445410654992E-2</v>
      </c>
      <c r="AD260" s="231">
        <f>(INDEX(Models!$BJ260:$BT260,,AH260)*(1-AF260)+INDEX(Models!$BJ260:$BT260,,AH260+1)*AF260-ERP_i)*AE260*Ramure*Pc/MaxiM</f>
        <v>7.389036474057034E-6</v>
      </c>
      <c r="AE260" s="305">
        <f t="shared" si="92"/>
        <v>0.5</v>
      </c>
      <c r="AF260" s="177">
        <f t="shared" si="93"/>
        <v>0.98277522340957701</v>
      </c>
      <c r="AG260" s="811">
        <f t="shared" si="99"/>
        <v>0</v>
      </c>
      <c r="AH260" s="176">
        <f t="shared" si="94"/>
        <v>6</v>
      </c>
      <c r="AI260" s="225">
        <f t="shared" si="95"/>
        <v>0.98277522340957701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411">
        <f>'2022'!Wh/'2022'!Env_an*'2023'!Env_an</f>
        <v>45.265521270568257</v>
      </c>
      <c r="C261" s="841"/>
      <c r="D261" s="393">
        <f t="shared" si="77"/>
        <v>47.203478838819997</v>
      </c>
      <c r="E261" s="385">
        <f t="shared" si="100"/>
        <v>50.547470275823535</v>
      </c>
      <c r="F261" s="385">
        <f t="shared" si="78"/>
        <v>50.547788959827265</v>
      </c>
      <c r="G261" s="110">
        <f t="shared" si="101"/>
        <v>0.95926315982173394</v>
      </c>
      <c r="H261" s="414" t="b">
        <f>Wh_hp&gt;='2022'!Maxi_hp</f>
        <v>0</v>
      </c>
      <c r="I261" s="390">
        <f>IF(H261,Wh_hp,'2022'!Maxi_hp)</f>
        <v>53.283178554064911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4.1055397100477453E-2</v>
      </c>
      <c r="M261" s="845"/>
      <c r="N261" s="845"/>
      <c r="O261" s="48">
        <f>IF(t&lt;Tnet,'2022'!Resal+('2022'!Salim-'2022'!Resal)*(1-EXP(('2022'!Tnet-t)/('2022'!Tau_j))),Resal+(Salim-Resal)*(1-EXP((Tnet-t)/(Tau_j))))*Salcycl</f>
        <v>6.6155465718784889E-2</v>
      </c>
      <c r="P261" s="169">
        <f>(INDEX(Models!$BJ261:$BT261,,T261)*(1-R261)+INDEX(Models!$BJ261:$BT261,,T261+1)*R261-ERP_i)*Q261*Ramure*Pc/MaxiM</f>
        <v>6.6941753960352267E-6</v>
      </c>
      <c r="Q261" s="305">
        <f t="shared" si="80"/>
        <v>0.5</v>
      </c>
      <c r="R261" s="177">
        <f t="shared" si="81"/>
        <v>0.98335340913534131</v>
      </c>
      <c r="S261" s="811">
        <f t="shared" si="82"/>
        <v>0</v>
      </c>
      <c r="T261" s="176">
        <f t="shared" si="83"/>
        <v>6</v>
      </c>
      <c r="U261" s="251">
        <f t="shared" si="84"/>
        <v>0.98335340913534131</v>
      </c>
      <c r="V261" s="383">
        <f t="shared" si="85"/>
        <v>47.187784887836131</v>
      </c>
      <c r="W261" s="402">
        <f t="shared" si="86"/>
        <v>45.265521270568257</v>
      </c>
      <c r="X261" s="157">
        <f t="shared" si="87"/>
        <v>45173</v>
      </c>
      <c r="Y261" s="385">
        <f t="shared" si="88"/>
        <v>44.080342508021985</v>
      </c>
      <c r="Z261" s="385">
        <f t="shared" si="89"/>
        <v>45.967558892075736</v>
      </c>
      <c r="AA261" s="386">
        <f t="shared" si="90"/>
        <v>50.547470275823535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9.0606144259178401E-2</v>
      </c>
      <c r="AD261" s="231">
        <f>(INDEX(Models!$BJ261:$BT261,,AH261)*(1-AF261)+INDEX(Models!$BJ261:$BT261,,AH261+1)*AF261-ERP_i)*AE261*Ramure*Pc/MaxiM</f>
        <v>6.6941753960352267E-6</v>
      </c>
      <c r="AE261" s="305">
        <f t="shared" si="92"/>
        <v>0.5</v>
      </c>
      <c r="AF261" s="177">
        <f t="shared" si="93"/>
        <v>0.98335340913534131</v>
      </c>
      <c r="AG261" s="811">
        <f t="shared" si="99"/>
        <v>0</v>
      </c>
      <c r="AH261" s="176">
        <f t="shared" si="94"/>
        <v>6</v>
      </c>
      <c r="AI261" s="225">
        <f t="shared" si="95"/>
        <v>0.98335340913534131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411">
        <f>'2022'!Wh/'2022'!Env_an*'2023'!Env_an</f>
        <v>38.267787644866161</v>
      </c>
      <c r="C262" s="841"/>
      <c r="D262" s="393">
        <f t="shared" si="77"/>
        <v>39.907024566668682</v>
      </c>
      <c r="E262" s="385">
        <f t="shared" si="100"/>
        <v>42.735792962760073</v>
      </c>
      <c r="F262" s="385">
        <f t="shared" si="78"/>
        <v>42.735994830810625</v>
      </c>
      <c r="G262" s="110">
        <f t="shared" si="101"/>
        <v>0.81477324162570841</v>
      </c>
      <c r="H262" s="414" t="b">
        <f>Wh_hp&gt;='2022'!Maxi_hp</f>
        <v>0</v>
      </c>
      <c r="I262" s="390">
        <f>IF(H262,Wh_hp,'2022'!Maxi_hp)</f>
        <v>52.787883333438941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4.1076400448347483E-2</v>
      </c>
      <c r="M262" s="845"/>
      <c r="N262" s="845"/>
      <c r="O262" s="48">
        <f>IF(t&lt;Tnet,'2022'!Resal+('2022'!Salim-'2022'!Resal)*(1-EXP(('2022'!Tnet-t)/('2022'!Tau_j))),Resal+(Salim-Resal)*(1-EXP((Tnet-t)/(Tau_j))))*Salcycl</f>
        <v>6.6192018445905068E-2</v>
      </c>
      <c r="P262" s="169">
        <f>(INDEX(Models!$BJ262:$BT262,,T262)*(1-R262)+INDEX(Models!$BJ262:$BT262,,T262+1)*R262-ERP_i)*Q262*Ramure*Pc/MaxiM</f>
        <v>6.4232478289287437E-6</v>
      </c>
      <c r="Q262" s="305">
        <f t="shared" si="80"/>
        <v>0.5</v>
      </c>
      <c r="R262" s="177">
        <f t="shared" si="81"/>
        <v>0.98390961042811309</v>
      </c>
      <c r="S262" s="811">
        <f t="shared" si="82"/>
        <v>0</v>
      </c>
      <c r="T262" s="176">
        <f t="shared" si="83"/>
        <v>6</v>
      </c>
      <c r="U262" s="251">
        <f t="shared" si="84"/>
        <v>0.98390961042811309</v>
      </c>
      <c r="V262" s="383">
        <f t="shared" si="85"/>
        <v>46.96732863577477</v>
      </c>
      <c r="W262" s="402">
        <f t="shared" si="86"/>
        <v>38.267787644866161</v>
      </c>
      <c r="X262" s="157">
        <f t="shared" si="87"/>
        <v>45174</v>
      </c>
      <c r="Y262" s="385">
        <f t="shared" si="88"/>
        <v>37.266829806844939</v>
      </c>
      <c r="Z262" s="385">
        <f t="shared" si="89"/>
        <v>38.863189751789562</v>
      </c>
      <c r="AA262" s="386">
        <f t="shared" si="90"/>
        <v>42.735792962760073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9.0617324319805972E-2</v>
      </c>
      <c r="AD262" s="231">
        <f>(INDEX(Models!$BJ262:$BT262,,AH262)*(1-AF262)+INDEX(Models!$BJ262:$BT262,,AH262+1)*AF262-ERP_i)*AE262*Ramure*Pc/MaxiM</f>
        <v>6.4232478289287437E-6</v>
      </c>
      <c r="AE262" s="305">
        <f t="shared" si="92"/>
        <v>0.5</v>
      </c>
      <c r="AF262" s="177">
        <f t="shared" si="93"/>
        <v>0.98390961042811309</v>
      </c>
      <c r="AG262" s="811">
        <f t="shared" si="99"/>
        <v>0</v>
      </c>
      <c r="AH262" s="176">
        <f t="shared" si="94"/>
        <v>6</v>
      </c>
      <c r="AI262" s="225">
        <f t="shared" si="95"/>
        <v>0.98390961042811309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411">
        <f>'2022'!Wh/'2022'!Env_an*'2023'!Env_an</f>
        <v>43.400843176928078</v>
      </c>
      <c r="C263" s="841"/>
      <c r="D263" s="393">
        <f t="shared" si="77"/>
        <v>45.260950724220805</v>
      </c>
      <c r="E263" s="385">
        <f t="shared" si="100"/>
        <v>48.471101878541226</v>
      </c>
      <c r="F263" s="385">
        <f t="shared" si="78"/>
        <v>48.471381080713883</v>
      </c>
      <c r="G263" s="110">
        <f t="shared" si="101"/>
        <v>0.9285483767667555</v>
      </c>
      <c r="H263" s="414" t="b">
        <f>Wh_hp&gt;='2022'!Maxi_hp</f>
        <v>0</v>
      </c>
      <c r="I263" s="390">
        <f>IF(H263,Wh_hp,'2022'!Maxi_hp)</f>
        <v>54.673871330579189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4.1097403336190164E-2</v>
      </c>
      <c r="M263" s="845"/>
      <c r="N263" s="845"/>
      <c r="O263" s="48">
        <f>IF(t&lt;Tnet,'2022'!Resal+('2022'!Salim-'2022'!Resal)*(1-EXP(('2022'!Tnet-t)/('2022'!Tau_j))),Resal+(Salim-Resal)*(1-EXP((Tnet-t)/(Tau_j))))*Salcycl</f>
        <v>6.6228144810167699E-2</v>
      </c>
      <c r="P263" s="169">
        <f>(INDEX(Models!$BJ263:$BT263,,T263)*(1-R263)+INDEX(Models!$BJ263:$BT263,,T263+1)*R263-ERP_i)*Q263*Ramure*Pc/MaxiM</f>
        <v>6.4149357374422568E-6</v>
      </c>
      <c r="Q263" s="305">
        <f t="shared" si="80"/>
        <v>0.5</v>
      </c>
      <c r="R263" s="177">
        <f t="shared" si="81"/>
        <v>0.98444461435974473</v>
      </c>
      <c r="S263" s="811">
        <f t="shared" si="82"/>
        <v>0</v>
      </c>
      <c r="T263" s="176">
        <f t="shared" si="83"/>
        <v>6</v>
      </c>
      <c r="U263" s="251">
        <f t="shared" si="84"/>
        <v>0.98444461435974473</v>
      </c>
      <c r="V263" s="383">
        <f t="shared" si="85"/>
        <v>46.740499304309949</v>
      </c>
      <c r="W263" s="402">
        <f t="shared" si="86"/>
        <v>43.400843176928078</v>
      </c>
      <c r="X263" s="157">
        <f t="shared" si="87"/>
        <v>45175</v>
      </c>
      <c r="Y263" s="385">
        <f t="shared" si="88"/>
        <v>42.266762286797892</v>
      </c>
      <c r="Z263" s="385">
        <f t="shared" si="89"/>
        <v>44.078264501369965</v>
      </c>
      <c r="AA263" s="386">
        <f t="shared" si="90"/>
        <v>48.471101878541226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9.0627966085417816E-2</v>
      </c>
      <c r="AD263" s="231">
        <f>(INDEX(Models!$BJ263:$BT263,,AH263)*(1-AF263)+INDEX(Models!$BJ263:$BT263,,AH263+1)*AF263-ERP_i)*AE263*Ramure*Pc/MaxiM</f>
        <v>6.4149357374422568E-6</v>
      </c>
      <c r="AE263" s="305">
        <f t="shared" si="92"/>
        <v>0.5</v>
      </c>
      <c r="AF263" s="177">
        <f t="shared" si="93"/>
        <v>0.98444461435974473</v>
      </c>
      <c r="AG263" s="811">
        <f t="shared" si="99"/>
        <v>0</v>
      </c>
      <c r="AH263" s="176">
        <f t="shared" si="94"/>
        <v>6</v>
      </c>
      <c r="AI263" s="225">
        <f t="shared" si="95"/>
        <v>0.98444461435974473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411">
        <f>'2022'!Wh/'2022'!Env_an*'2023'!Env_an</f>
        <v>33.769141929164356</v>
      </c>
      <c r="C264" s="841"/>
      <c r="D264" s="393">
        <f t="shared" si="77"/>
        <v>35.21721777971019</v>
      </c>
      <c r="E264" s="385">
        <f t="shared" si="100"/>
        <v>37.716454489507669</v>
      </c>
      <c r="F264" s="385">
        <f t="shared" si="78"/>
        <v>37.716607680350016</v>
      </c>
      <c r="G264" s="110">
        <f t="shared" si="101"/>
        <v>0.72609623956286407</v>
      </c>
      <c r="H264" s="414" t="b">
        <f>Wh_hp&gt;='2022'!Maxi_hp</f>
        <v>0</v>
      </c>
      <c r="I264" s="390">
        <f>IF(H264,Wh_hp,'2022'!Maxi_hp)</f>
        <v>50.140065797662274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4.1118405764015709E-2</v>
      </c>
      <c r="M264" s="845"/>
      <c r="N264" s="845"/>
      <c r="O264" s="48">
        <f>IF(t&lt;Tnet,'2022'!Resal+('2022'!Salim-'2022'!Resal)*(1-EXP(('2022'!Tnet-t)/('2022'!Tau_j))),Resal+(Salim-Resal)*(1-EXP((Tnet-t)/(Tau_j))))*Salcycl</f>
        <v>6.6263829504248348E-2</v>
      </c>
      <c r="P264" s="169">
        <f>(INDEX(Models!$BJ264:$BT264,,T264)*(1-R264)+INDEX(Models!$BJ264:$BT264,,T264+1)*R264-ERP_i)*Q264*Ramure*Pc/MaxiM</f>
        <v>6.6725000577744521E-6</v>
      </c>
      <c r="Q264" s="305">
        <f t="shared" si="80"/>
        <v>0.5</v>
      </c>
      <c r="R264" s="177">
        <f t="shared" si="81"/>
        <v>0.98495918359278245</v>
      </c>
      <c r="S264" s="811">
        <f t="shared" si="82"/>
        <v>0</v>
      </c>
      <c r="T264" s="176">
        <f t="shared" si="83"/>
        <v>6</v>
      </c>
      <c r="U264" s="251">
        <f t="shared" si="84"/>
        <v>0.98495918359278245</v>
      </c>
      <c r="V264" s="383">
        <f t="shared" si="85"/>
        <v>46.507683034191963</v>
      </c>
      <c r="W264" s="402">
        <f t="shared" si="86"/>
        <v>33.769141929164356</v>
      </c>
      <c r="X264" s="157">
        <f t="shared" si="87"/>
        <v>45176</v>
      </c>
      <c r="Y264" s="385">
        <f t="shared" si="88"/>
        <v>32.887633306807132</v>
      </c>
      <c r="Z264" s="385">
        <f t="shared" si="89"/>
        <v>34.297908630743166</v>
      </c>
      <c r="AA264" s="386">
        <f t="shared" si="90"/>
        <v>37.716454489507669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9.0638049229031029E-2</v>
      </c>
      <c r="AD264" s="231">
        <f>(INDEX(Models!$BJ264:$BT264,,AH264)*(1-AF264)+INDEX(Models!$BJ264:$BT264,,AH264+1)*AF264-ERP_i)*AE264*Ramure*Pc/MaxiM</f>
        <v>6.6725000577744521E-6</v>
      </c>
      <c r="AE264" s="305">
        <f t="shared" si="92"/>
        <v>0.5</v>
      </c>
      <c r="AF264" s="177">
        <f t="shared" si="93"/>
        <v>0.98495918359278245</v>
      </c>
      <c r="AG264" s="811">
        <f t="shared" si="99"/>
        <v>0</v>
      </c>
      <c r="AH264" s="176">
        <f t="shared" si="94"/>
        <v>6</v>
      </c>
      <c r="AI264" s="225">
        <f t="shared" si="95"/>
        <v>0.98495918359278245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411">
        <f>'2022'!Wh/'2022'!Env_an*'2023'!Env_an</f>
        <v>36.980364369558252</v>
      </c>
      <c r="C265" s="841"/>
      <c r="D265" s="393">
        <f t="shared" si="77"/>
        <v>38.566987388731796</v>
      </c>
      <c r="E265" s="385">
        <f t="shared" si="100"/>
        <v>41.305503287967682</v>
      </c>
      <c r="F265" s="385">
        <f t="shared" si="78"/>
        <v>41.305715377187269</v>
      </c>
      <c r="G265" s="110">
        <f t="shared" si="101"/>
        <v>0.79924086342580225</v>
      </c>
      <c r="H265" s="414" t="b">
        <f>Wh_hp&gt;='2022'!Maxi_hp</f>
        <v>0</v>
      </c>
      <c r="I265" s="390">
        <f>IF(H265,Wh_hp,'2022'!Maxi_hp)</f>
        <v>49.195092920557293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4.1139407731834221E-2</v>
      </c>
      <c r="M265" s="845"/>
      <c r="N265" s="845"/>
      <c r="O265" s="48">
        <f>IF(t&lt;Tnet,'2022'!Resal+('2022'!Salim-'2022'!Resal)*(1-EXP(('2022'!Tnet-t)/('2022'!Tau_j))),Resal+(Salim-Resal)*(1-EXP((Tnet-t)/(Tau_j))))*Salcycl</f>
        <v>6.6299056572290141E-2</v>
      </c>
      <c r="P265" s="169">
        <f>(INDEX(Models!$BJ265:$BT265,,T265)*(1-R265)+INDEX(Models!$BJ265:$BT265,,T265+1)*R265-ERP_i)*Q265*Ramure*Pc/MaxiM</f>
        <v>7.1993771405215027E-6</v>
      </c>
      <c r="Q265" s="305">
        <f t="shared" si="80"/>
        <v>0.5</v>
      </c>
      <c r="R265" s="177">
        <f t="shared" si="81"/>
        <v>0.98545405683962817</v>
      </c>
      <c r="S265" s="811">
        <f t="shared" si="82"/>
        <v>0</v>
      </c>
      <c r="T265" s="176">
        <f t="shared" si="83"/>
        <v>6</v>
      </c>
      <c r="U265" s="251">
        <f t="shared" si="84"/>
        <v>0.98545405683962817</v>
      </c>
      <c r="V265" s="383">
        <f t="shared" si="85"/>
        <v>46.269265882184371</v>
      </c>
      <c r="W265" s="402">
        <f t="shared" si="86"/>
        <v>36.980364369558252</v>
      </c>
      <c r="X265" s="157">
        <f t="shared" si="87"/>
        <v>45177</v>
      </c>
      <c r="Y265" s="385">
        <f t="shared" si="88"/>
        <v>36.016012496317039</v>
      </c>
      <c r="Z265" s="385">
        <f t="shared" si="89"/>
        <v>37.561260507246288</v>
      </c>
      <c r="AA265" s="386">
        <f t="shared" si="90"/>
        <v>41.305503287967682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9.0647552569879761E-2</v>
      </c>
      <c r="AD265" s="231">
        <f>(INDEX(Models!$BJ265:$BT265,,AH265)*(1-AF265)+INDEX(Models!$BJ265:$BT265,,AH265+1)*AF265-ERP_i)*AE265*Ramure*Pc/MaxiM</f>
        <v>7.1993771405215027E-6</v>
      </c>
      <c r="AE265" s="305">
        <f t="shared" si="92"/>
        <v>0.5</v>
      </c>
      <c r="AF265" s="177">
        <f t="shared" si="93"/>
        <v>0.98545405683962817</v>
      </c>
      <c r="AG265" s="811">
        <f t="shared" si="99"/>
        <v>0</v>
      </c>
      <c r="AH265" s="176">
        <f t="shared" si="94"/>
        <v>6</v>
      </c>
      <c r="AI265" s="225">
        <f t="shared" si="95"/>
        <v>0.98545405683962817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411">
        <f>'2022'!Wh/'2022'!Env_an*'2023'!Env_an</f>
        <v>20.587577968960101</v>
      </c>
      <c r="C266" s="841"/>
      <c r="D266" s="393">
        <f t="shared" si="77"/>
        <v>21.471347415509289</v>
      </c>
      <c r="E266" s="385">
        <f t="shared" si="100"/>
        <v>22.996813670034626</v>
      </c>
      <c r="F266" s="385">
        <f t="shared" si="78"/>
        <v>22.996852381316284</v>
      </c>
      <c r="G266" s="110">
        <f t="shared" si="101"/>
        <v>0.44730395293097513</v>
      </c>
      <c r="H266" s="414" t="b">
        <f>Wh_hp&gt;='2022'!Maxi_hp</f>
        <v>0</v>
      </c>
      <c r="I266" s="390">
        <f>IF(H266,Wh_hp,'2022'!Maxi_hp)</f>
        <v>49.204296027158733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4.1160409239655804E-2</v>
      </c>
      <c r="M266" s="845"/>
      <c r="N266" s="845"/>
      <c r="O266" s="48">
        <f>IF(t&lt;Tnet,'2022'!Resal+('2022'!Salim-'2022'!Resal)*(1-EXP(('2022'!Tnet-t)/('2022'!Tau_j))),Resal+(Salim-Resal)*(1-EXP((Tnet-t)/(Tau_j))))*Salcycl</f>
        <v>6.633380938825699E-2</v>
      </c>
      <c r="P266" s="169">
        <f>(INDEX(Models!$BJ266:$BT266,,T266)*(1-R266)+INDEX(Models!$BJ266:$BT266,,T266+1)*R266-ERP_i)*Q266*Ramure*Pc/MaxiM</f>
        <v>7.9991614468574469E-6</v>
      </c>
      <c r="Q266" s="305">
        <f t="shared" si="80"/>
        <v>0.5</v>
      </c>
      <c r="R266" s="177">
        <f t="shared" si="81"/>
        <v>0.98592994933898348</v>
      </c>
      <c r="S266" s="811">
        <f t="shared" si="82"/>
        <v>0</v>
      </c>
      <c r="T266" s="176">
        <f t="shared" si="83"/>
        <v>6</v>
      </c>
      <c r="U266" s="251">
        <f t="shared" si="84"/>
        <v>0.98592994933898348</v>
      </c>
      <c r="V266" s="383">
        <f t="shared" si="85"/>
        <v>46.025633813786023</v>
      </c>
      <c r="W266" s="402">
        <f t="shared" si="86"/>
        <v>20.587577968960101</v>
      </c>
      <c r="X266" s="157">
        <f t="shared" si="87"/>
        <v>45178</v>
      </c>
      <c r="Y266" s="385">
        <f t="shared" si="88"/>
        <v>20.051257442065076</v>
      </c>
      <c r="Z266" s="385">
        <f t="shared" si="89"/>
        <v>20.912004088363471</v>
      </c>
      <c r="AA266" s="386">
        <f t="shared" si="90"/>
        <v>22.996813670034626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9.0656454045531923E-2</v>
      </c>
      <c r="AD266" s="231">
        <f>(INDEX(Models!$BJ266:$BT266,,AH266)*(1-AF266)+INDEX(Models!$BJ266:$BT266,,AH266+1)*AF266-ERP_i)*AE266*Ramure*Pc/MaxiM</f>
        <v>7.9991614468574469E-6</v>
      </c>
      <c r="AE266" s="305">
        <f t="shared" si="92"/>
        <v>0.5</v>
      </c>
      <c r="AF266" s="177">
        <f t="shared" si="93"/>
        <v>0.98592994933898348</v>
      </c>
      <c r="AG266" s="811">
        <f t="shared" si="99"/>
        <v>0</v>
      </c>
      <c r="AH266" s="176">
        <f t="shared" si="94"/>
        <v>6</v>
      </c>
      <c r="AI266" s="225">
        <f t="shared" si="95"/>
        <v>0.98592994933898348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411">
        <f>'2022'!Wh/'2022'!Env_an*'2023'!Env_an</f>
        <v>43.493702541969036</v>
      </c>
      <c r="C267" s="841"/>
      <c r="D267" s="393">
        <f t="shared" si="77"/>
        <v>45.361763954754053</v>
      </c>
      <c r="E267" s="385">
        <f t="shared" si="100"/>
        <v>48.586345998079153</v>
      </c>
      <c r="F267" s="385">
        <f t="shared" si="78"/>
        <v>48.586755528889519</v>
      </c>
      <c r="G267" s="110">
        <f t="shared" si="101"/>
        <v>0.95011709626650442</v>
      </c>
      <c r="H267" s="414" t="b">
        <f>Wh_hp&gt;='2022'!Maxi_hp</f>
        <v>0</v>
      </c>
      <c r="I267" s="390">
        <f>IF(H267,Wh_hp,'2022'!Maxi_hp)</f>
        <v>48.586768341384165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4.1181410287490339E-2</v>
      </c>
      <c r="M267" s="845"/>
      <c r="N267" s="845"/>
      <c r="O267" s="48">
        <f>IF(t&lt;Tnet,'2022'!Resal+('2022'!Salim-'2022'!Resal)*(1-EXP(('2022'!Tnet-t)/('2022'!Tau_j))),Resal+(Salim-Resal)*(1-EXP((Tnet-t)/(Tau_j))))*Salcycl</f>
        <v>6.6368070639693452E-2</v>
      </c>
      <c r="P267" s="169">
        <f>(INDEX(Models!$BJ267:$BT267,,T267)*(1-R267)+INDEX(Models!$BJ267:$BT267,,T267+1)*R267-ERP_i)*Q267*Ramure*Pc/MaxiM</f>
        <v>9.0755869955887806E-6</v>
      </c>
      <c r="Q267" s="305">
        <f t="shared" si="80"/>
        <v>0.5</v>
      </c>
      <c r="R267" s="177">
        <f t="shared" si="81"/>
        <v>0.98638755334664829</v>
      </c>
      <c r="S267" s="811">
        <f t="shared" si="82"/>
        <v>0</v>
      </c>
      <c r="T267" s="176">
        <f t="shared" si="83"/>
        <v>6</v>
      </c>
      <c r="U267" s="251">
        <f t="shared" si="84"/>
        <v>0.98638755334664829</v>
      </c>
      <c r="V267" s="383">
        <f t="shared" si="85"/>
        <v>45.777172712663635</v>
      </c>
      <c r="W267" s="402">
        <f t="shared" si="86"/>
        <v>43.493702541969036</v>
      </c>
      <c r="X267" s="157">
        <f t="shared" si="87"/>
        <v>45179</v>
      </c>
      <c r="Y267" s="385">
        <f t="shared" si="88"/>
        <v>42.361830685595443</v>
      </c>
      <c r="Z267" s="385">
        <f t="shared" si="89"/>
        <v>44.181278022881401</v>
      </c>
      <c r="AA267" s="386">
        <f t="shared" si="90"/>
        <v>48.586345998079153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9.066473069145603E-2</v>
      </c>
      <c r="AD267" s="231">
        <f>(INDEX(Models!$BJ267:$BT267,,AH267)*(1-AF267)+INDEX(Models!$BJ267:$BT267,,AH267+1)*AF267-ERP_i)*AE267*Ramure*Pc/MaxiM</f>
        <v>9.0755869955887806E-6</v>
      </c>
      <c r="AE267" s="305">
        <f t="shared" si="92"/>
        <v>0.5</v>
      </c>
      <c r="AF267" s="177">
        <f t="shared" si="93"/>
        <v>0.98638755334664829</v>
      </c>
      <c r="AG267" s="811">
        <f t="shared" si="99"/>
        <v>0</v>
      </c>
      <c r="AH267" s="176">
        <f t="shared" si="94"/>
        <v>6</v>
      </c>
      <c r="AI267" s="225">
        <f t="shared" si="95"/>
        <v>0.98638755334664829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411">
        <f>'2022'!Wh/'2022'!Env_an*'2023'!Env_an</f>
        <v>44.006692642808297</v>
      </c>
      <c r="C268" s="841"/>
      <c r="D268" s="393">
        <f t="shared" si="77"/>
        <v>45.897792341118468</v>
      </c>
      <c r="E268" s="385">
        <f t="shared" si="100"/>
        <v>49.162255709487255</v>
      </c>
      <c r="F268" s="385">
        <f t="shared" si="78"/>
        <v>49.162751568820006</v>
      </c>
      <c r="G268" s="110">
        <f t="shared" si="101"/>
        <v>0.96666413258331241</v>
      </c>
      <c r="H268" s="414" t="b">
        <f>Wh_hp&gt;='2022'!Maxi_hp</f>
        <v>0</v>
      </c>
      <c r="I268" s="390">
        <f>IF(H268,Wh_hp,'2022'!Maxi_hp)</f>
        <v>49.162761814775862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4.120241087534815E-2</v>
      </c>
      <c r="M268" s="845"/>
      <c r="N268" s="845"/>
      <c r="O268" s="48">
        <f>IF(t&lt;Tnet,'2022'!Resal+('2022'!Salim-'2022'!Resal)*(1-EXP(('2022'!Tnet-t)/('2022'!Tau_j))),Resal+(Salim-Resal)*(1-EXP((Tnet-t)/(Tau_j))))*Salcycl</f>
        <v>6.6401822317904993E-2</v>
      </c>
      <c r="P268" s="169">
        <f>(INDEX(Models!$BJ268:$BT268,,T268)*(1-R268)+INDEX(Models!$BJ268:$BT268,,T268+1)*R268-ERP_i)*Q268*Ramure*Pc/MaxiM</f>
        <v>1.0590414106050918E-5</v>
      </c>
      <c r="Q268" s="305">
        <f t="shared" si="80"/>
        <v>0.5</v>
      </c>
      <c r="R268" s="177">
        <f t="shared" si="81"/>
        <v>0.986827538637985</v>
      </c>
      <c r="S268" s="811">
        <f t="shared" si="82"/>
        <v>0</v>
      </c>
      <c r="T268" s="176">
        <f t="shared" si="83"/>
        <v>6</v>
      </c>
      <c r="U268" s="251">
        <f t="shared" si="84"/>
        <v>0.986827538637985</v>
      </c>
      <c r="V268" s="383">
        <f t="shared" si="85"/>
        <v>45.524261183462222</v>
      </c>
      <c r="W268" s="402">
        <f t="shared" si="86"/>
        <v>44.006692642808297</v>
      </c>
      <c r="X268" s="157">
        <f t="shared" si="87"/>
        <v>45180</v>
      </c>
      <c r="Y268" s="385">
        <f t="shared" si="88"/>
        <v>42.862660812767857</v>
      </c>
      <c r="Z268" s="385">
        <f t="shared" si="89"/>
        <v>44.70459802876637</v>
      </c>
      <c r="AA268" s="386">
        <f t="shared" si="90"/>
        <v>49.162255709487255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9.0672358629399666E-2</v>
      </c>
      <c r="AD268" s="231">
        <f>(INDEX(Models!$BJ268:$BT268,,AH268)*(1-AF268)+INDEX(Models!$BJ268:$BT268,,AH268+1)*AF268-ERP_i)*AE268*Ramure*Pc/MaxiM</f>
        <v>1.0590414106050918E-5</v>
      </c>
      <c r="AE268" s="305">
        <f t="shared" si="92"/>
        <v>0.5</v>
      </c>
      <c r="AF268" s="177">
        <f t="shared" si="93"/>
        <v>0.986827538637985</v>
      </c>
      <c r="AG268" s="811">
        <f t="shared" si="99"/>
        <v>0</v>
      </c>
      <c r="AH268" s="176">
        <f t="shared" si="94"/>
        <v>6</v>
      </c>
      <c r="AI268" s="225">
        <f t="shared" si="95"/>
        <v>0.986827538637985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411">
        <f>'2022'!Wh/'2022'!Env_an*'2023'!Env_an</f>
        <v>30.821191993011105</v>
      </c>
      <c r="C269" s="841"/>
      <c r="D269" s="393">
        <f t="shared" si="77"/>
        <v>32.146375231441148</v>
      </c>
      <c r="E269" s="385">
        <f t="shared" si="100"/>
        <v>34.433999566831929</v>
      </c>
      <c r="F269" s="385">
        <f t="shared" si="78"/>
        <v>34.434232509661413</v>
      </c>
      <c r="G269" s="110">
        <f t="shared" si="101"/>
        <v>0.68086729124047296</v>
      </c>
      <c r="H269" s="414" t="b">
        <f>Wh_hp&gt;='2022'!Maxi_hp</f>
        <v>0</v>
      </c>
      <c r="I269" s="390">
        <f>IF(H269,Wh_hp,'2022'!Maxi_hp)</f>
        <v>50.761032411385656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4.1223411003239119E-2</v>
      </c>
      <c r="M269" s="845"/>
      <c r="N269" s="845"/>
      <c r="O269" s="48">
        <f>IF(t&lt;Tnet,'2022'!Resal+('2022'!Salim-'2022'!Resal)*(1-EXP(('2022'!Tnet-t)/('2022'!Tau_j))),Resal+(Salim-Resal)*(1-EXP((Tnet-t)/(Tau_j))))*Salcycl</f>
        <v>6.6435045715523208E-2</v>
      </c>
      <c r="P269" s="169">
        <f>(INDEX(Models!$BJ269:$BT269,,T269)*(1-R269)+INDEX(Models!$BJ269:$BT269,,T269+1)*R269-ERP_i)*Q269*Ramure*Pc/MaxiM</f>
        <v>1.2433084946900577E-5</v>
      </c>
      <c r="Q269" s="305">
        <f t="shared" si="80"/>
        <v>0.5</v>
      </c>
      <c r="R269" s="177">
        <f t="shared" si="81"/>
        <v>0.98725055301957199</v>
      </c>
      <c r="S269" s="811">
        <f t="shared" si="82"/>
        <v>0</v>
      </c>
      <c r="T269" s="176">
        <f t="shared" si="83"/>
        <v>6</v>
      </c>
      <c r="U269" s="251">
        <f t="shared" si="84"/>
        <v>0.98725055301957199</v>
      </c>
      <c r="V269" s="383">
        <f t="shared" si="85"/>
        <v>45.267290244310814</v>
      </c>
      <c r="W269" s="402">
        <f t="shared" si="86"/>
        <v>30.821191993011105</v>
      </c>
      <c r="X269" s="157">
        <f t="shared" si="87"/>
        <v>45181</v>
      </c>
      <c r="Y269" s="385">
        <f t="shared" si="88"/>
        <v>30.020779321878187</v>
      </c>
      <c r="Z269" s="385">
        <f t="shared" si="89"/>
        <v>31.311548140001161</v>
      </c>
      <c r="AA269" s="386">
        <f t="shared" si="90"/>
        <v>34.433999566831929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9.0679313065869543E-2</v>
      </c>
      <c r="AD269" s="231">
        <f>(INDEX(Models!$BJ269:$BT269,,AH269)*(1-AF269)+INDEX(Models!$BJ269:$BT269,,AH269+1)*AF269-ERP_i)*AE269*Ramure*Pc/MaxiM</f>
        <v>1.2433084946900577E-5</v>
      </c>
      <c r="AE269" s="305">
        <f t="shared" si="92"/>
        <v>0.5</v>
      </c>
      <c r="AF269" s="177">
        <f t="shared" si="93"/>
        <v>0.98725055301957199</v>
      </c>
      <c r="AG269" s="811">
        <f t="shared" si="99"/>
        <v>0</v>
      </c>
      <c r="AH269" s="176">
        <f t="shared" si="94"/>
        <v>6</v>
      </c>
      <c r="AI269" s="225">
        <f t="shared" si="95"/>
        <v>0.98725055301957199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411">
        <f>'2022'!Wh/'2022'!Env_an*'2023'!Env_an</f>
        <v>10.929068199402368</v>
      </c>
      <c r="C270" s="841"/>
      <c r="D270" s="393">
        <f t="shared" si="77"/>
        <v>11.399222409804382</v>
      </c>
      <c r="E270" s="385">
        <f t="shared" si="100"/>
        <v>12.210849770823891</v>
      </c>
      <c r="F270" s="385">
        <f t="shared" si="78"/>
        <v>12.210849770823891</v>
      </c>
      <c r="G270" s="110">
        <f t="shared" si="101"/>
        <v>0.24282877375794235</v>
      </c>
      <c r="H270" s="414" t="b">
        <f>Wh_hp&gt;='2022'!Maxi_hp</f>
        <v>0</v>
      </c>
      <c r="I270" s="390">
        <f>IF(H270,Wh_hp,'2022'!Maxi_hp)</f>
        <v>48.245201516580117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4.1244410671173348E-2</v>
      </c>
      <c r="M270" s="845"/>
      <c r="N270" s="845"/>
      <c r="O270" s="48">
        <f>IF(t&lt;Tnet,'2022'!Resal+('2022'!Salim-'2022'!Resal)*(1-EXP(('2022'!Tnet-t)/('2022'!Tau_j))),Resal+(Salim-Resal)*(1-EXP((Tnet-t)/(Tau_j))))*Salcycl</f>
        <v>6.6467721432359086E-2</v>
      </c>
      <c r="P270" s="169">
        <f>(INDEX(Models!$BJ270:$BT270,,T270)*(1-R270)+INDEX(Models!$BJ270:$BT270,,T270+1)*R270-ERP_i)*Q270*Ramure*Pc/MaxiM</f>
        <v>1.4608270717892857E-5</v>
      </c>
      <c r="Q270" s="305">
        <f t="shared" si="80"/>
        <v>0.5</v>
      </c>
      <c r="R270" s="177">
        <f t="shared" si="81"/>
        <v>0.98765722284778201</v>
      </c>
      <c r="S270" s="811">
        <f t="shared" si="82"/>
        <v>0</v>
      </c>
      <c r="T270" s="176">
        <f t="shared" si="83"/>
        <v>6</v>
      </c>
      <c r="U270" s="251">
        <f t="shared" si="84"/>
        <v>0.98765722284778201</v>
      </c>
      <c r="V270" s="383">
        <f t="shared" si="85"/>
        <v>45.006645528382151</v>
      </c>
      <c r="W270" s="402">
        <f t="shared" si="86"/>
        <v>10.929068199402368</v>
      </c>
      <c r="X270" s="157">
        <f t="shared" si="87"/>
        <v>45182</v>
      </c>
      <c r="Y270" s="385">
        <f t="shared" si="88"/>
        <v>10.645544526834584</v>
      </c>
      <c r="Z270" s="385">
        <f t="shared" si="89"/>
        <v>11.103501919907407</v>
      </c>
      <c r="AA270" s="386">
        <f t="shared" si="90"/>
        <v>12.210849770823891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9.0685568301915986E-2</v>
      </c>
      <c r="AD270" s="231">
        <f>(INDEX(Models!$BJ270:$BT270,,AH270)*(1-AF270)+INDEX(Models!$BJ270:$BT270,,AH270+1)*AF270-ERP_i)*AE270*Ramure*Pc/MaxiM</f>
        <v>1.4608270717892857E-5</v>
      </c>
      <c r="AE270" s="305">
        <f t="shared" si="92"/>
        <v>0.5</v>
      </c>
      <c r="AF270" s="177">
        <f t="shared" si="93"/>
        <v>0.98765722284778201</v>
      </c>
      <c r="AG270" s="811">
        <f t="shared" si="99"/>
        <v>0</v>
      </c>
      <c r="AH270" s="176">
        <f t="shared" si="94"/>
        <v>6</v>
      </c>
      <c r="AI270" s="225">
        <f t="shared" si="95"/>
        <v>0.98765722284778201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411">
        <f>'2022'!Wh/'2022'!Env_an*'2023'!Env_an</f>
        <v>36.268915774807972</v>
      </c>
      <c r="C271" s="841"/>
      <c r="D271" s="393">
        <f t="shared" ref="D271:D334" si="102">Wh/(1-Ppv)</f>
        <v>37.829985637877776</v>
      </c>
      <c r="E271" s="385">
        <f t="shared" si="100"/>
        <v>40.524883475032198</v>
      </c>
      <c r="F271" s="385">
        <f t="shared" ref="F271:F334" si="103">Wh_sa/(1-Pvg*MEDIAN((-Sdif+Wh/Env_an)/Csdif,0,1))</f>
        <v>40.525389579897606</v>
      </c>
      <c r="G271" s="110">
        <f t="shared" si="101"/>
        <v>0.81060681560818781</v>
      </c>
      <c r="H271" s="414" t="b">
        <f>Wh_hp&gt;='2022'!Maxi_hp</f>
        <v>0</v>
      </c>
      <c r="I271" s="390">
        <f>IF(H271,Wh_hp,'2022'!Maxi_hp)</f>
        <v>47.954871485084247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4.1265409879161052E-2</v>
      </c>
      <c r="M271" s="845"/>
      <c r="N271" s="845"/>
      <c r="O271" s="48">
        <f>IF(t&lt;Tnet,'2022'!Resal+('2022'!Salim-'2022'!Resal)*(1-EXP(('2022'!Tnet-t)/('2022'!Tau_j))),Resal+(Salim-Resal)*(1-EXP((Tnet-t)/(Tau_j))))*Salcycl</f>
        <v>6.6499829390373855E-2</v>
      </c>
      <c r="P271" s="169">
        <f>(INDEX(Models!$BJ271:$BT271,,T271)*(1-R271)+INDEX(Models!$BJ271:$BT271,,T271+1)*R271-ERP_i)*Q271*Ramure*Pc/MaxiM</f>
        <v>1.7120701393976968E-5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0.98804815355221765</v>
      </c>
      <c r="S271" s="811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0.98804815355221765</v>
      </c>
      <c r="V271" s="383">
        <f t="shared" ref="V271:V334" si="110">MaxiM*(1-Ppv)*(1-Pvg)*(1-Psa)</f>
        <v>44.742712585930747</v>
      </c>
      <c r="W271" s="402">
        <f t="shared" ref="W271:W334" si="111">Wh*(A271&gt;Tmaj)</f>
        <v>36.268915774807972</v>
      </c>
      <c r="X271" s="157">
        <f t="shared" ref="X271:X334" si="112">t</f>
        <v>45183</v>
      </c>
      <c r="Y271" s="385">
        <f t="shared" ref="Y271:Y334" si="113">Wh_pvt_s*(1-Ppv)</f>
        <v>35.329021918933272</v>
      </c>
      <c r="Z271" s="385">
        <f t="shared" ref="Z271:Z334" si="114">Wh_sa_s*(1-Psa_s)</f>
        <v>36.849637306275142</v>
      </c>
      <c r="AA271" s="386">
        <f t="shared" ref="AA271:AA334" si="115">Wh_hp*(1-Pvg_s*MEDIAN((-Sdif+Wh/Env_an)/Csdif,0,1))</f>
        <v>40.524883475032198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9.0691097755319083E-2</v>
      </c>
      <c r="AD271" s="231">
        <f>(INDEX(Models!$BJ271:$BT271,,AH271)*(1-AF271)+INDEX(Models!$BJ271:$BT271,,AH271+1)*AF271-ERP_i)*AE271*Ramure*Pc/MaxiM</f>
        <v>1.7120701393976968E-5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0.98804815355221765</v>
      </c>
      <c r="AG271" s="811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0.98804815355221765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411">
        <f>'2022'!Wh/'2022'!Env_an*'2023'!Env_an</f>
        <v>39.84017337528671</v>
      </c>
      <c r="C272" s="841"/>
      <c r="D272" s="393">
        <f t="shared" si="102"/>
        <v>41.555865832922343</v>
      </c>
      <c r="E272" s="385">
        <f t="shared" si="100"/>
        <v>44.517687639650092</v>
      </c>
      <c r="F272" s="385">
        <f t="shared" si="103"/>
        <v>44.518444490976158</v>
      </c>
      <c r="G272" s="110">
        <f t="shared" si="101"/>
        <v>0.89576772104429103</v>
      </c>
      <c r="H272" s="414" t="b">
        <f>Wh_hp&gt;='2022'!Maxi_hp</f>
        <v>0</v>
      </c>
      <c r="I272" s="390">
        <f>IF(H272,Wh_hp,'2022'!Maxi_hp)</f>
        <v>48.916978336718785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4.1286408627212112E-2</v>
      </c>
      <c r="M272" s="845"/>
      <c r="N272" s="845"/>
      <c r="O272" s="48">
        <f>IF(t&lt;Tnet,'2022'!Resal+('2022'!Salim-'2022'!Resal)*(1-EXP(('2022'!Tnet-t)/('2022'!Tau_j))),Resal+(Salim-Resal)*(1-EXP((Tnet-t)/(Tau_j))))*Salcycl</f>
        <v>6.6531348858510184E-2</v>
      </c>
      <c r="P272" s="169">
        <f>(INDEX(Models!$BJ272:$BT272,,T272)*(1-R272)+INDEX(Models!$BJ272:$BT272,,T272+1)*R272-ERP_i)*Q272*Ramure*Pc/MaxiM</f>
        <v>1.9975135012615004E-5</v>
      </c>
      <c r="Q272" s="305">
        <f t="shared" si="105"/>
        <v>0.5</v>
      </c>
      <c r="R272" s="177">
        <f t="shared" si="106"/>
        <v>0.98842393016211572</v>
      </c>
      <c r="S272" s="811">
        <f t="shared" si="107"/>
        <v>0</v>
      </c>
      <c r="T272" s="176">
        <f t="shared" si="108"/>
        <v>6</v>
      </c>
      <c r="U272" s="251">
        <f t="shared" si="109"/>
        <v>0.98842393016211572</v>
      </c>
      <c r="V272" s="383">
        <f t="shared" si="110"/>
        <v>44.475876883275397</v>
      </c>
      <c r="W272" s="402">
        <f t="shared" si="111"/>
        <v>39.84017337528671</v>
      </c>
      <c r="X272" s="157">
        <f t="shared" si="112"/>
        <v>45184</v>
      </c>
      <c r="Y272" s="385">
        <f t="shared" si="113"/>
        <v>38.808838397044106</v>
      </c>
      <c r="Z272" s="385">
        <f t="shared" si="114"/>
        <v>40.480117050884289</v>
      </c>
      <c r="AA272" s="386">
        <f t="shared" si="115"/>
        <v>44.517687639650092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9.0695873996153031E-2</v>
      </c>
      <c r="AD272" s="231">
        <f>(INDEX(Models!$BJ272:$BT272,,AH272)*(1-AF272)+INDEX(Models!$BJ272:$BT272,,AH272+1)*AF272-ERP_i)*AE272*Ramure*Pc/MaxiM</f>
        <v>1.9975135012615004E-5</v>
      </c>
      <c r="AE272" s="305">
        <f t="shared" si="117"/>
        <v>0.5</v>
      </c>
      <c r="AF272" s="177">
        <f t="shared" si="118"/>
        <v>0.98842393016211572</v>
      </c>
      <c r="AG272" s="811">
        <f t="shared" ref="AG272:AG335" si="124">INDEX(Echel_vg,AH272)</f>
        <v>0</v>
      </c>
      <c r="AH272" s="176">
        <f t="shared" si="119"/>
        <v>6</v>
      </c>
      <c r="AI272" s="225">
        <f t="shared" si="120"/>
        <v>0.98842393016211572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411">
        <f>'2022'!Wh/'2022'!Env_an*'2023'!Env_an</f>
        <v>26.526649359524118</v>
      </c>
      <c r="C273" s="841"/>
      <c r="D273" s="393">
        <f t="shared" si="102"/>
        <v>27.669609164469176</v>
      </c>
      <c r="E273" s="385">
        <f t="shared" si="100"/>
        <v>29.642693812283937</v>
      </c>
      <c r="F273" s="385">
        <f t="shared" si="103"/>
        <v>29.642988308230183</v>
      </c>
      <c r="G273" s="110">
        <f t="shared" si="101"/>
        <v>0.60005392462735352</v>
      </c>
      <c r="H273" s="414" t="b">
        <f>Wh_hp&gt;='2022'!Maxi_hp</f>
        <v>0</v>
      </c>
      <c r="I273" s="390">
        <f>IF(H273,Wh_hp,'2022'!Maxi_hp)</f>
        <v>46.225866499783969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4.1307406915336742E-2</v>
      </c>
      <c r="M273" s="845"/>
      <c r="N273" s="845"/>
      <c r="O273" s="48">
        <f>IF(t&lt;Tnet,'2022'!Resal+('2022'!Salim-'2022'!Resal)*(1-EXP(('2022'!Tnet-t)/('2022'!Tau_j))),Resal+(Salim-Resal)*(1-EXP((Tnet-t)/(Tau_j))))*Salcycl</f>
        <v>6.6562258488029685E-2</v>
      </c>
      <c r="P273" s="169">
        <f>(INDEX(Models!$BJ273:$BT273,,T273)*(1-R273)+INDEX(Models!$BJ273:$BT273,,T273+1)*R273-ERP_i)*Q273*Ramure*Pc/MaxiM</f>
        <v>2.3176324674120383E-5</v>
      </c>
      <c r="Q273" s="305">
        <f t="shared" si="105"/>
        <v>0.5</v>
      </c>
      <c r="R273" s="177">
        <f t="shared" si="106"/>
        <v>0.98878511783401135</v>
      </c>
      <c r="S273" s="811">
        <f t="shared" si="107"/>
        <v>0</v>
      </c>
      <c r="T273" s="176">
        <f t="shared" si="108"/>
        <v>6</v>
      </c>
      <c r="U273" s="251">
        <f t="shared" si="109"/>
        <v>0.98878511783401135</v>
      </c>
      <c r="V273" s="383">
        <f t="shared" si="110"/>
        <v>44.206523802239062</v>
      </c>
      <c r="W273" s="402">
        <f t="shared" si="111"/>
        <v>26.526649359524118</v>
      </c>
      <c r="X273" s="157">
        <f t="shared" si="112"/>
        <v>45185</v>
      </c>
      <c r="Y273" s="385">
        <f t="shared" si="113"/>
        <v>25.840701174062552</v>
      </c>
      <c r="Z273" s="385">
        <f t="shared" si="114"/>
        <v>26.954105372732894</v>
      </c>
      <c r="AA273" s="386">
        <f t="shared" si="115"/>
        <v>29.642693812283937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9.069986879656973E-2</v>
      </c>
      <c r="AD273" s="231">
        <f>(INDEX(Models!$BJ273:$BT273,,AH273)*(1-AF273)+INDEX(Models!$BJ273:$BT273,,AH273+1)*AF273-ERP_i)*AE273*Ramure*Pc/MaxiM</f>
        <v>2.3176324674120383E-5</v>
      </c>
      <c r="AE273" s="305">
        <f t="shared" si="117"/>
        <v>0.5</v>
      </c>
      <c r="AF273" s="177">
        <f t="shared" si="118"/>
        <v>0.98878511783401135</v>
      </c>
      <c r="AG273" s="811">
        <f t="shared" si="124"/>
        <v>0</v>
      </c>
      <c r="AH273" s="176">
        <f t="shared" si="119"/>
        <v>6</v>
      </c>
      <c r="AI273" s="225">
        <f t="shared" si="120"/>
        <v>0.98878511783401135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411">
        <f>'2022'!Wh/'2022'!Env_an*'2023'!Env_an</f>
        <v>45.875468298704625</v>
      </c>
      <c r="C274" s="841"/>
      <c r="D274" s="393">
        <f t="shared" si="102"/>
        <v>47.85316319550747</v>
      </c>
      <c r="E274" s="385">
        <f t="shared" si="100"/>
        <v>51.267174368671029</v>
      </c>
      <c r="F274" s="385">
        <f t="shared" si="103"/>
        <v>51.268544724739868</v>
      </c>
      <c r="G274" s="110">
        <f t="shared" si="101"/>
        <v>1.0441658803409342</v>
      </c>
      <c r="H274" s="414" t="b">
        <f>Wh_hp&gt;='2022'!Maxi_hp</f>
        <v>1</v>
      </c>
      <c r="I274" s="390">
        <f>IF(H274,Wh_hp,'2022'!Maxi_hp)</f>
        <v>51.268544724739868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4.1328404743545044E-2</v>
      </c>
      <c r="M274" s="845"/>
      <c r="N274" s="845"/>
      <c r="O274" s="48">
        <f>IF(t&lt;Tnet,'2022'!Resal+('2022'!Salim-'2022'!Resal)*(1-EXP(('2022'!Tnet-t)/('2022'!Tau_j))),Resal+(Salim-Resal)*(1-EXP((Tnet-t)/(Tau_j))))*Salcycl</f>
        <v>6.6592536358895449E-2</v>
      </c>
      <c r="P274" s="169">
        <f>(INDEX(Models!$BJ274:$BT274,,T274)*(1-R274)+INDEX(Models!$BJ274:$BT274,,T274+1)*R274-ERP_i)*Q274*Ramure*Pc/MaxiM</f>
        <v>2.6728983164917943E-5</v>
      </c>
      <c r="Q274" s="305">
        <f t="shared" si="105"/>
        <v>0.5</v>
      </c>
      <c r="R274" s="177">
        <f t="shared" si="106"/>
        <v>0.98913226237910967</v>
      </c>
      <c r="S274" s="811">
        <f t="shared" si="107"/>
        <v>0</v>
      </c>
      <c r="T274" s="176">
        <f t="shared" si="108"/>
        <v>6</v>
      </c>
      <c r="U274" s="251">
        <f t="shared" si="109"/>
        <v>0.98913226237910967</v>
      </c>
      <c r="V274" s="383">
        <f t="shared" si="110"/>
        <v>43.935038639383301</v>
      </c>
      <c r="W274" s="402">
        <f t="shared" si="111"/>
        <v>45.875468298704625</v>
      </c>
      <c r="X274" s="157">
        <f t="shared" si="112"/>
        <v>45186</v>
      </c>
      <c r="Y274" s="385">
        <f t="shared" si="113"/>
        <v>44.690475362727788</v>
      </c>
      <c r="Z274" s="385">
        <f t="shared" si="114"/>
        <v>46.617085124726792</v>
      </c>
      <c r="AA274" s="386">
        <f t="shared" si="115"/>
        <v>51.267174368671029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9.0703053195494085E-2</v>
      </c>
      <c r="AD274" s="231">
        <f>(INDEX(Models!$BJ274:$BT274,,AH274)*(1-AF274)+INDEX(Models!$BJ274:$BT274,,AH274+1)*AF274-ERP_i)*AE274*Ramure*Pc/MaxiM</f>
        <v>2.6728983164917943E-5</v>
      </c>
      <c r="AE274" s="305">
        <f t="shared" si="117"/>
        <v>0.5</v>
      </c>
      <c r="AF274" s="177">
        <f t="shared" si="118"/>
        <v>0.98913226237910967</v>
      </c>
      <c r="AG274" s="811">
        <f t="shared" si="124"/>
        <v>0</v>
      </c>
      <c r="AH274" s="176">
        <f t="shared" si="119"/>
        <v>6</v>
      </c>
      <c r="AI274" s="225">
        <f t="shared" si="120"/>
        <v>0.98913226237910967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411">
        <f>'2022'!Wh/'2022'!Env_an*'2023'!Env_an</f>
        <v>44.356302456657595</v>
      </c>
      <c r="C275" s="841"/>
      <c r="D275" s="393">
        <f t="shared" si="102"/>
        <v>46.269519420706288</v>
      </c>
      <c r="E275" s="385">
        <f t="shared" si="100"/>
        <v>49.572121213603339</v>
      </c>
      <c r="F275" s="385">
        <f t="shared" si="103"/>
        <v>49.573640129498486</v>
      </c>
      <c r="G275" s="110">
        <f t="shared" si="101"/>
        <v>1.0159673549059567</v>
      </c>
      <c r="H275" s="414" t="b">
        <f>Wh_hp&gt;='2022'!Maxi_hp</f>
        <v>1</v>
      </c>
      <c r="I275" s="390">
        <f>IF(H275,Wh_hp,'2022'!Maxi_hp)</f>
        <v>49.573640129498486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4.13494021118469E-2</v>
      </c>
      <c r="M275" s="845"/>
      <c r="N275" s="845"/>
      <c r="O275" s="48">
        <f>IF(t&lt;Tnet,'2022'!Resal+('2022'!Salim-'2022'!Resal)*(1-EXP(('2022'!Tnet-t)/('2022'!Tau_j))),Resal+(Salim-Resal)*(1-EXP((Tnet-t)/(Tau_j))))*Salcycl</f>
        <v>6.662216003762142E-2</v>
      </c>
      <c r="P275" s="169">
        <f>(INDEX(Models!$BJ275:$BT275,,T275)*(1-R275)+INDEX(Models!$BJ275:$BT275,,T275+1)*R275-ERP_i)*Q275*Ramure*Pc/MaxiM</f>
        <v>3.0639587715944429E-5</v>
      </c>
      <c r="Q275" s="305">
        <f t="shared" si="105"/>
        <v>0.5</v>
      </c>
      <c r="R275" s="177">
        <f t="shared" si="106"/>
        <v>0.98946589078896752</v>
      </c>
      <c r="S275" s="811">
        <f t="shared" si="107"/>
        <v>0</v>
      </c>
      <c r="T275" s="176">
        <f t="shared" si="108"/>
        <v>6</v>
      </c>
      <c r="U275" s="251">
        <f t="shared" si="109"/>
        <v>0.98946589078896752</v>
      </c>
      <c r="V275" s="383">
        <f t="shared" si="110"/>
        <v>43.65918082157615</v>
      </c>
      <c r="W275" s="402">
        <f t="shared" si="111"/>
        <v>44.356302456657595</v>
      </c>
      <c r="X275" s="157">
        <f t="shared" si="112"/>
        <v>45187</v>
      </c>
      <c r="Y275" s="385">
        <f t="shared" si="113"/>
        <v>43.211810566263637</v>
      </c>
      <c r="Z275" s="385">
        <f t="shared" si="114"/>
        <v>45.075662250100855</v>
      </c>
      <c r="AA275" s="386">
        <f t="shared" si="115"/>
        <v>49.572121213603339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9.0705397578762129E-2</v>
      </c>
      <c r="AD275" s="231">
        <f>(INDEX(Models!$BJ275:$BT275,,AH275)*(1-AF275)+INDEX(Models!$BJ275:$BT275,,AH275+1)*AF275-ERP_i)*AE275*Ramure*Pc/MaxiM</f>
        <v>3.0639587715944429E-5</v>
      </c>
      <c r="AE275" s="305">
        <f t="shared" si="117"/>
        <v>0.5</v>
      </c>
      <c r="AF275" s="177">
        <f t="shared" si="118"/>
        <v>0.98946589078896752</v>
      </c>
      <c r="AG275" s="811">
        <f t="shared" si="124"/>
        <v>0</v>
      </c>
      <c r="AH275" s="176">
        <f t="shared" si="119"/>
        <v>6</v>
      </c>
      <c r="AI275" s="225">
        <f t="shared" si="120"/>
        <v>0.98946589078896752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411">
        <f>'2022'!Wh/'2022'!Env_an*'2023'!Env_an</f>
        <v>43.214767342901666</v>
      </c>
      <c r="C276" s="841"/>
      <c r="D276" s="393">
        <f t="shared" si="102"/>
        <v>45.07973392302398</v>
      </c>
      <c r="E276" s="385">
        <f t="shared" si="100"/>
        <v>48.298909704678849</v>
      </c>
      <c r="F276" s="385">
        <f t="shared" si="103"/>
        <v>48.300648308933269</v>
      </c>
      <c r="G276" s="110">
        <f t="shared" si="101"/>
        <v>0.9962617860327001</v>
      </c>
      <c r="H276" s="414" t="b">
        <f>Wh_hp&gt;='2022'!Maxi_hp</f>
        <v>0</v>
      </c>
      <c r="I276" s="390">
        <f>IF(H276,Wh_hp,'2022'!Maxi_hp)</f>
        <v>48.300652137662098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4.1370399020252524E-2</v>
      </c>
      <c r="M276" s="845"/>
      <c r="N276" s="845"/>
      <c r="O276" s="48">
        <f>IF(t&lt;Tnet,'2022'!Resal+('2022'!Salim-'2022'!Resal)*(1-EXP(('2022'!Tnet-t)/('2022'!Tau_j))),Resal+(Salim-Resal)*(1-EXP((Tnet-t)/(Tau_j))))*Salcycl</f>
        <v>6.6651106646886005E-2</v>
      </c>
      <c r="P276" s="169">
        <f>(INDEX(Models!$BJ276:$BT276,,T276)*(1-R276)+INDEX(Models!$BJ276:$BT276,,T276+1)*R276-ERP_i)*Q276*Ramure*Pc/MaxiM</f>
        <v>3.6188712981106114E-5</v>
      </c>
      <c r="Q276" s="305">
        <f t="shared" si="105"/>
        <v>0.5</v>
      </c>
      <c r="R276" s="177">
        <f t="shared" si="106"/>
        <v>0.98978651175822918</v>
      </c>
      <c r="S276" s="811">
        <f t="shared" si="107"/>
        <v>0</v>
      </c>
      <c r="T276" s="176">
        <f t="shared" si="108"/>
        <v>6</v>
      </c>
      <c r="U276" s="251">
        <f t="shared" si="109"/>
        <v>0.98978651175822918</v>
      </c>
      <c r="V276" s="383">
        <f t="shared" si="110"/>
        <v>43.376911166578822</v>
      </c>
      <c r="W276" s="402">
        <f t="shared" si="111"/>
        <v>43.214767342901666</v>
      </c>
      <c r="X276" s="157">
        <f t="shared" si="112"/>
        <v>45188</v>
      </c>
      <c r="Y276" s="385">
        <f t="shared" si="113"/>
        <v>42.100967025921648</v>
      </c>
      <c r="Z276" s="385">
        <f t="shared" si="114"/>
        <v>43.917866695221207</v>
      </c>
      <c r="AA276" s="386">
        <f t="shared" si="115"/>
        <v>48.298909704678849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9.0706871775062745E-2</v>
      </c>
      <c r="AD276" s="231">
        <f>(INDEX(Models!$BJ276:$BT276,,AH276)*(1-AF276)+INDEX(Models!$BJ276:$BT276,,AH276+1)*AF276-ERP_i)*AE276*Ramure*Pc/MaxiM</f>
        <v>3.6188712981106114E-5</v>
      </c>
      <c r="AE276" s="305">
        <f t="shared" si="117"/>
        <v>0.5</v>
      </c>
      <c r="AF276" s="177">
        <f t="shared" si="118"/>
        <v>0.98978651175822918</v>
      </c>
      <c r="AG276" s="811">
        <f t="shared" si="124"/>
        <v>0</v>
      </c>
      <c r="AH276" s="176">
        <f t="shared" si="119"/>
        <v>6</v>
      </c>
      <c r="AI276" s="225">
        <f t="shared" si="120"/>
        <v>0.98978651175822918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411">
        <f>'2022'!Wh/'2022'!Env_an*'2023'!Env_an</f>
        <v>44.519309456207793</v>
      </c>
      <c r="C277" s="841"/>
      <c r="D277" s="393">
        <f t="shared" si="102"/>
        <v>46.441591746381526</v>
      </c>
      <c r="E277" s="385">
        <f t="shared" si="100"/>
        <v>49.759524653211791</v>
      </c>
      <c r="F277" s="385">
        <f t="shared" si="103"/>
        <v>49.761676374869339</v>
      </c>
      <c r="G277" s="110">
        <f t="shared" si="101"/>
        <v>1.033194140520195</v>
      </c>
      <c r="H277" s="414" t="b">
        <f>Wh_hp&gt;='2022'!Maxi_hp</f>
        <v>0</v>
      </c>
      <c r="I277" s="390">
        <f>IF(H277,Wh_hp,'2022'!Maxi_hp)</f>
        <v>49.76167637486936</v>
      </c>
      <c r="J277" s="85">
        <f>IF(H277,An,'2022'!An_max)</f>
        <v>2022</v>
      </c>
      <c r="K277" s="197">
        <f t="shared" si="104"/>
        <v>45189</v>
      </c>
      <c r="L277" s="147">
        <f>IF(t&lt;Tvie,1-EXP((T0-t)*PertePVj)+'2022'!Pspv,1-EXP((T0-t)*PertePVj)+Pspv)</f>
        <v>4.1391395468772019E-2</v>
      </c>
      <c r="M277" s="845"/>
      <c r="N277" s="845"/>
      <c r="O277" s="48">
        <f>IF(t&lt;Tnet,'2022'!Resal+('2022'!Salim-'2022'!Resal)*(1-EXP(('2022'!Tnet-t)/('2022'!Tau_j))),Resal+(Salim-Resal)*(1-EXP((Tnet-t)/(Tau_j))))*Salcycl</f>
        <v>6.667935294707647E-2</v>
      </c>
      <c r="P277" s="169">
        <f>(INDEX(Models!$BJ277:$BT277,,T277)*(1-R277)+INDEX(Models!$BJ277:$BT277,,T277+1)*R277-ERP_i)*Q277*Ramure*Pc/MaxiM</f>
        <v>4.3240537986329198E-5</v>
      </c>
      <c r="Q277" s="305">
        <f t="shared" si="105"/>
        <v>0.5</v>
      </c>
      <c r="R277" s="177">
        <f t="shared" si="106"/>
        <v>0.99009461620328787</v>
      </c>
      <c r="S277" s="811">
        <f t="shared" si="107"/>
        <v>0</v>
      </c>
      <c r="T277" s="176">
        <f t="shared" si="108"/>
        <v>6</v>
      </c>
      <c r="U277" s="251">
        <f t="shared" si="109"/>
        <v>0.99009461620328787</v>
      </c>
      <c r="V277" s="383">
        <f t="shared" si="110"/>
        <v>43.089006906091335</v>
      </c>
      <c r="W277" s="402">
        <f t="shared" si="111"/>
        <v>44.519309456207793</v>
      </c>
      <c r="X277" s="157">
        <f t="shared" si="112"/>
        <v>45189</v>
      </c>
      <c r="Y277" s="385">
        <f t="shared" si="113"/>
        <v>43.373171656088097</v>
      </c>
      <c r="Z277" s="385">
        <f t="shared" si="114"/>
        <v>45.245965299151621</v>
      </c>
      <c r="AA277" s="386">
        <f t="shared" si="115"/>
        <v>49.759524653211791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9.0707445167863665E-2</v>
      </c>
      <c r="AD277" s="231">
        <f>(INDEX(Models!$BJ277:$BT277,,AH277)*(1-AF277)+INDEX(Models!$BJ277:$BT277,,AH277+1)*AF277-ERP_i)*AE277*Ramure*Pc/MaxiM</f>
        <v>4.3240537986329198E-5</v>
      </c>
      <c r="AE277" s="305">
        <f t="shared" si="117"/>
        <v>0.5</v>
      </c>
      <c r="AF277" s="177">
        <f t="shared" si="118"/>
        <v>0.99009461620328787</v>
      </c>
      <c r="AG277" s="811">
        <f t="shared" si="124"/>
        <v>0</v>
      </c>
      <c r="AH277" s="176">
        <f t="shared" si="119"/>
        <v>6</v>
      </c>
      <c r="AI277" s="225">
        <f t="shared" si="120"/>
        <v>0.99009461620328787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411">
        <f>'2022'!Wh/'2022'!Env_an*'2023'!Env_an</f>
        <v>43.435954989413773</v>
      </c>
      <c r="C278" s="841"/>
      <c r="D278" s="393">
        <f t="shared" si="102"/>
        <v>45.312451989080934</v>
      </c>
      <c r="E278" s="385">
        <f t="shared" si="100"/>
        <v>48.55114732571063</v>
      </c>
      <c r="F278" s="385">
        <f t="shared" si="103"/>
        <v>48.553663283529339</v>
      </c>
      <c r="G278" s="110">
        <f t="shared" si="101"/>
        <v>1.014947969107177</v>
      </c>
      <c r="H278" s="414" t="b">
        <f>Wh_hp&gt;='2022'!Maxi_hp</f>
        <v>1</v>
      </c>
      <c r="I278" s="390">
        <f>IF(H278,Wh_hp,'2022'!Maxi_hp)</f>
        <v>48.553663283529339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4.1412391457415376E-2</v>
      </c>
      <c r="M278" s="845"/>
      <c r="N278" s="845"/>
      <c r="O278" s="48">
        <f>IF(t&lt;Tnet,'2022'!Resal+('2022'!Salim-'2022'!Resal)*(1-EXP(('2022'!Tnet-t)/('2022'!Tau_j))),Resal+(Salim-Resal)*(1-EXP((Tnet-t)/(Tau_j))))*Salcycl</f>
        <v>6.6706875429792867E-2</v>
      </c>
      <c r="P278" s="169">
        <f>(INDEX(Models!$BJ278:$BT278,,T278)*(1-R278)+INDEX(Models!$BJ278:$BT278,,T278+1)*R278-ERP_i)*Q278*Ramure*Pc/MaxiM</f>
        <v>5.1818084333123713E-5</v>
      </c>
      <c r="Q278" s="305">
        <f t="shared" si="105"/>
        <v>0.5</v>
      </c>
      <c r="R278" s="177">
        <f t="shared" si="106"/>
        <v>0.99039067777587553</v>
      </c>
      <c r="S278" s="811">
        <f t="shared" si="107"/>
        <v>0</v>
      </c>
      <c r="T278" s="176">
        <f t="shared" si="108"/>
        <v>6</v>
      </c>
      <c r="U278" s="251">
        <f t="shared" si="109"/>
        <v>0.99039067777587553</v>
      </c>
      <c r="V278" s="383">
        <f t="shared" si="110"/>
        <v>42.796238143737789</v>
      </c>
      <c r="W278" s="402">
        <f t="shared" si="111"/>
        <v>43.435954989413773</v>
      </c>
      <c r="X278" s="157">
        <f t="shared" si="112"/>
        <v>45190</v>
      </c>
      <c r="Y278" s="385">
        <f t="shared" si="113"/>
        <v>42.318972474080695</v>
      </c>
      <c r="Z278" s="385">
        <f t="shared" si="114"/>
        <v>44.147214189865778</v>
      </c>
      <c r="AA278" s="386">
        <f t="shared" si="115"/>
        <v>48.55114732571063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9.0707086823316255E-2</v>
      </c>
      <c r="AD278" s="231">
        <f>(INDEX(Models!$BJ278:$BT278,,AH278)*(1-AF278)+INDEX(Models!$BJ278:$BT278,,AH278+1)*AF278-ERP_i)*AE278*Ramure*Pc/MaxiM</f>
        <v>5.1818084333123713E-5</v>
      </c>
      <c r="AE278" s="305">
        <f t="shared" si="117"/>
        <v>0.5</v>
      </c>
      <c r="AF278" s="177">
        <f t="shared" si="118"/>
        <v>0.99039067777587553</v>
      </c>
      <c r="AG278" s="811">
        <f t="shared" si="124"/>
        <v>0</v>
      </c>
      <c r="AH278" s="176">
        <f t="shared" si="119"/>
        <v>6</v>
      </c>
      <c r="AI278" s="225">
        <f t="shared" si="120"/>
        <v>0.99039067777587553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411">
        <f>'2022'!Wh/'2022'!Env_an*'2023'!Env_an</f>
        <v>42.305908916743782</v>
      </c>
      <c r="C279" s="841"/>
      <c r="D279" s="393">
        <f t="shared" si="102"/>
        <v>44.134552927658042</v>
      </c>
      <c r="E279" s="385">
        <f t="shared" si="100"/>
        <v>47.29041494710637</v>
      </c>
      <c r="F279" s="385">
        <f t="shared" si="103"/>
        <v>47.293325464981599</v>
      </c>
      <c r="G279" s="110">
        <f t="shared" si="101"/>
        <v>0.99544739319030973</v>
      </c>
      <c r="H279" s="414" t="b">
        <f>Wh_hp&gt;='2022'!Maxi_hp</f>
        <v>0</v>
      </c>
      <c r="I279" s="390">
        <f>IF(H279,Wh_hp,'2022'!Maxi_hp)</f>
        <v>47.293332702379232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4.14333869861927E-2</v>
      </c>
      <c r="M279" s="845"/>
      <c r="N279" s="845"/>
      <c r="O279" s="48">
        <f>IF(t&lt;Tnet,'2022'!Resal+('2022'!Salim-'2022'!Resal)*(1-EXP(('2022'!Tnet-t)/('2022'!Tau_j))),Resal+(Salim-Resal)*(1-EXP((Tnet-t)/(Tau_j))))*Salcycl</f>
        <v>6.6733650423201188E-2</v>
      </c>
      <c r="P279" s="169">
        <f>(INDEX(Models!$BJ279:$BT279,,T279)*(1-R279)+INDEX(Models!$BJ279:$BT279,,T279+1)*R279-ERP_i)*Q279*Ramure*Pc/MaxiM</f>
        <v>6.1944667209313801E-5</v>
      </c>
      <c r="Q279" s="305">
        <f t="shared" si="105"/>
        <v>0.5</v>
      </c>
      <c r="R279" s="177">
        <f t="shared" si="106"/>
        <v>0.99067515337068568</v>
      </c>
      <c r="S279" s="811">
        <f t="shared" si="107"/>
        <v>0</v>
      </c>
      <c r="T279" s="176">
        <f t="shared" si="108"/>
        <v>6</v>
      </c>
      <c r="U279" s="251">
        <f t="shared" si="109"/>
        <v>0.99067515337068568</v>
      </c>
      <c r="V279" s="383">
        <f t="shared" si="110"/>
        <v>42.499374816569073</v>
      </c>
      <c r="W279" s="402">
        <f t="shared" si="111"/>
        <v>42.305908916743782</v>
      </c>
      <c r="X279" s="157">
        <f t="shared" si="112"/>
        <v>45191</v>
      </c>
      <c r="Y279" s="385">
        <f t="shared" si="113"/>
        <v>41.219228653272125</v>
      </c>
      <c r="Z279" s="385">
        <f t="shared" si="114"/>
        <v>43.000901652182201</v>
      </c>
      <c r="AA279" s="386">
        <f t="shared" si="115"/>
        <v>47.29041494710637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9.0705765633943503E-2</v>
      </c>
      <c r="AD279" s="231">
        <f>(INDEX(Models!$BJ279:$BT279,,AH279)*(1-AF279)+INDEX(Models!$BJ279:$BT279,,AH279+1)*AF279-ERP_i)*AE279*Ramure*Pc/MaxiM</f>
        <v>6.1944667209313801E-5</v>
      </c>
      <c r="AE279" s="305">
        <f t="shared" si="117"/>
        <v>0.5</v>
      </c>
      <c r="AF279" s="177">
        <f t="shared" si="118"/>
        <v>0.99067515337068568</v>
      </c>
      <c r="AG279" s="811">
        <f t="shared" si="124"/>
        <v>0</v>
      </c>
      <c r="AH279" s="176">
        <f t="shared" si="119"/>
        <v>6</v>
      </c>
      <c r="AI279" s="225">
        <f t="shared" si="120"/>
        <v>0.99067515337068568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411">
        <f>'2022'!Wh/'2022'!Env_an*'2023'!Env_an</f>
        <v>26.730559911504848</v>
      </c>
      <c r="C280" s="841"/>
      <c r="D280" s="393">
        <f t="shared" si="102"/>
        <v>27.886580889926712</v>
      </c>
      <c r="E280" s="385">
        <f t="shared" si="100"/>
        <v>29.881456599789306</v>
      </c>
      <c r="F280" s="385">
        <f t="shared" si="103"/>
        <v>29.882504865027155</v>
      </c>
      <c r="G280" s="110">
        <f t="shared" si="101"/>
        <v>0.63341336959190864</v>
      </c>
      <c r="H280" s="414" t="b">
        <f>Wh_hp&gt;='2022'!Maxi_hp</f>
        <v>0</v>
      </c>
      <c r="I280" s="390">
        <f>IF(H280,Wh_hp,'2022'!Maxi_hp)</f>
        <v>44.303472000025792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4.1454382055114092E-2</v>
      </c>
      <c r="M280" s="845"/>
      <c r="N280" s="845"/>
      <c r="O280" s="48">
        <f>IF(t&lt;Tnet,'2022'!Resal+('2022'!Salim-'2022'!Resal)*(1-EXP(('2022'!Tnet-t)/('2022'!Tau_j))),Resal+(Salim-Resal)*(1-EXP((Tnet-t)/(Tau_j))))*Salcycl</f>
        <v>6.6759654208980529E-2</v>
      </c>
      <c r="P280" s="169">
        <f>(INDEX(Models!$BJ280:$BT280,,T280)*(1-R280)+INDEX(Models!$BJ280:$BT280,,T280+1)*R280-ERP_i)*Q280*Ramure*Pc/MaxiM</f>
        <v>7.364400438878838E-5</v>
      </c>
      <c r="Q280" s="305">
        <f t="shared" si="105"/>
        <v>0.5</v>
      </c>
      <c r="R280" s="177">
        <f t="shared" si="106"/>
        <v>0.99094848362625099</v>
      </c>
      <c r="S280" s="811">
        <f t="shared" si="107"/>
        <v>0</v>
      </c>
      <c r="T280" s="176">
        <f t="shared" si="108"/>
        <v>6</v>
      </c>
      <c r="U280" s="251">
        <f t="shared" si="109"/>
        <v>0.99094848362625099</v>
      </c>
      <c r="V280" s="383">
        <f t="shared" si="110"/>
        <v>42.199186675638188</v>
      </c>
      <c r="W280" s="402">
        <f t="shared" si="111"/>
        <v>26.730559911504848</v>
      </c>
      <c r="X280" s="157">
        <f t="shared" si="112"/>
        <v>45192</v>
      </c>
      <c r="Y280" s="385">
        <f t="shared" si="113"/>
        <v>26.044743997569068</v>
      </c>
      <c r="Z280" s="385">
        <f t="shared" si="114"/>
        <v>27.171105380888172</v>
      </c>
      <c r="AA280" s="386">
        <f t="shared" si="115"/>
        <v>29.881456599789306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9.0703450477720202E-2</v>
      </c>
      <c r="AD280" s="231">
        <f>(INDEX(Models!$BJ280:$BT280,,AH280)*(1-AF280)+INDEX(Models!$BJ280:$BT280,,AH280+1)*AF280-ERP_i)*AE280*Ramure*Pc/MaxiM</f>
        <v>7.364400438878838E-5</v>
      </c>
      <c r="AE280" s="305">
        <f t="shared" si="117"/>
        <v>0.5</v>
      </c>
      <c r="AF280" s="177">
        <f t="shared" si="118"/>
        <v>0.99094848362625099</v>
      </c>
      <c r="AG280" s="811">
        <f t="shared" si="124"/>
        <v>0</v>
      </c>
      <c r="AH280" s="176">
        <f t="shared" si="119"/>
        <v>6</v>
      </c>
      <c r="AI280" s="225">
        <f t="shared" si="120"/>
        <v>0.99094848362625099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411">
        <f>'2022'!Wh/'2022'!Env_an*'2023'!Env_an</f>
        <v>16.757123068109493</v>
      </c>
      <c r="C281" s="841"/>
      <c r="D281" s="393">
        <f t="shared" si="102"/>
        <v>17.482204066695932</v>
      </c>
      <c r="E281" s="385">
        <f t="shared" si="100"/>
        <v>18.733305297334308</v>
      </c>
      <c r="F281" s="385">
        <f t="shared" si="103"/>
        <v>18.733537885973369</v>
      </c>
      <c r="G281" s="110">
        <f t="shared" si="101"/>
        <v>0.39993548198708656</v>
      </c>
      <c r="H281" s="414" t="b">
        <f>Wh_hp&gt;='2022'!Maxi_hp</f>
        <v>0</v>
      </c>
      <c r="I281" s="390">
        <f>IF(H281,Wh_hp,'2022'!Maxi_hp)</f>
        <v>40.249037915880088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4.1475376664189545E-2</v>
      </c>
      <c r="M281" s="845"/>
      <c r="N281" s="845"/>
      <c r="O281" s="48">
        <f>IF(t&lt;Tnet,'2022'!Resal+('2022'!Salim-'2022'!Resal)*(1-EXP(('2022'!Tnet-t)/('2022'!Tau_j))),Resal+(Salim-Resal)*(1-EXP((Tnet-t)/(Tau_j))))*Salcycl</f>
        <v>6.6784863150466292E-2</v>
      </c>
      <c r="P281" s="169">
        <f>(INDEX(Models!$BJ281:$BT281,,T281)*(1-R281)+INDEX(Models!$BJ281:$BT281,,T281+1)*R281-ERP_i)*Q281*Ramure*Pc/MaxiM</f>
        <v>8.6939573869713186E-5</v>
      </c>
      <c r="Q281" s="305">
        <f t="shared" si="105"/>
        <v>0.5</v>
      </c>
      <c r="R281" s="177">
        <f t="shared" si="106"/>
        <v>0.99121109341838698</v>
      </c>
      <c r="S281" s="811">
        <f t="shared" si="107"/>
        <v>0</v>
      </c>
      <c r="T281" s="176">
        <f t="shared" si="108"/>
        <v>6</v>
      </c>
      <c r="U281" s="251">
        <f t="shared" si="109"/>
        <v>0.99121109341838698</v>
      </c>
      <c r="V281" s="383">
        <f t="shared" si="110"/>
        <v>41.896443302358762</v>
      </c>
      <c r="W281" s="402">
        <f t="shared" si="111"/>
        <v>16.757123068109493</v>
      </c>
      <c r="X281" s="157">
        <f t="shared" si="112"/>
        <v>45193</v>
      </c>
      <c r="Y281" s="385">
        <f t="shared" si="113"/>
        <v>16.327692891287757</v>
      </c>
      <c r="Z281" s="385">
        <f t="shared" si="114"/>
        <v>17.034192438859755</v>
      </c>
      <c r="AA281" s="386">
        <f t="shared" si="115"/>
        <v>18.733305297334308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9.0700110391962296E-2</v>
      </c>
      <c r="AD281" s="231">
        <f>(INDEX(Models!$BJ281:$BT281,,AH281)*(1-AF281)+INDEX(Models!$BJ281:$BT281,,AH281+1)*AF281-ERP_i)*AE281*Ramure*Pc/MaxiM</f>
        <v>8.6939573869713186E-5</v>
      </c>
      <c r="AE281" s="305">
        <f t="shared" si="117"/>
        <v>0.5</v>
      </c>
      <c r="AF281" s="177">
        <f t="shared" si="118"/>
        <v>0.99121109341838698</v>
      </c>
      <c r="AG281" s="811">
        <f t="shared" si="124"/>
        <v>0</v>
      </c>
      <c r="AH281" s="176">
        <f t="shared" si="119"/>
        <v>6</v>
      </c>
      <c r="AI281" s="225">
        <f t="shared" si="120"/>
        <v>0.99121109341838698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411">
        <f>'2022'!Wh/'2022'!Env_an*'2023'!Env_an</f>
        <v>29.664322105768328</v>
      </c>
      <c r="C282" s="841"/>
      <c r="D282" s="393">
        <f t="shared" si="102"/>
        <v>30.948575678260923</v>
      </c>
      <c r="E282" s="385">
        <f t="shared" si="100"/>
        <v>33.164254794990192</v>
      </c>
      <c r="F282" s="385">
        <f t="shared" si="103"/>
        <v>33.166257684946999</v>
      </c>
      <c r="G282" s="110">
        <f t="shared" si="101"/>
        <v>0.71319372134157122</v>
      </c>
      <c r="H282" s="414" t="b">
        <f>Wh_hp&gt;='2022'!Maxi_hp</f>
        <v>0</v>
      </c>
      <c r="I282" s="390">
        <f>IF(H282,Wh_hp,'2022'!Maxi_hp)</f>
        <v>46.514117854235721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4.1496370813429273E-2</v>
      </c>
      <c r="M282" s="845"/>
      <c r="N282" s="845"/>
      <c r="O282" s="48">
        <f>IF(t&lt;Tnet,'2022'!Resal+('2022'!Salim-'2022'!Resal)*(1-EXP(('2022'!Tnet-t)/('2022'!Tau_j))),Resal+(Salim-Resal)*(1-EXP((Tnet-t)/(Tau_j))))*Salcycl</f>
        <v>6.6809253831446577E-2</v>
      </c>
      <c r="P282" s="169">
        <f>(INDEX(Models!$BJ282:$BT282,,T282)*(1-R282)+INDEX(Models!$BJ282:$BT282,,T282+1)*R282-ERP_i)*Q282*Ramure*Pc/MaxiM</f>
        <v>1.0229950353955608E-4</v>
      </c>
      <c r="Q282" s="305">
        <f t="shared" si="105"/>
        <v>0.5</v>
      </c>
      <c r="R282" s="177">
        <f t="shared" si="106"/>
        <v>0.99146339234560532</v>
      </c>
      <c r="S282" s="811">
        <f t="shared" si="107"/>
        <v>0</v>
      </c>
      <c r="T282" s="176">
        <f t="shared" si="108"/>
        <v>6</v>
      </c>
      <c r="U282" s="251">
        <f t="shared" si="109"/>
        <v>0.99146339234560532</v>
      </c>
      <c r="V282" s="383">
        <f t="shared" si="110"/>
        <v>41.591895592796533</v>
      </c>
      <c r="W282" s="402">
        <f t="shared" si="111"/>
        <v>29.664322105768328</v>
      </c>
      <c r="X282" s="157">
        <f t="shared" si="112"/>
        <v>45194</v>
      </c>
      <c r="Y282" s="385">
        <f t="shared" si="113"/>
        <v>28.905017886456584</v>
      </c>
      <c r="Z282" s="385">
        <f t="shared" si="114"/>
        <v>30.156399001834433</v>
      </c>
      <c r="AA282" s="386">
        <f t="shared" si="115"/>
        <v>33.164254794990192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9.0695714761247215E-2</v>
      </c>
      <c r="AD282" s="231">
        <f>(INDEX(Models!$BJ282:$BT282,,AH282)*(1-AF282)+INDEX(Models!$BJ282:$BT282,,AH282+1)*AF282-ERP_i)*AE282*Ramure*Pc/MaxiM</f>
        <v>1.0229950353955608E-4</v>
      </c>
      <c r="AE282" s="305">
        <f t="shared" si="117"/>
        <v>0.5</v>
      </c>
      <c r="AF282" s="177">
        <f t="shared" si="118"/>
        <v>0.99146339234560532</v>
      </c>
      <c r="AG282" s="811">
        <f t="shared" si="124"/>
        <v>0</v>
      </c>
      <c r="AH282" s="176">
        <f t="shared" si="119"/>
        <v>6</v>
      </c>
      <c r="AI282" s="225">
        <f t="shared" si="120"/>
        <v>0.99146339234560532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411">
        <f>'2022'!Wh/'2022'!Env_an*'2023'!Env_an</f>
        <v>31.992351074352481</v>
      </c>
      <c r="C283" s="841"/>
      <c r="D283" s="393">
        <f t="shared" si="102"/>
        <v>33.378122763547324</v>
      </c>
      <c r="E283" s="385">
        <f t="shared" si="100"/>
        <v>35.768641330496038</v>
      </c>
      <c r="F283" s="385">
        <f t="shared" si="103"/>
        <v>35.771543337747623</v>
      </c>
      <c r="G283" s="110">
        <f t="shared" si="101"/>
        <v>0.77486006764237791</v>
      </c>
      <c r="H283" s="414" t="b">
        <f>Wh_hp&gt;='2022'!Maxi_hp</f>
        <v>0</v>
      </c>
      <c r="I283" s="390">
        <f>IF(H283,Wh_hp,'2022'!Maxi_hp)</f>
        <v>46.475483095151723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4.1517364502843157E-2</v>
      </c>
      <c r="M283" s="845"/>
      <c r="N283" s="845"/>
      <c r="O283" s="48">
        <f>IF(t&lt;Tnet,'2022'!Resal+('2022'!Salim-'2022'!Resal)*(1-EXP(('2022'!Tnet-t)/('2022'!Tau_j))),Resal+(Salim-Resal)*(1-EXP((Tnet-t)/(Tau_j))))*Salcycl</f>
        <v>6.683280320492857E-2</v>
      </c>
      <c r="P283" s="169">
        <f>(INDEX(Models!$BJ283:$BT283,,T283)*(1-R283)+INDEX(Models!$BJ283:$BT283,,T283+1)*R283-ERP_i)*Q283*Ramure*Pc/MaxiM</f>
        <v>1.1958203797675046E-4</v>
      </c>
      <c r="Q283" s="305">
        <f t="shared" si="105"/>
        <v>0.5</v>
      </c>
      <c r="R283" s="177">
        <f t="shared" si="106"/>
        <v>0.99170577520598324</v>
      </c>
      <c r="S283" s="811">
        <f t="shared" si="107"/>
        <v>0</v>
      </c>
      <c r="T283" s="176">
        <f t="shared" si="108"/>
        <v>6</v>
      </c>
      <c r="U283" s="251">
        <f t="shared" si="109"/>
        <v>0.99170577520598324</v>
      </c>
      <c r="V283" s="383">
        <f t="shared" si="110"/>
        <v>41.286319963939668</v>
      </c>
      <c r="W283" s="402">
        <f t="shared" si="111"/>
        <v>31.992351074352481</v>
      </c>
      <c r="X283" s="157">
        <f t="shared" si="112"/>
        <v>45195</v>
      </c>
      <c r="Y283" s="385">
        <f t="shared" si="113"/>
        <v>31.174431960884025</v>
      </c>
      <c r="Z283" s="385">
        <f t="shared" si="114"/>
        <v>32.524774895597467</v>
      </c>
      <c r="AA283" s="386">
        <f t="shared" si="115"/>
        <v>35.768641330496038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9.0690233518399735E-2</v>
      </c>
      <c r="AD283" s="231">
        <f>(INDEX(Models!$BJ283:$BT283,,AH283)*(1-AF283)+INDEX(Models!$BJ283:$BT283,,AH283+1)*AF283-ERP_i)*AE283*Ramure*Pc/MaxiM</f>
        <v>1.1958203797675046E-4</v>
      </c>
      <c r="AE283" s="305">
        <f t="shared" si="117"/>
        <v>0.5</v>
      </c>
      <c r="AF283" s="177">
        <f t="shared" si="118"/>
        <v>0.99170577520598324</v>
      </c>
      <c r="AG283" s="811">
        <f t="shared" si="124"/>
        <v>0</v>
      </c>
      <c r="AH283" s="176">
        <f t="shared" si="119"/>
        <v>6</v>
      </c>
      <c r="AI283" s="225">
        <f t="shared" si="120"/>
        <v>0.99170577520598324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411">
        <f>'2022'!Wh/'2022'!Env_an*'2023'!Env_an</f>
        <v>14.460558231800986</v>
      </c>
      <c r="C284" s="841"/>
      <c r="D284" s="393">
        <f t="shared" si="102"/>
        <v>15.087258158385705</v>
      </c>
      <c r="E284" s="385">
        <f t="shared" si="100"/>
        <v>16.168190431932658</v>
      </c>
      <c r="F284" s="385">
        <f t="shared" si="103"/>
        <v>16.16835992718508</v>
      </c>
      <c r="G284" s="110">
        <f t="shared" si="101"/>
        <v>0.35281920888492585</v>
      </c>
      <c r="H284" s="414" t="b">
        <f>Wh_hp&gt;='2022'!Maxi_hp</f>
        <v>0</v>
      </c>
      <c r="I284" s="390">
        <f>IF(H284,Wh_hp,'2022'!Maxi_hp)</f>
        <v>45.12039737403196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4.15383577324413E-2</v>
      </c>
      <c r="M284" s="845"/>
      <c r="N284" s="845"/>
      <c r="O284" s="48">
        <f>IF(t&lt;Tnet,'2022'!Resal+('2022'!Salim-'2022'!Resal)*(1-EXP(('2022'!Tnet-t)/('2022'!Tau_j))),Resal+(Salim-Resal)*(1-EXP((Tnet-t)/(Tau_j))))*Salcycl</f>
        <v>6.6855488751052822E-2</v>
      </c>
      <c r="P284" s="169">
        <f>(INDEX(Models!$BJ284:$BT284,,T284)*(1-R284)+INDEX(Models!$BJ284:$BT284,,T284+1)*R284-ERP_i)*Q284*Ramure*Pc/MaxiM</f>
        <v>1.3881153196148831E-4</v>
      </c>
      <c r="Q284" s="305">
        <f t="shared" si="105"/>
        <v>0.5</v>
      </c>
      <c r="R284" s="177">
        <f t="shared" si="106"/>
        <v>0.99193862246505238</v>
      </c>
      <c r="S284" s="811">
        <f t="shared" si="107"/>
        <v>0</v>
      </c>
      <c r="T284" s="176">
        <f t="shared" si="108"/>
        <v>6</v>
      </c>
      <c r="U284" s="251">
        <f t="shared" si="109"/>
        <v>0.99193862246505238</v>
      </c>
      <c r="V284" s="383">
        <f t="shared" si="110"/>
        <v>40.980485608827522</v>
      </c>
      <c r="W284" s="402">
        <f t="shared" si="111"/>
        <v>14.460558231800986</v>
      </c>
      <c r="X284" s="157">
        <f t="shared" si="112"/>
        <v>45196</v>
      </c>
      <c r="Y284" s="385">
        <f t="shared" si="113"/>
        <v>14.091303173957037</v>
      </c>
      <c r="Z284" s="385">
        <f t="shared" si="114"/>
        <v>14.702000114078002</v>
      </c>
      <c r="AA284" s="386">
        <f t="shared" si="115"/>
        <v>16.168190431932658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9.0683637357393099E-2</v>
      </c>
      <c r="AD284" s="231">
        <f>(INDEX(Models!$BJ284:$BT284,,AH284)*(1-AF284)+INDEX(Models!$BJ284:$BT284,,AH284+1)*AF284-ERP_i)*AE284*Ramure*Pc/MaxiM</f>
        <v>1.3881153196148831E-4</v>
      </c>
      <c r="AE284" s="305">
        <f t="shared" si="117"/>
        <v>0.5</v>
      </c>
      <c r="AF284" s="177">
        <f t="shared" si="118"/>
        <v>0.99193862246505238</v>
      </c>
      <c r="AG284" s="811">
        <f t="shared" si="124"/>
        <v>0</v>
      </c>
      <c r="AH284" s="176">
        <f t="shared" si="119"/>
        <v>6</v>
      </c>
      <c r="AI284" s="225">
        <f t="shared" si="120"/>
        <v>0.99193862246505238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411">
        <f>'2022'!Wh/'2022'!Env_an*'2023'!Env_an</f>
        <v>16.616342978248365</v>
      </c>
      <c r="C285" s="841"/>
      <c r="D285" s="393">
        <f t="shared" si="102"/>
        <v>17.336851256210306</v>
      </c>
      <c r="E285" s="385">
        <f t="shared" si="100"/>
        <v>18.579390518747324</v>
      </c>
      <c r="F285" s="385">
        <f t="shared" si="103"/>
        <v>18.579851385560701</v>
      </c>
      <c r="G285" s="110">
        <f t="shared" si="101"/>
        <v>0.40845802834048728</v>
      </c>
      <c r="H285" s="414" t="b">
        <f>Wh_hp&gt;='2022'!Maxi_hp</f>
        <v>0</v>
      </c>
      <c r="I285" s="390">
        <f>IF(H285,Wh_hp,'2022'!Maxi_hp)</f>
        <v>42.169880552957594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4.1559350502234027E-2</v>
      </c>
      <c r="M285" s="845"/>
      <c r="N285" s="845"/>
      <c r="O285" s="48">
        <f>IF(t&lt;Tnet,'2022'!Resal+('2022'!Salim-'2022'!Resal)*(1-EXP(('2022'!Tnet-t)/('2022'!Tau_j))),Resal+(Salim-Resal)*(1-EXP((Tnet-t)/(Tau_j))))*Salcycl</f>
        <v>6.6877288643201069E-2</v>
      </c>
      <c r="P285" s="169">
        <f>(INDEX(Models!$BJ285:$BT285,,T285)*(1-R285)+INDEX(Models!$BJ285:$BT285,,T285+1)*R285-ERP_i)*Q285*Ramure*Pc/MaxiM</f>
        <v>1.6001047592116203E-4</v>
      </c>
      <c r="Q285" s="305">
        <f t="shared" si="105"/>
        <v>0.5</v>
      </c>
      <c r="R285" s="177">
        <f t="shared" si="106"/>
        <v>0.99216230071433908</v>
      </c>
      <c r="S285" s="811">
        <f t="shared" si="107"/>
        <v>0</v>
      </c>
      <c r="T285" s="176">
        <f t="shared" si="108"/>
        <v>6</v>
      </c>
      <c r="U285" s="251">
        <f t="shared" si="109"/>
        <v>0.99216230071433908</v>
      </c>
      <c r="V285" s="383">
        <f t="shared" si="110"/>
        <v>40.675161567363062</v>
      </c>
      <c r="W285" s="402">
        <f t="shared" si="111"/>
        <v>16.616342978248365</v>
      </c>
      <c r="X285" s="157">
        <f t="shared" si="112"/>
        <v>45197</v>
      </c>
      <c r="Y285" s="385">
        <f t="shared" si="113"/>
        <v>16.192555356376264</v>
      </c>
      <c r="Z285" s="385">
        <f t="shared" si="114"/>
        <v>16.894687599969128</v>
      </c>
      <c r="AA285" s="386">
        <f t="shared" si="115"/>
        <v>18.579390518747324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9.0675897956839072E-2</v>
      </c>
      <c r="AD285" s="231">
        <f>(INDEX(Models!$BJ285:$BT285,,AH285)*(1-AF285)+INDEX(Models!$BJ285:$BT285,,AH285+1)*AF285-ERP_i)*AE285*Ramure*Pc/MaxiM</f>
        <v>1.6001047592116203E-4</v>
      </c>
      <c r="AE285" s="305">
        <f t="shared" si="117"/>
        <v>0.5</v>
      </c>
      <c r="AF285" s="177">
        <f t="shared" si="118"/>
        <v>0.99216230071433908</v>
      </c>
      <c r="AG285" s="811">
        <f t="shared" si="124"/>
        <v>0</v>
      </c>
      <c r="AH285" s="176">
        <f t="shared" si="119"/>
        <v>6</v>
      </c>
      <c r="AI285" s="225">
        <f t="shared" si="120"/>
        <v>0.99216230071433908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411">
        <f>'2022'!Wh/'2022'!Env_an*'2023'!Env_an</f>
        <v>22.789744709179416</v>
      </c>
      <c r="C286" s="841"/>
      <c r="D286" s="393">
        <f t="shared" si="102"/>
        <v>23.778461280781684</v>
      </c>
      <c r="E286" s="385">
        <f t="shared" si="100"/>
        <v>25.483243971960679</v>
      </c>
      <c r="F286" s="385">
        <f t="shared" si="103"/>
        <v>25.485008163111946</v>
      </c>
      <c r="G286" s="110">
        <f t="shared" si="101"/>
        <v>0.56444183190970787</v>
      </c>
      <c r="H286" s="414" t="b">
        <f>Wh_hp&gt;='2022'!Maxi_hp</f>
        <v>0</v>
      </c>
      <c r="I286" s="390">
        <f>IF(H286,Wh_hp,'2022'!Maxi_hp)</f>
        <v>44.457549596928516</v>
      </c>
      <c r="J286" s="85">
        <f>IF(H286,An,'2022'!An_max)</f>
        <v>2019</v>
      </c>
      <c r="K286" s="197">
        <f t="shared" si="104"/>
        <v>45198</v>
      </c>
      <c r="L286" s="147">
        <f>IF(t&lt;Tvie,1-EXP((T0-t)*PertePVj)+'2022'!Pspv,1-EXP((T0-t)*PertePVj)+Pspv)</f>
        <v>4.1580342812231108E-2</v>
      </c>
      <c r="M286" s="845"/>
      <c r="N286" s="845"/>
      <c r="O286" s="48">
        <f>IF(t&lt;Tnet,'2022'!Resal+('2022'!Salim-'2022'!Resal)*(1-EXP(('2022'!Tnet-t)/('2022'!Tau_j))),Resal+(Salim-Resal)*(1-EXP((Tnet-t)/(Tau_j))))*Salcycl</f>
        <v>6.6898181921217548E-2</v>
      </c>
      <c r="P286" s="169">
        <f>(INDEX(Models!$BJ286:$BT286,,T286)*(1-R286)+INDEX(Models!$BJ286:$BT286,,T286+1)*R286-ERP_i)*Q286*Ramure*Pc/MaxiM</f>
        <v>1.8319899472035749E-4</v>
      </c>
      <c r="Q286" s="305">
        <f t="shared" si="105"/>
        <v>0.5</v>
      </c>
      <c r="R286" s="177">
        <f t="shared" si="106"/>
        <v>0.99237716312024937</v>
      </c>
      <c r="S286" s="811">
        <f t="shared" si="107"/>
        <v>0</v>
      </c>
      <c r="T286" s="176">
        <f t="shared" si="108"/>
        <v>6</v>
      </c>
      <c r="U286" s="251">
        <f t="shared" si="109"/>
        <v>0.99237716312024937</v>
      </c>
      <c r="V286" s="383">
        <f t="shared" si="110"/>
        <v>40.37111673028145</v>
      </c>
      <c r="W286" s="402">
        <f t="shared" si="111"/>
        <v>22.789744709179416</v>
      </c>
      <c r="X286" s="157">
        <f t="shared" si="112"/>
        <v>45198</v>
      </c>
      <c r="Y286" s="385">
        <f t="shared" si="113"/>
        <v>22.209223894701427</v>
      </c>
      <c r="Z286" s="385">
        <f t="shared" si="114"/>
        <v>23.172754991136731</v>
      </c>
      <c r="AA286" s="386">
        <f t="shared" si="115"/>
        <v>25.483243971960679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9.0666988212575669E-2</v>
      </c>
      <c r="AD286" s="231">
        <f>(INDEX(Models!$BJ286:$BT286,,AH286)*(1-AF286)+INDEX(Models!$BJ286:$BT286,,AH286+1)*AF286-ERP_i)*AE286*Ramure*Pc/MaxiM</f>
        <v>1.8319899472035749E-4</v>
      </c>
      <c r="AE286" s="305">
        <f t="shared" si="117"/>
        <v>0.5</v>
      </c>
      <c r="AF286" s="177">
        <f t="shared" si="118"/>
        <v>0.99237716312024937</v>
      </c>
      <c r="AG286" s="811">
        <f t="shared" si="124"/>
        <v>0</v>
      </c>
      <c r="AH286" s="176">
        <f t="shared" si="119"/>
        <v>6</v>
      </c>
      <c r="AI286" s="225">
        <f t="shared" si="120"/>
        <v>0.99237716312024937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411">
        <f>'2022'!Wh/'2022'!Env_an*'2023'!Env_an</f>
        <v>27.849339825159408</v>
      </c>
      <c r="C287" s="841"/>
      <c r="D287" s="393">
        <f t="shared" si="102"/>
        <v>29.058199716242925</v>
      </c>
      <c r="E287" s="385">
        <f t="shared" si="100"/>
        <v>31.14217651414053</v>
      </c>
      <c r="F287" s="385">
        <f t="shared" si="103"/>
        <v>31.14583937726087</v>
      </c>
      <c r="G287" s="110">
        <f t="shared" si="101"/>
        <v>0.69496937232379719</v>
      </c>
      <c r="H287" s="414" t="b">
        <f>Wh_hp&gt;='2022'!Maxi_hp</f>
        <v>0</v>
      </c>
      <c r="I287" s="390">
        <f>IF(H287,Wh_hp,'2022'!Maxi_hp)</f>
        <v>41.406216750872005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4.1601334662442646E-2</v>
      </c>
      <c r="M287" s="845"/>
      <c r="N287" s="845"/>
      <c r="O287" s="48">
        <f>IF(t&lt;Tnet,'2022'!Resal+('2022'!Salim-'2022'!Resal)*(1-EXP(('2022'!Tnet-t)/('2022'!Tau_j))),Resal+(Salim-Resal)*(1-EXP((Tnet-t)/(Tau_j))))*Salcycl</f>
        <v>6.6918148670544811E-2</v>
      </c>
      <c r="P287" s="169">
        <f>(INDEX(Models!$BJ287:$BT287,,T287)*(1-R287)+INDEX(Models!$BJ287:$BT287,,T287+1)*R287-ERP_i)*Q287*Ramure*Pc/MaxiM</f>
        <v>2.0839432223002918E-4</v>
      </c>
      <c r="Q287" s="305">
        <f t="shared" si="105"/>
        <v>0.5</v>
      </c>
      <c r="R287" s="177">
        <f t="shared" si="106"/>
        <v>0.9925835498630583</v>
      </c>
      <c r="S287" s="811">
        <f t="shared" si="107"/>
        <v>0</v>
      </c>
      <c r="T287" s="176">
        <f t="shared" si="108"/>
        <v>6</v>
      </c>
      <c r="U287" s="251">
        <f t="shared" si="109"/>
        <v>0.9925835498630583</v>
      </c>
      <c r="V287" s="383">
        <f t="shared" si="110"/>
        <v>40.069119842265586</v>
      </c>
      <c r="W287" s="402">
        <f t="shared" si="111"/>
        <v>27.849339825159408</v>
      </c>
      <c r="X287" s="157">
        <f t="shared" si="112"/>
        <v>45199</v>
      </c>
      <c r="Y287" s="385">
        <f t="shared" si="113"/>
        <v>27.140818848277636</v>
      </c>
      <c r="Z287" s="385">
        <f t="shared" si="114"/>
        <v>28.318923877798156</v>
      </c>
      <c r="AA287" s="386">
        <f t="shared" si="115"/>
        <v>31.14217651414053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9.0656882477704787E-2</v>
      </c>
      <c r="AD287" s="231">
        <f>(INDEX(Models!$BJ287:$BT287,,AH287)*(1-AF287)+INDEX(Models!$BJ287:$BT287,,AH287+1)*AF287-ERP_i)*AE287*Ramure*Pc/MaxiM</f>
        <v>2.0839432223002918E-4</v>
      </c>
      <c r="AE287" s="305">
        <f t="shared" si="117"/>
        <v>0.5</v>
      </c>
      <c r="AF287" s="177">
        <f t="shared" si="118"/>
        <v>0.9925835498630583</v>
      </c>
      <c r="AG287" s="811">
        <f t="shared" si="124"/>
        <v>0</v>
      </c>
      <c r="AH287" s="176">
        <f t="shared" si="119"/>
        <v>6</v>
      </c>
      <c r="AI287" s="225">
        <f t="shared" si="120"/>
        <v>0.9925835498630583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411">
        <f>'2022'!Wh/'2022'!Env_an*'2023'!Env_an</f>
        <v>33.399787735500254</v>
      </c>
      <c r="C288" s="841"/>
      <c r="D288" s="393">
        <f t="shared" si="102"/>
        <v>34.850339947863915</v>
      </c>
      <c r="E288" s="385">
        <f t="shared" si="100"/>
        <v>37.35047505381489</v>
      </c>
      <c r="F288" s="385">
        <f t="shared" si="103"/>
        <v>37.357262777466325</v>
      </c>
      <c r="G288" s="110">
        <f t="shared" si="101"/>
        <v>0.83977967155975608</v>
      </c>
      <c r="H288" s="414" t="b">
        <f>Wh_hp&gt;='2022'!Maxi_hp</f>
        <v>0</v>
      </c>
      <c r="I288" s="390">
        <f>IF(H288,Wh_hp,'2022'!Maxi_hp)</f>
        <v>43.530133856028712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4.1622326052878855E-2</v>
      </c>
      <c r="M288" s="845"/>
      <c r="N288" s="845"/>
      <c r="O288" s="48">
        <f>IF(t&lt;Tnet,'2022'!Resal+('2022'!Salim-'2022'!Resal)*(1-EXP(('2022'!Tnet-t)/('2022'!Tau_j))),Resal+(Salim-Resal)*(1-EXP((Tnet-t)/(Tau_j))))*Salcycl</f>
        <v>6.6937170205968136E-2</v>
      </c>
      <c r="P288" s="169">
        <f>(INDEX(Models!$BJ288:$BT288,,T288)*(1-R288)+INDEX(Models!$BJ288:$BT288,,T288+1)*R288-ERP_i)*Q288*Ramure*Pc/MaxiM</f>
        <v>2.3561025343635676E-4</v>
      </c>
      <c r="Q288" s="305">
        <f t="shared" si="105"/>
        <v>0.5</v>
      </c>
      <c r="R288" s="177">
        <f t="shared" si="106"/>
        <v>0.99278178856580657</v>
      </c>
      <c r="S288" s="811">
        <f t="shared" si="107"/>
        <v>0</v>
      </c>
      <c r="T288" s="176">
        <f t="shared" si="108"/>
        <v>6</v>
      </c>
      <c r="U288" s="251">
        <f t="shared" si="109"/>
        <v>0.99278178856580657</v>
      </c>
      <c r="V288" s="383">
        <f t="shared" si="110"/>
        <v>39.769939505506841</v>
      </c>
      <c r="W288" s="402">
        <f t="shared" si="111"/>
        <v>33.399787735500254</v>
      </c>
      <c r="X288" s="157">
        <f t="shared" si="112"/>
        <v>45200</v>
      </c>
      <c r="Y288" s="385">
        <f t="shared" si="113"/>
        <v>32.551125614597211</v>
      </c>
      <c r="Z288" s="385">
        <f t="shared" si="114"/>
        <v>33.964820445507613</v>
      </c>
      <c r="AA288" s="386">
        <f t="shared" si="115"/>
        <v>37.35047505381489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9.0645556808292158E-2</v>
      </c>
      <c r="AD288" s="231">
        <f>(INDEX(Models!$BJ288:$BT288,,AH288)*(1-AF288)+INDEX(Models!$BJ288:$BT288,,AH288+1)*AF288-ERP_i)*AE288*Ramure*Pc/MaxiM</f>
        <v>2.3561025343635676E-4</v>
      </c>
      <c r="AE288" s="305">
        <f t="shared" si="117"/>
        <v>0.5</v>
      </c>
      <c r="AF288" s="177">
        <f t="shared" si="118"/>
        <v>0.99278178856580657</v>
      </c>
      <c r="AG288" s="811">
        <f t="shared" si="124"/>
        <v>0</v>
      </c>
      <c r="AH288" s="176">
        <f t="shared" si="119"/>
        <v>6</v>
      </c>
      <c r="AI288" s="225">
        <f t="shared" si="120"/>
        <v>0.99278178856580657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411">
        <f>'2022'!Wh/'2022'!Env_an*'2023'!Env_an</f>
        <v>37.232092085707045</v>
      </c>
      <c r="C289" s="841"/>
      <c r="D289" s="393">
        <f t="shared" si="102"/>
        <v>38.849932123933399</v>
      </c>
      <c r="E289" s="385">
        <f t="shared" si="100"/>
        <v>41.637800609569481</v>
      </c>
      <c r="F289" s="385">
        <f t="shared" si="103"/>
        <v>41.647937446991804</v>
      </c>
      <c r="G289" s="110">
        <f t="shared" si="101"/>
        <v>0.94322284724386118</v>
      </c>
      <c r="H289" s="414" t="b">
        <f>Wh_hp&gt;='2022'!Maxi_hp</f>
        <v>0</v>
      </c>
      <c r="I289" s="390">
        <f>IF(H289,Wh_hp,'2022'!Maxi_hp)</f>
        <v>44.550821163435508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4.1643316983549838E-2</v>
      </c>
      <c r="M289" s="845"/>
      <c r="N289" s="845"/>
      <c r="O289" s="48">
        <f>IF(t&lt;Tnet,'2022'!Resal+('2022'!Salim-'2022'!Resal)*(1-EXP(('2022'!Tnet-t)/('2022'!Tau_j))),Resal+(Salim-Resal)*(1-EXP((Tnet-t)/(Tau_j))))*Salcycl</f>
        <v>6.6955229258563509E-2</v>
      </c>
      <c r="P289" s="169">
        <f>(INDEX(Models!$BJ289:$BT289,,T289)*(1-R289)+INDEX(Models!$BJ289:$BT289,,T289+1)*R289-ERP_i)*Q289*Ramure*Pc/MaxiM</f>
        <v>2.6486945640877903E-4</v>
      </c>
      <c r="Q289" s="305">
        <f t="shared" si="105"/>
        <v>0.5</v>
      </c>
      <c r="R289" s="177">
        <f t="shared" si="106"/>
        <v>0.99297219471296294</v>
      </c>
      <c r="S289" s="811">
        <f t="shared" si="107"/>
        <v>0</v>
      </c>
      <c r="T289" s="176">
        <f t="shared" si="108"/>
        <v>6</v>
      </c>
      <c r="U289" s="251">
        <f t="shared" si="109"/>
        <v>0.99297219471296294</v>
      </c>
      <c r="V289" s="383">
        <f t="shared" si="110"/>
        <v>39.472424152140491</v>
      </c>
      <c r="W289" s="402">
        <f t="shared" si="111"/>
        <v>37.232092085707045</v>
      </c>
      <c r="X289" s="157">
        <f t="shared" si="112"/>
        <v>45201</v>
      </c>
      <c r="Y289" s="385">
        <f t="shared" si="113"/>
        <v>36.287257961295808</v>
      </c>
      <c r="Z289" s="385">
        <f t="shared" si="114"/>
        <v>37.864042276077015</v>
      </c>
      <c r="AA289" s="386">
        <f t="shared" si="115"/>
        <v>41.637800609569481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9.0632989212815304E-2</v>
      </c>
      <c r="AD289" s="231">
        <f>(INDEX(Models!$BJ289:$BT289,,AH289)*(1-AF289)+INDEX(Models!$BJ289:$BT289,,AH289+1)*AF289-ERP_i)*AE289*Ramure*Pc/MaxiM</f>
        <v>2.6486945640877903E-4</v>
      </c>
      <c r="AE289" s="305">
        <f t="shared" si="117"/>
        <v>0.5</v>
      </c>
      <c r="AF289" s="177">
        <f t="shared" si="118"/>
        <v>0.99297219471296294</v>
      </c>
      <c r="AG289" s="811">
        <f t="shared" si="124"/>
        <v>0</v>
      </c>
      <c r="AH289" s="176">
        <f t="shared" si="119"/>
        <v>6</v>
      </c>
      <c r="AI289" s="225">
        <f t="shared" si="120"/>
        <v>0.99297219471296294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411">
        <f>'2022'!Wh/'2022'!Env_an*'2023'!Env_an</f>
        <v>33.865144602138997</v>
      </c>
      <c r="C290" s="841"/>
      <c r="D290" s="393">
        <f t="shared" si="102"/>
        <v>35.337455200261076</v>
      </c>
      <c r="E290" s="385">
        <f t="shared" si="100"/>
        <v>37.873961925488018</v>
      </c>
      <c r="F290" s="385">
        <f t="shared" si="103"/>
        <v>37.88293397700388</v>
      </c>
      <c r="G290" s="110">
        <f t="shared" si="101"/>
        <v>0.8644087096515406</v>
      </c>
      <c r="H290" s="414" t="b">
        <f>Wh_hp&gt;='2022'!Maxi_hp</f>
        <v>0</v>
      </c>
      <c r="I290" s="390">
        <f>IF(H290,Wh_hp,'2022'!Maxi_hp)</f>
        <v>42.516161138689995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4.1664307454465477E-2</v>
      </c>
      <c r="M290" s="845"/>
      <c r="N290" s="845"/>
      <c r="O290" s="48">
        <f>IF(t&lt;Tnet,'2022'!Resal+('2022'!Salim-'2022'!Resal)*(1-EXP(('2022'!Tnet-t)/('2022'!Tau_j))),Resal+(Salim-Resal)*(1-EXP((Tnet-t)/(Tau_j))))*Salcycl</f>
        <v>6.6972310164359908E-2</v>
      </c>
      <c r="P290" s="169">
        <f>(INDEX(Models!$BJ290:$BT290,,T290)*(1-R290)+INDEX(Models!$BJ290:$BT290,,T290+1)*R290-ERP_i)*Q290*Ramure*Pc/MaxiM</f>
        <v>2.9370723729661789E-4</v>
      </c>
      <c r="Q290" s="305">
        <f t="shared" si="105"/>
        <v>0.5</v>
      </c>
      <c r="R290" s="177">
        <f t="shared" si="106"/>
        <v>0.99315507205875098</v>
      </c>
      <c r="S290" s="811">
        <f t="shared" si="107"/>
        <v>0</v>
      </c>
      <c r="T290" s="176">
        <f t="shared" si="108"/>
        <v>6</v>
      </c>
      <c r="U290" s="251">
        <f t="shared" si="109"/>
        <v>0.99315507205875098</v>
      </c>
      <c r="V290" s="383">
        <f t="shared" si="110"/>
        <v>39.17500809875844</v>
      </c>
      <c r="W290" s="402">
        <f t="shared" si="111"/>
        <v>33.865144602138997</v>
      </c>
      <c r="X290" s="157">
        <f t="shared" si="112"/>
        <v>45202</v>
      </c>
      <c r="Y290" s="385">
        <f t="shared" si="113"/>
        <v>33.006859264501777</v>
      </c>
      <c r="Z290" s="385">
        <f t="shared" si="114"/>
        <v>34.441855313589379</v>
      </c>
      <c r="AA290" s="386">
        <f t="shared" si="115"/>
        <v>37.873961925488018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9.0619159903335619E-2</v>
      </c>
      <c r="AD290" s="231">
        <f>(INDEX(Models!$BJ290:$BT290,,AH290)*(1-AF290)+INDEX(Models!$BJ290:$BT290,,AH290+1)*AF290-ERP_i)*AE290*Ramure*Pc/MaxiM</f>
        <v>2.9370723729661789E-4</v>
      </c>
      <c r="AE290" s="305">
        <f t="shared" si="117"/>
        <v>0.5</v>
      </c>
      <c r="AF290" s="177">
        <f t="shared" si="118"/>
        <v>0.99315507205875098</v>
      </c>
      <c r="AG290" s="811">
        <f t="shared" si="124"/>
        <v>0</v>
      </c>
      <c r="AH290" s="176">
        <f t="shared" si="119"/>
        <v>6</v>
      </c>
      <c r="AI290" s="225">
        <f t="shared" si="120"/>
        <v>0.99315507205875098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411">
        <f>'2022'!Wh/'2022'!Env_an*'2023'!Env_an</f>
        <v>38.10674568264745</v>
      </c>
      <c r="C291" s="841"/>
      <c r="D291" s="393">
        <f t="shared" si="102"/>
        <v>39.764333764127954</v>
      </c>
      <c r="E291" s="385">
        <f t="shared" si="100"/>
        <v>42.619334769014607</v>
      </c>
      <c r="F291" s="385">
        <f t="shared" si="103"/>
        <v>42.632621265307016</v>
      </c>
      <c r="G291" s="110">
        <f t="shared" si="101"/>
        <v>0.98015972345687696</v>
      </c>
      <c r="H291" s="414" t="b">
        <f>Wh_hp&gt;='2022'!Maxi_hp</f>
        <v>0</v>
      </c>
      <c r="I291" s="390">
        <f>IF(H291,Wh_hp,'2022'!Maxi_hp)</f>
        <v>42.63273161899879</v>
      </c>
      <c r="J291" s="85">
        <f>IF(H291,An,'2022'!An_max)</f>
        <v>2022</v>
      </c>
      <c r="K291" s="197">
        <f t="shared" si="104"/>
        <v>45203</v>
      </c>
      <c r="L291" s="147">
        <f>IF(t&lt;Tvie,1-EXP((T0-t)*PertePVj)+'2022'!Pspv,1-EXP((T0-t)*PertePVj)+Pspv)</f>
        <v>4.1685297465635873E-2</v>
      </c>
      <c r="M291" s="845"/>
      <c r="N291" s="845"/>
      <c r="O291" s="48">
        <f>IF(t&lt;Tnet,'2022'!Resal+('2022'!Salim-'2022'!Resal)*(1-EXP(('2022'!Tnet-t)/('2022'!Tau_j))),Resal+(Salim-Resal)*(1-EXP((Tnet-t)/(Tau_j))))*Salcycl</f>
        <v>6.6988399053152639E-2</v>
      </c>
      <c r="P291" s="169">
        <f>(INDEX(Models!$BJ291:$BT291,,T291)*(1-R291)+INDEX(Models!$BJ291:$BT291,,T291+1)*R291-ERP_i)*Q291*Ramure*Pc/MaxiM</f>
        <v>3.207375998181637E-4</v>
      </c>
      <c r="Q291" s="305">
        <f t="shared" si="105"/>
        <v>0.5</v>
      </c>
      <c r="R291" s="177">
        <f t="shared" si="106"/>
        <v>0.99333071302508147</v>
      </c>
      <c r="S291" s="811">
        <f t="shared" si="107"/>
        <v>0</v>
      </c>
      <c r="T291" s="176">
        <f t="shared" si="108"/>
        <v>6</v>
      </c>
      <c r="U291" s="251">
        <f t="shared" si="109"/>
        <v>0.99333071302508147</v>
      </c>
      <c r="V291" s="383">
        <f t="shared" si="110"/>
        <v>38.877744514018367</v>
      </c>
      <c r="W291" s="402">
        <f t="shared" si="111"/>
        <v>38.10674568264745</v>
      </c>
      <c r="X291" s="157">
        <f t="shared" si="112"/>
        <v>45203</v>
      </c>
      <c r="Y291" s="385">
        <f t="shared" si="113"/>
        <v>37.142217843152117</v>
      </c>
      <c r="Z291" s="385">
        <f t="shared" si="114"/>
        <v>38.757850364734686</v>
      </c>
      <c r="AA291" s="386">
        <f t="shared" si="115"/>
        <v>42.619334769014607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9.0604051546279013E-2</v>
      </c>
      <c r="AD291" s="231">
        <f>(INDEX(Models!$BJ291:$BT291,,AH291)*(1-AF291)+INDEX(Models!$BJ291:$BT291,,AH291+1)*AF291-ERP_i)*AE291*Ramure*Pc/MaxiM</f>
        <v>3.207375998181637E-4</v>
      </c>
      <c r="AE291" s="305">
        <f t="shared" si="117"/>
        <v>0.5</v>
      </c>
      <c r="AF291" s="177">
        <f t="shared" si="118"/>
        <v>0.99333071302508147</v>
      </c>
      <c r="AG291" s="811">
        <f t="shared" si="124"/>
        <v>0</v>
      </c>
      <c r="AH291" s="176">
        <f t="shared" si="119"/>
        <v>6</v>
      </c>
      <c r="AI291" s="225">
        <f t="shared" si="120"/>
        <v>0.99333071302508147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411">
        <f>'2022'!Wh/'2022'!Env_an*'2023'!Env_an</f>
        <v>39.303898818439826</v>
      </c>
      <c r="C292" s="841"/>
      <c r="D292" s="393">
        <f t="shared" si="102"/>
        <v>41.014459644211392</v>
      </c>
      <c r="E292" s="385">
        <f t="shared" si="100"/>
        <v>43.959927976609137</v>
      </c>
      <c r="F292" s="385">
        <f t="shared" si="103"/>
        <v>43.975140189809309</v>
      </c>
      <c r="G292" s="110">
        <f t="shared" si="101"/>
        <v>1.018746872792742</v>
      </c>
      <c r="H292" s="414" t="b">
        <f>Wh_hp&gt;='2022'!Maxi_hp</f>
        <v>1</v>
      </c>
      <c r="I292" s="390">
        <f>IF(H292,Wh_hp,'2022'!Maxi_hp)</f>
        <v>43.975140189809309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4.1706287017071242E-2</v>
      </c>
      <c r="M292" s="845"/>
      <c r="N292" s="845"/>
      <c r="O292" s="48">
        <f>IF(t&lt;Tnet,'2022'!Resal+('2022'!Salim-'2022'!Resal)*(1-EXP(('2022'!Tnet-t)/('2022'!Tau_j))),Resal+(Salim-Resal)*(1-EXP((Tnet-t)/(Tau_j))))*Salcycl</f>
        <v>6.7003484035847646E-2</v>
      </c>
      <c r="P292" s="169">
        <f>(INDEX(Models!$BJ292:$BT292,,T292)*(1-R292)+INDEX(Models!$BJ292:$BT292,,T292+1)*R292-ERP_i)*Q292*Ramure*Pc/MaxiM</f>
        <v>3.4592756576810505E-4</v>
      </c>
      <c r="Q292" s="305">
        <f t="shared" si="105"/>
        <v>0.5</v>
      </c>
      <c r="R292" s="177">
        <f t="shared" si="106"/>
        <v>0.99349939908906315</v>
      </c>
      <c r="S292" s="811">
        <f t="shared" si="107"/>
        <v>0</v>
      </c>
      <c r="T292" s="176">
        <f t="shared" si="108"/>
        <v>6</v>
      </c>
      <c r="U292" s="251">
        <f t="shared" si="109"/>
        <v>0.99349939908906315</v>
      </c>
      <c r="V292" s="383">
        <f t="shared" si="110"/>
        <v>38.580632606698529</v>
      </c>
      <c r="W292" s="402">
        <f t="shared" si="111"/>
        <v>39.303898818439826</v>
      </c>
      <c r="X292" s="157">
        <f t="shared" si="112"/>
        <v>45204</v>
      </c>
      <c r="Y292" s="385">
        <f t="shared" si="113"/>
        <v>38.310379938489234</v>
      </c>
      <c r="Z292" s="385">
        <f t="shared" si="114"/>
        <v>39.977701428551171</v>
      </c>
      <c r="AA292" s="386">
        <f t="shared" si="115"/>
        <v>43.959927976609137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9.0587649510638232E-2</v>
      </c>
      <c r="AD292" s="231">
        <f>(INDEX(Models!$BJ292:$BT292,,AH292)*(1-AF292)+INDEX(Models!$BJ292:$BT292,,AH292+1)*AF292-ERP_i)*AE292*Ramure*Pc/MaxiM</f>
        <v>3.4592756576810505E-4</v>
      </c>
      <c r="AE292" s="305">
        <f t="shared" si="117"/>
        <v>0.5</v>
      </c>
      <c r="AF292" s="177">
        <f t="shared" si="118"/>
        <v>0.99349939908906315</v>
      </c>
      <c r="AG292" s="811">
        <f t="shared" si="124"/>
        <v>0</v>
      </c>
      <c r="AH292" s="176">
        <f t="shared" si="119"/>
        <v>6</v>
      </c>
      <c r="AI292" s="225">
        <f t="shared" si="120"/>
        <v>0.99349939908906315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411">
        <f>'2022'!Wh/'2022'!Env_an*'2023'!Env_an</f>
        <v>11.474051744811904</v>
      </c>
      <c r="C293" s="841"/>
      <c r="D293" s="393">
        <f t="shared" si="102"/>
        <v>11.973680830880479</v>
      </c>
      <c r="E293" s="385">
        <f t="shared" si="100"/>
        <v>12.833768630950603</v>
      </c>
      <c r="F293" s="385">
        <f t="shared" si="103"/>
        <v>12.833768630950603</v>
      </c>
      <c r="G293" s="110">
        <f t="shared" si="101"/>
        <v>0.29960070666680616</v>
      </c>
      <c r="H293" s="414" t="b">
        <f>Wh_hp&gt;='2022'!Maxi_hp</f>
        <v>0</v>
      </c>
      <c r="I293" s="390">
        <f>IF(H293,Wh_hp,'2022'!Maxi_hp)</f>
        <v>39.638043153684698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4.1727276108781575E-2</v>
      </c>
      <c r="M293" s="845"/>
      <c r="N293" s="845"/>
      <c r="O293" s="48">
        <f>IF(t&lt;Tnet,'2022'!Resal+('2022'!Salim-'2022'!Resal)*(1-EXP(('2022'!Tnet-t)/('2022'!Tau_j))),Resal+(Salim-Resal)*(1-EXP((Tnet-t)/(Tau_j))))*Salcycl</f>
        <v>6.7017555388671282E-2</v>
      </c>
      <c r="P293" s="169">
        <f>(INDEX(Models!$BJ293:$BT293,,T293)*(1-R293)+INDEX(Models!$BJ293:$BT293,,T293+1)*R293-ERP_i)*Q293*Ramure*Pc/MaxiM</f>
        <v>3.6924456644009862E-4</v>
      </c>
      <c r="Q293" s="305">
        <f t="shared" si="105"/>
        <v>0.5</v>
      </c>
      <c r="R293" s="177">
        <f t="shared" si="106"/>
        <v>0.99366140116010238</v>
      </c>
      <c r="S293" s="811">
        <f t="shared" si="107"/>
        <v>0</v>
      </c>
      <c r="T293" s="176">
        <f t="shared" si="108"/>
        <v>6</v>
      </c>
      <c r="U293" s="251">
        <f t="shared" si="109"/>
        <v>0.99366140116010238</v>
      </c>
      <c r="V293" s="383">
        <f t="shared" si="110"/>
        <v>38.283671427737865</v>
      </c>
      <c r="W293" s="402">
        <f t="shared" si="111"/>
        <v>11.474051744811904</v>
      </c>
      <c r="X293" s="157">
        <f t="shared" si="112"/>
        <v>45205</v>
      </c>
      <c r="Y293" s="385">
        <f t="shared" si="113"/>
        <v>11.184398594818827</v>
      </c>
      <c r="Z293" s="385">
        <f t="shared" si="114"/>
        <v>11.671414948974862</v>
      </c>
      <c r="AA293" s="386">
        <f t="shared" si="115"/>
        <v>12.833768630950603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9.0569942111356702E-2</v>
      </c>
      <c r="AD293" s="231">
        <f>(INDEX(Models!$BJ293:$BT293,,AH293)*(1-AF293)+INDEX(Models!$BJ293:$BT293,,AH293+1)*AF293-ERP_i)*AE293*Ramure*Pc/MaxiM</f>
        <v>3.6924456644009862E-4</v>
      </c>
      <c r="AE293" s="305">
        <f t="shared" si="117"/>
        <v>0.5</v>
      </c>
      <c r="AF293" s="177">
        <f t="shared" si="118"/>
        <v>0.99366140116010238</v>
      </c>
      <c r="AG293" s="811">
        <f t="shared" si="124"/>
        <v>0</v>
      </c>
      <c r="AH293" s="176">
        <f t="shared" si="119"/>
        <v>6</v>
      </c>
      <c r="AI293" s="225">
        <f t="shared" si="120"/>
        <v>0.99366140116010238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411">
        <f>'2022'!Wh/'2022'!Env_an*'2023'!Env_an</f>
        <v>28.04582137338306</v>
      </c>
      <c r="C294" s="841"/>
      <c r="D294" s="393">
        <f t="shared" si="102"/>
        <v>29.267696933307612</v>
      </c>
      <c r="E294" s="385">
        <f t="shared" si="100"/>
        <v>31.370479153057502</v>
      </c>
      <c r="F294" s="385">
        <f t="shared" si="103"/>
        <v>31.378154519896739</v>
      </c>
      <c r="G294" s="110">
        <f t="shared" si="101"/>
        <v>0.73819537698130688</v>
      </c>
      <c r="H294" s="414" t="b">
        <f>Wh_hp&gt;='2022'!Maxi_hp</f>
        <v>0</v>
      </c>
      <c r="I294" s="390">
        <f>IF(H294,Wh_hp,'2022'!Maxi_hp)</f>
        <v>42.817625020301556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4.1748264740776975E-2</v>
      </c>
      <c r="M294" s="845"/>
      <c r="N294" s="845"/>
      <c r="O294" s="48">
        <f>IF(t&lt;Tnet,'2022'!Resal+('2022'!Salim-'2022'!Resal)*(1-EXP(('2022'!Tnet-t)/('2022'!Tau_j))),Resal+(Salim-Resal)*(1-EXP((Tnet-t)/(Tau_j))))*Salcycl</f>
        <v>6.703060573255358E-2</v>
      </c>
      <c r="P294" s="169">
        <f>(INDEX(Models!$BJ294:$BT294,,T294)*(1-R294)+INDEX(Models!$BJ294:$BT294,,T294+1)*R294-ERP_i)*Q294*Ramure*Pc/MaxiM</f>
        <v>3.9065655147653232E-4</v>
      </c>
      <c r="Q294" s="305">
        <f t="shared" si="105"/>
        <v>0.5</v>
      </c>
      <c r="R294" s="177">
        <f t="shared" si="106"/>
        <v>0.99381697994662521</v>
      </c>
      <c r="S294" s="811">
        <f t="shared" si="107"/>
        <v>0</v>
      </c>
      <c r="T294" s="176">
        <f t="shared" si="108"/>
        <v>6</v>
      </c>
      <c r="U294" s="251">
        <f t="shared" si="109"/>
        <v>0.99381697994662521</v>
      </c>
      <c r="V294" s="383">
        <f t="shared" si="110"/>
        <v>37.986859862864762</v>
      </c>
      <c r="W294" s="402">
        <f t="shared" si="111"/>
        <v>28.04582137338306</v>
      </c>
      <c r="X294" s="157">
        <f t="shared" si="112"/>
        <v>45206</v>
      </c>
      <c r="Y294" s="385">
        <f t="shared" si="113"/>
        <v>27.338781506523542</v>
      </c>
      <c r="Z294" s="385">
        <f t="shared" si="114"/>
        <v>28.529853378379688</v>
      </c>
      <c r="AA294" s="386">
        <f t="shared" si="115"/>
        <v>31.370479153057502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9.0550920845624258E-2</v>
      </c>
      <c r="AD294" s="231">
        <f>(INDEX(Models!$BJ294:$BT294,,AH294)*(1-AF294)+INDEX(Models!$BJ294:$BT294,,AH294+1)*AF294-ERP_i)*AE294*Ramure*Pc/MaxiM</f>
        <v>3.9065655147653232E-4</v>
      </c>
      <c r="AE294" s="305">
        <f t="shared" si="117"/>
        <v>0.5</v>
      </c>
      <c r="AF294" s="177">
        <f t="shared" si="118"/>
        <v>0.99381697994662521</v>
      </c>
      <c r="AG294" s="811">
        <f t="shared" si="124"/>
        <v>0</v>
      </c>
      <c r="AH294" s="176">
        <f t="shared" si="119"/>
        <v>6</v>
      </c>
      <c r="AI294" s="225">
        <f t="shared" si="120"/>
        <v>0.99381697994662521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411">
        <f>'2022'!Wh/'2022'!Env_an*'2023'!Env_an</f>
        <v>15.286504528246898</v>
      </c>
      <c r="C295" s="841"/>
      <c r="D295" s="393">
        <f t="shared" si="102"/>
        <v>15.952842856189497</v>
      </c>
      <c r="E295" s="385">
        <f t="shared" si="100"/>
        <v>17.099219506365639</v>
      </c>
      <c r="F295" s="385">
        <f t="shared" si="103"/>
        <v>17.100277353793359</v>
      </c>
      <c r="G295" s="110">
        <f t="shared" si="101"/>
        <v>0.40544177864644743</v>
      </c>
      <c r="H295" s="414" t="b">
        <f>Wh_hp&gt;='2022'!Maxi_hp</f>
        <v>0</v>
      </c>
      <c r="I295" s="390">
        <f>IF(H295,Wh_hp,'2022'!Maxi_hp)</f>
        <v>40.412475476580589</v>
      </c>
      <c r="J295" s="85">
        <f>IF(H295,An,'2022'!An_max)</f>
        <v>2019</v>
      </c>
      <c r="K295" s="197">
        <f t="shared" si="104"/>
        <v>45207</v>
      </c>
      <c r="L295" s="147">
        <f>IF(t&lt;Tvie,1-EXP((T0-t)*PertePVj)+'2022'!Pspv,1-EXP((T0-t)*PertePVj)+Pspv)</f>
        <v>4.1769252913067323E-2</v>
      </c>
      <c r="M295" s="845"/>
      <c r="N295" s="845"/>
      <c r="O295" s="48">
        <f>IF(t&lt;Tnet,'2022'!Resal+('2022'!Salim-'2022'!Resal)*(1-EXP(('2022'!Tnet-t)/('2022'!Tau_j))),Resal+(Salim-Resal)*(1-EXP((Tnet-t)/(Tau_j))))*Salcycl</f>
        <v>6.7042630205979462E-2</v>
      </c>
      <c r="P295" s="169">
        <f>(INDEX(Models!$BJ295:$BT295,,T295)*(1-R295)+INDEX(Models!$BJ295:$BT295,,T295+1)*R295-ERP_i)*Q295*Ramure*Pc/MaxiM</f>
        <v>4.1013209594186373E-4</v>
      </c>
      <c r="Q295" s="305">
        <f t="shared" si="105"/>
        <v>0.5</v>
      </c>
      <c r="R295" s="177">
        <f t="shared" si="106"/>
        <v>0.99396638631248635</v>
      </c>
      <c r="S295" s="811">
        <f t="shared" si="107"/>
        <v>0</v>
      </c>
      <c r="T295" s="176">
        <f t="shared" si="108"/>
        <v>6</v>
      </c>
      <c r="U295" s="251">
        <f t="shared" si="109"/>
        <v>0.99396638631248635</v>
      </c>
      <c r="V295" s="383">
        <f t="shared" si="110"/>
        <v>37.690196626076471</v>
      </c>
      <c r="W295" s="402">
        <f t="shared" si="111"/>
        <v>15.286504528246898</v>
      </c>
      <c r="X295" s="157">
        <f t="shared" si="112"/>
        <v>45207</v>
      </c>
      <c r="Y295" s="385">
        <f t="shared" si="113"/>
        <v>14.901654510459423</v>
      </c>
      <c r="Z295" s="385">
        <f t="shared" si="114"/>
        <v>15.55121723630886</v>
      </c>
      <c r="AA295" s="386">
        <f t="shared" si="115"/>
        <v>17.099219506365639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9.0530580619805123E-2</v>
      </c>
      <c r="AD295" s="231">
        <f>(INDEX(Models!$BJ295:$BT295,,AH295)*(1-AF295)+INDEX(Models!$BJ295:$BT295,,AH295+1)*AF295-ERP_i)*AE295*Ramure*Pc/MaxiM</f>
        <v>4.1013209594186373E-4</v>
      </c>
      <c r="AE295" s="305">
        <f t="shared" si="117"/>
        <v>0.5</v>
      </c>
      <c r="AF295" s="177">
        <f t="shared" si="118"/>
        <v>0.99396638631248635</v>
      </c>
      <c r="AG295" s="811">
        <f t="shared" si="124"/>
        <v>0</v>
      </c>
      <c r="AH295" s="176">
        <f t="shared" si="119"/>
        <v>6</v>
      </c>
      <c r="AI295" s="225">
        <f t="shared" si="120"/>
        <v>0.99396638631248635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411">
        <f>'2022'!Wh/'2022'!Env_an*'2023'!Env_an</f>
        <v>35.954163464871264</v>
      </c>
      <c r="C296" s="841"/>
      <c r="D296" s="393">
        <f t="shared" si="102"/>
        <v>37.522226332100324</v>
      </c>
      <c r="E296" s="385">
        <f t="shared" si="100"/>
        <v>40.219060176574075</v>
      </c>
      <c r="F296" s="385">
        <f t="shared" si="103"/>
        <v>40.23527250474941</v>
      </c>
      <c r="G296" s="110">
        <f t="shared" si="101"/>
        <v>0.96147998035457261</v>
      </c>
      <c r="H296" s="414" t="b">
        <f>Wh_hp&gt;='2022'!Maxi_hp</f>
        <v>0</v>
      </c>
      <c r="I296" s="390">
        <f>IF(H296,Wh_hp,'2022'!Maxi_hp)</f>
        <v>40.235517573950581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4.1790240625662944E-2</v>
      </c>
      <c r="M296" s="845"/>
      <c r="N296" s="845"/>
      <c r="O296" s="48">
        <f>IF(t&lt;Tnet,'2022'!Resal+('2022'!Salim-'2022'!Resal)*(1-EXP(('2022'!Tnet-t)/('2022'!Tau_j))),Resal+(Salim-Resal)*(1-EXP((Tnet-t)/(Tau_j))))*Salcycl</f>
        <v>6.7053626629608412E-2</v>
      </c>
      <c r="P296" s="169">
        <f>(INDEX(Models!$BJ296:$BT296,,T296)*(1-R296)+INDEX(Models!$BJ296:$BT296,,T296+1)*R296-ERP_i)*Q296*Ramure*Pc/MaxiM</f>
        <v>4.2638799193014368E-4</v>
      </c>
      <c r="Q296" s="305">
        <f t="shared" si="105"/>
        <v>0.5</v>
      </c>
      <c r="R296" s="177">
        <f t="shared" si="106"/>
        <v>0.99410986162314896</v>
      </c>
      <c r="S296" s="811">
        <f t="shared" si="107"/>
        <v>0</v>
      </c>
      <c r="T296" s="176">
        <f t="shared" si="108"/>
        <v>6</v>
      </c>
      <c r="U296" s="251">
        <f t="shared" si="109"/>
        <v>0.99410986162314896</v>
      </c>
      <c r="V296" s="383">
        <f t="shared" si="110"/>
        <v>37.393727110163809</v>
      </c>
      <c r="W296" s="402">
        <f t="shared" si="111"/>
        <v>35.954163464871264</v>
      </c>
      <c r="X296" s="157">
        <f t="shared" si="112"/>
        <v>45208</v>
      </c>
      <c r="Y296" s="385">
        <f t="shared" si="113"/>
        <v>35.05023642816392</v>
      </c>
      <c r="Z296" s="385">
        <f t="shared" si="114"/>
        <v>36.578876477995763</v>
      </c>
      <c r="AA296" s="386">
        <f t="shared" si="115"/>
        <v>40.219060176574075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9.0508919964732648E-2</v>
      </c>
      <c r="AD296" s="231">
        <f>(INDEX(Models!$BJ296:$BT296,,AH296)*(1-AF296)+INDEX(Models!$BJ296:$BT296,,AH296+1)*AF296-ERP_i)*AE296*Ramure*Pc/MaxiM</f>
        <v>4.2638799193014368E-4</v>
      </c>
      <c r="AE296" s="305">
        <f t="shared" si="117"/>
        <v>0.5</v>
      </c>
      <c r="AF296" s="177">
        <f t="shared" si="118"/>
        <v>0.99410986162314896</v>
      </c>
      <c r="AG296" s="811">
        <f t="shared" si="124"/>
        <v>0</v>
      </c>
      <c r="AH296" s="176">
        <f t="shared" si="119"/>
        <v>6</v>
      </c>
      <c r="AI296" s="225">
        <f t="shared" si="120"/>
        <v>0.99410986162314896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411">
        <f>'2022'!Wh/'2022'!Env_an*'2023'!Env_an</f>
        <v>29.633673352680393</v>
      </c>
      <c r="C297" s="841"/>
      <c r="D297" s="393">
        <f t="shared" si="102"/>
        <v>30.92675912604523</v>
      </c>
      <c r="E297" s="385">
        <f t="shared" ref="E297:E360" si="125">Wh_pvt/(1-Psa)</f>
        <v>33.149911378961299</v>
      </c>
      <c r="F297" s="385">
        <f t="shared" si="103"/>
        <v>33.160282377610336</v>
      </c>
      <c r="G297" s="110">
        <f t="shared" ref="G297:G360" si="126">+Wh_hp/MaxiM</f>
        <v>0.79870504575958157</v>
      </c>
      <c r="H297" s="414" t="b">
        <f>Wh_hp&gt;='2022'!Maxi_hp</f>
        <v>0</v>
      </c>
      <c r="I297" s="390">
        <f>IF(H297,Wh_hp,'2022'!Maxi_hp)</f>
        <v>33.161350482065217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4.181122787857372E-2</v>
      </c>
      <c r="M297" s="845"/>
      <c r="N297" s="845"/>
      <c r="O297" s="48">
        <f>IF(t&lt;Tnet,'2022'!Resal+('2022'!Salim-'2022'!Resal)*(1-EXP(('2022'!Tnet-t)/('2022'!Tau_j))),Resal+(Salim-Resal)*(1-EXP((Tnet-t)/(Tau_j))))*Salcycl</f>
        <v>6.7063595660982758E-2</v>
      </c>
      <c r="P297" s="169">
        <f>(INDEX(Models!$BJ297:$BT297,,T297)*(1-R297)+INDEX(Models!$BJ297:$BT297,,T297+1)*R297-ERP_i)*Q297*Ramure*Pc/MaxiM</f>
        <v>4.3890331642049293E-4</v>
      </c>
      <c r="Q297" s="305">
        <f t="shared" si="105"/>
        <v>0.5</v>
      </c>
      <c r="R297" s="177">
        <f t="shared" si="106"/>
        <v>0.99424763808173999</v>
      </c>
      <c r="S297" s="811">
        <f t="shared" si="107"/>
        <v>0</v>
      </c>
      <c r="T297" s="176">
        <f t="shared" si="108"/>
        <v>6</v>
      </c>
      <c r="U297" s="251">
        <f t="shared" si="109"/>
        <v>0.99424763808173999</v>
      </c>
      <c r="V297" s="383">
        <f t="shared" si="110"/>
        <v>37.097466783050578</v>
      </c>
      <c r="W297" s="402">
        <f t="shared" si="111"/>
        <v>29.633673352680393</v>
      </c>
      <c r="X297" s="157">
        <f t="shared" si="112"/>
        <v>45209</v>
      </c>
      <c r="Y297" s="385">
        <f t="shared" si="113"/>
        <v>28.8896889452446</v>
      </c>
      <c r="Z297" s="385">
        <f t="shared" si="114"/>
        <v>30.150310445908211</v>
      </c>
      <c r="AA297" s="386">
        <f t="shared" si="115"/>
        <v>33.149911378961299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9.0485941237139947E-2</v>
      </c>
      <c r="AD297" s="231">
        <f>(INDEX(Models!$BJ297:$BT297,,AH297)*(1-AF297)+INDEX(Models!$BJ297:$BT297,,AH297+1)*AF297-ERP_i)*AE297*Ramure*Pc/MaxiM</f>
        <v>4.3890331642049293E-4</v>
      </c>
      <c r="AE297" s="305">
        <f t="shared" si="117"/>
        <v>0.5</v>
      </c>
      <c r="AF297" s="177">
        <f t="shared" si="118"/>
        <v>0.99424763808173999</v>
      </c>
      <c r="AG297" s="811">
        <f t="shared" si="124"/>
        <v>0</v>
      </c>
      <c r="AH297" s="176">
        <f t="shared" si="119"/>
        <v>6</v>
      </c>
      <c r="AI297" s="225">
        <f t="shared" si="120"/>
        <v>0.99424763808173999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411">
        <f>'2022'!Wh/'2022'!Env_an*'2023'!Env_an</f>
        <v>21.550025926350369</v>
      </c>
      <c r="C298" s="841"/>
      <c r="D298" s="393">
        <f t="shared" si="102"/>
        <v>22.49086877719343</v>
      </c>
      <c r="E298" s="385">
        <f t="shared" si="125"/>
        <v>24.107843068312036</v>
      </c>
      <c r="F298" s="385">
        <f t="shared" si="103"/>
        <v>24.112246386462239</v>
      </c>
      <c r="G298" s="110">
        <f t="shared" si="126"/>
        <v>0.58542083353649299</v>
      </c>
      <c r="H298" s="414" t="b">
        <f>Wh_hp&gt;='2022'!Maxi_hp</f>
        <v>0</v>
      </c>
      <c r="I298" s="390">
        <f>IF(H298,Wh_hp,'2022'!Maxi_hp)</f>
        <v>42.375150802238252</v>
      </c>
      <c r="J298" s="85">
        <f>IF(H298,An,'2022'!An_max)</f>
        <v>2019</v>
      </c>
      <c r="K298" s="197">
        <f t="shared" si="104"/>
        <v>45210</v>
      </c>
      <c r="L298" s="147">
        <f>IF(t&lt;Tvie,1-EXP((T0-t)*PertePVj)+'2022'!Pspv,1-EXP((T0-t)*PertePVj)+Pspv)</f>
        <v>4.1832214671809864E-2</v>
      </c>
      <c r="M298" s="845"/>
      <c r="N298" s="845"/>
      <c r="O298" s="48">
        <f>IF(t&lt;Tnet,'2022'!Resal+('2022'!Salim-'2022'!Resal)*(1-EXP(('2022'!Tnet-t)/('2022'!Tau_j))),Resal+(Salim-Resal)*(1-EXP((Tnet-t)/(Tau_j))))*Salcycl</f>
        <v>6.7072540937683486E-2</v>
      </c>
      <c r="P298" s="169">
        <f>(INDEX(Models!$BJ298:$BT298,,T298)*(1-R298)+INDEX(Models!$BJ298:$BT298,,T298+1)*R298-ERP_i)*Q298*Ramure*Pc/MaxiM</f>
        <v>4.4762945431688235E-4</v>
      </c>
      <c r="Q298" s="305">
        <f t="shared" si="105"/>
        <v>0.5</v>
      </c>
      <c r="R298" s="177">
        <f t="shared" si="106"/>
        <v>0.99437993905510624</v>
      </c>
      <c r="S298" s="811">
        <f t="shared" si="107"/>
        <v>0</v>
      </c>
      <c r="T298" s="176">
        <f t="shared" si="108"/>
        <v>6</v>
      </c>
      <c r="U298" s="251">
        <f t="shared" si="109"/>
        <v>0.99437993905510624</v>
      </c>
      <c r="V298" s="383">
        <f t="shared" si="110"/>
        <v>36.801412991387075</v>
      </c>
      <c r="W298" s="402">
        <f t="shared" si="111"/>
        <v>21.550025926350369</v>
      </c>
      <c r="X298" s="157">
        <f t="shared" si="112"/>
        <v>45210</v>
      </c>
      <c r="Y298" s="385">
        <f t="shared" si="113"/>
        <v>21.009752490146965</v>
      </c>
      <c r="Z298" s="385">
        <f t="shared" si="114"/>
        <v>21.927007787003337</v>
      </c>
      <c r="AA298" s="386">
        <f t="shared" si="115"/>
        <v>24.107843068312036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9.0461650805054514E-2</v>
      </c>
      <c r="AD298" s="231">
        <f>(INDEX(Models!$BJ298:$BT298,,AH298)*(1-AF298)+INDEX(Models!$BJ298:$BT298,,AH298+1)*AF298-ERP_i)*AE298*Ramure*Pc/MaxiM</f>
        <v>4.4762945431688235E-4</v>
      </c>
      <c r="AE298" s="305">
        <f t="shared" si="117"/>
        <v>0.5</v>
      </c>
      <c r="AF298" s="177">
        <f t="shared" si="118"/>
        <v>0.99437993905510624</v>
      </c>
      <c r="AG298" s="811">
        <f t="shared" si="124"/>
        <v>0</v>
      </c>
      <c r="AH298" s="176">
        <f t="shared" si="119"/>
        <v>6</v>
      </c>
      <c r="AI298" s="225">
        <f t="shared" si="120"/>
        <v>0.99437993905510624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411">
        <f>'2022'!Wh/'2022'!Env_an*'2023'!Env_an</f>
        <v>26.91697422943782</v>
      </c>
      <c r="C299" s="841"/>
      <c r="D299" s="393">
        <f t="shared" si="102"/>
        <v>28.092745555985516</v>
      </c>
      <c r="E299" s="385">
        <f t="shared" si="125"/>
        <v>30.112721010478332</v>
      </c>
      <c r="F299" s="385">
        <f t="shared" si="103"/>
        <v>30.121236905914586</v>
      </c>
      <c r="G299" s="110">
        <f t="shared" si="126"/>
        <v>0.73721373859568551</v>
      </c>
      <c r="H299" s="414" t="b">
        <f>Wh_hp&gt;='2022'!Maxi_hp</f>
        <v>0</v>
      </c>
      <c r="I299" s="390">
        <f>IF(H299,Wh_hp,'2022'!Maxi_hp)</f>
        <v>39.768274465309958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4.1853201005381369E-2</v>
      </c>
      <c r="M299" s="845"/>
      <c r="N299" s="845"/>
      <c r="O299" s="48">
        <f>IF(t&lt;Tnet,'2022'!Resal+('2022'!Salim-'2022'!Resal)*(1-EXP(('2022'!Tnet-t)/('2022'!Tau_j))),Resal+(Salim-Resal)*(1-EXP((Tnet-t)/(Tau_j))))*Salcycl</f>
        <v>6.708046920734681E-2</v>
      </c>
      <c r="P299" s="169">
        <f>(INDEX(Models!$BJ299:$BT299,,T299)*(1-R299)+INDEX(Models!$BJ299:$BT299,,T299+1)*R299-ERP_i)*Q299*Ramure*Pc/MaxiM</f>
        <v>4.5251958196208017E-4</v>
      </c>
      <c r="Q299" s="305">
        <f t="shared" si="105"/>
        <v>0.5</v>
      </c>
      <c r="R299" s="177">
        <f t="shared" si="106"/>
        <v>0.99450697939000776</v>
      </c>
      <c r="S299" s="811">
        <f t="shared" si="107"/>
        <v>0</v>
      </c>
      <c r="T299" s="176">
        <f t="shared" si="108"/>
        <v>6</v>
      </c>
      <c r="U299" s="251">
        <f t="shared" si="109"/>
        <v>0.99450697939000776</v>
      </c>
      <c r="V299" s="383">
        <f t="shared" si="110"/>
        <v>36.505562843253053</v>
      </c>
      <c r="W299" s="402">
        <f t="shared" si="111"/>
        <v>26.91697422943782</v>
      </c>
      <c r="X299" s="157">
        <f t="shared" si="112"/>
        <v>45211</v>
      </c>
      <c r="Y299" s="385">
        <f t="shared" si="113"/>
        <v>26.243109235083036</v>
      </c>
      <c r="Z299" s="385">
        <f t="shared" si="114"/>
        <v>27.38944519004799</v>
      </c>
      <c r="AA299" s="386">
        <f t="shared" si="115"/>
        <v>30.112721010478332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9.0436059215064701E-2</v>
      </c>
      <c r="AD299" s="231">
        <f>(INDEX(Models!$BJ299:$BT299,,AH299)*(1-AF299)+INDEX(Models!$BJ299:$BT299,,AH299+1)*AF299-ERP_i)*AE299*Ramure*Pc/MaxiM</f>
        <v>4.5251958196208017E-4</v>
      </c>
      <c r="AE299" s="305">
        <f t="shared" si="117"/>
        <v>0.5</v>
      </c>
      <c r="AF299" s="177">
        <f t="shared" si="118"/>
        <v>0.99450697939000776</v>
      </c>
      <c r="AG299" s="811">
        <f t="shared" si="124"/>
        <v>0</v>
      </c>
      <c r="AH299" s="176">
        <f t="shared" si="119"/>
        <v>6</v>
      </c>
      <c r="AI299" s="225">
        <f t="shared" si="120"/>
        <v>0.99450697939000776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411">
        <f>'2022'!Wh/'2022'!Env_an*'2023'!Env_an</f>
        <v>22.214525611904264</v>
      </c>
      <c r="C300" s="841"/>
      <c r="D300" s="393">
        <f t="shared" si="102"/>
        <v>23.18539518265306</v>
      </c>
      <c r="E300" s="385">
        <f t="shared" si="125"/>
        <v>24.852697825215834</v>
      </c>
      <c r="F300" s="385">
        <f t="shared" si="103"/>
        <v>24.857746719783641</v>
      </c>
      <c r="G300" s="110">
        <f t="shared" si="126"/>
        <v>0.61333926579604914</v>
      </c>
      <c r="H300" s="414" t="b">
        <f>Wh_hp&gt;='2022'!Maxi_hp</f>
        <v>0</v>
      </c>
      <c r="I300" s="390">
        <f>IF(H300,Wh_hp,'2022'!Maxi_hp)</f>
        <v>39.855056795061437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4.1874186879298336E-2</v>
      </c>
      <c r="M300" s="845"/>
      <c r="N300" s="845"/>
      <c r="O300" s="48">
        <f>IF(t&lt;Tnet,'2022'!Resal+('2022'!Salim-'2022'!Resal)*(1-EXP(('2022'!Tnet-t)/('2022'!Tau_j))),Resal+(Salim-Resal)*(1-EXP((Tnet-t)/(Tau_j))))*Salcycl</f>
        <v>6.7087390443025016E-2</v>
      </c>
      <c r="P300" s="169">
        <f>(INDEX(Models!$BJ300:$BT300,,T300)*(1-R300)+INDEX(Models!$BJ300:$BT300,,T300+1)*R300-ERP_i)*Q300*Ramure*Pc/MaxiM</f>
        <v>4.5352876515692249E-4</v>
      </c>
      <c r="Q300" s="305">
        <f t="shared" si="105"/>
        <v>0.5</v>
      </c>
      <c r="R300" s="177">
        <f t="shared" si="106"/>
        <v>0.99462896571960191</v>
      </c>
      <c r="S300" s="811">
        <f t="shared" si="107"/>
        <v>0</v>
      </c>
      <c r="T300" s="176">
        <f t="shared" si="108"/>
        <v>6</v>
      </c>
      <c r="U300" s="251">
        <f t="shared" si="109"/>
        <v>0.99462896571960191</v>
      </c>
      <c r="V300" s="383">
        <f t="shared" si="110"/>
        <v>36.209913207690185</v>
      </c>
      <c r="W300" s="402">
        <f t="shared" si="111"/>
        <v>22.214525611904264</v>
      </c>
      <c r="X300" s="157">
        <f t="shared" si="112"/>
        <v>45212</v>
      </c>
      <c r="Y300" s="385">
        <f t="shared" si="113"/>
        <v>21.659186863261429</v>
      </c>
      <c r="Z300" s="385">
        <f t="shared" si="114"/>
        <v>22.605785760760913</v>
      </c>
      <c r="AA300" s="386">
        <f t="shared" si="115"/>
        <v>24.852697825215834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9.0409181339467251E-2</v>
      </c>
      <c r="AD300" s="231">
        <f>(INDEX(Models!$BJ300:$BT300,,AH300)*(1-AF300)+INDEX(Models!$BJ300:$BT300,,AH300+1)*AF300-ERP_i)*AE300*Ramure*Pc/MaxiM</f>
        <v>4.5352876515692249E-4</v>
      </c>
      <c r="AE300" s="305">
        <f t="shared" si="117"/>
        <v>0.5</v>
      </c>
      <c r="AF300" s="177">
        <f t="shared" si="118"/>
        <v>0.99462896571960191</v>
      </c>
      <c r="AG300" s="811">
        <f t="shared" si="124"/>
        <v>0</v>
      </c>
      <c r="AH300" s="176">
        <f t="shared" si="119"/>
        <v>6</v>
      </c>
      <c r="AI300" s="225">
        <f t="shared" si="120"/>
        <v>0.99462896571960191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411">
        <f>'2022'!Wh/'2022'!Env_an*'2023'!Env_an</f>
        <v>18.856751931242069</v>
      </c>
      <c r="C301" s="841"/>
      <c r="D301" s="393">
        <f t="shared" si="102"/>
        <v>19.681303533750611</v>
      </c>
      <c r="E301" s="385">
        <f t="shared" si="125"/>
        <v>21.096754811899569</v>
      </c>
      <c r="F301" s="385">
        <f t="shared" si="103"/>
        <v>21.099811541181623</v>
      </c>
      <c r="G301" s="110">
        <f t="shared" si="126"/>
        <v>0.52488566945653292</v>
      </c>
      <c r="H301" s="414" t="b">
        <f>Wh_hp&gt;='2022'!Maxi_hp</f>
        <v>0</v>
      </c>
      <c r="I301" s="390">
        <f>IF(H301,Wh_hp,'2022'!Maxi_hp)</f>
        <v>41.909965007378638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4.1895172293570648E-2</v>
      </c>
      <c r="M301" s="845"/>
      <c r="N301" s="845"/>
      <c r="O301" s="48">
        <f>IF(t&lt;Tnet,'2022'!Resal+('2022'!Salim-'2022'!Resal)*(1-EXP(('2022'!Tnet-t)/('2022'!Tau_j))),Resal+(Salim-Resal)*(1-EXP((Tnet-t)/(Tau_j))))*Salcycl</f>
        <v>6.7093317942462594E-2</v>
      </c>
      <c r="P301" s="169">
        <f>(INDEX(Models!$BJ301:$BT301,,T301)*(1-R301)+INDEX(Models!$BJ301:$BT301,,T301+1)*R301-ERP_i)*Q301*Ramure*Pc/MaxiM</f>
        <v>4.5061403424479564E-4</v>
      </c>
      <c r="Q301" s="305">
        <f t="shared" si="105"/>
        <v>0.5</v>
      </c>
      <c r="R301" s="177">
        <f t="shared" si="106"/>
        <v>0.99474609676038273</v>
      </c>
      <c r="S301" s="811">
        <f t="shared" si="107"/>
        <v>0</v>
      </c>
      <c r="T301" s="176">
        <f t="shared" si="108"/>
        <v>6</v>
      </c>
      <c r="U301" s="251">
        <f t="shared" si="109"/>
        <v>0.99474609676038273</v>
      </c>
      <c r="V301" s="383">
        <f t="shared" si="110"/>
        <v>35.914460716054229</v>
      </c>
      <c r="W301" s="402">
        <f t="shared" si="111"/>
        <v>18.856751931242069</v>
      </c>
      <c r="X301" s="157">
        <f t="shared" si="112"/>
        <v>45213</v>
      </c>
      <c r="Y301" s="385">
        <f t="shared" si="113"/>
        <v>18.386039543436571</v>
      </c>
      <c r="Z301" s="385">
        <f t="shared" si="114"/>
        <v>19.190008245183577</v>
      </c>
      <c r="AA301" s="386">
        <f t="shared" si="115"/>
        <v>21.096754811899569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9.0381036501428924E-2</v>
      </c>
      <c r="AD301" s="231">
        <f>(INDEX(Models!$BJ301:$BT301,,AH301)*(1-AF301)+INDEX(Models!$BJ301:$BT301,,AH301+1)*AF301-ERP_i)*AE301*Ramure*Pc/MaxiM</f>
        <v>4.5061403424479564E-4</v>
      </c>
      <c r="AE301" s="305">
        <f t="shared" si="117"/>
        <v>0.5</v>
      </c>
      <c r="AF301" s="177">
        <f t="shared" si="118"/>
        <v>0.99474609676038273</v>
      </c>
      <c r="AG301" s="811">
        <f t="shared" si="124"/>
        <v>0</v>
      </c>
      <c r="AH301" s="176">
        <f t="shared" si="119"/>
        <v>6</v>
      </c>
      <c r="AI301" s="225">
        <f t="shared" si="120"/>
        <v>0.99474609676038273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411">
        <f>'2022'!Wh/'2022'!Env_an*'2023'!Env_an</f>
        <v>34.921919386025188</v>
      </c>
      <c r="C302" s="841"/>
      <c r="D302" s="393">
        <f t="shared" si="102"/>
        <v>36.449752962875436</v>
      </c>
      <c r="E302" s="385">
        <f t="shared" si="125"/>
        <v>39.071374538827769</v>
      </c>
      <c r="F302" s="385">
        <f t="shared" si="103"/>
        <v>39.088234274109794</v>
      </c>
      <c r="G302" s="110">
        <f t="shared" si="126"/>
        <v>0.9804118034500735</v>
      </c>
      <c r="H302" s="414" t="b">
        <f>Wh_hp&gt;='2022'!Maxi_hp</f>
        <v>0</v>
      </c>
      <c r="I302" s="390">
        <f>IF(H302,Wh_hp,'2022'!Maxi_hp)</f>
        <v>39.088348583693467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4.1916157248208741E-2</v>
      </c>
      <c r="M302" s="845"/>
      <c r="N302" s="845"/>
      <c r="O302" s="48">
        <f>IF(t&lt;Tnet,'2022'!Resal+('2022'!Salim-'2022'!Resal)*(1-EXP(('2022'!Tnet-t)/('2022'!Tau_j))),Resal+(Salim-Resal)*(1-EXP((Tnet-t)/(Tau_j))))*Salcycl</f>
        <v>6.7098268409959638E-2</v>
      </c>
      <c r="P302" s="169">
        <f>(INDEX(Models!$BJ302:$BT302,,T302)*(1-R302)+INDEX(Models!$BJ302:$BT302,,T302+1)*R302-ERP_i)*Q302*Ramure*Pc/MaxiM</f>
        <v>4.437344335249341E-4</v>
      </c>
      <c r="Q302" s="305">
        <f t="shared" si="105"/>
        <v>0.5</v>
      </c>
      <c r="R302" s="177">
        <f t="shared" si="106"/>
        <v>0.99485856359974867</v>
      </c>
      <c r="S302" s="811">
        <f t="shared" si="107"/>
        <v>0</v>
      </c>
      <c r="T302" s="176">
        <f t="shared" si="108"/>
        <v>6</v>
      </c>
      <c r="U302" s="251">
        <f t="shared" si="109"/>
        <v>0.99485856359974867</v>
      </c>
      <c r="V302" s="383">
        <f t="shared" si="110"/>
        <v>35.619201765271448</v>
      </c>
      <c r="W302" s="402">
        <f t="shared" si="111"/>
        <v>34.921919386025188</v>
      </c>
      <c r="X302" s="157">
        <f t="shared" si="112"/>
        <v>45214</v>
      </c>
      <c r="Y302" s="385">
        <f t="shared" si="113"/>
        <v>34.051460429708044</v>
      </c>
      <c r="Z302" s="385">
        <f t="shared" si="114"/>
        <v>35.541211437097246</v>
      </c>
      <c r="AA302" s="386">
        <f t="shared" si="115"/>
        <v>39.071374538827769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9.035164857643721E-2</v>
      </c>
      <c r="AD302" s="231">
        <f>(INDEX(Models!$BJ302:$BT302,,AH302)*(1-AF302)+INDEX(Models!$BJ302:$BT302,,AH302+1)*AF302-ERP_i)*AE302*Ramure*Pc/MaxiM</f>
        <v>4.437344335249341E-4</v>
      </c>
      <c r="AE302" s="305">
        <f t="shared" si="117"/>
        <v>0.5</v>
      </c>
      <c r="AF302" s="177">
        <f t="shared" si="118"/>
        <v>0.99485856359974867</v>
      </c>
      <c r="AG302" s="811">
        <f t="shared" si="124"/>
        <v>0</v>
      </c>
      <c r="AH302" s="176">
        <f t="shared" si="119"/>
        <v>6</v>
      </c>
      <c r="AI302" s="225">
        <f t="shared" si="120"/>
        <v>0.99485856359974867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411">
        <f>'2022'!Wh/'2022'!Env_an*'2023'!Env_an</f>
        <v>31.364250334408798</v>
      </c>
      <c r="C303" s="841"/>
      <c r="D303" s="393">
        <f t="shared" si="102"/>
        <v>32.73715295829016</v>
      </c>
      <c r="E303" s="385">
        <f t="shared" si="125"/>
        <v>35.091898742473276</v>
      </c>
      <c r="F303" s="385">
        <f t="shared" si="103"/>
        <v>35.104661171919894</v>
      </c>
      <c r="G303" s="110">
        <f t="shared" si="126"/>
        <v>0.88785801354820626</v>
      </c>
      <c r="H303" s="414" t="b">
        <f>Wh_hp&gt;='2022'!Maxi_hp</f>
        <v>0</v>
      </c>
      <c r="I303" s="390">
        <f>IF(H303,Wh_hp,'2022'!Maxi_hp)</f>
        <v>38.517225515333379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4.1937141743222273E-2</v>
      </c>
      <c r="M303" s="845"/>
      <c r="N303" s="845"/>
      <c r="O303" s="48">
        <f>IF(t&lt;Tnet,'2022'!Resal+('2022'!Salim-'2022'!Resal)*(1-EXP(('2022'!Tnet-t)/('2022'!Tau_j))),Resal+(Salim-Resal)*(1-EXP((Tnet-t)/(Tau_j))))*Salcycl</f>
        <v>6.7102262019611419E-2</v>
      </c>
      <c r="P303" s="169">
        <f>(INDEX(Models!$BJ303:$BT303,,T303)*(1-R303)+INDEX(Models!$BJ303:$BT303,,T303+1)*R303-ERP_i)*Q303*Ramure*Pc/MaxiM</f>
        <v>4.3286122870806387E-4</v>
      </c>
      <c r="Q303" s="305">
        <f t="shared" si="105"/>
        <v>0.5</v>
      </c>
      <c r="R303" s="177">
        <f t="shared" si="106"/>
        <v>0.99496654997438172</v>
      </c>
      <c r="S303" s="811">
        <f t="shared" si="107"/>
        <v>0</v>
      </c>
      <c r="T303" s="176">
        <f t="shared" si="108"/>
        <v>6</v>
      </c>
      <c r="U303" s="251">
        <f t="shared" si="109"/>
        <v>0.99496654997438172</v>
      </c>
      <c r="V303" s="383">
        <f t="shared" si="110"/>
        <v>35.323300895615766</v>
      </c>
      <c r="W303" s="402">
        <f t="shared" si="111"/>
        <v>31.364250334408798</v>
      </c>
      <c r="X303" s="157">
        <f t="shared" si="112"/>
        <v>45215</v>
      </c>
      <c r="Y303" s="385">
        <f t="shared" si="113"/>
        <v>30.583629130475185</v>
      </c>
      <c r="Z303" s="385">
        <f t="shared" si="114"/>
        <v>31.922361739524018</v>
      </c>
      <c r="AA303" s="386">
        <f t="shared" si="115"/>
        <v>35.091898742473276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9.0321046068477059E-2</v>
      </c>
      <c r="AD303" s="231">
        <f>(INDEX(Models!$BJ303:$BT303,,AH303)*(1-AF303)+INDEX(Models!$BJ303:$BT303,,AH303+1)*AF303-ERP_i)*AE303*Ramure*Pc/MaxiM</f>
        <v>4.3286122870806387E-4</v>
      </c>
      <c r="AE303" s="305">
        <f t="shared" si="117"/>
        <v>0.5</v>
      </c>
      <c r="AF303" s="177">
        <f t="shared" si="118"/>
        <v>0.99496654997438172</v>
      </c>
      <c r="AG303" s="811">
        <f t="shared" si="124"/>
        <v>0</v>
      </c>
      <c r="AH303" s="176">
        <f t="shared" si="119"/>
        <v>6</v>
      </c>
      <c r="AI303" s="225">
        <f t="shared" si="120"/>
        <v>0.99496654997438172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411">
        <f>'2022'!Wh/'2022'!Env_an*'2023'!Env_an</f>
        <v>19.033233520497479</v>
      </c>
      <c r="C304" s="841"/>
      <c r="D304" s="393">
        <f t="shared" si="102"/>
        <v>19.866807529646035</v>
      </c>
      <c r="E304" s="385">
        <f t="shared" si="125"/>
        <v>21.295874023002522</v>
      </c>
      <c r="F304" s="385">
        <f t="shared" si="103"/>
        <v>21.298977449099866</v>
      </c>
      <c r="G304" s="110">
        <f t="shared" si="126"/>
        <v>0.54325226822148753</v>
      </c>
      <c r="H304" s="414" t="b">
        <f>Wh_hp&gt;='2022'!Maxi_hp</f>
        <v>0</v>
      </c>
      <c r="I304" s="390">
        <f>IF(H304,Wh_hp,'2022'!Maxi_hp)</f>
        <v>36.170374756257267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4.195812577862168E-2</v>
      </c>
      <c r="M304" s="845"/>
      <c r="N304" s="845"/>
      <c r="O304" s="48">
        <f>IF(t&lt;Tnet,'2022'!Resal+('2022'!Salim-'2022'!Resal)*(1-EXP(('2022'!Tnet-t)/('2022'!Tau_j))),Resal+(Salim-Resal)*(1-EXP((Tnet-t)/(Tau_j))))*Salcycl</f>
        <v>6.7105322458843181E-2</v>
      </c>
      <c r="P304" s="169">
        <f>(INDEX(Models!$BJ304:$BT304,,T304)*(1-R304)+INDEX(Models!$BJ304:$BT304,,T304+1)*R304-ERP_i)*Q304*Ramure*Pc/MaxiM</f>
        <v>4.1904306367673947E-4</v>
      </c>
      <c r="Q304" s="305">
        <f t="shared" si="105"/>
        <v>0.5</v>
      </c>
      <c r="R304" s="177">
        <f t="shared" si="106"/>
        <v>0.99507023253962656</v>
      </c>
      <c r="S304" s="811">
        <f t="shared" si="107"/>
        <v>0</v>
      </c>
      <c r="T304" s="176">
        <f t="shared" si="108"/>
        <v>6</v>
      </c>
      <c r="U304" s="251">
        <f t="shared" si="109"/>
        <v>0.99507023253962656</v>
      </c>
      <c r="V304" s="383">
        <f t="shared" si="110"/>
        <v>35.026140562289925</v>
      </c>
      <c r="W304" s="402">
        <f t="shared" si="111"/>
        <v>19.033233520497479</v>
      </c>
      <c r="X304" s="157">
        <f t="shared" si="112"/>
        <v>45216</v>
      </c>
      <c r="Y304" s="385">
        <f t="shared" si="113"/>
        <v>18.560226921926517</v>
      </c>
      <c r="Z304" s="385">
        <f t="shared" si="114"/>
        <v>19.373085270422884</v>
      </c>
      <c r="AA304" s="386">
        <f t="shared" si="115"/>
        <v>21.295874023002522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9.0289262159550562E-2</v>
      </c>
      <c r="AD304" s="231">
        <f>(INDEX(Models!$BJ304:$BT304,,AH304)*(1-AF304)+INDEX(Models!$BJ304:$BT304,,AH304+1)*AF304-ERP_i)*AE304*Ramure*Pc/MaxiM</f>
        <v>4.1904306367673947E-4</v>
      </c>
      <c r="AE304" s="305">
        <f t="shared" si="117"/>
        <v>0.5</v>
      </c>
      <c r="AF304" s="177">
        <f t="shared" si="118"/>
        <v>0.99507023253962656</v>
      </c>
      <c r="AG304" s="811">
        <f t="shared" si="124"/>
        <v>0</v>
      </c>
      <c r="AH304" s="176">
        <f t="shared" si="119"/>
        <v>6</v>
      </c>
      <c r="AI304" s="225">
        <f t="shared" si="120"/>
        <v>0.99507023253962656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411">
        <f>'2022'!Wh/'2022'!Env_an*'2023'!Env_an</f>
        <v>32.309939175076487</v>
      </c>
      <c r="C305" s="841"/>
      <c r="D305" s="393">
        <f t="shared" si="102"/>
        <v>33.725714637917477</v>
      </c>
      <c r="E305" s="385">
        <f t="shared" si="125"/>
        <v>36.151768617141016</v>
      </c>
      <c r="F305" s="385">
        <f t="shared" si="103"/>
        <v>36.164955001021781</v>
      </c>
      <c r="G305" s="110">
        <f t="shared" si="126"/>
        <v>0.93033370471053844</v>
      </c>
      <c r="H305" s="414" t="b">
        <f>Wh_hp&gt;='2022'!Maxi_hp</f>
        <v>0</v>
      </c>
      <c r="I305" s="390">
        <f>IF(H305,Wh_hp,'2022'!Maxi_hp)</f>
        <v>37.794322636082605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4.1979109354416733E-2</v>
      </c>
      <c r="M305" s="845"/>
      <c r="N305" s="845"/>
      <c r="O305" s="48">
        <f>IF(t&lt;Tnet,'2022'!Resal+('2022'!Salim-'2022'!Resal)*(1-EXP(('2022'!Tnet-t)/('2022'!Tau_j))),Resal+(Salim-Resal)*(1-EXP((Tnet-t)/(Tau_j))))*Salcycl</f>
        <v>6.7107476951300427E-2</v>
      </c>
      <c r="P305" s="169">
        <f>(INDEX(Models!$BJ305:$BT305,,T305)*(1-R305)+INDEX(Models!$BJ305:$BT305,,T305+1)*R305-ERP_i)*Q305*Ramure*Pc/MaxiM</f>
        <v>4.0489225586998548E-4</v>
      </c>
      <c r="Q305" s="305">
        <f t="shared" si="105"/>
        <v>0.5</v>
      </c>
      <c r="R305" s="177">
        <f t="shared" si="106"/>
        <v>0.99516978113006704</v>
      </c>
      <c r="S305" s="811">
        <f t="shared" si="107"/>
        <v>0</v>
      </c>
      <c r="T305" s="176">
        <f t="shared" si="108"/>
        <v>6</v>
      </c>
      <c r="U305" s="251">
        <f t="shared" si="109"/>
        <v>0.99516978113006704</v>
      </c>
      <c r="V305" s="383">
        <f t="shared" si="110"/>
        <v>34.72800917503406</v>
      </c>
      <c r="W305" s="402">
        <f t="shared" si="111"/>
        <v>32.309939175076487</v>
      </c>
      <c r="X305" s="157">
        <f t="shared" si="112"/>
        <v>45217</v>
      </c>
      <c r="Y305" s="385">
        <f t="shared" si="113"/>
        <v>31.508198172370562</v>
      </c>
      <c r="Z305" s="385">
        <f t="shared" si="114"/>
        <v>32.888842487701993</v>
      </c>
      <c r="AA305" s="386">
        <f t="shared" si="115"/>
        <v>36.151768617141016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9.0256334731350835E-2</v>
      </c>
      <c r="AD305" s="231">
        <f>(INDEX(Models!$BJ305:$BT305,,AH305)*(1-AF305)+INDEX(Models!$BJ305:$BT305,,AH305+1)*AF305-ERP_i)*AE305*Ramure*Pc/MaxiM</f>
        <v>4.0489225586998548E-4</v>
      </c>
      <c r="AE305" s="305">
        <f t="shared" si="117"/>
        <v>0.5</v>
      </c>
      <c r="AF305" s="177">
        <f t="shared" si="118"/>
        <v>0.99516978113006704</v>
      </c>
      <c r="AG305" s="811">
        <f t="shared" si="124"/>
        <v>0</v>
      </c>
      <c r="AH305" s="176">
        <f t="shared" si="119"/>
        <v>6</v>
      </c>
      <c r="AI305" s="225">
        <f t="shared" si="120"/>
        <v>0.99516978113006704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411">
        <f>'2022'!Wh/'2022'!Env_an*'2023'!Env_an</f>
        <v>14.883267358675599</v>
      </c>
      <c r="C306" s="841"/>
      <c r="D306" s="393">
        <f t="shared" si="102"/>
        <v>15.535771185050059</v>
      </c>
      <c r="E306" s="385">
        <f t="shared" si="125"/>
        <v>16.653357279609963</v>
      </c>
      <c r="F306" s="385">
        <f t="shared" si="103"/>
        <v>16.654586027367902</v>
      </c>
      <c r="G306" s="110">
        <f t="shared" si="126"/>
        <v>0.43214818924463588</v>
      </c>
      <c r="H306" s="414" t="b">
        <f>Wh_hp&gt;='2022'!Maxi_hp</f>
        <v>0</v>
      </c>
      <c r="I306" s="390">
        <f>IF(H306,Wh_hp,'2022'!Maxi_hp)</f>
        <v>37.715287299843339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4.2000092470617645E-2</v>
      </c>
      <c r="M306" s="845"/>
      <c r="N306" s="845"/>
      <c r="O306" s="48">
        <f>IF(t&lt;Tnet,'2022'!Resal+('2022'!Salim-'2022'!Resal)*(1-EXP(('2022'!Tnet-t)/('2022'!Tau_j))),Resal+(Salim-Resal)*(1-EXP((Tnet-t)/(Tau_j))))*Salcycl</f>
        <v>6.710875625831042E-2</v>
      </c>
      <c r="P306" s="169">
        <f>(INDEX(Models!$BJ306:$BT306,,T306)*(1-R306)+INDEX(Models!$BJ306:$BT306,,T306+1)*R306-ERP_i)*Q306*Ramure*Pc/MaxiM</f>
        <v>3.9040565181084296E-4</v>
      </c>
      <c r="Q306" s="305">
        <f t="shared" si="105"/>
        <v>0.5</v>
      </c>
      <c r="R306" s="177">
        <f t="shared" si="106"/>
        <v>0.99526535901149715</v>
      </c>
      <c r="S306" s="811">
        <f t="shared" si="107"/>
        <v>0</v>
      </c>
      <c r="T306" s="176">
        <f t="shared" si="108"/>
        <v>6</v>
      </c>
      <c r="U306" s="251">
        <f t="shared" si="109"/>
        <v>0.99526535901149715</v>
      </c>
      <c r="V306" s="383">
        <f t="shared" si="110"/>
        <v>34.42928822191201</v>
      </c>
      <c r="W306" s="402">
        <f t="shared" si="111"/>
        <v>14.883267358675599</v>
      </c>
      <c r="X306" s="157">
        <f t="shared" si="112"/>
        <v>45218</v>
      </c>
      <c r="Y306" s="385">
        <f t="shared" si="113"/>
        <v>14.51451575118516</v>
      </c>
      <c r="Z306" s="385">
        <f t="shared" si="114"/>
        <v>15.150852977237884</v>
      </c>
      <c r="AA306" s="386">
        <f t="shared" si="115"/>
        <v>16.653357279609963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9.0222306358112847E-2</v>
      </c>
      <c r="AD306" s="231">
        <f>(INDEX(Models!$BJ306:$BT306,,AH306)*(1-AF306)+INDEX(Models!$BJ306:$BT306,,AH306+1)*AF306-ERP_i)*AE306*Ramure*Pc/MaxiM</f>
        <v>3.9040565181084296E-4</v>
      </c>
      <c r="AE306" s="305">
        <f t="shared" si="117"/>
        <v>0.5</v>
      </c>
      <c r="AF306" s="177">
        <f t="shared" si="118"/>
        <v>0.99526535901149715</v>
      </c>
      <c r="AG306" s="811">
        <f t="shared" si="124"/>
        <v>0</v>
      </c>
      <c r="AH306" s="176">
        <f t="shared" si="119"/>
        <v>6</v>
      </c>
      <c r="AI306" s="225">
        <f t="shared" si="120"/>
        <v>0.99526535901149715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411">
        <f>'2022'!Wh/'2022'!Env_an*'2023'!Env_an</f>
        <v>6.166078359543345</v>
      </c>
      <c r="C307" s="841"/>
      <c r="D307" s="393">
        <f t="shared" si="102"/>
        <v>6.436549071642987</v>
      </c>
      <c r="E307" s="385">
        <f t="shared" si="125"/>
        <v>6.8995739209642544</v>
      </c>
      <c r="F307" s="385">
        <f t="shared" si="103"/>
        <v>6.8995739209642544</v>
      </c>
      <c r="G307" s="110">
        <f t="shared" si="126"/>
        <v>0.18059471595545587</v>
      </c>
      <c r="H307" s="414" t="b">
        <f>Wh_hp&gt;='2022'!Maxi_hp</f>
        <v>0</v>
      </c>
      <c r="I307" s="390">
        <f>IF(H307,Wh_hp,'2022'!Maxi_hp)</f>
        <v>31.908942257613869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4.202107512723452E-2</v>
      </c>
      <c r="M307" s="845"/>
      <c r="N307" s="845"/>
      <c r="O307" s="48">
        <f>IF(t&lt;Tnet,'2022'!Resal+('2022'!Salim-'2022'!Resal)*(1-EXP(('2022'!Tnet-t)/('2022'!Tau_j))),Resal+(Salim-Resal)*(1-EXP((Tnet-t)/(Tau_j))))*Salcycl</f>
        <v>6.710919465829232E-2</v>
      </c>
      <c r="P307" s="169">
        <f>(INDEX(Models!$BJ307:$BT307,,T307)*(1-R307)+INDEX(Models!$BJ307:$BT307,,T307+1)*R307-ERP_i)*Q307*Ramure*Pc/MaxiM</f>
        <v>3.7558071426143692E-4</v>
      </c>
      <c r="Q307" s="305">
        <f t="shared" si="105"/>
        <v>0.5</v>
      </c>
      <c r="R307" s="177">
        <f t="shared" si="106"/>
        <v>0.99535712312449054</v>
      </c>
      <c r="S307" s="811">
        <f t="shared" si="107"/>
        <v>0</v>
      </c>
      <c r="T307" s="176">
        <f t="shared" si="108"/>
        <v>6</v>
      </c>
      <c r="U307" s="251">
        <f t="shared" si="109"/>
        <v>0.99535712312449054</v>
      </c>
      <c r="V307" s="383">
        <f t="shared" si="110"/>
        <v>34.130359057400007</v>
      </c>
      <c r="W307" s="402">
        <f t="shared" si="111"/>
        <v>6.166078359543345</v>
      </c>
      <c r="X307" s="157">
        <f t="shared" si="112"/>
        <v>45219</v>
      </c>
      <c r="Y307" s="385">
        <f t="shared" si="113"/>
        <v>6.0135407440430866</v>
      </c>
      <c r="Z307" s="385">
        <f t="shared" si="114"/>
        <v>6.2773205003876038</v>
      </c>
      <c r="AA307" s="386">
        <f t="shared" si="115"/>
        <v>6.8995739209642544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9.0187224269884639E-2</v>
      </c>
      <c r="AD307" s="231">
        <f>(INDEX(Models!$BJ307:$BT307,,AH307)*(1-AF307)+INDEX(Models!$BJ307:$BT307,,AH307+1)*AF307-ERP_i)*AE307*Ramure*Pc/MaxiM</f>
        <v>3.7558071426143692E-4</v>
      </c>
      <c r="AE307" s="305">
        <f t="shared" si="117"/>
        <v>0.5</v>
      </c>
      <c r="AF307" s="177">
        <f t="shared" si="118"/>
        <v>0.99535712312449054</v>
      </c>
      <c r="AG307" s="811">
        <f t="shared" si="124"/>
        <v>0</v>
      </c>
      <c r="AH307" s="176">
        <f t="shared" si="119"/>
        <v>6</v>
      </c>
      <c r="AI307" s="225">
        <f t="shared" si="120"/>
        <v>0.99535712312449054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411">
        <f>'2022'!Wh/'2022'!Env_an*'2023'!Env_an</f>
        <v>15.617612827280908</v>
      </c>
      <c r="C308" s="841"/>
      <c r="D308" s="393">
        <f t="shared" si="102"/>
        <v>16.303025562540391</v>
      </c>
      <c r="E308" s="385">
        <f t="shared" si="125"/>
        <v>17.475806487542265</v>
      </c>
      <c r="F308" s="385">
        <f t="shared" si="103"/>
        <v>17.477260925644089</v>
      </c>
      <c r="G308" s="110">
        <f t="shared" si="126"/>
        <v>0.46149995776584785</v>
      </c>
      <c r="H308" s="414" t="b">
        <f>Wh_hp&gt;='2022'!Maxi_hp</f>
        <v>0</v>
      </c>
      <c r="I308" s="390">
        <f>IF(H308,Wh_hp,'2022'!Maxi_hp)</f>
        <v>24.59946864863414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4.2042057324277349E-2</v>
      </c>
      <c r="M308" s="845"/>
      <c r="N308" s="845"/>
      <c r="O308" s="48">
        <f>IF(t&lt;Tnet,'2022'!Resal+('2022'!Salim-'2022'!Resal)*(1-EXP(('2022'!Tnet-t)/('2022'!Tau_j))),Resal+(Salim-Resal)*(1-EXP((Tnet-t)/(Tau_j))))*Salcycl</f>
        <v>6.7108829903667053E-2</v>
      </c>
      <c r="P308" s="169">
        <f>(INDEX(Models!$BJ308:$BT308,,T308)*(1-R308)+INDEX(Models!$BJ308:$BT308,,T308+1)*R308-ERP_i)*Q308*Ramure*Pc/MaxiM</f>
        <v>3.6041553485340917E-4</v>
      </c>
      <c r="Q308" s="305">
        <f t="shared" si="105"/>
        <v>0.5</v>
      </c>
      <c r="R308" s="177">
        <f t="shared" si="106"/>
        <v>0.99544522431977578</v>
      </c>
      <c r="S308" s="811">
        <f t="shared" si="107"/>
        <v>0</v>
      </c>
      <c r="T308" s="176">
        <f t="shared" si="108"/>
        <v>6</v>
      </c>
      <c r="U308" s="251">
        <f t="shared" si="109"/>
        <v>0.99544522431977578</v>
      </c>
      <c r="V308" s="383">
        <f t="shared" si="110"/>
        <v>33.831602916186824</v>
      </c>
      <c r="W308" s="402">
        <f t="shared" si="111"/>
        <v>15.617612827280908</v>
      </c>
      <c r="X308" s="157">
        <f t="shared" si="112"/>
        <v>45220</v>
      </c>
      <c r="Y308" s="385">
        <f t="shared" si="113"/>
        <v>15.231859489991388</v>
      </c>
      <c r="Z308" s="385">
        <f t="shared" si="114"/>
        <v>15.900342605278141</v>
      </c>
      <c r="AA308" s="386">
        <f t="shared" si="115"/>
        <v>17.475806487542265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9.0151140285697526E-2</v>
      </c>
      <c r="AD308" s="231">
        <f>(INDEX(Models!$BJ308:$BT308,,AH308)*(1-AF308)+INDEX(Models!$BJ308:$BT308,,AH308+1)*AF308-ERP_i)*AE308*Ramure*Pc/MaxiM</f>
        <v>3.6041553485340917E-4</v>
      </c>
      <c r="AE308" s="305">
        <f t="shared" si="117"/>
        <v>0.5</v>
      </c>
      <c r="AF308" s="177">
        <f t="shared" si="118"/>
        <v>0.99544522431977578</v>
      </c>
      <c r="AG308" s="811">
        <f t="shared" si="124"/>
        <v>0</v>
      </c>
      <c r="AH308" s="176">
        <f t="shared" si="119"/>
        <v>6</v>
      </c>
      <c r="AI308" s="225">
        <f t="shared" si="120"/>
        <v>0.99544522431977578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411">
        <f>'2022'!Wh/'2022'!Env_an*'2023'!Env_an</f>
        <v>31.179274375841544</v>
      </c>
      <c r="C309" s="841"/>
      <c r="D309" s="393">
        <f t="shared" si="102"/>
        <v>32.548357195971697</v>
      </c>
      <c r="E309" s="385">
        <f t="shared" si="125"/>
        <v>34.889726612652559</v>
      </c>
      <c r="F309" s="385">
        <f t="shared" si="103"/>
        <v>34.900556891122655</v>
      </c>
      <c r="G309" s="110">
        <f t="shared" si="126"/>
        <v>0.92976538826527233</v>
      </c>
      <c r="H309" s="414" t="b">
        <f>Wh_hp&gt;='2022'!Maxi_hp</f>
        <v>0</v>
      </c>
      <c r="I309" s="390">
        <f>IF(H309,Wh_hp,'2022'!Maxi_hp)</f>
        <v>34.900812371408961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4.2063039061756236E-2</v>
      </c>
      <c r="M309" s="845"/>
      <c r="N309" s="845"/>
      <c r="O309" s="48">
        <f>IF(t&lt;Tnet,'2022'!Resal+('2022'!Salim-'2022'!Resal)*(1-EXP(('2022'!Tnet-t)/('2022'!Tau_j))),Resal+(Salim-Resal)*(1-EXP((Tnet-t)/(Tau_j))))*Salcycl</f>
        <v>6.7107703154996201E-2</v>
      </c>
      <c r="P309" s="169">
        <f>(INDEX(Models!$BJ309:$BT309,,T309)*(1-R309)+INDEX(Models!$BJ309:$BT309,,T309+1)*R309-ERP_i)*Q309*Ramure*Pc/MaxiM</f>
        <v>3.4490884559122687E-4</v>
      </c>
      <c r="Q309" s="305">
        <f t="shared" si="105"/>
        <v>0.5</v>
      </c>
      <c r="R309" s="177">
        <f t="shared" si="106"/>
        <v>0.99552980758562182</v>
      </c>
      <c r="S309" s="811">
        <f t="shared" si="107"/>
        <v>0</v>
      </c>
      <c r="T309" s="176">
        <f t="shared" si="108"/>
        <v>6</v>
      </c>
      <c r="U309" s="251">
        <f t="shared" si="109"/>
        <v>0.99552980758562182</v>
      </c>
      <c r="V309" s="383">
        <f t="shared" si="110"/>
        <v>33.533400924316531</v>
      </c>
      <c r="W309" s="402">
        <f t="shared" si="111"/>
        <v>31.179274375841544</v>
      </c>
      <c r="X309" s="157">
        <f t="shared" si="112"/>
        <v>45221</v>
      </c>
      <c r="Y309" s="385">
        <f t="shared" si="113"/>
        <v>30.410350571685427</v>
      </c>
      <c r="Z309" s="385">
        <f t="shared" si="114"/>
        <v>31.745669925816674</v>
      </c>
      <c r="AA309" s="386">
        <f t="shared" si="115"/>
        <v>34.889726612652559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9.0114110716353654E-2</v>
      </c>
      <c r="AD309" s="231">
        <f>(INDEX(Models!$BJ309:$BT309,,AH309)*(1-AF309)+INDEX(Models!$BJ309:$BT309,,AH309+1)*AF309-ERP_i)*AE309*Ramure*Pc/MaxiM</f>
        <v>3.4490884559122687E-4</v>
      </c>
      <c r="AE309" s="305">
        <f t="shared" si="117"/>
        <v>0.5</v>
      </c>
      <c r="AF309" s="177">
        <f t="shared" si="118"/>
        <v>0.99552980758562182</v>
      </c>
      <c r="AG309" s="811">
        <f t="shared" si="124"/>
        <v>0</v>
      </c>
      <c r="AH309" s="176">
        <f t="shared" si="119"/>
        <v>6</v>
      </c>
      <c r="AI309" s="225">
        <f t="shared" si="120"/>
        <v>0.99552980758562182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411">
        <f>'2022'!Wh/'2022'!Env_an*'2023'!Env_an</f>
        <v>16.249028781854925</v>
      </c>
      <c r="C310" s="841"/>
      <c r="D310" s="393">
        <f t="shared" si="102"/>
        <v>16.962895626416945</v>
      </c>
      <c r="E310" s="385">
        <f t="shared" si="125"/>
        <v>18.183087318219066</v>
      </c>
      <c r="F310" s="385">
        <f t="shared" si="103"/>
        <v>18.184705877224371</v>
      </c>
      <c r="G310" s="110">
        <f t="shared" si="126"/>
        <v>0.4887791023999396</v>
      </c>
      <c r="H310" s="414" t="b">
        <f>Wh_hp&gt;='2022'!Maxi_hp</f>
        <v>0</v>
      </c>
      <c r="I310" s="390">
        <f>IF(H310,Wh_hp,'2022'!Maxi_hp)</f>
        <v>37.419724893736571</v>
      </c>
      <c r="J310" s="85">
        <f>IF(H310,An,'2022'!An_max)</f>
        <v>2018</v>
      </c>
      <c r="K310" s="197">
        <f t="shared" si="104"/>
        <v>45222</v>
      </c>
      <c r="L310" s="147">
        <f>IF(t&lt;Tvie,1-EXP((T0-t)*PertePVj)+'2022'!Pspv,1-EXP((T0-t)*PertePVj)+Pspv)</f>
        <v>4.2084020339681172E-2</v>
      </c>
      <c r="M310" s="845"/>
      <c r="N310" s="845"/>
      <c r="O310" s="48">
        <f>IF(t&lt;Tnet,'2022'!Resal+('2022'!Salim-'2022'!Resal)*(1-EXP(('2022'!Tnet-t)/('2022'!Tau_j))),Resal+(Salim-Resal)*(1-EXP((Tnet-t)/(Tau_j))))*Salcycl</f>
        <v>6.7105858892263823E-2</v>
      </c>
      <c r="P310" s="169">
        <f>(INDEX(Models!$BJ310:$BT310,,T310)*(1-R310)+INDEX(Models!$BJ310:$BT310,,T310+1)*R310-ERP_i)*Q310*Ramure*Pc/MaxiM</f>
        <v>3.298341152526691E-4</v>
      </c>
      <c r="Q310" s="305">
        <f t="shared" si="105"/>
        <v>0.5</v>
      </c>
      <c r="R310" s="177">
        <f t="shared" si="106"/>
        <v>0.99561101226744353</v>
      </c>
      <c r="S310" s="811">
        <f t="shared" si="107"/>
        <v>0</v>
      </c>
      <c r="T310" s="176">
        <f t="shared" si="108"/>
        <v>6</v>
      </c>
      <c r="U310" s="251">
        <f t="shared" si="109"/>
        <v>0.99561101226744353</v>
      </c>
      <c r="V310" s="383">
        <f t="shared" si="110"/>
        <v>33.236108378358331</v>
      </c>
      <c r="W310" s="402">
        <f t="shared" si="111"/>
        <v>16.249028781854925</v>
      </c>
      <c r="X310" s="157">
        <f t="shared" si="112"/>
        <v>45222</v>
      </c>
      <c r="Y310" s="385">
        <f t="shared" si="113"/>
        <v>15.848934434390094</v>
      </c>
      <c r="Z310" s="385">
        <f t="shared" si="114"/>
        <v>16.545223976752318</v>
      </c>
      <c r="AA310" s="386">
        <f t="shared" si="115"/>
        <v>18.183087318219066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9.0076196236798717E-2</v>
      </c>
      <c r="AD310" s="231">
        <f>(INDEX(Models!$BJ310:$BT310,,AH310)*(1-AF310)+INDEX(Models!$BJ310:$BT310,,AH310+1)*AF310-ERP_i)*AE310*Ramure*Pc/MaxiM</f>
        <v>3.298341152526691E-4</v>
      </c>
      <c r="AE310" s="305">
        <f t="shared" si="117"/>
        <v>0.5</v>
      </c>
      <c r="AF310" s="177">
        <f t="shared" si="118"/>
        <v>0.99561101226744353</v>
      </c>
      <c r="AG310" s="811">
        <f t="shared" si="124"/>
        <v>0</v>
      </c>
      <c r="AH310" s="176">
        <f t="shared" si="119"/>
        <v>6</v>
      </c>
      <c r="AI310" s="225">
        <f t="shared" si="120"/>
        <v>0.99561101226744353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411">
        <f>'2022'!Wh/'2022'!Env_an*'2023'!Env_an</f>
        <v>24.086345905787624</v>
      </c>
      <c r="C311" s="841"/>
      <c r="D311" s="393">
        <f t="shared" si="102"/>
        <v>25.145079507573577</v>
      </c>
      <c r="E311" s="385">
        <f t="shared" si="125"/>
        <v>26.953767459134646</v>
      </c>
      <c r="F311" s="385">
        <f t="shared" si="103"/>
        <v>26.959024032383283</v>
      </c>
      <c r="G311" s="110">
        <f t="shared" si="126"/>
        <v>0.73112847019618821</v>
      </c>
      <c r="H311" s="414" t="b">
        <f>Wh_hp&gt;='2022'!Maxi_hp</f>
        <v>0</v>
      </c>
      <c r="I311" s="390">
        <f>IF(H311,Wh_hp,'2022'!Maxi_hp)</f>
        <v>38.572719008292552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4.2105001158062261E-2</v>
      </c>
      <c r="M311" s="845"/>
      <c r="N311" s="845"/>
      <c r="O311" s="48">
        <f>IF(t&lt;Tnet,'2022'!Resal+('2022'!Salim-'2022'!Resal)*(1-EXP(('2022'!Tnet-t)/('2022'!Tau_j))),Resal+(Salim-Resal)*(1-EXP((Tnet-t)/(Tau_j))))*Salcycl</f>
        <v>6.7103344803403533E-2</v>
      </c>
      <c r="P311" s="169">
        <f>(INDEX(Models!$BJ311:$BT311,,T311)*(1-R311)+INDEX(Models!$BJ311:$BT311,,T311+1)*R311-ERP_i)*Q311*Ramure*Pc/MaxiM</f>
        <v>3.1651942043072211E-4</v>
      </c>
      <c r="Q311" s="305">
        <f t="shared" si="105"/>
        <v>0.5</v>
      </c>
      <c r="R311" s="177">
        <f t="shared" si="106"/>
        <v>0.99568897227983622</v>
      </c>
      <c r="S311" s="811">
        <f t="shared" si="107"/>
        <v>0</v>
      </c>
      <c r="T311" s="176">
        <f t="shared" si="108"/>
        <v>6</v>
      </c>
      <c r="U311" s="251">
        <f t="shared" si="109"/>
        <v>0.99568897227983622</v>
      </c>
      <c r="V311" s="383">
        <f t="shared" si="110"/>
        <v>32.940063159763667</v>
      </c>
      <c r="W311" s="402">
        <f t="shared" si="111"/>
        <v>24.086345905787624</v>
      </c>
      <c r="X311" s="157">
        <f t="shared" si="112"/>
        <v>45223</v>
      </c>
      <c r="Y311" s="385">
        <f t="shared" si="113"/>
        <v>23.494212714806888</v>
      </c>
      <c r="Z311" s="385">
        <f t="shared" si="114"/>
        <v>24.526918653099337</v>
      </c>
      <c r="AA311" s="386">
        <f t="shared" si="115"/>
        <v>26.953767459134646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9.0037461728299101E-2</v>
      </c>
      <c r="AD311" s="231">
        <f>(INDEX(Models!$BJ311:$BT311,,AH311)*(1-AF311)+INDEX(Models!$BJ311:$BT311,,AH311+1)*AF311-ERP_i)*AE311*Ramure*Pc/MaxiM</f>
        <v>3.1651942043072211E-4</v>
      </c>
      <c r="AE311" s="305">
        <f t="shared" si="117"/>
        <v>0.5</v>
      </c>
      <c r="AF311" s="177">
        <f t="shared" si="118"/>
        <v>0.99568897227983622</v>
      </c>
      <c r="AG311" s="811">
        <f t="shared" si="124"/>
        <v>0</v>
      </c>
      <c r="AH311" s="176">
        <f t="shared" si="119"/>
        <v>6</v>
      </c>
      <c r="AI311" s="225">
        <f t="shared" si="120"/>
        <v>0.99568897227983622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411">
        <f>'2022'!Wh/'2022'!Env_an*'2023'!Env_an</f>
        <v>20.773723848807258</v>
      </c>
      <c r="C312" s="841"/>
      <c r="D312" s="393">
        <f t="shared" si="102"/>
        <v>21.68732364377621</v>
      </c>
      <c r="E312" s="385">
        <f t="shared" si="125"/>
        <v>23.247216812153592</v>
      </c>
      <c r="F312" s="385">
        <f t="shared" si="103"/>
        <v>23.250623972771045</v>
      </c>
      <c r="G312" s="110">
        <f t="shared" si="126"/>
        <v>0.63623893404930165</v>
      </c>
      <c r="H312" s="414" t="b">
        <f>Wh_hp&gt;='2022'!Maxi_hp</f>
        <v>0</v>
      </c>
      <c r="I312" s="390">
        <f>IF(H312,Wh_hp,'2022'!Maxi_hp)</f>
        <v>35.926796289859503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4.2125981516909605E-2</v>
      </c>
      <c r="M312" s="845"/>
      <c r="N312" s="845"/>
      <c r="O312" s="48">
        <f>IF(t&lt;Tnet,'2022'!Resal+('2022'!Salim-'2022'!Resal)*(1-EXP(('2022'!Tnet-t)/('2022'!Tau_j))),Resal+(Salim-Resal)*(1-EXP((Tnet-t)/(Tau_j))))*Salcycl</f>
        <v>6.7100211650363006E-2</v>
      </c>
      <c r="P312" s="169">
        <f>(INDEX(Models!$BJ312:$BT312,,T312)*(1-R312)+INDEX(Models!$BJ312:$BT312,,T312+1)*R312-ERP_i)*Q312*Ramure*Pc/MaxiM</f>
        <v>3.0498452804100844E-4</v>
      </c>
      <c r="Q312" s="305">
        <f t="shared" si="105"/>
        <v>0.5</v>
      </c>
      <c r="R312" s="177">
        <f t="shared" si="106"/>
        <v>0.99576381631124444</v>
      </c>
      <c r="S312" s="811">
        <f t="shared" si="107"/>
        <v>0</v>
      </c>
      <c r="T312" s="176">
        <f t="shared" si="108"/>
        <v>6</v>
      </c>
      <c r="U312" s="251">
        <f t="shared" si="109"/>
        <v>0.99576381631124444</v>
      </c>
      <c r="V312" s="383">
        <f t="shared" si="110"/>
        <v>32.645647389117471</v>
      </c>
      <c r="W312" s="402">
        <f t="shared" si="111"/>
        <v>20.773723848807258</v>
      </c>
      <c r="X312" s="157">
        <f t="shared" si="112"/>
        <v>45224</v>
      </c>
      <c r="Y312" s="385">
        <f t="shared" si="113"/>
        <v>20.26383860584437</v>
      </c>
      <c r="Z312" s="385">
        <f t="shared" si="114"/>
        <v>21.155014349313507</v>
      </c>
      <c r="AA312" s="386">
        <f t="shared" si="115"/>
        <v>23.247216812153592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8.9997976090896492E-2</v>
      </c>
      <c r="AD312" s="231">
        <f>(INDEX(Models!$BJ312:$BT312,,AH312)*(1-AF312)+INDEX(Models!$BJ312:$BT312,,AH312+1)*AF312-ERP_i)*AE312*Ramure*Pc/MaxiM</f>
        <v>3.0498452804100844E-4</v>
      </c>
      <c r="AE312" s="305">
        <f t="shared" si="117"/>
        <v>0.5</v>
      </c>
      <c r="AF312" s="177">
        <f t="shared" si="118"/>
        <v>0.99576381631124444</v>
      </c>
      <c r="AG312" s="811">
        <f t="shared" si="124"/>
        <v>0</v>
      </c>
      <c r="AH312" s="176">
        <f t="shared" si="119"/>
        <v>6</v>
      </c>
      <c r="AI312" s="225">
        <f t="shared" si="120"/>
        <v>0.99576381631124444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411">
        <f>'2022'!Wh/'2022'!Env_an*'2023'!Env_an</f>
        <v>13.021944723578269</v>
      </c>
      <c r="C313" s="841"/>
      <c r="D313" s="393">
        <f t="shared" si="102"/>
        <v>13.594929701149001</v>
      </c>
      <c r="E313" s="385">
        <f t="shared" si="125"/>
        <v>14.572707565405915</v>
      </c>
      <c r="F313" s="385">
        <f t="shared" si="103"/>
        <v>14.573337561456119</v>
      </c>
      <c r="G313" s="110">
        <f t="shared" si="126"/>
        <v>0.40239127596691154</v>
      </c>
      <c r="H313" s="414" t="b">
        <f>Wh_hp&gt;='2022'!Maxi_hp</f>
        <v>0</v>
      </c>
      <c r="I313" s="390">
        <f>IF(H313,Wh_hp,'2022'!Maxi_hp)</f>
        <v>37.208706699200022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4.2146961416233308E-2</v>
      </c>
      <c r="M313" s="845"/>
      <c r="N313" s="845"/>
      <c r="O313" s="48">
        <f>IF(t&lt;Tnet,'2022'!Resal+('2022'!Salim-'2022'!Resal)*(1-EXP(('2022'!Tnet-t)/('2022'!Tau_j))),Resal+(Salim-Resal)*(1-EXP((Tnet-t)/(Tau_j))))*Salcycl</f>
        <v>6.7096513113188164E-2</v>
      </c>
      <c r="P313" s="169">
        <f>(INDEX(Models!$BJ313:$BT313,,T313)*(1-R313)+INDEX(Models!$BJ313:$BT313,,T313+1)*R313-ERP_i)*Q313*Ramure*Pc/MaxiM</f>
        <v>2.9524587850280324E-4</v>
      </c>
      <c r="Q313" s="305">
        <f t="shared" si="105"/>
        <v>0.5</v>
      </c>
      <c r="R313" s="177">
        <f t="shared" si="106"/>
        <v>0.99583566802147394</v>
      </c>
      <c r="S313" s="811">
        <f t="shared" si="107"/>
        <v>0</v>
      </c>
      <c r="T313" s="176">
        <f t="shared" si="108"/>
        <v>6</v>
      </c>
      <c r="U313" s="251">
        <f t="shared" si="109"/>
        <v>0.99583566802147394</v>
      </c>
      <c r="V313" s="383">
        <f t="shared" si="110"/>
        <v>32.353243258674674</v>
      </c>
      <c r="W313" s="402">
        <f t="shared" si="111"/>
        <v>13.021944723578269</v>
      </c>
      <c r="X313" s="157">
        <f t="shared" si="112"/>
        <v>45225</v>
      </c>
      <c r="Y313" s="385">
        <f t="shared" si="113"/>
        <v>12.702835003282802</v>
      </c>
      <c r="Z313" s="385">
        <f t="shared" si="114"/>
        <v>13.261778677514638</v>
      </c>
      <c r="AA313" s="386">
        <f t="shared" si="115"/>
        <v>14.572707565405915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8.9957812026866285E-2</v>
      </c>
      <c r="AD313" s="231">
        <f>(INDEX(Models!$BJ313:$BT313,,AH313)*(1-AF313)+INDEX(Models!$BJ313:$BT313,,AH313+1)*AF313-ERP_i)*AE313*Ramure*Pc/MaxiM</f>
        <v>2.9524587850280324E-4</v>
      </c>
      <c r="AE313" s="305">
        <f t="shared" si="117"/>
        <v>0.5</v>
      </c>
      <c r="AF313" s="177">
        <f t="shared" si="118"/>
        <v>0.99583566802147394</v>
      </c>
      <c r="AG313" s="811">
        <f t="shared" si="124"/>
        <v>0</v>
      </c>
      <c r="AH313" s="176">
        <f t="shared" si="119"/>
        <v>6</v>
      </c>
      <c r="AI313" s="225">
        <f t="shared" si="120"/>
        <v>0.99583566802147394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411">
        <f>'2022'!Wh/'2022'!Env_an*'2023'!Env_an</f>
        <v>13.909344300063157</v>
      </c>
      <c r="C314" s="841"/>
      <c r="D314" s="393">
        <f t="shared" si="102"/>
        <v>14.521694244076937</v>
      </c>
      <c r="E314" s="385">
        <f t="shared" si="125"/>
        <v>15.566056890136162</v>
      </c>
      <c r="F314" s="385">
        <f t="shared" si="103"/>
        <v>15.566911872392662</v>
      </c>
      <c r="G314" s="110">
        <f t="shared" si="126"/>
        <v>0.43370896709440843</v>
      </c>
      <c r="H314" s="414" t="b">
        <f>Wh_hp&gt;='2022'!Maxi_hp</f>
        <v>0</v>
      </c>
      <c r="I314" s="390">
        <f>IF(H314,Wh_hp,'2022'!Maxi_hp)</f>
        <v>29.570719829876996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4.2167940856043251E-2</v>
      </c>
      <c r="M314" s="845"/>
      <c r="N314" s="845"/>
      <c r="O314" s="48">
        <f>IF(t&lt;Tnet,'2022'!Resal+('2022'!Salim-'2022'!Resal)*(1-EXP(('2022'!Tnet-t)/('2022'!Tau_j))),Resal+(Salim-Resal)*(1-EXP((Tnet-t)/(Tau_j))))*Salcycl</f>
        <v>6.7092305612798636E-2</v>
      </c>
      <c r="P314" s="169">
        <f>(INDEX(Models!$BJ314:$BT314,,T314)*(1-R314)+INDEX(Models!$BJ314:$BT314,,T314+1)*R314-ERP_i)*Q314*Ramure*Pc/MaxiM</f>
        <v>2.8731929437610223E-4</v>
      </c>
      <c r="Q314" s="305">
        <f t="shared" si="105"/>
        <v>0.5</v>
      </c>
      <c r="R314" s="177">
        <f t="shared" si="106"/>
        <v>0.99590464623225117</v>
      </c>
      <c r="S314" s="811">
        <f t="shared" si="107"/>
        <v>0</v>
      </c>
      <c r="T314" s="176">
        <f t="shared" si="108"/>
        <v>6</v>
      </c>
      <c r="U314" s="251">
        <f t="shared" si="109"/>
        <v>0.99590464623225117</v>
      </c>
      <c r="V314" s="383">
        <f t="shared" si="110"/>
        <v>32.063232946925602</v>
      </c>
      <c r="W314" s="402">
        <f t="shared" si="111"/>
        <v>13.909344300063157</v>
      </c>
      <c r="X314" s="157">
        <f t="shared" si="112"/>
        <v>45226</v>
      </c>
      <c r="Y314" s="385">
        <f t="shared" si="113"/>
        <v>13.569034994351671</v>
      </c>
      <c r="Z314" s="385">
        <f t="shared" si="114"/>
        <v>14.166403039880212</v>
      </c>
      <c r="AA314" s="386">
        <f t="shared" si="115"/>
        <v>15.566056890136162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8.9917045796156461E-2</v>
      </c>
      <c r="AD314" s="231">
        <f>(INDEX(Models!$BJ314:$BT314,,AH314)*(1-AF314)+INDEX(Models!$BJ314:$BT314,,AH314+1)*AF314-ERP_i)*AE314*Ramure*Pc/MaxiM</f>
        <v>2.8731929437610223E-4</v>
      </c>
      <c r="AE314" s="305">
        <f t="shared" si="117"/>
        <v>0.5</v>
      </c>
      <c r="AF314" s="177">
        <f t="shared" si="118"/>
        <v>0.99590464623225117</v>
      </c>
      <c r="AG314" s="811">
        <f t="shared" si="124"/>
        <v>0</v>
      </c>
      <c r="AH314" s="176">
        <f t="shared" si="119"/>
        <v>6</v>
      </c>
      <c r="AI314" s="225">
        <f t="shared" si="120"/>
        <v>0.99590464623225117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411">
        <f>'2022'!Wh/'2022'!Env_an*'2023'!Env_an</f>
        <v>16.425668587773732</v>
      </c>
      <c r="C315" s="841"/>
      <c r="D315" s="393">
        <f t="shared" si="102"/>
        <v>17.149173702362333</v>
      </c>
      <c r="E315" s="385">
        <f t="shared" si="125"/>
        <v>18.38240609386342</v>
      </c>
      <c r="F315" s="385">
        <f t="shared" si="103"/>
        <v>18.384008191327652</v>
      </c>
      <c r="G315" s="110">
        <f t="shared" si="126"/>
        <v>0.51682028043599071</v>
      </c>
      <c r="H315" s="414" t="b">
        <f>Wh_hp&gt;='2022'!Maxi_hp</f>
        <v>0</v>
      </c>
      <c r="I315" s="390">
        <f>IF(H315,Wh_hp,'2022'!Maxi_hp)</f>
        <v>24.903019933810778</v>
      </c>
      <c r="J315" s="85">
        <f>IF(H315,An,'2022'!An_max)</f>
        <v>2020</v>
      </c>
      <c r="K315" s="197">
        <f t="shared" si="104"/>
        <v>45227</v>
      </c>
      <c r="L315" s="147">
        <f>IF(t&lt;Tvie,1-EXP((T0-t)*PertePVj)+'2022'!Pspv,1-EXP((T0-t)*PertePVj)+Pspv)</f>
        <v>4.2188919836349648E-2</v>
      </c>
      <c r="M315" s="845"/>
      <c r="N315" s="845"/>
      <c r="O315" s="48">
        <f>IF(t&lt;Tnet,'2022'!Resal+('2022'!Salim-'2022'!Resal)*(1-EXP(('2022'!Tnet-t)/('2022'!Tau_j))),Resal+(Salim-Resal)*(1-EXP((Tnet-t)/(Tau_j))))*Salcycl</f>
        <v>6.7087648113310583E-2</v>
      </c>
      <c r="P315" s="169">
        <f>(INDEX(Models!$BJ315:$BT315,,T315)*(1-R315)+INDEX(Models!$BJ315:$BT315,,T315+1)*R315-ERP_i)*Q315*Ramure*Pc/MaxiM</f>
        <v>2.812198365757545E-4</v>
      </c>
      <c r="Q315" s="305">
        <f t="shared" si="105"/>
        <v>0.5</v>
      </c>
      <c r="R315" s="177">
        <f t="shared" si="106"/>
        <v>0.99597086511103328</v>
      </c>
      <c r="S315" s="811">
        <f t="shared" si="107"/>
        <v>0</v>
      </c>
      <c r="T315" s="176">
        <f t="shared" si="108"/>
        <v>6</v>
      </c>
      <c r="U315" s="251">
        <f t="shared" si="109"/>
        <v>0.99597086511103328</v>
      </c>
      <c r="V315" s="383">
        <f t="shared" si="110"/>
        <v>31.775998627139192</v>
      </c>
      <c r="W315" s="402">
        <f t="shared" si="111"/>
        <v>16.425668587773732</v>
      </c>
      <c r="X315" s="157">
        <f t="shared" si="112"/>
        <v>45227</v>
      </c>
      <c r="Y315" s="385">
        <f t="shared" si="113"/>
        <v>16.024441267056069</v>
      </c>
      <c r="Z315" s="385">
        <f t="shared" si="114"/>
        <v>16.730273431706546</v>
      </c>
      <c r="AA315" s="386">
        <f t="shared" si="115"/>
        <v>18.38240609386342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8.9875756945028126E-2</v>
      </c>
      <c r="AD315" s="231">
        <f>(INDEX(Models!$BJ315:$BT315,,AH315)*(1-AF315)+INDEX(Models!$BJ315:$BT315,,AH315+1)*AF315-ERP_i)*AE315*Ramure*Pc/MaxiM</f>
        <v>2.812198365757545E-4</v>
      </c>
      <c r="AE315" s="305">
        <f t="shared" si="117"/>
        <v>0.5</v>
      </c>
      <c r="AF315" s="177">
        <f t="shared" si="118"/>
        <v>0.99597086511103328</v>
      </c>
      <c r="AG315" s="811">
        <f t="shared" si="124"/>
        <v>0</v>
      </c>
      <c r="AH315" s="176">
        <f t="shared" si="119"/>
        <v>6</v>
      </c>
      <c r="AI315" s="225">
        <f t="shared" si="120"/>
        <v>0.99597086511103328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411">
        <f>'2022'!Wh/'2022'!Env_an*'2023'!Env_an</f>
        <v>25.794376240814806</v>
      </c>
      <c r="C316" s="841"/>
      <c r="D316" s="393">
        <f t="shared" si="102"/>
        <v>26.931136787247361</v>
      </c>
      <c r="E316" s="385">
        <f t="shared" si="125"/>
        <v>28.867654137696022</v>
      </c>
      <c r="F316" s="385">
        <f t="shared" si="103"/>
        <v>28.873584153849681</v>
      </c>
      <c r="G316" s="110">
        <f t="shared" si="126"/>
        <v>0.81902047875547468</v>
      </c>
      <c r="H316" s="414" t="b">
        <f>Wh_hp&gt;='2022'!Maxi_hp</f>
        <v>0</v>
      </c>
      <c r="I316" s="390">
        <f>IF(H316,Wh_hp,'2022'!Maxi_hp)</f>
        <v>29.923980500554308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4.2209898357162601E-2</v>
      </c>
      <c r="M316" s="845"/>
      <c r="N316" s="845"/>
      <c r="O316" s="48">
        <f>IF(t&lt;Tnet,'2022'!Resal+('2022'!Salim-'2022'!Resal)*(1-EXP(('2022'!Tnet-t)/('2022'!Tau_j))),Resal+(Salim-Resal)*(1-EXP((Tnet-t)/(Tau_j))))*Salcycl</f>
        <v>6.7082601904943612E-2</v>
      </c>
      <c r="P316" s="169">
        <f>(INDEX(Models!$BJ316:$BT316,,T316)*(1-R316)+INDEX(Models!$BJ316:$BT316,,T316+1)*R316-ERP_i)*Q316*Ramure*Pc/MaxiM</f>
        <v>2.7696166213134925E-4</v>
      </c>
      <c r="Q316" s="305">
        <f t="shared" si="105"/>
        <v>0.5</v>
      </c>
      <c r="R316" s="177">
        <f t="shared" si="106"/>
        <v>0.99603443434826944</v>
      </c>
      <c r="S316" s="811">
        <f t="shared" si="107"/>
        <v>0</v>
      </c>
      <c r="T316" s="176">
        <f t="shared" si="108"/>
        <v>6</v>
      </c>
      <c r="U316" s="251">
        <f t="shared" si="109"/>
        <v>0.99603443434826944</v>
      </c>
      <c r="V316" s="383">
        <f t="shared" si="110"/>
        <v>31.491922473233757</v>
      </c>
      <c r="W316" s="402">
        <f t="shared" si="111"/>
        <v>25.794376240814806</v>
      </c>
      <c r="X316" s="157">
        <f t="shared" si="112"/>
        <v>45228</v>
      </c>
      <c r="Y316" s="385">
        <f t="shared" si="113"/>
        <v>25.165318570595964</v>
      </c>
      <c r="Z316" s="385">
        <f t="shared" si="114"/>
        <v>26.274356487325843</v>
      </c>
      <c r="AA316" s="386">
        <f t="shared" si="115"/>
        <v>28.867654137696022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8.9834028009355693E-2</v>
      </c>
      <c r="AD316" s="231">
        <f>(INDEX(Models!$BJ316:$BT316,,AH316)*(1-AF316)+INDEX(Models!$BJ316:$BT316,,AH316+1)*AF316-ERP_i)*AE316*Ramure*Pc/MaxiM</f>
        <v>2.7696166213134925E-4</v>
      </c>
      <c r="AE316" s="305">
        <f t="shared" si="117"/>
        <v>0.5</v>
      </c>
      <c r="AF316" s="177">
        <f t="shared" si="118"/>
        <v>0.99603443434826944</v>
      </c>
      <c r="AG316" s="811">
        <f t="shared" si="124"/>
        <v>0</v>
      </c>
      <c r="AH316" s="176">
        <f t="shared" si="119"/>
        <v>6</v>
      </c>
      <c r="AI316" s="225">
        <f t="shared" si="120"/>
        <v>0.99603443434826944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411">
        <f>'2022'!Wh/'2022'!Env_an*'2023'!Env_an</f>
        <v>21.338334171089159</v>
      </c>
      <c r="C317" s="841"/>
      <c r="D317" s="393">
        <f t="shared" si="102"/>
        <v>22.279204503164618</v>
      </c>
      <c r="E317" s="385">
        <f t="shared" si="125"/>
        <v>23.881081294617879</v>
      </c>
      <c r="F317" s="385">
        <f t="shared" si="103"/>
        <v>23.884676171624829</v>
      </c>
      <c r="G317" s="110">
        <f t="shared" si="126"/>
        <v>0.68362584619907907</v>
      </c>
      <c r="H317" s="414" t="b">
        <f>Wh_hp&gt;='2022'!Maxi_hp</f>
        <v>0</v>
      </c>
      <c r="I317" s="390">
        <f>IF(H317,Wh_hp,'2022'!Maxi_hp)</f>
        <v>33.09982659368044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4.2230876418492103E-2</v>
      </c>
      <c r="M317" s="845"/>
      <c r="N317" s="845"/>
      <c r="O317" s="48">
        <f>IF(t&lt;Tnet,'2022'!Resal+('2022'!Salim-'2022'!Resal)*(1-EXP(('2022'!Tnet-t)/('2022'!Tau_j))),Resal+(Salim-Resal)*(1-EXP((Tnet-t)/(Tau_j))))*Salcycl</f>
        <v>6.7077230368721874E-2</v>
      </c>
      <c r="P317" s="169">
        <f>(INDEX(Models!$BJ317:$BT317,,T317)*(1-R317)+INDEX(Models!$BJ317:$BT317,,T317+1)*R317-ERP_i)*Q317*Ramure*Pc/MaxiM</f>
        <v>2.7457363191938294E-4</v>
      </c>
      <c r="Q317" s="305">
        <f t="shared" si="105"/>
        <v>0.5</v>
      </c>
      <c r="R317" s="177">
        <f t="shared" si="106"/>
        <v>0.99609545932831223</v>
      </c>
      <c r="S317" s="811">
        <f t="shared" si="107"/>
        <v>0</v>
      </c>
      <c r="T317" s="176">
        <f t="shared" si="108"/>
        <v>6</v>
      </c>
      <c r="U317" s="251">
        <f t="shared" si="109"/>
        <v>0.99609545932831223</v>
      </c>
      <c r="V317" s="383">
        <f t="shared" si="110"/>
        <v>31.209595972657894</v>
      </c>
      <c r="W317" s="402">
        <f t="shared" si="111"/>
        <v>21.338334171089159</v>
      </c>
      <c r="X317" s="157">
        <f t="shared" si="112"/>
        <v>45229</v>
      </c>
      <c r="Y317" s="385">
        <f t="shared" si="113"/>
        <v>20.818790463948396</v>
      </c>
      <c r="Z317" s="385">
        <f t="shared" si="114"/>
        <v>21.736752575712657</v>
      </c>
      <c r="AA317" s="386">
        <f t="shared" si="115"/>
        <v>23.881081294617879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8.9791944194272791E-2</v>
      </c>
      <c r="AD317" s="231">
        <f>(INDEX(Models!$BJ317:$BT317,,AH317)*(1-AF317)+INDEX(Models!$BJ317:$BT317,,AH317+1)*AF317-ERP_i)*AE317*Ramure*Pc/MaxiM</f>
        <v>2.7457363191938294E-4</v>
      </c>
      <c r="AE317" s="305">
        <f t="shared" si="117"/>
        <v>0.5</v>
      </c>
      <c r="AF317" s="177">
        <f t="shared" si="118"/>
        <v>0.99609545932831223</v>
      </c>
      <c r="AG317" s="811">
        <f t="shared" si="124"/>
        <v>0</v>
      </c>
      <c r="AH317" s="176">
        <f t="shared" si="119"/>
        <v>6</v>
      </c>
      <c r="AI317" s="225">
        <f t="shared" si="120"/>
        <v>0.99609545932831223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411">
        <f>'2022'!Wh/'2022'!Env_an*'2023'!Env_an</f>
        <v>20.832498794176015</v>
      </c>
      <c r="C318" s="841"/>
      <c r="D318" s="393">
        <f t="shared" si="102"/>
        <v>21.751541761396027</v>
      </c>
      <c r="E318" s="385">
        <f t="shared" si="125"/>
        <v>23.315338810195584</v>
      </c>
      <c r="F318" s="385">
        <f t="shared" si="103"/>
        <v>23.318754944312015</v>
      </c>
      <c r="G318" s="110">
        <f t="shared" si="126"/>
        <v>0.67350305952633072</v>
      </c>
      <c r="H318" s="414" t="b">
        <f>Wh_hp&gt;='2022'!Maxi_hp</f>
        <v>0</v>
      </c>
      <c r="I318" s="390">
        <f>IF(H318,Wh_hp,'2022'!Maxi_hp)</f>
        <v>33.51042975379562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4.2251854020348145E-2</v>
      </c>
      <c r="M318" s="845"/>
      <c r="N318" s="845"/>
      <c r="O318" s="48">
        <f>IF(t&lt;Tnet,'2022'!Resal+('2022'!Salim-'2022'!Resal)*(1-EXP(('2022'!Tnet-t)/('2022'!Tau_j))),Resal+(Salim-Resal)*(1-EXP((Tnet-t)/(Tau_j))))*Salcycl</f>
        <v>6.7071598724343776E-2</v>
      </c>
      <c r="P318" s="169">
        <f>(INDEX(Models!$BJ318:$BT318,,T318)*(1-R318)+INDEX(Models!$BJ318:$BT318,,T318+1)*R318-ERP_i)*Q318*Ramure*Pc/MaxiM</f>
        <v>2.7449420312534116E-4</v>
      </c>
      <c r="Q318" s="305">
        <f t="shared" si="105"/>
        <v>0.5</v>
      </c>
      <c r="R318" s="177">
        <f t="shared" si="106"/>
        <v>0.99615404129417306</v>
      </c>
      <c r="S318" s="811">
        <f t="shared" si="107"/>
        <v>0</v>
      </c>
      <c r="T318" s="176">
        <f t="shared" si="108"/>
        <v>6</v>
      </c>
      <c r="U318" s="251">
        <f t="shared" si="109"/>
        <v>0.99615404129417306</v>
      </c>
      <c r="V318" s="383">
        <f t="shared" si="110"/>
        <v>30.927598045860776</v>
      </c>
      <c r="W318" s="402">
        <f t="shared" si="111"/>
        <v>20.832498794176015</v>
      </c>
      <c r="X318" s="157">
        <f t="shared" si="112"/>
        <v>45230</v>
      </c>
      <c r="Y318" s="385">
        <f t="shared" si="113"/>
        <v>20.32609413501471</v>
      </c>
      <c r="Z318" s="385">
        <f t="shared" si="114"/>
        <v>21.222796640575858</v>
      </c>
      <c r="AA318" s="386">
        <f t="shared" si="115"/>
        <v>23.315338810195584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8.9749593032063354E-2</v>
      </c>
      <c r="AD318" s="231">
        <f>(INDEX(Models!$BJ318:$BT318,,AH318)*(1-AF318)+INDEX(Models!$BJ318:$BT318,,AH318+1)*AF318-ERP_i)*AE318*Ramure*Pc/MaxiM</f>
        <v>2.7449420312534116E-4</v>
      </c>
      <c r="AE318" s="305">
        <f t="shared" si="117"/>
        <v>0.5</v>
      </c>
      <c r="AF318" s="177">
        <f t="shared" si="118"/>
        <v>0.99615404129417306</v>
      </c>
      <c r="AG318" s="811">
        <f t="shared" si="124"/>
        <v>0</v>
      </c>
      <c r="AH318" s="176">
        <f t="shared" si="119"/>
        <v>6</v>
      </c>
      <c r="AI318" s="225">
        <f t="shared" si="120"/>
        <v>0.99615404129417306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411">
        <f>'2022'!Wh/'2022'!Env_an*'2023'!Env_an</f>
        <v>22.160962596767114</v>
      </c>
      <c r="C319" s="841"/>
      <c r="D319" s="393">
        <f t="shared" si="102"/>
        <v>23.139118652832952</v>
      </c>
      <c r="E319" s="385">
        <f t="shared" si="125"/>
        <v>24.802518765078037</v>
      </c>
      <c r="F319" s="385">
        <f t="shared" si="103"/>
        <v>24.806651451608705</v>
      </c>
      <c r="G319" s="110">
        <f t="shared" si="126"/>
        <v>0.72304040379974099</v>
      </c>
      <c r="H319" s="414" t="b">
        <f>Wh_hp&gt;='2022'!Maxi_hp</f>
        <v>0</v>
      </c>
      <c r="I319" s="390">
        <f>IF(H319,Wh_hp,'2022'!Maxi_hp)</f>
        <v>32.377451552901285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4.2272831162740943E-2</v>
      </c>
      <c r="M319" s="845"/>
      <c r="N319" s="845"/>
      <c r="O319" s="48">
        <f>IF(t&lt;Tnet,'2022'!Resal+('2022'!Salim-'2022'!Resal)*(1-EXP(('2022'!Tnet-t)/('2022'!Tau_j))),Resal+(Salim-Resal)*(1-EXP((Tnet-t)/(Tau_j))))*Salcycl</f>
        <v>6.7065773762749983E-2</v>
      </c>
      <c r="P319" s="169">
        <f>(INDEX(Models!$BJ319:$BT319,,T319)*(1-R319)+INDEX(Models!$BJ319:$BT319,,T319+1)*R319-ERP_i)*Q319*Ramure*Pc/MaxiM</f>
        <v>2.7561292284278478E-4</v>
      </c>
      <c r="Q319" s="305">
        <f t="shared" si="105"/>
        <v>0.5</v>
      </c>
      <c r="R319" s="177">
        <f t="shared" si="106"/>
        <v>0.99621027750631475</v>
      </c>
      <c r="S319" s="811">
        <f t="shared" si="107"/>
        <v>0</v>
      </c>
      <c r="T319" s="176">
        <f t="shared" si="108"/>
        <v>6</v>
      </c>
      <c r="U319" s="251">
        <f t="shared" si="109"/>
        <v>0.99621027750631475</v>
      </c>
      <c r="V319" s="383">
        <f t="shared" si="110"/>
        <v>30.646345841391859</v>
      </c>
      <c r="W319" s="402">
        <f t="shared" si="111"/>
        <v>22.160962596767114</v>
      </c>
      <c r="X319" s="157">
        <f t="shared" si="112"/>
        <v>45231</v>
      </c>
      <c r="Y319" s="385">
        <f t="shared" si="113"/>
        <v>21.623140344746187</v>
      </c>
      <c r="Z319" s="385">
        <f t="shared" si="114"/>
        <v>22.577557626352018</v>
      </c>
      <c r="AA319" s="386">
        <f t="shared" si="115"/>
        <v>24.802518765078037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8.9707064020399657E-2</v>
      </c>
      <c r="AD319" s="231">
        <f>(INDEX(Models!$BJ319:$BT319,,AH319)*(1-AF319)+INDEX(Models!$BJ319:$BT319,,AH319+1)*AF319-ERP_i)*AE319*Ramure*Pc/MaxiM</f>
        <v>2.7561292284278478E-4</v>
      </c>
      <c r="AE319" s="305">
        <f t="shared" si="117"/>
        <v>0.5</v>
      </c>
      <c r="AF319" s="177">
        <f t="shared" si="118"/>
        <v>0.99621027750631475</v>
      </c>
      <c r="AG319" s="811">
        <f t="shared" si="124"/>
        <v>0</v>
      </c>
      <c r="AH319" s="176">
        <f t="shared" si="119"/>
        <v>6</v>
      </c>
      <c r="AI319" s="225">
        <f t="shared" si="120"/>
        <v>0.99621027750631475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411">
        <f>'2022'!Wh/'2022'!Env_an*'2023'!Env_an</f>
        <v>26.635081983281133</v>
      </c>
      <c r="C320" s="841"/>
      <c r="D320" s="393">
        <f t="shared" si="102"/>
        <v>27.811328987407553</v>
      </c>
      <c r="E320" s="385">
        <f t="shared" si="125"/>
        <v>29.810409809644504</v>
      </c>
      <c r="F320" s="385">
        <f t="shared" si="103"/>
        <v>29.817242449617304</v>
      </c>
      <c r="G320" s="110">
        <f t="shared" si="126"/>
        <v>0.87708582432671456</v>
      </c>
      <c r="H320" s="414" t="b">
        <f>Wh_hp&gt;='2022'!Maxi_hp</f>
        <v>0</v>
      </c>
      <c r="I320" s="390">
        <f>IF(H320,Wh_hp,'2022'!Maxi_hp)</f>
        <v>29.817559501833507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4.2293807845680487E-2</v>
      </c>
      <c r="M320" s="845"/>
      <c r="N320" s="845"/>
      <c r="O320" s="48">
        <f>IF(t&lt;Tnet,'2022'!Resal+('2022'!Salim-'2022'!Resal)*(1-EXP(('2022'!Tnet-t)/('2022'!Tau_j))),Resal+(Salim-Resal)*(1-EXP((Tnet-t)/(Tau_j))))*Salcycl</f>
        <v>6.7059823565061891E-2</v>
      </c>
      <c r="P320" s="169">
        <f>(INDEX(Models!$BJ320:$BT320,,T320)*(1-R320)+INDEX(Models!$BJ320:$BT320,,T320+1)*R320-ERP_i)*Q320*Ramure*Pc/MaxiM</f>
        <v>2.779370761254251E-4</v>
      </c>
      <c r="Q320" s="305">
        <f t="shared" si="105"/>
        <v>0.5</v>
      </c>
      <c r="R320" s="177">
        <f t="shared" si="106"/>
        <v>0.99626426139566893</v>
      </c>
      <c r="S320" s="811">
        <f t="shared" si="107"/>
        <v>0</v>
      </c>
      <c r="T320" s="176">
        <f t="shared" si="108"/>
        <v>6</v>
      </c>
      <c r="U320" s="251">
        <f t="shared" si="109"/>
        <v>0.99626426139566893</v>
      </c>
      <c r="V320" s="383">
        <f t="shared" si="110"/>
        <v>30.366221315881358</v>
      </c>
      <c r="W320" s="402">
        <f t="shared" si="111"/>
        <v>26.635081983281133</v>
      </c>
      <c r="X320" s="157">
        <f t="shared" si="112"/>
        <v>45232</v>
      </c>
      <c r="Y320" s="385">
        <f t="shared" si="113"/>
        <v>25.989728672627763</v>
      </c>
      <c r="Z320" s="385">
        <f t="shared" si="114"/>
        <v>27.137475862158695</v>
      </c>
      <c r="AA320" s="386">
        <f t="shared" si="115"/>
        <v>29.810409809644504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8.9664448243211931E-2</v>
      </c>
      <c r="AD320" s="231">
        <f>(INDEX(Models!$BJ320:$BT320,,AH320)*(1-AF320)+INDEX(Models!$BJ320:$BT320,,AH320+1)*AF320-ERP_i)*AE320*Ramure*Pc/MaxiM</f>
        <v>2.779370761254251E-4</v>
      </c>
      <c r="AE320" s="305">
        <f t="shared" si="117"/>
        <v>0.5</v>
      </c>
      <c r="AF320" s="177">
        <f t="shared" si="118"/>
        <v>0.99626426139566893</v>
      </c>
      <c r="AG320" s="811">
        <f t="shared" si="124"/>
        <v>0</v>
      </c>
      <c r="AH320" s="176">
        <f t="shared" si="119"/>
        <v>6</v>
      </c>
      <c r="AI320" s="225">
        <f t="shared" si="120"/>
        <v>0.99626426139566893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411">
        <f>'2022'!Wh/'2022'!Env_an*'2023'!Env_an</f>
        <v>9.1462068030029187</v>
      </c>
      <c r="C321" s="841"/>
      <c r="D321" s="393">
        <f t="shared" si="102"/>
        <v>9.5503268201892961</v>
      </c>
      <c r="E321" s="385">
        <f t="shared" si="125"/>
        <v>10.236739263593586</v>
      </c>
      <c r="F321" s="385">
        <f t="shared" si="103"/>
        <v>10.236755670396512</v>
      </c>
      <c r="G321" s="110">
        <f t="shared" si="126"/>
        <v>0.30390077903906454</v>
      </c>
      <c r="H321" s="414" t="b">
        <f>Wh_hp&gt;='2022'!Maxi_hp</f>
        <v>0</v>
      </c>
      <c r="I321" s="390">
        <f>IF(H321,Wh_hp,'2022'!Maxi_hp)</f>
        <v>30.00122544451607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4.231478406917677E-2</v>
      </c>
      <c r="M321" s="845"/>
      <c r="N321" s="845"/>
      <c r="O321" s="48">
        <f>IF(t&lt;Tnet,'2022'!Resal+('2022'!Salim-'2022'!Resal)*(1-EXP(('2022'!Tnet-t)/('2022'!Tau_j))),Resal+(Salim-Resal)*(1-EXP((Tnet-t)/(Tau_j))))*Salcycl</f>
        <v>6.7053817209692876E-2</v>
      </c>
      <c r="P321" s="169">
        <f>(INDEX(Models!$BJ321:$BT321,,T321)*(1-R321)+INDEX(Models!$BJ321:$BT321,,T321+1)*R321-ERP_i)*Q321*Ramure*Pc/MaxiM</f>
        <v>2.8147385117897422E-4</v>
      </c>
      <c r="Q321" s="305">
        <f t="shared" si="105"/>
        <v>0.5</v>
      </c>
      <c r="R321" s="177">
        <f t="shared" si="106"/>
        <v>0.99631608271106209</v>
      </c>
      <c r="S321" s="811">
        <f t="shared" si="107"/>
        <v>0</v>
      </c>
      <c r="T321" s="176">
        <f t="shared" si="108"/>
        <v>6</v>
      </c>
      <c r="U321" s="251">
        <f t="shared" si="109"/>
        <v>0.99631608271106209</v>
      </c>
      <c r="V321" s="383">
        <f t="shared" si="110"/>
        <v>30.087606450705728</v>
      </c>
      <c r="W321" s="402">
        <f t="shared" si="111"/>
        <v>9.1462068030029187</v>
      </c>
      <c r="X321" s="157">
        <f t="shared" si="112"/>
        <v>45233</v>
      </c>
      <c r="Y321" s="385">
        <f t="shared" si="113"/>
        <v>8.9249595447188099</v>
      </c>
      <c r="Z321" s="385">
        <f t="shared" si="114"/>
        <v>9.3193038759026745</v>
      </c>
      <c r="AA321" s="386">
        <f t="shared" si="115"/>
        <v>10.236739263593586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8.9621837976641847E-2</v>
      </c>
      <c r="AD321" s="231">
        <f>(INDEX(Models!$BJ321:$BT321,,AH321)*(1-AF321)+INDEX(Models!$BJ321:$BT321,,AH321+1)*AF321-ERP_i)*AE321*Ramure*Pc/MaxiM</f>
        <v>2.8147385117897422E-4</v>
      </c>
      <c r="AE321" s="305">
        <f t="shared" si="117"/>
        <v>0.5</v>
      </c>
      <c r="AF321" s="177">
        <f t="shared" si="118"/>
        <v>0.99631608271106209</v>
      </c>
      <c r="AG321" s="811">
        <f t="shared" si="124"/>
        <v>0</v>
      </c>
      <c r="AH321" s="176">
        <f t="shared" si="119"/>
        <v>6</v>
      </c>
      <c r="AI321" s="225">
        <f t="shared" si="120"/>
        <v>0.99631608271106209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411">
        <f>'2022'!Wh/'2022'!Env_an*'2023'!Env_an</f>
        <v>16.041273987705008</v>
      </c>
      <c r="C322" s="841"/>
      <c r="D322" s="393">
        <f t="shared" si="102"/>
        <v>16.750415557869957</v>
      </c>
      <c r="E322" s="385">
        <f t="shared" si="125"/>
        <v>17.954206010984606</v>
      </c>
      <c r="F322" s="385">
        <f t="shared" si="103"/>
        <v>17.955954197377338</v>
      </c>
      <c r="G322" s="110">
        <f t="shared" si="126"/>
        <v>0.53799962334088602</v>
      </c>
      <c r="H322" s="414" t="b">
        <f>Wh_hp&gt;='2022'!Maxi_hp</f>
        <v>0</v>
      </c>
      <c r="I322" s="390">
        <f>IF(H322,Wh_hp,'2022'!Maxi_hp)</f>
        <v>23.180990079496752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4.2335759833240005E-2</v>
      </c>
      <c r="M322" s="845"/>
      <c r="N322" s="845"/>
      <c r="O322" s="48">
        <f>IF(t&lt;Tnet,'2022'!Resal+('2022'!Salim-'2022'!Resal)*(1-EXP(('2022'!Tnet-t)/('2022'!Tau_j))),Resal+(Salim-Resal)*(1-EXP((Tnet-t)/(Tau_j))))*Salcycl</f>
        <v>6.7047824469550682E-2</v>
      </c>
      <c r="P322" s="169">
        <f>(INDEX(Models!$BJ322:$BT322,,T322)*(1-R322)+INDEX(Models!$BJ322:$BT322,,T322+1)*R322-ERP_i)*Q322*Ramure*Pc/MaxiM</f>
        <v>2.8623028588331876E-4</v>
      </c>
      <c r="Q322" s="305">
        <f t="shared" si="105"/>
        <v>0.5</v>
      </c>
      <c r="R322" s="177">
        <f t="shared" si="106"/>
        <v>0.99636582766123438</v>
      </c>
      <c r="S322" s="811">
        <f t="shared" si="107"/>
        <v>0</v>
      </c>
      <c r="T322" s="176">
        <f t="shared" si="108"/>
        <v>6</v>
      </c>
      <c r="U322" s="251">
        <f t="shared" si="109"/>
        <v>0.99636582766123438</v>
      </c>
      <c r="V322" s="383">
        <f t="shared" si="110"/>
        <v>29.81088326486643</v>
      </c>
      <c r="W322" s="402">
        <f t="shared" si="111"/>
        <v>16.041273987705008</v>
      </c>
      <c r="X322" s="157">
        <f t="shared" si="112"/>
        <v>45234</v>
      </c>
      <c r="Y322" s="385">
        <f t="shared" si="113"/>
        <v>15.653865068557201</v>
      </c>
      <c r="Z322" s="385">
        <f t="shared" si="114"/>
        <v>16.345880332580197</v>
      </c>
      <c r="AA322" s="386">
        <f t="shared" si="115"/>
        <v>17.954206010984606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8.9579326282678076E-2</v>
      </c>
      <c r="AD322" s="231">
        <f>(INDEX(Models!$BJ322:$BT322,,AH322)*(1-AF322)+INDEX(Models!$BJ322:$BT322,,AH322+1)*AF322-ERP_i)*AE322*Ramure*Pc/MaxiM</f>
        <v>2.8623028588331876E-4</v>
      </c>
      <c r="AE322" s="305">
        <f t="shared" si="117"/>
        <v>0.5</v>
      </c>
      <c r="AF322" s="177">
        <f t="shared" si="118"/>
        <v>0.99636582766123438</v>
      </c>
      <c r="AG322" s="811">
        <f t="shared" si="124"/>
        <v>0</v>
      </c>
      <c r="AH322" s="176">
        <f t="shared" si="119"/>
        <v>6</v>
      </c>
      <c r="AI322" s="225">
        <f t="shared" si="120"/>
        <v>0.99636582766123438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411">
        <f>'2022'!Wh/'2022'!Env_an*'2023'!Env_an</f>
        <v>27.933987808544543</v>
      </c>
      <c r="C323" s="841"/>
      <c r="D323" s="393">
        <f t="shared" si="102"/>
        <v>29.169513151190429</v>
      </c>
      <c r="E323" s="385">
        <f t="shared" si="125"/>
        <v>31.265620220082443</v>
      </c>
      <c r="F323" s="385">
        <f t="shared" si="103"/>
        <v>31.274050620544582</v>
      </c>
      <c r="G323" s="110">
        <f t="shared" si="126"/>
        <v>0.94572537663261791</v>
      </c>
      <c r="H323" s="414" t="b">
        <f>Wh_hp&gt;='2022'!Maxi_hp</f>
        <v>0</v>
      </c>
      <c r="I323" s="390">
        <f>IF(H323,Wh_hp,'2022'!Maxi_hp)</f>
        <v>31.274208966337646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4.2356735137880186E-2</v>
      </c>
      <c r="M323" s="845"/>
      <c r="N323" s="845"/>
      <c r="O323" s="48">
        <f>IF(t&lt;Tnet,'2022'!Resal+('2022'!Salim-'2022'!Resal)*(1-EXP(('2022'!Tnet-t)/('2022'!Tau_j))),Resal+(Salim-Resal)*(1-EXP((Tnet-t)/(Tau_j))))*Salcycl</f>
        <v>6.7041915501348345E-2</v>
      </c>
      <c r="P323" s="169">
        <f>(INDEX(Models!$BJ323:$BT323,,T323)*(1-R323)+INDEX(Models!$BJ323:$BT323,,T323+1)*R323-ERP_i)*Q323*Ramure*Pc/MaxiM</f>
        <v>2.92213210976909E-4</v>
      </c>
      <c r="Q323" s="305">
        <f t="shared" si="105"/>
        <v>0.5</v>
      </c>
      <c r="R323" s="177">
        <f t="shared" si="106"/>
        <v>0.99641357905162387</v>
      </c>
      <c r="S323" s="811">
        <f t="shared" si="107"/>
        <v>0</v>
      </c>
      <c r="T323" s="176">
        <f t="shared" si="108"/>
        <v>6</v>
      </c>
      <c r="U323" s="251">
        <f t="shared" si="109"/>
        <v>0.99641357905162387</v>
      </c>
      <c r="V323" s="383">
        <f t="shared" si="110"/>
        <v>29.536433813800823</v>
      </c>
      <c r="W323" s="402">
        <f t="shared" si="111"/>
        <v>27.933987808544543</v>
      </c>
      <c r="X323" s="157">
        <f t="shared" si="112"/>
        <v>45235</v>
      </c>
      <c r="Y323" s="385">
        <f t="shared" si="113"/>
        <v>27.260455298614588</v>
      </c>
      <c r="Z323" s="385">
        <f t="shared" si="114"/>
        <v>28.466190176296507</v>
      </c>
      <c r="AA323" s="386">
        <f t="shared" si="115"/>
        <v>31.265620220082443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8.9537006593197632E-2</v>
      </c>
      <c r="AD323" s="231">
        <f>(INDEX(Models!$BJ323:$BT323,,AH323)*(1-AF323)+INDEX(Models!$BJ323:$BT323,,AH323+1)*AF323-ERP_i)*AE323*Ramure*Pc/MaxiM</f>
        <v>2.92213210976909E-4</v>
      </c>
      <c r="AE323" s="305">
        <f t="shared" si="117"/>
        <v>0.5</v>
      </c>
      <c r="AF323" s="177">
        <f t="shared" si="118"/>
        <v>0.99641357905162387</v>
      </c>
      <c r="AG323" s="811">
        <f t="shared" si="124"/>
        <v>0</v>
      </c>
      <c r="AH323" s="176">
        <f t="shared" si="119"/>
        <v>6</v>
      </c>
      <c r="AI323" s="225">
        <f t="shared" si="120"/>
        <v>0.99641357905162387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411">
        <f>'2022'!Wh/'2022'!Env_an*'2023'!Env_an</f>
        <v>28.779471733561799</v>
      </c>
      <c r="C324" s="841"/>
      <c r="D324" s="393">
        <f t="shared" si="102"/>
        <v>30.0530512223709</v>
      </c>
      <c r="E324" s="385">
        <f t="shared" si="125"/>
        <v>32.212450205374893</v>
      </c>
      <c r="F324" s="385">
        <f t="shared" si="103"/>
        <v>32.221882849145743</v>
      </c>
      <c r="G324" s="110">
        <f t="shared" si="126"/>
        <v>0.98341476181047904</v>
      </c>
      <c r="H324" s="414" t="b">
        <f>Wh_hp&gt;='2022'!Maxi_hp</f>
        <v>0</v>
      </c>
      <c r="I324" s="390">
        <f>IF(H324,Wh_hp,'2022'!Maxi_hp)</f>
        <v>32.221934339382955</v>
      </c>
      <c r="J324" s="85">
        <f>IF(H324,An,'2022'!An_max)</f>
        <v>2022</v>
      </c>
      <c r="K324" s="197">
        <f t="shared" si="104"/>
        <v>45236</v>
      </c>
      <c r="L324" s="147">
        <f>IF(t&lt;Tvie,1-EXP((T0-t)*PertePVj)+'2022'!Pspv,1-EXP((T0-t)*PertePVj)+Pspv)</f>
        <v>4.2377709983107303E-2</v>
      </c>
      <c r="M324" s="845"/>
      <c r="N324" s="845"/>
      <c r="O324" s="48">
        <f>IF(t&lt;Tnet,'2022'!Resal+('2022'!Salim-'2022'!Resal)*(1-EXP(('2022'!Tnet-t)/('2022'!Tau_j))),Resal+(Salim-Resal)*(1-EXP((Tnet-t)/(Tau_j))))*Salcycl</f>
        <v>6.7036160529126032E-2</v>
      </c>
      <c r="P324" s="169">
        <f>(INDEX(Models!$BJ324:$BT324,,T324)*(1-R324)+INDEX(Models!$BJ324:$BT324,,T324+1)*R324-ERP_i)*Q324*Ramure*Pc/MaxiM</f>
        <v>2.9984151570071332E-4</v>
      </c>
      <c r="Q324" s="305">
        <f t="shared" si="105"/>
        <v>0.5</v>
      </c>
      <c r="R324" s="177">
        <f t="shared" si="106"/>
        <v>0.99645941641609304</v>
      </c>
      <c r="S324" s="811">
        <f t="shared" si="107"/>
        <v>0</v>
      </c>
      <c r="T324" s="176">
        <f t="shared" si="108"/>
        <v>6</v>
      </c>
      <c r="U324" s="251">
        <f t="shared" si="109"/>
        <v>0.99645941641609304</v>
      </c>
      <c r="V324" s="383">
        <f t="shared" si="110"/>
        <v>29.264628132695485</v>
      </c>
      <c r="W324" s="402">
        <f t="shared" si="111"/>
        <v>28.779471733561799</v>
      </c>
      <c r="X324" s="157">
        <f t="shared" si="112"/>
        <v>45236</v>
      </c>
      <c r="Y324" s="385">
        <f t="shared" si="113"/>
        <v>28.086676674614374</v>
      </c>
      <c r="Z324" s="385">
        <f t="shared" si="114"/>
        <v>29.329597866940752</v>
      </c>
      <c r="AA324" s="386">
        <f t="shared" si="115"/>
        <v>32.212450205374893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8.9494972287240473E-2</v>
      </c>
      <c r="AD324" s="231">
        <f>(INDEX(Models!$BJ324:$BT324,,AH324)*(1-AF324)+INDEX(Models!$BJ324:$BT324,,AH324+1)*AF324-ERP_i)*AE324*Ramure*Pc/MaxiM</f>
        <v>2.9984151570071332E-4</v>
      </c>
      <c r="AE324" s="305">
        <f t="shared" si="117"/>
        <v>0.5</v>
      </c>
      <c r="AF324" s="177">
        <f t="shared" si="118"/>
        <v>0.99645941641609304</v>
      </c>
      <c r="AG324" s="811">
        <f t="shared" si="124"/>
        <v>0</v>
      </c>
      <c r="AH324" s="176">
        <f t="shared" si="119"/>
        <v>6</v>
      </c>
      <c r="AI324" s="225">
        <f t="shared" si="120"/>
        <v>0.99645941641609304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411">
        <f>'2022'!Wh/'2022'!Env_an*'2023'!Env_an</f>
        <v>26.597524714423319</v>
      </c>
      <c r="C325" s="841"/>
      <c r="D325" s="393">
        <f t="shared" si="102"/>
        <v>27.775154733256912</v>
      </c>
      <c r="E325" s="385">
        <f t="shared" si="125"/>
        <v>29.770703746780615</v>
      </c>
      <c r="F325" s="385">
        <f t="shared" si="103"/>
        <v>29.778800302652741</v>
      </c>
      <c r="G325" s="110">
        <f t="shared" si="126"/>
        <v>0.91725317130638095</v>
      </c>
      <c r="H325" s="414" t="b">
        <f>Wh_hp&gt;='2022'!Maxi_hp</f>
        <v>0</v>
      </c>
      <c r="I325" s="390">
        <f>IF(H325,Wh_hp,'2022'!Maxi_hp)</f>
        <v>29.779045864368641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4.2398684368931461E-2</v>
      </c>
      <c r="M325" s="845"/>
      <c r="N325" s="845"/>
      <c r="O325" s="48">
        <f>IF(t&lt;Tnet,'2022'!Resal+('2022'!Salim-'2022'!Resal)*(1-EXP(('2022'!Tnet-t)/('2022'!Tau_j))),Resal+(Salim-Resal)*(1-EXP((Tnet-t)/(Tau_j))))*Salcycl</f>
        <v>6.7030629524150981E-2</v>
      </c>
      <c r="P325" s="169">
        <f>(INDEX(Models!$BJ325:$BT325,,T325)*(1-R325)+INDEX(Models!$BJ325:$BT325,,T325+1)*R325-ERP_i)*Q325*Ramure*Pc/MaxiM</f>
        <v>3.0832185564986251E-4</v>
      </c>
      <c r="Q325" s="305">
        <f t="shared" si="105"/>
        <v>0.5</v>
      </c>
      <c r="R325" s="177">
        <f t="shared" si="106"/>
        <v>0.99650341614376414</v>
      </c>
      <c r="S325" s="811">
        <f t="shared" si="107"/>
        <v>0</v>
      </c>
      <c r="T325" s="176">
        <f t="shared" si="108"/>
        <v>6</v>
      </c>
      <c r="U325" s="251">
        <f t="shared" si="109"/>
        <v>0.99650341614376414</v>
      </c>
      <c r="V325" s="383">
        <f t="shared" si="110"/>
        <v>28.995871896432437</v>
      </c>
      <c r="W325" s="402">
        <f t="shared" si="111"/>
        <v>26.597524714423319</v>
      </c>
      <c r="X325" s="157">
        <f t="shared" si="112"/>
        <v>45237</v>
      </c>
      <c r="Y325" s="385">
        <f t="shared" si="113"/>
        <v>25.958288332596563</v>
      </c>
      <c r="Z325" s="385">
        <f t="shared" si="114"/>
        <v>27.107615569105395</v>
      </c>
      <c r="AA325" s="386">
        <f t="shared" si="115"/>
        <v>29.770703746780615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8.9453316264423322E-2</v>
      </c>
      <c r="AD325" s="231">
        <f>(INDEX(Models!$BJ325:$BT325,,AH325)*(1-AF325)+INDEX(Models!$BJ325:$BT325,,AH325+1)*AF325-ERP_i)*AE325*Ramure*Pc/MaxiM</f>
        <v>3.0832185564986251E-4</v>
      </c>
      <c r="AE325" s="305">
        <f t="shared" si="117"/>
        <v>0.5</v>
      </c>
      <c r="AF325" s="177">
        <f t="shared" si="118"/>
        <v>0.99650341614376414</v>
      </c>
      <c r="AG325" s="811">
        <f t="shared" si="124"/>
        <v>0</v>
      </c>
      <c r="AH325" s="176">
        <f t="shared" si="119"/>
        <v>6</v>
      </c>
      <c r="AI325" s="225">
        <f t="shared" si="120"/>
        <v>0.99650341614376414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411">
        <f>'2022'!Wh/'2022'!Env_an*'2023'!Env_an</f>
        <v>20.025765160203971</v>
      </c>
      <c r="C326" s="841"/>
      <c r="D326" s="393">
        <f t="shared" si="102"/>
        <v>20.912882489374304</v>
      </c>
      <c r="E326" s="385">
        <f t="shared" si="125"/>
        <v>22.415275086201429</v>
      </c>
      <c r="F326" s="385">
        <f t="shared" si="103"/>
        <v>22.419314290575588</v>
      </c>
      <c r="G326" s="110">
        <f t="shared" si="126"/>
        <v>0.69692412207449372</v>
      </c>
      <c r="H326" s="414" t="b">
        <f>Wh_hp&gt;='2022'!Maxi_hp</f>
        <v>0</v>
      </c>
      <c r="I326" s="390">
        <f>IF(H326,Wh_hp,'2022'!Maxi_hp)</f>
        <v>27.215230575971084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4.2419658295362761E-2</v>
      </c>
      <c r="M326" s="845"/>
      <c r="N326" s="845"/>
      <c r="O326" s="48">
        <f>IF(t&lt;Tnet,'2022'!Resal+('2022'!Salim-'2022'!Resal)*(1-EXP(('2022'!Tnet-t)/('2022'!Tau_j))),Resal+(Salim-Resal)*(1-EXP((Tnet-t)/(Tau_j))))*Salcycl</f>
        <v>6.7025391883411722E-2</v>
      </c>
      <c r="P326" s="169">
        <f>(INDEX(Models!$BJ326:$BT326,,T326)*(1-R326)+INDEX(Models!$BJ326:$BT326,,T326+1)*R326-ERP_i)*Q326*Ramure*Pc/MaxiM</f>
        <v>3.1765755343075646E-4</v>
      </c>
      <c r="Q326" s="305">
        <f t="shared" si="105"/>
        <v>0.5</v>
      </c>
      <c r="R326" s="177">
        <f t="shared" si="106"/>
        <v>0.99654565160113018</v>
      </c>
      <c r="S326" s="811">
        <f t="shared" si="107"/>
        <v>0</v>
      </c>
      <c r="T326" s="176">
        <f t="shared" si="108"/>
        <v>6</v>
      </c>
      <c r="U326" s="251">
        <f t="shared" si="109"/>
        <v>0.99654565160113018</v>
      </c>
      <c r="V326" s="383">
        <f t="shared" si="110"/>
        <v>28.73054707365111</v>
      </c>
      <c r="W326" s="402">
        <f t="shared" si="111"/>
        <v>20.025765160203971</v>
      </c>
      <c r="X326" s="157">
        <f t="shared" si="112"/>
        <v>45238</v>
      </c>
      <c r="Y326" s="385">
        <f t="shared" si="113"/>
        <v>19.545246648030073</v>
      </c>
      <c r="Z326" s="385">
        <f t="shared" si="114"/>
        <v>20.411077584609341</v>
      </c>
      <c r="AA326" s="386">
        <f t="shared" si="115"/>
        <v>22.415275086201429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8.9412130517454502E-2</v>
      </c>
      <c r="AD326" s="231">
        <f>(INDEX(Models!$BJ326:$BT326,,AH326)*(1-AF326)+INDEX(Models!$BJ326:$BT326,,AH326+1)*AF326-ERP_i)*AE326*Ramure*Pc/MaxiM</f>
        <v>3.1765755343075646E-4</v>
      </c>
      <c r="AE326" s="305">
        <f t="shared" si="117"/>
        <v>0.5</v>
      </c>
      <c r="AF326" s="177">
        <f t="shared" si="118"/>
        <v>0.99654565160113018</v>
      </c>
      <c r="AG326" s="811">
        <f t="shared" si="124"/>
        <v>0</v>
      </c>
      <c r="AH326" s="176">
        <f t="shared" si="119"/>
        <v>6</v>
      </c>
      <c r="AI326" s="225">
        <f t="shared" si="120"/>
        <v>0.99654565160113018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411">
        <f>'2022'!Wh/'2022'!Env_an*'2023'!Env_an</f>
        <v>9.3643267222306683</v>
      </c>
      <c r="C327" s="841"/>
      <c r="D327" s="393">
        <f t="shared" si="102"/>
        <v>9.7793693350480595</v>
      </c>
      <c r="E327" s="385">
        <f t="shared" si="125"/>
        <v>10.481869648690019</v>
      </c>
      <c r="F327" s="385">
        <f t="shared" si="103"/>
        <v>10.482011677293107</v>
      </c>
      <c r="G327" s="110">
        <f t="shared" si="126"/>
        <v>0.32882685455499999</v>
      </c>
      <c r="H327" s="414" t="b">
        <f>Wh_hp&gt;='2022'!Maxi_hp</f>
        <v>0</v>
      </c>
      <c r="I327" s="390">
        <f>IF(H327,Wh_hp,'2022'!Maxi_hp)</f>
        <v>21.819080346731017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4.2440631762411307E-2</v>
      </c>
      <c r="M327" s="845"/>
      <c r="N327" s="845"/>
      <c r="O327" s="48">
        <f>IF(t&lt;Tnet,'2022'!Resal+('2022'!Salim-'2022'!Resal)*(1-EXP(('2022'!Tnet-t)/('2022'!Tau_j))),Resal+(Salim-Resal)*(1-EXP((Tnet-t)/(Tau_j))))*Salcycl</f>
        <v>6.7020516108951586E-2</v>
      </c>
      <c r="P327" s="169">
        <f>(INDEX(Models!$BJ327:$BT327,,T327)*(1-R327)+INDEX(Models!$BJ327:$BT327,,T327+1)*R327-ERP_i)*Q327*Ramure*Pc/MaxiM</f>
        <v>3.2785151153141514E-4</v>
      </c>
      <c r="Q327" s="305">
        <f t="shared" si="105"/>
        <v>0.5</v>
      </c>
      <c r="R327" s="177">
        <f t="shared" si="106"/>
        <v>0.99658619324959963</v>
      </c>
      <c r="S327" s="811">
        <f t="shared" si="107"/>
        <v>0</v>
      </c>
      <c r="T327" s="176">
        <f t="shared" si="108"/>
        <v>6</v>
      </c>
      <c r="U327" s="251">
        <f t="shared" si="109"/>
        <v>0.99658619324959963</v>
      </c>
      <c r="V327" s="383">
        <f t="shared" si="110"/>
        <v>28.469035689325338</v>
      </c>
      <c r="W327" s="402">
        <f t="shared" si="111"/>
        <v>9.3643267222306683</v>
      </c>
      <c r="X327" s="157">
        <f t="shared" si="112"/>
        <v>45239</v>
      </c>
      <c r="Y327" s="385">
        <f t="shared" si="113"/>
        <v>9.1399895607252741</v>
      </c>
      <c r="Z327" s="385">
        <f t="shared" si="114"/>
        <v>9.5450891755647973</v>
      </c>
      <c r="AA327" s="386">
        <f t="shared" si="115"/>
        <v>10.481869648690019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8.9371505706741572E-2</v>
      </c>
      <c r="AD327" s="231">
        <f>(INDEX(Models!$BJ327:$BT327,,AH327)*(1-AF327)+INDEX(Models!$BJ327:$BT327,,AH327+1)*AF327-ERP_i)*AE327*Ramure*Pc/MaxiM</f>
        <v>3.2785151153141514E-4</v>
      </c>
      <c r="AE327" s="305">
        <f t="shared" si="117"/>
        <v>0.5</v>
      </c>
      <c r="AF327" s="177">
        <f t="shared" si="118"/>
        <v>0.99658619324959963</v>
      </c>
      <c r="AG327" s="811">
        <f t="shared" si="124"/>
        <v>0</v>
      </c>
      <c r="AH327" s="176">
        <f t="shared" si="119"/>
        <v>6</v>
      </c>
      <c r="AI327" s="225">
        <f t="shared" si="120"/>
        <v>0.99658619324959963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411">
        <f>'2022'!Wh/'2022'!Env_an*'2023'!Env_an</f>
        <v>19.44739631869847</v>
      </c>
      <c r="C328" s="841"/>
      <c r="D328" s="393">
        <f t="shared" si="102"/>
        <v>20.309782266254697</v>
      </c>
      <c r="E328" s="385">
        <f t="shared" si="125"/>
        <v>21.768630307661532</v>
      </c>
      <c r="F328" s="385">
        <f t="shared" si="103"/>
        <v>21.772734432852708</v>
      </c>
      <c r="G328" s="110">
        <f t="shared" si="126"/>
        <v>0.68923379515891658</v>
      </c>
      <c r="H328" s="414" t="b">
        <f>Wh_hp&gt;='2022'!Maxi_hp</f>
        <v>0</v>
      </c>
      <c r="I328" s="390">
        <f>IF(H328,Wh_hp,'2022'!Maxi_hp)</f>
        <v>21.789231727925742</v>
      </c>
      <c r="J328" s="85">
        <f>IF(H328,An,'2022'!An_max)</f>
        <v>2018</v>
      </c>
      <c r="K328" s="197">
        <f t="shared" si="104"/>
        <v>45240</v>
      </c>
      <c r="L328" s="147">
        <f>IF(t&lt;Tvie,1-EXP((T0-t)*PertePVj)+'2022'!Pspv,1-EXP((T0-t)*PertePVj)+Pspv)</f>
        <v>4.246160477008698E-2</v>
      </c>
      <c r="M328" s="845"/>
      <c r="N328" s="845"/>
      <c r="O328" s="48">
        <f>IF(t&lt;Tnet,'2022'!Resal+('2022'!Salim-'2022'!Resal)*(1-EXP(('2022'!Tnet-t)/('2022'!Tau_j))),Resal+(Salim-Resal)*(1-EXP((Tnet-t)/(Tau_j))))*Salcycl</f>
        <v>6.701606949029712E-2</v>
      </c>
      <c r="P328" s="169">
        <f>(INDEX(Models!$BJ328:$BT328,,T328)*(1-R328)+INDEX(Models!$BJ328:$BT328,,T328+1)*R328-ERP_i)*Q328*Ramure*Pc/MaxiM</f>
        <v>3.3890613654357829E-4</v>
      </c>
      <c r="Q328" s="305">
        <f t="shared" si="105"/>
        <v>0.5</v>
      </c>
      <c r="R328" s="177">
        <f t="shared" si="106"/>
        <v>0.99662510875863486</v>
      </c>
      <c r="S328" s="811">
        <f t="shared" si="107"/>
        <v>0</v>
      </c>
      <c r="T328" s="176">
        <f t="shared" si="108"/>
        <v>6</v>
      </c>
      <c r="U328" s="251">
        <f t="shared" si="109"/>
        <v>0.99662510875863486</v>
      </c>
      <c r="V328" s="383">
        <f t="shared" si="110"/>
        <v>28.211719832332307</v>
      </c>
      <c r="W328" s="402">
        <f t="shared" si="111"/>
        <v>19.44739631869847</v>
      </c>
      <c r="X328" s="157">
        <f t="shared" si="112"/>
        <v>45240</v>
      </c>
      <c r="Y328" s="385">
        <f t="shared" si="113"/>
        <v>18.982246164695127</v>
      </c>
      <c r="Z328" s="385">
        <f t="shared" si="114"/>
        <v>19.824005240163064</v>
      </c>
      <c r="AA328" s="386">
        <f t="shared" si="115"/>
        <v>21.768630307661532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8.9331530740087525E-2</v>
      </c>
      <c r="AD328" s="231">
        <f>(INDEX(Models!$BJ328:$BT328,,AH328)*(1-AF328)+INDEX(Models!$BJ328:$BT328,,AH328+1)*AF328-ERP_i)*AE328*Ramure*Pc/MaxiM</f>
        <v>3.3890613654357829E-4</v>
      </c>
      <c r="AE328" s="305">
        <f t="shared" si="117"/>
        <v>0.5</v>
      </c>
      <c r="AF328" s="177">
        <f t="shared" si="118"/>
        <v>0.99662510875863486</v>
      </c>
      <c r="AG328" s="811">
        <f t="shared" si="124"/>
        <v>0</v>
      </c>
      <c r="AH328" s="176">
        <f t="shared" si="119"/>
        <v>6</v>
      </c>
      <c r="AI328" s="225">
        <f t="shared" si="120"/>
        <v>0.99662510875863486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411">
        <f>'2022'!Wh/'2022'!Env_an*'2023'!Env_an</f>
        <v>26.339804621269433</v>
      </c>
      <c r="C329" s="841"/>
      <c r="D329" s="393">
        <f t="shared" si="102"/>
        <v>27.508433786513063</v>
      </c>
      <c r="E329" s="385">
        <f t="shared" si="125"/>
        <v>29.484234802084014</v>
      </c>
      <c r="F329" s="385">
        <f t="shared" si="103"/>
        <v>29.493725849141835</v>
      </c>
      <c r="G329" s="110">
        <f t="shared" si="126"/>
        <v>0.94206005798426762</v>
      </c>
      <c r="H329" s="414" t="b">
        <f>Wh_hp&gt;='2022'!Maxi_hp</f>
        <v>0</v>
      </c>
      <c r="I329" s="390">
        <f>IF(H329,Wh_hp,'2022'!Maxi_hp)</f>
        <v>29.49392290371604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4.2482577318400105E-2</v>
      </c>
      <c r="M329" s="845"/>
      <c r="N329" s="845"/>
      <c r="O329" s="48">
        <f>IF(t&lt;Tnet,'2022'!Resal+('2022'!Salim-'2022'!Resal)*(1-EXP(('2022'!Tnet-t)/('2022'!Tau_j))),Resal+(Salim-Resal)*(1-EXP((Tnet-t)/(Tau_j))))*Salcycl</f>
        <v>6.7012117792227627E-2</v>
      </c>
      <c r="P329" s="169">
        <f>(INDEX(Models!$BJ329:$BT329,,T329)*(1-R329)+INDEX(Models!$BJ329:$BT329,,T329+1)*R329-ERP_i)*Q329*Ramure*Pc/MaxiM</f>
        <v>3.5082325446561622E-4</v>
      </c>
      <c r="Q329" s="305">
        <f t="shared" si="105"/>
        <v>0.5</v>
      </c>
      <c r="R329" s="177">
        <f t="shared" si="106"/>
        <v>0.99666246311463191</v>
      </c>
      <c r="S329" s="811">
        <f t="shared" si="107"/>
        <v>0</v>
      </c>
      <c r="T329" s="176">
        <f t="shared" si="108"/>
        <v>6</v>
      </c>
      <c r="U329" s="251">
        <f t="shared" si="109"/>
        <v>0.99666246311463191</v>
      </c>
      <c r="V329" s="383">
        <f t="shared" si="110"/>
        <v>27.958981653875153</v>
      </c>
      <c r="W329" s="402">
        <f t="shared" si="111"/>
        <v>26.339804621269433</v>
      </c>
      <c r="X329" s="157">
        <f t="shared" si="112"/>
        <v>45241</v>
      </c>
      <c r="Y329" s="385">
        <f t="shared" si="113"/>
        <v>25.710798118348848</v>
      </c>
      <c r="Z329" s="385">
        <f t="shared" si="114"/>
        <v>26.851519888112129</v>
      </c>
      <c r="AA329" s="386">
        <f t="shared" si="115"/>
        <v>29.484234802084014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8.9292292360451497E-2</v>
      </c>
      <c r="AD329" s="231">
        <f>(INDEX(Models!$BJ329:$BT329,,AH329)*(1-AF329)+INDEX(Models!$BJ329:$BT329,,AH329+1)*AF329-ERP_i)*AE329*Ramure*Pc/MaxiM</f>
        <v>3.5082325446561622E-4</v>
      </c>
      <c r="AE329" s="305">
        <f t="shared" si="117"/>
        <v>0.5</v>
      </c>
      <c r="AF329" s="177">
        <f t="shared" si="118"/>
        <v>0.99666246311463191</v>
      </c>
      <c r="AG329" s="811">
        <f t="shared" si="124"/>
        <v>0</v>
      </c>
      <c r="AH329" s="176">
        <f t="shared" si="119"/>
        <v>6</v>
      </c>
      <c r="AI329" s="225">
        <f t="shared" si="120"/>
        <v>0.99666246311463191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411">
        <f>'2022'!Wh/'2022'!Env_an*'2023'!Env_an</f>
        <v>26.384557559129053</v>
      </c>
      <c r="C330" s="841"/>
      <c r="D330" s="393">
        <f t="shared" si="102"/>
        <v>27.555775838958368</v>
      </c>
      <c r="E330" s="385">
        <f t="shared" si="125"/>
        <v>29.534869806241993</v>
      </c>
      <c r="F330" s="385">
        <f t="shared" si="103"/>
        <v>29.544877738393279</v>
      </c>
      <c r="G330" s="110">
        <f t="shared" si="126"/>
        <v>0.95210232726354072</v>
      </c>
      <c r="H330" s="414" t="b">
        <f>Wh_hp&gt;='2022'!Maxi_hp</f>
        <v>0</v>
      </c>
      <c r="I330" s="390">
        <f>IF(H330,Wh_hp,'2022'!Maxi_hp)</f>
        <v>29.545047326085392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4.2503549407360453E-2</v>
      </c>
      <c r="M330" s="845"/>
      <c r="N330" s="845"/>
      <c r="O330" s="48">
        <f>IF(t&lt;Tnet,'2022'!Resal+('2022'!Salim-'2022'!Resal)*(1-EXP(('2022'!Tnet-t)/('2022'!Tau_j))),Resal+(Salim-Resal)*(1-EXP((Tnet-t)/(Tau_j))))*Salcycl</f>
        <v>6.7008724950104792E-2</v>
      </c>
      <c r="P330" s="169">
        <f>(INDEX(Models!$BJ330:$BT330,,T330)*(1-R330)+INDEX(Models!$BJ330:$BT330,,T330+1)*R330-ERP_i)*Q330*Ramure*Pc/MaxiM</f>
        <v>3.6360401609798412E-4</v>
      </c>
      <c r="Q330" s="305">
        <f t="shared" si="105"/>
        <v>0.5</v>
      </c>
      <c r="R330" s="177">
        <f t="shared" si="106"/>
        <v>0.99669831872569525</v>
      </c>
      <c r="S330" s="811">
        <f t="shared" si="107"/>
        <v>0</v>
      </c>
      <c r="T330" s="176">
        <f t="shared" si="108"/>
        <v>6</v>
      </c>
      <c r="U330" s="251">
        <f t="shared" si="109"/>
        <v>0.99669831872569525</v>
      </c>
      <c r="V330" s="383">
        <f t="shared" si="110"/>
        <v>27.711203371915488</v>
      </c>
      <c r="W330" s="402">
        <f t="shared" si="111"/>
        <v>26.384557559129053</v>
      </c>
      <c r="X330" s="157">
        <f t="shared" si="112"/>
        <v>45242</v>
      </c>
      <c r="Y330" s="385">
        <f t="shared" si="113"/>
        <v>25.755475111240546</v>
      </c>
      <c r="Z330" s="385">
        <f t="shared" si="114"/>
        <v>26.898768235954581</v>
      </c>
      <c r="AA330" s="386">
        <f t="shared" si="115"/>
        <v>29.534869806241993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8.9253874744702311E-2</v>
      </c>
      <c r="AD330" s="231">
        <f>(INDEX(Models!$BJ330:$BT330,,AH330)*(1-AF330)+INDEX(Models!$BJ330:$BT330,,AH330+1)*AF330-ERP_i)*AE330*Ramure*Pc/MaxiM</f>
        <v>3.6360401609798412E-4</v>
      </c>
      <c r="AE330" s="305">
        <f t="shared" si="117"/>
        <v>0.5</v>
      </c>
      <c r="AF330" s="177">
        <f t="shared" si="118"/>
        <v>0.99669831872569525</v>
      </c>
      <c r="AG330" s="811">
        <f t="shared" si="124"/>
        <v>0</v>
      </c>
      <c r="AH330" s="176">
        <f t="shared" si="119"/>
        <v>6</v>
      </c>
      <c r="AI330" s="225">
        <f t="shared" si="120"/>
        <v>0.99669831872569525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411">
        <f>'2022'!Wh/'2022'!Env_an*'2023'!Env_an</f>
        <v>25.487379104270268</v>
      </c>
      <c r="C331" s="841"/>
      <c r="D331" s="393">
        <f t="shared" si="102"/>
        <v>26.619354400463564</v>
      </c>
      <c r="E331" s="385">
        <f t="shared" si="125"/>
        <v>28.531108509894004</v>
      </c>
      <c r="F331" s="385">
        <f t="shared" si="103"/>
        <v>28.540766999927627</v>
      </c>
      <c r="G331" s="110">
        <f t="shared" si="126"/>
        <v>0.9278709503914242</v>
      </c>
      <c r="H331" s="414" t="b">
        <f>Wh_hp&gt;='2022'!Maxi_hp</f>
        <v>0</v>
      </c>
      <c r="I331" s="390">
        <f>IF(H331,Wh_hp,'2022'!Maxi_hp)</f>
        <v>29.179515996539571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4.2524521036978347E-2</v>
      </c>
      <c r="M331" s="845"/>
      <c r="N331" s="845"/>
      <c r="O331" s="48">
        <f>IF(t&lt;Tnet,'2022'!Resal+('2022'!Salim-'2022'!Resal)*(1-EXP(('2022'!Tnet-t)/('2022'!Tau_j))),Resal+(Salim-Resal)*(1-EXP((Tnet-t)/(Tau_j))))*Salcycl</f>
        <v>6.7005952774932792E-2</v>
      </c>
      <c r="P331" s="169">
        <f>(INDEX(Models!$BJ331:$BT331,,T331)*(1-R331)+INDEX(Models!$BJ331:$BT331,,T331+1)*R331-ERP_i)*Q331*Ramure*Pc/MaxiM</f>
        <v>3.7726481232519326E-4</v>
      </c>
      <c r="Q331" s="305">
        <f t="shared" si="105"/>
        <v>0.5</v>
      </c>
      <c r="R331" s="177">
        <f t="shared" si="106"/>
        <v>0.9967327355224459</v>
      </c>
      <c r="S331" s="811">
        <f t="shared" si="107"/>
        <v>0</v>
      </c>
      <c r="T331" s="176">
        <f t="shared" si="108"/>
        <v>6</v>
      </c>
      <c r="U331" s="251">
        <f t="shared" si="109"/>
        <v>0.9967327355224459</v>
      </c>
      <c r="V331" s="383">
        <f t="shared" si="110"/>
        <v>27.467600380256112</v>
      </c>
      <c r="W331" s="402">
        <f t="shared" si="111"/>
        <v>25.487379104270268</v>
      </c>
      <c r="X331" s="157">
        <f t="shared" si="112"/>
        <v>45243</v>
      </c>
      <c r="Y331" s="385">
        <f t="shared" si="113"/>
        <v>24.880638848891369</v>
      </c>
      <c r="Z331" s="385">
        <f t="shared" si="114"/>
        <v>25.985666887091398</v>
      </c>
      <c r="AA331" s="386">
        <f t="shared" si="115"/>
        <v>28.531108509894004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8.9216359116222194E-2</v>
      </c>
      <c r="AD331" s="231">
        <f>(INDEX(Models!$BJ331:$BT331,,AH331)*(1-AF331)+INDEX(Models!$BJ331:$BT331,,AH331+1)*AF331-ERP_i)*AE331*Ramure*Pc/MaxiM</f>
        <v>3.7726481232519326E-4</v>
      </c>
      <c r="AE331" s="305">
        <f t="shared" si="117"/>
        <v>0.5</v>
      </c>
      <c r="AF331" s="177">
        <f t="shared" si="118"/>
        <v>0.9967327355224459</v>
      </c>
      <c r="AG331" s="811">
        <f t="shared" si="124"/>
        <v>0</v>
      </c>
      <c r="AH331" s="176">
        <f t="shared" si="119"/>
        <v>6</v>
      </c>
      <c r="AI331" s="225">
        <f t="shared" si="120"/>
        <v>0.9967327355224459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411">
        <f>'2022'!Wh/'2022'!Env_an*'2023'!Env_an</f>
        <v>8.9748608674183039</v>
      </c>
      <c r="C332" s="841"/>
      <c r="D332" s="393">
        <f t="shared" si="102"/>
        <v>9.3736681945426952</v>
      </c>
      <c r="E332" s="385">
        <f t="shared" si="125"/>
        <v>10.046845639979434</v>
      </c>
      <c r="F332" s="385">
        <f t="shared" si="103"/>
        <v>10.04701221931799</v>
      </c>
      <c r="G332" s="110">
        <f t="shared" si="126"/>
        <v>0.32950484079150111</v>
      </c>
      <c r="H332" s="414" t="b">
        <f>Wh_hp&gt;='2022'!Maxi_hp</f>
        <v>0</v>
      </c>
      <c r="I332" s="390">
        <f>IF(H332,Wh_hp,'2022'!Maxi_hp)</f>
        <v>19.900379192311398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4.2545492207263669E-2</v>
      </c>
      <c r="M332" s="845"/>
      <c r="N332" s="845"/>
      <c r="O332" s="48">
        <f>IF(t&lt;Tnet,'2022'!Resal+('2022'!Salim-'2022'!Resal)*(1-EXP(('2022'!Tnet-t)/('2022'!Tau_j))),Resal+(Salim-Resal)*(1-EXP((Tnet-t)/(Tau_j))))*Salcycl</f>
        <v>6.7003860670254836E-2</v>
      </c>
      <c r="P332" s="169">
        <f>(INDEX(Models!$BJ332:$BT332,,T332)*(1-R332)+INDEX(Models!$BJ332:$BT332,,T332+1)*R332-ERP_i)*Q332*Ramure*Pc/MaxiM</f>
        <v>3.9171715914078711E-4</v>
      </c>
      <c r="Q332" s="305">
        <f t="shared" si="105"/>
        <v>0.5</v>
      </c>
      <c r="R332" s="177">
        <f t="shared" si="106"/>
        <v>0.99676577105500752</v>
      </c>
      <c r="S332" s="811">
        <f t="shared" si="107"/>
        <v>0</v>
      </c>
      <c r="T332" s="176">
        <f t="shared" si="108"/>
        <v>6</v>
      </c>
      <c r="U332" s="251">
        <f t="shared" si="109"/>
        <v>0.99676577105500752</v>
      </c>
      <c r="V332" s="383">
        <f t="shared" si="110"/>
        <v>27.227199412685898</v>
      </c>
      <c r="W332" s="402">
        <f t="shared" si="111"/>
        <v>8.9748608674183039</v>
      </c>
      <c r="X332" s="157">
        <f t="shared" si="112"/>
        <v>45244</v>
      </c>
      <c r="Y332" s="385">
        <f t="shared" si="113"/>
        <v>8.7615414639626348</v>
      </c>
      <c r="Z332" s="385">
        <f t="shared" si="114"/>
        <v>9.1508697203390028</v>
      </c>
      <c r="AA332" s="386">
        <f t="shared" si="115"/>
        <v>10.046845639979434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8.9179823374121822E-2</v>
      </c>
      <c r="AD332" s="231">
        <f>(INDEX(Models!$BJ332:$BT332,,AH332)*(1-AF332)+INDEX(Models!$BJ332:$BT332,,AH332+1)*AF332-ERP_i)*AE332*Ramure*Pc/MaxiM</f>
        <v>3.9171715914078711E-4</v>
      </c>
      <c r="AE332" s="305">
        <f t="shared" si="117"/>
        <v>0.5</v>
      </c>
      <c r="AF332" s="177">
        <f t="shared" si="118"/>
        <v>0.99676577105500752</v>
      </c>
      <c r="AG332" s="811">
        <f t="shared" si="124"/>
        <v>0</v>
      </c>
      <c r="AH332" s="176">
        <f t="shared" si="119"/>
        <v>6</v>
      </c>
      <c r="AI332" s="225">
        <f t="shared" si="120"/>
        <v>0.99676577105500752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411">
        <f>'2022'!Wh/'2022'!Env_an*'2023'!Env_an</f>
        <v>11.670750726088407</v>
      </c>
      <c r="C333" s="841"/>
      <c r="D333" s="393">
        <f t="shared" si="102"/>
        <v>12.189619721970967</v>
      </c>
      <c r="E333" s="385">
        <f t="shared" si="125"/>
        <v>13.065007989879264</v>
      </c>
      <c r="F333" s="385">
        <f t="shared" si="103"/>
        <v>13.066012766862107</v>
      </c>
      <c r="G333" s="110">
        <f t="shared" si="126"/>
        <v>0.43226591730924574</v>
      </c>
      <c r="H333" s="414" t="b">
        <f>Wh_hp&gt;='2022'!Maxi_hp</f>
        <v>0</v>
      </c>
      <c r="I333" s="390">
        <f>IF(H333,Wh_hp,'2022'!Maxi_hp)</f>
        <v>27.219183293094108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4.2566462918226522E-2</v>
      </c>
      <c r="M333" s="845"/>
      <c r="N333" s="845"/>
      <c r="O333" s="48">
        <f>IF(t&lt;Tnet,'2022'!Resal+('2022'!Salim-'2022'!Resal)*(1-EXP(('2022'!Tnet-t)/('2022'!Tau_j))),Resal+(Salim-Resal)*(1-EXP((Tnet-t)/(Tau_j))))*Salcycl</f>
        <v>6.7002505362906167E-2</v>
      </c>
      <c r="P333" s="169">
        <f>(INDEX(Models!$BJ333:$BT333,,T333)*(1-R333)+INDEX(Models!$BJ333:$BT333,,T333+1)*R333-ERP_i)*Q333*Ramure*Pc/MaxiM</f>
        <v>4.0654523345141062E-4</v>
      </c>
      <c r="Q333" s="305">
        <f t="shared" si="105"/>
        <v>0.5</v>
      </c>
      <c r="R333" s="177">
        <f t="shared" si="106"/>
        <v>0.99679748058630269</v>
      </c>
      <c r="S333" s="811">
        <f t="shared" si="107"/>
        <v>0</v>
      </c>
      <c r="T333" s="176">
        <f t="shared" si="108"/>
        <v>6</v>
      </c>
      <c r="U333" s="251">
        <f t="shared" si="109"/>
        <v>0.99679748058630269</v>
      </c>
      <c r="V333" s="383">
        <f t="shared" si="110"/>
        <v>26.990106682544507</v>
      </c>
      <c r="W333" s="402">
        <f t="shared" si="111"/>
        <v>11.670750726088407</v>
      </c>
      <c r="X333" s="157">
        <f t="shared" si="112"/>
        <v>45245</v>
      </c>
      <c r="Y333" s="385">
        <f t="shared" si="113"/>
        <v>11.393781222440026</v>
      </c>
      <c r="Z333" s="385">
        <f t="shared" si="114"/>
        <v>11.900336452771336</v>
      </c>
      <c r="AA333" s="386">
        <f t="shared" si="115"/>
        <v>13.065007989879264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8.9144341741706934E-2</v>
      </c>
      <c r="AD333" s="231">
        <f>(INDEX(Models!$BJ333:$BT333,,AH333)*(1-AF333)+INDEX(Models!$BJ333:$BT333,,AH333+1)*AF333-ERP_i)*AE333*Ramure*Pc/MaxiM</f>
        <v>4.0654523345141062E-4</v>
      </c>
      <c r="AE333" s="305">
        <f t="shared" si="117"/>
        <v>0.5</v>
      </c>
      <c r="AF333" s="177">
        <f t="shared" si="118"/>
        <v>0.99679748058630269</v>
      </c>
      <c r="AG333" s="811">
        <f t="shared" si="124"/>
        <v>0</v>
      </c>
      <c r="AH333" s="176">
        <f t="shared" si="119"/>
        <v>6</v>
      </c>
      <c r="AI333" s="225">
        <f t="shared" si="120"/>
        <v>0.99679748058630269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411">
        <f>'2022'!Wh/'2022'!Env_an*'2023'!Env_an</f>
        <v>25.91147806156869</v>
      </c>
      <c r="C334" s="841"/>
      <c r="D334" s="393">
        <f t="shared" si="102"/>
        <v>27.064067215410024</v>
      </c>
      <c r="E334" s="385">
        <f t="shared" si="125"/>
        <v>29.007635057946157</v>
      </c>
      <c r="F334" s="385">
        <f t="shared" si="103"/>
        <v>29.019321947864455</v>
      </c>
      <c r="G334" s="110">
        <f t="shared" si="126"/>
        <v>0.9684026455762309</v>
      </c>
      <c r="H334" s="414" t="b">
        <f>Wh_hp&gt;='2022'!Maxi_hp</f>
        <v>0</v>
      </c>
      <c r="I334" s="390">
        <f>IF(H334,Wh_hp,'2022'!Maxi_hp)</f>
        <v>29.019449729492948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4.2587433169877009E-2</v>
      </c>
      <c r="M334" s="845"/>
      <c r="N334" s="845"/>
      <c r="O334" s="48">
        <f>IF(t&lt;Tnet,'2022'!Resal+('2022'!Salim-'2022'!Resal)*(1-EXP(('2022'!Tnet-t)/('2022'!Tau_j))),Resal+(Salim-Resal)*(1-EXP((Tnet-t)/(Tau_j))))*Salcycl</f>
        <v>6.7001940649543762E-2</v>
      </c>
      <c r="P334" s="169">
        <f>(INDEX(Models!$BJ334:$BT334,,T334)*(1-R334)+INDEX(Models!$BJ334:$BT334,,T334+1)*R334-ERP_i)*Q334*Ramure*Pc/MaxiM</f>
        <v>4.217543743872265E-4</v>
      </c>
      <c r="Q334" s="305">
        <f t="shared" si="105"/>
        <v>0.5</v>
      </c>
      <c r="R334" s="177">
        <f t="shared" si="106"/>
        <v>0.9968279171817922</v>
      </c>
      <c r="S334" s="811">
        <f t="shared" si="107"/>
        <v>0</v>
      </c>
      <c r="T334" s="176">
        <f t="shared" si="108"/>
        <v>6</v>
      </c>
      <c r="U334" s="251">
        <f t="shared" si="109"/>
        <v>0.9968279171817922</v>
      </c>
      <c r="V334" s="383">
        <f t="shared" si="110"/>
        <v>26.756416844413828</v>
      </c>
      <c r="W334" s="402">
        <f t="shared" si="111"/>
        <v>25.91147806156869</v>
      </c>
      <c r="X334" s="157">
        <f t="shared" si="112"/>
        <v>45246</v>
      </c>
      <c r="Y334" s="385">
        <f t="shared" si="113"/>
        <v>25.29748740442437</v>
      </c>
      <c r="Z334" s="385">
        <f t="shared" si="114"/>
        <v>26.422765149387256</v>
      </c>
      <c r="AA334" s="386">
        <f t="shared" si="115"/>
        <v>29.007635057946157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8.9109984436694767E-2</v>
      </c>
      <c r="AD334" s="231">
        <f>(INDEX(Models!$BJ334:$BT334,,AH334)*(1-AF334)+INDEX(Models!$BJ334:$BT334,,AH334+1)*AF334-ERP_i)*AE334*Ramure*Pc/MaxiM</f>
        <v>4.217543743872265E-4</v>
      </c>
      <c r="AE334" s="305">
        <f t="shared" si="117"/>
        <v>0.5</v>
      </c>
      <c r="AF334" s="177">
        <f t="shared" si="118"/>
        <v>0.9968279171817922</v>
      </c>
      <c r="AG334" s="811">
        <f t="shared" si="124"/>
        <v>0</v>
      </c>
      <c r="AH334" s="176">
        <f t="shared" si="119"/>
        <v>6</v>
      </c>
      <c r="AI334" s="225">
        <f t="shared" si="120"/>
        <v>0.9968279171817922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411">
        <f>'2022'!Wh/'2022'!Env_an*'2023'!Env_an</f>
        <v>12.128972309158723</v>
      </c>
      <c r="C335" s="841"/>
      <c r="D335" s="393">
        <f t="shared" ref="D335:D379" si="127">Wh/(1-Ppv)</f>
        <v>12.668768293649606</v>
      </c>
      <c r="E335" s="385">
        <f t="shared" si="125"/>
        <v>13.578562057346705</v>
      </c>
      <c r="F335" s="385">
        <f t="shared" ref="F335:F379" si="128">Wh_sa/(1-Pvg*MEDIAN((-Sdif+Wh/Env_an)/Csdif,0,1))</f>
        <v>13.57989620320124</v>
      </c>
      <c r="G335" s="110">
        <f t="shared" si="126"/>
        <v>0.45708950508132623</v>
      </c>
      <c r="H335" s="414" t="b">
        <f>Wh_hp&gt;='2022'!Maxi_hp</f>
        <v>0</v>
      </c>
      <c r="I335" s="390">
        <f>IF(H335,Wh_hp,'2022'!Maxi_hp)</f>
        <v>28.670073792979203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4.2608402962225123E-2</v>
      </c>
      <c r="M335" s="845"/>
      <c r="N335" s="845"/>
      <c r="O335" s="48">
        <f>IF(t&lt;Tnet,'2022'!Resal+('2022'!Salim-'2022'!Resal)*(1-EXP(('2022'!Tnet-t)/('2022'!Tau_j))),Resal+(Salim-Resal)*(1-EXP((Tnet-t)/(Tau_j))))*Salcycl</f>
        <v>6.700221716075265E-2</v>
      </c>
      <c r="P335" s="169">
        <f>(INDEX(Models!$BJ335:$BT335,,T335)*(1-R335)+INDEX(Models!$BJ335:$BT335,,T335+1)*R335-ERP_i)*Q335*Ramure*Pc/MaxiM</f>
        <v>4.3735010040579753E-4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0.9968571317957865</v>
      </c>
      <c r="S335" s="811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0.9968571317957865</v>
      </c>
      <c r="V335" s="383">
        <f t="shared" ref="V335:V379" si="135">MaxiM*(1-Ppv)*(1-Pvg)*(1-Psa)</f>
        <v>26.526224654058787</v>
      </c>
      <c r="W335" s="402">
        <f t="shared" ref="W335:W379" si="136">Wh*(A335&gt;Tmaj)</f>
        <v>12.128972309158723</v>
      </c>
      <c r="X335" s="157">
        <f t="shared" ref="X335:X379" si="137">t</f>
        <v>45247</v>
      </c>
      <c r="Y335" s="385">
        <f t="shared" ref="Y335:Y379" si="138">Wh_pvt_s*(1-Ppv)</f>
        <v>11.84200247970799</v>
      </c>
      <c r="Z335" s="385">
        <f t="shared" ref="Z335:Z379" si="139">Wh_sa_s*(1-Psa_s)</f>
        <v>12.369026964878145</v>
      </c>
      <c r="AA335" s="386">
        <f t="shared" ref="AA335:AA379" si="140">Wh_hp*(1-Pvg_s*MEDIAN((-Sdif+Wh/Env_an)/Csdif,0,1))</f>
        <v>13.578562057346705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8.9076817365513233E-2</v>
      </c>
      <c r="AD335" s="231">
        <f>(INDEX(Models!$BJ335:$BT335,,AH335)*(1-AF335)+INDEX(Models!$BJ335:$BT335,,AH335+1)*AF335-ERP_i)*AE335*Ramure*Pc/MaxiM</f>
        <v>4.3735010040579753E-4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0.9968571317957865</v>
      </c>
      <c r="AG335" s="811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0.9968571317957865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411">
        <f>'2022'!Wh/'2022'!Env_an*'2023'!Env_an</f>
        <v>14.397021770922505</v>
      </c>
      <c r="C336" s="841"/>
      <c r="D336" s="393">
        <f t="shared" si="127"/>
        <v>15.038085934847551</v>
      </c>
      <c r="E336" s="385">
        <f t="shared" si="125"/>
        <v>16.11804978394353</v>
      </c>
      <c r="F336" s="385">
        <f t="shared" si="128"/>
        <v>16.120632915034989</v>
      </c>
      <c r="G336" s="110">
        <f t="shared" si="126"/>
        <v>0.5472626067022851</v>
      </c>
      <c r="H336" s="414" t="b">
        <f>Wh_hp&gt;='2022'!Maxi_hp</f>
        <v>0</v>
      </c>
      <c r="I336" s="390">
        <f>IF(H336,Wh_hp,'2022'!Maxi_hp)</f>
        <v>27.452705708144066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4.2629372295281076E-2</v>
      </c>
      <c r="M336" s="845"/>
      <c r="N336" s="845"/>
      <c r="O336" s="48">
        <f>IF(t&lt;Tnet,'2022'!Resal+('2022'!Salim-'2022'!Resal)*(1-EXP(('2022'!Tnet-t)/('2022'!Tau_j))),Resal+(Salim-Resal)*(1-EXP((Tnet-t)/(Tau_j))))*Salcycl</f>
        <v>6.7003382144396662E-2</v>
      </c>
      <c r="P336" s="169">
        <f>(INDEX(Models!$BJ336:$BT336,,T336)*(1-R336)+INDEX(Models!$BJ336:$BT336,,T336+1)*R336-ERP_i)*Q336*Ramure*Pc/MaxiM</f>
        <v>4.533380633952538E-4</v>
      </c>
      <c r="Q336" s="305">
        <f t="shared" si="130"/>
        <v>0.5</v>
      </c>
      <c r="R336" s="177">
        <f t="shared" si="131"/>
        <v>0.99688517335444993</v>
      </c>
      <c r="S336" s="811">
        <f t="shared" si="132"/>
        <v>0</v>
      </c>
      <c r="T336" s="176">
        <f t="shared" si="133"/>
        <v>6</v>
      </c>
      <c r="U336" s="251">
        <f t="shared" si="134"/>
        <v>0.99688517335444993</v>
      </c>
      <c r="V336" s="383">
        <f t="shared" si="135"/>
        <v>26.299624977546522</v>
      </c>
      <c r="W336" s="402">
        <f t="shared" si="136"/>
        <v>14.397021770922505</v>
      </c>
      <c r="X336" s="157">
        <f t="shared" si="137"/>
        <v>45248</v>
      </c>
      <c r="Y336" s="385">
        <f t="shared" si="138"/>
        <v>14.056900238964181</v>
      </c>
      <c r="Z336" s="385">
        <f t="shared" si="139"/>
        <v>14.682819623018286</v>
      </c>
      <c r="AA336" s="386">
        <f t="shared" si="140"/>
        <v>16.11804978394353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8.9044901843831611E-2</v>
      </c>
      <c r="AD336" s="231">
        <f>(INDEX(Models!$BJ336:$BT336,,AH336)*(1-AF336)+INDEX(Models!$BJ336:$BT336,,AH336+1)*AF336-ERP_i)*AE336*Ramure*Pc/MaxiM</f>
        <v>4.533380633952538E-4</v>
      </c>
      <c r="AE336" s="305">
        <f t="shared" si="142"/>
        <v>0.5</v>
      </c>
      <c r="AF336" s="177">
        <f t="shared" si="143"/>
        <v>0.99688517335444993</v>
      </c>
      <c r="AG336" s="811">
        <f t="shared" ref="AG336:AG379" si="149">INDEX(Echel_vg,AH336)</f>
        <v>0</v>
      </c>
      <c r="AH336" s="176">
        <f t="shared" si="144"/>
        <v>6</v>
      </c>
      <c r="AI336" s="225">
        <f t="shared" si="145"/>
        <v>0.99688517335444993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411">
        <f>'2022'!Wh/'2022'!Env_an*'2023'!Env_an</f>
        <v>7.373457883234007</v>
      </c>
      <c r="C337" s="841"/>
      <c r="D337" s="393">
        <f t="shared" si="127"/>
        <v>7.7019486195232014</v>
      </c>
      <c r="E337" s="385">
        <f t="shared" si="125"/>
        <v>8.2550845137812523</v>
      </c>
      <c r="F337" s="385">
        <f t="shared" si="128"/>
        <v>8.2550845137812523</v>
      </c>
      <c r="G337" s="110">
        <f t="shared" si="126"/>
        <v>0.28262743294449943</v>
      </c>
      <c r="H337" s="414" t="b">
        <f>Wh_hp&gt;='2022'!Maxi_hp</f>
        <v>0</v>
      </c>
      <c r="I337" s="390">
        <f>IF(H337,Wh_hp,'2022'!Maxi_hp)</f>
        <v>29.080430360791048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4.2650341169054751E-2</v>
      </c>
      <c r="M337" s="845"/>
      <c r="N337" s="845"/>
      <c r="O337" s="48">
        <f>IF(t&lt;Tnet,'2022'!Resal+('2022'!Salim-'2022'!Resal)*(1-EXP(('2022'!Tnet-t)/('2022'!Tau_j))),Resal+(Salim-Resal)*(1-EXP((Tnet-t)/(Tau_j))))*Salcycl</f>
        <v>6.7005479269731424E-2</v>
      </c>
      <c r="P337" s="169">
        <f>(INDEX(Models!$BJ337:$BT337,,T337)*(1-R337)+INDEX(Models!$BJ337:$BT337,,T337+1)*R337-ERP_i)*Q337*Ramure*Pc/MaxiM</f>
        <v>4.697239954088702E-4</v>
      </c>
      <c r="Q337" s="305">
        <f t="shared" si="130"/>
        <v>0.5</v>
      </c>
      <c r="R337" s="177">
        <f t="shared" si="131"/>
        <v>0.99691208883562044</v>
      </c>
      <c r="S337" s="811">
        <f t="shared" si="132"/>
        <v>0</v>
      </c>
      <c r="T337" s="176">
        <f t="shared" si="133"/>
        <v>6</v>
      </c>
      <c r="U337" s="251">
        <f t="shared" si="134"/>
        <v>0.99691208883562044</v>
      </c>
      <c r="V337" s="383">
        <f t="shared" si="135"/>
        <v>26.076712781750341</v>
      </c>
      <c r="W337" s="402">
        <f t="shared" si="136"/>
        <v>7.373457883234007</v>
      </c>
      <c r="X337" s="157">
        <f t="shared" si="137"/>
        <v>45249</v>
      </c>
      <c r="Y337" s="385">
        <f t="shared" si="138"/>
        <v>7.1995221661278297</v>
      </c>
      <c r="Z337" s="385">
        <f t="shared" si="139"/>
        <v>7.5202639910264661</v>
      </c>
      <c r="AA337" s="386">
        <f t="shared" si="140"/>
        <v>8.2550845137812523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8.9014294345267794E-2</v>
      </c>
      <c r="AD337" s="231">
        <f>(INDEX(Models!$BJ337:$BT337,,AH337)*(1-AF337)+INDEX(Models!$BJ337:$BT337,,AH337+1)*AF337-ERP_i)*AE337*Ramure*Pc/MaxiM</f>
        <v>4.697239954088702E-4</v>
      </c>
      <c r="AE337" s="305">
        <f t="shared" si="142"/>
        <v>0.5</v>
      </c>
      <c r="AF337" s="177">
        <f t="shared" si="143"/>
        <v>0.99691208883562044</v>
      </c>
      <c r="AG337" s="811">
        <f t="shared" si="149"/>
        <v>0</v>
      </c>
      <c r="AH337" s="176">
        <f t="shared" si="144"/>
        <v>6</v>
      </c>
      <c r="AI337" s="225">
        <f t="shared" si="145"/>
        <v>0.99691208883562044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411">
        <f>'2022'!Wh/'2022'!Env_an*'2023'!Env_an</f>
        <v>14.737682766104978</v>
      </c>
      <c r="C338" s="841"/>
      <c r="D338" s="393">
        <f t="shared" si="127"/>
        <v>15.394590085557759</v>
      </c>
      <c r="E338" s="385">
        <f t="shared" si="125"/>
        <v>16.500247735434645</v>
      </c>
      <c r="F338" s="385">
        <f t="shared" si="128"/>
        <v>16.503339862594817</v>
      </c>
      <c r="G338" s="110">
        <f t="shared" si="126"/>
        <v>0.56978539264332428</v>
      </c>
      <c r="H338" s="414" t="b">
        <f>Wh_hp&gt;='2022'!Maxi_hp</f>
        <v>0</v>
      </c>
      <c r="I338" s="390">
        <f>IF(H338,Wh_hp,'2022'!Maxi_hp)</f>
        <v>30.110087627610774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4.2671309583556249E-2</v>
      </c>
      <c r="M338" s="845"/>
      <c r="N338" s="845"/>
      <c r="O338" s="48">
        <f>IF(t&lt;Tnet,'2022'!Resal+('2022'!Salim-'2022'!Resal)*(1-EXP(('2022'!Tnet-t)/('2022'!Tau_j))),Resal+(Salim-Resal)*(1-EXP((Tnet-t)/(Tau_j))))*Salcycl</f>
        <v>6.7008548453637046E-2</v>
      </c>
      <c r="P338" s="169">
        <f>(INDEX(Models!$BJ338:$BT338,,T338)*(1-R338)+INDEX(Models!$BJ338:$BT338,,T338+1)*R338-ERP_i)*Q338*Ramure*Pc/MaxiM</f>
        <v>4.8583779297177042E-4</v>
      </c>
      <c r="Q338" s="305">
        <f t="shared" si="130"/>
        <v>0.5</v>
      </c>
      <c r="R338" s="177">
        <f t="shared" si="131"/>
        <v>0.99693792334555942</v>
      </c>
      <c r="S338" s="811">
        <f t="shared" si="132"/>
        <v>0</v>
      </c>
      <c r="T338" s="176">
        <f t="shared" si="133"/>
        <v>6</v>
      </c>
      <c r="U338" s="251">
        <f t="shared" si="134"/>
        <v>0.99693792334555942</v>
      </c>
      <c r="V338" s="383">
        <f t="shared" si="135"/>
        <v>25.857600626141849</v>
      </c>
      <c r="W338" s="402">
        <f t="shared" si="136"/>
        <v>14.737682766104978</v>
      </c>
      <c r="X338" s="157">
        <f t="shared" si="137"/>
        <v>45250</v>
      </c>
      <c r="Y338" s="385">
        <f t="shared" si="138"/>
        <v>14.390538477978772</v>
      </c>
      <c r="Z338" s="385">
        <f t="shared" si="139"/>
        <v>15.031972427065568</v>
      </c>
      <c r="AA338" s="386">
        <f t="shared" si="140"/>
        <v>16.500247735434645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8.8985046279997468E-2</v>
      </c>
      <c r="AD338" s="231">
        <f>(INDEX(Models!$BJ338:$BT338,,AH338)*(1-AF338)+INDEX(Models!$BJ338:$BT338,,AH338+1)*AF338-ERP_i)*AE338*Ramure*Pc/MaxiM</f>
        <v>4.8583779297177042E-4</v>
      </c>
      <c r="AE338" s="305">
        <f t="shared" si="142"/>
        <v>0.5</v>
      </c>
      <c r="AF338" s="177">
        <f t="shared" si="143"/>
        <v>0.99693792334555942</v>
      </c>
      <c r="AG338" s="811">
        <f t="shared" si="149"/>
        <v>0</v>
      </c>
      <c r="AH338" s="176">
        <f t="shared" si="144"/>
        <v>6</v>
      </c>
      <c r="AI338" s="225">
        <f t="shared" si="145"/>
        <v>0.99693792334555942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411">
        <f>'2022'!Wh/'2022'!Env_an*'2023'!Env_an</f>
        <v>3.1146595875069787</v>
      </c>
      <c r="C339" s="841"/>
      <c r="D339" s="393">
        <f t="shared" si="127"/>
        <v>3.2535615397516056</v>
      </c>
      <c r="E339" s="385">
        <f t="shared" si="125"/>
        <v>3.4872514134803705</v>
      </c>
      <c r="F339" s="385">
        <f t="shared" si="128"/>
        <v>3.4872514134803705</v>
      </c>
      <c r="G339" s="110">
        <f t="shared" si="126"/>
        <v>0.12140435539057981</v>
      </c>
      <c r="H339" s="414" t="b">
        <f>Wh_hp&gt;='2022'!Maxi_hp</f>
        <v>0</v>
      </c>
      <c r="I339" s="390">
        <f>IF(H339,Wh_hp,'2022'!Maxi_hp)</f>
        <v>29.084066217541494</v>
      </c>
      <c r="J339" s="85">
        <f>IF(H339,An,'2022'!An_max)</f>
        <v>2019</v>
      </c>
      <c r="K339" s="197">
        <f t="shared" si="129"/>
        <v>45251</v>
      </c>
      <c r="L339" s="147">
        <f>IF(t&lt;Tvie,1-EXP((T0-t)*PertePVj)+'2022'!Pspv,1-EXP((T0-t)*PertePVj)+Pspv)</f>
        <v>4.2692277538795675E-2</v>
      </c>
      <c r="M339" s="845"/>
      <c r="N339" s="845"/>
      <c r="O339" s="48">
        <f>IF(t&lt;Tnet,'2022'!Resal+('2022'!Salim-'2022'!Resal)*(1-EXP(('2022'!Tnet-t)/('2022'!Tau_j))),Resal+(Salim-Resal)*(1-EXP((Tnet-t)/(Tau_j))))*Salcycl</f>
        <v>6.70126257101539E-2</v>
      </c>
      <c r="P339" s="169">
        <f>(INDEX(Models!$BJ339:$BT339,,T339)*(1-R339)+INDEX(Models!$BJ339:$BT339,,T339+1)*R339-ERP_i)*Q339*Ramure*Pc/MaxiM</f>
        <v>5.012556108478733E-4</v>
      </c>
      <c r="Q339" s="305">
        <f t="shared" si="130"/>
        <v>0.5</v>
      </c>
      <c r="R339" s="177">
        <f t="shared" si="131"/>
        <v>0.99696272019274446</v>
      </c>
      <c r="S339" s="811">
        <f t="shared" si="132"/>
        <v>0</v>
      </c>
      <c r="T339" s="176">
        <f t="shared" si="133"/>
        <v>6</v>
      </c>
      <c r="U339" s="251">
        <f t="shared" si="134"/>
        <v>0.99696272019274446</v>
      </c>
      <c r="V339" s="383">
        <f t="shared" si="135"/>
        <v>25.642394269113804</v>
      </c>
      <c r="W339" s="402">
        <f t="shared" si="136"/>
        <v>3.1146595875069787</v>
      </c>
      <c r="X339" s="157">
        <f t="shared" si="137"/>
        <v>45251</v>
      </c>
      <c r="Y339" s="385">
        <f t="shared" si="138"/>
        <v>3.0414004069010536</v>
      </c>
      <c r="Z339" s="385">
        <f t="shared" si="139"/>
        <v>3.1770352787729745</v>
      </c>
      <c r="AA339" s="386">
        <f t="shared" si="140"/>
        <v>3.4872514134803705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8.8957203804755844E-2</v>
      </c>
      <c r="AD339" s="231">
        <f>(INDEX(Models!$BJ339:$BT339,,AH339)*(1-AF339)+INDEX(Models!$BJ339:$BT339,,AH339+1)*AF339-ERP_i)*AE339*Ramure*Pc/MaxiM</f>
        <v>5.012556108478733E-4</v>
      </c>
      <c r="AE339" s="305">
        <f t="shared" si="142"/>
        <v>0.5</v>
      </c>
      <c r="AF339" s="177">
        <f t="shared" si="143"/>
        <v>0.99696272019274446</v>
      </c>
      <c r="AG339" s="811">
        <f t="shared" si="149"/>
        <v>0</v>
      </c>
      <c r="AH339" s="176">
        <f t="shared" si="144"/>
        <v>6</v>
      </c>
      <c r="AI339" s="225">
        <f t="shared" si="145"/>
        <v>0.99696272019274446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411">
        <f>'2022'!Wh/'2022'!Env_an*'2023'!Env_an</f>
        <v>7.7431087992875929</v>
      </c>
      <c r="C340" s="841"/>
      <c r="D340" s="393">
        <f t="shared" si="127"/>
        <v>8.0885991152869749</v>
      </c>
      <c r="E340" s="385">
        <f t="shared" si="125"/>
        <v>8.6696172995901222</v>
      </c>
      <c r="F340" s="385">
        <f t="shared" si="128"/>
        <v>8.6696458837655719</v>
      </c>
      <c r="G340" s="110">
        <f t="shared" si="126"/>
        <v>0.30431684561661648</v>
      </c>
      <c r="H340" s="414" t="b">
        <f>Wh_hp&gt;='2022'!Maxi_hp</f>
        <v>0</v>
      </c>
      <c r="I340" s="390">
        <f>IF(H340,Wh_hp,'2022'!Maxi_hp)</f>
        <v>29.591035421411469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4.2713245034783132E-2</v>
      </c>
      <c r="M340" s="845"/>
      <c r="N340" s="845"/>
      <c r="O340" s="48">
        <f>IF(t&lt;Tnet,'2022'!Resal+('2022'!Salim-'2022'!Resal)*(1-EXP(('2022'!Tnet-t)/('2022'!Tau_j))),Resal+(Salim-Resal)*(1-EXP((Tnet-t)/(Tau_j))))*Salcycl</f>
        <v>6.7017743024321938E-2</v>
      </c>
      <c r="P340" s="169">
        <f>(INDEX(Models!$BJ340:$BT340,,T340)*(1-R340)+INDEX(Models!$BJ340:$BT340,,T340+1)*R340-ERP_i)*Q340*Ramure*Pc/MaxiM</f>
        <v>5.1597540833978224E-4</v>
      </c>
      <c r="Q340" s="305">
        <f t="shared" si="130"/>
        <v>0.5</v>
      </c>
      <c r="R340" s="177">
        <f t="shared" si="131"/>
        <v>0.99698652095881313</v>
      </c>
      <c r="S340" s="811">
        <f t="shared" si="132"/>
        <v>0</v>
      </c>
      <c r="T340" s="176">
        <f t="shared" si="133"/>
        <v>6</v>
      </c>
      <c r="U340" s="251">
        <f t="shared" si="134"/>
        <v>0.99698652095881313</v>
      </c>
      <c r="V340" s="383">
        <f t="shared" si="135"/>
        <v>25.431188490858414</v>
      </c>
      <c r="W340" s="402">
        <f t="shared" si="136"/>
        <v>7.7431087992875929</v>
      </c>
      <c r="X340" s="157">
        <f t="shared" si="137"/>
        <v>45252</v>
      </c>
      <c r="Y340" s="385">
        <f t="shared" si="138"/>
        <v>7.5612454869109103</v>
      </c>
      <c r="Z340" s="385">
        <f t="shared" si="139"/>
        <v>7.8986212309869979</v>
      </c>
      <c r="AA340" s="386">
        <f t="shared" si="140"/>
        <v>8.6696172995901222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8.8930807665475037E-2</v>
      </c>
      <c r="AD340" s="231">
        <f>(INDEX(Models!$BJ340:$BT340,,AH340)*(1-AF340)+INDEX(Models!$BJ340:$BT340,,AH340+1)*AF340-ERP_i)*AE340*Ramure*Pc/MaxiM</f>
        <v>5.1597540833978224E-4</v>
      </c>
      <c r="AE340" s="305">
        <f t="shared" si="142"/>
        <v>0.5</v>
      </c>
      <c r="AF340" s="177">
        <f t="shared" si="143"/>
        <v>0.99698652095881313</v>
      </c>
      <c r="AG340" s="811">
        <f t="shared" si="149"/>
        <v>0</v>
      </c>
      <c r="AH340" s="176">
        <f t="shared" si="144"/>
        <v>6</v>
      </c>
      <c r="AI340" s="225">
        <f t="shared" si="145"/>
        <v>0.99698652095881313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411">
        <f>'2022'!Wh/'2022'!Env_an*'2023'!Env_an</f>
        <v>11.604829967648099</v>
      </c>
      <c r="C341" s="841"/>
      <c r="D341" s="393">
        <f t="shared" si="127"/>
        <v>12.122892214461164</v>
      </c>
      <c r="E341" s="385">
        <f t="shared" si="125"/>
        <v>12.993786852150176</v>
      </c>
      <c r="F341" s="385">
        <f t="shared" si="128"/>
        <v>12.995361805587688</v>
      </c>
      <c r="G341" s="110">
        <f t="shared" si="126"/>
        <v>0.45988143690256367</v>
      </c>
      <c r="H341" s="414" t="b">
        <f>Wh_hp&gt;='2022'!Maxi_hp</f>
        <v>0</v>
      </c>
      <c r="I341" s="390">
        <f>IF(H341,Wh_hp,'2022'!Maxi_hp)</f>
        <v>29.56301535081597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4.2734212071528499E-2</v>
      </c>
      <c r="M341" s="845"/>
      <c r="N341" s="845"/>
      <c r="O341" s="48">
        <f>IF(t&lt;Tnet,'2022'!Resal+('2022'!Salim-'2022'!Resal)*(1-EXP(('2022'!Tnet-t)/('2022'!Tau_j))),Resal+(Salim-Resal)*(1-EXP((Tnet-t)/(Tau_j))))*Salcycl</f>
        <v>6.7023928251131737E-2</v>
      </c>
      <c r="P341" s="169">
        <f>(INDEX(Models!$BJ341:$BT341,,T341)*(1-R341)+INDEX(Models!$BJ341:$BT341,,T341+1)*R341-ERP_i)*Q341*Ramure*Pc/MaxiM</f>
        <v>5.2999125035405796E-4</v>
      </c>
      <c r="Q341" s="305">
        <f t="shared" si="130"/>
        <v>0.5</v>
      </c>
      <c r="R341" s="177">
        <f t="shared" si="131"/>
        <v>0.9970093655667629</v>
      </c>
      <c r="S341" s="811">
        <f t="shared" si="132"/>
        <v>0</v>
      </c>
      <c r="T341" s="176">
        <f t="shared" si="133"/>
        <v>6</v>
      </c>
      <c r="U341" s="251">
        <f t="shared" si="134"/>
        <v>0.9970093655667629</v>
      </c>
      <c r="V341" s="383">
        <f t="shared" si="135"/>
        <v>25.224078280761734</v>
      </c>
      <c r="W341" s="402">
        <f t="shared" si="136"/>
        <v>11.604829967648099</v>
      </c>
      <c r="X341" s="157">
        <f t="shared" si="137"/>
        <v>45253</v>
      </c>
      <c r="Y341" s="385">
        <f t="shared" si="138"/>
        <v>11.332650981700342</v>
      </c>
      <c r="Z341" s="385">
        <f t="shared" si="139"/>
        <v>11.838562627652516</v>
      </c>
      <c r="AA341" s="386">
        <f t="shared" si="140"/>
        <v>12.993786852150176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8.8905893073542033E-2</v>
      </c>
      <c r="AD341" s="231">
        <f>(INDEX(Models!$BJ341:$BT341,,AH341)*(1-AF341)+INDEX(Models!$BJ341:$BT341,,AH341+1)*AF341-ERP_i)*AE341*Ramure*Pc/MaxiM</f>
        <v>5.2999125035405796E-4</v>
      </c>
      <c r="AE341" s="305">
        <f t="shared" si="142"/>
        <v>0.5</v>
      </c>
      <c r="AF341" s="177">
        <f t="shared" si="143"/>
        <v>0.9970093655667629</v>
      </c>
      <c r="AG341" s="811">
        <f t="shared" si="149"/>
        <v>0</v>
      </c>
      <c r="AH341" s="176">
        <f t="shared" si="144"/>
        <v>6</v>
      </c>
      <c r="AI341" s="225">
        <f t="shared" si="145"/>
        <v>0.9970093655667629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411">
        <f>'2022'!Wh/'2022'!Env_an*'2023'!Env_an</f>
        <v>12.773329077067851</v>
      </c>
      <c r="C342" s="841"/>
      <c r="D342" s="393">
        <f t="shared" si="127"/>
        <v>13.343847667977847</v>
      </c>
      <c r="E342" s="385">
        <f t="shared" si="125"/>
        <v>14.302565895092734</v>
      </c>
      <c r="F342" s="385">
        <f t="shared" si="128"/>
        <v>14.304903008073181</v>
      </c>
      <c r="G342" s="110">
        <f t="shared" si="126"/>
        <v>0.51030712017871693</v>
      </c>
      <c r="H342" s="414" t="b">
        <f>Wh_hp&gt;='2022'!Maxi_hp</f>
        <v>0</v>
      </c>
      <c r="I342" s="390">
        <f>IF(H342,Wh_hp,'2022'!Maxi_hp)</f>
        <v>27.223770958160259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4.2755178649042103E-2</v>
      </c>
      <c r="M342" s="845"/>
      <c r="N342" s="845"/>
      <c r="O342" s="48">
        <f>IF(t&lt;Tnet,'2022'!Resal+('2022'!Salim-'2022'!Resal)*(1-EXP(('2022'!Tnet-t)/('2022'!Tau_j))),Resal+(Salim-Resal)*(1-EXP((Tnet-t)/(Tau_j))))*Salcycl</f>
        <v>6.7031205040196759E-2</v>
      </c>
      <c r="P342" s="169">
        <f>(INDEX(Models!$BJ342:$BT342,,T342)*(1-R342)+INDEX(Models!$BJ342:$BT342,,T342+1)*R342-ERP_i)*Q342*Ramure*Pc/MaxiM</f>
        <v>5.4329843925095842E-4</v>
      </c>
      <c r="Q342" s="305">
        <f t="shared" si="130"/>
        <v>0.5</v>
      </c>
      <c r="R342" s="177">
        <f t="shared" si="131"/>
        <v>0.99703129234651078</v>
      </c>
      <c r="S342" s="811">
        <f t="shared" si="132"/>
        <v>0</v>
      </c>
      <c r="T342" s="176">
        <f t="shared" si="133"/>
        <v>6</v>
      </c>
      <c r="U342" s="251">
        <f t="shared" si="134"/>
        <v>0.99703129234651078</v>
      </c>
      <c r="V342" s="383">
        <f t="shared" si="135"/>
        <v>25.021158702743289</v>
      </c>
      <c r="W342" s="402">
        <f t="shared" si="136"/>
        <v>12.773329077067851</v>
      </c>
      <c r="X342" s="157">
        <f t="shared" si="137"/>
        <v>45254</v>
      </c>
      <c r="Y342" s="385">
        <f t="shared" si="138"/>
        <v>12.474161891459579</v>
      </c>
      <c r="Z342" s="385">
        <f t="shared" si="139"/>
        <v>13.031318230434318</v>
      </c>
      <c r="AA342" s="386">
        <f t="shared" si="140"/>
        <v>14.302565895092734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8.8882489616397095E-2</v>
      </c>
      <c r="AD342" s="231">
        <f>(INDEX(Models!$BJ342:$BT342,,AH342)*(1-AF342)+INDEX(Models!$BJ342:$BT342,,AH342+1)*AF342-ERP_i)*AE342*Ramure*Pc/MaxiM</f>
        <v>5.4329843925095842E-4</v>
      </c>
      <c r="AE342" s="305">
        <f t="shared" si="142"/>
        <v>0.5</v>
      </c>
      <c r="AF342" s="177">
        <f t="shared" si="143"/>
        <v>0.99703129234651078</v>
      </c>
      <c r="AG342" s="811">
        <f t="shared" si="149"/>
        <v>0</v>
      </c>
      <c r="AH342" s="176">
        <f t="shared" si="144"/>
        <v>6</v>
      </c>
      <c r="AI342" s="225">
        <f t="shared" si="145"/>
        <v>0.99703129234651078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411">
        <f>'2022'!Wh/'2022'!Env_an*'2023'!Env_an</f>
        <v>4.9461534028376875</v>
      </c>
      <c r="C343" s="841"/>
      <c r="D343" s="393">
        <f t="shared" si="127"/>
        <v>5.1671856857719636</v>
      </c>
      <c r="E343" s="385">
        <f t="shared" si="125"/>
        <v>5.5384833545136605</v>
      </c>
      <c r="F343" s="385">
        <f t="shared" si="128"/>
        <v>5.5384833545136605</v>
      </c>
      <c r="G343" s="110">
        <f t="shared" si="126"/>
        <v>0.19914992087325878</v>
      </c>
      <c r="H343" s="414" t="b">
        <f>Wh_hp&gt;='2022'!Maxi_hp</f>
        <v>0</v>
      </c>
      <c r="I343" s="390">
        <f>IF(H343,Wh_hp,'2022'!Maxi_hp)</f>
        <v>26.38503248912658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4.2776144767333713E-2</v>
      </c>
      <c r="M343" s="845"/>
      <c r="N343" s="845"/>
      <c r="O343" s="48">
        <f>IF(t&lt;Tnet,'2022'!Resal+('2022'!Salim-'2022'!Resal)*(1-EXP(('2022'!Tnet-t)/('2022'!Tau_j))),Resal+(Salim-Resal)*(1-EXP((Tnet-t)/(Tau_j))))*Salcycl</f>
        <v>6.7039592786552762E-2</v>
      </c>
      <c r="P343" s="169">
        <f>(INDEX(Models!$BJ343:$BT343,,T343)*(1-R343)+INDEX(Models!$BJ343:$BT343,,T343+1)*R343-ERP_i)*Q343*Ramure*Pc/MaxiM</f>
        <v>5.5589428522075644E-4</v>
      </c>
      <c r="Q343" s="305">
        <f t="shared" si="130"/>
        <v>0.5</v>
      </c>
      <c r="R343" s="177">
        <f t="shared" si="131"/>
        <v>0.99705233809790816</v>
      </c>
      <c r="S343" s="811">
        <f t="shared" si="132"/>
        <v>0</v>
      </c>
      <c r="T343" s="176">
        <f t="shared" si="133"/>
        <v>6</v>
      </c>
      <c r="U343" s="251">
        <f t="shared" si="134"/>
        <v>0.99705233809790816</v>
      </c>
      <c r="V343" s="383">
        <f t="shared" si="135"/>
        <v>24.82252487347591</v>
      </c>
      <c r="W343" s="402">
        <f t="shared" si="136"/>
        <v>4.9461534028376875</v>
      </c>
      <c r="X343" s="157">
        <f t="shared" si="137"/>
        <v>45255</v>
      </c>
      <c r="Y343" s="385">
        <f t="shared" si="138"/>
        <v>4.8304677283754742</v>
      </c>
      <c r="Z343" s="385">
        <f t="shared" si="139"/>
        <v>5.0463302831095485</v>
      </c>
      <c r="AA343" s="386">
        <f t="shared" si="140"/>
        <v>5.5384833545136605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8.8860621202919265E-2</v>
      </c>
      <c r="AD343" s="231">
        <f>(INDEX(Models!$BJ343:$BT343,,AH343)*(1-AF343)+INDEX(Models!$BJ343:$BT343,,AH343+1)*AF343-ERP_i)*AE343*Ramure*Pc/MaxiM</f>
        <v>5.5589428522075644E-4</v>
      </c>
      <c r="AE343" s="305">
        <f t="shared" si="142"/>
        <v>0.5</v>
      </c>
      <c r="AF343" s="177">
        <f t="shared" si="143"/>
        <v>0.99705233809790816</v>
      </c>
      <c r="AG343" s="811">
        <f t="shared" si="149"/>
        <v>0</v>
      </c>
      <c r="AH343" s="176">
        <f t="shared" si="144"/>
        <v>6</v>
      </c>
      <c r="AI343" s="225">
        <f t="shared" si="145"/>
        <v>0.99705233809790816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411">
        <f>'2022'!Wh/'2022'!Env_an*'2023'!Env_an</f>
        <v>9.9150213711947632</v>
      </c>
      <c r="C344" s="841"/>
      <c r="D344" s="393">
        <f t="shared" si="127"/>
        <v>10.358327873008923</v>
      </c>
      <c r="E344" s="385">
        <f t="shared" si="125"/>
        <v>11.102757869008471</v>
      </c>
      <c r="F344" s="385">
        <f t="shared" si="128"/>
        <v>11.103681796243182</v>
      </c>
      <c r="G344" s="110">
        <f t="shared" si="126"/>
        <v>0.40239187205558485</v>
      </c>
      <c r="H344" s="414" t="b">
        <f>Wh_hp&gt;='2022'!Maxi_hp</f>
        <v>0</v>
      </c>
      <c r="I344" s="390">
        <f>IF(H344,Wh_hp,'2022'!Maxi_hp)</f>
        <v>26.793324525882319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4.2797110426413543E-2</v>
      </c>
      <c r="M344" s="845"/>
      <c r="N344" s="845"/>
      <c r="O344" s="48">
        <f>IF(t&lt;Tnet,'2022'!Resal+('2022'!Salim-'2022'!Resal)*(1-EXP(('2022'!Tnet-t)/('2022'!Tau_j))),Resal+(Salim-Resal)*(1-EXP((Tnet-t)/(Tau_j))))*Salcycl</f>
        <v>6.7049106607782794E-2</v>
      </c>
      <c r="P344" s="169">
        <f>(INDEX(Models!$BJ344:$BT344,,T344)*(1-R344)+INDEX(Models!$BJ344:$BT344,,T344+1)*R344-ERP_i)*Q344*Ramure*Pc/MaxiM</f>
        <v>5.6777544410830457E-4</v>
      </c>
      <c r="Q344" s="305">
        <f t="shared" si="130"/>
        <v>0.5</v>
      </c>
      <c r="R344" s="177">
        <f t="shared" si="131"/>
        <v>0.99707253815130659</v>
      </c>
      <c r="S344" s="811">
        <f t="shared" si="132"/>
        <v>0</v>
      </c>
      <c r="T344" s="176">
        <f t="shared" si="133"/>
        <v>6</v>
      </c>
      <c r="U344" s="251">
        <f t="shared" si="134"/>
        <v>0.99707253815130659</v>
      </c>
      <c r="V344" s="383">
        <f t="shared" si="135"/>
        <v>24.62827202493342</v>
      </c>
      <c r="W344" s="402">
        <f t="shared" si="136"/>
        <v>9.9150213711947632</v>
      </c>
      <c r="X344" s="157">
        <f t="shared" si="137"/>
        <v>45256</v>
      </c>
      <c r="Y344" s="385">
        <f t="shared" si="138"/>
        <v>9.6834333962626573</v>
      </c>
      <c r="Z344" s="385">
        <f t="shared" si="139"/>
        <v>10.11638546199586</v>
      </c>
      <c r="AA344" s="386">
        <f t="shared" si="140"/>
        <v>11.102757869008471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8.8840306043772146E-2</v>
      </c>
      <c r="AD344" s="231">
        <f>(INDEX(Models!$BJ344:$BT344,,AH344)*(1-AF344)+INDEX(Models!$BJ344:$BT344,,AH344+1)*AF344-ERP_i)*AE344*Ramure*Pc/MaxiM</f>
        <v>5.6777544410830457E-4</v>
      </c>
      <c r="AE344" s="305">
        <f t="shared" si="142"/>
        <v>0.5</v>
      </c>
      <c r="AF344" s="177">
        <f t="shared" si="143"/>
        <v>0.99707253815130659</v>
      </c>
      <c r="AG344" s="811">
        <f t="shared" si="149"/>
        <v>0</v>
      </c>
      <c r="AH344" s="176">
        <f t="shared" si="144"/>
        <v>6</v>
      </c>
      <c r="AI344" s="225">
        <f t="shared" si="145"/>
        <v>0.99707253815130659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411">
        <f>'2022'!Wh/'2022'!Env_an*'2023'!Env_an</f>
        <v>14.104419007850113</v>
      </c>
      <c r="C345" s="841"/>
      <c r="D345" s="393">
        <f t="shared" si="127"/>
        <v>14.73535871154143</v>
      </c>
      <c r="E345" s="385">
        <f t="shared" si="125"/>
        <v>15.794536496405996</v>
      </c>
      <c r="F345" s="385">
        <f t="shared" si="128"/>
        <v>15.798159018788871</v>
      </c>
      <c r="G345" s="110">
        <f t="shared" si="126"/>
        <v>0.57701185946198619</v>
      </c>
      <c r="H345" s="414" t="b">
        <f>Wh_hp&gt;='2022'!Maxi_hp</f>
        <v>0</v>
      </c>
      <c r="I345" s="390">
        <f>IF(H345,Wh_hp,'2022'!Maxi_hp)</f>
        <v>25.130362962848679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4.2818075626291696E-2</v>
      </c>
      <c r="M345" s="845"/>
      <c r="N345" s="845"/>
      <c r="O345" s="48">
        <f>IF(t&lt;Tnet,'2022'!Resal+('2022'!Salim-'2022'!Resal)*(1-EXP(('2022'!Tnet-t)/('2022'!Tau_j))),Resal+(Salim-Resal)*(1-EXP((Tnet-t)/(Tau_j))))*Salcycl</f>
        <v>6.7059757347458671E-2</v>
      </c>
      <c r="P345" s="169">
        <f>(INDEX(Models!$BJ345:$BT345,,T345)*(1-R345)+INDEX(Models!$BJ345:$BT345,,T345+1)*R345-ERP_i)*Q345*Ramure*Pc/MaxiM</f>
        <v>5.7901237560648467E-4</v>
      </c>
      <c r="Q345" s="305">
        <f t="shared" si="130"/>
        <v>0.5</v>
      </c>
      <c r="R345" s="177">
        <f t="shared" si="131"/>
        <v>0.99709192642576716</v>
      </c>
      <c r="S345" s="811">
        <f t="shared" si="132"/>
        <v>0</v>
      </c>
      <c r="T345" s="176">
        <f t="shared" si="133"/>
        <v>6</v>
      </c>
      <c r="U345" s="251">
        <f t="shared" si="134"/>
        <v>0.99709192642576716</v>
      </c>
      <c r="V345" s="383">
        <f t="shared" si="135"/>
        <v>24.435347661440357</v>
      </c>
      <c r="W345" s="402">
        <f t="shared" si="136"/>
        <v>14.104419007850113</v>
      </c>
      <c r="X345" s="157">
        <f t="shared" si="137"/>
        <v>45257</v>
      </c>
      <c r="Y345" s="385">
        <f t="shared" si="138"/>
        <v>13.775418797623027</v>
      </c>
      <c r="Z345" s="385">
        <f t="shared" si="139"/>
        <v>14.391641177967703</v>
      </c>
      <c r="AA345" s="386">
        <f t="shared" si="140"/>
        <v>15.794536496405996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8.8821556666605572E-2</v>
      </c>
      <c r="AD345" s="231">
        <f>(INDEX(Models!$BJ345:$BT345,,AH345)*(1-AF345)+INDEX(Models!$BJ345:$BT345,,AH345+1)*AF345-ERP_i)*AE345*Ramure*Pc/MaxiM</f>
        <v>5.7901237560648467E-4</v>
      </c>
      <c r="AE345" s="305">
        <f t="shared" si="142"/>
        <v>0.5</v>
      </c>
      <c r="AF345" s="177">
        <f t="shared" si="143"/>
        <v>0.99709192642576716</v>
      </c>
      <c r="AG345" s="811">
        <f t="shared" si="149"/>
        <v>0</v>
      </c>
      <c r="AH345" s="176">
        <f t="shared" si="144"/>
        <v>6</v>
      </c>
      <c r="AI345" s="225">
        <f t="shared" si="145"/>
        <v>0.99709192642576716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411">
        <f>'2022'!Wh/'2022'!Env_an*'2023'!Env_an</f>
        <v>10.224282599261974</v>
      </c>
      <c r="C346" s="841"/>
      <c r="D346" s="393">
        <f t="shared" si="127"/>
        <v>10.681884270731217</v>
      </c>
      <c r="E346" s="385">
        <f t="shared" si="125"/>
        <v>11.449843006829264</v>
      </c>
      <c r="F346" s="385">
        <f t="shared" si="128"/>
        <v>11.451016638786117</v>
      </c>
      <c r="G346" s="110">
        <f t="shared" si="126"/>
        <v>0.42156170918083263</v>
      </c>
      <c r="H346" s="414" t="b">
        <f>Wh_hp&gt;='2022'!Maxi_hp</f>
        <v>0</v>
      </c>
      <c r="I346" s="390">
        <f>IF(H346,Wh_hp,'2022'!Maxi_hp)</f>
        <v>18.630206084198146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4.2839040366978165E-2</v>
      </c>
      <c r="M346" s="845"/>
      <c r="N346" s="845"/>
      <c r="O346" s="48">
        <f>IF(t&lt;Tnet,'2022'!Resal+('2022'!Salim-'2022'!Resal)*(1-EXP(('2022'!Tnet-t)/('2022'!Tau_j))),Resal+(Salim-Resal)*(1-EXP((Tnet-t)/(Tau_j))))*Salcycl</f>
        <v>6.7071551604681146E-2</v>
      </c>
      <c r="P346" s="169">
        <f>(INDEX(Models!$BJ346:$BT346,,T346)*(1-R346)+INDEX(Models!$BJ346:$BT346,,T346+1)*R346-ERP_i)*Q346*Ramure*Pc/MaxiM</f>
        <v>5.8919126503476722E-4</v>
      </c>
      <c r="Q346" s="305">
        <f t="shared" si="130"/>
        <v>0.5</v>
      </c>
      <c r="R346" s="177">
        <f t="shared" si="131"/>
        <v>0.99711053548500184</v>
      </c>
      <c r="S346" s="811">
        <f t="shared" si="132"/>
        <v>0</v>
      </c>
      <c r="T346" s="176">
        <f t="shared" si="133"/>
        <v>6</v>
      </c>
      <c r="U346" s="251">
        <f t="shared" si="134"/>
        <v>0.99711053548500184</v>
      </c>
      <c r="V346" s="383">
        <f t="shared" si="135"/>
        <v>24.24154212959963</v>
      </c>
      <c r="W346" s="402">
        <f t="shared" si="136"/>
        <v>10.224282599261974</v>
      </c>
      <c r="X346" s="157">
        <f t="shared" si="137"/>
        <v>45258</v>
      </c>
      <c r="Y346" s="385">
        <f t="shared" si="138"/>
        <v>9.9861050849768436</v>
      </c>
      <c r="Z346" s="385">
        <f t="shared" si="139"/>
        <v>10.433046797902772</v>
      </c>
      <c r="AA346" s="386">
        <f t="shared" si="140"/>
        <v>11.449843006829264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8.8804379965736063E-2</v>
      </c>
      <c r="AD346" s="231">
        <f>(INDEX(Models!$BJ346:$BT346,,AH346)*(1-AF346)+INDEX(Models!$BJ346:$BT346,,AH346+1)*AF346-ERP_i)*AE346*Ramure*Pc/MaxiM</f>
        <v>5.8919126503476722E-4</v>
      </c>
      <c r="AE346" s="305">
        <f t="shared" si="142"/>
        <v>0.5</v>
      </c>
      <c r="AF346" s="177">
        <f t="shared" si="143"/>
        <v>0.99711053548500184</v>
      </c>
      <c r="AG346" s="811">
        <f t="shared" si="149"/>
        <v>0</v>
      </c>
      <c r="AH346" s="176">
        <f t="shared" si="144"/>
        <v>6</v>
      </c>
      <c r="AI346" s="225">
        <f t="shared" si="145"/>
        <v>0.99711053548500184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411">
        <f>'2022'!Wh/'2022'!Env_an*'2023'!Env_an</f>
        <v>14.226053857572582</v>
      </c>
      <c r="C347" s="841"/>
      <c r="D347" s="393">
        <f t="shared" si="127"/>
        <v>14.863085783337215</v>
      </c>
      <c r="E347" s="385">
        <f t="shared" si="125"/>
        <v>15.93186698315697</v>
      </c>
      <c r="F347" s="385">
        <f t="shared" si="128"/>
        <v>15.935838886680585</v>
      </c>
      <c r="G347" s="110">
        <f t="shared" si="126"/>
        <v>0.59135771399333581</v>
      </c>
      <c r="H347" s="414" t="b">
        <f>Wh_hp&gt;='2022'!Maxi_hp</f>
        <v>0</v>
      </c>
      <c r="I347" s="390">
        <f>IF(H347,Wh_hp,'2022'!Maxi_hp)</f>
        <v>26.41641779115476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4.2860004648482941E-2</v>
      </c>
      <c r="M347" s="845"/>
      <c r="N347" s="845"/>
      <c r="O347" s="48">
        <f>IF(t&lt;Tnet,'2022'!Resal+('2022'!Salim-'2022'!Resal)*(1-EXP(('2022'!Tnet-t)/('2022'!Tau_j))),Resal+(Salim-Resal)*(1-EXP((Tnet-t)/(Tau_j))))*Salcycl</f>
        <v>6.7084491789296319E-2</v>
      </c>
      <c r="P347" s="169">
        <f>(INDEX(Models!$BJ347:$BT347,,T347)*(1-R347)+INDEX(Models!$BJ347:$BT347,,T347+1)*R347-ERP_i)*Q347*Ramure*Pc/MaxiM</f>
        <v>5.9839428659628937E-4</v>
      </c>
      <c r="Q347" s="305">
        <f t="shared" si="130"/>
        <v>0.5</v>
      </c>
      <c r="R347" s="177">
        <f t="shared" si="131"/>
        <v>0.99712839659113106</v>
      </c>
      <c r="S347" s="811">
        <f t="shared" si="132"/>
        <v>0</v>
      </c>
      <c r="T347" s="176">
        <f t="shared" si="133"/>
        <v>6</v>
      </c>
      <c r="U347" s="251">
        <f t="shared" si="134"/>
        <v>0.99712839659113106</v>
      </c>
      <c r="V347" s="383">
        <f t="shared" si="135"/>
        <v>24.048194932096298</v>
      </c>
      <c r="W347" s="402">
        <f t="shared" si="136"/>
        <v>14.226053857572582</v>
      </c>
      <c r="X347" s="157">
        <f t="shared" si="137"/>
        <v>45259</v>
      </c>
      <c r="Y347" s="385">
        <f t="shared" si="138"/>
        <v>13.895084620065139</v>
      </c>
      <c r="Z347" s="385">
        <f t="shared" si="139"/>
        <v>14.517295993844726</v>
      </c>
      <c r="AA347" s="386">
        <f t="shared" si="140"/>
        <v>15.93186698315697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8.8788777285657511E-2</v>
      </c>
      <c r="AD347" s="231">
        <f>(INDEX(Models!$BJ347:$BT347,,AH347)*(1-AF347)+INDEX(Models!$BJ347:$BT347,,AH347+1)*AF347-ERP_i)*AE347*Ramure*Pc/MaxiM</f>
        <v>5.9839428659628937E-4</v>
      </c>
      <c r="AE347" s="305">
        <f t="shared" si="142"/>
        <v>0.5</v>
      </c>
      <c r="AF347" s="177">
        <f t="shared" si="143"/>
        <v>0.99712839659113106</v>
      </c>
      <c r="AG347" s="811">
        <f t="shared" si="149"/>
        <v>0</v>
      </c>
      <c r="AH347" s="176">
        <f t="shared" si="144"/>
        <v>6</v>
      </c>
      <c r="AI347" s="225">
        <f t="shared" si="145"/>
        <v>0.99712839659113106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411">
        <f>'2022'!Wh/'2022'!Env_an*'2023'!Env_an</f>
        <v>3.9635992081119276</v>
      </c>
      <c r="C348" s="841"/>
      <c r="D348" s="393">
        <f t="shared" si="127"/>
        <v>4.1411768834847082</v>
      </c>
      <c r="E348" s="385">
        <f t="shared" si="125"/>
        <v>4.439029438529535</v>
      </c>
      <c r="F348" s="385">
        <f t="shared" si="128"/>
        <v>4.439029438529535</v>
      </c>
      <c r="G348" s="110">
        <f t="shared" si="126"/>
        <v>0.16604155342890334</v>
      </c>
      <c r="H348" s="414" t="b">
        <f>Wh_hp&gt;='2022'!Maxi_hp</f>
        <v>0</v>
      </c>
      <c r="I348" s="390">
        <f>IF(H348,Wh_hp,'2022'!Maxi_hp)</f>
        <v>25.687652657075112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4.2880968470816239E-2</v>
      </c>
      <c r="M348" s="845"/>
      <c r="N348" s="845"/>
      <c r="O348" s="48">
        <f>IF(t&lt;Tnet,'2022'!Resal+('2022'!Salim-'2022'!Resal)*(1-EXP(('2022'!Tnet-t)/('2022'!Tau_j))),Resal+(Salim-Resal)*(1-EXP((Tnet-t)/(Tau_j))))*Salcycl</f>
        <v>6.7098576202164778E-2</v>
      </c>
      <c r="P348" s="169">
        <f>(INDEX(Models!$BJ348:$BT348,,T348)*(1-R348)+INDEX(Models!$BJ348:$BT348,,T348+1)*R348-ERP_i)*Q348*Ramure*Pc/MaxiM</f>
        <v>6.065859563799006E-4</v>
      </c>
      <c r="Q348" s="305">
        <f t="shared" si="130"/>
        <v>0.5</v>
      </c>
      <c r="R348" s="177">
        <f t="shared" si="131"/>
        <v>0.99714553975634002</v>
      </c>
      <c r="S348" s="811">
        <f t="shared" si="132"/>
        <v>0</v>
      </c>
      <c r="T348" s="176">
        <f t="shared" si="133"/>
        <v>6</v>
      </c>
      <c r="U348" s="251">
        <f t="shared" si="134"/>
        <v>0.99714553975634002</v>
      </c>
      <c r="V348" s="383">
        <f t="shared" si="135"/>
        <v>23.856648306965504</v>
      </c>
      <c r="W348" s="402">
        <f t="shared" si="136"/>
        <v>3.9635992081119276</v>
      </c>
      <c r="X348" s="157">
        <f t="shared" si="137"/>
        <v>45260</v>
      </c>
      <c r="Y348" s="385">
        <f t="shared" si="138"/>
        <v>3.8715041148286975</v>
      </c>
      <c r="Z348" s="385">
        <f t="shared" si="139"/>
        <v>4.0449557341297631</v>
      </c>
      <c r="AA348" s="386">
        <f t="shared" si="140"/>
        <v>4.439029438529535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8.8774744537470779E-2</v>
      </c>
      <c r="AD348" s="231">
        <f>(INDEX(Models!$BJ348:$BT348,,AH348)*(1-AF348)+INDEX(Models!$BJ348:$BT348,,AH348+1)*AF348-ERP_i)*AE348*Ramure*Pc/MaxiM</f>
        <v>6.065859563799006E-4</v>
      </c>
      <c r="AE348" s="305">
        <f t="shared" si="142"/>
        <v>0.5</v>
      </c>
      <c r="AF348" s="177">
        <f t="shared" si="143"/>
        <v>0.99714553975634002</v>
      </c>
      <c r="AG348" s="811">
        <f t="shared" si="149"/>
        <v>0</v>
      </c>
      <c r="AH348" s="176">
        <f t="shared" si="144"/>
        <v>6</v>
      </c>
      <c r="AI348" s="225">
        <f t="shared" si="145"/>
        <v>0.99714553975634002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411">
        <f>'2022'!Wh/'2022'!Env_an*'2023'!Env_an</f>
        <v>3.4106920610430476</v>
      </c>
      <c r="C349" s="841"/>
      <c r="D349" s="393">
        <f t="shared" si="127"/>
        <v>3.5635763716236557</v>
      </c>
      <c r="E349" s="385">
        <f t="shared" si="125"/>
        <v>3.8199475652413093</v>
      </c>
      <c r="F349" s="385">
        <f t="shared" si="128"/>
        <v>3.8199475652413093</v>
      </c>
      <c r="G349" s="110">
        <f t="shared" si="126"/>
        <v>0.14401570167755434</v>
      </c>
      <c r="H349" s="414" t="b">
        <f>Wh_hp&gt;='2022'!Maxi_hp</f>
        <v>0</v>
      </c>
      <c r="I349" s="390">
        <f>IF(H349,Wh_hp,'2022'!Maxi_hp)</f>
        <v>26.512351889003813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4.2901931833987939E-2</v>
      </c>
      <c r="M349" s="845"/>
      <c r="N349" s="845"/>
      <c r="O349" s="48">
        <f>IF(t&lt;Tnet,'2022'!Resal+('2022'!Salim-'2022'!Resal)*(1-EXP(('2022'!Tnet-t)/('2022'!Tau_j))),Resal+(Salim-Resal)*(1-EXP((Tnet-t)/(Tau_j))))*Salcycl</f>
        <v>6.7113799139663977E-2</v>
      </c>
      <c r="P349" s="169">
        <f>(INDEX(Models!$BJ349:$BT349,,T349)*(1-R349)+INDEX(Models!$BJ349:$BT349,,T349+1)*R349-ERP_i)*Q349*Ramure*Pc/MaxiM</f>
        <v>6.1372622224765668E-4</v>
      </c>
      <c r="Q349" s="305">
        <f t="shared" si="130"/>
        <v>0.5</v>
      </c>
      <c r="R349" s="177">
        <f t="shared" si="131"/>
        <v>0.99716199379251558</v>
      </c>
      <c r="S349" s="811">
        <f t="shared" si="132"/>
        <v>0</v>
      </c>
      <c r="T349" s="176">
        <f t="shared" si="133"/>
        <v>6</v>
      </c>
      <c r="U349" s="251">
        <f t="shared" si="134"/>
        <v>0.99716199379251558</v>
      </c>
      <c r="V349" s="383">
        <f t="shared" si="135"/>
        <v>23.668244435741435</v>
      </c>
      <c r="W349" s="402">
        <f t="shared" si="136"/>
        <v>3.4106920610430476</v>
      </c>
      <c r="X349" s="157">
        <f t="shared" si="137"/>
        <v>45261</v>
      </c>
      <c r="Y349" s="385">
        <f t="shared" si="138"/>
        <v>3.3315438480733492</v>
      </c>
      <c r="Z349" s="385">
        <f t="shared" si="139"/>
        <v>3.4808803391038516</v>
      </c>
      <c r="AA349" s="386">
        <f t="shared" si="140"/>
        <v>3.8199475652413093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8.8762272347065144E-2</v>
      </c>
      <c r="AD349" s="231">
        <f>(INDEX(Models!$BJ349:$BT349,,AH349)*(1-AF349)+INDEX(Models!$BJ349:$BT349,,AH349+1)*AF349-ERP_i)*AE349*Ramure*Pc/MaxiM</f>
        <v>6.1372622224765668E-4</v>
      </c>
      <c r="AE349" s="305">
        <f t="shared" si="142"/>
        <v>0.5</v>
      </c>
      <c r="AF349" s="177">
        <f t="shared" si="143"/>
        <v>0.99716199379251558</v>
      </c>
      <c r="AG349" s="811">
        <f t="shared" si="149"/>
        <v>0</v>
      </c>
      <c r="AH349" s="176">
        <f t="shared" si="144"/>
        <v>6</v>
      </c>
      <c r="AI349" s="225">
        <f t="shared" si="145"/>
        <v>0.99716199379251558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411">
        <f>'2022'!Wh/'2022'!Env_an*'2023'!Env_an</f>
        <v>5.6561041099155656</v>
      </c>
      <c r="C350" s="841"/>
      <c r="D350" s="393">
        <f t="shared" si="127"/>
        <v>5.9097684803224446</v>
      </c>
      <c r="E350" s="385">
        <f t="shared" si="125"/>
        <v>6.335040720624824</v>
      </c>
      <c r="F350" s="385">
        <f t="shared" si="128"/>
        <v>6.335040720624824</v>
      </c>
      <c r="G350" s="110">
        <f t="shared" si="126"/>
        <v>0.24069665717206667</v>
      </c>
      <c r="H350" s="414" t="b">
        <f>Wh_hp&gt;='2022'!Maxi_hp</f>
        <v>0</v>
      </c>
      <c r="I350" s="390">
        <f>IF(H350,Wh_hp,'2022'!Maxi_hp)</f>
        <v>10.56169638849005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4.2922894738008144E-2</v>
      </c>
      <c r="M350" s="845"/>
      <c r="N350" s="845"/>
      <c r="O350" s="48">
        <f>IF(t&lt;Tnet,'2022'!Resal+('2022'!Salim-'2022'!Resal)*(1-EXP(('2022'!Tnet-t)/('2022'!Tau_j))),Resal+(Salim-Resal)*(1-EXP((Tnet-t)/(Tau_j))))*Salcycl</f>
        <v>6.7130151021418352E-2</v>
      </c>
      <c r="P350" s="169">
        <f>(INDEX(Models!$BJ350:$BT350,,T350)*(1-R350)+INDEX(Models!$BJ350:$BT350,,T350+1)*R350-ERP_i)*Q350*Ramure*Pc/MaxiM</f>
        <v>6.1977089407752942E-4</v>
      </c>
      <c r="Q350" s="305">
        <f t="shared" si="130"/>
        <v>0.5</v>
      </c>
      <c r="R350" s="177">
        <f t="shared" si="131"/>
        <v>0.9971777863589375</v>
      </c>
      <c r="S350" s="811">
        <f t="shared" si="132"/>
        <v>0</v>
      </c>
      <c r="T350" s="176">
        <f t="shared" si="133"/>
        <v>6</v>
      </c>
      <c r="U350" s="251">
        <f t="shared" si="134"/>
        <v>0.9971777863589375</v>
      </c>
      <c r="V350" s="383">
        <f t="shared" si="135"/>
        <v>23.484325406204118</v>
      </c>
      <c r="W350" s="402">
        <f t="shared" si="136"/>
        <v>5.6561041099155656</v>
      </c>
      <c r="X350" s="157">
        <f t="shared" si="137"/>
        <v>45262</v>
      </c>
      <c r="Y350" s="385">
        <f t="shared" si="138"/>
        <v>5.5250121561611989</v>
      </c>
      <c r="Z350" s="385">
        <f t="shared" si="139"/>
        <v>5.7727973282244305</v>
      </c>
      <c r="AA350" s="386">
        <f t="shared" si="140"/>
        <v>6.335040720624824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8.8751346233641851E-2</v>
      </c>
      <c r="AD350" s="231">
        <f>(INDEX(Models!$BJ350:$BT350,,AH350)*(1-AF350)+INDEX(Models!$BJ350:$BT350,,AH350+1)*AF350-ERP_i)*AE350*Ramure*Pc/MaxiM</f>
        <v>6.1977089407752942E-4</v>
      </c>
      <c r="AE350" s="305">
        <f t="shared" si="142"/>
        <v>0.5</v>
      </c>
      <c r="AF350" s="177">
        <f t="shared" si="143"/>
        <v>0.9971777863589375</v>
      </c>
      <c r="AG350" s="811">
        <f t="shared" si="149"/>
        <v>0</v>
      </c>
      <c r="AH350" s="176">
        <f t="shared" si="144"/>
        <v>6</v>
      </c>
      <c r="AI350" s="225">
        <f t="shared" si="145"/>
        <v>0.9971777863589375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411">
        <f>'2022'!Wh/'2022'!Env_an*'2023'!Env_an</f>
        <v>8.4488805632394044</v>
      </c>
      <c r="C351" s="841"/>
      <c r="D351" s="393">
        <f t="shared" si="127"/>
        <v>8.8279884379300508</v>
      </c>
      <c r="E351" s="385">
        <f t="shared" si="125"/>
        <v>9.4634356017981389</v>
      </c>
      <c r="F351" s="385">
        <f t="shared" si="128"/>
        <v>9.4639635821996375</v>
      </c>
      <c r="G351" s="110">
        <f t="shared" si="126"/>
        <v>0.36230967881090326</v>
      </c>
      <c r="H351" s="414" t="b">
        <f>Wh_hp&gt;='2022'!Maxi_hp</f>
        <v>0</v>
      </c>
      <c r="I351" s="390">
        <f>IF(H351,Wh_hp,'2022'!Maxi_hp)</f>
        <v>17.22212353344614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4.2943857182887069E-2</v>
      </c>
      <c r="M351" s="845"/>
      <c r="N351" s="845"/>
      <c r="O351" s="48">
        <f>IF(t&lt;Tnet,'2022'!Resal+('2022'!Salim-'2022'!Resal)*(1-EXP(('2022'!Tnet-t)/('2022'!Tau_j))),Resal+(Salim-Resal)*(1-EXP((Tnet-t)/(Tau_j))))*Salcycl</f>
        <v>6.7147618540072965E-2</v>
      </c>
      <c r="P351" s="169">
        <f>(INDEX(Models!$BJ351:$BT351,,T351)*(1-R351)+INDEX(Models!$BJ351:$BT351,,T351+1)*R351-ERP_i)*Q351*Ramure*Pc/MaxiM</f>
        <v>6.2467216838647918E-4</v>
      </c>
      <c r="Q351" s="305">
        <f t="shared" si="130"/>
        <v>0.5</v>
      </c>
      <c r="R351" s="177">
        <f t="shared" si="131"/>
        <v>0.9971929440081001</v>
      </c>
      <c r="S351" s="811">
        <f t="shared" si="132"/>
        <v>0</v>
      </c>
      <c r="T351" s="176">
        <f t="shared" si="133"/>
        <v>6</v>
      </c>
      <c r="U351" s="251">
        <f t="shared" si="134"/>
        <v>0.9971929440081001</v>
      </c>
      <c r="V351" s="383">
        <f t="shared" si="135"/>
        <v>23.306233199972592</v>
      </c>
      <c r="W351" s="402">
        <f t="shared" si="136"/>
        <v>8.4488805632394044</v>
      </c>
      <c r="X351" s="157">
        <f t="shared" si="137"/>
        <v>45263</v>
      </c>
      <c r="Y351" s="385">
        <f t="shared" si="138"/>
        <v>8.2532998860811482</v>
      </c>
      <c r="Z351" s="385">
        <f t="shared" si="139"/>
        <v>8.6236319029178414</v>
      </c>
      <c r="AA351" s="386">
        <f t="shared" si="140"/>
        <v>9.4634356017981389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8.874194681693888E-2</v>
      </c>
      <c r="AD351" s="231">
        <f>(INDEX(Models!$BJ351:$BT351,,AH351)*(1-AF351)+INDEX(Models!$BJ351:$BT351,,AH351+1)*AF351-ERP_i)*AE351*Ramure*Pc/MaxiM</f>
        <v>6.2467216838647918E-4</v>
      </c>
      <c r="AE351" s="305">
        <f t="shared" si="142"/>
        <v>0.5</v>
      </c>
      <c r="AF351" s="177">
        <f t="shared" si="143"/>
        <v>0.9971929440081001</v>
      </c>
      <c r="AG351" s="811">
        <f t="shared" si="149"/>
        <v>0</v>
      </c>
      <c r="AH351" s="176">
        <f t="shared" si="144"/>
        <v>6</v>
      </c>
      <c r="AI351" s="225">
        <f t="shared" si="145"/>
        <v>0.9971929440081001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411">
        <f>'2022'!Wh/'2022'!Env_an*'2023'!Env_an</f>
        <v>16.77559368471994</v>
      </c>
      <c r="C352" s="841"/>
      <c r="D352" s="393">
        <f t="shared" si="127"/>
        <v>17.528711609271433</v>
      </c>
      <c r="E352" s="385">
        <f t="shared" si="125"/>
        <v>18.790819248024434</v>
      </c>
      <c r="F352" s="385">
        <f t="shared" si="128"/>
        <v>18.797995102542188</v>
      </c>
      <c r="G352" s="110">
        <f t="shared" si="126"/>
        <v>0.72492889632137358</v>
      </c>
      <c r="H352" s="414" t="b">
        <f>Wh_hp&gt;='2022'!Maxi_hp</f>
        <v>0</v>
      </c>
      <c r="I352" s="390">
        <f>IF(H352,Wh_hp,'2022'!Maxi_hp)</f>
        <v>18.799014130815127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4.2964819168634594E-2</v>
      </c>
      <c r="M352" s="845"/>
      <c r="N352" s="845"/>
      <c r="O352" s="48">
        <f>IF(t&lt;Tnet,'2022'!Resal+('2022'!Salim-'2022'!Resal)*(1-EXP(('2022'!Tnet-t)/('2022'!Tau_j))),Resal+(Salim-Resal)*(1-EXP((Tnet-t)/(Tau_j))))*Salcycl</f>
        <v>6.7166184831759859E-2</v>
      </c>
      <c r="P352" s="169">
        <f>(INDEX(Models!$BJ352:$BT352,,T352)*(1-R352)+INDEX(Models!$BJ352:$BT352,,T352+1)*R352-ERP_i)*Q352*Ramure*Pc/MaxiM</f>
        <v>6.2858049702233432E-4</v>
      </c>
      <c r="Q352" s="305">
        <f t="shared" si="130"/>
        <v>0.5</v>
      </c>
      <c r="R352" s="177">
        <f t="shared" si="131"/>
        <v>0.99720749222973515</v>
      </c>
      <c r="S352" s="811">
        <f t="shared" si="132"/>
        <v>0</v>
      </c>
      <c r="T352" s="176">
        <f t="shared" si="133"/>
        <v>6</v>
      </c>
      <c r="U352" s="251">
        <f t="shared" si="134"/>
        <v>0.99720749222973515</v>
      </c>
      <c r="V352" s="383">
        <f t="shared" si="135"/>
        <v>23.135305007652828</v>
      </c>
      <c r="W352" s="402">
        <f t="shared" si="136"/>
        <v>16.77559368471994</v>
      </c>
      <c r="X352" s="157">
        <f t="shared" si="137"/>
        <v>45264</v>
      </c>
      <c r="Y352" s="385">
        <f t="shared" si="138"/>
        <v>16.387728517648821</v>
      </c>
      <c r="Z352" s="385">
        <f t="shared" si="139"/>
        <v>17.12343375236529</v>
      </c>
      <c r="AA352" s="386">
        <f t="shared" si="140"/>
        <v>18.790819248024434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8.8734050051300667E-2</v>
      </c>
      <c r="AD352" s="231">
        <f>(INDEX(Models!$BJ352:$BT352,,AH352)*(1-AF352)+INDEX(Models!$BJ352:$BT352,,AH352+1)*AF352-ERP_i)*AE352*Ramure*Pc/MaxiM</f>
        <v>6.2858049702233432E-4</v>
      </c>
      <c r="AE352" s="305">
        <f t="shared" si="142"/>
        <v>0.5</v>
      </c>
      <c r="AF352" s="177">
        <f t="shared" si="143"/>
        <v>0.99720749222973515</v>
      </c>
      <c r="AG352" s="811">
        <f t="shared" si="149"/>
        <v>0</v>
      </c>
      <c r="AH352" s="176">
        <f t="shared" si="144"/>
        <v>6</v>
      </c>
      <c r="AI352" s="225">
        <f t="shared" si="145"/>
        <v>0.99720749222973515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411">
        <f>'2022'!Wh/'2022'!Env_an*'2023'!Env_an</f>
        <v>22.833930846877749</v>
      </c>
      <c r="C353" s="841"/>
      <c r="D353" s="393">
        <f t="shared" si="127"/>
        <v>23.859552330859159</v>
      </c>
      <c r="E353" s="385">
        <f t="shared" si="125"/>
        <v>25.578033749540658</v>
      </c>
      <c r="F353" s="385">
        <f t="shared" si="128"/>
        <v>25.5940732650418</v>
      </c>
      <c r="G353" s="110">
        <f t="shared" si="126"/>
        <v>0.99394675915950259</v>
      </c>
      <c r="H353" s="414" t="b">
        <f>Wh_hp&gt;='2022'!Maxi_hp</f>
        <v>0</v>
      </c>
      <c r="I353" s="390">
        <f>IF(H353,Wh_hp,'2022'!Maxi_hp)</f>
        <v>25.594103955041181</v>
      </c>
      <c r="J353" s="85">
        <f>IF(H353,An,'2022'!An_max)</f>
        <v>2022</v>
      </c>
      <c r="K353" s="197">
        <f t="shared" si="129"/>
        <v>45265</v>
      </c>
      <c r="L353" s="147">
        <f>IF(t&lt;Tvie,1-EXP((T0-t)*PertePVj)+'2022'!Pspv,1-EXP((T0-t)*PertePVj)+Pspv)</f>
        <v>4.2985780695260822E-2</v>
      </c>
      <c r="M353" s="845"/>
      <c r="N353" s="845"/>
      <c r="O353" s="48">
        <f>IF(t&lt;Tnet,'2022'!Resal+('2022'!Salim-'2022'!Resal)*(1-EXP(('2022'!Tnet-t)/('2022'!Tau_j))),Resal+(Salim-Resal)*(1-EXP((Tnet-t)/(Tau_j))))*Salcycl</f>
        <v>6.7185829665752178E-2</v>
      </c>
      <c r="P353" s="169">
        <f>(INDEX(Models!$BJ353:$BT353,,T353)*(1-R353)+INDEX(Models!$BJ353:$BT353,,T353+1)*R353-ERP_i)*Q353*Ramure*Pc/MaxiM</f>
        <v>6.3215026657943197E-4</v>
      </c>
      <c r="Q353" s="305">
        <f t="shared" si="130"/>
        <v>0.5</v>
      </c>
      <c r="R353" s="177">
        <f t="shared" si="131"/>
        <v>0.99722145549310404</v>
      </c>
      <c r="S353" s="811">
        <f t="shared" si="132"/>
        <v>0</v>
      </c>
      <c r="T353" s="176">
        <f t="shared" si="133"/>
        <v>6</v>
      </c>
      <c r="U353" s="251">
        <f t="shared" si="134"/>
        <v>0.99722145549310404</v>
      </c>
      <c r="V353" s="383">
        <f t="shared" si="135"/>
        <v>22.972866351570385</v>
      </c>
      <c r="W353" s="402">
        <f t="shared" si="136"/>
        <v>22.833930846877749</v>
      </c>
      <c r="X353" s="157">
        <f t="shared" si="137"/>
        <v>45265</v>
      </c>
      <c r="Y353" s="385">
        <f t="shared" si="138"/>
        <v>22.306619044211455</v>
      </c>
      <c r="Z353" s="385">
        <f t="shared" si="139"/>
        <v>23.308555499224433</v>
      </c>
      <c r="AA353" s="386">
        <f t="shared" si="140"/>
        <v>25.578033749540658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8.872762748453962E-2</v>
      </c>
      <c r="AD353" s="231">
        <f>(INDEX(Models!$BJ353:$BT353,,AH353)*(1-AF353)+INDEX(Models!$BJ353:$BT353,,AH353+1)*AF353-ERP_i)*AE353*Ramure*Pc/MaxiM</f>
        <v>6.3215026657943197E-4</v>
      </c>
      <c r="AE353" s="305">
        <f t="shared" si="142"/>
        <v>0.5</v>
      </c>
      <c r="AF353" s="177">
        <f t="shared" si="143"/>
        <v>0.99722145549310404</v>
      </c>
      <c r="AG353" s="811">
        <f t="shared" si="149"/>
        <v>0</v>
      </c>
      <c r="AH353" s="176">
        <f t="shared" si="144"/>
        <v>6</v>
      </c>
      <c r="AI353" s="225">
        <f t="shared" si="145"/>
        <v>0.99722145549310404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411">
        <f>'2022'!Wh/'2022'!Env_an*'2023'!Env_an</f>
        <v>10.575462369952561</v>
      </c>
      <c r="C354" s="841"/>
      <c r="D354" s="393">
        <f t="shared" si="127"/>
        <v>11.050717733824477</v>
      </c>
      <c r="E354" s="385">
        <f t="shared" si="125"/>
        <v>11.846907257720973</v>
      </c>
      <c r="F354" s="385">
        <f t="shared" si="128"/>
        <v>11.848664740342702</v>
      </c>
      <c r="G354" s="110">
        <f t="shared" si="126"/>
        <v>0.46319856786293223</v>
      </c>
      <c r="H354" s="414" t="b">
        <f>Wh_hp&gt;='2022'!Maxi_hp</f>
        <v>0</v>
      </c>
      <c r="I354" s="390">
        <f>IF(H354,Wh_hp,'2022'!Maxi_hp)</f>
        <v>20.632916228723204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4.3006741762775857E-2</v>
      </c>
      <c r="M354" s="845"/>
      <c r="N354" s="845"/>
      <c r="O354" s="48">
        <f>IF(t&lt;Tnet,'2022'!Resal+('2022'!Salim-'2022'!Resal)*(1-EXP(('2022'!Tnet-t)/('2022'!Tau_j))),Resal+(Salim-Resal)*(1-EXP((Tnet-t)/(Tau_j))))*Salcycl</f>
        <v>6.7206529651660463E-2</v>
      </c>
      <c r="P354" s="169">
        <f>(INDEX(Models!$BJ354:$BT354,,T354)*(1-R354)+INDEX(Models!$BJ354:$BT354,,T354+1)*R354-ERP_i)*Q354*Ramure*Pc/MaxiM</f>
        <v>6.3533539995782684E-4</v>
      </c>
      <c r="Q354" s="305">
        <f t="shared" si="130"/>
        <v>0.5</v>
      </c>
      <c r="R354" s="177">
        <f t="shared" si="131"/>
        <v>0.99723485728762706</v>
      </c>
      <c r="S354" s="811">
        <f t="shared" si="132"/>
        <v>0</v>
      </c>
      <c r="T354" s="176">
        <f t="shared" si="133"/>
        <v>6</v>
      </c>
      <c r="U354" s="251">
        <f t="shared" si="134"/>
        <v>0.99723485728762706</v>
      </c>
      <c r="V354" s="383">
        <f t="shared" si="135"/>
        <v>22.820258967499434</v>
      </c>
      <c r="W354" s="402">
        <f t="shared" si="136"/>
        <v>10.575462369952561</v>
      </c>
      <c r="X354" s="157">
        <f t="shared" si="137"/>
        <v>45266</v>
      </c>
      <c r="Y354" s="385">
        <f t="shared" si="138"/>
        <v>10.331525323085854</v>
      </c>
      <c r="Z354" s="385">
        <f t="shared" si="139"/>
        <v>10.795818292509669</v>
      </c>
      <c r="AA354" s="386">
        <f t="shared" si="140"/>
        <v>11.846907257720973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8.8722646539355687E-2</v>
      </c>
      <c r="AD354" s="231">
        <f>(INDEX(Models!$BJ354:$BT354,,AH354)*(1-AF354)+INDEX(Models!$BJ354:$BT354,,AH354+1)*AF354-ERP_i)*AE354*Ramure*Pc/MaxiM</f>
        <v>6.3533539995782684E-4</v>
      </c>
      <c r="AE354" s="305">
        <f t="shared" si="142"/>
        <v>0.5</v>
      </c>
      <c r="AF354" s="177">
        <f t="shared" si="143"/>
        <v>0.99723485728762706</v>
      </c>
      <c r="AG354" s="811">
        <f t="shared" si="149"/>
        <v>0</v>
      </c>
      <c r="AH354" s="176">
        <f t="shared" si="144"/>
        <v>6</v>
      </c>
      <c r="AI354" s="225">
        <f t="shared" si="145"/>
        <v>0.99723485728762706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411">
        <f>'2022'!Wh/'2022'!Env_an*'2023'!Env_an</f>
        <v>19.189295733185308</v>
      </c>
      <c r="C355" s="841"/>
      <c r="D355" s="393">
        <f t="shared" si="127"/>
        <v>20.052091142797572</v>
      </c>
      <c r="E355" s="385">
        <f t="shared" si="125"/>
        <v>21.497318421914553</v>
      </c>
      <c r="F355" s="385">
        <f t="shared" si="128"/>
        <v>21.508025754889633</v>
      </c>
      <c r="G355" s="110">
        <f t="shared" si="126"/>
        <v>0.84601400109445302</v>
      </c>
      <c r="H355" s="414" t="b">
        <f>Wh_hp&gt;='2022'!Maxi_hp</f>
        <v>0</v>
      </c>
      <c r="I355" s="390">
        <f>IF(H355,Wh_hp,'2022'!Maxi_hp)</f>
        <v>21.50868791118263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4.3027702371189691E-2</v>
      </c>
      <c r="M355" s="845"/>
      <c r="N355" s="845"/>
      <c r="O355" s="48">
        <f>IF(t&lt;Tnet,'2022'!Resal+('2022'!Salim-'2022'!Resal)*(1-EXP(('2022'!Tnet-t)/('2022'!Tau_j))),Resal+(Salim-Resal)*(1-EXP((Tnet-t)/(Tau_j))))*Salcycl</f>
        <v>6.7228258462399798E-2</v>
      </c>
      <c r="P355" s="169">
        <f>(INDEX(Models!$BJ355:$BT355,,T355)*(1-R355)+INDEX(Models!$BJ355:$BT355,,T355+1)*R355-ERP_i)*Q355*Ramure*Pc/MaxiM</f>
        <v>6.3808801868175502E-4</v>
      </c>
      <c r="Q355" s="305">
        <f t="shared" si="130"/>
        <v>0.5</v>
      </c>
      <c r="R355" s="177">
        <f t="shared" si="131"/>
        <v>0.9972477201619121</v>
      </c>
      <c r="S355" s="811">
        <f t="shared" si="132"/>
        <v>0</v>
      </c>
      <c r="T355" s="176">
        <f t="shared" si="133"/>
        <v>6</v>
      </c>
      <c r="U355" s="251">
        <f t="shared" si="134"/>
        <v>0.9972477201619121</v>
      </c>
      <c r="V355" s="383">
        <f t="shared" si="135"/>
        <v>22.678824355778971</v>
      </c>
      <c r="W355" s="402">
        <f t="shared" si="136"/>
        <v>19.189295733185308</v>
      </c>
      <c r="X355" s="157">
        <f t="shared" si="137"/>
        <v>45267</v>
      </c>
      <c r="Y355" s="385">
        <f t="shared" si="138"/>
        <v>18.747179473210331</v>
      </c>
      <c r="Z355" s="385">
        <f t="shared" si="139"/>
        <v>19.590096306509775</v>
      </c>
      <c r="AA355" s="386">
        <f t="shared" si="140"/>
        <v>21.497318421914553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8.8719070814922626E-2</v>
      </c>
      <c r="AD355" s="231">
        <f>(INDEX(Models!$BJ355:$BT355,,AH355)*(1-AF355)+INDEX(Models!$BJ355:$BT355,,AH355+1)*AF355-ERP_i)*AE355*Ramure*Pc/MaxiM</f>
        <v>6.3808801868175502E-4</v>
      </c>
      <c r="AE355" s="305">
        <f t="shared" si="142"/>
        <v>0.5</v>
      </c>
      <c r="AF355" s="177">
        <f t="shared" si="143"/>
        <v>0.9972477201619121</v>
      </c>
      <c r="AG355" s="811">
        <f t="shared" si="149"/>
        <v>0</v>
      </c>
      <c r="AH355" s="176">
        <f t="shared" si="144"/>
        <v>6</v>
      </c>
      <c r="AI355" s="225">
        <f t="shared" si="145"/>
        <v>0.9972477201619121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411">
        <f>'2022'!Wh/'2022'!Env_an*'2023'!Env_an</f>
        <v>3.9616534403456085</v>
      </c>
      <c r="C356" s="841"/>
      <c r="D356" s="393">
        <f t="shared" si="127"/>
        <v>4.1398692756730977</v>
      </c>
      <c r="E356" s="385">
        <f t="shared" si="125"/>
        <v>4.4383528883867429</v>
      </c>
      <c r="F356" s="385">
        <f t="shared" si="128"/>
        <v>4.4383528883867429</v>
      </c>
      <c r="G356" s="110">
        <f t="shared" si="126"/>
        <v>0.17557132840483961</v>
      </c>
      <c r="H356" s="414" t="b">
        <f>Wh_hp&gt;='2022'!Maxi_hp</f>
        <v>0</v>
      </c>
      <c r="I356" s="390">
        <f>IF(H356,Wh_hp,'2022'!Maxi_hp)</f>
        <v>16.757981515209075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4.3048662520512426E-2</v>
      </c>
      <c r="M356" s="845"/>
      <c r="N356" s="845"/>
      <c r="O356" s="48">
        <f>IF(t&lt;Tnet,'2022'!Resal+('2022'!Salim-'2022'!Resal)*(1-EXP(('2022'!Tnet-t)/('2022'!Tau_j))),Resal+(Salim-Resal)*(1-EXP((Tnet-t)/(Tau_j))))*Salcycl</f>
        <v>6.7250987071047943E-2</v>
      </c>
      <c r="P356" s="169">
        <f>(INDEX(Models!$BJ356:$BT356,,T356)*(1-R356)+INDEX(Models!$BJ356:$BT356,,T356+1)*R356-ERP_i)*Q356*Ramure*Pc/MaxiM</f>
        <v>6.4035888693465609E-4</v>
      </c>
      <c r="Q356" s="305">
        <f t="shared" si="130"/>
        <v>0.5</v>
      </c>
      <c r="R356" s="177">
        <f t="shared" si="131"/>
        <v>0.99726006576124604</v>
      </c>
      <c r="S356" s="811">
        <f t="shared" si="132"/>
        <v>0</v>
      </c>
      <c r="T356" s="176">
        <f t="shared" si="133"/>
        <v>6</v>
      </c>
      <c r="U356" s="251">
        <f t="shared" si="134"/>
        <v>0.99726006576124604</v>
      </c>
      <c r="V356" s="383">
        <f t="shared" si="135"/>
        <v>22.549903770329934</v>
      </c>
      <c r="W356" s="402">
        <f t="shared" si="136"/>
        <v>3.9616534403456085</v>
      </c>
      <c r="X356" s="157">
        <f t="shared" si="137"/>
        <v>45268</v>
      </c>
      <c r="Y356" s="385">
        <f t="shared" si="138"/>
        <v>3.8704816998568763</v>
      </c>
      <c r="Z356" s="385">
        <f t="shared" si="139"/>
        <v>4.0445961547546725</v>
      </c>
      <c r="AA356" s="386">
        <f t="shared" si="140"/>
        <v>4.4383528883867429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8.8716860406112041E-2</v>
      </c>
      <c r="AD356" s="231">
        <f>(INDEX(Models!$BJ356:$BT356,,AH356)*(1-AF356)+INDEX(Models!$BJ356:$BT356,,AH356+1)*AF356-ERP_i)*AE356*Ramure*Pc/MaxiM</f>
        <v>6.4035888693465609E-4</v>
      </c>
      <c r="AE356" s="305">
        <f t="shared" si="142"/>
        <v>0.5</v>
      </c>
      <c r="AF356" s="177">
        <f t="shared" si="143"/>
        <v>0.99726006576124604</v>
      </c>
      <c r="AG356" s="811">
        <f t="shared" si="149"/>
        <v>0</v>
      </c>
      <c r="AH356" s="176">
        <f t="shared" si="144"/>
        <v>6</v>
      </c>
      <c r="AI356" s="225">
        <f t="shared" si="145"/>
        <v>0.99726006576124604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411">
        <f>'2022'!Wh/'2022'!Env_an*'2023'!Env_an</f>
        <v>4.7934696170739546</v>
      </c>
      <c r="C357" s="841"/>
      <c r="D357" s="393">
        <f t="shared" si="127"/>
        <v>5.0092145973546129</v>
      </c>
      <c r="E357" s="385">
        <f t="shared" si="125"/>
        <v>5.3705142461819673</v>
      </c>
      <c r="F357" s="385">
        <f t="shared" si="128"/>
        <v>5.3705142461819673</v>
      </c>
      <c r="G357" s="110">
        <f t="shared" si="126"/>
        <v>0.21352468417062465</v>
      </c>
      <c r="H357" s="414" t="b">
        <f>Wh_hp&gt;='2022'!Maxi_hp</f>
        <v>0</v>
      </c>
      <c r="I357" s="390">
        <f>IF(H357,Wh_hp,'2022'!Maxi_hp)</f>
        <v>11.880379374635188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4.3069622210754166E-2</v>
      </c>
      <c r="M357" s="845"/>
      <c r="N357" s="845"/>
      <c r="O357" s="48">
        <f>IF(t&lt;Tnet,'2022'!Resal+('2022'!Salim-'2022'!Resal)*(1-EXP(('2022'!Tnet-t)/('2022'!Tau_j))),Resal+(Salim-Resal)*(1-EXP((Tnet-t)/(Tau_j))))*Salcycl</f>
        <v>6.7274683999620888E-2</v>
      </c>
      <c r="P357" s="169">
        <f>(INDEX(Models!$BJ357:$BT357,,T357)*(1-R357)+INDEX(Models!$BJ357:$BT357,,T357+1)*R357-ERP_i)*Q357*Ramure*Pc/MaxiM</f>
        <v>6.4209794508835773E-4</v>
      </c>
      <c r="Q357" s="305">
        <f t="shared" si="130"/>
        <v>0.5</v>
      </c>
      <c r="R357" s="177">
        <f t="shared" si="131"/>
        <v>0.99727191486360622</v>
      </c>
      <c r="S357" s="811">
        <f t="shared" si="132"/>
        <v>0</v>
      </c>
      <c r="T357" s="176">
        <f t="shared" si="133"/>
        <v>6</v>
      </c>
      <c r="U357" s="251">
        <f t="shared" si="134"/>
        <v>0.99727191486360622</v>
      </c>
      <c r="V357" s="383">
        <f t="shared" si="135"/>
        <v>22.434838195358491</v>
      </c>
      <c r="W357" s="402">
        <f t="shared" si="136"/>
        <v>4.7934696170739546</v>
      </c>
      <c r="X357" s="157">
        <f t="shared" si="137"/>
        <v>45269</v>
      </c>
      <c r="Y357" s="385">
        <f t="shared" si="138"/>
        <v>4.6832783721735396</v>
      </c>
      <c r="Z357" s="385">
        <f t="shared" si="139"/>
        <v>4.8940638534154512</v>
      </c>
      <c r="AA357" s="386">
        <f t="shared" si="140"/>
        <v>5.3705142461819673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8.8715972237712035E-2</v>
      </c>
      <c r="AD357" s="231">
        <f>(INDEX(Models!$BJ357:$BT357,,AH357)*(1-AF357)+INDEX(Models!$BJ357:$BT357,,AH357+1)*AF357-ERP_i)*AE357*Ramure*Pc/MaxiM</f>
        <v>6.4209794508835773E-4</v>
      </c>
      <c r="AE357" s="305">
        <f t="shared" si="142"/>
        <v>0.5</v>
      </c>
      <c r="AF357" s="177">
        <f t="shared" si="143"/>
        <v>0.99727191486360622</v>
      </c>
      <c r="AG357" s="811">
        <f t="shared" si="149"/>
        <v>0</v>
      </c>
      <c r="AH357" s="176">
        <f t="shared" si="144"/>
        <v>6</v>
      </c>
      <c r="AI357" s="225">
        <f t="shared" si="145"/>
        <v>0.99727191486360622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411">
        <f>'2022'!Wh/'2022'!Env_an*'2023'!Env_an</f>
        <v>11.283780465196084</v>
      </c>
      <c r="C358" s="841"/>
      <c r="D358" s="393">
        <f t="shared" si="127"/>
        <v>11.791900305672733</v>
      </c>
      <c r="E358" s="385">
        <f t="shared" si="125"/>
        <v>12.64274863588922</v>
      </c>
      <c r="F358" s="385">
        <f t="shared" si="128"/>
        <v>12.645133153228395</v>
      </c>
      <c r="G358" s="110">
        <f t="shared" si="126"/>
        <v>0.5049771635880751</v>
      </c>
      <c r="H358" s="414" t="b">
        <f>Wh_hp&gt;='2022'!Maxi_hp</f>
        <v>0</v>
      </c>
      <c r="I358" s="390">
        <f>IF(H358,Wh_hp,'2022'!Maxi_hp)</f>
        <v>21.95872257479607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4.3090581441924791E-2</v>
      </c>
      <c r="M358" s="845"/>
      <c r="N358" s="845"/>
      <c r="O358" s="48">
        <f>IF(t&lt;Tnet,'2022'!Resal+('2022'!Salim-'2022'!Resal)*(1-EXP(('2022'!Tnet-t)/('2022'!Tau_j))),Resal+(Salim-Resal)*(1-EXP((Tnet-t)/(Tau_j))))*Salcycl</f>
        <v>6.7299315577719079E-2</v>
      </c>
      <c r="P358" s="169">
        <f>(INDEX(Models!$BJ358:$BT358,,T358)*(1-R358)+INDEX(Models!$BJ358:$BT358,,T358+1)*R358-ERP_i)*Q358*Ramure*Pc/MaxiM</f>
        <v>6.4325493186638051E-4</v>
      </c>
      <c r="Q358" s="305">
        <f t="shared" si="130"/>
        <v>0.5</v>
      </c>
      <c r="R358" s="177">
        <f t="shared" si="131"/>
        <v>0.99728328741425076</v>
      </c>
      <c r="S358" s="811">
        <f t="shared" si="132"/>
        <v>0</v>
      </c>
      <c r="T358" s="176">
        <f t="shared" si="133"/>
        <v>6</v>
      </c>
      <c r="U358" s="251">
        <f t="shared" si="134"/>
        <v>0.99728328741425076</v>
      </c>
      <c r="V358" s="383">
        <f t="shared" si="135"/>
        <v>22.334968326844262</v>
      </c>
      <c r="W358" s="402">
        <f t="shared" si="136"/>
        <v>11.283780465196084</v>
      </c>
      <c r="X358" s="157">
        <f t="shared" si="137"/>
        <v>45270</v>
      </c>
      <c r="Y358" s="385">
        <f t="shared" si="138"/>
        <v>11.024677801129055</v>
      </c>
      <c r="Z358" s="385">
        <f t="shared" si="139"/>
        <v>11.521129991323168</v>
      </c>
      <c r="AA358" s="386">
        <f t="shared" si="140"/>
        <v>12.64274863588922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8.8716360410907122E-2</v>
      </c>
      <c r="AD358" s="231">
        <f>(INDEX(Models!$BJ358:$BT358,,AH358)*(1-AF358)+INDEX(Models!$BJ358:$BT358,,AH358+1)*AF358-ERP_i)*AE358*Ramure*Pc/MaxiM</f>
        <v>6.4325493186638051E-4</v>
      </c>
      <c r="AE358" s="305">
        <f t="shared" si="142"/>
        <v>0.5</v>
      </c>
      <c r="AF358" s="177">
        <f t="shared" si="143"/>
        <v>0.99728328741425076</v>
      </c>
      <c r="AG358" s="811">
        <f t="shared" si="149"/>
        <v>0</v>
      </c>
      <c r="AH358" s="176">
        <f t="shared" si="144"/>
        <v>6</v>
      </c>
      <c r="AI358" s="225">
        <f t="shared" si="145"/>
        <v>0.99728328741425076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411">
        <f>'2022'!Wh/'2022'!Env_an*'2023'!Env_an</f>
        <v>15.764248608499091</v>
      </c>
      <c r="C359" s="841"/>
      <c r="D359" s="393">
        <f t="shared" si="127"/>
        <v>16.474489212698</v>
      </c>
      <c r="E359" s="385">
        <f t="shared" si="125"/>
        <v>17.663694744878619</v>
      </c>
      <c r="F359" s="385">
        <f t="shared" si="128"/>
        <v>17.67033573369147</v>
      </c>
      <c r="G359" s="110">
        <f t="shared" si="126"/>
        <v>0.70838631818431408</v>
      </c>
      <c r="H359" s="414" t="b">
        <f>Wh_hp&gt;='2022'!Maxi_hp</f>
        <v>0</v>
      </c>
      <c r="I359" s="390">
        <f>IF(H359,Wh_hp,'2022'!Maxi_hp)</f>
        <v>18.260406248134906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4.3111540214034516E-2</v>
      </c>
      <c r="M359" s="845"/>
      <c r="N359" s="845"/>
      <c r="O359" s="48">
        <f>IF(t&lt;Tnet,'2022'!Resal+('2022'!Salim-'2022'!Resal)*(1-EXP(('2022'!Tnet-t)/('2022'!Tau_j))),Resal+(Salim-Resal)*(1-EXP((Tnet-t)/(Tau_j))))*Salcycl</f>
        <v>6.7324846208940289E-2</v>
      </c>
      <c r="P359" s="169">
        <f>(INDEX(Models!$BJ359:$BT359,,T359)*(1-R359)+INDEX(Models!$BJ359:$BT359,,T359+1)*R359-ERP_i)*Q359*Ramure*Pc/MaxiM</f>
        <v>6.438916309390837E-4</v>
      </c>
      <c r="Q359" s="305">
        <f t="shared" si="130"/>
        <v>0.5</v>
      </c>
      <c r="R359" s="177">
        <f t="shared" si="131"/>
        <v>0.99729420255894197</v>
      </c>
      <c r="S359" s="811">
        <f t="shared" si="132"/>
        <v>0</v>
      </c>
      <c r="T359" s="176">
        <f t="shared" si="133"/>
        <v>6</v>
      </c>
      <c r="U359" s="251">
        <f t="shared" si="134"/>
        <v>0.99729420255894197</v>
      </c>
      <c r="V359" s="383">
        <f t="shared" si="135"/>
        <v>22.247777487038373</v>
      </c>
      <c r="W359" s="402">
        <f t="shared" si="136"/>
        <v>15.764248608499091</v>
      </c>
      <c r="X359" s="157">
        <f t="shared" si="137"/>
        <v>45271</v>
      </c>
      <c r="Y359" s="385">
        <f t="shared" si="138"/>
        <v>15.402657947500975</v>
      </c>
      <c r="Z359" s="385">
        <f t="shared" si="139"/>
        <v>16.096607488553268</v>
      </c>
      <c r="AA359" s="386">
        <f t="shared" si="140"/>
        <v>17.663694744878619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8.8717976559219577E-2</v>
      </c>
      <c r="AD359" s="231">
        <f>(INDEX(Models!$BJ359:$BT359,,AH359)*(1-AF359)+INDEX(Models!$BJ359:$BT359,,AH359+1)*AF359-ERP_i)*AE359*Ramure*Pc/MaxiM</f>
        <v>6.438916309390837E-4</v>
      </c>
      <c r="AE359" s="305">
        <f t="shared" si="142"/>
        <v>0.5</v>
      </c>
      <c r="AF359" s="177">
        <f t="shared" si="143"/>
        <v>0.99729420255894197</v>
      </c>
      <c r="AG359" s="811">
        <f t="shared" si="149"/>
        <v>0</v>
      </c>
      <c r="AH359" s="176">
        <f t="shared" si="144"/>
        <v>6</v>
      </c>
      <c r="AI359" s="225">
        <f t="shared" si="145"/>
        <v>0.99729420255894197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411">
        <f>'2022'!Wh/'2022'!Env_an*'2023'!Env_an</f>
        <v>5.490277647008738</v>
      </c>
      <c r="C360" s="841"/>
      <c r="D360" s="393">
        <f t="shared" si="127"/>
        <v>5.7377616426073104</v>
      </c>
      <c r="E360" s="385">
        <f t="shared" si="125"/>
        <v>6.152114150946157</v>
      </c>
      <c r="F360" s="385">
        <f t="shared" si="128"/>
        <v>6.152114150946157</v>
      </c>
      <c r="G360" s="110">
        <f t="shared" si="126"/>
        <v>0.24748483928583484</v>
      </c>
      <c r="H360" s="414" t="b">
        <f>Wh_hp&gt;='2022'!Maxi_hp</f>
        <v>0</v>
      </c>
      <c r="I360" s="390">
        <f>IF(H360,Wh_hp,'2022'!Maxi_hp)</f>
        <v>23.792403120855759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4.3132498527093333E-2</v>
      </c>
      <c r="M360" s="845"/>
      <c r="N360" s="845"/>
      <c r="O360" s="48">
        <f>IF(t&lt;Tnet,'2022'!Resal+('2022'!Salim-'2022'!Resal)*(1-EXP(('2022'!Tnet-t)/('2022'!Tau_j))),Resal+(Salim-Resal)*(1-EXP((Tnet-t)/(Tau_j))))*Salcycl</f>
        <v>6.7351238642917782E-2</v>
      </c>
      <c r="P360" s="169">
        <f>(INDEX(Models!$BJ360:$BT360,,T360)*(1-R360)+INDEX(Models!$BJ360:$BT360,,T360+1)*R360-ERP_i)*Q360*Ramure*Pc/MaxiM</f>
        <v>6.4409400035365201E-4</v>
      </c>
      <c r="Q360" s="305">
        <f t="shared" si="130"/>
        <v>0.5</v>
      </c>
      <c r="R360" s="177">
        <f t="shared" si="131"/>
        <v>0.99730467867585681</v>
      </c>
      <c r="S360" s="811">
        <f t="shared" si="132"/>
        <v>0</v>
      </c>
      <c r="T360" s="176">
        <f t="shared" si="133"/>
        <v>6</v>
      </c>
      <c r="U360" s="251">
        <f t="shared" si="134"/>
        <v>0.99730467867585681</v>
      </c>
      <c r="V360" s="383">
        <f t="shared" si="135"/>
        <v>22.170010122434462</v>
      </c>
      <c r="W360" s="402">
        <f t="shared" si="136"/>
        <v>5.490277647008738</v>
      </c>
      <c r="X360" s="157">
        <f t="shared" si="137"/>
        <v>45272</v>
      </c>
      <c r="Y360" s="385">
        <f t="shared" si="138"/>
        <v>5.364480384033806</v>
      </c>
      <c r="Z360" s="385">
        <f t="shared" si="139"/>
        <v>5.6062938450477819</v>
      </c>
      <c r="AA360" s="386">
        <f t="shared" si="140"/>
        <v>6.152114150946157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8.872077021107147E-2</v>
      </c>
      <c r="AD360" s="231">
        <f>(INDEX(Models!$BJ360:$BT360,,AH360)*(1-AF360)+INDEX(Models!$BJ360:$BT360,,AH360+1)*AF360-ERP_i)*AE360*Ramure*Pc/MaxiM</f>
        <v>6.4409400035365201E-4</v>
      </c>
      <c r="AE360" s="305">
        <f t="shared" si="142"/>
        <v>0.5</v>
      </c>
      <c r="AF360" s="177">
        <f t="shared" si="143"/>
        <v>0.99730467867585681</v>
      </c>
      <c r="AG360" s="811">
        <f t="shared" si="149"/>
        <v>0</v>
      </c>
      <c r="AH360" s="176">
        <f t="shared" si="144"/>
        <v>6</v>
      </c>
      <c r="AI360" s="225">
        <f t="shared" si="145"/>
        <v>0.99730467867585681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411">
        <f>'2022'!Wh/'2022'!Env_an*'2023'!Env_an</f>
        <v>5.2118708673038965</v>
      </c>
      <c r="C361" s="841"/>
      <c r="D361" s="393">
        <f t="shared" si="127"/>
        <v>5.4469244855001335</v>
      </c>
      <c r="E361" s="385">
        <f t="shared" ref="E361:E379" si="150">Wh_pvt/(1-Psa)</f>
        <v>5.8404446158539187</v>
      </c>
      <c r="F361" s="385">
        <f t="shared" si="128"/>
        <v>5.8404446158539187</v>
      </c>
      <c r="G361" s="110">
        <f t="shared" ref="G361:G379" si="151">+Wh_hp/MaxiM</f>
        <v>0.23565917876321291</v>
      </c>
      <c r="H361" s="414" t="b">
        <f>Wh_hp&gt;='2022'!Maxi_hp</f>
        <v>0</v>
      </c>
      <c r="I361" s="390">
        <f>IF(H361,Wh_hp,'2022'!Maxi_hp)</f>
        <v>25.480851358483925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4.3153456381111233E-2</v>
      </c>
      <c r="M361" s="845"/>
      <c r="N361" s="845"/>
      <c r="O361" s="48">
        <f>IF(t&lt;Tnet,'2022'!Resal+('2022'!Salim-'2022'!Resal)*(1-EXP(('2022'!Tnet-t)/('2022'!Tau_j))),Resal+(Salim-Resal)*(1-EXP((Tnet-t)/(Tau_j))))*Salcycl</f>
        <v>6.7378454250824088E-2</v>
      </c>
      <c r="P361" s="169">
        <f>(INDEX(Models!$BJ361:$BT361,,T361)*(1-R361)+INDEX(Models!$BJ361:$BT361,,T361+1)*R361-ERP_i)*Q361*Ramure*Pc/MaxiM</f>
        <v>6.4428736211354217E-4</v>
      </c>
      <c r="Q361" s="305">
        <f t="shared" si="130"/>
        <v>0.5</v>
      </c>
      <c r="R361" s="177">
        <f t="shared" si="131"/>
        <v>0.99731473340623267</v>
      </c>
      <c r="S361" s="811">
        <f t="shared" si="132"/>
        <v>0</v>
      </c>
      <c r="T361" s="176">
        <f t="shared" si="133"/>
        <v>6</v>
      </c>
      <c r="U361" s="251">
        <f t="shared" si="134"/>
        <v>0.99731473340623267</v>
      </c>
      <c r="V361" s="383">
        <f t="shared" si="135"/>
        <v>22.101888634707361</v>
      </c>
      <c r="W361" s="402">
        <f t="shared" si="136"/>
        <v>5.2118708673038965</v>
      </c>
      <c r="X361" s="157">
        <f t="shared" si="137"/>
        <v>45273</v>
      </c>
      <c r="Y361" s="385">
        <f t="shared" si="138"/>
        <v>5.0925793708372176</v>
      </c>
      <c r="Z361" s="385">
        <f t="shared" si="139"/>
        <v>5.3222529827788021</v>
      </c>
      <c r="AA361" s="386">
        <f t="shared" si="140"/>
        <v>5.8404446158539187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8.8724689156110315E-2</v>
      </c>
      <c r="AD361" s="231">
        <f>(INDEX(Models!$BJ361:$BT361,,AH361)*(1-AF361)+INDEX(Models!$BJ361:$BT361,,AH361+1)*AF361-ERP_i)*AE361*Ramure*Pc/MaxiM</f>
        <v>6.4428736211354217E-4</v>
      </c>
      <c r="AE361" s="305">
        <f t="shared" si="142"/>
        <v>0.5</v>
      </c>
      <c r="AF361" s="177">
        <f t="shared" si="143"/>
        <v>0.99731473340623267</v>
      </c>
      <c r="AG361" s="811">
        <f t="shared" si="149"/>
        <v>0</v>
      </c>
      <c r="AH361" s="176">
        <f t="shared" si="144"/>
        <v>6</v>
      </c>
      <c r="AI361" s="225">
        <f t="shared" si="145"/>
        <v>0.99731473340623267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411">
        <f>'2022'!Wh/'2022'!Env_an*'2023'!Env_an</f>
        <v>16.538005180260292</v>
      </c>
      <c r="C362" s="841"/>
      <c r="D362" s="393">
        <f t="shared" si="127"/>
        <v>17.284242205026406</v>
      </c>
      <c r="E362" s="385">
        <f t="shared" si="150"/>
        <v>18.53352113171643</v>
      </c>
      <c r="F362" s="385">
        <f t="shared" si="128"/>
        <v>18.541206751069833</v>
      </c>
      <c r="G362" s="110">
        <f t="shared" si="151"/>
        <v>0.75006654741057366</v>
      </c>
      <c r="H362" s="414" t="b">
        <f>Wh_hp&gt;='2022'!Maxi_hp</f>
        <v>0</v>
      </c>
      <c r="I362" s="390">
        <f>IF(H362,Wh_hp,'2022'!Maxi_hp)</f>
        <v>22.845836803064749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4.317441377609843E-2</v>
      </c>
      <c r="M362" s="845"/>
      <c r="N362" s="845"/>
      <c r="O362" s="48">
        <f>IF(t&lt;Tnet,'2022'!Resal+('2022'!Salim-'2022'!Resal)*(1-EXP(('2022'!Tnet-t)/('2022'!Tau_j))),Resal+(Salim-Resal)*(1-EXP((Tnet-t)/(Tau_j))))*Salcycl</f>
        <v>6.7406453302180855E-2</v>
      </c>
      <c r="P362" s="169">
        <f>(INDEX(Models!$BJ362:$BT362,,T362)*(1-R362)+INDEX(Models!$BJ362:$BT362,,T362+1)*R362-ERP_i)*Q362*Ramure*Pc/MaxiM</f>
        <v>6.4445956852386471E-4</v>
      </c>
      <c r="Q362" s="305">
        <f t="shared" si="130"/>
        <v>0.5</v>
      </c>
      <c r="R362" s="177">
        <f t="shared" si="131"/>
        <v>0.99732438368380194</v>
      </c>
      <c r="S362" s="811">
        <f t="shared" si="132"/>
        <v>0</v>
      </c>
      <c r="T362" s="176">
        <f t="shared" si="133"/>
        <v>6</v>
      </c>
      <c r="U362" s="251">
        <f t="shared" si="134"/>
        <v>0.99732438368380194</v>
      </c>
      <c r="V362" s="383">
        <f t="shared" si="135"/>
        <v>22.04364512154309</v>
      </c>
      <c r="W362" s="402">
        <f t="shared" si="136"/>
        <v>16.538005180260292</v>
      </c>
      <c r="X362" s="157">
        <f t="shared" si="137"/>
        <v>45274</v>
      </c>
      <c r="Y362" s="385">
        <f t="shared" si="138"/>
        <v>16.159873000667847</v>
      </c>
      <c r="Z362" s="385">
        <f t="shared" si="139"/>
        <v>16.889047735901958</v>
      </c>
      <c r="AA362" s="386">
        <f t="shared" si="140"/>
        <v>18.53352113171643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8.8729679812449808E-2</v>
      </c>
      <c r="AD362" s="231">
        <f>(INDEX(Models!$BJ362:$BT362,,AH362)*(1-AF362)+INDEX(Models!$BJ362:$BT362,,AH362+1)*AF362-ERP_i)*AE362*Ramure*Pc/MaxiM</f>
        <v>6.4445956852386471E-4</v>
      </c>
      <c r="AE362" s="305">
        <f t="shared" si="142"/>
        <v>0.5</v>
      </c>
      <c r="AF362" s="177">
        <f t="shared" si="143"/>
        <v>0.99732438368380194</v>
      </c>
      <c r="AG362" s="811">
        <f t="shared" si="149"/>
        <v>0</v>
      </c>
      <c r="AH362" s="176">
        <f t="shared" si="144"/>
        <v>6</v>
      </c>
      <c r="AI362" s="225">
        <f t="shared" si="145"/>
        <v>0.99732438368380194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411">
        <f>'2022'!Wh/'2022'!Env_an*'2023'!Env_an</f>
        <v>5.4858747033860711</v>
      </c>
      <c r="C363" s="841"/>
      <c r="D363" s="393">
        <f t="shared" si="127"/>
        <v>5.7335369577681927</v>
      </c>
      <c r="E363" s="385">
        <f t="shared" si="150"/>
        <v>6.1481378328971745</v>
      </c>
      <c r="F363" s="385">
        <f t="shared" si="128"/>
        <v>6.1481378328971745</v>
      </c>
      <c r="G363" s="110">
        <f t="shared" si="151"/>
        <v>0.24924805663176586</v>
      </c>
      <c r="H363" s="414" t="b">
        <f>Wh_hp&gt;='2022'!Maxi_hp</f>
        <v>0</v>
      </c>
      <c r="I363" s="390">
        <f>IF(H363,Wh_hp,'2022'!Maxi_hp)</f>
        <v>25.557265904120406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4.3195370712064918E-2</v>
      </c>
      <c r="M363" s="845"/>
      <c r="N363" s="845"/>
      <c r="O363" s="48">
        <f>IF(t&lt;Tnet,'2022'!Resal+('2022'!Salim-'2022'!Resal)*(1-EXP(('2022'!Tnet-t)/('2022'!Tau_j))),Resal+(Salim-Resal)*(1-EXP((Tnet-t)/(Tau_j))))*Salcycl</f>
        <v>6.7435195240834425E-2</v>
      </c>
      <c r="P363" s="169">
        <f>(INDEX(Models!$BJ363:$BT363,,T363)*(1-R363)+INDEX(Models!$BJ363:$BT363,,T363+1)*R363-ERP_i)*Q363*Ramure*Pc/MaxiM</f>
        <v>6.4459845403314108E-4</v>
      </c>
      <c r="Q363" s="305">
        <f t="shared" si="130"/>
        <v>0.5</v>
      </c>
      <c r="R363" s="177">
        <f t="shared" si="131"/>
        <v>0.9973336457630585</v>
      </c>
      <c r="S363" s="811">
        <f t="shared" si="132"/>
        <v>0</v>
      </c>
      <c r="T363" s="176">
        <f t="shared" si="133"/>
        <v>6</v>
      </c>
      <c r="U363" s="251">
        <f t="shared" si="134"/>
        <v>0.9973336457630585</v>
      </c>
      <c r="V363" s="383">
        <f t="shared" si="135"/>
        <v>21.995511584400223</v>
      </c>
      <c r="W363" s="402">
        <f t="shared" si="136"/>
        <v>5.4858747033860711</v>
      </c>
      <c r="X363" s="157">
        <f t="shared" si="137"/>
        <v>45275</v>
      </c>
      <c r="Y363" s="385">
        <f t="shared" si="138"/>
        <v>5.3605731355350672</v>
      </c>
      <c r="Z363" s="385">
        <f t="shared" si="139"/>
        <v>5.6025785948845863</v>
      </c>
      <c r="AA363" s="386">
        <f t="shared" si="140"/>
        <v>6.1481378328971745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8.8735687592011239E-2</v>
      </c>
      <c r="AD363" s="231">
        <f>(INDEX(Models!$BJ363:$BT363,,AH363)*(1-AF363)+INDEX(Models!$BJ363:$BT363,,AH363+1)*AF363-ERP_i)*AE363*Ramure*Pc/MaxiM</f>
        <v>6.4459845403314108E-4</v>
      </c>
      <c r="AE363" s="305">
        <f t="shared" si="142"/>
        <v>0.5</v>
      </c>
      <c r="AF363" s="177">
        <f t="shared" si="143"/>
        <v>0.9973336457630585</v>
      </c>
      <c r="AG363" s="811">
        <f t="shared" si="149"/>
        <v>0</v>
      </c>
      <c r="AH363" s="176">
        <f t="shared" si="144"/>
        <v>6</v>
      </c>
      <c r="AI363" s="225">
        <f t="shared" si="145"/>
        <v>0.9973336457630585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411">
        <f>'2022'!Wh/'2022'!Env_an*'2023'!Env_an</f>
        <v>4.6746179333959592</v>
      </c>
      <c r="C364" s="841"/>
      <c r="D364" s="393">
        <f t="shared" si="127"/>
        <v>4.8857626506754466</v>
      </c>
      <c r="E364" s="385">
        <f t="shared" si="150"/>
        <v>5.2392250790534591</v>
      </c>
      <c r="F364" s="385">
        <f t="shared" si="128"/>
        <v>5.2392250790534591</v>
      </c>
      <c r="G364" s="110">
        <f t="shared" si="151"/>
        <v>0.21275452362780101</v>
      </c>
      <c r="H364" s="414" t="b">
        <f>Wh_hp&gt;='2022'!Maxi_hp</f>
        <v>0</v>
      </c>
      <c r="I364" s="390">
        <f>IF(H364,Wh_hp,'2022'!Maxi_hp)</f>
        <v>25.18523938599883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4.3216327189020687E-2</v>
      </c>
      <c r="M364" s="845"/>
      <c r="N364" s="845"/>
      <c r="O364" s="48">
        <f>IF(t&lt;Tnet,'2022'!Resal+('2022'!Salim-'2022'!Resal)*(1-EXP(('2022'!Tnet-t)/('2022'!Tau_j))),Resal+(Salim-Resal)*(1-EXP((Tnet-t)/(Tau_j))))*Salcycl</f>
        <v>6.7464638957994663E-2</v>
      </c>
      <c r="P364" s="169">
        <f>(INDEX(Models!$BJ364:$BT364,,T364)*(1-R364)+INDEX(Models!$BJ364:$BT364,,T364+1)*R364-ERP_i)*Q364*Ramure*Pc/MaxiM</f>
        <v>6.4469191929941055E-4</v>
      </c>
      <c r="Q364" s="305">
        <f t="shared" si="130"/>
        <v>0.5</v>
      </c>
      <c r="R364" s="177">
        <f t="shared" si="131"/>
        <v>0.99734253524640371</v>
      </c>
      <c r="S364" s="811">
        <f t="shared" si="132"/>
        <v>0</v>
      </c>
      <c r="T364" s="176">
        <f t="shared" si="133"/>
        <v>6</v>
      </c>
      <c r="U364" s="251">
        <f t="shared" si="134"/>
        <v>0.99734253524640371</v>
      </c>
      <c r="V364" s="383">
        <f t="shared" si="135"/>
        <v>21.957719936245059</v>
      </c>
      <c r="W364" s="402">
        <f t="shared" si="136"/>
        <v>4.6746179333959592</v>
      </c>
      <c r="X364" s="157">
        <f t="shared" si="137"/>
        <v>45276</v>
      </c>
      <c r="Y364" s="385">
        <f t="shared" si="138"/>
        <v>4.5679553765614536</v>
      </c>
      <c r="Z364" s="385">
        <f t="shared" si="139"/>
        <v>4.7742823235486913</v>
      </c>
      <c r="AA364" s="386">
        <f t="shared" si="140"/>
        <v>5.2392250790534591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8.8742657261208197E-2</v>
      </c>
      <c r="AD364" s="231">
        <f>(INDEX(Models!$BJ364:$BT364,,AH364)*(1-AF364)+INDEX(Models!$BJ364:$BT364,,AH364+1)*AF364-ERP_i)*AE364*Ramure*Pc/MaxiM</f>
        <v>6.4469191929941055E-4</v>
      </c>
      <c r="AE364" s="305">
        <f t="shared" si="142"/>
        <v>0.5</v>
      </c>
      <c r="AF364" s="177">
        <f t="shared" si="143"/>
        <v>0.99734253524640371</v>
      </c>
      <c r="AG364" s="811">
        <f t="shared" si="149"/>
        <v>0</v>
      </c>
      <c r="AH364" s="176">
        <f t="shared" si="144"/>
        <v>6</v>
      </c>
      <c r="AI364" s="225">
        <f t="shared" si="145"/>
        <v>0.99734253524640371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411">
        <f>'2022'!Wh/'2022'!Env_an*'2023'!Env_an</f>
        <v>3.4161992002264641</v>
      </c>
      <c r="C365" s="841"/>
      <c r="D365" s="393">
        <f t="shared" si="127"/>
        <v>3.5705814412137964</v>
      </c>
      <c r="E365" s="385">
        <f t="shared" si="150"/>
        <v>3.8290201740328107</v>
      </c>
      <c r="F365" s="385">
        <f t="shared" si="128"/>
        <v>3.8290201740328107</v>
      </c>
      <c r="G365" s="110">
        <f t="shared" si="151"/>
        <v>0.15567343980054238</v>
      </c>
      <c r="H365" s="414" t="b">
        <f>Wh_hp&gt;='2022'!Maxi_hp</f>
        <v>0</v>
      </c>
      <c r="I365" s="390">
        <f>IF(H365,Wh_hp,'2022'!Maxi_hp)</f>
        <v>25.601732712427946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4.323728320697573E-2</v>
      </c>
      <c r="M365" s="845"/>
      <c r="N365" s="845"/>
      <c r="O365" s="48">
        <f>IF(t&lt;Tnet,'2022'!Resal+('2022'!Salim-'2022'!Resal)*(1-EXP(('2022'!Tnet-t)/('2022'!Tau_j))),Resal+(Salim-Resal)*(1-EXP((Tnet-t)/(Tau_j))))*Salcycl</f>
        <v>6.7494743060290838E-2</v>
      </c>
      <c r="P365" s="169">
        <f>(INDEX(Models!$BJ365:$BT365,,T365)*(1-R365)+INDEX(Models!$BJ365:$BT365,,T365+1)*R365-ERP_i)*Q365*Ramure*Pc/MaxiM</f>
        <v>6.4472801803552057E-4</v>
      </c>
      <c r="Q365" s="305">
        <f t="shared" si="130"/>
        <v>0.5</v>
      </c>
      <c r="R365" s="177">
        <f t="shared" si="131"/>
        <v>0.99735106711021615</v>
      </c>
      <c r="S365" s="811">
        <f t="shared" si="132"/>
        <v>0</v>
      </c>
      <c r="T365" s="176">
        <f t="shared" si="133"/>
        <v>6</v>
      </c>
      <c r="U365" s="251">
        <f t="shared" si="134"/>
        <v>0.99735106711021615</v>
      </c>
      <c r="V365" s="383">
        <f t="shared" si="135"/>
        <v>21.93050198711542</v>
      </c>
      <c r="W365" s="402">
        <f t="shared" si="136"/>
        <v>3.4161992002264641</v>
      </c>
      <c r="X365" s="157">
        <f t="shared" si="137"/>
        <v>45277</v>
      </c>
      <c r="Y365" s="385">
        <f t="shared" si="138"/>
        <v>3.3383293833463905</v>
      </c>
      <c r="Z365" s="385">
        <f t="shared" si="139"/>
        <v>3.4891925915927686</v>
      </c>
      <c r="AA365" s="386">
        <f t="shared" si="140"/>
        <v>3.8290201740328107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8.8750533294299161E-2</v>
      </c>
      <c r="AD365" s="231">
        <f>(INDEX(Models!$BJ365:$BT365,,AH365)*(1-AF365)+INDEX(Models!$BJ365:$BT365,,AH365+1)*AF365-ERP_i)*AE365*Ramure*Pc/MaxiM</f>
        <v>6.4472801803552057E-4</v>
      </c>
      <c r="AE365" s="305">
        <f t="shared" si="142"/>
        <v>0.5</v>
      </c>
      <c r="AF365" s="177">
        <f t="shared" si="143"/>
        <v>0.99735106711021615</v>
      </c>
      <c r="AG365" s="811">
        <f t="shared" si="149"/>
        <v>0</v>
      </c>
      <c r="AH365" s="176">
        <f t="shared" si="144"/>
        <v>6</v>
      </c>
      <c r="AI365" s="225">
        <f t="shared" si="145"/>
        <v>0.99735106711021615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411">
        <f>'2022'!Wh/'2022'!Env_an*'2023'!Env_an</f>
        <v>20.514320937259658</v>
      </c>
      <c r="C366" s="841"/>
      <c r="D366" s="393">
        <f t="shared" si="127"/>
        <v>21.441857947957789</v>
      </c>
      <c r="E366" s="385">
        <f t="shared" si="150"/>
        <v>22.994577513005954</v>
      </c>
      <c r="F366" s="385">
        <f t="shared" si="128"/>
        <v>23.008056094325632</v>
      </c>
      <c r="G366" s="110">
        <f t="shared" si="151"/>
        <v>0.93606957773955579</v>
      </c>
      <c r="H366" s="414" t="b">
        <f>Wh_hp&gt;='2022'!Maxi_hp</f>
        <v>0</v>
      </c>
      <c r="I366" s="390">
        <f>IF(H366,Wh_hp,'2022'!Maxi_hp)</f>
        <v>25.724211482819697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4.325823876594026E-2</v>
      </c>
      <c r="M366" s="845"/>
      <c r="N366" s="845"/>
      <c r="O366" s="48">
        <f>IF(t&lt;Tnet,'2022'!Resal+('2022'!Salim-'2022'!Resal)*(1-EXP(('2022'!Tnet-t)/('2022'!Tau_j))),Resal+(Salim-Resal)*(1-EXP((Tnet-t)/(Tau_j))))*Salcycl</f>
        <v>6.7525466130870682E-2</v>
      </c>
      <c r="P366" s="169">
        <f>(INDEX(Models!$BJ366:$BT366,,T366)*(1-R366)+INDEX(Models!$BJ366:$BT366,,T366+1)*R366-ERP_i)*Q366*Ramure*Pc/MaxiM</f>
        <v>6.4464415984508258E-4</v>
      </c>
      <c r="Q366" s="305">
        <f t="shared" si="130"/>
        <v>0.5</v>
      </c>
      <c r="R366" s="177">
        <f t="shared" si="131"/>
        <v>0.99735925572988537</v>
      </c>
      <c r="S366" s="811">
        <f t="shared" si="132"/>
        <v>0</v>
      </c>
      <c r="T366" s="176">
        <f t="shared" si="133"/>
        <v>6</v>
      </c>
      <c r="U366" s="251">
        <f t="shared" si="134"/>
        <v>0.99735925572988537</v>
      </c>
      <c r="V366" s="383">
        <f t="shared" si="135"/>
        <v>21.914090556654433</v>
      </c>
      <c r="W366" s="402">
        <f t="shared" si="136"/>
        <v>20.514320937259658</v>
      </c>
      <c r="X366" s="157">
        <f t="shared" si="137"/>
        <v>45278</v>
      </c>
      <c r="Y366" s="385">
        <f t="shared" si="138"/>
        <v>20.047180172795287</v>
      </c>
      <c r="Z366" s="385">
        <f t="shared" si="139"/>
        <v>20.953595823952849</v>
      </c>
      <c r="AA366" s="386">
        <f t="shared" si="140"/>
        <v>22.994577513005954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8.8759260216836139E-2</v>
      </c>
      <c r="AD366" s="231">
        <f>(INDEX(Models!$BJ366:$BT366,,AH366)*(1-AF366)+INDEX(Models!$BJ366:$BT366,,AH366+1)*AF366-ERP_i)*AE366*Ramure*Pc/MaxiM</f>
        <v>6.4464415984508258E-4</v>
      </c>
      <c r="AE366" s="305">
        <f t="shared" si="142"/>
        <v>0.5</v>
      </c>
      <c r="AF366" s="177">
        <f t="shared" si="143"/>
        <v>0.99735925572988537</v>
      </c>
      <c r="AG366" s="811">
        <f t="shared" si="149"/>
        <v>0</v>
      </c>
      <c r="AH366" s="176">
        <f t="shared" si="144"/>
        <v>6</v>
      </c>
      <c r="AI366" s="225">
        <f t="shared" si="145"/>
        <v>0.99735925572988537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411">
        <f>'2022'!Wh/'2022'!Env_an*'2023'!Env_an</f>
        <v>16.601674297165122</v>
      </c>
      <c r="C367" s="841"/>
      <c r="D367" s="393">
        <f t="shared" si="127"/>
        <v>17.352684493451427</v>
      </c>
      <c r="E367" s="385">
        <f t="shared" si="150"/>
        <v>18.609909835776691</v>
      </c>
      <c r="F367" s="385">
        <f t="shared" si="128"/>
        <v>18.617753329372043</v>
      </c>
      <c r="G367" s="110">
        <f t="shared" si="151"/>
        <v>0.75759653492630696</v>
      </c>
      <c r="H367" s="414" t="b">
        <f>Wh_hp&gt;='2022'!Maxi_hp</f>
        <v>0</v>
      </c>
      <c r="I367" s="390">
        <f>IF(H367,Wh_hp,'2022'!Maxi_hp)</f>
        <v>25.408167099175618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4.3279193865924381E-2</v>
      </c>
      <c r="M367" s="845"/>
      <c r="N367" s="845"/>
      <c r="O367" s="48">
        <f>IF(t&lt;Tnet,'2022'!Resal+('2022'!Salim-'2022'!Resal)*(1-EXP(('2022'!Tnet-t)/('2022'!Tau_j))),Resal+(Salim-Resal)*(1-EXP((Tnet-t)/(Tau_j))))*Salcycl</f>
        <v>6.7556766981659688E-2</v>
      </c>
      <c r="P367" s="169">
        <f>(INDEX(Models!$BJ367:$BT367,,T367)*(1-R367)+INDEX(Models!$BJ367:$BT367,,T367+1)*R367-ERP_i)*Q367*Ramure*Pc/MaxiM</f>
        <v>6.4422447519710778E-4</v>
      </c>
      <c r="Q367" s="305">
        <f t="shared" si="130"/>
        <v>0.5</v>
      </c>
      <c r="R367" s="177">
        <f t="shared" si="131"/>
        <v>0.99736711490385166</v>
      </c>
      <c r="S367" s="811">
        <f t="shared" si="132"/>
        <v>0</v>
      </c>
      <c r="T367" s="176">
        <f t="shared" si="133"/>
        <v>6</v>
      </c>
      <c r="U367" s="251">
        <f t="shared" si="134"/>
        <v>0.99736711490385166</v>
      </c>
      <c r="V367" s="383">
        <f t="shared" si="135"/>
        <v>21.908721733325248</v>
      </c>
      <c r="W367" s="402">
        <f t="shared" si="136"/>
        <v>16.601674297165122</v>
      </c>
      <c r="X367" s="157">
        <f t="shared" si="137"/>
        <v>45279</v>
      </c>
      <c r="Y367" s="385">
        <f t="shared" si="138"/>
        <v>16.224005214905869</v>
      </c>
      <c r="Z367" s="385">
        <f t="shared" si="139"/>
        <v>16.957930789091908</v>
      </c>
      <c r="AA367" s="386">
        <f t="shared" si="140"/>
        <v>18.609909835776691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8.8768782936762491E-2</v>
      </c>
      <c r="AD367" s="231">
        <f>(INDEX(Models!$BJ367:$BT367,,AH367)*(1-AF367)+INDEX(Models!$BJ367:$BT367,,AH367+1)*AF367-ERP_i)*AE367*Ramure*Pc/MaxiM</f>
        <v>6.4422447519710778E-4</v>
      </c>
      <c r="AE367" s="305">
        <f t="shared" si="142"/>
        <v>0.5</v>
      </c>
      <c r="AF367" s="177">
        <f t="shared" si="143"/>
        <v>0.99736711490385166</v>
      </c>
      <c r="AG367" s="811">
        <f t="shared" si="149"/>
        <v>0</v>
      </c>
      <c r="AH367" s="176">
        <f t="shared" si="144"/>
        <v>6</v>
      </c>
      <c r="AI367" s="225">
        <f t="shared" si="145"/>
        <v>0.99736711490385166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411">
        <f>'2022'!Wh/'2022'!Env_an*'2023'!Env_an</f>
        <v>4.364366598042583</v>
      </c>
      <c r="C368" s="841"/>
      <c r="D368" s="393">
        <f t="shared" si="127"/>
        <v>4.5618974344266769</v>
      </c>
      <c r="E368" s="385">
        <f t="shared" si="150"/>
        <v>4.8925800975576532</v>
      </c>
      <c r="F368" s="385">
        <f t="shared" si="128"/>
        <v>4.8925800975576532</v>
      </c>
      <c r="G368" s="110">
        <f t="shared" si="151"/>
        <v>0.19902498499756535</v>
      </c>
      <c r="H368" s="414" t="b">
        <f>Wh_hp&gt;='2022'!Maxi_hp</f>
        <v>0</v>
      </c>
      <c r="I368" s="390">
        <f>IF(H368,Wh_hp,'2022'!Maxi_hp)</f>
        <v>22.549218247197125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4.3300148506937863E-2</v>
      </c>
      <c r="M368" s="845"/>
      <c r="N368" s="845"/>
      <c r="O368" s="48">
        <f>IF(t&lt;Tnet,'2022'!Resal+('2022'!Salim-'2022'!Resal)*(1-EXP(('2022'!Tnet-t)/('2022'!Tau_j))),Resal+(Salim-Resal)*(1-EXP((Tnet-t)/(Tau_j))))*Salcycl</f>
        <v>6.7588604895002347E-2</v>
      </c>
      <c r="P368" s="169">
        <f>(INDEX(Models!$BJ368:$BT368,,T368)*(1-R368)+INDEX(Models!$BJ368:$BT368,,T368+1)*R368-ERP_i)*Q368*Ramure*Pc/MaxiM</f>
        <v>6.4345921327480166E-4</v>
      </c>
      <c r="Q368" s="305">
        <f t="shared" si="130"/>
        <v>0.5</v>
      </c>
      <c r="R368" s="177">
        <f t="shared" si="131"/>
        <v>0.99737465787669</v>
      </c>
      <c r="S368" s="811">
        <f t="shared" si="132"/>
        <v>0</v>
      </c>
      <c r="T368" s="176">
        <f t="shared" si="133"/>
        <v>6</v>
      </c>
      <c r="U368" s="251">
        <f t="shared" si="134"/>
        <v>0.99737465787669</v>
      </c>
      <c r="V368" s="383">
        <f t="shared" si="135"/>
        <v>21.914626981121582</v>
      </c>
      <c r="W368" s="402">
        <f t="shared" si="136"/>
        <v>4.364366598042583</v>
      </c>
      <c r="X368" s="157">
        <f t="shared" si="137"/>
        <v>45280</v>
      </c>
      <c r="Y368" s="385">
        <f t="shared" si="138"/>
        <v>4.2651798458515024</v>
      </c>
      <c r="Z368" s="385">
        <f t="shared" si="139"/>
        <v>4.4582214988275588</v>
      </c>
      <c r="AA368" s="386">
        <f t="shared" si="140"/>
        <v>4.8925800975576532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8.8779047060859387E-2</v>
      </c>
      <c r="AD368" s="231">
        <f>(INDEX(Models!$BJ368:$BT368,,AH368)*(1-AF368)+INDEX(Models!$BJ368:$BT368,,AH368+1)*AF368-ERP_i)*AE368*Ramure*Pc/MaxiM</f>
        <v>6.4345921327480166E-4</v>
      </c>
      <c r="AE368" s="305">
        <f t="shared" si="142"/>
        <v>0.5</v>
      </c>
      <c r="AF368" s="177">
        <f t="shared" si="143"/>
        <v>0.99737465787669</v>
      </c>
      <c r="AG368" s="811">
        <f t="shared" si="149"/>
        <v>0</v>
      </c>
      <c r="AH368" s="176">
        <f t="shared" si="144"/>
        <v>6</v>
      </c>
      <c r="AI368" s="225">
        <f t="shared" si="145"/>
        <v>0.99737465787669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411">
        <f>'2022'!Wh/'2022'!Env_an*'2023'!Env_an</f>
        <v>19.684024857854016</v>
      </c>
      <c r="C369" s="841"/>
      <c r="D369" s="393">
        <f t="shared" si="127"/>
        <v>20.575372691068036</v>
      </c>
      <c r="E369" s="385">
        <f t="shared" si="150"/>
        <v>22.067604872877254</v>
      </c>
      <c r="F369" s="385">
        <f t="shared" si="128"/>
        <v>22.079710818831369</v>
      </c>
      <c r="G369" s="110">
        <f t="shared" si="151"/>
        <v>0.89741649815528524</v>
      </c>
      <c r="H369" s="414" t="b">
        <f>Wh_hp&gt;='2022'!Maxi_hp</f>
        <v>0</v>
      </c>
      <c r="I369" s="390">
        <f>IF(H369,Wh_hp,'2022'!Maxi_hp)</f>
        <v>22.080170505451491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4.3321102688991031E-2</v>
      </c>
      <c r="M369" s="845"/>
      <c r="N369" s="845"/>
      <c r="O369" s="48">
        <f>IF(t&lt;Tnet,'2022'!Resal+('2022'!Salim-'2022'!Resal)*(1-EXP(('2022'!Tnet-t)/('2022'!Tau_j))),Resal+(Salim-Resal)*(1-EXP((Tnet-t)/(Tau_j))))*Salcycl</f>
        <v>6.762093985302782E-2</v>
      </c>
      <c r="P369" s="169">
        <f>(INDEX(Models!$BJ369:$BT369,,T369)*(1-R369)+INDEX(Models!$BJ369:$BT369,,T369+1)*R369-ERP_i)*Q369*Ramure*Pc/MaxiM</f>
        <v>6.4233972638066744E-4</v>
      </c>
      <c r="Q369" s="305">
        <f t="shared" si="130"/>
        <v>0.5</v>
      </c>
      <c r="R369" s="177">
        <f t="shared" si="131"/>
        <v>0.99738189736127691</v>
      </c>
      <c r="S369" s="811">
        <f t="shared" si="132"/>
        <v>0</v>
      </c>
      <c r="T369" s="176">
        <f t="shared" si="133"/>
        <v>6</v>
      </c>
      <c r="U369" s="251">
        <f t="shared" si="134"/>
        <v>0.99738189736127691</v>
      </c>
      <c r="V369" s="383">
        <f t="shared" si="135"/>
        <v>21.932037667981454</v>
      </c>
      <c r="W369" s="402">
        <f t="shared" si="136"/>
        <v>19.684024857854016</v>
      </c>
      <c r="X369" s="157">
        <f t="shared" si="137"/>
        <v>45281</v>
      </c>
      <c r="Y369" s="385">
        <f t="shared" si="138"/>
        <v>19.23711189283383</v>
      </c>
      <c r="Z369" s="385">
        <f t="shared" si="139"/>
        <v>20.108222253992075</v>
      </c>
      <c r="AA369" s="386">
        <f t="shared" si="140"/>
        <v>22.067604872877254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8.8789999194403182E-2</v>
      </c>
      <c r="AD369" s="231">
        <f>(INDEX(Models!$BJ369:$BT369,,AH369)*(1-AF369)+INDEX(Models!$BJ369:$BT369,,AH369+1)*AF369-ERP_i)*AE369*Ramure*Pc/MaxiM</f>
        <v>6.4233972638066744E-4</v>
      </c>
      <c r="AE369" s="305">
        <f t="shared" si="142"/>
        <v>0.5</v>
      </c>
      <c r="AF369" s="177">
        <f t="shared" si="143"/>
        <v>0.99738189736127691</v>
      </c>
      <c r="AG369" s="811">
        <f t="shared" si="149"/>
        <v>0</v>
      </c>
      <c r="AH369" s="176">
        <f t="shared" si="144"/>
        <v>6</v>
      </c>
      <c r="AI369" s="225">
        <f t="shared" si="145"/>
        <v>0.99738189736127691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411">
        <f>'2022'!Wh/'2022'!Env_an*'2023'!Env_an</f>
        <v>16.267893220263289</v>
      </c>
      <c r="C370" s="841"/>
      <c r="D370" s="393">
        <f t="shared" si="127"/>
        <v>17.00492148661958</v>
      </c>
      <c r="E370" s="385">
        <f t="shared" si="150"/>
        <v>18.238847608448147</v>
      </c>
      <c r="F370" s="385">
        <f t="shared" si="128"/>
        <v>18.246210284380101</v>
      </c>
      <c r="G370" s="110">
        <f t="shared" si="151"/>
        <v>0.74058073795632351</v>
      </c>
      <c r="H370" s="414" t="b">
        <f>Wh_hp&gt;='2022'!Maxi_hp</f>
        <v>0</v>
      </c>
      <c r="I370" s="390">
        <f>IF(H370,Wh_hp,'2022'!Maxi_hp)</f>
        <v>25.041754314682116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4.3342056412093766E-2</v>
      </c>
      <c r="M370" s="845"/>
      <c r="N370" s="845"/>
      <c r="O370" s="48">
        <f>IF(t&lt;Tnet,'2022'!Resal+('2022'!Salim-'2022'!Resal)*(1-EXP(('2022'!Tnet-t)/('2022'!Tau_j))),Resal+(Salim-Resal)*(1-EXP((Tnet-t)/(Tau_j))))*Salcycl</f>
        <v>6.7653732753215207E-2</v>
      </c>
      <c r="P370" s="169">
        <f>(INDEX(Models!$BJ370:$BT370,,T370)*(1-R370)+INDEX(Models!$BJ370:$BT370,,T370+1)*R370-ERP_i)*Q370*Ramure*Pc/MaxiM</f>
        <v>6.4085858317044239E-4</v>
      </c>
      <c r="Q370" s="305">
        <f t="shared" si="130"/>
        <v>0.5</v>
      </c>
      <c r="R370" s="177">
        <f t="shared" si="131"/>
        <v>0.99738884556007412</v>
      </c>
      <c r="S370" s="811">
        <f t="shared" si="132"/>
        <v>0</v>
      </c>
      <c r="T370" s="176">
        <f t="shared" si="133"/>
        <v>6</v>
      </c>
      <c r="U370" s="251">
        <f t="shared" si="134"/>
        <v>0.99738884556007412</v>
      </c>
      <c r="V370" s="383">
        <f t="shared" si="135"/>
        <v>21.96118505151534</v>
      </c>
      <c r="W370" s="402">
        <f t="shared" si="136"/>
        <v>16.267893220263289</v>
      </c>
      <c r="X370" s="157">
        <f t="shared" si="137"/>
        <v>45282</v>
      </c>
      <c r="Y370" s="385">
        <f t="shared" si="138"/>
        <v>15.898898298073009</v>
      </c>
      <c r="Z370" s="385">
        <f t="shared" si="139"/>
        <v>16.619208991716356</v>
      </c>
      <c r="AA370" s="386">
        <f t="shared" si="140"/>
        <v>18.238847608448147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8.8801587222077774E-2</v>
      </c>
      <c r="AD370" s="231">
        <f>(INDEX(Models!$BJ370:$BT370,,AH370)*(1-AF370)+INDEX(Models!$BJ370:$BT370,,AH370+1)*AF370-ERP_i)*AE370*Ramure*Pc/MaxiM</f>
        <v>6.4085858317044239E-4</v>
      </c>
      <c r="AE370" s="305">
        <f t="shared" si="142"/>
        <v>0.5</v>
      </c>
      <c r="AF370" s="177">
        <f t="shared" si="143"/>
        <v>0.99738884556007412</v>
      </c>
      <c r="AG370" s="811">
        <f t="shared" si="149"/>
        <v>0</v>
      </c>
      <c r="AH370" s="176">
        <f t="shared" si="144"/>
        <v>6</v>
      </c>
      <c r="AI370" s="225">
        <f t="shared" si="145"/>
        <v>0.99738884556007412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411">
        <f>'2022'!Wh/'2022'!Env_an*'2023'!Env_an</f>
        <v>16.800284959372249</v>
      </c>
      <c r="C371" s="841"/>
      <c r="D371" s="393">
        <f t="shared" si="127"/>
        <v>17.561818254264576</v>
      </c>
      <c r="E371" s="385">
        <f t="shared" si="150"/>
        <v>18.836825432774873</v>
      </c>
      <c r="F371" s="385">
        <f t="shared" si="128"/>
        <v>18.844800140598235</v>
      </c>
      <c r="G371" s="110">
        <f t="shared" si="151"/>
        <v>0.76340460720216052</v>
      </c>
      <c r="H371" s="414" t="b">
        <f>Wh_hp&gt;='2022'!Maxi_hp</f>
        <v>0</v>
      </c>
      <c r="I371" s="390">
        <f>IF(H371,Wh_hp,'2022'!Maxi_hp)</f>
        <v>19.829576058520093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4.3363009676256281E-2</v>
      </c>
      <c r="M371" s="845"/>
      <c r="N371" s="845"/>
      <c r="O371" s="48">
        <f>IF(t&lt;Tnet,'2022'!Resal+('2022'!Salim-'2022'!Resal)*(1-EXP(('2022'!Tnet-t)/('2022'!Tau_j))),Resal+(Salim-Resal)*(1-EXP((Tnet-t)/(Tau_j))))*Salcycl</f>
        <v>6.7686945608778928E-2</v>
      </c>
      <c r="P371" s="169">
        <f>(INDEX(Models!$BJ371:$BT371,,T371)*(1-R371)+INDEX(Models!$BJ371:$BT371,,T371+1)*R371-ERP_i)*Q371*Ramure*Pc/MaxiM</f>
        <v>6.3900822845140758E-4</v>
      </c>
      <c r="Q371" s="305">
        <f t="shared" si="130"/>
        <v>0.5</v>
      </c>
      <c r="R371" s="177">
        <f t="shared" si="131"/>
        <v>0.99738884556007412</v>
      </c>
      <c r="S371" s="811">
        <f t="shared" si="132"/>
        <v>0</v>
      </c>
      <c r="T371" s="176">
        <f t="shared" si="133"/>
        <v>6</v>
      </c>
      <c r="U371" s="251">
        <f t="shared" si="134"/>
        <v>0.99738884556007412</v>
      </c>
      <c r="V371" s="383">
        <f t="shared" si="135"/>
        <v>22.002300299390388</v>
      </c>
      <c r="W371" s="402">
        <f t="shared" si="136"/>
        <v>16.800284959372249</v>
      </c>
      <c r="X371" s="157">
        <f t="shared" si="137"/>
        <v>45283</v>
      </c>
      <c r="Y371" s="385">
        <f t="shared" si="138"/>
        <v>16.419579669519784</v>
      </c>
      <c r="Z371" s="385">
        <f t="shared" si="139"/>
        <v>17.163856128920013</v>
      </c>
      <c r="AA371" s="386">
        <f t="shared" si="140"/>
        <v>18.836825432774873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8.8813760568381139E-2</v>
      </c>
      <c r="AD371" s="231">
        <f>(INDEX(Models!$BJ371:$BT371,,AH371)*(1-AF371)+INDEX(Models!$BJ371:$BT371,,AH371+1)*AF371-ERP_i)*AE371*Ramure*Pc/MaxiM</f>
        <v>6.3900822845140758E-4</v>
      </c>
      <c r="AE371" s="305">
        <f t="shared" si="142"/>
        <v>0.5</v>
      </c>
      <c r="AF371" s="177">
        <f t="shared" si="143"/>
        <v>0.99738884556007412</v>
      </c>
      <c r="AG371" s="811">
        <f t="shared" si="149"/>
        <v>0</v>
      </c>
      <c r="AH371" s="176">
        <f t="shared" si="144"/>
        <v>6</v>
      </c>
      <c r="AI371" s="225">
        <f t="shared" si="145"/>
        <v>0.99738884556007412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411">
        <f>'2022'!Wh/'2022'!Env_an*'2023'!Env_an</f>
        <v>20.190311297655075</v>
      </c>
      <c r="C372" s="841"/>
      <c r="D372" s="393">
        <f t="shared" si="127"/>
        <v>21.105971994813405</v>
      </c>
      <c r="E372" s="385">
        <f t="shared" si="150"/>
        <v>22.639104409786178</v>
      </c>
      <c r="F372" s="385">
        <f t="shared" si="128"/>
        <v>22.651785998016042</v>
      </c>
      <c r="G372" s="110">
        <f t="shared" si="151"/>
        <v>0.91535681954701187</v>
      </c>
      <c r="H372" s="414" t="b">
        <f>Wh_hp&gt;='2022'!Maxi_hp</f>
        <v>0</v>
      </c>
      <c r="I372" s="390">
        <f>IF(H372,Wh_hp,'2022'!Maxi_hp)</f>
        <v>22.652171690590645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4.3383962481488458E-2</v>
      </c>
      <c r="M372" s="845"/>
      <c r="N372" s="845"/>
      <c r="O372" s="48">
        <f>IF(t&lt;Tnet,'2022'!Resal+('2022'!Salim-'2022'!Resal)*(1-EXP(('2022'!Tnet-t)/('2022'!Tau_j))),Resal+(Salim-Resal)*(1-EXP((Tnet-t)/(Tau_j))))*Salcycl</f>
        <v>6.7720541732651171E-2</v>
      </c>
      <c r="P372" s="169">
        <f>(INDEX(Models!$BJ372:$BT372,,T372)*(1-R372)+INDEX(Models!$BJ372:$BT372,,T372+1)*R372-ERP_i)*Q372*Ramure*Pc/MaxiM</f>
        <v>6.3678450782386265E-4</v>
      </c>
      <c r="Q372" s="305">
        <f t="shared" si="130"/>
        <v>0.5</v>
      </c>
      <c r="R372" s="177">
        <f t="shared" si="131"/>
        <v>0.99738884556007412</v>
      </c>
      <c r="S372" s="811">
        <f t="shared" si="132"/>
        <v>0</v>
      </c>
      <c r="T372" s="176">
        <f t="shared" si="133"/>
        <v>6</v>
      </c>
      <c r="U372" s="251">
        <f t="shared" si="134"/>
        <v>0.99738884556007412</v>
      </c>
      <c r="V372" s="383">
        <f t="shared" si="135"/>
        <v>22.055614435947774</v>
      </c>
      <c r="W372" s="402">
        <f t="shared" si="136"/>
        <v>20.190311297655075</v>
      </c>
      <c r="X372" s="157">
        <f t="shared" si="137"/>
        <v>45284</v>
      </c>
      <c r="Y372" s="385">
        <f t="shared" si="138"/>
        <v>19.733221669682152</v>
      </c>
      <c r="Z372" s="385">
        <f t="shared" si="139"/>
        <v>20.628152671233355</v>
      </c>
      <c r="AA372" s="386">
        <f t="shared" si="140"/>
        <v>22.639104409786178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8.8826470435974886E-2</v>
      </c>
      <c r="AD372" s="231">
        <f>(INDEX(Models!$BJ372:$BT372,,AH372)*(1-AF372)+INDEX(Models!$BJ372:$BT372,,AH372+1)*AF372-ERP_i)*AE372*Ramure*Pc/MaxiM</f>
        <v>6.3678450782386265E-4</v>
      </c>
      <c r="AE372" s="305">
        <f t="shared" si="142"/>
        <v>0.5</v>
      </c>
      <c r="AF372" s="177">
        <f t="shared" si="143"/>
        <v>0.99738884556007412</v>
      </c>
      <c r="AG372" s="811">
        <f t="shared" si="149"/>
        <v>0</v>
      </c>
      <c r="AH372" s="176">
        <f t="shared" si="144"/>
        <v>6</v>
      </c>
      <c r="AI372" s="225">
        <f t="shared" si="145"/>
        <v>0.99738884556007412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411">
        <f>'2022'!Wh/'2022'!Env_an*'2023'!Env_an</f>
        <v>12.013379757210652</v>
      </c>
      <c r="C373" s="841"/>
      <c r="D373" s="393">
        <f t="shared" si="127"/>
        <v>12.558479489833557</v>
      </c>
      <c r="E373" s="385">
        <f t="shared" si="150"/>
        <v>13.471214717521661</v>
      </c>
      <c r="F373" s="385">
        <f t="shared" si="128"/>
        <v>13.474181042461986</v>
      </c>
      <c r="G373" s="110">
        <f t="shared" si="151"/>
        <v>0.54279380745231809</v>
      </c>
      <c r="H373" s="414" t="b">
        <f>Wh_hp&gt;='2022'!Maxi_hp</f>
        <v>0</v>
      </c>
      <c r="I373" s="390">
        <f>IF(H373,Wh_hp,'2022'!Maxi_hp)</f>
        <v>16.332134440633631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4.3404914827800511E-2</v>
      </c>
      <c r="M373" s="845"/>
      <c r="N373" s="845"/>
      <c r="O373" s="48">
        <f>IF(t&lt;Tnet,'2022'!Resal+('2022'!Salim-'2022'!Resal)*(1-EXP(('2022'!Tnet-t)/('2022'!Tau_j))),Resal+(Salim-Resal)*(1-EXP((Tnet-t)/(Tau_j))))*Salcycl</f>
        <v>6.7754485904001863E-2</v>
      </c>
      <c r="P373" s="169">
        <f>(INDEX(Models!$BJ373:$BT373,,T373)*(1-R373)+INDEX(Models!$BJ373:$BT373,,T373+1)*R373-ERP_i)*Q373*Ramure*Pc/MaxiM</f>
        <v>6.3412485262617801E-4</v>
      </c>
      <c r="Q373" s="305">
        <f t="shared" si="130"/>
        <v>0.5</v>
      </c>
      <c r="R373" s="177">
        <f t="shared" si="131"/>
        <v>0.99738884556007412</v>
      </c>
      <c r="S373" s="811">
        <f t="shared" si="132"/>
        <v>0</v>
      </c>
      <c r="T373" s="176">
        <f t="shared" si="133"/>
        <v>6</v>
      </c>
      <c r="U373" s="251">
        <f t="shared" si="134"/>
        <v>0.99738884556007412</v>
      </c>
      <c r="V373" s="383">
        <f t="shared" si="135"/>
        <v>22.123327948568669</v>
      </c>
      <c r="W373" s="402">
        <f t="shared" si="136"/>
        <v>12.013379757210652</v>
      </c>
      <c r="X373" s="157">
        <f t="shared" si="137"/>
        <v>45285</v>
      </c>
      <c r="Y373" s="385">
        <f t="shared" si="138"/>
        <v>11.741665578688087</v>
      </c>
      <c r="Z373" s="385">
        <f t="shared" si="139"/>
        <v>12.274436447239779</v>
      </c>
      <c r="AA373" s="386">
        <f t="shared" si="140"/>
        <v>13.471214717521661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8.8839670020645065E-2</v>
      </c>
      <c r="AD373" s="231">
        <f>(INDEX(Models!$BJ373:$BT373,,AH373)*(1-AF373)+INDEX(Models!$BJ373:$BT373,,AH373+1)*AF373-ERP_i)*AE373*Ramure*Pc/MaxiM</f>
        <v>6.3412485262617801E-4</v>
      </c>
      <c r="AE373" s="305">
        <f t="shared" si="142"/>
        <v>0.5</v>
      </c>
      <c r="AF373" s="177">
        <f t="shared" si="143"/>
        <v>0.99738884556007412</v>
      </c>
      <c r="AG373" s="811">
        <f t="shared" si="149"/>
        <v>0</v>
      </c>
      <c r="AH373" s="176">
        <f t="shared" si="144"/>
        <v>6</v>
      </c>
      <c r="AI373" s="225">
        <f t="shared" si="145"/>
        <v>0.99738884556007412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411">
        <f>'2022'!Wh/'2022'!Env_an*'2023'!Env_an</f>
        <v>20.472014853230593</v>
      </c>
      <c r="C374" s="841"/>
      <c r="D374" s="393">
        <f t="shared" si="127"/>
        <v>21.401388706729254</v>
      </c>
      <c r="E374" s="385">
        <f t="shared" si="150"/>
        <v>22.957659630087971</v>
      </c>
      <c r="F374" s="385">
        <f t="shared" si="128"/>
        <v>22.970536412931938</v>
      </c>
      <c r="G374" s="110">
        <f t="shared" si="151"/>
        <v>0.92181726842066036</v>
      </c>
      <c r="H374" s="414" t="b">
        <f>Wh_hp&gt;='2022'!Maxi_hp</f>
        <v>0</v>
      </c>
      <c r="I374" s="390">
        <f>IF(H374,Wh_hp,'2022'!Maxi_hp)</f>
        <v>24.2954595694269</v>
      </c>
      <c r="J374" s="85">
        <f>IF(H374,An,'2022'!An_max)</f>
        <v>2018</v>
      </c>
      <c r="K374" s="197">
        <f t="shared" si="129"/>
        <v>45286</v>
      </c>
      <c r="L374" s="147">
        <f>IF(t&lt;Tvie,1-EXP((T0-t)*PertePVj)+'2022'!Pspv,1-EXP((T0-t)*PertePVj)+Pspv)</f>
        <v>4.3425866715202321E-2</v>
      </c>
      <c r="M374" s="845"/>
      <c r="N374" s="845"/>
      <c r="O374" s="48">
        <f>IF(t&lt;Tnet,'2022'!Resal+('2022'!Salim-'2022'!Resal)*(1-EXP(('2022'!Tnet-t)/('2022'!Tau_j))),Resal+(Salim-Resal)*(1-EXP((Tnet-t)/(Tau_j))))*Salcycl</f>
        <v>6.7788744516409358E-2</v>
      </c>
      <c r="P374" s="169">
        <f>(INDEX(Models!$BJ374:$BT374,,T374)*(1-R374)+INDEX(Models!$BJ374:$BT374,,T374+1)*R374-ERP_i)*Q374*Ramure*Pc/MaxiM</f>
        <v>6.3099531354344639E-4</v>
      </c>
      <c r="Q374" s="305">
        <f t="shared" si="130"/>
        <v>0.5</v>
      </c>
      <c r="R374" s="177">
        <f t="shared" si="131"/>
        <v>0.99738884556007412</v>
      </c>
      <c r="S374" s="811">
        <f t="shared" si="132"/>
        <v>0</v>
      </c>
      <c r="T374" s="176">
        <f t="shared" si="133"/>
        <v>6</v>
      </c>
      <c r="U374" s="251">
        <f t="shared" si="134"/>
        <v>0.99738884556007412</v>
      </c>
      <c r="V374" s="383">
        <f t="shared" si="135"/>
        <v>22.206757419861351</v>
      </c>
      <c r="W374" s="402">
        <f t="shared" si="136"/>
        <v>20.472014853230593</v>
      </c>
      <c r="X374" s="157">
        <f t="shared" si="137"/>
        <v>45286</v>
      </c>
      <c r="Y374" s="385">
        <f t="shared" si="138"/>
        <v>20.009422075922892</v>
      </c>
      <c r="Z374" s="385">
        <f t="shared" si="139"/>
        <v>20.917795474159611</v>
      </c>
      <c r="AA374" s="386">
        <f t="shared" si="140"/>
        <v>22.957659630087971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8.8853314701771519E-2</v>
      </c>
      <c r="AD374" s="231">
        <f>(INDEX(Models!$BJ374:$BT374,,AH374)*(1-AF374)+INDEX(Models!$BJ374:$BT374,,AH374+1)*AF374-ERP_i)*AE374*Ramure*Pc/MaxiM</f>
        <v>6.3099531354344639E-4</v>
      </c>
      <c r="AE374" s="305">
        <f t="shared" si="142"/>
        <v>0.5</v>
      </c>
      <c r="AF374" s="177">
        <f t="shared" si="143"/>
        <v>0.99738884556007412</v>
      </c>
      <c r="AG374" s="811">
        <f t="shared" si="149"/>
        <v>0</v>
      </c>
      <c r="AH374" s="176">
        <f t="shared" si="144"/>
        <v>6</v>
      </c>
      <c r="AI374" s="225">
        <f t="shared" si="145"/>
        <v>0.99738884556007412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411">
        <f>'2022'!Wh/'2022'!Env_an*'2023'!Env_an</f>
        <v>7.3779582217855966</v>
      </c>
      <c r="C375" s="841"/>
      <c r="D375" s="393">
        <f t="shared" si="127"/>
        <v>7.7130664156778641</v>
      </c>
      <c r="E375" s="385">
        <f t="shared" si="150"/>
        <v>8.2742534729882564</v>
      </c>
      <c r="F375" s="385">
        <f t="shared" si="128"/>
        <v>8.2744818231495891</v>
      </c>
      <c r="G375" s="110">
        <f t="shared" si="151"/>
        <v>0.33058040603105365</v>
      </c>
      <c r="H375" s="414" t="b">
        <f>Wh_hp&gt;='2022'!Maxi_hp</f>
        <v>0</v>
      </c>
      <c r="I375" s="390">
        <f>IF(H375,Wh_hp,'2022'!Maxi_hp)</f>
        <v>24.678488393426758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4.3446818143704102E-2</v>
      </c>
      <c r="M375" s="845"/>
      <c r="N375" s="845"/>
      <c r="O375" s="48">
        <f>IF(t&lt;Tnet,'2022'!Resal+('2022'!Salim-'2022'!Resal)*(1-EXP(('2022'!Tnet-t)/('2022'!Tau_j))),Resal+(Salim-Resal)*(1-EXP((Tnet-t)/(Tau_j))))*Salcycl</f>
        <v>6.7823285706972533E-2</v>
      </c>
      <c r="P375" s="169">
        <f>(INDEX(Models!$BJ375:$BT375,,T375)*(1-R375)+INDEX(Models!$BJ375:$BT375,,T375+1)*R375-ERP_i)*Q375*Ramure*Pc/MaxiM</f>
        <v>6.2763274439106499E-4</v>
      </c>
      <c r="Q375" s="305">
        <f t="shared" si="130"/>
        <v>0.5</v>
      </c>
      <c r="R375" s="177">
        <f t="shared" si="131"/>
        <v>0.99738884556007412</v>
      </c>
      <c r="S375" s="811">
        <f t="shared" si="132"/>
        <v>0</v>
      </c>
      <c r="T375" s="176">
        <f t="shared" si="133"/>
        <v>6</v>
      </c>
      <c r="U375" s="251">
        <f t="shared" si="134"/>
        <v>0.99738884556007412</v>
      </c>
      <c r="V375" s="383">
        <f t="shared" si="135"/>
        <v>22.304803690110514</v>
      </c>
      <c r="W375" s="402">
        <f t="shared" si="136"/>
        <v>7.3779582217855966</v>
      </c>
      <c r="X375" s="157">
        <f t="shared" si="137"/>
        <v>45287</v>
      </c>
      <c r="Y375" s="385">
        <f t="shared" si="138"/>
        <v>7.2113993334805482</v>
      </c>
      <c r="Z375" s="385">
        <f t="shared" si="139"/>
        <v>7.5389423926080514</v>
      </c>
      <c r="AA375" s="386">
        <f t="shared" si="140"/>
        <v>8.2742534729882564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8.8867362207438683E-2</v>
      </c>
      <c r="AD375" s="231">
        <f>(INDEX(Models!$BJ375:$BT375,,AH375)*(1-AF375)+INDEX(Models!$BJ375:$BT375,,AH375+1)*AF375-ERP_i)*AE375*Ramure*Pc/MaxiM</f>
        <v>6.2763274439106499E-4</v>
      </c>
      <c r="AE375" s="305">
        <f t="shared" si="142"/>
        <v>0.5</v>
      </c>
      <c r="AF375" s="177">
        <f t="shared" si="143"/>
        <v>0.99738884556007412</v>
      </c>
      <c r="AG375" s="811">
        <f t="shared" si="149"/>
        <v>0</v>
      </c>
      <c r="AH375" s="176">
        <f t="shared" si="144"/>
        <v>6</v>
      </c>
      <c r="AI375" s="225">
        <f t="shared" si="145"/>
        <v>0.99738884556007412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411">
        <f>'2022'!Wh/'2022'!Env_an*'2023'!Env_an</f>
        <v>19.665341320478749</v>
      </c>
      <c r="C376" s="841"/>
      <c r="D376" s="393">
        <f t="shared" si="127"/>
        <v>20.55899496690186</v>
      </c>
      <c r="E376" s="385">
        <f t="shared" si="150"/>
        <v>22.055648945731924</v>
      </c>
      <c r="F376" s="385">
        <f t="shared" si="128"/>
        <v>22.067006834686016</v>
      </c>
      <c r="G376" s="110">
        <f t="shared" si="151"/>
        <v>0.87717981990048588</v>
      </c>
      <c r="H376" s="414" t="b">
        <f>Wh_hp&gt;='2022'!Maxi_hp</f>
        <v>0</v>
      </c>
      <c r="I376" s="390">
        <f>IF(H376,Wh_hp,'2022'!Maxi_hp)</f>
        <v>22.067540465651089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4.3467769113315735E-2</v>
      </c>
      <c r="M376" s="845"/>
      <c r="N376" s="845"/>
      <c r="O376" s="48">
        <f>IF(t&lt;Tnet,'2022'!Resal+('2022'!Salim-'2022'!Resal)*(1-EXP(('2022'!Tnet-t)/('2022'!Tau_j))),Resal+(Salim-Resal)*(1-EXP((Tnet-t)/(Tau_j))))*Salcycl</f>
        <v>6.7858079465836191E-2</v>
      </c>
      <c r="P376" s="169">
        <f>(INDEX(Models!$BJ376:$BT376,,T376)*(1-R376)+INDEX(Models!$BJ376:$BT376,,T376+1)*R376-ERP_i)*Q376*Ramure*Pc/MaxiM</f>
        <v>6.2412105005479673E-4</v>
      </c>
      <c r="Q376" s="305">
        <f t="shared" si="130"/>
        <v>0.5</v>
      </c>
      <c r="R376" s="177">
        <f t="shared" si="131"/>
        <v>0.99738884556007412</v>
      </c>
      <c r="S376" s="811">
        <f t="shared" si="132"/>
        <v>0</v>
      </c>
      <c r="T376" s="176">
        <f t="shared" si="133"/>
        <v>6</v>
      </c>
      <c r="U376" s="251">
        <f t="shared" si="134"/>
        <v>0.99738884556007412</v>
      </c>
      <c r="V376" s="383">
        <f t="shared" si="135"/>
        <v>22.416371152710337</v>
      </c>
      <c r="W376" s="402">
        <f t="shared" si="136"/>
        <v>19.665341320478749</v>
      </c>
      <c r="X376" s="157">
        <f t="shared" si="137"/>
        <v>45288</v>
      </c>
      <c r="Y376" s="385">
        <f t="shared" si="138"/>
        <v>19.221805743746796</v>
      </c>
      <c r="Z376" s="385">
        <f t="shared" si="139"/>
        <v>20.095303768205078</v>
      </c>
      <c r="AA376" s="386">
        <f t="shared" si="140"/>
        <v>22.055648945731924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8.8881772753560392E-2</v>
      </c>
      <c r="AD376" s="231">
        <f>(INDEX(Models!$BJ376:$BT376,,AH376)*(1-AF376)+INDEX(Models!$BJ376:$BT376,,AH376+1)*AF376-ERP_i)*AE376*Ramure*Pc/MaxiM</f>
        <v>6.2412105005479673E-4</v>
      </c>
      <c r="AE376" s="305">
        <f t="shared" si="142"/>
        <v>0.5</v>
      </c>
      <c r="AF376" s="177">
        <f t="shared" si="143"/>
        <v>0.99738884556007412</v>
      </c>
      <c r="AG376" s="811">
        <f t="shared" si="149"/>
        <v>0</v>
      </c>
      <c r="AH376" s="176">
        <f t="shared" si="144"/>
        <v>6</v>
      </c>
      <c r="AI376" s="225">
        <f t="shared" si="145"/>
        <v>0.99738884556007412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411">
        <f>'2022'!Wh/'2022'!Env_an*'2023'!Env_an</f>
        <v>9.6672826420353903</v>
      </c>
      <c r="C377" s="841"/>
      <c r="D377" s="393">
        <f t="shared" si="127"/>
        <v>10.10681508976633</v>
      </c>
      <c r="E377" s="385">
        <f t="shared" si="150"/>
        <v>10.842978487882741</v>
      </c>
      <c r="F377" s="385">
        <f t="shared" si="128"/>
        <v>10.84421742298133</v>
      </c>
      <c r="G377" s="110">
        <f t="shared" si="151"/>
        <v>0.42867042548106482</v>
      </c>
      <c r="H377" s="414" t="b">
        <f>Wh_hp&gt;='2022'!Maxi_hp</f>
        <v>0</v>
      </c>
      <c r="I377" s="390">
        <f>IF(H377,Wh_hp,'2022'!Maxi_hp)</f>
        <v>24.70046719987749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4.3488719624047434E-2</v>
      </c>
      <c r="M377" s="845"/>
      <c r="N377" s="845"/>
      <c r="O377" s="48">
        <f>IF(t&lt;Tnet,'2022'!Resal+('2022'!Salim-'2022'!Resal)*(1-EXP(('2022'!Tnet-t)/('2022'!Tau_j))),Resal+(Salim-Resal)*(1-EXP((Tnet-t)/(Tau_j))))*Salcycl</f>
        <v>6.7893097725785292E-2</v>
      </c>
      <c r="P377" s="169">
        <f>(INDEX(Models!$BJ377:$BT377,,T377)*(1-R377)+INDEX(Models!$BJ377:$BT377,,T377+1)*R377-ERP_i)*Q377*Ramure*Pc/MaxiM</f>
        <v>6.2049364192545502E-4</v>
      </c>
      <c r="Q377" s="305">
        <f t="shared" si="130"/>
        <v>0.5</v>
      </c>
      <c r="R377" s="177">
        <f t="shared" si="131"/>
        <v>0.99738884556007412</v>
      </c>
      <c r="S377" s="811">
        <f t="shared" si="132"/>
        <v>0</v>
      </c>
      <c r="T377" s="176">
        <f t="shared" si="133"/>
        <v>6</v>
      </c>
      <c r="U377" s="251">
        <f t="shared" si="134"/>
        <v>0.99738884556007412</v>
      </c>
      <c r="V377" s="383">
        <f t="shared" si="135"/>
        <v>22.540365495700449</v>
      </c>
      <c r="W377" s="402">
        <f t="shared" si="136"/>
        <v>9.6672826420353903</v>
      </c>
      <c r="X377" s="157">
        <f t="shared" si="137"/>
        <v>45289</v>
      </c>
      <c r="Y377" s="385">
        <f t="shared" si="138"/>
        <v>9.4494472046477345</v>
      </c>
      <c r="Z377" s="385">
        <f t="shared" si="139"/>
        <v>9.8790755514495032</v>
      </c>
      <c r="AA377" s="386">
        <f t="shared" si="140"/>
        <v>10.842978487882741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8.8896509156632622E-2</v>
      </c>
      <c r="AD377" s="231">
        <f>(INDEX(Models!$BJ377:$BT377,,AH377)*(1-AF377)+INDEX(Models!$BJ377:$BT377,,AH377+1)*AF377-ERP_i)*AE377*Ramure*Pc/MaxiM</f>
        <v>6.2049364192545502E-4</v>
      </c>
      <c r="AE377" s="305">
        <f t="shared" si="142"/>
        <v>0.5</v>
      </c>
      <c r="AF377" s="177">
        <f t="shared" si="143"/>
        <v>0.99738884556007412</v>
      </c>
      <c r="AG377" s="811">
        <f t="shared" si="149"/>
        <v>0</v>
      </c>
      <c r="AH377" s="176">
        <f t="shared" si="144"/>
        <v>6</v>
      </c>
      <c r="AI377" s="225">
        <f t="shared" si="145"/>
        <v>0.99738884556007412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411">
        <f>'2022'!Wh/'2022'!Env_an*'2023'!Env_an</f>
        <v>12.729271590176769</v>
      </c>
      <c r="C378" s="841"/>
      <c r="D378" s="393">
        <f t="shared" si="127"/>
        <v>13.308311842382837</v>
      </c>
      <c r="E378" s="385">
        <f t="shared" si="150"/>
        <v>14.278206331596932</v>
      </c>
      <c r="F378" s="385">
        <f t="shared" si="128"/>
        <v>14.281495231134461</v>
      </c>
      <c r="G378" s="110">
        <f t="shared" si="151"/>
        <v>0.56114496286898763</v>
      </c>
      <c r="H378" s="414" t="b">
        <f>Wh_hp&gt;='2022'!Maxi_hp</f>
        <v>0</v>
      </c>
      <c r="I378" s="390">
        <f>IF(H378,Wh_hp,'2022'!Maxi_hp)</f>
        <v>26.021620495154139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4.3509669675909191E-2</v>
      </c>
      <c r="M378" s="845"/>
      <c r="N378" s="845"/>
      <c r="O378" s="48">
        <f>IF(t&lt;Tnet,'2022'!Resal+('2022'!Salim-'2022'!Resal)*(1-EXP(('2022'!Tnet-t)/('2022'!Tau_j))),Resal+(Salim-Resal)*(1-EXP((Tnet-t)/(Tau_j))))*Salcycl</f>
        <v>6.7928314431748335E-2</v>
      </c>
      <c r="P378" s="169">
        <f>(INDEX(Models!$BJ378:$BT378,,T378)*(1-R378)+INDEX(Models!$BJ378:$BT378,,T378+1)*R378-ERP_i)*Q378*Ramure*Pc/MaxiM</f>
        <v>6.1678324208609562E-4</v>
      </c>
      <c r="Q378" s="305">
        <f t="shared" si="130"/>
        <v>0.5</v>
      </c>
      <c r="R378" s="177">
        <f t="shared" si="131"/>
        <v>0.99738884556007412</v>
      </c>
      <c r="S378" s="811">
        <f t="shared" si="132"/>
        <v>0</v>
      </c>
      <c r="T378" s="176">
        <f t="shared" si="133"/>
        <v>6</v>
      </c>
      <c r="U378" s="251">
        <f t="shared" si="134"/>
        <v>0.99738884556007412</v>
      </c>
      <c r="V378" s="383">
        <f t="shared" si="135"/>
        <v>22.67569261767008</v>
      </c>
      <c r="W378" s="402">
        <f t="shared" si="136"/>
        <v>12.729271590176769</v>
      </c>
      <c r="X378" s="157">
        <f t="shared" si="137"/>
        <v>45290</v>
      </c>
      <c r="Y378" s="385">
        <f t="shared" si="138"/>
        <v>12.44270442798811</v>
      </c>
      <c r="Z378" s="385">
        <f t="shared" si="139"/>
        <v>13.008709062194185</v>
      </c>
      <c r="AA378" s="386">
        <f t="shared" si="140"/>
        <v>14.278206331596932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8.891153691997121E-2</v>
      </c>
      <c r="AD378" s="231">
        <f>(INDEX(Models!$BJ378:$BT378,,AH378)*(1-AF378)+INDEX(Models!$BJ378:$BT378,,AH378+1)*AF378-ERP_i)*AE378*Ramure*Pc/MaxiM</f>
        <v>6.1678324208609562E-4</v>
      </c>
      <c r="AE378" s="305">
        <f t="shared" si="142"/>
        <v>0.5</v>
      </c>
      <c r="AF378" s="177">
        <f t="shared" si="143"/>
        <v>0.99738884556007412</v>
      </c>
      <c r="AG378" s="811">
        <f t="shared" si="149"/>
        <v>0</v>
      </c>
      <c r="AH378" s="176">
        <f t="shared" si="144"/>
        <v>6</v>
      </c>
      <c r="AI378" s="225">
        <f t="shared" si="145"/>
        <v>0.99738884556007412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411">
        <f>'2022'!Wh/'2022'!Env_an*'2023'!Env_an</f>
        <v>11.812628443115916</v>
      </c>
      <c r="C379" s="841"/>
      <c r="D379" s="393">
        <f t="shared" si="127"/>
        <v>12.350242131208413</v>
      </c>
      <c r="E379" s="385">
        <f t="shared" si="150"/>
        <v>13.250816738879751</v>
      </c>
      <c r="F379" s="385">
        <f t="shared" si="128"/>
        <v>13.253342500004157</v>
      </c>
      <c r="G379" s="110">
        <f t="shared" si="151"/>
        <v>0.51739641061123065</v>
      </c>
      <c r="H379" s="414" t="b">
        <f>Wh_hp&gt;='2022'!Maxi_hp</f>
        <v>0</v>
      </c>
      <c r="I379" s="390">
        <f>IF(H379,Wh_hp,'2022'!Maxi_hp)</f>
        <v>25.489311551615195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4.3530619268910997E-2</v>
      </c>
      <c r="M379" s="845"/>
      <c r="N379" s="845"/>
      <c r="O379" s="48">
        <f>IF(t&lt;Tnet,'2022'!Resal+('2022'!Salim-'2022'!Resal)*(1-EXP(('2022'!Tnet-t)/('2022'!Tau_j))),Resal+(Salim-Resal)*(1-EXP((Tnet-t)/(Tau_j))))*Salcycl</f>
        <v>6.7963705590231696E-2</v>
      </c>
      <c r="P379" s="169">
        <f>(INDEX(Models!$BJ379:$BT379,,T379)*(1-R379)+INDEX(Models!$BJ379:$BT379,,T379+1)*R379-ERP_i)*Q379*Ramure*Pc/MaxiM</f>
        <v>6.130216776351374E-4</v>
      </c>
      <c r="Q379" s="306">
        <f t="shared" si="130"/>
        <v>0.5</v>
      </c>
      <c r="R379" s="177">
        <f t="shared" si="131"/>
        <v>0.99738884556007412</v>
      </c>
      <c r="S379" s="811">
        <f t="shared" si="132"/>
        <v>0</v>
      </c>
      <c r="T379" s="176">
        <f t="shared" si="133"/>
        <v>6</v>
      </c>
      <c r="U379" s="307">
        <f t="shared" si="134"/>
        <v>0.99738884556007412</v>
      </c>
      <c r="V379" s="383">
        <f t="shared" si="135"/>
        <v>22.821258611224252</v>
      </c>
      <c r="W379" s="402">
        <f t="shared" si="136"/>
        <v>11.812628443115916</v>
      </c>
      <c r="X379" s="157">
        <f t="shared" si="137"/>
        <v>45291</v>
      </c>
      <c r="Y379" s="385">
        <f t="shared" si="138"/>
        <v>11.54694186659928</v>
      </c>
      <c r="Z379" s="385">
        <f t="shared" si="139"/>
        <v>12.07246368699564</v>
      </c>
      <c r="AA379" s="386">
        <f t="shared" si="140"/>
        <v>13.250816738879751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8.8926824293528856E-2</v>
      </c>
      <c r="AD379" s="231">
        <f>(INDEX(Models!$BJ379:$BT379,,AH379)*(1-AF379)+INDEX(Models!$BJ379:$BT379,,AH379+1)*AF379-ERP_i)*AE379*Ramure*Pc/MaxiM</f>
        <v>6.130216776351374E-4</v>
      </c>
      <c r="AE379" s="306">
        <f t="shared" si="142"/>
        <v>0.5</v>
      </c>
      <c r="AF379" s="177">
        <f t="shared" si="143"/>
        <v>0.99738884556007412</v>
      </c>
      <c r="AG379" s="811">
        <f t="shared" si="149"/>
        <v>0</v>
      </c>
      <c r="AH379" s="176">
        <f t="shared" si="144"/>
        <v>6</v>
      </c>
      <c r="AI379" s="222">
        <f t="shared" si="145"/>
        <v>0.99738884556007412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9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15.05843026866239</v>
      </c>
      <c r="J380" s="85">
        <f>IF(H380,An,'2022'!An_max)</f>
        <v>2020</v>
      </c>
      <c r="K380" s="234"/>
      <c r="L380" s="214"/>
      <c r="M380" s="850"/>
      <c r="N380" s="850"/>
      <c r="O380" s="153"/>
      <c r="P380" s="322"/>
      <c r="Q380" s="229"/>
      <c r="R380" s="229"/>
      <c r="S380" s="229"/>
      <c r="T380" s="229"/>
      <c r="U380" s="323"/>
      <c r="V380" s="383">
        <f>(V379+V15)/2</f>
        <v>23.19916802982047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1.7302124747819154</v>
      </c>
      <c r="C381" s="375"/>
      <c r="D381" s="373">
        <f>MIN(D15:D380)</f>
        <v>1.7949465151479889</v>
      </c>
      <c r="E381" s="373">
        <f>MIN(E15:E380)</f>
        <v>1.8930511813513402</v>
      </c>
      <c r="F381" s="374">
        <f>MIN(F15:F380)</f>
        <v>1.8930511813513402</v>
      </c>
      <c r="G381" s="125">
        <f>+MIN(G15:G380)</f>
        <v>6.8482096046299429E-2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3.5874572097625346E-2</v>
      </c>
      <c r="M381" s="847"/>
      <c r="N381" s="847"/>
      <c r="O381" s="47">
        <f t="shared" si="152"/>
        <v>5.1358326016663652E-2</v>
      </c>
      <c r="P381" s="168">
        <f t="shared" si="152"/>
        <v>2.6600226449658712E-6</v>
      </c>
      <c r="Q381" s="310">
        <f t="shared" si="152"/>
        <v>0.5</v>
      </c>
      <c r="R381" s="311">
        <f t="shared" si="152"/>
        <v>0.49739011859624521</v>
      </c>
      <c r="S381" s="811">
        <f t="shared" si="152"/>
        <v>0</v>
      </c>
      <c r="T381" s="176">
        <f t="shared" si="152"/>
        <v>6</v>
      </c>
      <c r="U381" s="252">
        <f>+MIN(U15:U380)</f>
        <v>0.49739011859624521</v>
      </c>
      <c r="V381" s="57">
        <f>MIN(V15:V380)</f>
        <v>21.908721733325248</v>
      </c>
      <c r="W381" s="58"/>
      <c r="X381" s="112" t="s">
        <v>7</v>
      </c>
      <c r="Y381" s="373">
        <f>MIN(Y15:Y380)</f>
        <v>1.6773292027524371</v>
      </c>
      <c r="Z381" s="373">
        <f>MIN(Z15:Z380)</f>
        <v>1.7400846723266905</v>
      </c>
      <c r="AA381" s="373">
        <f>MIN(AA15:AA380)</f>
        <v>1.8930511813513402</v>
      </c>
      <c r="AB381" s="200" t="s">
        <v>7</v>
      </c>
      <c r="AC381" s="47">
        <f t="shared" ref="AC381:AH381" si="153">MIN(AC15:AC380)</f>
        <v>8.0586766839386467E-2</v>
      </c>
      <c r="AD381" s="168">
        <f t="shared" si="153"/>
        <v>2.6600226449658712E-6</v>
      </c>
      <c r="AE381" s="310">
        <f t="shared" si="153"/>
        <v>0.5</v>
      </c>
      <c r="AF381" s="311">
        <f t="shared" si="153"/>
        <v>0.49739011859624521</v>
      </c>
      <c r="AG381" s="811">
        <f t="shared" si="153"/>
        <v>0</v>
      </c>
      <c r="AH381" s="176">
        <f t="shared" si="153"/>
        <v>6</v>
      </c>
      <c r="AI381" s="226">
        <f>MIN(AI15:AI380)</f>
        <v>0.49739011859624521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29.381623382571437</v>
      </c>
      <c r="C382" s="375"/>
      <c r="D382" s="375">
        <f>AVERAGE(D15:D380)</f>
        <v>30.592939132156367</v>
      </c>
      <c r="E382" s="375">
        <f>AVERAGE(E15:E380)</f>
        <v>32.602261646536569</v>
      </c>
      <c r="F382" s="376">
        <f>AVERAGE(F15:F380)</f>
        <v>32.606185725526963</v>
      </c>
      <c r="G382" s="126">
        <f>AVERAGE(G15:G380)</f>
        <v>0.67226552424972796</v>
      </c>
      <c r="H382" s="94"/>
      <c r="I382" s="376">
        <f>AVERAGE(I15:I380)</f>
        <v>43.917567275552003</v>
      </c>
      <c r="J382" s="59">
        <f>AVERAGE(J15:J380)</f>
        <v>2020.1120218579235</v>
      </c>
      <c r="K382" s="200" t="s">
        <v>8</v>
      </c>
      <c r="L382" s="147">
        <f t="shared" ref="L382:V382" si="154">AVERAGE(L15:L380)</f>
        <v>3.9707668267669666E-2</v>
      </c>
      <c r="M382" s="845"/>
      <c r="N382" s="845"/>
      <c r="O382" s="48">
        <f t="shared" si="154"/>
        <v>6.1442986609635757E-2</v>
      </c>
      <c r="P382" s="169">
        <f t="shared" si="154"/>
        <v>2.2696525238073126E-4</v>
      </c>
      <c r="Q382" s="312">
        <f t="shared" si="154"/>
        <v>0.5</v>
      </c>
      <c r="R382" s="177">
        <f t="shared" si="154"/>
        <v>0.77727371559538849</v>
      </c>
      <c r="S382" s="811">
        <f t="shared" si="154"/>
        <v>0</v>
      </c>
      <c r="T382" s="176">
        <f t="shared" si="154"/>
        <v>6</v>
      </c>
      <c r="U382" s="251">
        <f t="shared" si="154"/>
        <v>0.77727371559538849</v>
      </c>
      <c r="V382" s="59">
        <f t="shared" si="154"/>
        <v>42.340396006512734</v>
      </c>
      <c r="X382" s="112" t="s">
        <v>8</v>
      </c>
      <c r="Y382" s="375">
        <f>AVERAGE(Y15:Y380)</f>
        <v>28.580113510061601</v>
      </c>
      <c r="Z382" s="375">
        <f>AVERAGE(Z15:Z380)</f>
        <v>29.758483364216936</v>
      </c>
      <c r="AA382" s="375">
        <f>AVERAGE(AA15:AA380)</f>
        <v>32.602261646536569</v>
      </c>
      <c r="AB382" s="200" t="s">
        <v>8</v>
      </c>
      <c r="AC382" s="48">
        <f t="shared" ref="AC382:AH382" si="155">AVERAGE(AC15:AC380)</f>
        <v>8.6821581333136111E-2</v>
      </c>
      <c r="AD382" s="169">
        <f t="shared" si="155"/>
        <v>2.2696525238073126E-4</v>
      </c>
      <c r="AE382" s="312">
        <f t="shared" si="155"/>
        <v>0.5</v>
      </c>
      <c r="AF382" s="177">
        <f t="shared" si="155"/>
        <v>0.77727371559538849</v>
      </c>
      <c r="AG382" s="811">
        <f t="shared" si="155"/>
        <v>0</v>
      </c>
      <c r="AH382" s="176">
        <f t="shared" si="155"/>
        <v>6</v>
      </c>
      <c r="AI382" s="225">
        <f>AVERAGE(AI15:AI380)</f>
        <v>0.77727371559538849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56.324591359475534</v>
      </c>
      <c r="C383" s="377"/>
      <c r="D383" s="377">
        <f>MAX(D15:D380)</f>
        <v>58.610081877762326</v>
      </c>
      <c r="E383" s="377">
        <f>MAX(E15:E380)</f>
        <v>62.385121808943332</v>
      </c>
      <c r="F383" s="378">
        <f>MAX(F15:F380)</f>
        <v>62.395784625461808</v>
      </c>
      <c r="G383" s="127">
        <f>+MAX(G15:G380)</f>
        <v>1.0441658803409342</v>
      </c>
      <c r="H383" s="94"/>
      <c r="I383" s="378">
        <f>MAX(I15:I380)</f>
        <v>66.115436428019962</v>
      </c>
      <c r="J383" s="60">
        <f>MAX(J15:J380)</f>
        <v>2023</v>
      </c>
      <c r="K383" s="200" t="s">
        <v>9</v>
      </c>
      <c r="L383" s="148">
        <f t="shared" ref="L383:T383" si="156">MAX(L15:L380)</f>
        <v>4.3530619268910997E-2</v>
      </c>
      <c r="M383" s="848"/>
      <c r="N383" s="848"/>
      <c r="O383" s="49">
        <f t="shared" si="156"/>
        <v>6.7963705590231696E-2</v>
      </c>
      <c r="P383" s="170">
        <f t="shared" si="156"/>
        <v>6.4472801803552057E-4</v>
      </c>
      <c r="Q383" s="313">
        <f t="shared" si="156"/>
        <v>0.5</v>
      </c>
      <c r="R383" s="314">
        <f t="shared" si="156"/>
        <v>0.99738884556007412</v>
      </c>
      <c r="S383" s="812">
        <f t="shared" si="156"/>
        <v>0</v>
      </c>
      <c r="T383" s="233">
        <f t="shared" si="156"/>
        <v>6</v>
      </c>
      <c r="U383" s="253">
        <f>+MAX(U15:U380)</f>
        <v>0.99738884556007412</v>
      </c>
      <c r="V383" s="60">
        <f>MAX(V15:V380)</f>
        <v>57.5529316084817</v>
      </c>
      <c r="X383" s="112" t="s">
        <v>9</v>
      </c>
      <c r="Y383" s="377">
        <f>MAX(Y15:Y380)</f>
        <v>54.748707152283707</v>
      </c>
      <c r="Z383" s="377">
        <f>MAX(Z15:Z380)</f>
        <v>56.970252805165828</v>
      </c>
      <c r="AA383" s="377">
        <f>MAX(AA15:AA380)</f>
        <v>62.385121808943332</v>
      </c>
      <c r="AB383" s="200" t="s">
        <v>9</v>
      </c>
      <c r="AC383" s="49">
        <f t="shared" ref="AC383:AH383" si="157">MAX(AC15:AC380)</f>
        <v>9.0707445167863665E-2</v>
      </c>
      <c r="AD383" s="170">
        <f t="shared" si="157"/>
        <v>6.4472801803552057E-4</v>
      </c>
      <c r="AE383" s="313">
        <f t="shared" si="157"/>
        <v>0.5</v>
      </c>
      <c r="AF383" s="314">
        <f t="shared" si="157"/>
        <v>0.99738884556007412</v>
      </c>
      <c r="AG383" s="812">
        <f t="shared" si="157"/>
        <v>0</v>
      </c>
      <c r="AH383" s="233">
        <f t="shared" si="157"/>
        <v>6</v>
      </c>
      <c r="AI383" s="227">
        <f>MAX(AI15:AI380)</f>
        <v>0.99738884556007412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'2023'!An+1</f>
        <v>2024</v>
      </c>
      <c r="K1" s="1271"/>
      <c r="L1" s="113" t="str">
        <f>"Calcul pertes et enveloppes en "&amp;TEXT(An,0)</f>
        <v>Calcul pertes et enveloppes en 2024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2024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60.286065714478127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530.73482221374479</v>
      </c>
      <c r="AK4" s="834">
        <f>AM12-AK12</f>
        <v>-9.6937171352466267E-2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591.34644106767382</v>
      </c>
      <c r="AA5" s="237">
        <f>Wh_Pvg_s-Wh_Pvg</f>
        <v>-9.6937171352466267E-2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2842.4251941231209</v>
      </c>
      <c r="AK5" s="516">
        <f>SUMIF(AK15:AK380,"VRAI",Wh)</f>
        <v>0</v>
      </c>
      <c r="AL5" s="516">
        <f>SUMIF(AJ15:AJ380,"VRAI",Wh_s)</f>
        <v>2782.1378157609333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8175.9189862633048</v>
      </c>
      <c r="AK6" s="516">
        <f>SUMIF(AK15:AK380,"FAUX",Wh)</f>
        <v>11018.344180386423</v>
      </c>
      <c r="AL6" s="516">
        <f>SUMIF(AJ15:AJ380,"FAUX",Wh_s)</f>
        <v>7645.1432558556116</v>
      </c>
      <c r="AM6" s="516">
        <f>SUMIF(AK15:AK380,"FAUX",Wh_s)</f>
        <v>10427.281071616544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AND(YEAR(Tnet)=An,Resal_2024="I")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2976.3193199130837</v>
      </c>
      <c r="AK7" s="516">
        <f>SUMIF(AK15:AK380,"VRAI",Wh_sa)</f>
        <v>0</v>
      </c>
      <c r="AL7" s="516">
        <f>SUMIF(AJ15:AJ380,"VRAI",Wh_pvt_s)</f>
        <v>2913.1933190896661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AND(YEAR(Tnet)=An,Resal_2024&lt;&gt;"I")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8588.8991757929271</v>
      </c>
      <c r="AK8" s="516">
        <f>SUMIF(AK15:AK380,"FAUX",Wh_sa)</f>
        <v>11915.757510222547</v>
      </c>
      <c r="AL8" s="516">
        <f>SUMIF(AJ15:AJ380,"FAUX",Wh_pvt_s)</f>
        <v>8031.3526322496891</v>
      </c>
      <c r="AM8" s="516">
        <f>SUMIF(AK15:AK380,"FAUX",Wh_sa_s)</f>
        <v>11915.757510222547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11565.218495706016</v>
      </c>
      <c r="E9" s="184">
        <f>SUM(E$15:E$380)</f>
        <v>11915.757510222547</v>
      </c>
      <c r="F9" s="184">
        <f>SUM(F$15:F$380)</f>
        <v>11917.711751335593</v>
      </c>
      <c r="H9" s="1272">
        <f>+SUM(Wh)</f>
        <v>11018.344180386423</v>
      </c>
      <c r="I9" s="1273"/>
      <c r="J9" s="1274"/>
      <c r="K9" s="191"/>
      <c r="L9" s="232"/>
      <c r="M9" s="232"/>
      <c r="N9" s="232"/>
      <c r="O9" s="223">
        <f>Tnet_2024</f>
        <v>45412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10427.281071616544</v>
      </c>
      <c r="Y9" s="1267"/>
      <c r="Z9" s="516">
        <f>SUM(Z$15:Z$380)</f>
        <v>10944.545951339345</v>
      </c>
      <c r="AA9" s="516">
        <f>SUM(AA$15:AA$380)</f>
        <v>11915.757510222547</v>
      </c>
      <c r="AB9" s="516">
        <f>F9</f>
        <v>11917.711751335593</v>
      </c>
      <c r="AC9" s="325">
        <f>IF(An_Tnet,Tnet,'2023'!Tnet_s)</f>
        <v>45412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3202.5903806165934</v>
      </c>
      <c r="AK9" s="516">
        <f>SUMIF(AK15:AK380,"VRAI",Wh_hp)</f>
        <v>0</v>
      </c>
      <c r="AL9" s="516">
        <f>SUMIF(AJ15:AJ380,"VRAI",Wh_sa_s)</f>
        <v>3202.5903806165934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5.0000000000000001E-3</v>
      </c>
      <c r="P10" s="421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IF(OR(Inflex,GainD),'2023'!Resal_s+('2023'!Salim-'2023'!Resal_s)*(1-EXP(('2023'!Tnet_s-Tnet)/('2023'!Tau_j))),IF(Acti_net,'2023'!Resal+('2023'!Salim-'2023'!Resal)*(1-EXP(('2023'!Tnet-Tnet)/'2023'!Tau_j)),'2023'!Resal_s))</f>
        <v>7.2323972146323606E-2</v>
      </c>
      <c r="AD10" s="428"/>
      <c r="AE10" s="428"/>
      <c r="AF10" s="260"/>
      <c r="AG10" s="261"/>
      <c r="AH10" s="262"/>
      <c r="AI10" s="473"/>
      <c r="AJ10" s="516">
        <f>SUMIF(AJ15:AJ380,"FAUX",Wh_sa)</f>
        <v>8713.1671296059485</v>
      </c>
      <c r="AK10" s="516">
        <f>SUMIF(AK15:AK380,"FAUX",Wh_hp)</f>
        <v>11917.711751335593</v>
      </c>
      <c r="AL10" s="516">
        <f>SUMIF(AJ15:AJ380,"FAUX",Wh_sa_s)</f>
        <v>8713.1671296059485</v>
      </c>
      <c r="AM10" s="516">
        <f>SUMIF(AK15:AK380,"FAUX",Wh_hp)</f>
        <v>11917.711751335593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546.87431531959373</v>
      </c>
      <c r="E11" s="51">
        <f>(E$9-D$9)*Prod_an/D$9</f>
        <v>333.96338443849078</v>
      </c>
      <c r="F11" s="186">
        <f>(F$9-E$9)*Prod_an/E$9</f>
        <v>1.8070610430373073</v>
      </c>
      <c r="G11" s="185" t="s">
        <v>6</v>
      </c>
      <c r="K11" s="194"/>
      <c r="L11" s="211">
        <f>Tvie_2024</f>
        <v>43259</v>
      </c>
      <c r="M11" s="844"/>
      <c r="N11" s="844"/>
      <c r="O11" s="202">
        <f>IF(An_Tnet,Salim_2024,'2023'!Salim)</f>
        <v>0.11</v>
      </c>
      <c r="P11" s="256">
        <f>Ttai_2024</f>
        <v>43101</v>
      </c>
      <c r="Q11" s="272">
        <f>Dens_2024</f>
        <v>0.5</v>
      </c>
      <c r="R11" s="277"/>
      <c r="S11" s="230"/>
      <c r="T11" s="230"/>
      <c r="U11" s="266">
        <f>Htf_2024</f>
        <v>1.4973888455600741</v>
      </c>
      <c r="V11" s="428"/>
      <c r="W11" s="519"/>
      <c r="X11" s="526" t="s">
        <v>43</v>
      </c>
      <c r="Y11" s="50">
        <f>Z$9-Prod_an_s</f>
        <v>517.2648797228012</v>
      </c>
      <c r="Z11" s="51">
        <f>(AA$9-Z$9)*Prod_an_s/Z$9</f>
        <v>925.30982550616454</v>
      </c>
      <c r="AA11" s="186">
        <f>(AB$9-AA$9)*Prod_an_s/AA$9</f>
        <v>1.710123871684841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216.09192244312004</v>
      </c>
      <c r="AK11" s="834">
        <f>IF($AK7=0,0,($AK9-$AK7)*$AK5/$AK7)</f>
        <v>0</v>
      </c>
      <c r="AL11" s="833">
        <f>IF($AL7=0,0,($AL9-$AL7)*$AL5/$AL7)</f>
        <v>276.37798815759817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4.4165880340934383E-2</v>
      </c>
      <c r="K12" s="191"/>
      <c r="L12" s="212">
        <f>Pspv_2024</f>
        <v>0</v>
      </c>
      <c r="M12" s="212"/>
      <c r="N12" s="212"/>
      <c r="O12" s="205">
        <f>IF(An_Tnet,Tau_2024*365,'2023'!Tau_j)</f>
        <v>1095</v>
      </c>
      <c r="P12" s="281">
        <f>INDEX(Croivg,MIN(MAX(Ttai-$A$15,0)+1,366))</f>
        <v>2.3909964587625958E-6</v>
      </c>
      <c r="Q12" s="280">
        <f>'2023'!Df</f>
        <v>0.5</v>
      </c>
      <c r="R12" s="278"/>
      <c r="S12" s="279"/>
      <c r="T12" s="279"/>
      <c r="U12" s="267">
        <f>'2023'!Hdf</f>
        <v>0.99738884556007412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'2023'!Df_s</f>
        <v>0.5</v>
      </c>
      <c r="AF12" s="203"/>
      <c r="AG12" s="203"/>
      <c r="AH12" s="203"/>
      <c r="AI12" s="297">
        <f>'2023'!Hdf_s</f>
        <v>0.99738884556007412</v>
      </c>
      <c r="AJ12" s="833">
        <f>IF($AJ8=0,0,($AJ10-$AJ8)*$AJ6/$AJ8)</f>
        <v>118.29277561290921</v>
      </c>
      <c r="AK12" s="834">
        <f>IF($AK8=0,0,($AK10-$AK8)*$AK6/$AK8)</f>
        <v>1.8070610430373073</v>
      </c>
      <c r="AL12" s="833">
        <f>IF($AL8=0,0,($AL10-$AL8)*$AL6/$AL8)</f>
        <v>649.02759782665396</v>
      </c>
      <c r="AM12" s="834">
        <f>IF($AM8=0,0,($AM10-$AM8)*$AM6/$AM8)</f>
        <v>1.710123871684841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334.38469805602926</v>
      </c>
      <c r="AK13" s="73">
        <f>+AK11+AK12</f>
        <v>1.8070610430373073</v>
      </c>
      <c r="AL13" s="73">
        <f>+AL11+AL12</f>
        <v>925.40558598425218</v>
      </c>
      <c r="AM13" s="73">
        <f>+AM11+AM12</f>
        <v>1.710123871684841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2024</v>
      </c>
      <c r="W14" s="838" t="s">
        <v>116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'2023'!Wh/'2023'!Env_an*'2024'!Env_an</f>
        <v>21.852189145109431</v>
      </c>
      <c r="C15" s="841"/>
      <c r="D15" s="393">
        <f t="shared" ref="D15:D78" si="0">Wh/(1-Ppv)</f>
        <v>22.847221473952189</v>
      </c>
      <c r="E15" s="400">
        <f t="shared" ref="E15:E79" si="1">Wh_pvt/(1-Psa)</f>
        <v>24.514166385343589</v>
      </c>
      <c r="F15" s="400">
        <f t="shared" ref="F15:F78" si="2">Wh_sa/(1-Pvg*MEDIAN((-Sdif+Wh/Env_an)/Csdif,0,1))</f>
        <v>24.528065718633446</v>
      </c>
      <c r="G15" s="123">
        <f>+Wh_hp/MaxiM</f>
        <v>0.95104836030293016</v>
      </c>
      <c r="H15" s="414" t="b">
        <f>Wh_hp&gt;='2023'!Maxi_hp</f>
        <v>0</v>
      </c>
      <c r="I15" s="396">
        <f>IF(H15,Wh_hp,'2023'!Maxi_hp)</f>
        <v>24.528525019852513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4.3551568403062957E-2</v>
      </c>
      <c r="M15" s="845"/>
      <c r="N15" s="845"/>
      <c r="O15" s="48">
        <f>IF(t&lt;Tnet,'2023'!Resal+('2023'!Salim-'2023'!Resal)*(1-EXP(('2023'!Tnet-t)/('2023'!Tau_j))),Resal+(Salim-Resal)*(1-EXP((Tnet-t)/(Tau_j))))*Salcycl</f>
        <v>6.7999249298888037E-2</v>
      </c>
      <c r="P15" s="302">
        <f>(INDEX(Models!$BJ15:$BT15,,T15)*(1-R15)+INDEX(Models!$BJ15:$BT15,,T15+1)*R15-ERP_i)*Q15*Ramure*Pc/MaxiM</f>
        <v>6.0924003727881896E-4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0.99739004105830353</v>
      </c>
      <c r="S15" s="810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0.99739004105830353</v>
      </c>
      <c r="V15" s="382">
        <f t="shared" ref="V15:V78" si="9">MaxiM*(1-Ppv)*(1-Pvg)*(1-Psa)</f>
        <v>22.975969776065725</v>
      </c>
      <c r="W15" s="402">
        <f t="shared" ref="W15:W78" si="10">Wh*(A15&gt;Tmaj)</f>
        <v>21.852189145109431</v>
      </c>
      <c r="X15" s="156">
        <f t="shared" ref="X15:X78" si="11">t</f>
        <v>45292</v>
      </c>
      <c r="Y15" s="385">
        <f t="shared" ref="Y15:Y78" si="12">Wh_pvt_s*(1-Ppv)</f>
        <v>21.361146161113766</v>
      </c>
      <c r="Z15" s="385">
        <f>Wh_sa_s*(1-Psa_s)</f>
        <v>22.333819007312357</v>
      </c>
      <c r="AA15" s="386">
        <f t="shared" ref="AA15:AA78" si="13">Wh_hp*(1-Pvg_s*MEDIAN((-Sdif+Wh/Env_an)/Csdif,0,1))</f>
        <v>24.514166385343589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8.894234230762206E-2</v>
      </c>
      <c r="AD15" s="231">
        <f>(INDEX(Models!$BJ15:$BT15,,AH15)*(1-AF15)+INDEX(Models!$BJ15:$BT15,,AH15+1)*AF15-ERP_i)*AE15*Ramure*Pc/MaxiM</f>
        <v>6.0924003727881896E-4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0.99739004105830353</v>
      </c>
      <c r="AG15" s="810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0.99739004105830353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'2023'!Wh/'2023'!Env_an*'2024'!Env_an</f>
        <v>15.712925314572319</v>
      </c>
      <c r="C16" s="841"/>
      <c r="D16" s="393">
        <f t="shared" si="0"/>
        <v>16.428768092875814</v>
      </c>
      <c r="E16" s="385">
        <f t="shared" si="1"/>
        <v>17.628094171032263</v>
      </c>
      <c r="F16" s="385">
        <f t="shared" si="2"/>
        <v>17.633872138122637</v>
      </c>
      <c r="G16" s="110">
        <f t="shared" ref="G16:G79" si="21">+Wh_hp/MaxiM</f>
        <v>0.67888587563802727</v>
      </c>
      <c r="H16" s="414" t="b">
        <f>Wh_hp&gt;='2023'!Maxi_hp</f>
        <v>0</v>
      </c>
      <c r="I16" s="390">
        <f>IF(H16,Wh_hp,'2023'!Maxi_hp)</f>
        <v>24.297474136240545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4.3572517078375061E-2</v>
      </c>
      <c r="M16" s="845"/>
      <c r="N16" s="845"/>
      <c r="O16" s="48">
        <f>IF(t&lt;Tnet,'2023'!Resal+('2023'!Salim-'2023'!Resal)*(1-EXP(('2023'!Tnet-t)/('2023'!Tau_j))),Resal+(Salim-Resal)*(1-EXP((Tnet-t)/(Tau_j))))*Salcycl</f>
        <v>6.8034925756595296E-2</v>
      </c>
      <c r="P16" s="169">
        <f>(INDEX(Models!$BJ16:$BT16,,T16)*(1-R16)+INDEX(Models!$BJ16:$BT16,,T16+1)*R16-ERP_i)*Q16*Ramure*Pc/MaxiM</f>
        <v>6.0506364576036725E-4</v>
      </c>
      <c r="Q16" s="305">
        <f t="shared" si="4"/>
        <v>0.5</v>
      </c>
      <c r="R16" s="177">
        <f t="shared" si="5"/>
        <v>0.99741925567229772</v>
      </c>
      <c r="S16" s="811">
        <f t="shared" si="6"/>
        <v>0</v>
      </c>
      <c r="T16" s="176">
        <f t="shared" si="7"/>
        <v>6</v>
      </c>
      <c r="U16" s="251">
        <f t="shared" si="8"/>
        <v>0.99741925567229772</v>
      </c>
      <c r="V16" s="383">
        <f t="shared" si="9"/>
        <v>23.13874197954884</v>
      </c>
      <c r="W16" s="402">
        <f t="shared" si="10"/>
        <v>15.712925314572319</v>
      </c>
      <c r="X16" s="157">
        <f t="shared" si="11"/>
        <v>45293</v>
      </c>
      <c r="Y16" s="385">
        <f t="shared" si="12"/>
        <v>15.360161321666528</v>
      </c>
      <c r="Z16" s="385">
        <f t="shared" ref="Z16:Z78" si="22">Wh_sa_s*(1-Psa_s)</f>
        <v>16.059933027797808</v>
      </c>
      <c r="AA16" s="386">
        <f t="shared" si="13"/>
        <v>17.628094171032263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8.895806478112471E-2</v>
      </c>
      <c r="AD16" s="231">
        <f>(INDEX(Models!$BJ16:$BT16,,AH16)*(1-AF16)+INDEX(Models!$BJ16:$BT16,,AH16+1)*AF16-ERP_i)*AE16*Ramure*Pc/MaxiM</f>
        <v>6.0506364576036725E-4</v>
      </c>
      <c r="AE16" s="305">
        <f t="shared" si="15"/>
        <v>0.5</v>
      </c>
      <c r="AF16" s="177">
        <f t="shared" ref="AF16:AF78" si="23">(Hp_vg_s-AG16)/(INDEX(Echel_vg,AH16+1)-AG16)</f>
        <v>0.99741925567229772</v>
      </c>
      <c r="AG16" s="811">
        <f t="shared" ref="AG16:AG79" si="24">INDEX(Echel_vg,AH16)</f>
        <v>0</v>
      </c>
      <c r="AH16" s="176">
        <f t="shared" si="16"/>
        <v>6</v>
      </c>
      <c r="AI16" s="225">
        <f t="shared" si="17"/>
        <v>0.99741925567229772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'2023'!Wh/'2023'!Env_an*'2024'!Env_an</f>
        <v>16.909516882228495</v>
      </c>
      <c r="C17" s="841"/>
      <c r="D17" s="393">
        <f t="shared" si="0"/>
        <v>17.680260714071398</v>
      </c>
      <c r="E17" s="385">
        <f t="shared" si="1"/>
        <v>18.971676329330943</v>
      </c>
      <c r="F17" s="385">
        <f t="shared" si="2"/>
        <v>18.97860357709957</v>
      </c>
      <c r="G17" s="110">
        <f t="shared" si="21"/>
        <v>0.72529531649739709</v>
      </c>
      <c r="H17" s="414" t="b">
        <f>Wh_hp&gt;='2023'!Maxi_hp</f>
        <v>0</v>
      </c>
      <c r="I17" s="390">
        <f>IF(H17,Wh_hp,'2023'!Maxi_hp)</f>
        <v>27.383515682442006</v>
      </c>
      <c r="J17" s="85">
        <f>IF(H17,An,'2023'!An_max)</f>
        <v>2019</v>
      </c>
      <c r="K17" s="197">
        <f t="shared" si="3"/>
        <v>45294</v>
      </c>
      <c r="L17" s="147">
        <f>IF(t&lt;Tvie,1-EXP((T0-t)*PertePVj)+'2023'!Pspv,1-EXP((T0-t)*PertePVj)+Pspv)</f>
        <v>4.3593465294857525E-2</v>
      </c>
      <c r="M17" s="845"/>
      <c r="N17" s="845"/>
      <c r="O17" s="48">
        <f>IF(t&lt;Tnet,'2023'!Resal+('2023'!Salim-'2023'!Resal)*(1-EXP(('2023'!Tnet-t)/('2023'!Tau_j))),Resal+(Salim-Resal)*(1-EXP((Tnet-t)/(Tau_j))))*Salcycl</f>
        <v>6.8070717254593266E-2</v>
      </c>
      <c r="P17" s="169">
        <f>(INDEX(Models!$BJ17:$BT17,,T17)*(1-R17)+INDEX(Models!$BJ17:$BT17,,T17+1)*R17-ERP_i)*Q17*Ramure*Pc/MaxiM</f>
        <v>6.0052266235375825E-4</v>
      </c>
      <c r="Q17" s="305">
        <f t="shared" si="4"/>
        <v>0.5</v>
      </c>
      <c r="R17" s="177">
        <f t="shared" si="5"/>
        <v>0.99744969226778735</v>
      </c>
      <c r="S17" s="811">
        <f t="shared" si="6"/>
        <v>0</v>
      </c>
      <c r="T17" s="176">
        <f t="shared" si="7"/>
        <v>6</v>
      </c>
      <c r="U17" s="251">
        <f t="shared" si="8"/>
        <v>0.99744969226778735</v>
      </c>
      <c r="V17" s="383">
        <f t="shared" si="9"/>
        <v>23.308482104183533</v>
      </c>
      <c r="W17" s="402">
        <f t="shared" si="10"/>
        <v>16.909516882228495</v>
      </c>
      <c r="X17" s="157">
        <f t="shared" si="11"/>
        <v>45294</v>
      </c>
      <c r="Y17" s="385">
        <f t="shared" si="12"/>
        <v>16.53023501709874</v>
      </c>
      <c r="Z17" s="385">
        <f t="shared" si="22"/>
        <v>17.283691000914132</v>
      </c>
      <c r="AA17" s="386">
        <f t="shared" si="13"/>
        <v>18.971676329330943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8.8973968304905102E-2</v>
      </c>
      <c r="AD17" s="231">
        <f>(INDEX(Models!$BJ17:$BT17,,AH17)*(1-AF17)+INDEX(Models!$BJ17:$BT17,,AH17+1)*AF17-ERP_i)*AE17*Ramure*Pc/MaxiM</f>
        <v>6.0052266235375825E-4</v>
      </c>
      <c r="AE17" s="305">
        <f t="shared" si="15"/>
        <v>0.5</v>
      </c>
      <c r="AF17" s="177">
        <f>(Hp_vg_s-AG17)/(INDEX(Echel_vg,AH17+1)-AG17)</f>
        <v>0.99744969226778735</v>
      </c>
      <c r="AG17" s="811">
        <f>INDEX(Echel_vg,AH17)</f>
        <v>0</v>
      </c>
      <c r="AH17" s="176">
        <f t="shared" si="16"/>
        <v>6</v>
      </c>
      <c r="AI17" s="225">
        <f t="shared" si="17"/>
        <v>0.99744969226778735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'2023'!Wh/'2023'!Env_an*'2024'!Env_an</f>
        <v>17.867341647587281</v>
      </c>
      <c r="C18" s="841"/>
      <c r="D18" s="393">
        <f t="shared" si="0"/>
        <v>18.682152775445864</v>
      </c>
      <c r="E18" s="385">
        <f t="shared" si="1"/>
        <v>20.047521464172647</v>
      </c>
      <c r="F18" s="385">
        <f t="shared" si="2"/>
        <v>20.055385850246182</v>
      </c>
      <c r="G18" s="110">
        <f t="shared" si="21"/>
        <v>0.76067237295582368</v>
      </c>
      <c r="H18" s="414" t="b">
        <f>Wh_hp&gt;='2023'!Maxi_hp</f>
        <v>0</v>
      </c>
      <c r="I18" s="390">
        <f>IF(H18,Wh_hp,'2023'!Maxi_hp)</f>
        <v>24.454097030053351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4.3614413052520229E-2</v>
      </c>
      <c r="M18" s="845"/>
      <c r="N18" s="845"/>
      <c r="O18" s="48">
        <f>IF(t&lt;Tnet,'2023'!Resal+('2023'!Salim-'2023'!Resal)*(1-EXP(('2023'!Tnet-t)/('2023'!Tau_j))),Resal+(Salim-Resal)*(1-EXP((Tnet-t)/(Tau_j))))*Salcycl</f>
        <v>6.8106608149384559E-2</v>
      </c>
      <c r="P18" s="169">
        <f>(INDEX(Models!$BJ18:$BT18,,T18)*(1-R18)+INDEX(Models!$BJ18:$BT18,,T18+1)*R18-ERP_i)*Q18*Ramure*Pc/MaxiM</f>
        <v>5.956534555787772E-4</v>
      </c>
      <c r="Q18" s="305">
        <f t="shared" si="4"/>
        <v>0.5</v>
      </c>
      <c r="R18" s="177">
        <f t="shared" si="5"/>
        <v>0.9974814017990824</v>
      </c>
      <c r="S18" s="811">
        <f t="shared" si="6"/>
        <v>0</v>
      </c>
      <c r="T18" s="176">
        <f t="shared" si="7"/>
        <v>6</v>
      </c>
      <c r="U18" s="251">
        <f t="shared" si="8"/>
        <v>0.9974814017990824</v>
      </c>
      <c r="V18" s="383">
        <f t="shared" si="9"/>
        <v>23.48409708742598</v>
      </c>
      <c r="W18" s="402">
        <f t="shared" si="10"/>
        <v>17.867341647587281</v>
      </c>
      <c r="X18" s="157">
        <f t="shared" si="11"/>
        <v>45295</v>
      </c>
      <c r="Y18" s="385">
        <f t="shared" si="12"/>
        <v>17.466940404726842</v>
      </c>
      <c r="Z18" s="385">
        <f>Wh_sa_s*(1-Psa_s)</f>
        <v>18.263491883515854</v>
      </c>
      <c r="AA18" s="386">
        <f t="shared" si="13"/>
        <v>20.047521464172647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8.8990032201490391E-2</v>
      </c>
      <c r="AD18" s="231">
        <f>(INDEX(Models!$BJ18:$BT18,,AH18)*(1-AF18)+INDEX(Models!$BJ18:$BT18,,AH18+1)*AF18-ERP_i)*AE18*Ramure*Pc/MaxiM</f>
        <v>5.956534555787772E-4</v>
      </c>
      <c r="AE18" s="305">
        <f t="shared" si="15"/>
        <v>0.5</v>
      </c>
      <c r="AF18" s="177">
        <f t="shared" si="23"/>
        <v>0.9974814017990824</v>
      </c>
      <c r="AG18" s="811">
        <f t="shared" si="24"/>
        <v>0</v>
      </c>
      <c r="AH18" s="176">
        <f t="shared" si="16"/>
        <v>6</v>
      </c>
      <c r="AI18" s="225">
        <f t="shared" si="17"/>
        <v>0.9974814017990824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'2023'!Wh/'2023'!Env_an*'2024'!Env_an</f>
        <v>14.225888696728861</v>
      </c>
      <c r="C19" s="841"/>
      <c r="D19" s="393">
        <f t="shared" si="0"/>
        <v>14.87496307052457</v>
      </c>
      <c r="E19" s="385">
        <f t="shared" si="1"/>
        <v>15.962702907314947</v>
      </c>
      <c r="F19" s="385">
        <f t="shared" si="2"/>
        <v>15.966759054003422</v>
      </c>
      <c r="G19" s="110">
        <f t="shared" si="21"/>
        <v>0.600946763308701</v>
      </c>
      <c r="H19" s="414" t="b">
        <f>Wh_hp&gt;='2023'!Maxi_hp</f>
        <v>0</v>
      </c>
      <c r="I19" s="390">
        <f>IF(H19,Wh_hp,'2023'!Maxi_hp)</f>
        <v>27.046839831733369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4.3635360351373276E-2</v>
      </c>
      <c r="M19" s="845"/>
      <c r="N19" s="845"/>
      <c r="O19" s="48">
        <f>IF(t&lt;Tnet,'2023'!Resal+('2023'!Salim-'2023'!Resal)*(1-EXP(('2023'!Tnet-t)/('2023'!Tau_j))),Resal+(Salim-Resal)*(1-EXP((Tnet-t)/(Tau_j))))*Salcycl</f>
        <v>6.81425848182588E-2</v>
      </c>
      <c r="P19" s="169">
        <f>(INDEX(Models!$BJ19:$BT19,,T19)*(1-R19)+INDEX(Models!$BJ19:$BT19,,T19+1)*R19-ERP_i)*Q19*Ramure*Pc/MaxiM</f>
        <v>5.9049114479384072E-4</v>
      </c>
      <c r="Q19" s="305">
        <f t="shared" si="4"/>
        <v>0.5</v>
      </c>
      <c r="R19" s="177">
        <f t="shared" si="5"/>
        <v>0.99751443733164413</v>
      </c>
      <c r="S19" s="811">
        <f t="shared" si="6"/>
        <v>0</v>
      </c>
      <c r="T19" s="176">
        <f t="shared" si="7"/>
        <v>6</v>
      </c>
      <c r="U19" s="251">
        <f t="shared" si="8"/>
        <v>0.99751443733164413</v>
      </c>
      <c r="V19" s="383">
        <f t="shared" si="9"/>
        <v>23.664494076327603</v>
      </c>
      <c r="W19" s="402">
        <f t="shared" si="10"/>
        <v>14.225888696728861</v>
      </c>
      <c r="X19" s="157">
        <f t="shared" si="11"/>
        <v>45296</v>
      </c>
      <c r="Y19" s="385">
        <f t="shared" si="12"/>
        <v>13.907380725756681</v>
      </c>
      <c r="Z19" s="385">
        <f t="shared" si="22"/>
        <v>14.54192276584622</v>
      </c>
      <c r="AA19" s="386">
        <f t="shared" si="13"/>
        <v>15.962702907314947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8.9006238462137316E-2</v>
      </c>
      <c r="AD19" s="231">
        <f>(INDEX(Models!$BJ19:$BT19,,AH19)*(1-AF19)+INDEX(Models!$BJ19:$BT19,,AH19+1)*AF19-ERP_i)*AE19*Ramure*Pc/MaxiM</f>
        <v>5.9049114479384072E-4</v>
      </c>
      <c r="AE19" s="305">
        <f t="shared" si="15"/>
        <v>0.5</v>
      </c>
      <c r="AF19" s="177">
        <f t="shared" si="23"/>
        <v>0.99751443733164413</v>
      </c>
      <c r="AG19" s="811">
        <f t="shared" si="24"/>
        <v>0</v>
      </c>
      <c r="AH19" s="176">
        <f t="shared" si="16"/>
        <v>6</v>
      </c>
      <c r="AI19" s="225">
        <f t="shared" si="17"/>
        <v>0.99751443733164413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'2023'!Wh/'2023'!Env_an*'2024'!Env_an</f>
        <v>20.514809618044016</v>
      </c>
      <c r="C20" s="841"/>
      <c r="D20" s="393">
        <f t="shared" si="0"/>
        <v>21.451293893931048</v>
      </c>
      <c r="E20" s="385">
        <f t="shared" si="1"/>
        <v>23.020822137628972</v>
      </c>
      <c r="F20" s="385">
        <f t="shared" si="2"/>
        <v>23.031606269117443</v>
      </c>
      <c r="G20" s="110">
        <f t="shared" si="21"/>
        <v>0.86011038046720434</v>
      </c>
      <c r="H20" s="414" t="b">
        <f>Wh_hp&gt;='2023'!Maxi_hp</f>
        <v>0</v>
      </c>
      <c r="I20" s="390">
        <f>IF(H20,Wh_hp,'2023'!Maxi_hp)</f>
        <v>26.739364860323523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4.3656307191426769E-2</v>
      </c>
      <c r="M20" s="845"/>
      <c r="N20" s="845"/>
      <c r="O20" s="48">
        <f>IF(t&lt;Tnet,'2023'!Resal+('2023'!Salim-'2023'!Resal)*(1-EXP(('2023'!Tnet-t)/('2023'!Tau_j))),Resal+(Salim-Resal)*(1-EXP((Tnet-t)/(Tau_j))))*Salcycl</f>
        <v>6.8178635598440729E-2</v>
      </c>
      <c r="P20" s="169">
        <f>(INDEX(Models!$BJ20:$BT20,,T20)*(1-R20)+INDEX(Models!$BJ20:$BT20,,T20+1)*R20-ERP_i)*Q20*Ramure*Pc/MaxiM</f>
        <v>5.850694305034272E-4</v>
      </c>
      <c r="Q20" s="305">
        <f t="shared" si="4"/>
        <v>0.5</v>
      </c>
      <c r="R20" s="177">
        <f t="shared" si="5"/>
        <v>0.99754885412839478</v>
      </c>
      <c r="S20" s="811">
        <f t="shared" si="6"/>
        <v>0</v>
      </c>
      <c r="T20" s="176">
        <f t="shared" si="7"/>
        <v>6</v>
      </c>
      <c r="U20" s="251">
        <f t="shared" si="8"/>
        <v>0.99754885412839478</v>
      </c>
      <c r="V20" s="383">
        <f t="shared" si="9"/>
        <v>23.848580438292871</v>
      </c>
      <c r="W20" s="402">
        <f t="shared" si="10"/>
        <v>20.514809618044016</v>
      </c>
      <c r="X20" s="157">
        <f t="shared" si="11"/>
        <v>45297</v>
      </c>
      <c r="Y20" s="385">
        <f t="shared" si="12"/>
        <v>20.055913314112445</v>
      </c>
      <c r="Z20" s="385">
        <f t="shared" si="22"/>
        <v>20.971449349148312</v>
      </c>
      <c r="AA20" s="386">
        <f t="shared" si="13"/>
        <v>23.020822137628972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8.9022571662670233E-2</v>
      </c>
      <c r="AD20" s="231">
        <f>(INDEX(Models!$BJ20:$BT20,,AH20)*(1-AF20)+INDEX(Models!$BJ20:$BT20,,AH20+1)*AF20-ERP_i)*AE20*Ramure*Pc/MaxiM</f>
        <v>5.850694305034272E-4</v>
      </c>
      <c r="AE20" s="305">
        <f t="shared" si="15"/>
        <v>0.5</v>
      </c>
      <c r="AF20" s="177">
        <f t="shared" si="23"/>
        <v>0.99754885412839478</v>
      </c>
      <c r="AG20" s="811">
        <f t="shared" si="24"/>
        <v>0</v>
      </c>
      <c r="AH20" s="176">
        <f t="shared" si="16"/>
        <v>6</v>
      </c>
      <c r="AI20" s="225">
        <f t="shared" si="17"/>
        <v>0.99754885412839478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'2023'!Wh/'2023'!Env_an*'2024'!Env_an</f>
        <v>10.491440841864286</v>
      </c>
      <c r="C21" s="841"/>
      <c r="D21" s="393">
        <f t="shared" si="0"/>
        <v>10.970606817686674</v>
      </c>
      <c r="E21" s="385">
        <f t="shared" si="1"/>
        <v>11.77375025635758</v>
      </c>
      <c r="F21" s="385">
        <f t="shared" si="2"/>
        <v>11.775080706842632</v>
      </c>
      <c r="G21" s="110">
        <f t="shared" si="21"/>
        <v>0.43629838447232372</v>
      </c>
      <c r="H21" s="414" t="b">
        <f>Wh_hp&gt;='2023'!Maxi_hp</f>
        <v>0</v>
      </c>
      <c r="I21" s="390">
        <f>IF(H21,Wh_hp,'2023'!Maxi_hp)</f>
        <v>14.932480243717823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4.3677253572690589E-2</v>
      </c>
      <c r="M21" s="845"/>
      <c r="N21" s="845"/>
      <c r="O21" s="48">
        <f>IF(t&lt;Tnet,'2023'!Resal+('2023'!Salim-'2023'!Resal)*(1-EXP(('2023'!Tnet-t)/('2023'!Tau_j))),Resal+(Salim-Resal)*(1-EXP((Tnet-t)/(Tau_j))))*Salcycl</f>
        <v>6.8214750710991548E-2</v>
      </c>
      <c r="P21" s="169">
        <f>(INDEX(Models!$BJ21:$BT21,,T21)*(1-R21)+INDEX(Models!$BJ21:$BT21,,T21+1)*R21-ERP_i)*Q21*Ramure*Pc/MaxiM</f>
        <v>5.7942046500576976E-4</v>
      </c>
      <c r="Q21" s="305">
        <f t="shared" si="4"/>
        <v>0.5</v>
      </c>
      <c r="R21" s="177">
        <f t="shared" si="5"/>
        <v>0.99758470973945801</v>
      </c>
      <c r="S21" s="811">
        <f t="shared" si="6"/>
        <v>0</v>
      </c>
      <c r="T21" s="176">
        <f t="shared" si="7"/>
        <v>6</v>
      </c>
      <c r="U21" s="251">
        <f t="shared" si="8"/>
        <v>0.99758470973945801</v>
      </c>
      <c r="V21" s="383">
        <f t="shared" si="9"/>
        <v>24.03526375598906</v>
      </c>
      <c r="W21" s="402">
        <f t="shared" si="10"/>
        <v>10.491440841864286</v>
      </c>
      <c r="X21" s="157">
        <f t="shared" si="11"/>
        <v>45298</v>
      </c>
      <c r="Y21" s="385">
        <f t="shared" si="12"/>
        <v>10.256969886756268</v>
      </c>
      <c r="Z21" s="385">
        <f t="shared" si="22"/>
        <v>10.725427085233411</v>
      </c>
      <c r="AA21" s="386">
        <f t="shared" si="13"/>
        <v>11.77375025635758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8.9039018859610658E-2</v>
      </c>
      <c r="AD21" s="231">
        <f>(INDEX(Models!$BJ21:$BT21,,AH21)*(1-AF21)+INDEX(Models!$BJ21:$BT21,,AH21+1)*AF21-ERP_i)*AE21*Ramure*Pc/MaxiM</f>
        <v>5.7942046500576976E-4</v>
      </c>
      <c r="AE21" s="305">
        <f t="shared" si="15"/>
        <v>0.5</v>
      </c>
      <c r="AF21" s="177">
        <f t="shared" si="23"/>
        <v>0.99758470973945801</v>
      </c>
      <c r="AG21" s="811">
        <f t="shared" si="24"/>
        <v>0</v>
      </c>
      <c r="AH21" s="176">
        <f t="shared" si="16"/>
        <v>6</v>
      </c>
      <c r="AI21" s="225">
        <f t="shared" si="17"/>
        <v>0.99758470973945801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'2023'!Wh/'2023'!Env_an*'2024'!Env_an</f>
        <v>7.3600506348649928</v>
      </c>
      <c r="C22" s="841"/>
      <c r="D22" s="393">
        <f t="shared" si="0"/>
        <v>7.6963680618186379</v>
      </c>
      <c r="E22" s="385">
        <f t="shared" si="1"/>
        <v>8.2601295187208361</v>
      </c>
      <c r="F22" s="385">
        <f t="shared" si="2"/>
        <v>8.2601555081994427</v>
      </c>
      <c r="G22" s="110">
        <f t="shared" si="21"/>
        <v>0.30366655790668429</v>
      </c>
      <c r="H22" s="414" t="b">
        <f>Wh_hp&gt;='2023'!Maxi_hp</f>
        <v>0</v>
      </c>
      <c r="I22" s="390">
        <f>IF(H22,Wh_hp,'2023'!Maxi_hp)</f>
        <v>20.323342747491672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4.3698199495175061E-2</v>
      </c>
      <c r="M22" s="845"/>
      <c r="N22" s="845"/>
      <c r="O22" s="48">
        <f>IF(t&lt;Tnet,'2023'!Resal+('2023'!Salim-'2023'!Resal)*(1-EXP(('2023'!Tnet-t)/('2023'!Tau_j))),Resal+(Salim-Resal)*(1-EXP((Tnet-t)/(Tau_j))))*Salcycl</f>
        <v>6.8250922170709868E-2</v>
      </c>
      <c r="P22" s="169">
        <f>(INDEX(Models!$BJ22:$BT22,,T22)*(1-R22)+INDEX(Models!$BJ22:$BT22,,T22+1)*R22-ERP_i)*Q22*Ramure*Pc/MaxiM</f>
        <v>5.735747588859392E-4</v>
      </c>
      <c r="Q22" s="305">
        <f t="shared" si="4"/>
        <v>0.5</v>
      </c>
      <c r="R22" s="177">
        <f t="shared" si="5"/>
        <v>0.99762206409545517</v>
      </c>
      <c r="S22" s="811">
        <f t="shared" si="6"/>
        <v>0</v>
      </c>
      <c r="T22" s="176">
        <f t="shared" si="7"/>
        <v>6</v>
      </c>
      <c r="U22" s="251">
        <f t="shared" si="8"/>
        <v>0.99762206409545517</v>
      </c>
      <c r="V22" s="383">
        <f t="shared" si="9"/>
        <v>24.223451836491048</v>
      </c>
      <c r="W22" s="402">
        <f t="shared" si="10"/>
        <v>7.3600506348649928</v>
      </c>
      <c r="X22" s="157">
        <f t="shared" si="11"/>
        <v>45299</v>
      </c>
      <c r="Y22" s="385">
        <f t="shared" si="12"/>
        <v>7.1957110490321874</v>
      </c>
      <c r="Z22" s="385">
        <f t="shared" si="22"/>
        <v>7.5245189805494697</v>
      </c>
      <c r="AA22" s="386">
        <f t="shared" si="13"/>
        <v>8.2601295187208361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8.9055569468271853E-2</v>
      </c>
      <c r="AD22" s="231">
        <f>(INDEX(Models!$BJ22:$BT22,,AH22)*(1-AF22)+INDEX(Models!$BJ22:$BT22,,AH22+1)*AF22-ERP_i)*AE22*Ramure*Pc/MaxiM</f>
        <v>5.735747588859392E-4</v>
      </c>
      <c r="AE22" s="305">
        <f t="shared" si="15"/>
        <v>0.5</v>
      </c>
      <c r="AF22" s="177">
        <f t="shared" si="23"/>
        <v>0.99762206409545517</v>
      </c>
      <c r="AG22" s="811">
        <f t="shared" si="24"/>
        <v>0</v>
      </c>
      <c r="AH22" s="176">
        <f t="shared" si="16"/>
        <v>6</v>
      </c>
      <c r="AI22" s="225">
        <f t="shared" si="17"/>
        <v>0.99762206409545517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'2023'!Wh/'2023'!Env_an*'2024'!Env_an</f>
        <v>2.1725373415184981</v>
      </c>
      <c r="C23" s="841"/>
      <c r="D23" s="393">
        <f t="shared" si="0"/>
        <v>2.2718611693058541</v>
      </c>
      <c r="E23" s="385">
        <f t="shared" si="1"/>
        <v>2.4383705278977299</v>
      </c>
      <c r="F23" s="385">
        <f t="shared" si="2"/>
        <v>2.4383705278977299</v>
      </c>
      <c r="G23" s="110">
        <f t="shared" si="21"/>
        <v>8.893168813116166E-2</v>
      </c>
      <c r="H23" s="414" t="b">
        <f>Wh_hp&gt;='2023'!Maxi_hp</f>
        <v>0</v>
      </c>
      <c r="I23" s="390">
        <f>IF(H23,Wh_hp,'2023'!Maxi_hp)</f>
        <v>26.033603222307448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4.3719144958889955E-2</v>
      </c>
      <c r="M23" s="845"/>
      <c r="N23" s="845"/>
      <c r="O23" s="48">
        <f>IF(t&lt;Tnet,'2023'!Resal+('2023'!Salim-'2023'!Resal)*(1-EXP(('2023'!Tnet-t)/('2023'!Tau_j))),Resal+(Salim-Resal)*(1-EXP((Tnet-t)/(Tau_j))))*Salcycl</f>
        <v>6.8287143683381693E-2</v>
      </c>
      <c r="P23" s="169">
        <f>(INDEX(Models!$BJ23:$BT23,,T23)*(1-R23)+INDEX(Models!$BJ23:$BT23,,T23+1)*R23-ERP_i)*Q23*Ramure*Pc/MaxiM</f>
        <v>5.6748290237726656E-4</v>
      </c>
      <c r="Q23" s="305">
        <f t="shared" si="4"/>
        <v>0.5</v>
      </c>
      <c r="R23" s="177">
        <f t="shared" si="5"/>
        <v>0.99766097960449029</v>
      </c>
      <c r="S23" s="811">
        <f t="shared" si="6"/>
        <v>0</v>
      </c>
      <c r="T23" s="176">
        <f t="shared" si="7"/>
        <v>6</v>
      </c>
      <c r="U23" s="251">
        <f t="shared" si="8"/>
        <v>0.99766097960449029</v>
      </c>
      <c r="V23" s="383">
        <f t="shared" si="9"/>
        <v>24.415419400563312</v>
      </c>
      <c r="W23" s="402">
        <f t="shared" si="10"/>
        <v>2.1725373415184981</v>
      </c>
      <c r="X23" s="157">
        <f t="shared" si="11"/>
        <v>45300</v>
      </c>
      <c r="Y23" s="385">
        <f t="shared" si="12"/>
        <v>2.1240713967308107</v>
      </c>
      <c r="Z23" s="385">
        <f t="shared" si="22"/>
        <v>2.2211794636832898</v>
      </c>
      <c r="AA23" s="386">
        <f t="shared" si="13"/>
        <v>2.4383705278977299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8.9072215124620185E-2</v>
      </c>
      <c r="AD23" s="231">
        <f>(INDEX(Models!$BJ23:$BT23,,AH23)*(1-AF23)+INDEX(Models!$BJ23:$BT23,,AH23+1)*AF23-ERP_i)*AE23*Ramure*Pc/MaxiM</f>
        <v>5.6748290237726656E-4</v>
      </c>
      <c r="AE23" s="305">
        <f t="shared" si="15"/>
        <v>0.5</v>
      </c>
      <c r="AF23" s="177">
        <f t="shared" si="23"/>
        <v>0.99766097960449029</v>
      </c>
      <c r="AG23" s="811">
        <f t="shared" si="24"/>
        <v>0</v>
      </c>
      <c r="AH23" s="176">
        <f t="shared" si="16"/>
        <v>6</v>
      </c>
      <c r="AI23" s="225">
        <f t="shared" si="17"/>
        <v>0.99766097960449029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'2023'!Wh/'2023'!Env_an*'2024'!Env_an</f>
        <v>1.6863587557380197</v>
      </c>
      <c r="C24" s="841"/>
      <c r="D24" s="393">
        <f t="shared" si="0"/>
        <v>1.7634941484415692</v>
      </c>
      <c r="E24" s="385">
        <f t="shared" si="1"/>
        <v>1.8928179245635017</v>
      </c>
      <c r="F24" s="385">
        <f t="shared" si="2"/>
        <v>1.8928179245635017</v>
      </c>
      <c r="G24" s="110">
        <f t="shared" si="21"/>
        <v>6.8473657862532622E-2</v>
      </c>
      <c r="H24" s="414" t="b">
        <f>Wh_hp&gt;='2023'!Maxi_hp</f>
        <v>0</v>
      </c>
      <c r="I24" s="390">
        <f>IF(H24,Wh_hp,'2023'!Maxi_hp)</f>
        <v>13.230713123965954</v>
      </c>
      <c r="J24" s="85">
        <f>IF(H24,An,'2023'!An_max)</f>
        <v>2019</v>
      </c>
      <c r="K24" s="197">
        <f t="shared" si="3"/>
        <v>45301</v>
      </c>
      <c r="L24" s="147">
        <f>IF(t&lt;Tvie,1-EXP((T0-t)*PertePVj)+'2023'!Pspv,1-EXP((T0-t)*PertePVj)+Pspv)</f>
        <v>4.3740089963845485E-2</v>
      </c>
      <c r="M24" s="845"/>
      <c r="N24" s="845"/>
      <c r="O24" s="48">
        <f>IF(t&lt;Tnet,'2023'!Resal+('2023'!Salim-'2023'!Resal)*(1-EXP(('2023'!Tnet-t)/('2023'!Tau_j))),Resal+(Salim-Resal)*(1-EXP((Tnet-t)/(Tau_j))))*Salcycl</f>
        <v>6.8323410531816217E-2</v>
      </c>
      <c r="P24" s="169">
        <f>(INDEX(Models!$BJ24:$BT24,,T24)*(1-R24)+INDEX(Models!$BJ24:$BT24,,T24+1)*R24-ERP_i)*Q24*Ramure*Pc/MaxiM</f>
        <v>5.6045480348106309E-4</v>
      </c>
      <c r="Q24" s="305">
        <f t="shared" si="4"/>
        <v>0.5</v>
      </c>
      <c r="R24" s="177">
        <f t="shared" si="5"/>
        <v>0.99770152125295986</v>
      </c>
      <c r="S24" s="811">
        <f t="shared" si="6"/>
        <v>0</v>
      </c>
      <c r="T24" s="176">
        <f t="shared" si="7"/>
        <v>6</v>
      </c>
      <c r="U24" s="251">
        <f t="shared" si="8"/>
        <v>0.99770152125295986</v>
      </c>
      <c r="V24" s="383">
        <f t="shared" si="9"/>
        <v>24.614044005894971</v>
      </c>
      <c r="W24" s="402">
        <f t="shared" si="10"/>
        <v>1.6863587557380197</v>
      </c>
      <c r="X24" s="157">
        <f t="shared" si="11"/>
        <v>45301</v>
      </c>
      <c r="Y24" s="385">
        <f t="shared" si="12"/>
        <v>1.6487725923549272</v>
      </c>
      <c r="Z24" s="385">
        <f t="shared" si="22"/>
        <v>1.7241887640072562</v>
      </c>
      <c r="AA24" s="386">
        <f t="shared" si="13"/>
        <v>1.8928179245635017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8.908894953281507E-2</v>
      </c>
      <c r="AD24" s="231">
        <f>(INDEX(Models!$BJ24:$BT24,,AH24)*(1-AF24)+INDEX(Models!$BJ24:$BT24,,AH24+1)*AF24-ERP_i)*AE24*Ramure*Pc/MaxiM</f>
        <v>5.6045480348106309E-4</v>
      </c>
      <c r="AE24" s="305">
        <f t="shared" si="15"/>
        <v>0.5</v>
      </c>
      <c r="AF24" s="177">
        <f t="shared" si="23"/>
        <v>0.99770152125295986</v>
      </c>
      <c r="AG24" s="811">
        <f t="shared" si="24"/>
        <v>0</v>
      </c>
      <c r="AH24" s="176">
        <f t="shared" si="16"/>
        <v>6</v>
      </c>
      <c r="AI24" s="225">
        <f t="shared" si="17"/>
        <v>0.99770152125295986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'2023'!Wh/'2023'!Env_an*'2024'!Env_an</f>
        <v>24.303001400043524</v>
      </c>
      <c r="C25" s="841"/>
      <c r="D25" s="393">
        <f t="shared" si="0"/>
        <v>25.415196699907945</v>
      </c>
      <c r="E25" s="385">
        <f t="shared" si="1"/>
        <v>27.28005350408781</v>
      </c>
      <c r="F25" s="385">
        <f t="shared" si="2"/>
        <v>27.294681638649536</v>
      </c>
      <c r="G25" s="110">
        <f t="shared" si="21"/>
        <v>0.979188761424579</v>
      </c>
      <c r="H25" s="414" t="b">
        <f>Wh_hp&gt;='2023'!Maxi_hp</f>
        <v>0</v>
      </c>
      <c r="I25" s="390">
        <f>IF(H25,Wh_hp,'2023'!Maxi_hp)</f>
        <v>27.813177241518638</v>
      </c>
      <c r="J25" s="85">
        <f>IF(H25,An,'2023'!An_max)</f>
        <v>2020</v>
      </c>
      <c r="K25" s="197">
        <f t="shared" si="3"/>
        <v>45302</v>
      </c>
      <c r="L25" s="147">
        <f>IF(t&lt;Tvie,1-EXP((T0-t)*PertePVj)+'2023'!Pspv,1-EXP((T0-t)*PertePVj)+Pspv)</f>
        <v>4.3761034510051644E-2</v>
      </c>
      <c r="M25" s="845"/>
      <c r="N25" s="845"/>
      <c r="O25" s="48">
        <f>IF(t&lt;Tnet,'2023'!Resal+('2023'!Salim-'2023'!Resal)*(1-EXP(('2023'!Tnet-t)/('2023'!Tau_j))),Resal+(Salim-Resal)*(1-EXP((Tnet-t)/(Tau_j))))*Salcycl</f>
        <v>6.8359719452178655E-2</v>
      </c>
      <c r="P25" s="169">
        <f>(INDEX(Models!$BJ25:$BT25,,T25)*(1-R25)+INDEX(Models!$BJ25:$BT25,,T25+1)*R25-ERP_i)*Q25*Ramure*Pc/MaxiM</f>
        <v>5.5234214628483097E-4</v>
      </c>
      <c r="Q25" s="305">
        <f t="shared" si="4"/>
        <v>0.5</v>
      </c>
      <c r="R25" s="177">
        <f t="shared" si="5"/>
        <v>0.99774375671032589</v>
      </c>
      <c r="S25" s="811">
        <f t="shared" si="6"/>
        <v>0</v>
      </c>
      <c r="T25" s="176">
        <f t="shared" si="7"/>
        <v>6</v>
      </c>
      <c r="U25" s="251">
        <f t="shared" si="8"/>
        <v>0.99774375671032589</v>
      </c>
      <c r="V25" s="383">
        <f t="shared" si="9"/>
        <v>24.819119014158517</v>
      </c>
      <c r="W25" s="402">
        <f t="shared" si="10"/>
        <v>24.303001400043524</v>
      </c>
      <c r="X25" s="157">
        <f t="shared" si="11"/>
        <v>45302</v>
      </c>
      <c r="Y25" s="385">
        <f t="shared" si="12"/>
        <v>23.761814780345258</v>
      </c>
      <c r="Z25" s="385">
        <f t="shared" si="22"/>
        <v>24.849243377329234</v>
      </c>
      <c r="AA25" s="386">
        <f t="shared" si="13"/>
        <v>27.28005350408781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8.9105768300429863E-2</v>
      </c>
      <c r="AD25" s="231">
        <f>(INDEX(Models!$BJ25:$BT25,,AH25)*(1-AF25)+INDEX(Models!$BJ25:$BT25,,AH25+1)*AF25-ERP_i)*AE25*Ramure*Pc/MaxiM</f>
        <v>5.5234214628483097E-4</v>
      </c>
      <c r="AE25" s="305">
        <f t="shared" si="15"/>
        <v>0.5</v>
      </c>
      <c r="AF25" s="177">
        <f t="shared" si="23"/>
        <v>0.99774375671032589</v>
      </c>
      <c r="AG25" s="811">
        <f t="shared" si="24"/>
        <v>0</v>
      </c>
      <c r="AH25" s="176">
        <f t="shared" si="16"/>
        <v>6</v>
      </c>
      <c r="AI25" s="225">
        <f t="shared" si="17"/>
        <v>0.99774375671032589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'2023'!Wh/'2023'!Env_an*'2024'!Env_an</f>
        <v>20.736175096452232</v>
      </c>
      <c r="C26" s="841"/>
      <c r="D26" s="393">
        <f t="shared" si="0"/>
        <v>21.685614192920731</v>
      </c>
      <c r="E26" s="385">
        <f t="shared" si="1"/>
        <v>23.277718630979859</v>
      </c>
      <c r="F26" s="385">
        <f t="shared" si="2"/>
        <v>23.287267661272171</v>
      </c>
      <c r="G26" s="110">
        <f t="shared" si="21"/>
        <v>0.82832818469135006</v>
      </c>
      <c r="H26" s="414" t="b">
        <f>Wh_hp&gt;='2023'!Maxi_hp</f>
        <v>0</v>
      </c>
      <c r="I26" s="390">
        <f>IF(H26,Wh_hp,'2023'!Maxi_hp)</f>
        <v>27.969146072299974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4.3781978597518423E-2</v>
      </c>
      <c r="M26" s="845"/>
      <c r="N26" s="845"/>
      <c r="O26" s="48">
        <f>IF(t&lt;Tnet,'2023'!Resal+('2023'!Salim-'2023'!Resal)*(1-EXP(('2023'!Tnet-t)/('2023'!Tau_j))),Resal+(Salim-Resal)*(1-EXP((Tnet-t)/(Tau_j))))*Salcycl</f>
        <v>6.8396068502186796E-2</v>
      </c>
      <c r="P26" s="169">
        <f>(INDEX(Models!$BJ26:$BT26,,T26)*(1-R26)+INDEX(Models!$BJ26:$BT26,,T26+1)*R26-ERP_i)*Q26*Ramure*Pc/MaxiM</f>
        <v>5.4318067527656328E-4</v>
      </c>
      <c r="Q26" s="305">
        <f t="shared" si="4"/>
        <v>0.5</v>
      </c>
      <c r="R26" s="177">
        <f t="shared" si="5"/>
        <v>0.997787756437997</v>
      </c>
      <c r="S26" s="811">
        <f t="shared" si="6"/>
        <v>0</v>
      </c>
      <c r="T26" s="176">
        <f t="shared" si="7"/>
        <v>6</v>
      </c>
      <c r="U26" s="251">
        <f t="shared" si="8"/>
        <v>0.997787756437997</v>
      </c>
      <c r="V26" s="383">
        <f t="shared" si="9"/>
        <v>25.030433351117857</v>
      </c>
      <c r="W26" s="402">
        <f t="shared" si="10"/>
        <v>20.736175096452232</v>
      </c>
      <c r="X26" s="157">
        <f t="shared" si="11"/>
        <v>45303</v>
      </c>
      <c r="Y26" s="385">
        <f t="shared" si="12"/>
        <v>20.274830529689655</v>
      </c>
      <c r="Z26" s="385">
        <f t="shared" si="22"/>
        <v>21.203146223862873</v>
      </c>
      <c r="AA26" s="386">
        <f t="shared" si="13"/>
        <v>23.277718630979859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8.9122668763423327E-2</v>
      </c>
      <c r="AD26" s="231">
        <f>(INDEX(Models!$BJ26:$BT26,,AH26)*(1-AF26)+INDEX(Models!$BJ26:$BT26,,AH26+1)*AF26-ERP_i)*AE26*Ramure*Pc/MaxiM</f>
        <v>5.4318067527656328E-4</v>
      </c>
      <c r="AE26" s="305">
        <f t="shared" si="15"/>
        <v>0.5</v>
      </c>
      <c r="AF26" s="177">
        <f t="shared" si="23"/>
        <v>0.997787756437997</v>
      </c>
      <c r="AG26" s="811">
        <f t="shared" si="24"/>
        <v>0</v>
      </c>
      <c r="AH26" s="176">
        <f t="shared" si="16"/>
        <v>6</v>
      </c>
      <c r="AI26" s="225">
        <f t="shared" si="17"/>
        <v>0.997787756437997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'2023'!Wh/'2023'!Env_an*'2024'!Env_an</f>
        <v>4.9937444922454235</v>
      </c>
      <c r="C27" s="841"/>
      <c r="D27" s="393">
        <f t="shared" si="0"/>
        <v>5.2225054942356213</v>
      </c>
      <c r="E27" s="385">
        <f t="shared" si="1"/>
        <v>5.6061479739668432</v>
      </c>
      <c r="F27" s="385">
        <f t="shared" si="2"/>
        <v>5.6061479739668432</v>
      </c>
      <c r="G27" s="110">
        <f t="shared" si="21"/>
        <v>0.19768405755354074</v>
      </c>
      <c r="H27" s="414" t="b">
        <f>Wh_hp&gt;='2023'!Maxi_hp</f>
        <v>0</v>
      </c>
      <c r="I27" s="390">
        <f>IF(H27,Wh_hp,'2023'!Maxi_hp)</f>
        <v>16.029400800100351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4.3802922226256036E-2</v>
      </c>
      <c r="M27" s="845"/>
      <c r="N27" s="845"/>
      <c r="O27" s="48">
        <f>IF(t&lt;Tnet,'2023'!Resal+('2023'!Salim-'2023'!Resal)*(1-EXP(('2023'!Tnet-t)/('2023'!Tau_j))),Resal+(Salim-Resal)*(1-EXP((Tnet-t)/(Tau_j))))*Salcycl</f>
        <v>6.8432456922780951E-2</v>
      </c>
      <c r="P27" s="169">
        <f>(INDEX(Models!$BJ27:$BT27,,T27)*(1-R27)+INDEX(Models!$BJ27:$BT27,,T27+1)*R27-ERP_i)*Q27*Ramure*Pc/MaxiM</f>
        <v>5.3300639724532055E-4</v>
      </c>
      <c r="Q27" s="305">
        <f t="shared" si="4"/>
        <v>0.5</v>
      </c>
      <c r="R27" s="177">
        <f t="shared" si="5"/>
        <v>0.99783359380246606</v>
      </c>
      <c r="S27" s="811">
        <f t="shared" si="6"/>
        <v>0</v>
      </c>
      <c r="T27" s="176">
        <f t="shared" si="7"/>
        <v>6</v>
      </c>
      <c r="U27" s="251">
        <f t="shared" si="8"/>
        <v>0.99783359380246606</v>
      </c>
      <c r="V27" s="383">
        <f t="shared" si="9"/>
        <v>25.247775952459211</v>
      </c>
      <c r="W27" s="402">
        <f t="shared" si="10"/>
        <v>4.9937444922454235</v>
      </c>
      <c r="X27" s="157">
        <f t="shared" si="11"/>
        <v>45304</v>
      </c>
      <c r="Y27" s="385">
        <f t="shared" si="12"/>
        <v>4.8827418803963836</v>
      </c>
      <c r="Z27" s="385">
        <f t="shared" si="22"/>
        <v>5.1064179068237454</v>
      </c>
      <c r="AA27" s="386">
        <f t="shared" si="13"/>
        <v>5.6061479739668432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8.9139649802981252E-2</v>
      </c>
      <c r="AD27" s="231">
        <f>(INDEX(Models!$BJ27:$BT27,,AH27)*(1-AF27)+INDEX(Models!$BJ27:$BT27,,AH27+1)*AF27-ERP_i)*AE27*Ramure*Pc/MaxiM</f>
        <v>5.3300639724532055E-4</v>
      </c>
      <c r="AE27" s="305">
        <f t="shared" si="15"/>
        <v>0.5</v>
      </c>
      <c r="AF27" s="177">
        <f t="shared" si="23"/>
        <v>0.99783359380246606</v>
      </c>
      <c r="AG27" s="811">
        <f t="shared" si="24"/>
        <v>0</v>
      </c>
      <c r="AH27" s="176">
        <f t="shared" si="16"/>
        <v>6</v>
      </c>
      <c r="AI27" s="225">
        <f t="shared" si="17"/>
        <v>0.99783359380246606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'2023'!Wh/'2023'!Env_an*'2024'!Env_an</f>
        <v>24.689261973156462</v>
      </c>
      <c r="C28" s="841"/>
      <c r="D28" s="393">
        <f t="shared" si="0"/>
        <v>25.820830576772966</v>
      </c>
      <c r="E28" s="385">
        <f t="shared" si="1"/>
        <v>27.718698990136918</v>
      </c>
      <c r="F28" s="385">
        <f t="shared" si="2"/>
        <v>27.732536877904369</v>
      </c>
      <c r="G28" s="110">
        <f t="shared" si="21"/>
        <v>0.96928895933361803</v>
      </c>
      <c r="H28" s="414" t="b">
        <f>Wh_hp&gt;='2023'!Maxi_hp</f>
        <v>0</v>
      </c>
      <c r="I28" s="390">
        <f>IF(H28,Wh_hp,'2023'!Maxi_hp)</f>
        <v>27.813666688911876</v>
      </c>
      <c r="J28" s="85">
        <f>IF(H28,An,'2023'!An_max)</f>
        <v>2020</v>
      </c>
      <c r="K28" s="197">
        <f t="shared" si="3"/>
        <v>45305</v>
      </c>
      <c r="L28" s="147">
        <f>IF(t&lt;Tvie,1-EXP((T0-t)*PertePVj)+'2023'!Pspv,1-EXP((T0-t)*PertePVj)+Pspv)</f>
        <v>4.3823865396274364E-2</v>
      </c>
      <c r="M28" s="845"/>
      <c r="N28" s="845"/>
      <c r="O28" s="48">
        <f>IF(t&lt;Tnet,'2023'!Resal+('2023'!Salim-'2023'!Resal)*(1-EXP(('2023'!Tnet-t)/('2023'!Tau_j))),Resal+(Salim-Resal)*(1-EXP((Tnet-t)/(Tau_j))))*Salcycl</f>
        <v>6.8468884994900586E-2</v>
      </c>
      <c r="P28" s="169">
        <f>(INDEX(Models!$BJ28:$BT28,,T28)*(1-R28)+INDEX(Models!$BJ28:$BT28,,T28+1)*R28-ERP_i)*Q28*Ramure*Pc/MaxiM</f>
        <v>5.2185540596212806E-4</v>
      </c>
      <c r="Q28" s="305">
        <f t="shared" si="4"/>
        <v>0.5</v>
      </c>
      <c r="R28" s="177">
        <f t="shared" si="5"/>
        <v>0.99788134519285554</v>
      </c>
      <c r="S28" s="811">
        <f t="shared" si="6"/>
        <v>0</v>
      </c>
      <c r="T28" s="176">
        <f t="shared" si="7"/>
        <v>6</v>
      </c>
      <c r="U28" s="251">
        <f t="shared" si="8"/>
        <v>0.99788134519285554</v>
      </c>
      <c r="V28" s="383">
        <f t="shared" si="9"/>
        <v>25.470935775458855</v>
      </c>
      <c r="W28" s="402">
        <f t="shared" si="10"/>
        <v>24.689261973156462</v>
      </c>
      <c r="X28" s="157">
        <f t="shared" si="11"/>
        <v>45305</v>
      </c>
      <c r="Y28" s="385">
        <f t="shared" si="12"/>
        <v>24.140952674762779</v>
      </c>
      <c r="Z28" s="385">
        <f t="shared" si="22"/>
        <v>25.247390936783496</v>
      </c>
      <c r="AA28" s="386">
        <f t="shared" si="13"/>
        <v>27.718698990136918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8.9156711656372553E-2</v>
      </c>
      <c r="AD28" s="231">
        <f>(INDEX(Models!$BJ28:$BT28,,AH28)*(1-AF28)+INDEX(Models!$BJ28:$BT28,,AH28+1)*AF28-ERP_i)*AE28*Ramure*Pc/MaxiM</f>
        <v>5.2185540596212806E-4</v>
      </c>
      <c r="AE28" s="305">
        <f t="shared" si="15"/>
        <v>0.5</v>
      </c>
      <c r="AF28" s="177">
        <f t="shared" si="23"/>
        <v>0.99788134519285554</v>
      </c>
      <c r="AG28" s="811">
        <f t="shared" si="24"/>
        <v>0</v>
      </c>
      <c r="AH28" s="176">
        <f t="shared" si="16"/>
        <v>6</v>
      </c>
      <c r="AI28" s="225">
        <f t="shared" si="17"/>
        <v>0.99788134519285554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'2023'!Wh/'2023'!Env_an*'2024'!Env_an</f>
        <v>26.236594402796321</v>
      </c>
      <c r="C29" s="841"/>
      <c r="D29" s="393">
        <f t="shared" si="0"/>
        <v>27.439681994372709</v>
      </c>
      <c r="E29" s="385">
        <f t="shared" si="1"/>
        <v>29.45769158100029</v>
      </c>
      <c r="F29" s="385">
        <f t="shared" si="2"/>
        <v>29.472715702164699</v>
      </c>
      <c r="G29" s="110">
        <f t="shared" si="21"/>
        <v>1.0208910053719742</v>
      </c>
      <c r="H29" s="414" t="b">
        <f>Wh_hp&gt;='2023'!Maxi_hp</f>
        <v>1</v>
      </c>
      <c r="I29" s="390">
        <f>IF(H29,Wh_hp,'2023'!Maxi_hp)</f>
        <v>29.472715702164699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4.3844808107583622E-2</v>
      </c>
      <c r="M29" s="845"/>
      <c r="N29" s="845"/>
      <c r="O29" s="48">
        <f>IF(t&lt;Tnet,'2023'!Resal+('2023'!Salim-'2023'!Resal)*(1-EXP(('2023'!Tnet-t)/('2023'!Tau_j))),Resal+(Salim-Resal)*(1-EXP((Tnet-t)/(Tau_j))))*Salcycl</f>
        <v>6.8505353893010532E-2</v>
      </c>
      <c r="P29" s="169">
        <f>(INDEX(Models!$BJ29:$BT29,,T29)*(1-R29)+INDEX(Models!$BJ29:$BT29,,T29+1)*R29-ERP_i)*Q29*Ramure*Pc/MaxiM</f>
        <v>5.097637189674716E-4</v>
      </c>
      <c r="Q29" s="305">
        <f t="shared" si="4"/>
        <v>0.5</v>
      </c>
      <c r="R29" s="177">
        <f t="shared" si="5"/>
        <v>0.99793109014302783</v>
      </c>
      <c r="S29" s="811">
        <f t="shared" si="6"/>
        <v>0</v>
      </c>
      <c r="T29" s="176">
        <f t="shared" si="7"/>
        <v>6</v>
      </c>
      <c r="U29" s="251">
        <f t="shared" si="8"/>
        <v>0.99793109014302783</v>
      </c>
      <c r="V29" s="383">
        <f t="shared" si="9"/>
        <v>25.699701794548279</v>
      </c>
      <c r="W29" s="402">
        <f t="shared" si="10"/>
        <v>26.236594402796321</v>
      </c>
      <c r="X29" s="157">
        <f t="shared" si="11"/>
        <v>45306</v>
      </c>
      <c r="Y29" s="385">
        <f t="shared" si="12"/>
        <v>25.654442801905557</v>
      </c>
      <c r="Z29" s="385">
        <f t="shared" si="22"/>
        <v>26.830835641994941</v>
      </c>
      <c r="AA29" s="386">
        <f t="shared" si="13"/>
        <v>29.45769158100029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8.9173855723970866E-2</v>
      </c>
      <c r="AD29" s="231">
        <f>(INDEX(Models!$BJ29:$BT29,,AH29)*(1-AF29)+INDEX(Models!$BJ29:$BT29,,AH29+1)*AF29-ERP_i)*AE29*Ramure*Pc/MaxiM</f>
        <v>5.097637189674716E-4</v>
      </c>
      <c r="AE29" s="305">
        <f t="shared" si="15"/>
        <v>0.5</v>
      </c>
      <c r="AF29" s="177">
        <f t="shared" si="23"/>
        <v>0.99793109014302783</v>
      </c>
      <c r="AG29" s="811">
        <f t="shared" si="24"/>
        <v>0</v>
      </c>
      <c r="AH29" s="176">
        <f t="shared" si="16"/>
        <v>6</v>
      </c>
      <c r="AI29" s="225">
        <f t="shared" si="17"/>
        <v>0.99793109014302783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'2023'!Wh/'2023'!Env_an*'2024'!Env_an</f>
        <v>25.769030071872102</v>
      </c>
      <c r="C30" s="841"/>
      <c r="D30" s="393">
        <f t="shared" si="0"/>
        <v>26.951267650520599</v>
      </c>
      <c r="E30" s="385">
        <f t="shared" si="1"/>
        <v>28.934491689268206</v>
      </c>
      <c r="F30" s="385">
        <f t="shared" si="2"/>
        <v>28.948739061595788</v>
      </c>
      <c r="G30" s="110">
        <f t="shared" si="21"/>
        <v>0.99363952255291532</v>
      </c>
      <c r="H30" s="414" t="b">
        <f>Wh_hp&gt;='2023'!Maxi_hp</f>
        <v>0</v>
      </c>
      <c r="I30" s="390">
        <f>IF(H30,Wh_hp,'2023'!Maxi_hp)</f>
        <v>29.178076379468706</v>
      </c>
      <c r="J30" s="85">
        <f>IF(H30,An,'2023'!An_max)</f>
        <v>2019</v>
      </c>
      <c r="K30" s="197">
        <f t="shared" si="3"/>
        <v>45307</v>
      </c>
      <c r="L30" s="147">
        <f>IF(t&lt;Tvie,1-EXP((T0-t)*PertePVj)+'2023'!Pspv,1-EXP((T0-t)*PertePVj)+Pspv)</f>
        <v>4.3865750360193578E-2</v>
      </c>
      <c r="M30" s="845"/>
      <c r="N30" s="845"/>
      <c r="O30" s="48">
        <f>IF(t&lt;Tnet,'2023'!Resal+('2023'!Salim-'2023'!Resal)*(1-EXP(('2023'!Tnet-t)/('2023'!Tau_j))),Resal+(Salim-Resal)*(1-EXP((Tnet-t)/(Tau_j))))*Salcycl</f>
        <v>6.8541865537011845E-2</v>
      </c>
      <c r="P30" s="169">
        <f>(INDEX(Models!$BJ30:$BT30,,T30)*(1-R30)+INDEX(Models!$BJ30:$BT30,,T30+1)*R30-ERP_i)*Q30*Ramure*Pc/MaxiM</f>
        <v>4.9666839459655348E-4</v>
      </c>
      <c r="Q30" s="305">
        <f t="shared" si="4"/>
        <v>0.5</v>
      </c>
      <c r="R30" s="177">
        <f t="shared" si="5"/>
        <v>0.99798291145842111</v>
      </c>
      <c r="S30" s="811">
        <f t="shared" si="6"/>
        <v>0</v>
      </c>
      <c r="T30" s="176">
        <f t="shared" si="7"/>
        <v>6</v>
      </c>
      <c r="U30" s="251">
        <f t="shared" si="8"/>
        <v>0.99798291145842111</v>
      </c>
      <c r="V30" s="383">
        <f t="shared" si="9"/>
        <v>25.933865569971452</v>
      </c>
      <c r="W30" s="402">
        <f t="shared" si="10"/>
        <v>25.769030071872102</v>
      </c>
      <c r="X30" s="157">
        <f t="shared" si="11"/>
        <v>45307</v>
      </c>
      <c r="Y30" s="385">
        <f t="shared" si="12"/>
        <v>25.197764094907225</v>
      </c>
      <c r="Z30" s="385">
        <f t="shared" si="22"/>
        <v>26.353792999675193</v>
      </c>
      <c r="AA30" s="386">
        <f t="shared" si="13"/>
        <v>28.934491689268206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8.9191084374576887E-2</v>
      </c>
      <c r="AD30" s="231">
        <f>(INDEX(Models!$BJ30:$BT30,,AH30)*(1-AF30)+INDEX(Models!$BJ30:$BT30,,AH30+1)*AF30-ERP_i)*AE30*Ramure*Pc/MaxiM</f>
        <v>4.9666839459655348E-4</v>
      </c>
      <c r="AE30" s="305">
        <f t="shared" si="15"/>
        <v>0.5</v>
      </c>
      <c r="AF30" s="177">
        <f t="shared" si="23"/>
        <v>0.99798291145842111</v>
      </c>
      <c r="AG30" s="811">
        <f t="shared" si="24"/>
        <v>0</v>
      </c>
      <c r="AH30" s="176">
        <f t="shared" si="16"/>
        <v>6</v>
      </c>
      <c r="AI30" s="225">
        <f t="shared" si="17"/>
        <v>0.99798291145842111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'2023'!Wh/'2023'!Env_an*'2024'!Env_an</f>
        <v>13.191180170124714</v>
      </c>
      <c r="C31" s="841"/>
      <c r="D31" s="393">
        <f t="shared" si="0"/>
        <v>13.796670396570802</v>
      </c>
      <c r="E31" s="385">
        <f t="shared" si="1"/>
        <v>14.812487416036399</v>
      </c>
      <c r="F31" s="385">
        <f t="shared" si="2"/>
        <v>14.81457272863609</v>
      </c>
      <c r="G31" s="110">
        <f t="shared" si="21"/>
        <v>0.50382307280033911</v>
      </c>
      <c r="H31" s="414" t="b">
        <f>Wh_hp&gt;='2023'!Maxi_hp</f>
        <v>0</v>
      </c>
      <c r="I31" s="390">
        <f>IF(H31,Wh_hp,'2023'!Maxi_hp)</f>
        <v>14.816853446814875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4.3886692154114559E-2</v>
      </c>
      <c r="M31" s="845"/>
      <c r="N31" s="845"/>
      <c r="O31" s="48">
        <f>IF(t&lt;Tnet,'2023'!Resal+('2023'!Salim-'2023'!Resal)*(1-EXP(('2023'!Tnet-t)/('2023'!Tau_j))),Resal+(Salim-Resal)*(1-EXP((Tnet-t)/(Tau_j))))*Salcycl</f>
        <v>6.8578422444149759E-2</v>
      </c>
      <c r="P31" s="169">
        <f>(INDEX(Models!$BJ31:$BT31,,T31)*(1-R31)+INDEX(Models!$BJ31:$BT31,,T31+1)*R31-ERP_i)*Q31*Ramure*Pc/MaxiM</f>
        <v>4.8301352987221372E-4</v>
      </c>
      <c r="Q31" s="305">
        <f t="shared" si="4"/>
        <v>0.5</v>
      </c>
      <c r="R31" s="177">
        <f t="shared" si="5"/>
        <v>0.99803689534777529</v>
      </c>
      <c r="S31" s="811">
        <f t="shared" si="6"/>
        <v>0</v>
      </c>
      <c r="T31" s="176">
        <f t="shared" si="7"/>
        <v>6</v>
      </c>
      <c r="U31" s="251">
        <f t="shared" si="8"/>
        <v>0.99803689534777529</v>
      </c>
      <c r="V31" s="383">
        <f t="shared" si="9"/>
        <v>26.17320549682217</v>
      </c>
      <c r="W31" s="402">
        <f t="shared" si="10"/>
        <v>13.191180170124714</v>
      </c>
      <c r="X31" s="157">
        <f t="shared" si="11"/>
        <v>45308</v>
      </c>
      <c r="Y31" s="385">
        <f t="shared" si="12"/>
        <v>12.899009828240015</v>
      </c>
      <c r="Z31" s="385">
        <f t="shared" si="22"/>
        <v>13.491089102505399</v>
      </c>
      <c r="AA31" s="386">
        <f t="shared" si="13"/>
        <v>14.812487416036399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8.920840075114049E-2</v>
      </c>
      <c r="AD31" s="231">
        <f>(INDEX(Models!$BJ31:$BT31,,AH31)*(1-AF31)+INDEX(Models!$BJ31:$BT31,,AH31+1)*AF31-ERP_i)*AE31*Ramure*Pc/MaxiM</f>
        <v>4.8301352987221372E-4</v>
      </c>
      <c r="AE31" s="305">
        <f t="shared" si="15"/>
        <v>0.5</v>
      </c>
      <c r="AF31" s="177">
        <f t="shared" si="23"/>
        <v>0.99803689534777529</v>
      </c>
      <c r="AG31" s="811">
        <f t="shared" si="24"/>
        <v>0</v>
      </c>
      <c r="AH31" s="176">
        <f t="shared" si="16"/>
        <v>6</v>
      </c>
      <c r="AI31" s="225">
        <f t="shared" si="17"/>
        <v>0.99803689534777529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'2023'!Wh/'2023'!Env_an*'2024'!Env_an</f>
        <v>3.4827750697339357</v>
      </c>
      <c r="C32" s="841"/>
      <c r="D32" s="393">
        <f t="shared" si="0"/>
        <v>3.642718205610906</v>
      </c>
      <c r="E32" s="385">
        <f t="shared" si="1"/>
        <v>3.9110768516651579</v>
      </c>
      <c r="F32" s="385">
        <f t="shared" si="2"/>
        <v>3.9110768516651579</v>
      </c>
      <c r="G32" s="110">
        <f t="shared" si="21"/>
        <v>0.13177404581871288</v>
      </c>
      <c r="H32" s="414" t="b">
        <f>Wh_hp&gt;='2023'!Maxi_hp</f>
        <v>0</v>
      </c>
      <c r="I32" s="390">
        <f>IF(H32,Wh_hp,'2023'!Maxi_hp)</f>
        <v>28.469265740450702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4.3907633489356557E-2</v>
      </c>
      <c r="M32" s="845"/>
      <c r="N32" s="845"/>
      <c r="O32" s="48">
        <f>IF(t&lt;Tnet,'2023'!Resal+('2023'!Salim-'2023'!Resal)*(1-EXP(('2023'!Tnet-t)/('2023'!Tau_j))),Resal+(Salim-Resal)*(1-EXP((Tnet-t)/(Tau_j))))*Salcycl</f>
        <v>6.8615027582492244E-2</v>
      </c>
      <c r="P32" s="169">
        <f>(INDEX(Models!$BJ32:$BT32,,T32)*(1-R32)+INDEX(Models!$BJ32:$BT32,,T32+1)*R32-ERP_i)*Q32*Ramure*Pc/MaxiM</f>
        <v>4.688254886975789E-4</v>
      </c>
      <c r="Q32" s="305">
        <f t="shared" si="4"/>
        <v>0.5</v>
      </c>
      <c r="R32" s="177">
        <f t="shared" si="5"/>
        <v>0.99809313155991697</v>
      </c>
      <c r="S32" s="811">
        <f t="shared" si="6"/>
        <v>0</v>
      </c>
      <c r="T32" s="176">
        <f t="shared" si="7"/>
        <v>6</v>
      </c>
      <c r="U32" s="251">
        <f t="shared" si="8"/>
        <v>0.99809313155991697</v>
      </c>
      <c r="V32" s="383">
        <f t="shared" si="9"/>
        <v>26.417510628754606</v>
      </c>
      <c r="W32" s="402">
        <f t="shared" si="10"/>
        <v>3.4827750697339357</v>
      </c>
      <c r="X32" s="157">
        <f t="shared" si="11"/>
        <v>45309</v>
      </c>
      <c r="Y32" s="385">
        <f t="shared" si="12"/>
        <v>3.4057041309192284</v>
      </c>
      <c r="Z32" s="385">
        <f t="shared" si="22"/>
        <v>3.5621078571610112</v>
      </c>
      <c r="AA32" s="386">
        <f t="shared" si="13"/>
        <v>3.9110768516651579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8.922580857892666E-2</v>
      </c>
      <c r="AD32" s="231">
        <f>(INDEX(Models!$BJ32:$BT32,,AH32)*(1-AF32)+INDEX(Models!$BJ32:$BT32,,AH32+1)*AF32-ERP_i)*AE32*Ramure*Pc/MaxiM</f>
        <v>4.688254886975789E-4</v>
      </c>
      <c r="AE32" s="305">
        <f t="shared" si="15"/>
        <v>0.5</v>
      </c>
      <c r="AF32" s="177">
        <f t="shared" si="23"/>
        <v>0.99809313155991697</v>
      </c>
      <c r="AG32" s="811">
        <f t="shared" si="24"/>
        <v>0</v>
      </c>
      <c r="AH32" s="176">
        <f t="shared" si="16"/>
        <v>6</v>
      </c>
      <c r="AI32" s="225">
        <f t="shared" si="17"/>
        <v>0.99809313155991697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'2023'!Wh/'2023'!Env_an*'2024'!Env_an</f>
        <v>10.074251771071715</v>
      </c>
      <c r="C33" s="841"/>
      <c r="D33" s="393">
        <f t="shared" si="0"/>
        <v>10.537133001742447</v>
      </c>
      <c r="E33" s="385">
        <f t="shared" si="1"/>
        <v>11.313847701547086</v>
      </c>
      <c r="F33" s="385">
        <f t="shared" si="2"/>
        <v>11.314418673490225</v>
      </c>
      <c r="G33" s="110">
        <f t="shared" si="21"/>
        <v>0.37763330313665983</v>
      </c>
      <c r="H33" s="414" t="b">
        <f>Wh_hp&gt;='2023'!Maxi_hp</f>
        <v>0</v>
      </c>
      <c r="I33" s="390">
        <f>IF(H33,Wh_hp,'2023'!Maxi_hp)</f>
        <v>30.474199442688686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4.3928574365929451E-2</v>
      </c>
      <c r="M33" s="845"/>
      <c r="N33" s="845"/>
      <c r="O33" s="48">
        <f>IF(t&lt;Tnet,'2023'!Resal+('2023'!Salim-'2023'!Resal)*(1-EXP(('2023'!Tnet-t)/('2023'!Tau_j))),Resal+(Salim-Resal)*(1-EXP((Tnet-t)/(Tau_j))))*Salcycl</f>
        <v>6.8651684227500231E-2</v>
      </c>
      <c r="P33" s="169">
        <f>(INDEX(Models!$BJ33:$BT33,,T33)*(1-R33)+INDEX(Models!$BJ33:$BT33,,T33+1)*R33-ERP_i)*Q33*Ramure*Pc/MaxiM</f>
        <v>4.5412999114900234E-4</v>
      </c>
      <c r="Q33" s="305">
        <f t="shared" si="4"/>
        <v>0.5</v>
      </c>
      <c r="R33" s="177">
        <f t="shared" si="5"/>
        <v>0.99815171352577781</v>
      </c>
      <c r="S33" s="811">
        <f t="shared" si="6"/>
        <v>0</v>
      </c>
      <c r="T33" s="176">
        <f t="shared" si="7"/>
        <v>6</v>
      </c>
      <c r="U33" s="251">
        <f t="shared" si="8"/>
        <v>0.99815171352577781</v>
      </c>
      <c r="V33" s="383">
        <f t="shared" si="9"/>
        <v>26.666570057165927</v>
      </c>
      <c r="W33" s="402">
        <f t="shared" si="10"/>
        <v>10.074251771071715</v>
      </c>
      <c r="X33" s="157">
        <f t="shared" si="11"/>
        <v>45310</v>
      </c>
      <c r="Y33" s="385">
        <f t="shared" si="12"/>
        <v>9.8515152944790554</v>
      </c>
      <c r="Z33" s="385">
        <f t="shared" si="22"/>
        <v>10.304162461445273</v>
      </c>
      <c r="AA33" s="386">
        <f t="shared" si="13"/>
        <v>11.313847701547086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8.9243311978094431E-2</v>
      </c>
      <c r="AD33" s="231">
        <f>(INDEX(Models!$BJ33:$BT33,,AH33)*(1-AF33)+INDEX(Models!$BJ33:$BT33,,AH33+1)*AF33-ERP_i)*AE33*Ramure*Pc/MaxiM</f>
        <v>4.5412999114900234E-4</v>
      </c>
      <c r="AE33" s="305">
        <f t="shared" si="15"/>
        <v>0.5</v>
      </c>
      <c r="AF33" s="177">
        <f t="shared" si="23"/>
        <v>0.99815171352577781</v>
      </c>
      <c r="AG33" s="811">
        <f t="shared" si="24"/>
        <v>0</v>
      </c>
      <c r="AH33" s="176">
        <f t="shared" si="16"/>
        <v>6</v>
      </c>
      <c r="AI33" s="225">
        <f t="shared" si="17"/>
        <v>0.99815171352577781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'2023'!Wh/'2023'!Env_an*'2024'!Env_an</f>
        <v>6.3375593032540882</v>
      </c>
      <c r="C34" s="841"/>
      <c r="D34" s="393">
        <f t="shared" si="0"/>
        <v>6.6288960690409668</v>
      </c>
      <c r="E34" s="385">
        <f t="shared" si="1"/>
        <v>7.1178067999055399</v>
      </c>
      <c r="F34" s="385">
        <f t="shared" si="2"/>
        <v>7.1178067999055399</v>
      </c>
      <c r="G34" s="110">
        <f t="shared" si="21"/>
        <v>0.23531711480431314</v>
      </c>
      <c r="H34" s="414" t="b">
        <f>Wh_hp&gt;='2023'!Maxi_hp</f>
        <v>0</v>
      </c>
      <c r="I34" s="390">
        <f>IF(H34,Wh_hp,'2023'!Maxi_hp)</f>
        <v>12.344744575403277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4.3949514783843568E-2</v>
      </c>
      <c r="M34" s="845"/>
      <c r="N34" s="845"/>
      <c r="O34" s="48">
        <f>IF(t&lt;Tnet,'2023'!Resal+('2023'!Salim-'2023'!Resal)*(1-EXP(('2023'!Tnet-t)/('2023'!Tau_j))),Resal+(Salim-Resal)*(1-EXP((Tnet-t)/(Tau_j))))*Salcycl</f>
        <v>6.8688395823143344E-2</v>
      </c>
      <c r="P34" s="169">
        <f>(INDEX(Models!$BJ34:$BT34,,T34)*(1-R34)+INDEX(Models!$BJ34:$BT34,,T34+1)*R34-ERP_i)*Q34*Ramure*Pc/MaxiM</f>
        <v>4.3895450177325849E-4</v>
      </c>
      <c r="Q34" s="305">
        <f t="shared" si="4"/>
        <v>0.5</v>
      </c>
      <c r="R34" s="177">
        <f t="shared" si="5"/>
        <v>0.99821273850582048</v>
      </c>
      <c r="S34" s="811">
        <f t="shared" si="6"/>
        <v>0</v>
      </c>
      <c r="T34" s="176">
        <f t="shared" si="7"/>
        <v>6</v>
      </c>
      <c r="U34" s="251">
        <f t="shared" si="8"/>
        <v>0.99821273850582048</v>
      </c>
      <c r="V34" s="383">
        <f t="shared" si="9"/>
        <v>26.920172841382978</v>
      </c>
      <c r="W34" s="402">
        <f t="shared" si="10"/>
        <v>6.3375593032540882</v>
      </c>
      <c r="X34" s="157">
        <f t="shared" si="11"/>
        <v>45311</v>
      </c>
      <c r="Y34" s="385">
        <f t="shared" si="12"/>
        <v>6.1975636653744601</v>
      </c>
      <c r="Z34" s="385">
        <f t="shared" si="22"/>
        <v>6.4824648501415005</v>
      </c>
      <c r="AA34" s="386">
        <f t="shared" si="13"/>
        <v>7.1178067999055399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8.9260915282565814E-2</v>
      </c>
      <c r="AD34" s="231">
        <f>(INDEX(Models!$BJ34:$BT34,,AH34)*(1-AF34)+INDEX(Models!$BJ34:$BT34,,AH34+1)*AF34-ERP_i)*AE34*Ramure*Pc/MaxiM</f>
        <v>4.3895450177325849E-4</v>
      </c>
      <c r="AE34" s="305">
        <f t="shared" si="15"/>
        <v>0.5</v>
      </c>
      <c r="AF34" s="177">
        <f t="shared" si="23"/>
        <v>0.99821273850582048</v>
      </c>
      <c r="AG34" s="811">
        <f t="shared" si="24"/>
        <v>0</v>
      </c>
      <c r="AH34" s="176">
        <f t="shared" si="16"/>
        <v>6</v>
      </c>
      <c r="AI34" s="225">
        <f t="shared" si="17"/>
        <v>0.99821273850582048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'2023'!Wh/'2023'!Env_an*'2024'!Env_an</f>
        <v>20.244035991424198</v>
      </c>
      <c r="C35" s="841"/>
      <c r="D35" s="393">
        <f t="shared" si="0"/>
        <v>21.175115446860477</v>
      </c>
      <c r="E35" s="385">
        <f t="shared" si="1"/>
        <v>22.737772642770235</v>
      </c>
      <c r="F35" s="385">
        <f t="shared" si="2"/>
        <v>22.743891508170293</v>
      </c>
      <c r="G35" s="110">
        <f t="shared" si="21"/>
        <v>0.74475057614883122</v>
      </c>
      <c r="H35" s="414" t="b">
        <f>Wh_hp&gt;='2023'!Maxi_hp</f>
        <v>0</v>
      </c>
      <c r="I35" s="390">
        <f>IF(H35,Wh_hp,'2023'!Maxi_hp)</f>
        <v>22.745493436016041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4.3970454743108678E-2</v>
      </c>
      <c r="M35" s="845"/>
      <c r="N35" s="845"/>
      <c r="O35" s="48">
        <f>IF(t&lt;Tnet,'2023'!Resal+('2023'!Salim-'2023'!Resal)*(1-EXP(('2023'!Tnet-t)/('2023'!Tau_j))),Resal+(Salim-Resal)*(1-EXP((Tnet-t)/(Tau_j))))*Salcycl</f>
        <v>6.8725165848934858E-2</v>
      </c>
      <c r="P35" s="169">
        <f>(INDEX(Models!$BJ35:$BT35,,T35)*(1-R35)+INDEX(Models!$BJ35:$BT35,,T35+1)*R35-ERP_i)*Q35*Ramure*Pc/MaxiM</f>
        <v>4.2332644955067194E-4</v>
      </c>
      <c r="Q35" s="305">
        <f t="shared" si="4"/>
        <v>0.5</v>
      </c>
      <c r="R35" s="177">
        <f t="shared" si="5"/>
        <v>0.99827630774305665</v>
      </c>
      <c r="S35" s="811">
        <f t="shared" si="6"/>
        <v>0</v>
      </c>
      <c r="T35" s="176">
        <f t="shared" si="7"/>
        <v>6</v>
      </c>
      <c r="U35" s="251">
        <f t="shared" si="8"/>
        <v>0.99827630774305665</v>
      </c>
      <c r="V35" s="383">
        <f t="shared" si="9"/>
        <v>27.178108059402337</v>
      </c>
      <c r="W35" s="402">
        <f t="shared" si="10"/>
        <v>20.244035991424198</v>
      </c>
      <c r="X35" s="157">
        <f t="shared" si="11"/>
        <v>45312</v>
      </c>
      <c r="Y35" s="385">
        <f t="shared" si="12"/>
        <v>19.797245303688875</v>
      </c>
      <c r="Z35" s="385">
        <f t="shared" si="22"/>
        <v>20.707775614161829</v>
      </c>
      <c r="AA35" s="386">
        <f t="shared" si="13"/>
        <v>22.737772642770235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8.9278622866953025E-2</v>
      </c>
      <c r="AD35" s="231">
        <f>(INDEX(Models!$BJ35:$BT35,,AH35)*(1-AF35)+INDEX(Models!$BJ35:$BT35,,AH35+1)*AF35-ERP_i)*AE35*Ramure*Pc/MaxiM</f>
        <v>4.2332644955067194E-4</v>
      </c>
      <c r="AE35" s="305">
        <f t="shared" si="15"/>
        <v>0.5</v>
      </c>
      <c r="AF35" s="177">
        <f t="shared" si="23"/>
        <v>0.99827630774305665</v>
      </c>
      <c r="AG35" s="811">
        <f t="shared" si="24"/>
        <v>0</v>
      </c>
      <c r="AH35" s="176">
        <f t="shared" si="16"/>
        <v>6</v>
      </c>
      <c r="AI35" s="225">
        <f t="shared" si="17"/>
        <v>0.99827630774305665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'2023'!Wh/'2023'!Env_an*'2024'!Env_an</f>
        <v>27.315757540963055</v>
      </c>
      <c r="C36" s="841"/>
      <c r="D36" s="393">
        <f t="shared" si="0"/>
        <v>28.572710932193452</v>
      </c>
      <c r="E36" s="385">
        <f t="shared" si="1"/>
        <v>30.682500994852823</v>
      </c>
      <c r="F36" s="385">
        <f t="shared" si="2"/>
        <v>30.694921153404991</v>
      </c>
      <c r="G36" s="110">
        <f t="shared" si="21"/>
        <v>0.99546360455265237</v>
      </c>
      <c r="H36" s="414" t="b">
        <f>Wh_hp&gt;='2023'!Maxi_hp</f>
        <v>0</v>
      </c>
      <c r="I36" s="390">
        <f>IF(H36,Wh_hp,'2023'!Maxi_hp)</f>
        <v>30.694958235093285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4.3991394243734883E-2</v>
      </c>
      <c r="M36" s="845"/>
      <c r="N36" s="845"/>
      <c r="O36" s="48">
        <f>IF(t&lt;Tnet,'2023'!Resal+('2023'!Salim-'2023'!Resal)*(1-EXP(('2023'!Tnet-t)/('2023'!Tau_j))),Resal+(Salim-Resal)*(1-EXP((Tnet-t)/(Tau_j))))*Salcycl</f>
        <v>6.8761997694167756E-2</v>
      </c>
      <c r="P36" s="169">
        <f>(INDEX(Models!$BJ36:$BT36,,T36)*(1-R36)+INDEX(Models!$BJ36:$BT36,,T36+1)*R36-ERP_i)*Q36*Ramure*Pc/MaxiM</f>
        <v>4.072701778547362E-4</v>
      </c>
      <c r="Q36" s="305">
        <f t="shared" si="4"/>
        <v>0.5</v>
      </c>
      <c r="R36" s="177">
        <f t="shared" si="5"/>
        <v>0.99834252662183876</v>
      </c>
      <c r="S36" s="811">
        <f t="shared" si="6"/>
        <v>0</v>
      </c>
      <c r="T36" s="176">
        <f t="shared" si="7"/>
        <v>6</v>
      </c>
      <c r="U36" s="251">
        <f t="shared" si="8"/>
        <v>0.99834252662183876</v>
      </c>
      <c r="V36" s="383">
        <f t="shared" si="9"/>
        <v>27.440164897064079</v>
      </c>
      <c r="W36" s="402">
        <f t="shared" si="10"/>
        <v>27.315757540963055</v>
      </c>
      <c r="X36" s="157">
        <f t="shared" si="11"/>
        <v>45313</v>
      </c>
      <c r="Y36" s="385">
        <f t="shared" si="12"/>
        <v>26.713426216316584</v>
      </c>
      <c r="Z36" s="385">
        <f t="shared" si="22"/>
        <v>27.942662916914355</v>
      </c>
      <c r="AA36" s="386">
        <f t="shared" si="13"/>
        <v>30.682500994852823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8.9296438983187648E-2</v>
      </c>
      <c r="AD36" s="231">
        <f>(INDEX(Models!$BJ36:$BT36,,AH36)*(1-AF36)+INDEX(Models!$BJ36:$BT36,,AH36+1)*AF36-ERP_i)*AE36*Ramure*Pc/MaxiM</f>
        <v>4.072701778547362E-4</v>
      </c>
      <c r="AE36" s="305">
        <f t="shared" si="15"/>
        <v>0.5</v>
      </c>
      <c r="AF36" s="177">
        <f t="shared" si="23"/>
        <v>0.99834252662183876</v>
      </c>
      <c r="AG36" s="811">
        <f t="shared" si="24"/>
        <v>0</v>
      </c>
      <c r="AH36" s="176">
        <f t="shared" si="16"/>
        <v>6</v>
      </c>
      <c r="AI36" s="225">
        <f t="shared" si="17"/>
        <v>0.99834252662183876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'2023'!Wh/'2023'!Env_an*'2024'!Env_an</f>
        <v>27.379793168823053</v>
      </c>
      <c r="C37" s="841"/>
      <c r="D37" s="393">
        <f t="shared" si="0"/>
        <v>28.640320500082893</v>
      </c>
      <c r="E37" s="385">
        <f t="shared" si="1"/>
        <v>30.756321413462359</v>
      </c>
      <c r="F37" s="385">
        <f t="shared" si="2"/>
        <v>30.768140850337151</v>
      </c>
      <c r="G37" s="110">
        <f t="shared" si="21"/>
        <v>0.98812228781273115</v>
      </c>
      <c r="H37" s="414" t="b">
        <f>Wh_hp&gt;='2023'!Maxi_hp</f>
        <v>0</v>
      </c>
      <c r="I37" s="390">
        <f>IF(H37,Wh_hp,'2023'!Maxi_hp)</f>
        <v>30.768234513818296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4.4012333285732397E-2</v>
      </c>
      <c r="M37" s="845"/>
      <c r="N37" s="845"/>
      <c r="O37" s="48">
        <f>IF(t&lt;Tnet,'2023'!Resal+('2023'!Salim-'2023'!Resal)*(1-EXP(('2023'!Tnet-t)/('2023'!Tau_j))),Resal+(Salim-Resal)*(1-EXP((Tnet-t)/(Tau_j))))*Salcycl</f>
        <v>6.8798894540530786E-2</v>
      </c>
      <c r="P37" s="169">
        <f>(INDEX(Models!$BJ37:$BT37,,T37)*(1-R37)+INDEX(Models!$BJ37:$BT37,,T37+1)*R37-ERP_i)*Q37*Ramure*Pc/MaxiM</f>
        <v>3.9077233639577344E-4</v>
      </c>
      <c r="Q37" s="305">
        <f t="shared" si="4"/>
        <v>0.5</v>
      </c>
      <c r="R37" s="177">
        <f t="shared" si="5"/>
        <v>0.99841150483261609</v>
      </c>
      <c r="S37" s="811">
        <f t="shared" si="6"/>
        <v>0</v>
      </c>
      <c r="T37" s="176">
        <f t="shared" si="7"/>
        <v>6</v>
      </c>
      <c r="U37" s="251">
        <f t="shared" si="8"/>
        <v>0.99841150483261609</v>
      </c>
      <c r="V37" s="383">
        <f t="shared" si="9"/>
        <v>27.708727948008153</v>
      </c>
      <c r="W37" s="402">
        <f t="shared" si="10"/>
        <v>27.379793168823053</v>
      </c>
      <c r="X37" s="157">
        <f t="shared" si="11"/>
        <v>45314</v>
      </c>
      <c r="Y37" s="385">
        <f t="shared" si="12"/>
        <v>26.776583608541753</v>
      </c>
      <c r="Z37" s="385">
        <f t="shared" si="22"/>
        <v>28.009340016459571</v>
      </c>
      <c r="AA37" s="386">
        <f t="shared" si="13"/>
        <v>30.756321413462359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8.9314367608357967E-2</v>
      </c>
      <c r="AD37" s="231">
        <f>(INDEX(Models!$BJ37:$BT37,,AH37)*(1-AF37)+INDEX(Models!$BJ37:$BT37,,AH37+1)*AF37-ERP_i)*AE37*Ramure*Pc/MaxiM</f>
        <v>3.9077233639577344E-4</v>
      </c>
      <c r="AE37" s="305">
        <f t="shared" si="15"/>
        <v>0.5</v>
      </c>
      <c r="AF37" s="177">
        <f t="shared" si="23"/>
        <v>0.99841150483261609</v>
      </c>
      <c r="AG37" s="811">
        <f t="shared" si="24"/>
        <v>0</v>
      </c>
      <c r="AH37" s="176">
        <f t="shared" si="16"/>
        <v>6</v>
      </c>
      <c r="AI37" s="225">
        <f t="shared" si="17"/>
        <v>0.99841150483261609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'2023'!Wh/'2023'!Env_an*'2024'!Env_an</f>
        <v>27.996193016498058</v>
      </c>
      <c r="C38" s="841"/>
      <c r="D38" s="393">
        <f t="shared" si="0"/>
        <v>29.285739966323263</v>
      </c>
      <c r="E38" s="385">
        <f t="shared" si="1"/>
        <v>31.450674145233339</v>
      </c>
      <c r="F38" s="385">
        <f t="shared" si="2"/>
        <v>31.462446805790826</v>
      </c>
      <c r="G38" s="110">
        <f t="shared" si="21"/>
        <v>1.0003758637461393</v>
      </c>
      <c r="H38" s="414" t="b">
        <f>Wh_hp&gt;='2023'!Maxi_hp</f>
        <v>1</v>
      </c>
      <c r="I38" s="390">
        <f>IF(H38,Wh_hp,'2023'!Maxi_hp)</f>
        <v>31.462446805790826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4.4033271869111101E-2</v>
      </c>
      <c r="M38" s="845"/>
      <c r="N38" s="845"/>
      <c r="O38" s="48">
        <f>IF(t&lt;Tnet,'2023'!Resal+('2023'!Salim-'2023'!Resal)*(1-EXP(('2023'!Tnet-t)/('2023'!Tau_j))),Resal+(Salim-Resal)*(1-EXP((Tnet-t)/(Tau_j))))*Salcycl</f>
        <v>6.8835859254171003E-2</v>
      </c>
      <c r="P38" s="169">
        <f>(INDEX(Models!$BJ38:$BT38,,T38)*(1-R38)+INDEX(Models!$BJ38:$BT38,,T38+1)*R38-ERP_i)*Q38*Ramure*Pc/MaxiM</f>
        <v>3.7418134165335417E-4</v>
      </c>
      <c r="Q38" s="305">
        <f t="shared" si="4"/>
        <v>0.5</v>
      </c>
      <c r="R38" s="177">
        <f t="shared" si="5"/>
        <v>0.99848335654284559</v>
      </c>
      <c r="S38" s="811">
        <f t="shared" si="6"/>
        <v>0</v>
      </c>
      <c r="T38" s="176">
        <f t="shared" si="7"/>
        <v>6</v>
      </c>
      <c r="U38" s="251">
        <f t="shared" si="8"/>
        <v>0.99848335654284559</v>
      </c>
      <c r="V38" s="383">
        <f t="shared" si="9"/>
        <v>27.985674216148936</v>
      </c>
      <c r="W38" s="402">
        <f t="shared" si="10"/>
        <v>27.996193016498058</v>
      </c>
      <c r="X38" s="157">
        <f t="shared" si="11"/>
        <v>45315</v>
      </c>
      <c r="Y38" s="385">
        <f t="shared" si="12"/>
        <v>27.379947791539781</v>
      </c>
      <c r="Z38" s="385">
        <f t="shared" si="22"/>
        <v>28.641109555217678</v>
      </c>
      <c r="AA38" s="386">
        <f t="shared" si="13"/>
        <v>31.450674145233339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8.9332412305110423E-2</v>
      </c>
      <c r="AD38" s="231">
        <f>(INDEX(Models!$BJ38:$BT38,,AH38)*(1-AF38)+INDEX(Models!$BJ38:$BT38,,AH38+1)*AF38-ERP_i)*AE38*Ramure*Pc/MaxiM</f>
        <v>3.7418134165335417E-4</v>
      </c>
      <c r="AE38" s="305">
        <f t="shared" si="15"/>
        <v>0.5</v>
      </c>
      <c r="AF38" s="177">
        <f t="shared" si="23"/>
        <v>0.99848335654284559</v>
      </c>
      <c r="AG38" s="811">
        <f t="shared" si="24"/>
        <v>0</v>
      </c>
      <c r="AH38" s="176">
        <f t="shared" si="16"/>
        <v>6</v>
      </c>
      <c r="AI38" s="225">
        <f t="shared" si="17"/>
        <v>0.99848335654284559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'2023'!Wh/'2023'!Env_an*'2024'!Env_an</f>
        <v>26.663781531406872</v>
      </c>
      <c r="C39" s="841"/>
      <c r="D39" s="393">
        <f t="shared" si="0"/>
        <v>27.892566513877529</v>
      </c>
      <c r="E39" s="385">
        <f t="shared" si="1"/>
        <v>29.955702441455063</v>
      </c>
      <c r="F39" s="385">
        <f t="shared" si="2"/>
        <v>29.965561488562383</v>
      </c>
      <c r="G39" s="110">
        <f t="shared" si="21"/>
        <v>0.94315448322014572</v>
      </c>
      <c r="H39" s="414" t="b">
        <f>Wh_hp&gt;='2023'!Maxi_hp</f>
        <v>0</v>
      </c>
      <c r="I39" s="390">
        <f>IF(H39,Wh_hp,'2023'!Maxi_hp)</f>
        <v>29.965963471414504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4.4054209993881099E-2</v>
      </c>
      <c r="M39" s="845"/>
      <c r="N39" s="845"/>
      <c r="O39" s="48">
        <f>IF(t&lt;Tnet,'2023'!Resal+('2023'!Salim-'2023'!Resal)*(1-EXP(('2023'!Tnet-t)/('2023'!Tau_j))),Resal+(Salim-Resal)*(1-EXP((Tnet-t)/(Tau_j))))*Salcycl</f>
        <v>6.8872894288147343E-2</v>
      </c>
      <c r="P39" s="169">
        <f>(INDEX(Models!$BJ39:$BT39,,T39)*(1-R39)+INDEX(Models!$BJ39:$BT39,,T39+1)*R39-ERP_i)*Q39*Ramure*Pc/MaxiM</f>
        <v>3.5807726184955126E-4</v>
      </c>
      <c r="Q39" s="305">
        <f t="shared" si="4"/>
        <v>0.5</v>
      </c>
      <c r="R39" s="177">
        <f t="shared" si="5"/>
        <v>0.99855820057425382</v>
      </c>
      <c r="S39" s="811">
        <f t="shared" si="6"/>
        <v>0</v>
      </c>
      <c r="T39" s="176">
        <f t="shared" si="7"/>
        <v>6</v>
      </c>
      <c r="U39" s="251">
        <f t="shared" si="8"/>
        <v>0.99855820057425382</v>
      </c>
      <c r="V39" s="383">
        <f t="shared" si="9"/>
        <v>28.270030813352633</v>
      </c>
      <c r="W39" s="402">
        <f t="shared" si="10"/>
        <v>26.663781531406872</v>
      </c>
      <c r="X39" s="157">
        <f t="shared" si="11"/>
        <v>45316</v>
      </c>
      <c r="Y39" s="385">
        <f t="shared" si="12"/>
        <v>26.077382069249929</v>
      </c>
      <c r="Z39" s="385">
        <f t="shared" si="22"/>
        <v>27.279143170956388</v>
      </c>
      <c r="AA39" s="386">
        <f t="shared" si="13"/>
        <v>29.955702441455063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8.9350576095810083E-2</v>
      </c>
      <c r="AD39" s="231">
        <f>(INDEX(Models!$BJ39:$BT39,,AH39)*(1-AF39)+INDEX(Models!$BJ39:$BT39,,AH39+1)*AF39-ERP_i)*AE39*Ramure*Pc/MaxiM</f>
        <v>3.5807726184955126E-4</v>
      </c>
      <c r="AE39" s="305">
        <f t="shared" si="15"/>
        <v>0.5</v>
      </c>
      <c r="AF39" s="177">
        <f t="shared" si="23"/>
        <v>0.99855820057425382</v>
      </c>
      <c r="AG39" s="811">
        <f t="shared" si="24"/>
        <v>0</v>
      </c>
      <c r="AH39" s="176">
        <f t="shared" si="16"/>
        <v>6</v>
      </c>
      <c r="AI39" s="225">
        <f t="shared" si="17"/>
        <v>0.99855820057425382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'2023'!Wh/'2023'!Env_an*'2024'!Env_an</f>
        <v>27.616145835962726</v>
      </c>
      <c r="C40" s="841"/>
      <c r="D40" s="393">
        <f t="shared" si="0"/>
        <v>28.889452730895027</v>
      </c>
      <c r="E40" s="385">
        <f t="shared" si="1"/>
        <v>31.027562083598681</v>
      </c>
      <c r="F40" s="385">
        <f t="shared" si="2"/>
        <v>31.037689296198096</v>
      </c>
      <c r="G40" s="110">
        <f t="shared" si="21"/>
        <v>0.96690777179421383</v>
      </c>
      <c r="H40" s="414" t="b">
        <f>Wh_hp&gt;='2023'!Maxi_hp</f>
        <v>0</v>
      </c>
      <c r="I40" s="390">
        <f>IF(H40,Wh_hp,'2023'!Maxi_hp)</f>
        <v>31.037921449908918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4.4075147660052383E-2</v>
      </c>
      <c r="M40" s="845"/>
      <c r="N40" s="845"/>
      <c r="O40" s="48">
        <f>IF(t&lt;Tnet,'2023'!Resal+('2023'!Salim-'2023'!Resal)*(1-EXP(('2023'!Tnet-t)/('2023'!Tau_j))),Resal+(Salim-Resal)*(1-EXP((Tnet-t)/(Tau_j))))*Salcycl</f>
        <v>6.8910001596092896E-2</v>
      </c>
      <c r="P40" s="169">
        <f>(INDEX(Models!$BJ40:$BT40,,T40)*(1-R40)+INDEX(Models!$BJ40:$BT40,,T40+1)*R40-ERP_i)*Q40*Ramure*Pc/MaxiM</f>
        <v>3.4247006376075979E-4</v>
      </c>
      <c r="Q40" s="305">
        <f t="shared" si="4"/>
        <v>0.5</v>
      </c>
      <c r="R40" s="177">
        <f t="shared" si="5"/>
        <v>0.9986361605866465</v>
      </c>
      <c r="S40" s="811">
        <f t="shared" si="6"/>
        <v>0</v>
      </c>
      <c r="T40" s="176">
        <f t="shared" si="7"/>
        <v>6</v>
      </c>
      <c r="U40" s="251">
        <f t="shared" si="8"/>
        <v>0.9986361605866465</v>
      </c>
      <c r="V40" s="383">
        <f t="shared" si="9"/>
        <v>28.560840648828986</v>
      </c>
      <c r="W40" s="402">
        <f t="shared" si="10"/>
        <v>27.616145835962726</v>
      </c>
      <c r="X40" s="157">
        <f t="shared" si="11"/>
        <v>45317</v>
      </c>
      <c r="Y40" s="385">
        <f t="shared" si="12"/>
        <v>27.009335693429787</v>
      </c>
      <c r="Z40" s="385">
        <f t="shared" si="22"/>
        <v>28.254664189674902</v>
      </c>
      <c r="AA40" s="386">
        <f t="shared" si="13"/>
        <v>31.027562083598681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8.936886135148682E-2</v>
      </c>
      <c r="AD40" s="231">
        <f>(INDEX(Models!$BJ40:$BT40,,AH40)*(1-AF40)+INDEX(Models!$BJ40:$BT40,,AH40+1)*AF40-ERP_i)*AE40*Ramure*Pc/MaxiM</f>
        <v>3.4247006376075979E-4</v>
      </c>
      <c r="AE40" s="305">
        <f t="shared" si="15"/>
        <v>0.5</v>
      </c>
      <c r="AF40" s="177">
        <f t="shared" si="23"/>
        <v>0.9986361605866465</v>
      </c>
      <c r="AG40" s="811">
        <f t="shared" si="24"/>
        <v>0</v>
      </c>
      <c r="AH40" s="176">
        <f t="shared" si="16"/>
        <v>6</v>
      </c>
      <c r="AI40" s="225">
        <f t="shared" si="17"/>
        <v>0.9986361605866465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'2023'!Wh/'2023'!Env_an*'2024'!Env_an</f>
        <v>25.731196192955448</v>
      </c>
      <c r="C41" s="841"/>
      <c r="D41" s="393">
        <f t="shared" si="0"/>
        <v>26.918182660013926</v>
      </c>
      <c r="E41" s="385">
        <f t="shared" si="1"/>
        <v>28.911552766644309</v>
      </c>
      <c r="F41" s="385">
        <f t="shared" si="2"/>
        <v>28.919554994664708</v>
      </c>
      <c r="G41" s="110">
        <f t="shared" si="21"/>
        <v>0.89162980629516664</v>
      </c>
      <c r="H41" s="414" t="b">
        <f>Wh_hp&gt;='2023'!Maxi_hp</f>
        <v>0</v>
      </c>
      <c r="I41" s="390">
        <f>IF(H41,Wh_hp,'2023'!Maxi_hp)</f>
        <v>28.920232617261767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4.4096084867635166E-2</v>
      </c>
      <c r="M41" s="845"/>
      <c r="N41" s="845"/>
      <c r="O41" s="48">
        <f>IF(t&lt;Tnet,'2023'!Resal+('2023'!Salim-'2023'!Resal)*(1-EXP(('2023'!Tnet-t)/('2023'!Tau_j))),Resal+(Salim-Resal)*(1-EXP((Tnet-t)/(Tau_j))))*Salcycl</f>
        <v>6.8947182557768577E-2</v>
      </c>
      <c r="P41" s="169">
        <f>(INDEX(Models!$BJ41:$BT41,,T41)*(1-R41)+INDEX(Models!$BJ41:$BT41,,T41+1)*R41-ERP_i)*Q41*Ramure*Pc/MaxiM</f>
        <v>3.2736643089915934E-4</v>
      </c>
      <c r="Q41" s="305">
        <f t="shared" si="4"/>
        <v>0.5</v>
      </c>
      <c r="R41" s="177">
        <f t="shared" si="5"/>
        <v>0.99871736526846822</v>
      </c>
      <c r="S41" s="811">
        <f t="shared" si="6"/>
        <v>0</v>
      </c>
      <c r="T41" s="176">
        <f t="shared" si="7"/>
        <v>6</v>
      </c>
      <c r="U41" s="251">
        <f t="shared" si="8"/>
        <v>0.99871736526846822</v>
      </c>
      <c r="V41" s="383">
        <f t="shared" si="9"/>
        <v>28.857146888924898</v>
      </c>
      <c r="W41" s="402">
        <f t="shared" si="10"/>
        <v>25.731196192955448</v>
      </c>
      <c r="X41" s="157">
        <f t="shared" si="11"/>
        <v>45318</v>
      </c>
      <c r="Y41" s="385">
        <f t="shared" si="12"/>
        <v>25.166300321837703</v>
      </c>
      <c r="Z41" s="385">
        <f t="shared" si="22"/>
        <v>26.327228002150093</v>
      </c>
      <c r="AA41" s="386">
        <f t="shared" si="13"/>
        <v>28.911552766644309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8.9387269696416694E-2</v>
      </c>
      <c r="AD41" s="231">
        <f>(INDEX(Models!$BJ41:$BT41,,AH41)*(1-AF41)+INDEX(Models!$BJ41:$BT41,,AH41+1)*AF41-ERP_i)*AE41*Ramure*Pc/MaxiM</f>
        <v>3.2736643089915934E-4</v>
      </c>
      <c r="AE41" s="305">
        <f t="shared" si="15"/>
        <v>0.5</v>
      </c>
      <c r="AF41" s="177">
        <f t="shared" si="23"/>
        <v>0.99871736526846822</v>
      </c>
      <c r="AG41" s="811">
        <f t="shared" si="24"/>
        <v>0</v>
      </c>
      <c r="AH41" s="176">
        <f t="shared" si="16"/>
        <v>6</v>
      </c>
      <c r="AI41" s="225">
        <f t="shared" si="17"/>
        <v>0.99871736526846822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'2023'!Wh/'2023'!Env_an*'2024'!Env_an</f>
        <v>4.203043359752014</v>
      </c>
      <c r="C42" s="841"/>
      <c r="D42" s="393">
        <f t="shared" si="0"/>
        <v>4.3970270993426626</v>
      </c>
      <c r="E42" s="385">
        <f t="shared" si="1"/>
        <v>4.7228287887103226</v>
      </c>
      <c r="F42" s="385">
        <f t="shared" si="2"/>
        <v>4.7228287887103226</v>
      </c>
      <c r="G42" s="110">
        <f t="shared" si="21"/>
        <v>0.14410212599282976</v>
      </c>
      <c r="H42" s="414" t="b">
        <f>Wh_hp&gt;='2023'!Maxi_hp</f>
        <v>0</v>
      </c>
      <c r="I42" s="390">
        <f>IF(H42,Wh_hp,'2023'!Maxi_hp)</f>
        <v>18.517028420857695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4.4117021616639218E-2</v>
      </c>
      <c r="M42" s="845"/>
      <c r="N42" s="845"/>
      <c r="O42" s="48">
        <f>IF(t&lt;Tnet,'2023'!Resal+('2023'!Salim-'2023'!Resal)*(1-EXP(('2023'!Tnet-t)/('2023'!Tau_j))),Resal+(Salim-Resal)*(1-EXP((Tnet-t)/(Tau_j))))*Salcycl</f>
        <v>6.8984437917053498E-2</v>
      </c>
      <c r="P42" s="169">
        <f>(INDEX(Models!$BJ42:$BT42,,T42)*(1-R42)+INDEX(Models!$BJ42:$BT42,,T42+1)*R42-ERP_i)*Q42*Ramure*Pc/MaxiM</f>
        <v>3.1277008427137046E-4</v>
      </c>
      <c r="Q42" s="305">
        <f t="shared" si="4"/>
        <v>0.5</v>
      </c>
      <c r="R42" s="177">
        <f t="shared" si="5"/>
        <v>0.99880194853431414</v>
      </c>
      <c r="S42" s="811">
        <f t="shared" si="6"/>
        <v>0</v>
      </c>
      <c r="T42" s="176">
        <f t="shared" si="7"/>
        <v>6</v>
      </c>
      <c r="U42" s="251">
        <f t="shared" si="8"/>
        <v>0.99880194853431414</v>
      </c>
      <c r="V42" s="383">
        <f t="shared" si="9"/>
        <v>29.157992948246008</v>
      </c>
      <c r="W42" s="402">
        <f t="shared" si="10"/>
        <v>4.203043359752014</v>
      </c>
      <c r="X42" s="157">
        <f t="shared" si="11"/>
        <v>45319</v>
      </c>
      <c r="Y42" s="385">
        <f t="shared" si="12"/>
        <v>4.110851690887217</v>
      </c>
      <c r="Z42" s="385">
        <f t="shared" si="22"/>
        <v>4.3005804934822711</v>
      </c>
      <c r="AA42" s="386">
        <f t="shared" si="13"/>
        <v>4.7228287887103226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8.9405801929007891E-2</v>
      </c>
      <c r="AD42" s="231">
        <f>(INDEX(Models!$BJ42:$BT42,,AH42)*(1-AF42)+INDEX(Models!$BJ42:$BT42,,AH42+1)*AF42-ERP_i)*AE42*Ramure*Pc/MaxiM</f>
        <v>3.1277008427137046E-4</v>
      </c>
      <c r="AE42" s="305">
        <f t="shared" si="15"/>
        <v>0.5</v>
      </c>
      <c r="AF42" s="177">
        <f t="shared" si="23"/>
        <v>0.99880194853431414</v>
      </c>
      <c r="AG42" s="811">
        <f t="shared" si="24"/>
        <v>0</v>
      </c>
      <c r="AH42" s="176">
        <f t="shared" si="16"/>
        <v>6</v>
      </c>
      <c r="AI42" s="225">
        <f t="shared" si="17"/>
        <v>0.99880194853431414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'2023'!Wh/'2023'!Env_an*'2024'!Env_an</f>
        <v>9.2167173705240781</v>
      </c>
      <c r="C43" s="841"/>
      <c r="D43" s="393">
        <f t="shared" si="0"/>
        <v>9.6423092084956608</v>
      </c>
      <c r="E43" s="385">
        <f t="shared" si="1"/>
        <v>10.357180086814294</v>
      </c>
      <c r="F43" s="385">
        <f t="shared" si="2"/>
        <v>10.357236784799277</v>
      </c>
      <c r="G43" s="110">
        <f t="shared" si="21"/>
        <v>0.31273785922389447</v>
      </c>
      <c r="H43" s="414" t="b">
        <f>Wh_hp&gt;='2023'!Maxi_hp</f>
        <v>0</v>
      </c>
      <c r="I43" s="390">
        <f>IF(H43,Wh_hp,'2023'!Maxi_hp)</f>
        <v>20.355528257182332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4.4137957907074865E-2</v>
      </c>
      <c r="M43" s="845"/>
      <c r="N43" s="845"/>
      <c r="O43" s="48">
        <f>IF(t&lt;Tnet,'2023'!Resal+('2023'!Salim-'2023'!Resal)*(1-EXP(('2023'!Tnet-t)/('2023'!Tau_j))),Resal+(Salim-Resal)*(1-EXP((Tnet-t)/(Tau_j))))*Salcycl</f>
        <v>6.9021767732776504E-2</v>
      </c>
      <c r="P43" s="169">
        <f>(INDEX(Models!$BJ43:$BT43,,T43)*(1-R43)+INDEX(Models!$BJ43:$BT43,,T43+1)*R43-ERP_i)*Q43*Ramure*Pc/MaxiM</f>
        <v>2.9868209649565254E-4</v>
      </c>
      <c r="Q43" s="305">
        <f t="shared" si="4"/>
        <v>0.5</v>
      </c>
      <c r="R43" s="177">
        <f t="shared" si="5"/>
        <v>0.99889004972959938</v>
      </c>
      <c r="S43" s="811">
        <f t="shared" si="6"/>
        <v>0</v>
      </c>
      <c r="T43" s="176">
        <f t="shared" si="7"/>
        <v>6</v>
      </c>
      <c r="U43" s="251">
        <f t="shared" si="8"/>
        <v>0.99889004972959938</v>
      </c>
      <c r="V43" s="383">
        <f t="shared" si="9"/>
        <v>29.462422505029867</v>
      </c>
      <c r="W43" s="402">
        <f t="shared" si="10"/>
        <v>9.2167173705240781</v>
      </c>
      <c r="X43" s="157">
        <f t="shared" si="11"/>
        <v>45320</v>
      </c>
      <c r="Y43" s="385">
        <f t="shared" si="12"/>
        <v>9.0147300168993922</v>
      </c>
      <c r="Z43" s="385">
        <f t="shared" si="22"/>
        <v>9.4309948715622447</v>
      </c>
      <c r="AA43" s="386">
        <f t="shared" si="13"/>
        <v>10.357180086814294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8.9424457959476331E-2</v>
      </c>
      <c r="AD43" s="231">
        <f>(INDEX(Models!$BJ43:$BT43,,AH43)*(1-AF43)+INDEX(Models!$BJ43:$BT43,,AH43+1)*AF43-ERP_i)*AE43*Ramure*Pc/MaxiM</f>
        <v>2.9868209649565254E-4</v>
      </c>
      <c r="AE43" s="305">
        <f t="shared" si="15"/>
        <v>0.5</v>
      </c>
      <c r="AF43" s="177">
        <f t="shared" si="23"/>
        <v>0.99889004972959938</v>
      </c>
      <c r="AG43" s="811">
        <f t="shared" si="24"/>
        <v>0</v>
      </c>
      <c r="AH43" s="176">
        <f t="shared" si="16"/>
        <v>6</v>
      </c>
      <c r="AI43" s="225">
        <f t="shared" si="17"/>
        <v>0.99889004972959938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'2023'!Wh/'2023'!Env_an*'2024'!Env_an</f>
        <v>4.3840471564178785</v>
      </c>
      <c r="C44" s="841"/>
      <c r="D44" s="393">
        <f t="shared" si="0"/>
        <v>4.5865857072907259</v>
      </c>
      <c r="E44" s="385">
        <f t="shared" si="1"/>
        <v>4.9268283934927819</v>
      </c>
      <c r="F44" s="385">
        <f t="shared" si="2"/>
        <v>4.9268283934927819</v>
      </c>
      <c r="G44" s="110">
        <f t="shared" si="21"/>
        <v>0.14722451764997824</v>
      </c>
      <c r="H44" s="414" t="b">
        <f>Wh_hp&gt;='2023'!Maxi_hp</f>
        <v>0</v>
      </c>
      <c r="I44" s="390">
        <f>IF(H44,Wh_hp,'2023'!Maxi_hp)</f>
        <v>12.271638358981564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4.4158893738951988E-2</v>
      </c>
      <c r="M44" s="845"/>
      <c r="N44" s="845"/>
      <c r="O44" s="48">
        <f>IF(t&lt;Tnet,'2023'!Resal+('2023'!Salim-'2023'!Resal)*(1-EXP(('2023'!Tnet-t)/('2023'!Tau_j))),Resal+(Salim-Resal)*(1-EXP((Tnet-t)/(Tau_j))))*Salcycl</f>
        <v>6.9059171342651035E-2</v>
      </c>
      <c r="P44" s="169">
        <f>(INDEX(Models!$BJ44:$BT44,,T44)*(1-R44)+INDEX(Models!$BJ44:$BT44,,T44+1)*R44-ERP_i)*Q44*Ramure*Pc/MaxiM</f>
        <v>2.8543158382462753E-4</v>
      </c>
      <c r="Q44" s="305">
        <f t="shared" si="4"/>
        <v>0.5</v>
      </c>
      <c r="R44" s="177">
        <f t="shared" si="5"/>
        <v>0.99898181384259288</v>
      </c>
      <c r="S44" s="811">
        <f t="shared" si="6"/>
        <v>0</v>
      </c>
      <c r="T44" s="176">
        <f t="shared" si="7"/>
        <v>6</v>
      </c>
      <c r="U44" s="251">
        <f t="shared" si="8"/>
        <v>0.99898181384259288</v>
      </c>
      <c r="V44" s="383">
        <f t="shared" si="9"/>
        <v>29.769469656639817</v>
      </c>
      <c r="W44" s="402">
        <f t="shared" si="10"/>
        <v>4.3840471564178785</v>
      </c>
      <c r="X44" s="157">
        <f t="shared" si="11"/>
        <v>45321</v>
      </c>
      <c r="Y44" s="385">
        <f t="shared" si="12"/>
        <v>4.2880531884894708</v>
      </c>
      <c r="Z44" s="385">
        <f t="shared" si="22"/>
        <v>4.486156914995</v>
      </c>
      <c r="AA44" s="386">
        <f t="shared" si="13"/>
        <v>4.9268283934927819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8.9443236764610745E-2</v>
      </c>
      <c r="AD44" s="231">
        <f>(INDEX(Models!$BJ44:$BT44,,AH44)*(1-AF44)+INDEX(Models!$BJ44:$BT44,,AH44+1)*AF44-ERP_i)*AE44*Ramure*Pc/MaxiM</f>
        <v>2.8543158382462753E-4</v>
      </c>
      <c r="AE44" s="305">
        <f t="shared" si="15"/>
        <v>0.5</v>
      </c>
      <c r="AF44" s="177">
        <f t="shared" si="23"/>
        <v>0.99898181384259288</v>
      </c>
      <c r="AG44" s="811">
        <f t="shared" si="24"/>
        <v>0</v>
      </c>
      <c r="AH44" s="176">
        <f t="shared" si="16"/>
        <v>6</v>
      </c>
      <c r="AI44" s="225">
        <f t="shared" si="17"/>
        <v>0.99898181384259288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'2023'!Wh/'2023'!Env_an*'2024'!Env_an</f>
        <v>8.9669946048896918</v>
      </c>
      <c r="C45" s="841"/>
      <c r="D45" s="393">
        <f t="shared" si="0"/>
        <v>9.3814661774312444</v>
      </c>
      <c r="E45" s="385">
        <f t="shared" si="1"/>
        <v>10.077808991264931</v>
      </c>
      <c r="F45" s="385">
        <f t="shared" si="2"/>
        <v>10.077808991264931</v>
      </c>
      <c r="G45" s="110">
        <f t="shared" si="21"/>
        <v>0.29804153664796529</v>
      </c>
      <c r="H45" s="414" t="b">
        <f>Wh_hp&gt;='2023'!Maxi_hp</f>
        <v>0</v>
      </c>
      <c r="I45" s="390">
        <f>IF(H45,Wh_hp,'2023'!Maxi_hp)</f>
        <v>23.585730416186674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4.4179829112280578E-2</v>
      </c>
      <c r="M45" s="845"/>
      <c r="N45" s="845"/>
      <c r="O45" s="48">
        <f>IF(t&lt;Tnet,'2023'!Resal+('2023'!Salim-'2023'!Resal)*(1-EXP(('2023'!Tnet-t)/('2023'!Tau_j))),Resal+(Salim-Resal)*(1-EXP((Tnet-t)/(Tau_j))))*Salcycl</f>
        <v>6.9096647340433887E-2</v>
      </c>
      <c r="P45" s="169">
        <f>(INDEX(Models!$BJ45:$BT45,,T45)*(1-R45)+INDEX(Models!$BJ45:$BT45,,T45+1)*R45-ERP_i)*Q45*Ramure*Pc/MaxiM</f>
        <v>2.7309024022848259E-4</v>
      </c>
      <c r="Q45" s="305">
        <f t="shared" si="4"/>
        <v>0.5</v>
      </c>
      <c r="R45" s="177">
        <f t="shared" si="5"/>
        <v>0.99907739172402299</v>
      </c>
      <c r="S45" s="811">
        <f t="shared" si="6"/>
        <v>0</v>
      </c>
      <c r="T45" s="176">
        <f t="shared" si="7"/>
        <v>6</v>
      </c>
      <c r="U45" s="251">
        <f t="shared" si="8"/>
        <v>0.99907739172402299</v>
      </c>
      <c r="V45" s="383">
        <f t="shared" si="9"/>
        <v>30.078176038823329</v>
      </c>
      <c r="W45" s="402">
        <f t="shared" si="10"/>
        <v>8.9669946048896918</v>
      </c>
      <c r="X45" s="157">
        <f t="shared" si="11"/>
        <v>45322</v>
      </c>
      <c r="Y45" s="385">
        <f t="shared" si="12"/>
        <v>8.7708225429453925</v>
      </c>
      <c r="Z45" s="385">
        <f t="shared" si="22"/>
        <v>9.1762266690809398</v>
      </c>
      <c r="AA45" s="386">
        <f t="shared" si="13"/>
        <v>10.077808991264931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8.9462136359743483E-2</v>
      </c>
      <c r="AD45" s="231">
        <f>(INDEX(Models!$BJ45:$BT45,,AH45)*(1-AF45)+INDEX(Models!$BJ45:$BT45,,AH45+1)*AF45-ERP_i)*AE45*Ramure*Pc/MaxiM</f>
        <v>2.7309024022848259E-4</v>
      </c>
      <c r="AE45" s="305">
        <f t="shared" si="15"/>
        <v>0.5</v>
      </c>
      <c r="AF45" s="177">
        <f t="shared" si="23"/>
        <v>0.99907739172402299</v>
      </c>
      <c r="AG45" s="811">
        <f t="shared" si="24"/>
        <v>0</v>
      </c>
      <c r="AH45" s="176">
        <f t="shared" si="16"/>
        <v>6</v>
      </c>
      <c r="AI45" s="225">
        <f t="shared" si="17"/>
        <v>0.99907739172402299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'2023'!Wh/'2023'!Env_an*'2024'!Env_an</f>
        <v>13.018445586552676</v>
      </c>
      <c r="C46" s="841"/>
      <c r="D46" s="393">
        <f t="shared" si="0"/>
        <v>13.620481264876627</v>
      </c>
      <c r="E46" s="385">
        <f t="shared" si="1"/>
        <v>14.632056705422189</v>
      </c>
      <c r="F46" s="385">
        <f t="shared" si="2"/>
        <v>14.632759038698932</v>
      </c>
      <c r="G46" s="110">
        <f t="shared" si="21"/>
        <v>0.42832175282513113</v>
      </c>
      <c r="H46" s="414" t="b">
        <f>Wh_hp&gt;='2023'!Maxi_hp</f>
        <v>0</v>
      </c>
      <c r="I46" s="390">
        <f>IF(H46,Wh_hp,'2023'!Maxi_hp)</f>
        <v>27.944973498874095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4.4200764027070849E-2</v>
      </c>
      <c r="M46" s="845"/>
      <c r="N46" s="845"/>
      <c r="O46" s="48">
        <f>IF(t&lt;Tnet,'2023'!Resal+('2023'!Salim-'2023'!Resal)*(1-EXP(('2023'!Tnet-t)/('2023'!Tau_j))),Resal+(Salim-Resal)*(1-EXP((Tnet-t)/(Tau_j))))*Salcycl</f>
        <v>6.9134193566288096E-2</v>
      </c>
      <c r="P46" s="169">
        <f>(INDEX(Models!$BJ46:$BT46,,T46)*(1-R46)+INDEX(Models!$BJ46:$BT46,,T46+1)*R46-ERP_i)*Q46*Ramure*Pc/MaxiM</f>
        <v>2.6164058377448648E-4</v>
      </c>
      <c r="Q46" s="305">
        <f t="shared" si="4"/>
        <v>0.5</v>
      </c>
      <c r="R46" s="177">
        <f t="shared" si="5"/>
        <v>0.99917694031446347</v>
      </c>
      <c r="S46" s="811">
        <f t="shared" si="6"/>
        <v>0</v>
      </c>
      <c r="T46" s="176">
        <f t="shared" si="7"/>
        <v>6</v>
      </c>
      <c r="U46" s="251">
        <f t="shared" si="8"/>
        <v>0.99917694031446347</v>
      </c>
      <c r="V46" s="383">
        <f t="shared" si="9"/>
        <v>30.387586117329011</v>
      </c>
      <c r="W46" s="402">
        <f t="shared" si="10"/>
        <v>13.018445586552676</v>
      </c>
      <c r="X46" s="157">
        <f t="shared" si="11"/>
        <v>45323</v>
      </c>
      <c r="Y46" s="385">
        <f t="shared" si="12"/>
        <v>12.733887068380103</v>
      </c>
      <c r="Z46" s="385">
        <f t="shared" si="22"/>
        <v>13.322763389131607</v>
      </c>
      <c r="AA46" s="386">
        <f t="shared" si="13"/>
        <v>14.632056705422189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8.9481153787860729E-2</v>
      </c>
      <c r="AD46" s="231">
        <f>(INDEX(Models!$BJ46:$BT46,,AH46)*(1-AF46)+INDEX(Models!$BJ46:$BT46,,AH46+1)*AF46-ERP_i)*AE46*Ramure*Pc/MaxiM</f>
        <v>2.6164058377448648E-4</v>
      </c>
      <c r="AE46" s="305">
        <f t="shared" si="15"/>
        <v>0.5</v>
      </c>
      <c r="AF46" s="177">
        <f t="shared" si="23"/>
        <v>0.99917694031446347</v>
      </c>
      <c r="AG46" s="811">
        <f t="shared" si="24"/>
        <v>0</v>
      </c>
      <c r="AH46" s="176">
        <f t="shared" si="16"/>
        <v>6</v>
      </c>
      <c r="AI46" s="225">
        <f t="shared" si="17"/>
        <v>0.99917694031446347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'2023'!Wh/'2023'!Env_an*'2024'!Env_an</f>
        <v>5.2298658009054089</v>
      </c>
      <c r="C47" s="841"/>
      <c r="D47" s="393">
        <f t="shared" si="0"/>
        <v>5.4718398530354246</v>
      </c>
      <c r="E47" s="385">
        <f t="shared" si="1"/>
        <v>5.8784638183850015</v>
      </c>
      <c r="F47" s="385">
        <f t="shared" si="2"/>
        <v>5.8784638183850015</v>
      </c>
      <c r="G47" s="110">
        <f t="shared" si="21"/>
        <v>0.17032922654415658</v>
      </c>
      <c r="H47" s="414" t="b">
        <f>Wh_hp&gt;='2023'!Maxi_hp</f>
        <v>0</v>
      </c>
      <c r="I47" s="390">
        <f>IF(H47,Wh_hp,'2023'!Maxi_hp)</f>
        <v>29.540538398179784</v>
      </c>
      <c r="J47" s="85">
        <f>IF(H47,An,'2023'!An_max)</f>
        <v>2020</v>
      </c>
      <c r="K47" s="197">
        <f t="shared" si="3"/>
        <v>45324</v>
      </c>
      <c r="L47" s="147">
        <f>IF(t&lt;Tvie,1-EXP((T0-t)*PertePVj)+'2023'!Pspv,1-EXP((T0-t)*PertePVj)+Pspv)</f>
        <v>4.4221698483332683E-2</v>
      </c>
      <c r="M47" s="845"/>
      <c r="N47" s="845"/>
      <c r="O47" s="48">
        <f>IF(t&lt;Tnet,'2023'!Resal+('2023'!Salim-'2023'!Resal)*(1-EXP(('2023'!Tnet-t)/('2023'!Tau_j))),Resal+(Salim-Resal)*(1-EXP((Tnet-t)/(Tau_j))))*Salcycl</f>
        <v>6.9171807110193148E-2</v>
      </c>
      <c r="P47" s="169">
        <f>(INDEX(Models!$BJ47:$BT47,,T47)*(1-R47)+INDEX(Models!$BJ47:$BT47,,T47+1)*R47-ERP_i)*Q47*Ramure*Pc/MaxiM</f>
        <v>2.5106419510900313E-4</v>
      </c>
      <c r="Q47" s="305">
        <f t="shared" si="4"/>
        <v>0.5</v>
      </c>
      <c r="R47" s="177">
        <f t="shared" si="5"/>
        <v>0.99928062287970831</v>
      </c>
      <c r="S47" s="811">
        <f t="shared" si="6"/>
        <v>0</v>
      </c>
      <c r="T47" s="176">
        <f t="shared" si="7"/>
        <v>6</v>
      </c>
      <c r="U47" s="251">
        <f t="shared" si="8"/>
        <v>0.99928062287970831</v>
      </c>
      <c r="V47" s="383">
        <f t="shared" si="9"/>
        <v>30.696744621816933</v>
      </c>
      <c r="W47" s="402">
        <f t="shared" si="10"/>
        <v>5.2298658009054089</v>
      </c>
      <c r="X47" s="157">
        <f t="shared" si="11"/>
        <v>45324</v>
      </c>
      <c r="Y47" s="385">
        <f t="shared" si="12"/>
        <v>5.1156500812168755</v>
      </c>
      <c r="Z47" s="385">
        <f t="shared" si="22"/>
        <v>5.3523396305389621</v>
      </c>
      <c r="AA47" s="386">
        <f t="shared" si="13"/>
        <v>5.8784638183850015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8.950028512560991E-2</v>
      </c>
      <c r="AD47" s="231">
        <f>(INDEX(Models!$BJ47:$BT47,,AH47)*(1-AF47)+INDEX(Models!$BJ47:$BT47,,AH47+1)*AF47-ERP_i)*AE47*Ramure*Pc/MaxiM</f>
        <v>2.5106419510900313E-4</v>
      </c>
      <c r="AE47" s="305">
        <f t="shared" si="15"/>
        <v>0.5</v>
      </c>
      <c r="AF47" s="177">
        <f t="shared" si="23"/>
        <v>0.99928062287970831</v>
      </c>
      <c r="AG47" s="811">
        <f t="shared" si="24"/>
        <v>0</v>
      </c>
      <c r="AH47" s="176">
        <f t="shared" si="16"/>
        <v>6</v>
      </c>
      <c r="AI47" s="225">
        <f t="shared" si="17"/>
        <v>0.99928062287970831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'2023'!Wh/'2023'!Env_an*'2024'!Env_an</f>
        <v>9.8578112476104334</v>
      </c>
      <c r="C48" s="841"/>
      <c r="D48" s="393">
        <f t="shared" si="0"/>
        <v>10.314135765650011</v>
      </c>
      <c r="E48" s="385">
        <f t="shared" si="1"/>
        <v>11.081049486419399</v>
      </c>
      <c r="F48" s="385">
        <f t="shared" si="2"/>
        <v>11.081118047863324</v>
      </c>
      <c r="G48" s="110">
        <f t="shared" si="21"/>
        <v>0.31787097498958095</v>
      </c>
      <c r="H48" s="414" t="b">
        <f>Wh_hp&gt;='2023'!Maxi_hp</f>
        <v>0</v>
      </c>
      <c r="I48" s="390">
        <f>IF(H48,Wh_hp,'2023'!Maxi_hp)</f>
        <v>27.40840746637317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4.4242632481076294E-2</v>
      </c>
      <c r="M48" s="845"/>
      <c r="N48" s="845"/>
      <c r="O48" s="48">
        <f>IF(t&lt;Tnet,'2023'!Resal+('2023'!Salim-'2023'!Resal)*(1-EXP(('2023'!Tnet-t)/('2023'!Tau_j))),Resal+(Salim-Resal)*(1-EXP((Tnet-t)/(Tau_j))))*Salcycl</f>
        <v>6.9209484328112969E-2</v>
      </c>
      <c r="P48" s="169">
        <f>(INDEX(Models!$BJ48:$BT48,,T48)*(1-R48)+INDEX(Models!$BJ48:$BT48,,T48+1)*R48-ERP_i)*Q48*Ramure*Pc/MaxiM</f>
        <v>2.4134204922674477E-4</v>
      </c>
      <c r="Q48" s="305">
        <f t="shared" si="4"/>
        <v>0.5</v>
      </c>
      <c r="R48" s="177">
        <f t="shared" si="5"/>
        <v>0.99938860925434125</v>
      </c>
      <c r="S48" s="811">
        <f t="shared" si="6"/>
        <v>0</v>
      </c>
      <c r="T48" s="176">
        <f t="shared" si="7"/>
        <v>6</v>
      </c>
      <c r="U48" s="251">
        <f t="shared" si="8"/>
        <v>0.99938860925434125</v>
      </c>
      <c r="V48" s="383">
        <f t="shared" si="9"/>
        <v>31.004696549550381</v>
      </c>
      <c r="W48" s="402">
        <f t="shared" si="10"/>
        <v>9.8578112476104334</v>
      </c>
      <c r="X48" s="157">
        <f t="shared" si="11"/>
        <v>45325</v>
      </c>
      <c r="Y48" s="385">
        <f t="shared" si="12"/>
        <v>9.6427117714235528</v>
      </c>
      <c r="Z48" s="385">
        <f t="shared" si="22"/>
        <v>10.089079194288953</v>
      </c>
      <c r="AA48" s="386">
        <f t="shared" si="13"/>
        <v>11.081049486419399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8.9519525505790287E-2</v>
      </c>
      <c r="AD48" s="231">
        <f>(INDEX(Models!$BJ48:$BT48,,AH48)*(1-AF48)+INDEX(Models!$BJ48:$BT48,,AH48+1)*AF48-ERP_i)*AE48*Ramure*Pc/MaxiM</f>
        <v>2.4134204922674477E-4</v>
      </c>
      <c r="AE48" s="305">
        <f t="shared" si="15"/>
        <v>0.5</v>
      </c>
      <c r="AF48" s="177">
        <f t="shared" si="23"/>
        <v>0.99938860925434125</v>
      </c>
      <c r="AG48" s="811">
        <f t="shared" si="24"/>
        <v>0</v>
      </c>
      <c r="AH48" s="176">
        <f t="shared" si="16"/>
        <v>6</v>
      </c>
      <c r="AI48" s="225">
        <f t="shared" si="17"/>
        <v>0.99938860925434125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'2023'!Wh/'2023'!Env_an*'2024'!Env_an</f>
        <v>9.7613548487873203</v>
      </c>
      <c r="C49" s="841"/>
      <c r="D49" s="393">
        <f t="shared" si="0"/>
        <v>10.213438037661721</v>
      </c>
      <c r="E49" s="385">
        <f t="shared" si="1"/>
        <v>10.973309203775935</v>
      </c>
      <c r="F49" s="385">
        <f t="shared" si="2"/>
        <v>10.973352057053091</v>
      </c>
      <c r="G49" s="110">
        <f t="shared" si="21"/>
        <v>0.31168866312855065</v>
      </c>
      <c r="H49" s="414" t="b">
        <f>Wh_hp&gt;='2023'!Maxi_hp</f>
        <v>0</v>
      </c>
      <c r="I49" s="390">
        <f>IF(H49,Wh_hp,'2023'!Maxi_hp)</f>
        <v>27.911356460515268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4.4263566020311562E-2</v>
      </c>
      <c r="M49" s="845"/>
      <c r="N49" s="845"/>
      <c r="O49" s="48">
        <f>IF(t&lt;Tnet,'2023'!Resal+('2023'!Salim-'2023'!Resal)*(1-EXP(('2023'!Tnet-t)/('2023'!Tau_j))),Resal+(Salim-Resal)*(1-EXP((Tnet-t)/(Tau_j))))*Salcycl</f>
        <v>6.9247220870504722E-2</v>
      </c>
      <c r="P49" s="169">
        <f>(INDEX(Models!$BJ49:$BT49,,T49)*(1-R49)+INDEX(Models!$BJ49:$BT49,,T49+1)*R49-ERP_i)*Q49*Ramure*Pc/MaxiM</f>
        <v>2.3245481518462734E-4</v>
      </c>
      <c r="Q49" s="305">
        <f t="shared" si="4"/>
        <v>0.5</v>
      </c>
      <c r="R49" s="177">
        <f t="shared" si="5"/>
        <v>0.99950107609370731</v>
      </c>
      <c r="S49" s="811">
        <f t="shared" si="6"/>
        <v>0</v>
      </c>
      <c r="T49" s="176">
        <f t="shared" si="7"/>
        <v>6</v>
      </c>
      <c r="U49" s="251">
        <f t="shared" si="8"/>
        <v>0.99950107609370731</v>
      </c>
      <c r="V49" s="383">
        <f t="shared" si="9"/>
        <v>31.310487164823581</v>
      </c>
      <c r="W49" s="402">
        <f t="shared" si="10"/>
        <v>9.7613548487873203</v>
      </c>
      <c r="X49" s="157">
        <f t="shared" si="11"/>
        <v>45326</v>
      </c>
      <c r="Y49" s="385">
        <f t="shared" si="12"/>
        <v>9.5485443325895378</v>
      </c>
      <c r="Z49" s="385">
        <f t="shared" si="22"/>
        <v>9.9907715067734522</v>
      </c>
      <c r="AA49" s="386">
        <f t="shared" si="13"/>
        <v>10.973309203775935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8.9538869155750114E-2</v>
      </c>
      <c r="AD49" s="231">
        <f>(INDEX(Models!$BJ49:$BT49,,AH49)*(1-AF49)+INDEX(Models!$BJ49:$BT49,,AH49+1)*AF49-ERP_i)*AE49*Ramure*Pc/MaxiM</f>
        <v>2.3245481518462734E-4</v>
      </c>
      <c r="AE49" s="305">
        <f t="shared" si="15"/>
        <v>0.5</v>
      </c>
      <c r="AF49" s="177">
        <f t="shared" si="23"/>
        <v>0.99950107609370731</v>
      </c>
      <c r="AG49" s="811">
        <f t="shared" si="24"/>
        <v>0</v>
      </c>
      <c r="AH49" s="176">
        <f t="shared" si="16"/>
        <v>6</v>
      </c>
      <c r="AI49" s="225">
        <f t="shared" si="17"/>
        <v>0.99950107609370731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'2023'!Wh/'2023'!Env_an*'2024'!Env_an</f>
        <v>9.4445859037591031</v>
      </c>
      <c r="C50" s="841"/>
      <c r="D50" s="393">
        <f t="shared" si="0"/>
        <v>9.8822148378628079</v>
      </c>
      <c r="E50" s="385">
        <f t="shared" si="1"/>
        <v>10.617874389401955</v>
      </c>
      <c r="F50" s="385">
        <f t="shared" si="2"/>
        <v>10.617874389401955</v>
      </c>
      <c r="G50" s="110">
        <f t="shared" si="21"/>
        <v>0.29868782812797917</v>
      </c>
      <c r="H50" s="414" t="b">
        <f>Wh_hp&gt;='2023'!Maxi_hp</f>
        <v>0</v>
      </c>
      <c r="I50" s="390">
        <f>IF(H50,Wh_hp,'2023'!Maxi_hp)</f>
        <v>35.533389786711119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4.4284499101048591E-2</v>
      </c>
      <c r="M50" s="845"/>
      <c r="N50" s="845"/>
      <c r="O50" s="48">
        <f>IF(t&lt;Tnet,'2023'!Resal+('2023'!Salim-'2023'!Resal)*(1-EXP(('2023'!Tnet-t)/('2023'!Tau_j))),Resal+(Salim-Resal)*(1-EXP((Tnet-t)/(Tau_j))))*Salcycl</f>
        <v>6.9285011722631948E-2</v>
      </c>
      <c r="P50" s="169">
        <f>(INDEX(Models!$BJ50:$BT50,,T50)*(1-R50)+INDEX(Models!$BJ50:$BT50,,T50+1)*R50-ERP_i)*Q50*Ramure*Pc/MaxiM</f>
        <v>2.2438312547824507E-4</v>
      </c>
      <c r="Q50" s="305">
        <f t="shared" si="4"/>
        <v>0.5</v>
      </c>
      <c r="R50" s="177">
        <f t="shared" si="5"/>
        <v>0.99961820713448812</v>
      </c>
      <c r="S50" s="811">
        <f t="shared" si="6"/>
        <v>0</v>
      </c>
      <c r="T50" s="176">
        <f t="shared" si="7"/>
        <v>6</v>
      </c>
      <c r="U50" s="251">
        <f t="shared" si="8"/>
        <v>0.99961820713448812</v>
      </c>
      <c r="V50" s="383">
        <f t="shared" si="9"/>
        <v>31.61316200005761</v>
      </c>
      <c r="W50" s="402">
        <f t="shared" si="10"/>
        <v>9.4445859037591031</v>
      </c>
      <c r="X50" s="157">
        <f t="shared" si="11"/>
        <v>45327</v>
      </c>
      <c r="Y50" s="385">
        <f t="shared" si="12"/>
        <v>9.238859226570769</v>
      </c>
      <c r="Z50" s="385">
        <f t="shared" si="22"/>
        <v>9.6669555091244685</v>
      </c>
      <c r="AA50" s="386">
        <f t="shared" si="13"/>
        <v>10.617874389401955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8.955830945096023E-2</v>
      </c>
      <c r="AD50" s="231">
        <f>(INDEX(Models!$BJ50:$BT50,,AH50)*(1-AF50)+INDEX(Models!$BJ50:$BT50,,AH50+1)*AF50-ERP_i)*AE50*Ramure*Pc/MaxiM</f>
        <v>2.2438312547824507E-4</v>
      </c>
      <c r="AE50" s="305">
        <f t="shared" si="15"/>
        <v>0.5</v>
      </c>
      <c r="AF50" s="177">
        <f t="shared" si="23"/>
        <v>0.99961820713448812</v>
      </c>
      <c r="AG50" s="811">
        <f t="shared" si="24"/>
        <v>0</v>
      </c>
      <c r="AH50" s="176">
        <f t="shared" si="16"/>
        <v>6</v>
      </c>
      <c r="AI50" s="225">
        <f t="shared" si="17"/>
        <v>0.99961820713448812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'2023'!Wh/'2023'!Env_an*'2024'!Env_an</f>
        <v>21.608220341921403</v>
      </c>
      <c r="C51" s="841"/>
      <c r="D51" s="393">
        <f t="shared" si="0"/>
        <v>22.609964584066955</v>
      </c>
      <c r="E51" s="385">
        <f t="shared" si="1"/>
        <v>24.294100929179514</v>
      </c>
      <c r="F51" s="385">
        <f t="shared" si="2"/>
        <v>24.296942366225437</v>
      </c>
      <c r="G51" s="110">
        <f t="shared" si="21"/>
        <v>0.6770142210224932</v>
      </c>
      <c r="H51" s="414" t="b">
        <f>Wh_hp&gt;='2023'!Maxi_hp</f>
        <v>0</v>
      </c>
      <c r="I51" s="390">
        <f>IF(H51,Wh_hp,'2023'!Maxi_hp)</f>
        <v>37.103452774243969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4.4305431723297484E-2</v>
      </c>
      <c r="M51" s="845"/>
      <c r="N51" s="845"/>
      <c r="O51" s="48">
        <f>IF(t&lt;Tnet,'2023'!Resal+('2023'!Salim-'2023'!Resal)*(1-EXP(('2023'!Tnet-t)/('2023'!Tau_j))),Resal+(Salim-Resal)*(1-EXP((Tnet-t)/(Tau_j))))*Salcycl</f>
        <v>6.9322851256032755E-2</v>
      </c>
      <c r="P51" s="169">
        <f>(INDEX(Models!$BJ51:$BT51,,T51)*(1-R51)+INDEX(Models!$BJ51:$BT51,,T51+1)*R51-ERP_i)*Q51*Ramure*Pc/MaxiM</f>
        <v>2.1709439451179043E-4</v>
      </c>
      <c r="Q51" s="305">
        <f t="shared" si="4"/>
        <v>0.5</v>
      </c>
      <c r="R51" s="177">
        <f t="shared" si="5"/>
        <v>0.99974019346408227</v>
      </c>
      <c r="S51" s="811">
        <f t="shared" si="6"/>
        <v>0</v>
      </c>
      <c r="T51" s="176">
        <f t="shared" si="7"/>
        <v>6</v>
      </c>
      <c r="U51" s="251">
        <f t="shared" si="8"/>
        <v>0.99974019346408227</v>
      </c>
      <c r="V51" s="383">
        <f t="shared" si="9"/>
        <v>31.913740354935456</v>
      </c>
      <c r="W51" s="402">
        <f t="shared" si="10"/>
        <v>21.608220341921403</v>
      </c>
      <c r="X51" s="157">
        <f t="shared" si="11"/>
        <v>45328</v>
      </c>
      <c r="Y51" s="385">
        <f t="shared" si="12"/>
        <v>21.137945297116076</v>
      </c>
      <c r="Z51" s="385">
        <f t="shared" si="22"/>
        <v>22.117887867911374</v>
      </c>
      <c r="AA51" s="386">
        <f t="shared" si="13"/>
        <v>24.294100929179514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8.9577838982890845E-2</v>
      </c>
      <c r="AD51" s="231">
        <f>(INDEX(Models!$BJ51:$BT51,,AH51)*(1-AF51)+INDEX(Models!$BJ51:$BT51,,AH51+1)*AF51-ERP_i)*AE51*Ramure*Pc/MaxiM</f>
        <v>2.1709439451179043E-4</v>
      </c>
      <c r="AE51" s="305">
        <f t="shared" si="15"/>
        <v>0.5</v>
      </c>
      <c r="AF51" s="177">
        <f t="shared" si="23"/>
        <v>0.99974019346408227</v>
      </c>
      <c r="AG51" s="811">
        <f t="shared" si="24"/>
        <v>0</v>
      </c>
      <c r="AH51" s="176">
        <f t="shared" si="16"/>
        <v>6</v>
      </c>
      <c r="AI51" s="225">
        <f t="shared" si="17"/>
        <v>0.99974019346408227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'2023'!Wh/'2023'!Env_an*'2024'!Env_an</f>
        <v>9.2722929389641635</v>
      </c>
      <c r="C52" s="841"/>
      <c r="D52" s="393">
        <f t="shared" si="0"/>
        <v>9.7023634309699194</v>
      </c>
      <c r="E52" s="385">
        <f t="shared" si="1"/>
        <v>10.425482545211999</v>
      </c>
      <c r="F52" s="385">
        <f t="shared" si="2"/>
        <v>10.425482545211999</v>
      </c>
      <c r="G52" s="110">
        <f t="shared" si="21"/>
        <v>0.28777361183184197</v>
      </c>
      <c r="H52" s="414" t="b">
        <f>Wh_hp&gt;='2023'!Maxi_hp</f>
        <v>0</v>
      </c>
      <c r="I52" s="390">
        <f>IF(H52,Wh_hp,'2023'!Maxi_hp)</f>
        <v>25.358898167859724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4.4326363887068232E-2</v>
      </c>
      <c r="M52" s="845"/>
      <c r="N52" s="845"/>
      <c r="O52" s="48">
        <f>IF(t&lt;Tnet,'2023'!Resal+('2023'!Salim-'2023'!Resal)*(1-EXP(('2023'!Tnet-t)/('2023'!Tau_j))),Resal+(Salim-Resal)*(1-EXP((Tnet-t)/(Tau_j))))*Salcycl</f>
        <v>6.9360733290391274E-2</v>
      </c>
      <c r="P52" s="169">
        <f>(INDEX(Models!$BJ52:$BT52,,T52)*(1-R52)+INDEX(Models!$BJ52:$BT52,,T52+1)*R52-ERP_i)*Q52*Ramure*Pc/MaxiM</f>
        <v>2.1114137165108358E-4</v>
      </c>
      <c r="Q52" s="305">
        <f t="shared" si="4"/>
        <v>0.5</v>
      </c>
      <c r="R52" s="177">
        <f t="shared" si="5"/>
        <v>0.99986723379898368</v>
      </c>
      <c r="S52" s="811">
        <f t="shared" si="6"/>
        <v>0</v>
      </c>
      <c r="T52" s="176">
        <f t="shared" si="7"/>
        <v>6</v>
      </c>
      <c r="U52" s="251">
        <f t="shared" si="8"/>
        <v>0.99986723379898368</v>
      </c>
      <c r="V52" s="383">
        <f t="shared" si="9"/>
        <v>32.213986248786838</v>
      </c>
      <c r="W52" s="402">
        <f t="shared" si="10"/>
        <v>9.2722929389641635</v>
      </c>
      <c r="X52" s="157">
        <f t="shared" si="11"/>
        <v>45329</v>
      </c>
      <c r="Y52" s="385">
        <f t="shared" si="12"/>
        <v>9.0706672727901285</v>
      </c>
      <c r="Z52" s="385">
        <f t="shared" si="22"/>
        <v>9.4913858978927088</v>
      </c>
      <c r="AA52" s="386">
        <f t="shared" si="13"/>
        <v>10.425482545211999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8.9597449640187954E-2</v>
      </c>
      <c r="AD52" s="231">
        <f>(INDEX(Models!$BJ52:$BT52,,AH52)*(1-AF52)+INDEX(Models!$BJ52:$BT52,,AH52+1)*AF52-ERP_i)*AE52*Ramure*Pc/MaxiM</f>
        <v>2.1114137165108358E-4</v>
      </c>
      <c r="AE52" s="305">
        <f t="shared" si="15"/>
        <v>0.5</v>
      </c>
      <c r="AF52" s="177">
        <f t="shared" si="23"/>
        <v>0.99986723379898368</v>
      </c>
      <c r="AG52" s="811">
        <f t="shared" si="24"/>
        <v>0</v>
      </c>
      <c r="AH52" s="176">
        <f t="shared" si="16"/>
        <v>6</v>
      </c>
      <c r="AI52" s="225">
        <f t="shared" si="17"/>
        <v>0.99986723379898368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'2023'!Wh/'2023'!Env_an*'2024'!Env_an</f>
        <v>32.500770138846107</v>
      </c>
      <c r="C53" s="841"/>
      <c r="D53" s="393">
        <f t="shared" si="0"/>
        <v>34.008976261927742</v>
      </c>
      <c r="E53" s="385">
        <f t="shared" si="1"/>
        <v>36.545161152518887</v>
      </c>
      <c r="F53" s="385">
        <f t="shared" si="2"/>
        <v>36.552693381513571</v>
      </c>
      <c r="G53" s="110">
        <f t="shared" si="21"/>
        <v>0.99958988791366399</v>
      </c>
      <c r="H53" s="414" t="b">
        <f>Wh_hp&gt;='2023'!Maxi_hp</f>
        <v>0</v>
      </c>
      <c r="I53" s="390">
        <f>IF(H53,Wh_hp,'2023'!Maxi_hp)</f>
        <v>36.552695320269571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4.4347295592370828E-2</v>
      </c>
      <c r="M53" s="845"/>
      <c r="N53" s="845"/>
      <c r="O53" s="48">
        <f>IF(t&lt;Tnet,'2023'!Resal+('2023'!Salim-'2023'!Resal)*(1-EXP(('2023'!Tnet-t)/('2023'!Tau_j))),Resal+(Salim-Resal)*(1-EXP((Tnet-t)/(Tau_j))))*Salcycl</f>
        <v>6.9398651164966574E-2</v>
      </c>
      <c r="P53" s="169">
        <f>(INDEX(Models!$BJ53:$BT53,,T53)*(1-R53)+INDEX(Models!$BJ53:$BT53,,T53+1)*R53-ERP_i)*Q53*Ramure*Pc/MaxiM</f>
        <v>2.0618571502970426E-4</v>
      </c>
      <c r="Q53" s="305">
        <f t="shared" si="4"/>
        <v>0.5</v>
      </c>
      <c r="R53" s="177">
        <f t="shared" si="5"/>
        <v>0.99999953477234993</v>
      </c>
      <c r="S53" s="811">
        <f t="shared" si="6"/>
        <v>0</v>
      </c>
      <c r="T53" s="176">
        <f t="shared" si="7"/>
        <v>6</v>
      </c>
      <c r="U53" s="251">
        <f t="shared" si="8"/>
        <v>0.99999953477234993</v>
      </c>
      <c r="V53" s="383">
        <f t="shared" si="9"/>
        <v>32.514100638782928</v>
      </c>
      <c r="W53" s="402">
        <f t="shared" si="10"/>
        <v>32.500770138846107</v>
      </c>
      <c r="X53" s="157">
        <f t="shared" si="11"/>
        <v>45330</v>
      </c>
      <c r="Y53" s="385">
        <f t="shared" si="12"/>
        <v>31.794650142550022</v>
      </c>
      <c r="Z53" s="385">
        <f t="shared" si="22"/>
        <v>33.270088595896617</v>
      </c>
      <c r="AA53" s="386">
        <f t="shared" si="13"/>
        <v>36.545161152518887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8.9617132702027674E-2</v>
      </c>
      <c r="AD53" s="231">
        <f>(INDEX(Models!$BJ53:$BT53,,AH53)*(1-AF53)+INDEX(Models!$BJ53:$BT53,,AH53+1)*AF53-ERP_i)*AE53*Ramure*Pc/MaxiM</f>
        <v>2.0618571502970426E-4</v>
      </c>
      <c r="AE53" s="305">
        <f t="shared" si="15"/>
        <v>0.5</v>
      </c>
      <c r="AF53" s="177">
        <f t="shared" si="23"/>
        <v>0.99999953477234993</v>
      </c>
      <c r="AG53" s="811">
        <f t="shared" si="24"/>
        <v>0</v>
      </c>
      <c r="AH53" s="176">
        <f t="shared" si="16"/>
        <v>6</v>
      </c>
      <c r="AI53" s="225">
        <f t="shared" si="17"/>
        <v>0.99999953477234993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'2023'!Wh/'2023'!Env_an*'2024'!Env_an</f>
        <v>32.715173241659507</v>
      </c>
      <c r="C54" s="841"/>
      <c r="D54" s="393">
        <f t="shared" si="0"/>
        <v>34.234078606922999</v>
      </c>
      <c r="E54" s="385">
        <f t="shared" si="1"/>
        <v>36.788550384288015</v>
      </c>
      <c r="F54" s="385">
        <f t="shared" si="2"/>
        <v>36.795958740395214</v>
      </c>
      <c r="G54" s="110">
        <f t="shared" si="21"/>
        <v>0.99697906810239678</v>
      </c>
      <c r="H54" s="414" t="b">
        <f>Wh_hp&gt;='2023'!Maxi_hp</f>
        <v>0</v>
      </c>
      <c r="I54" s="390">
        <f>IF(H54,Wh_hp,'2023'!Maxi_hp)</f>
        <v>36.795972708739512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4.4368226839215374E-2</v>
      </c>
      <c r="M54" s="845"/>
      <c r="N54" s="845"/>
      <c r="O54" s="48">
        <f>IF(t&lt;Tnet,'2023'!Resal+('2023'!Salim-'2023'!Resal)*(1-EXP(('2023'!Tnet-t)/('2023'!Tau_j))),Resal+(Salim-Resal)*(1-EXP((Tnet-t)/(Tau_j))))*Salcycl</f>
        <v>6.9436597818651691E-2</v>
      </c>
      <c r="P54" s="169">
        <f>(INDEX(Models!$BJ54:$BT54,,T54)*(1-R54)+INDEX(Models!$BJ54:$BT54,,T54+1)*R54-ERP_i)*Q54*Ramure*Pc/MaxiM</f>
        <v>2.0220853805321551E-4</v>
      </c>
      <c r="Q54" s="305">
        <f t="shared" si="4"/>
        <v>0.5</v>
      </c>
      <c r="R54" s="177">
        <f t="shared" si="5"/>
        <v>1.3731123094107289E-4</v>
      </c>
      <c r="S54" s="811">
        <f t="shared" si="6"/>
        <v>1</v>
      </c>
      <c r="T54" s="176">
        <f t="shared" si="7"/>
        <v>7</v>
      </c>
      <c r="U54" s="251">
        <f t="shared" si="8"/>
        <v>1.0001373112309411</v>
      </c>
      <c r="V54" s="383">
        <f t="shared" si="9"/>
        <v>32.814274383267957</v>
      </c>
      <c r="W54" s="402">
        <f t="shared" si="10"/>
        <v>32.715173241659507</v>
      </c>
      <c r="X54" s="157">
        <f t="shared" si="11"/>
        <v>45331</v>
      </c>
      <c r="Y54" s="385">
        <f t="shared" si="12"/>
        <v>32.005005944143498</v>
      </c>
      <c r="Z54" s="385">
        <f t="shared" si="22"/>
        <v>33.490939547024325</v>
      </c>
      <c r="AA54" s="386">
        <f t="shared" si="13"/>
        <v>36.788550384288015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8.9636878942423948E-2</v>
      </c>
      <c r="AD54" s="231">
        <f>(INDEX(Models!$BJ54:$BT54,,AH54)*(1-AF54)+INDEX(Models!$BJ54:$BT54,,AH54+1)*AF54-ERP_i)*AE54*Ramure*Pc/MaxiM</f>
        <v>2.0220853805321551E-4</v>
      </c>
      <c r="AE54" s="305">
        <f t="shared" si="15"/>
        <v>0.5</v>
      </c>
      <c r="AF54" s="177">
        <f t="shared" si="23"/>
        <v>1.3731123094107289E-4</v>
      </c>
      <c r="AG54" s="811">
        <f t="shared" si="24"/>
        <v>1</v>
      </c>
      <c r="AH54" s="176">
        <f t="shared" si="16"/>
        <v>7</v>
      </c>
      <c r="AI54" s="225">
        <f t="shared" si="17"/>
        <v>1.0001373112309411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'2023'!Wh/'2023'!Env_an*'2024'!Env_an</f>
        <v>30.413415358761792</v>
      </c>
      <c r="C55" s="841"/>
      <c r="D55" s="393">
        <f t="shared" si="0"/>
        <v>31.8261514103982</v>
      </c>
      <c r="E55" s="385">
        <f t="shared" si="1"/>
        <v>34.202344442542142</v>
      </c>
      <c r="F55" s="385">
        <f t="shared" si="2"/>
        <v>34.208363816426747</v>
      </c>
      <c r="G55" s="110">
        <f t="shared" si="21"/>
        <v>0.91840512794165974</v>
      </c>
      <c r="H55" s="414" t="b">
        <f>Wh_hp&gt;='2023'!Maxi_hp</f>
        <v>0</v>
      </c>
      <c r="I55" s="390">
        <f>IF(H55,Wh_hp,'2023'!Maxi_hp)</f>
        <v>34.208705851140202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4.4389157627611864E-2</v>
      </c>
      <c r="M55" s="845"/>
      <c r="N55" s="845"/>
      <c r="O55" s="48">
        <f>IF(t&lt;Tnet,'2023'!Resal+('2023'!Salim-'2023'!Resal)*(1-EXP(('2023'!Tnet-t)/('2023'!Tau_j))),Resal+(Salim-Resal)*(1-EXP((Tnet-t)/(Tau_j))))*Salcycl</f>
        <v>6.9474565877663777E-2</v>
      </c>
      <c r="P55" s="169">
        <f>(INDEX(Models!$BJ55:$BT55,,T55)*(1-R55)+INDEX(Models!$BJ55:$BT55,,T55+1)*R55-ERP_i)*Q55*Ramure*Pc/MaxiM</f>
        <v>1.991723292364492E-4</v>
      </c>
      <c r="Q55" s="305">
        <f t="shared" si="4"/>
        <v>0.5</v>
      </c>
      <c r="R55" s="177">
        <f t="shared" si="5"/>
        <v>2.8078654160368366E-4</v>
      </c>
      <c r="S55" s="811">
        <f t="shared" si="6"/>
        <v>1</v>
      </c>
      <c r="T55" s="176">
        <f t="shared" si="7"/>
        <v>7</v>
      </c>
      <c r="U55" s="251">
        <f t="shared" si="8"/>
        <v>1.0002807865416037</v>
      </c>
      <c r="V55" s="383">
        <f t="shared" si="9"/>
        <v>33.114698955219893</v>
      </c>
      <c r="W55" s="402">
        <f t="shared" si="10"/>
        <v>30.413415358761792</v>
      </c>
      <c r="X55" s="157">
        <f t="shared" si="11"/>
        <v>45332</v>
      </c>
      <c r="Y55" s="385">
        <f t="shared" si="12"/>
        <v>29.753780534265463</v>
      </c>
      <c r="Z55" s="385">
        <f t="shared" si="22"/>
        <v>31.135875834559474</v>
      </c>
      <c r="AA55" s="386">
        <f t="shared" si="13"/>
        <v>34.202344442542142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8.9656678744176432E-2</v>
      </c>
      <c r="AD55" s="231">
        <f>(INDEX(Models!$BJ55:$BT55,,AH55)*(1-AF55)+INDEX(Models!$BJ55:$BT55,,AH55+1)*AF55-ERP_i)*AE55*Ramure*Pc/MaxiM</f>
        <v>1.991723292364492E-4</v>
      </c>
      <c r="AE55" s="305">
        <f t="shared" si="15"/>
        <v>0.5</v>
      </c>
      <c r="AF55" s="177">
        <f t="shared" si="23"/>
        <v>2.8078654160368366E-4</v>
      </c>
      <c r="AG55" s="811">
        <f t="shared" si="24"/>
        <v>1</v>
      </c>
      <c r="AH55" s="176">
        <f t="shared" si="16"/>
        <v>7</v>
      </c>
      <c r="AI55" s="225">
        <f t="shared" si="17"/>
        <v>1.0002807865416037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'2023'!Wh/'2023'!Env_an*'2024'!Env_an</f>
        <v>16.978353047366966</v>
      </c>
      <c r="C56" s="841"/>
      <c r="D56" s="393">
        <f t="shared" si="0"/>
        <v>17.767405069271078</v>
      </c>
      <c r="E56" s="385">
        <f t="shared" si="1"/>
        <v>19.094728280649303</v>
      </c>
      <c r="F56" s="385">
        <f t="shared" si="2"/>
        <v>19.095846907144569</v>
      </c>
      <c r="G56" s="110">
        <f t="shared" si="21"/>
        <v>0.50802677309768529</v>
      </c>
      <c r="H56" s="414" t="b">
        <f>Wh_hp&gt;='2023'!Maxi_hp</f>
        <v>0</v>
      </c>
      <c r="I56" s="390">
        <f>IF(H56,Wh_hp,'2023'!Maxi_hp)</f>
        <v>30.625815125737557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4.4410087957570399E-2</v>
      </c>
      <c r="M56" s="845"/>
      <c r="N56" s="845"/>
      <c r="O56" s="48">
        <f>IF(t&lt;Tnet,'2023'!Resal+('2023'!Salim-'2023'!Resal)*(1-EXP(('2023'!Tnet-t)/('2023'!Tau_j))),Resal+(Salim-Resal)*(1-EXP((Tnet-t)/(Tau_j))))*Salcycl</f>
        <v>6.9512547749806947E-2</v>
      </c>
      <c r="P56" s="169">
        <f>(INDEX(Models!$BJ56:$BT56,,T56)*(1-R56)+INDEX(Models!$BJ56:$BT56,,T56+1)*R56-ERP_i)*Q56*Ramure*Pc/MaxiM</f>
        <v>1.970507618679817E-4</v>
      </c>
      <c r="Q56" s="305">
        <f t="shared" si="4"/>
        <v>0.5</v>
      </c>
      <c r="R56" s="177">
        <f t="shared" si="5"/>
        <v>4.3019290746482142E-4</v>
      </c>
      <c r="S56" s="811">
        <f t="shared" si="6"/>
        <v>1</v>
      </c>
      <c r="T56" s="176">
        <f t="shared" si="7"/>
        <v>7</v>
      </c>
      <c r="U56" s="251">
        <f t="shared" si="8"/>
        <v>1.0004301929074648</v>
      </c>
      <c r="V56" s="383">
        <f t="shared" si="9"/>
        <v>33.415565469787161</v>
      </c>
      <c r="W56" s="402">
        <f t="shared" si="10"/>
        <v>16.978353047366966</v>
      </c>
      <c r="X56" s="157">
        <f t="shared" si="11"/>
        <v>45333</v>
      </c>
      <c r="Y56" s="385">
        <f t="shared" si="12"/>
        <v>16.610426455145511</v>
      </c>
      <c r="Z56" s="385">
        <f t="shared" si="22"/>
        <v>17.382379455684315</v>
      </c>
      <c r="AA56" s="386">
        <f t="shared" si="13"/>
        <v>19.094728280649303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8.9676522221072474E-2</v>
      </c>
      <c r="AD56" s="231">
        <f>(INDEX(Models!$BJ56:$BT56,,AH56)*(1-AF56)+INDEX(Models!$BJ56:$BT56,,AH56+1)*AF56-ERP_i)*AE56*Ramure*Pc/MaxiM</f>
        <v>1.970507618679817E-4</v>
      </c>
      <c r="AE56" s="305">
        <f t="shared" si="15"/>
        <v>0.5</v>
      </c>
      <c r="AF56" s="177">
        <f t="shared" si="23"/>
        <v>4.3019290746482142E-4</v>
      </c>
      <c r="AG56" s="811">
        <f t="shared" si="24"/>
        <v>1</v>
      </c>
      <c r="AH56" s="176">
        <f t="shared" si="16"/>
        <v>7</v>
      </c>
      <c r="AI56" s="225">
        <f t="shared" si="17"/>
        <v>1.0004301929074648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'2023'!Wh/'2023'!Env_an*'2024'!Env_an</f>
        <v>25.795068295804338</v>
      </c>
      <c r="C57" s="841"/>
      <c r="D57" s="393">
        <f t="shared" si="0"/>
        <v>26.994459612117268</v>
      </c>
      <c r="E57" s="385">
        <f t="shared" si="1"/>
        <v>29.012279171043478</v>
      </c>
      <c r="F57" s="385">
        <f t="shared" si="2"/>
        <v>29.016053927606151</v>
      </c>
      <c r="G57" s="110">
        <f t="shared" si="21"/>
        <v>0.76499459995616559</v>
      </c>
      <c r="H57" s="414" t="b">
        <f>Wh_hp&gt;='2023'!Maxi_hp</f>
        <v>0</v>
      </c>
      <c r="I57" s="390">
        <f>IF(H57,Wh_hp,'2023'!Maxi_hp)</f>
        <v>38.463815462769276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4.4431017829100972E-2</v>
      </c>
      <c r="M57" s="845"/>
      <c r="N57" s="845"/>
      <c r="O57" s="48">
        <f>IF(t&lt;Tnet,'2023'!Resal+('2023'!Salim-'2023'!Resal)*(1-EXP(('2023'!Tnet-t)/('2023'!Tau_j))),Resal+(Salim-Resal)*(1-EXP((Tnet-t)/(Tau_j))))*Salcycl</f>
        <v>6.9550535724203E-2</v>
      </c>
      <c r="P57" s="169">
        <f>(INDEX(Models!$BJ57:$BT57,,T57)*(1-R57)+INDEX(Models!$BJ57:$BT57,,T57+1)*R57-ERP_i)*Q57*Ramure*Pc/MaxiM</f>
        <v>1.9581851929709423E-4</v>
      </c>
      <c r="Q57" s="305">
        <f t="shared" si="4"/>
        <v>0.5</v>
      </c>
      <c r="R57" s="177">
        <f t="shared" si="5"/>
        <v>5.8577169398765783E-4</v>
      </c>
      <c r="S57" s="811">
        <f t="shared" si="6"/>
        <v>1</v>
      </c>
      <c r="T57" s="176">
        <f t="shared" si="7"/>
        <v>7</v>
      </c>
      <c r="U57" s="251">
        <f t="shared" si="8"/>
        <v>1.0005857716939877</v>
      </c>
      <c r="V57" s="383">
        <f t="shared" si="9"/>
        <v>33.717065005041469</v>
      </c>
      <c r="W57" s="402">
        <f t="shared" si="10"/>
        <v>25.795068295804338</v>
      </c>
      <c r="X57" s="157">
        <f t="shared" si="11"/>
        <v>45334</v>
      </c>
      <c r="Y57" s="385">
        <f t="shared" si="12"/>
        <v>25.236559802890216</v>
      </c>
      <c r="Z57" s="385">
        <f t="shared" si="22"/>
        <v>26.409982192553812</v>
      </c>
      <c r="AA57" s="386">
        <f t="shared" si="13"/>
        <v>29.012279171043478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8.9696399346900033E-2</v>
      </c>
      <c r="AD57" s="231">
        <f>(INDEX(Models!$BJ57:$BT57,,AH57)*(1-AF57)+INDEX(Models!$BJ57:$BT57,,AH57+1)*AF57-ERP_i)*AE57*Ramure*Pc/MaxiM</f>
        <v>1.9581851929709423E-4</v>
      </c>
      <c r="AE57" s="305">
        <f t="shared" si="15"/>
        <v>0.5</v>
      </c>
      <c r="AF57" s="177">
        <f t="shared" si="23"/>
        <v>5.8577169398765783E-4</v>
      </c>
      <c r="AG57" s="811">
        <f t="shared" si="24"/>
        <v>1</v>
      </c>
      <c r="AH57" s="176">
        <f t="shared" si="16"/>
        <v>7</v>
      </c>
      <c r="AI57" s="225">
        <f t="shared" si="17"/>
        <v>1.0005857716939877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'2023'!Wh/'2023'!Env_an*'2024'!Env_an</f>
        <v>30.49309878844452</v>
      </c>
      <c r="C58" s="841"/>
      <c r="D58" s="393">
        <f t="shared" si="0"/>
        <v>31.911633015669967</v>
      </c>
      <c r="E58" s="385">
        <f t="shared" si="1"/>
        <v>34.298408578160704</v>
      </c>
      <c r="F58" s="385">
        <f t="shared" si="2"/>
        <v>34.304143709504274</v>
      </c>
      <c r="G58" s="110">
        <f t="shared" si="21"/>
        <v>0.89631936286333613</v>
      </c>
      <c r="H58" s="414" t="b">
        <f>Wh_hp&gt;='2023'!Maxi_hp</f>
        <v>0</v>
      </c>
      <c r="I58" s="390">
        <f>IF(H58,Wh_hp,'2023'!Maxi_hp)</f>
        <v>39.79279391744533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4.4451947242213685E-2</v>
      </c>
      <c r="M58" s="845"/>
      <c r="N58" s="845"/>
      <c r="O58" s="48">
        <f>IF(t&lt;Tnet,'2023'!Resal+('2023'!Salim-'2023'!Resal)*(1-EXP(('2023'!Tnet-t)/('2023'!Tau_j))),Resal+(Salim-Resal)*(1-EXP((Tnet-t)/(Tau_j))))*Salcycl</f>
        <v>6.9588522075350767E-2</v>
      </c>
      <c r="P58" s="169">
        <f>(INDEX(Models!$BJ58:$BT58,,T58)*(1-R58)+INDEX(Models!$BJ58:$BT58,,T58+1)*R58-ERP_i)*Q58*Ramure*Pc/MaxiM</f>
        <v>1.9624425021302355E-4</v>
      </c>
      <c r="Q58" s="305">
        <f t="shared" si="4"/>
        <v>0.5</v>
      </c>
      <c r="R58" s="177">
        <f t="shared" si="5"/>
        <v>7.4777376502677129E-4</v>
      </c>
      <c r="S58" s="811">
        <f t="shared" si="6"/>
        <v>1</v>
      </c>
      <c r="T58" s="176">
        <f t="shared" si="7"/>
        <v>7</v>
      </c>
      <c r="U58" s="251">
        <f t="shared" si="8"/>
        <v>1.0007477737650268</v>
      </c>
      <c r="V58" s="383">
        <f t="shared" si="9"/>
        <v>34.019361614732276</v>
      </c>
      <c r="W58" s="402">
        <f t="shared" si="10"/>
        <v>30.49309878844452</v>
      </c>
      <c r="X58" s="157">
        <f t="shared" si="11"/>
        <v>45335</v>
      </c>
      <c r="Y58" s="385">
        <f t="shared" si="12"/>
        <v>29.833435469635109</v>
      </c>
      <c r="Z58" s="385">
        <f t="shared" si="22"/>
        <v>31.221282261560248</v>
      </c>
      <c r="AA58" s="386">
        <f t="shared" si="13"/>
        <v>34.298408578160704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8.971630008978887E-2</v>
      </c>
      <c r="AD58" s="231">
        <f>(INDEX(Models!$BJ58:$BT58,,AH58)*(1-AF58)+INDEX(Models!$BJ58:$BT58,,AH58+1)*AF58-ERP_i)*AE58*Ramure*Pc/MaxiM</f>
        <v>1.9624425021302355E-4</v>
      </c>
      <c r="AE58" s="305">
        <f t="shared" si="15"/>
        <v>0.5</v>
      </c>
      <c r="AF58" s="177">
        <f t="shared" si="23"/>
        <v>7.4777376502677129E-4</v>
      </c>
      <c r="AG58" s="811">
        <f t="shared" si="24"/>
        <v>1</v>
      </c>
      <c r="AH58" s="176">
        <f t="shared" si="16"/>
        <v>7</v>
      </c>
      <c r="AI58" s="225">
        <f t="shared" si="17"/>
        <v>1.0007477737650268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'2023'!Wh/'2023'!Env_an*'2024'!Env_an</f>
        <v>14.935024023109417</v>
      </c>
      <c r="C59" s="841"/>
      <c r="D59" s="393">
        <f t="shared" si="0"/>
        <v>15.630141364974252</v>
      </c>
      <c r="E59" s="385">
        <f t="shared" si="1"/>
        <v>16.799856564096345</v>
      </c>
      <c r="F59" s="385">
        <f t="shared" si="2"/>
        <v>16.80049873982437</v>
      </c>
      <c r="G59" s="110">
        <f t="shared" si="21"/>
        <v>0.43506649540441678</v>
      </c>
      <c r="H59" s="414" t="b">
        <f>Wh_hp&gt;='2023'!Maxi_hp</f>
        <v>0</v>
      </c>
      <c r="I59" s="390">
        <f>IF(H59,Wh_hp,'2023'!Maxi_hp)</f>
        <v>40.073233720515397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4.4472876196918532E-2</v>
      </c>
      <c r="M59" s="845"/>
      <c r="N59" s="845"/>
      <c r="O59" s="48">
        <f>IF(t&lt;Tnet,'2023'!Resal+('2023'!Salim-'2023'!Resal)*(1-EXP(('2023'!Tnet-t)/('2023'!Tau_j))),Resal+(Salim-Resal)*(1-EXP((Tnet-t)/(Tau_j))))*Salcycl</f>
        <v>6.962649917035231E-2</v>
      </c>
      <c r="P59" s="169">
        <f>(INDEX(Models!$BJ59:$BT59,,T59)*(1-R59)+INDEX(Models!$BJ59:$BT59,,T59+1)*R59-ERP_i)*Q59*Ramure*Pc/MaxiM</f>
        <v>1.979970065787894E-4</v>
      </c>
      <c r="Q59" s="305">
        <f t="shared" si="4"/>
        <v>0.5</v>
      </c>
      <c r="R59" s="177">
        <f t="shared" si="5"/>
        <v>9.164598290085646E-4</v>
      </c>
      <c r="S59" s="811">
        <f t="shared" si="6"/>
        <v>1</v>
      </c>
      <c r="T59" s="176">
        <f t="shared" si="7"/>
        <v>7</v>
      </c>
      <c r="U59" s="251">
        <f t="shared" si="8"/>
        <v>1.0009164598290086</v>
      </c>
      <c r="V59" s="383">
        <f t="shared" si="9"/>
        <v>34.322656122976696</v>
      </c>
      <c r="W59" s="402">
        <f t="shared" si="10"/>
        <v>14.935024023109417</v>
      </c>
      <c r="X59" s="157">
        <f t="shared" si="11"/>
        <v>45336</v>
      </c>
      <c r="Y59" s="385">
        <f t="shared" si="12"/>
        <v>14.612208420525445</v>
      </c>
      <c r="Z59" s="385">
        <f t="shared" si="22"/>
        <v>15.292301031045124</v>
      </c>
      <c r="AA59" s="386">
        <f t="shared" si="13"/>
        <v>16.799856564096345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8.9736214550371757E-2</v>
      </c>
      <c r="AD59" s="231">
        <f>(INDEX(Models!$BJ59:$BT59,,AH59)*(1-AF59)+INDEX(Models!$BJ59:$BT59,,AH59+1)*AF59-ERP_i)*AE59*Ramure*Pc/MaxiM</f>
        <v>1.979970065787894E-4</v>
      </c>
      <c r="AE59" s="305">
        <f t="shared" si="15"/>
        <v>0.5</v>
      </c>
      <c r="AF59" s="177">
        <f t="shared" si="23"/>
        <v>9.164598290085646E-4</v>
      </c>
      <c r="AG59" s="811">
        <f t="shared" si="24"/>
        <v>1</v>
      </c>
      <c r="AH59" s="176">
        <f t="shared" si="16"/>
        <v>7</v>
      </c>
      <c r="AI59" s="225">
        <f t="shared" si="17"/>
        <v>1.0009164598290086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'2023'!Wh/'2023'!Env_an*'2024'!Env_an</f>
        <v>18.777705239349242</v>
      </c>
      <c r="C60" s="841"/>
      <c r="D60" s="393">
        <f t="shared" si="0"/>
        <v>19.652102028831408</v>
      </c>
      <c r="E60" s="385">
        <f t="shared" si="1"/>
        <v>21.123671164835972</v>
      </c>
      <c r="F60" s="385">
        <f t="shared" si="2"/>
        <v>21.125141139771703</v>
      </c>
      <c r="G60" s="110">
        <f t="shared" si="21"/>
        <v>0.54221159739469005</v>
      </c>
      <c r="H60" s="414" t="b">
        <f>Wh_hp&gt;='2023'!Maxi_hp</f>
        <v>0</v>
      </c>
      <c r="I60" s="390">
        <f>IF(H60,Wh_hp,'2023'!Maxi_hp)</f>
        <v>40.326165520091415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4.4493804693225503E-2</v>
      </c>
      <c r="M60" s="845"/>
      <c r="N60" s="845"/>
      <c r="O60" s="48">
        <f>IF(t&lt;Tnet,'2023'!Resal+('2023'!Salim-'2023'!Resal)*(1-EXP(('2023'!Tnet-t)/('2023'!Tau_j))),Resal+(Salim-Resal)*(1-EXP((Tnet-t)/(Tau_j))))*Salcycl</f>
        <v>6.9664459578136495E-2</v>
      </c>
      <c r="P60" s="169">
        <f>(INDEX(Models!$BJ60:$BT60,,T60)*(1-R60)+INDEX(Models!$BJ60:$BT60,,T60+1)*R60-ERP_i)*Q60*Ramure*Pc/MaxiM</f>
        <v>2.010414492224515E-4</v>
      </c>
      <c r="Q60" s="305">
        <f t="shared" si="4"/>
        <v>0.5</v>
      </c>
      <c r="R60" s="177">
        <f t="shared" si="5"/>
        <v>1.0921007953390571E-3</v>
      </c>
      <c r="S60" s="811">
        <f t="shared" si="6"/>
        <v>1</v>
      </c>
      <c r="T60" s="176">
        <f t="shared" si="7"/>
        <v>7</v>
      </c>
      <c r="U60" s="251">
        <f t="shared" si="8"/>
        <v>1.0010921007953391</v>
      </c>
      <c r="V60" s="383">
        <f t="shared" si="9"/>
        <v>34.627139462381713</v>
      </c>
      <c r="W60" s="402">
        <f t="shared" si="10"/>
        <v>18.777705239349242</v>
      </c>
      <c r="X60" s="157">
        <f t="shared" si="11"/>
        <v>45337</v>
      </c>
      <c r="Y60" s="385">
        <f t="shared" si="12"/>
        <v>18.372178946083068</v>
      </c>
      <c r="Z60" s="385">
        <f t="shared" si="22"/>
        <v>19.227692124156768</v>
      </c>
      <c r="AA60" s="386">
        <f t="shared" si="13"/>
        <v>21.123671164835972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8.9756133102251279E-2</v>
      </c>
      <c r="AD60" s="231">
        <f>(INDEX(Models!$BJ60:$BT60,,AH60)*(1-AF60)+INDEX(Models!$BJ60:$BT60,,AH60+1)*AF60-ERP_i)*AE60*Ramure*Pc/MaxiM</f>
        <v>2.010414492224515E-4</v>
      </c>
      <c r="AE60" s="305">
        <f t="shared" si="15"/>
        <v>0.5</v>
      </c>
      <c r="AF60" s="177">
        <f t="shared" si="23"/>
        <v>1.0921007953390571E-3</v>
      </c>
      <c r="AG60" s="811">
        <f t="shared" si="24"/>
        <v>1</v>
      </c>
      <c r="AH60" s="176">
        <f t="shared" si="16"/>
        <v>7</v>
      </c>
      <c r="AI60" s="225">
        <f t="shared" si="17"/>
        <v>1.0010921007953391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'2023'!Wh/'2023'!Env_an*'2024'!Env_an</f>
        <v>9.8366908830265398</v>
      </c>
      <c r="C61" s="841"/>
      <c r="D61" s="393">
        <f t="shared" si="0"/>
        <v>10.294968661467266</v>
      </c>
      <c r="E61" s="385">
        <f t="shared" si="1"/>
        <v>11.066317508707469</v>
      </c>
      <c r="F61" s="385">
        <f t="shared" si="2"/>
        <v>11.066317508707469</v>
      </c>
      <c r="G61" s="110">
        <f t="shared" si="21"/>
        <v>0.28152950728033621</v>
      </c>
      <c r="H61" s="414" t="b">
        <f>Wh_hp&gt;='2023'!Maxi_hp</f>
        <v>0</v>
      </c>
      <c r="I61" s="390">
        <f>IF(H61,Wh_hp,'2023'!Maxi_hp)</f>
        <v>40.772992464506032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4.4514732731144702E-2</v>
      </c>
      <c r="M61" s="845"/>
      <c r="N61" s="845"/>
      <c r="O61" s="48">
        <f>IF(t&lt;Tnet,'2023'!Resal+('2023'!Salim-'2023'!Resal)*(1-EXP(('2023'!Tnet-t)/('2023'!Tau_j))),Resal+(Salim-Resal)*(1-EXP((Tnet-t)/(Tau_j))))*Salcycl</f>
        <v>6.970239617951246E-2</v>
      </c>
      <c r="P61" s="169">
        <f>(INDEX(Models!$BJ61:$BT61,,T61)*(1-R61)+INDEX(Models!$BJ61:$BT61,,T61+1)*R61-ERP_i)*Q61*Ramure*Pc/MaxiM</f>
        <v>2.0534325998186782E-4</v>
      </c>
      <c r="Q61" s="305">
        <f t="shared" si="4"/>
        <v>0.5</v>
      </c>
      <c r="R61" s="177">
        <f t="shared" si="5"/>
        <v>1.2749781411269812E-3</v>
      </c>
      <c r="S61" s="811">
        <f t="shared" si="6"/>
        <v>1</v>
      </c>
      <c r="T61" s="176">
        <f t="shared" si="7"/>
        <v>7</v>
      </c>
      <c r="U61" s="251">
        <f t="shared" si="8"/>
        <v>1.001274978141127</v>
      </c>
      <c r="V61" s="383">
        <f t="shared" si="9"/>
        <v>34.933002511385773</v>
      </c>
      <c r="W61" s="402">
        <f t="shared" si="10"/>
        <v>9.8366908830265398</v>
      </c>
      <c r="X61" s="157">
        <f t="shared" si="11"/>
        <v>45338</v>
      </c>
      <c r="Y61" s="385">
        <f t="shared" si="12"/>
        <v>9.624438059185108</v>
      </c>
      <c r="Z61" s="385">
        <f t="shared" si="22"/>
        <v>10.072827273093866</v>
      </c>
      <c r="AA61" s="386">
        <f t="shared" si="13"/>
        <v>11.066317508707469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8.9776046533264611E-2</v>
      </c>
      <c r="AD61" s="231">
        <f>(INDEX(Models!$BJ61:$BT61,,AH61)*(1-AF61)+INDEX(Models!$BJ61:$BT61,,AH61+1)*AF61-ERP_i)*AE61*Ramure*Pc/MaxiM</f>
        <v>2.0534325998186782E-4</v>
      </c>
      <c r="AE61" s="305">
        <f t="shared" si="15"/>
        <v>0.5</v>
      </c>
      <c r="AF61" s="177">
        <f t="shared" si="23"/>
        <v>1.2749781411269812E-3</v>
      </c>
      <c r="AG61" s="811">
        <f t="shared" si="24"/>
        <v>1</v>
      </c>
      <c r="AH61" s="176">
        <f t="shared" si="16"/>
        <v>7</v>
      </c>
      <c r="AI61" s="225">
        <f t="shared" si="17"/>
        <v>1.001274978141127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'2023'!Wh/'2023'!Env_an*'2024'!Env_an</f>
        <v>10.642514252962654</v>
      </c>
      <c r="C62" s="841"/>
      <c r="D62" s="393">
        <f t="shared" si="0"/>
        <v>11.138578187463549</v>
      </c>
      <c r="E62" s="385">
        <f t="shared" si="1"/>
        <v>11.973622220468446</v>
      </c>
      <c r="F62" s="385">
        <f t="shared" si="2"/>
        <v>11.97362942440267</v>
      </c>
      <c r="G62" s="110">
        <f t="shared" si="21"/>
        <v>0.30193373460030654</v>
      </c>
      <c r="H62" s="414" t="b">
        <f>Wh_hp&gt;='2023'!Maxi_hp</f>
        <v>0</v>
      </c>
      <c r="I62" s="390">
        <f>IF(H62,Wh_hp,'2023'!Maxi_hp)</f>
        <v>41.216821259374889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4.4535660310686231E-2</v>
      </c>
      <c r="M62" s="845"/>
      <c r="N62" s="845"/>
      <c r="O62" s="48">
        <f>IF(t&lt;Tnet,'2023'!Resal+('2023'!Salim-'2023'!Resal)*(1-EXP(('2023'!Tnet-t)/('2023'!Tau_j))),Resal+(Salim-Resal)*(1-EXP((Tnet-t)/(Tau_j))))*Salcycl</f>
        <v>6.9740302276901658E-2</v>
      </c>
      <c r="P62" s="169">
        <f>(INDEX(Models!$BJ62:$BT62,,T62)*(1-R62)+INDEX(Models!$BJ62:$BT62,,T62+1)*R62-ERP_i)*Q62*Ramure*Pc/MaxiM</f>
        <v>2.1086904869718778E-4</v>
      </c>
      <c r="Q62" s="305">
        <f t="shared" si="4"/>
        <v>0.5</v>
      </c>
      <c r="R62" s="177">
        <f t="shared" si="5"/>
        <v>1.4653842882834667E-3</v>
      </c>
      <c r="S62" s="811">
        <f t="shared" si="6"/>
        <v>1</v>
      </c>
      <c r="T62" s="176">
        <f t="shared" si="7"/>
        <v>7</v>
      </c>
      <c r="U62" s="251">
        <f t="shared" si="8"/>
        <v>1.0014653842882835</v>
      </c>
      <c r="V62" s="383">
        <f t="shared" si="9"/>
        <v>35.240436090767311</v>
      </c>
      <c r="W62" s="402">
        <f t="shared" si="10"/>
        <v>10.642514252962654</v>
      </c>
      <c r="X62" s="157">
        <f t="shared" si="11"/>
        <v>45339</v>
      </c>
      <c r="Y62" s="385">
        <f t="shared" si="12"/>
        <v>10.41307028513515</v>
      </c>
      <c r="Z62" s="385">
        <f t="shared" si="22"/>
        <v>10.898439483907003</v>
      </c>
      <c r="AA62" s="386">
        <f t="shared" si="13"/>
        <v>11.973622220468446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8.9795946186063902E-2</v>
      </c>
      <c r="AD62" s="231">
        <f>(INDEX(Models!$BJ62:$BT62,,AH62)*(1-AF62)+INDEX(Models!$BJ62:$BT62,,AH62+1)*AF62-ERP_i)*AE62*Ramure*Pc/MaxiM</f>
        <v>2.1086904869718778E-4</v>
      </c>
      <c r="AE62" s="305">
        <f t="shared" si="15"/>
        <v>0.5</v>
      </c>
      <c r="AF62" s="177">
        <f t="shared" si="23"/>
        <v>1.4653842882834667E-3</v>
      </c>
      <c r="AG62" s="811">
        <f t="shared" si="24"/>
        <v>1</v>
      </c>
      <c r="AH62" s="176">
        <f t="shared" si="16"/>
        <v>7</v>
      </c>
      <c r="AI62" s="225">
        <f t="shared" si="17"/>
        <v>1.0014653842882835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'2023'!Wh/'2023'!Env_an*'2024'!Env_an</f>
        <v>27.102929290398489</v>
      </c>
      <c r="C63" s="841"/>
      <c r="D63" s="393">
        <f t="shared" si="0"/>
        <v>28.366859757343892</v>
      </c>
      <c r="E63" s="385">
        <f t="shared" si="1"/>
        <v>30.494725983010934</v>
      </c>
      <c r="F63" s="385">
        <f t="shared" si="2"/>
        <v>30.49910962971823</v>
      </c>
      <c r="G63" s="110">
        <f t="shared" si="21"/>
        <v>0.7623406083336709</v>
      </c>
      <c r="H63" s="414" t="b">
        <f>Wh_hp&gt;='2023'!Maxi_hp</f>
        <v>0</v>
      </c>
      <c r="I63" s="390">
        <f>IF(H63,Wh_hp,'2023'!Maxi_hp)</f>
        <v>40.739227562492772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4.4556587431859973E-2</v>
      </c>
      <c r="M63" s="845"/>
      <c r="N63" s="845"/>
      <c r="O63" s="48">
        <f>IF(t&lt;Tnet,'2023'!Resal+('2023'!Salim-'2023'!Resal)*(1-EXP(('2023'!Tnet-t)/('2023'!Tau_j))),Resal+(Salim-Resal)*(1-EXP((Tnet-t)/(Tau_j))))*Salcycl</f>
        <v>6.9778171702625097E-2</v>
      </c>
      <c r="P63" s="169">
        <f>(INDEX(Models!$BJ63:$BT63,,T63)*(1-R63)+INDEX(Models!$BJ63:$BT63,,T63+1)*R63-ERP_i)*Q63*Ramure*Pc/MaxiM</f>
        <v>2.1758627049146899E-4</v>
      </c>
      <c r="Q63" s="305">
        <f t="shared" si="4"/>
        <v>0.5</v>
      </c>
      <c r="R63" s="177">
        <f t="shared" si="5"/>
        <v>1.6636229910316214E-3</v>
      </c>
      <c r="S63" s="811">
        <f t="shared" si="6"/>
        <v>1</v>
      </c>
      <c r="T63" s="176">
        <f t="shared" si="7"/>
        <v>7</v>
      </c>
      <c r="U63" s="251">
        <f t="shared" si="8"/>
        <v>1.0016636229910316</v>
      </c>
      <c r="V63" s="383">
        <f t="shared" si="9"/>
        <v>35.549630957234754</v>
      </c>
      <c r="W63" s="402">
        <f t="shared" si="10"/>
        <v>27.102929290398489</v>
      </c>
      <c r="X63" s="157">
        <f t="shared" si="11"/>
        <v>45340</v>
      </c>
      <c r="Y63" s="385">
        <f t="shared" si="12"/>
        <v>26.51911254964039</v>
      </c>
      <c r="Z63" s="385">
        <f t="shared" si="22"/>
        <v>27.755817038247788</v>
      </c>
      <c r="AA63" s="386">
        <f t="shared" si="13"/>
        <v>30.494725983010934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8.9815824096567826E-2</v>
      </c>
      <c r="AD63" s="231">
        <f>(INDEX(Models!$BJ63:$BT63,,AH63)*(1-AF63)+INDEX(Models!$BJ63:$BT63,,AH63+1)*AF63-ERP_i)*AE63*Ramure*Pc/MaxiM</f>
        <v>2.1758627049146899E-4</v>
      </c>
      <c r="AE63" s="305">
        <f t="shared" si="15"/>
        <v>0.5</v>
      </c>
      <c r="AF63" s="177">
        <f t="shared" si="23"/>
        <v>1.6636229910316214E-3</v>
      </c>
      <c r="AG63" s="811">
        <f t="shared" si="24"/>
        <v>1</v>
      </c>
      <c r="AH63" s="176">
        <f t="shared" si="16"/>
        <v>7</v>
      </c>
      <c r="AI63" s="225">
        <f t="shared" si="17"/>
        <v>1.0016636229910316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'2023'!Wh/'2023'!Env_an*'2024'!Env_an</f>
        <v>19.641996523019859</v>
      </c>
      <c r="C64" s="841"/>
      <c r="D64" s="393">
        <f t="shared" si="0"/>
        <v>20.558440703232783</v>
      </c>
      <c r="E64" s="385">
        <f t="shared" si="1"/>
        <v>22.101477427547849</v>
      </c>
      <c r="F64" s="385">
        <f t="shared" si="2"/>
        <v>22.103241070896097</v>
      </c>
      <c r="G64" s="110">
        <f t="shared" si="21"/>
        <v>0.54764944353344491</v>
      </c>
      <c r="H64" s="414" t="b">
        <f>Wh_hp&gt;='2023'!Maxi_hp</f>
        <v>0</v>
      </c>
      <c r="I64" s="390">
        <f>IF(H64,Wh_hp,'2023'!Maxi_hp)</f>
        <v>38.479174675338513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4.4577514094676141E-2</v>
      </c>
      <c r="M64" s="845"/>
      <c r="N64" s="845"/>
      <c r="O64" s="48">
        <f>IF(t&lt;Tnet,'2023'!Resal+('2023'!Salim-'2023'!Resal)*(1-EXP(('2023'!Tnet-t)/('2023'!Tau_j))),Resal+(Salim-Resal)*(1-EXP((Tnet-t)/(Tau_j))))*Salcycl</f>
        <v>6.9815998924659339E-2</v>
      </c>
      <c r="P64" s="169">
        <f>(INDEX(Models!$BJ64:$BT64,,T64)*(1-R64)+INDEX(Models!$BJ64:$BT64,,T64+1)*R64-ERP_i)*Q64*Ramure*Pc/MaxiM</f>
        <v>2.2546315310752006E-4</v>
      </c>
      <c r="Q64" s="305">
        <f t="shared" si="4"/>
        <v>0.5</v>
      </c>
      <c r="R64" s="177">
        <f t="shared" si="5"/>
        <v>1.8700097338406607E-3</v>
      </c>
      <c r="S64" s="811">
        <f t="shared" si="6"/>
        <v>1</v>
      </c>
      <c r="T64" s="176">
        <f t="shared" si="7"/>
        <v>7</v>
      </c>
      <c r="U64" s="251">
        <f t="shared" si="8"/>
        <v>1.0018700097338407</v>
      </c>
      <c r="V64" s="383">
        <f t="shared" si="9"/>
        <v>35.86077779846503</v>
      </c>
      <c r="W64" s="402">
        <f t="shared" si="10"/>
        <v>19.641996523019859</v>
      </c>
      <c r="X64" s="157">
        <f t="shared" si="11"/>
        <v>45341</v>
      </c>
      <c r="Y64" s="385">
        <f t="shared" si="12"/>
        <v>19.219256107513925</v>
      </c>
      <c r="Z64" s="385">
        <f t="shared" si="22"/>
        <v>20.115976325701034</v>
      </c>
      <c r="AA64" s="386">
        <f t="shared" si="13"/>
        <v>22.101477427547849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8.9835673128893873E-2</v>
      </c>
      <c r="AD64" s="231">
        <f>(INDEX(Models!$BJ64:$BT64,,AH64)*(1-AF64)+INDEX(Models!$BJ64:$BT64,,AH64+1)*AF64-ERP_i)*AE64*Ramure*Pc/MaxiM</f>
        <v>2.2546315310752006E-4</v>
      </c>
      <c r="AE64" s="305">
        <f t="shared" si="15"/>
        <v>0.5</v>
      </c>
      <c r="AF64" s="177">
        <f t="shared" si="23"/>
        <v>1.8700097338406607E-3</v>
      </c>
      <c r="AG64" s="811">
        <f t="shared" si="24"/>
        <v>1</v>
      </c>
      <c r="AH64" s="176">
        <f t="shared" si="16"/>
        <v>7</v>
      </c>
      <c r="AI64" s="225">
        <f t="shared" si="17"/>
        <v>1.0018700097338407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'2023'!Wh/'2023'!Env_an*'2024'!Env_an</f>
        <v>18.735566955273789</v>
      </c>
      <c r="C65" s="841"/>
      <c r="D65" s="393">
        <f t="shared" si="0"/>
        <v>19.610149015394175</v>
      </c>
      <c r="E65" s="385">
        <f t="shared" si="1"/>
        <v>21.082866946929034</v>
      </c>
      <c r="F65" s="385">
        <f t="shared" si="2"/>
        <v>21.084406007006521</v>
      </c>
      <c r="G65" s="110">
        <f t="shared" si="21"/>
        <v>0.51784244296322191</v>
      </c>
      <c r="H65" s="414" t="b">
        <f>Wh_hp&gt;='2023'!Maxi_hp</f>
        <v>0</v>
      </c>
      <c r="I65" s="390">
        <f>IF(H65,Wh_hp,'2023'!Maxi_hp)</f>
        <v>40.655100676030095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4.4598440299144615E-2</v>
      </c>
      <c r="M65" s="845"/>
      <c r="N65" s="845"/>
      <c r="O65" s="48">
        <f>IF(t&lt;Tnet,'2023'!Resal+('2023'!Salim-'2023'!Resal)*(1-EXP(('2023'!Tnet-t)/('2023'!Tau_j))),Resal+(Salim-Resal)*(1-EXP((Tnet-t)/(Tau_j))))*Salcycl</f>
        <v>6.9853779148825734E-2</v>
      </c>
      <c r="P65" s="169">
        <f>(INDEX(Models!$BJ65:$BT65,,T65)*(1-R65)+INDEX(Models!$BJ65:$BT65,,T65+1)*R65-ERP_i)*Q65*Ramure*Pc/MaxiM</f>
        <v>2.3446770670358574E-4</v>
      </c>
      <c r="Q65" s="305">
        <f t="shared" si="4"/>
        <v>0.5</v>
      </c>
      <c r="R65" s="177">
        <f t="shared" si="5"/>
        <v>2.0848721397508374E-3</v>
      </c>
      <c r="S65" s="811">
        <f t="shared" si="6"/>
        <v>1</v>
      </c>
      <c r="T65" s="176">
        <f t="shared" si="7"/>
        <v>7</v>
      </c>
      <c r="U65" s="251">
        <f t="shared" si="8"/>
        <v>1.0020848721397508</v>
      </c>
      <c r="V65" s="383">
        <f t="shared" si="9"/>
        <v>36.174210340808742</v>
      </c>
      <c r="W65" s="402">
        <f t="shared" si="10"/>
        <v>18.735566955273789</v>
      </c>
      <c r="X65" s="157">
        <f t="shared" si="11"/>
        <v>45342</v>
      </c>
      <c r="Y65" s="385">
        <f t="shared" si="12"/>
        <v>18.332680473298741</v>
      </c>
      <c r="Z65" s="385">
        <f t="shared" si="22"/>
        <v>19.188455667833392</v>
      </c>
      <c r="AA65" s="386">
        <f t="shared" si="13"/>
        <v>21.082866946929034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8.985548710544719E-2</v>
      </c>
      <c r="AD65" s="231">
        <f>(INDEX(Models!$BJ65:$BT65,,AH65)*(1-AF65)+INDEX(Models!$BJ65:$BT65,,AH65+1)*AF65-ERP_i)*AE65*Ramure*Pc/MaxiM</f>
        <v>2.3446770670358574E-4</v>
      </c>
      <c r="AE65" s="305">
        <f t="shared" si="15"/>
        <v>0.5</v>
      </c>
      <c r="AF65" s="177">
        <f t="shared" si="23"/>
        <v>2.0848721397508374E-3</v>
      </c>
      <c r="AG65" s="811">
        <f t="shared" si="24"/>
        <v>1</v>
      </c>
      <c r="AH65" s="176">
        <f t="shared" si="16"/>
        <v>7</v>
      </c>
      <c r="AI65" s="225">
        <f t="shared" si="17"/>
        <v>1.0020848721397508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'2023'!Wh/'2023'!Env_an*'2024'!Env_an</f>
        <v>20.712002277962849</v>
      </c>
      <c r="C66" s="841"/>
      <c r="D66" s="393">
        <f t="shared" si="0"/>
        <v>21.679319782971852</v>
      </c>
      <c r="E66" s="385">
        <f t="shared" si="1"/>
        <v>23.308377441067666</v>
      </c>
      <c r="F66" s="385">
        <f t="shared" si="2"/>
        <v>23.310549108075517</v>
      </c>
      <c r="G66" s="110">
        <f t="shared" si="21"/>
        <v>0.56752254572812222</v>
      </c>
      <c r="H66" s="414" t="b">
        <f>Wh_hp&gt;='2023'!Maxi_hp</f>
        <v>0</v>
      </c>
      <c r="I66" s="390">
        <f>IF(H66,Wh_hp,'2023'!Maxi_hp)</f>
        <v>38.737384022485628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4.4619366045275499E-2</v>
      </c>
      <c r="M66" s="845"/>
      <c r="N66" s="845"/>
      <c r="O66" s="48">
        <f>IF(t&lt;Tnet,'2023'!Resal+('2023'!Salim-'2023'!Resal)*(1-EXP(('2023'!Tnet-t)/('2023'!Tau_j))),Resal+(Salim-Resal)*(1-EXP((Tnet-t)/(Tau_j))))*Salcycl</f>
        <v>6.9891508416434572E-2</v>
      </c>
      <c r="P66" s="169">
        <f>(INDEX(Models!$BJ66:$BT66,,T66)*(1-R66)+INDEX(Models!$BJ66:$BT66,,T66+1)*R66-ERP_i)*Q66*Ramure*Pc/MaxiM</f>
        <v>2.4369110961184668E-4</v>
      </c>
      <c r="Q66" s="305">
        <f t="shared" si="4"/>
        <v>0.5</v>
      </c>
      <c r="R66" s="177">
        <f t="shared" si="5"/>
        <v>2.3085503890376557E-3</v>
      </c>
      <c r="S66" s="811">
        <f t="shared" si="6"/>
        <v>1</v>
      </c>
      <c r="T66" s="176">
        <f t="shared" si="7"/>
        <v>7</v>
      </c>
      <c r="U66" s="251">
        <f t="shared" si="8"/>
        <v>1.0023085503890377</v>
      </c>
      <c r="V66" s="383">
        <f t="shared" si="9"/>
        <v>36.489976288442243</v>
      </c>
      <c r="W66" s="402">
        <f t="shared" si="10"/>
        <v>20.712002277962849</v>
      </c>
      <c r="X66" s="157">
        <f t="shared" si="11"/>
        <v>45343</v>
      </c>
      <c r="Y66" s="385">
        <f t="shared" si="12"/>
        <v>20.266996634699026</v>
      </c>
      <c r="Z66" s="385">
        <f t="shared" si="22"/>
        <v>21.213530936675319</v>
      </c>
      <c r="AA66" s="386">
        <f t="shared" si="13"/>
        <v>23.308377441067666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8.9875260930920881E-2</v>
      </c>
      <c r="AD66" s="231">
        <f>(INDEX(Models!$BJ66:$BT66,,AH66)*(1-AF66)+INDEX(Models!$BJ66:$BT66,,AH66+1)*AF66-ERP_i)*AE66*Ramure*Pc/MaxiM</f>
        <v>2.4369110961184668E-4</v>
      </c>
      <c r="AE66" s="305">
        <f t="shared" si="15"/>
        <v>0.5</v>
      </c>
      <c r="AF66" s="177">
        <f t="shared" si="23"/>
        <v>2.3085503890376557E-3</v>
      </c>
      <c r="AG66" s="811">
        <f t="shared" si="24"/>
        <v>1</v>
      </c>
      <c r="AH66" s="176">
        <f t="shared" si="16"/>
        <v>7</v>
      </c>
      <c r="AI66" s="225">
        <f t="shared" si="17"/>
        <v>1.0023085503890377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'2023'!Wh/'2023'!Env_an*'2024'!Env_an</f>
        <v>32.01333250285758</v>
      </c>
      <c r="C67" s="841"/>
      <c r="D67" s="393">
        <f t="shared" si="0"/>
        <v>33.509192623925891</v>
      </c>
      <c r="E67" s="385">
        <f t="shared" si="1"/>
        <v>36.02864646060489</v>
      </c>
      <c r="F67" s="385">
        <f t="shared" si="2"/>
        <v>36.036055701180402</v>
      </c>
      <c r="G67" s="110">
        <f t="shared" si="21"/>
        <v>0.8697020815016463</v>
      </c>
      <c r="H67" s="414" t="b">
        <f>Wh_hp&gt;='2023'!Maxi_hp</f>
        <v>0</v>
      </c>
      <c r="I67" s="390">
        <f>IF(H67,Wh_hp,'2023'!Maxi_hp)</f>
        <v>40.196901311599696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4.4640291333078896E-2</v>
      </c>
      <c r="M67" s="845"/>
      <c r="N67" s="845"/>
      <c r="O67" s="48">
        <f>IF(t&lt;Tnet,'2023'!Resal+('2023'!Salim-'2023'!Resal)*(1-EXP(('2023'!Tnet-t)/('2023'!Tau_j))),Resal+(Salim-Resal)*(1-EXP((Tnet-t)/(Tau_j))))*Salcycl</f>
        <v>6.9929183696475203E-2</v>
      </c>
      <c r="P67" s="169">
        <f>(INDEX(Models!$BJ67:$BT67,,T67)*(1-R67)+INDEX(Models!$BJ67:$BT67,,T67+1)*R67-ERP_i)*Q67*Ramure*Pc/MaxiM</f>
        <v>2.5261289093563732E-4</v>
      </c>
      <c r="Q67" s="305">
        <f t="shared" si="4"/>
        <v>0.5</v>
      </c>
      <c r="R67" s="177">
        <f t="shared" si="5"/>
        <v>2.5413976481067913E-3</v>
      </c>
      <c r="S67" s="811">
        <f t="shared" si="6"/>
        <v>1</v>
      </c>
      <c r="T67" s="176">
        <f t="shared" si="7"/>
        <v>7</v>
      </c>
      <c r="U67" s="251">
        <f t="shared" si="8"/>
        <v>1.0025413976481068</v>
      </c>
      <c r="V67" s="383">
        <f t="shared" si="9"/>
        <v>36.807808141533911</v>
      </c>
      <c r="W67" s="402">
        <f t="shared" si="10"/>
        <v>32.01333250285758</v>
      </c>
      <c r="X67" s="157">
        <f t="shared" si="11"/>
        <v>45344</v>
      </c>
      <c r="Y67" s="385">
        <f t="shared" si="12"/>
        <v>31.326103092604853</v>
      </c>
      <c r="Z67" s="385">
        <f t="shared" si="22"/>
        <v>32.789851621769053</v>
      </c>
      <c r="AA67" s="386">
        <f t="shared" si="13"/>
        <v>36.02864646060489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8.9894990709053199E-2</v>
      </c>
      <c r="AD67" s="231">
        <f>(INDEX(Models!$BJ67:$BT67,,AH67)*(1-AF67)+INDEX(Models!$BJ67:$BT67,,AH67+1)*AF67-ERP_i)*AE67*Ramure*Pc/MaxiM</f>
        <v>2.5261289093563732E-4</v>
      </c>
      <c r="AE67" s="305">
        <f t="shared" si="15"/>
        <v>0.5</v>
      </c>
      <c r="AF67" s="177">
        <f t="shared" si="23"/>
        <v>2.5413976481067913E-3</v>
      </c>
      <c r="AG67" s="811">
        <f t="shared" si="24"/>
        <v>1</v>
      </c>
      <c r="AH67" s="176">
        <f t="shared" si="16"/>
        <v>7</v>
      </c>
      <c r="AI67" s="225">
        <f t="shared" si="17"/>
        <v>1.0025413976481068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'2023'!Wh/'2023'!Env_an*'2024'!Env_an</f>
        <v>33.124561306821079</v>
      </c>
      <c r="C68" s="841"/>
      <c r="D68" s="393">
        <f t="shared" si="0"/>
        <v>34.673104313597833</v>
      </c>
      <c r="E68" s="385">
        <f t="shared" si="1"/>
        <v>37.281577070991332</v>
      </c>
      <c r="F68" s="385">
        <f t="shared" si="2"/>
        <v>37.289818299288996</v>
      </c>
      <c r="G68" s="110">
        <f t="shared" si="21"/>
        <v>0.89215002451132441</v>
      </c>
      <c r="H68" s="414" t="b">
        <f>Wh_hp&gt;='2023'!Maxi_hp</f>
        <v>0</v>
      </c>
      <c r="I68" s="390">
        <f>IF(H68,Wh_hp,'2023'!Maxi_hp)</f>
        <v>40.899659056750139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4.4661216162564799E-2</v>
      </c>
      <c r="M68" s="845"/>
      <c r="N68" s="845"/>
      <c r="O68" s="48">
        <f>IF(t&lt;Tnet,'2023'!Resal+('2023'!Salim-'2023'!Resal)*(1-EXP(('2023'!Tnet-t)/('2023'!Tau_j))),Resal+(Salim-Resal)*(1-EXP((Tnet-t)/(Tau_j))))*Salcycl</f>
        <v>6.996680297151768E-2</v>
      </c>
      <c r="P68" s="169">
        <f>(INDEX(Models!$BJ68:$BT68,,T68)*(1-R68)+INDEX(Models!$BJ68:$BT68,,T68+1)*R68-ERP_i)*Q68*Ramure*Pc/MaxiM</f>
        <v>2.6124117758390559E-4</v>
      </c>
      <c r="Q68" s="305">
        <f t="shared" si="4"/>
        <v>0.5</v>
      </c>
      <c r="R68" s="177">
        <f t="shared" si="5"/>
        <v>2.7837805084847123E-3</v>
      </c>
      <c r="S68" s="811">
        <f t="shared" si="6"/>
        <v>1</v>
      </c>
      <c r="T68" s="176">
        <f t="shared" si="7"/>
        <v>7</v>
      </c>
      <c r="U68" s="251">
        <f t="shared" si="8"/>
        <v>1.0027837805084847</v>
      </c>
      <c r="V68" s="383">
        <f t="shared" si="9"/>
        <v>37.127419480269154</v>
      </c>
      <c r="W68" s="402">
        <f t="shared" si="10"/>
        <v>33.124561306821079</v>
      </c>
      <c r="X68" s="157">
        <f t="shared" si="11"/>
        <v>45345</v>
      </c>
      <c r="Y68" s="385">
        <f t="shared" si="12"/>
        <v>32.414087235570676</v>
      </c>
      <c r="Z68" s="385">
        <f t="shared" si="22"/>
        <v>33.929416227998971</v>
      </c>
      <c r="AA68" s="386">
        <f t="shared" si="13"/>
        <v>37.281577070991332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8.9914673851087451E-2</v>
      </c>
      <c r="AD68" s="231">
        <f>(INDEX(Models!$BJ68:$BT68,,AH68)*(1-AF68)+INDEX(Models!$BJ68:$BT68,,AH68+1)*AF68-ERP_i)*AE68*Ramure*Pc/MaxiM</f>
        <v>2.6124117758390559E-4</v>
      </c>
      <c r="AE68" s="305">
        <f t="shared" si="15"/>
        <v>0.5</v>
      </c>
      <c r="AF68" s="177">
        <f t="shared" si="23"/>
        <v>2.7837805084847123E-3</v>
      </c>
      <c r="AG68" s="811">
        <f t="shared" si="24"/>
        <v>1</v>
      </c>
      <c r="AH68" s="176">
        <f t="shared" si="16"/>
        <v>7</v>
      </c>
      <c r="AI68" s="225">
        <f t="shared" si="17"/>
        <v>1.0027837805084847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'2023'!Wh/'2023'!Env_an*'2024'!Env_an</f>
        <v>20.36494510093388</v>
      </c>
      <c r="C69" s="841"/>
      <c r="D69" s="393">
        <f t="shared" si="0"/>
        <v>21.317454603342103</v>
      </c>
      <c r="E69" s="385">
        <f t="shared" si="1"/>
        <v>22.922101790938694</v>
      </c>
      <c r="F69" s="385">
        <f t="shared" si="2"/>
        <v>22.924254315385397</v>
      </c>
      <c r="G69" s="110">
        <f t="shared" si="21"/>
        <v>0.54371614102459642</v>
      </c>
      <c r="H69" s="414" t="b">
        <f>Wh_hp&gt;='2023'!Maxi_hp</f>
        <v>0</v>
      </c>
      <c r="I69" s="390">
        <f>IF(H69,Wh_hp,'2023'!Maxi_hp)</f>
        <v>41.03378848015074</v>
      </c>
      <c r="J69" s="85">
        <f>IF(H69,An,'2023'!An_max)</f>
        <v>2019</v>
      </c>
      <c r="K69" s="197">
        <f t="shared" si="3"/>
        <v>45346</v>
      </c>
      <c r="L69" s="147">
        <f>IF(t&lt;Tvie,1-EXP((T0-t)*PertePVj)+'2023'!Pspv,1-EXP((T0-t)*PertePVj)+Pspv)</f>
        <v>4.4682140533743198E-2</v>
      </c>
      <c r="M69" s="845"/>
      <c r="N69" s="845"/>
      <c r="O69" s="48">
        <f>IF(t&lt;Tnet,'2023'!Resal+('2023'!Salim-'2023'!Resal)*(1-EXP(('2023'!Tnet-t)/('2023'!Tau_j))),Resal+(Salim-Resal)*(1-EXP((Tnet-t)/(Tau_j))))*Salcycl</f>
        <v>7.0004365316575043E-2</v>
      </c>
      <c r="P69" s="169">
        <f>(INDEX(Models!$BJ69:$BT69,,T69)*(1-R69)+INDEX(Models!$BJ69:$BT69,,T69+1)*R69-ERP_i)*Q69*Ramure*Pc/MaxiM</f>
        <v>2.6958541203214715E-4</v>
      </c>
      <c r="Q69" s="305">
        <f t="shared" si="4"/>
        <v>0.5</v>
      </c>
      <c r="R69" s="177">
        <f t="shared" si="5"/>
        <v>3.036079435702943E-3</v>
      </c>
      <c r="S69" s="811">
        <f t="shared" si="6"/>
        <v>1</v>
      </c>
      <c r="T69" s="176">
        <f t="shared" si="7"/>
        <v>7</v>
      </c>
      <c r="U69" s="251">
        <f t="shared" si="8"/>
        <v>1.0030360794357029</v>
      </c>
      <c r="V69" s="383">
        <f t="shared" si="9"/>
        <v>37.448523869113465</v>
      </c>
      <c r="W69" s="402">
        <f t="shared" si="10"/>
        <v>20.36494510093388</v>
      </c>
      <c r="X69" s="157">
        <f t="shared" si="11"/>
        <v>45346</v>
      </c>
      <c r="Y69" s="385">
        <f t="shared" si="12"/>
        <v>19.928521318493818</v>
      </c>
      <c r="Z69" s="385">
        <f t="shared" si="22"/>
        <v>20.860618401531855</v>
      </c>
      <c r="AA69" s="386">
        <f t="shared" si="13"/>
        <v>22.922101790938694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8.9934309174988583E-2</v>
      </c>
      <c r="AD69" s="231">
        <f>(INDEX(Models!$BJ69:$BT69,,AH69)*(1-AF69)+INDEX(Models!$BJ69:$BT69,,AH69+1)*AF69-ERP_i)*AE69*Ramure*Pc/MaxiM</f>
        <v>2.6958541203214715E-4</v>
      </c>
      <c r="AE69" s="305">
        <f t="shared" si="15"/>
        <v>0.5</v>
      </c>
      <c r="AF69" s="177">
        <f t="shared" si="23"/>
        <v>3.036079435702943E-3</v>
      </c>
      <c r="AG69" s="811">
        <f t="shared" si="24"/>
        <v>1</v>
      </c>
      <c r="AH69" s="176">
        <f t="shared" si="16"/>
        <v>7</v>
      </c>
      <c r="AI69" s="225">
        <f t="shared" si="17"/>
        <v>1.0030360794357029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'2023'!Wh/'2023'!Env_an*'2024'!Env_an</f>
        <v>29.661474616950162</v>
      </c>
      <c r="C70" s="841"/>
      <c r="D70" s="393">
        <f t="shared" si="0"/>
        <v>31.049481593666087</v>
      </c>
      <c r="E70" s="385">
        <f t="shared" si="1"/>
        <v>33.38804256279937</v>
      </c>
      <c r="F70" s="385">
        <f t="shared" si="2"/>
        <v>33.394470823706627</v>
      </c>
      <c r="G70" s="110">
        <f t="shared" si="21"/>
        <v>0.7852341159702324</v>
      </c>
      <c r="H70" s="414" t="b">
        <f>Wh_hp&gt;='2023'!Maxi_hp</f>
        <v>0</v>
      </c>
      <c r="I70" s="390">
        <f>IF(H70,Wh_hp,'2023'!Maxi_hp)</f>
        <v>42.028165575806206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4.4703064446624086E-2</v>
      </c>
      <c r="M70" s="845"/>
      <c r="N70" s="845"/>
      <c r="O70" s="48">
        <f>IF(t&lt;Tnet,'2023'!Resal+('2023'!Salim-'2023'!Resal)*(1-EXP(('2023'!Tnet-t)/('2023'!Tau_j))),Resal+(Salim-Resal)*(1-EXP((Tnet-t)/(Tau_j))))*Salcycl</f>
        <v>7.0041870970264097E-2</v>
      </c>
      <c r="P70" s="169">
        <f>(INDEX(Models!$BJ70:$BT70,,T70)*(1-R70)+INDEX(Models!$BJ70:$BT70,,T70+1)*R70-ERP_i)*Q70*Ramure*Pc/MaxiM</f>
        <v>2.7765517887893036E-4</v>
      </c>
      <c r="Q70" s="305">
        <f t="shared" si="4"/>
        <v>0.5</v>
      </c>
      <c r="R70" s="177">
        <f t="shared" si="5"/>
        <v>3.2986892278390467E-3</v>
      </c>
      <c r="S70" s="811">
        <f t="shared" si="6"/>
        <v>1</v>
      </c>
      <c r="T70" s="176">
        <f t="shared" si="7"/>
        <v>7</v>
      </c>
      <c r="U70" s="251">
        <f t="shared" si="8"/>
        <v>1.003298689227839</v>
      </c>
      <c r="V70" s="383">
        <f t="shared" si="9"/>
        <v>37.770834893743896</v>
      </c>
      <c r="W70" s="402">
        <f t="shared" si="10"/>
        <v>29.661474616950162</v>
      </c>
      <c r="X70" s="157">
        <f t="shared" si="11"/>
        <v>45347</v>
      </c>
      <c r="Y70" s="385">
        <f t="shared" si="12"/>
        <v>29.026370695541623</v>
      </c>
      <c r="Z70" s="385">
        <f t="shared" si="22"/>
        <v>30.384658021254392</v>
      </c>
      <c r="AA70" s="386">
        <f t="shared" si="13"/>
        <v>33.38804256279937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8.9953896994588126E-2</v>
      </c>
      <c r="AD70" s="231">
        <f>(INDEX(Models!$BJ70:$BT70,,AH70)*(1-AF70)+INDEX(Models!$BJ70:$BT70,,AH70+1)*AF70-ERP_i)*AE70*Ramure*Pc/MaxiM</f>
        <v>2.7765517887893036E-4</v>
      </c>
      <c r="AE70" s="305">
        <f t="shared" si="15"/>
        <v>0.5</v>
      </c>
      <c r="AF70" s="177">
        <f t="shared" si="23"/>
        <v>3.2986892278390467E-3</v>
      </c>
      <c r="AG70" s="811">
        <f t="shared" si="24"/>
        <v>1</v>
      </c>
      <c r="AH70" s="176">
        <f t="shared" si="16"/>
        <v>7</v>
      </c>
      <c r="AI70" s="225">
        <f t="shared" si="17"/>
        <v>1.003298689227839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'2023'!Wh/'2023'!Env_an*'2024'!Env_an</f>
        <v>38.198752456125995</v>
      </c>
      <c r="C71" s="841"/>
      <c r="D71" s="393">
        <f t="shared" si="0"/>
        <v>39.987136672888603</v>
      </c>
      <c r="E71" s="385">
        <f t="shared" si="1"/>
        <v>43.000588752355021</v>
      </c>
      <c r="F71" s="385">
        <f t="shared" si="2"/>
        <v>43.012867213846988</v>
      </c>
      <c r="G71" s="110">
        <f t="shared" si="21"/>
        <v>1.0027480999671898</v>
      </c>
      <c r="H71" s="414" t="b">
        <f>Wh_hp&gt;='2023'!Maxi_hp</f>
        <v>1</v>
      </c>
      <c r="I71" s="390">
        <f>IF(H71,Wh_hp,'2023'!Maxi_hp)</f>
        <v>43.012867213846988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4.4723987901217677E-2</v>
      </c>
      <c r="M71" s="845"/>
      <c r="N71" s="845"/>
      <c r="O71" s="48">
        <f>IF(t&lt;Tnet,'2023'!Resal+('2023'!Salim-'2023'!Resal)*(1-EXP(('2023'!Tnet-t)/('2023'!Tau_j))),Resal+(Salim-Resal)*(1-EXP((Tnet-t)/(Tau_j))))*Salcycl</f>
        <v>7.0079321397695418E-2</v>
      </c>
      <c r="P71" s="169">
        <f>(INDEX(Models!$BJ71:$BT71,,T71)*(1-R71)+INDEX(Models!$BJ71:$BT71,,T71+1)*R71-ERP_i)*Q71*Ramure*Pc/MaxiM</f>
        <v>2.8546019568792883E-4</v>
      </c>
      <c r="Q71" s="305">
        <f t="shared" si="4"/>
        <v>0.5</v>
      </c>
      <c r="R71" s="177">
        <f t="shared" si="5"/>
        <v>3.5720194834043539E-3</v>
      </c>
      <c r="S71" s="811">
        <f t="shared" si="6"/>
        <v>1</v>
      </c>
      <c r="T71" s="176">
        <f t="shared" si="7"/>
        <v>7</v>
      </c>
      <c r="U71" s="251">
        <f t="shared" si="8"/>
        <v>1.0035720194834044</v>
      </c>
      <c r="V71" s="383">
        <f t="shared" si="9"/>
        <v>38.094066154177575</v>
      </c>
      <c r="W71" s="402">
        <f t="shared" si="10"/>
        <v>38.198752456125995</v>
      </c>
      <c r="X71" s="157">
        <f t="shared" si="11"/>
        <v>45348</v>
      </c>
      <c r="Y71" s="385">
        <f t="shared" si="12"/>
        <v>37.381553206048977</v>
      </c>
      <c r="Z71" s="385">
        <f t="shared" si="22"/>
        <v>39.13167789476897</v>
      </c>
      <c r="AA71" s="386">
        <f t="shared" si="13"/>
        <v>43.000588752355021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8.9973439197949631E-2</v>
      </c>
      <c r="AD71" s="231">
        <f>(INDEX(Models!$BJ71:$BT71,,AH71)*(1-AF71)+INDEX(Models!$BJ71:$BT71,,AH71+1)*AF71-ERP_i)*AE71*Ramure*Pc/MaxiM</f>
        <v>2.8546019568792883E-4</v>
      </c>
      <c r="AE71" s="305">
        <f t="shared" si="15"/>
        <v>0.5</v>
      </c>
      <c r="AF71" s="177">
        <f t="shared" si="23"/>
        <v>3.5720194834043539E-3</v>
      </c>
      <c r="AG71" s="811">
        <f t="shared" si="24"/>
        <v>1</v>
      </c>
      <c r="AH71" s="176">
        <f t="shared" si="16"/>
        <v>7</v>
      </c>
      <c r="AI71" s="225">
        <f t="shared" si="17"/>
        <v>1.0035720194834044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'2023'!Wh/'2023'!Env_an*'2024'!Env_an</f>
        <v>26.620957938391271</v>
      </c>
      <c r="C72" s="841"/>
      <c r="D72" s="393">
        <f t="shared" si="0"/>
        <v>27.867904858171091</v>
      </c>
      <c r="E72" s="385">
        <f t="shared" si="1"/>
        <v>29.9692503757352</v>
      </c>
      <c r="F72" s="385">
        <f t="shared" si="2"/>
        <v>29.974151464503095</v>
      </c>
      <c r="G72" s="110">
        <f t="shared" si="21"/>
        <v>0.69284079316057812</v>
      </c>
      <c r="H72" s="414" t="b">
        <f>Wh_hp&gt;='2023'!Maxi_hp</f>
        <v>0</v>
      </c>
      <c r="I72" s="390">
        <f>IF(H72,Wh_hp,'2023'!Maxi_hp)</f>
        <v>42.246597609719124</v>
      </c>
      <c r="J72" s="85">
        <f>IF(H72,An,'2023'!An_max)</f>
        <v>2019</v>
      </c>
      <c r="K72" s="197">
        <f t="shared" si="3"/>
        <v>45349</v>
      </c>
      <c r="L72" s="147">
        <f>IF(t&lt;Tvie,1-EXP((T0-t)*PertePVj)+'2023'!Pspv,1-EXP((T0-t)*PertePVj)+Pspv)</f>
        <v>4.4744910897533963E-2</v>
      </c>
      <c r="M72" s="845"/>
      <c r="N72" s="845"/>
      <c r="O72" s="48">
        <f>IF(t&lt;Tnet,'2023'!Resal+('2023'!Salim-'2023'!Resal)*(1-EXP(('2023'!Tnet-t)/('2023'!Tau_j))),Resal+(Salim-Resal)*(1-EXP((Tnet-t)/(Tau_j))))*Salcycl</f>
        <v>7.0116719344621298E-2</v>
      </c>
      <c r="P72" s="169">
        <f>(INDEX(Models!$BJ72:$BT72,,T72)*(1-R72)+INDEX(Models!$BJ72:$BT72,,T72+1)*R72-ERP_i)*Q72*Ramure*Pc/MaxiM</f>
        <v>2.9129245748888604E-4</v>
      </c>
      <c r="Q72" s="305">
        <f t="shared" si="4"/>
        <v>0.5</v>
      </c>
      <c r="R72" s="177">
        <f t="shared" si="5"/>
        <v>3.8564950782145058E-3</v>
      </c>
      <c r="S72" s="811">
        <f t="shared" si="6"/>
        <v>1</v>
      </c>
      <c r="T72" s="176">
        <f t="shared" si="7"/>
        <v>7</v>
      </c>
      <c r="U72" s="251">
        <f t="shared" si="8"/>
        <v>1.0038564950782145</v>
      </c>
      <c r="V72" s="383">
        <f t="shared" si="9"/>
        <v>38.417997275818095</v>
      </c>
      <c r="W72" s="402">
        <f t="shared" si="10"/>
        <v>26.620957938391271</v>
      </c>
      <c r="X72" s="157">
        <f t="shared" si="11"/>
        <v>45349</v>
      </c>
      <c r="Y72" s="385">
        <f t="shared" si="12"/>
        <v>26.051935968863994</v>
      </c>
      <c r="Z72" s="385">
        <f t="shared" si="22"/>
        <v>27.272229445374371</v>
      </c>
      <c r="AA72" s="386">
        <f t="shared" si="13"/>
        <v>29.9692503757352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8.9992939314374298E-2</v>
      </c>
      <c r="AD72" s="231">
        <f>(INDEX(Models!$BJ72:$BT72,,AH72)*(1-AF72)+INDEX(Models!$BJ72:$BT72,,AH72+1)*AF72-ERP_i)*AE72*Ramure*Pc/MaxiM</f>
        <v>2.9129245748888604E-4</v>
      </c>
      <c r="AE72" s="305">
        <f t="shared" si="15"/>
        <v>0.5</v>
      </c>
      <c r="AF72" s="177">
        <f t="shared" si="23"/>
        <v>3.8564950782145058E-3</v>
      </c>
      <c r="AG72" s="811">
        <f t="shared" si="24"/>
        <v>1</v>
      </c>
      <c r="AH72" s="176">
        <f t="shared" si="16"/>
        <v>7</v>
      </c>
      <c r="AI72" s="225">
        <f t="shared" si="17"/>
        <v>1.0038564950782145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'2023'!Wh/'2023'!Env_an*'2024'!Env_an</f>
        <v>32.895682821441618</v>
      </c>
      <c r="C73" s="841"/>
      <c r="D73" s="393">
        <f t="shared" si="0"/>
        <v>34.437297128675581</v>
      </c>
      <c r="E73" s="385">
        <f t="shared" si="1"/>
        <v>37.035487252482021</v>
      </c>
      <c r="F73" s="385">
        <f t="shared" si="2"/>
        <v>37.044044882233408</v>
      </c>
      <c r="G73" s="110">
        <f t="shared" si="21"/>
        <v>0.84903413362596192</v>
      </c>
      <c r="H73" s="414" t="b">
        <f>Wh_hp&gt;='2023'!Maxi_hp</f>
        <v>0</v>
      </c>
      <c r="I73" s="390">
        <f>IF(H73,Wh_hp,'2023'!Maxi_hp)</f>
        <v>37.045168016322464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4.4765833435582825E-2</v>
      </c>
      <c r="M73" s="845"/>
      <c r="N73" s="845"/>
      <c r="O73" s="48">
        <f>IF(t&lt;Tnet,'2023'!Resal+('2023'!Salim-'2023'!Resal)*(1-EXP(('2023'!Tnet-t)/('2023'!Tau_j))),Resal+(Salim-Resal)*(1-EXP((Tnet-t)/(Tau_j))))*Salcycl</f>
        <v>7.0154068882469348E-2</v>
      </c>
      <c r="P73" s="169">
        <f>(INDEX(Models!$BJ73:$BT73,,T73)*(1-R73)+INDEX(Models!$BJ73:$BT73,,T73+1)*R73-ERP_i)*Q73*Ramure*Pc/MaxiM</f>
        <v>2.9450395674484166E-4</v>
      </c>
      <c r="Q73" s="305">
        <f t="shared" si="4"/>
        <v>0.5</v>
      </c>
      <c r="R73" s="177">
        <f t="shared" si="5"/>
        <v>4.1525566508020528E-3</v>
      </c>
      <c r="S73" s="811">
        <f t="shared" si="6"/>
        <v>1</v>
      </c>
      <c r="T73" s="176">
        <f t="shared" si="7"/>
        <v>7</v>
      </c>
      <c r="U73" s="251">
        <f t="shared" si="8"/>
        <v>1.0041525566508021</v>
      </c>
      <c r="V73" s="383">
        <f t="shared" si="9"/>
        <v>38.742369045550369</v>
      </c>
      <c r="W73" s="402">
        <f t="shared" si="10"/>
        <v>32.895682821441618</v>
      </c>
      <c r="X73" s="157">
        <f t="shared" si="11"/>
        <v>45350</v>
      </c>
      <c r="Y73" s="385">
        <f t="shared" si="12"/>
        <v>32.193143374343187</v>
      </c>
      <c r="Z73" s="385">
        <f t="shared" si="22"/>
        <v>33.701834064550503</v>
      </c>
      <c r="AA73" s="386">
        <f t="shared" si="13"/>
        <v>37.035487252482021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9.0012402569595085E-2</v>
      </c>
      <c r="AD73" s="231">
        <f>(INDEX(Models!$BJ73:$BT73,,AH73)*(1-AF73)+INDEX(Models!$BJ73:$BT73,,AH73+1)*AF73-ERP_i)*AE73*Ramure*Pc/MaxiM</f>
        <v>2.9450395674484166E-4</v>
      </c>
      <c r="AE73" s="305">
        <f t="shared" si="15"/>
        <v>0.5</v>
      </c>
      <c r="AF73" s="177">
        <f t="shared" si="23"/>
        <v>4.1525566508020528E-3</v>
      </c>
      <c r="AG73" s="811">
        <f t="shared" si="24"/>
        <v>1</v>
      </c>
      <c r="AH73" s="176">
        <f t="shared" si="16"/>
        <v>7</v>
      </c>
      <c r="AI73" s="225">
        <f t="shared" si="17"/>
        <v>1.0041525566508021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'2023'!Wh/'2023'!Env_an*'2024'!Env_an</f>
        <v>38.187066309470133</v>
      </c>
      <c r="C74" s="841"/>
      <c r="D74" s="393">
        <f t="shared" si="0"/>
        <v>39.977530179738586</v>
      </c>
      <c r="E74" s="385">
        <f t="shared" si="1"/>
        <v>42.995439194627977</v>
      </c>
      <c r="F74" s="385">
        <f t="shared" si="2"/>
        <v>43.007725011744526</v>
      </c>
      <c r="G74" s="110">
        <f t="shared" si="21"/>
        <v>0.97746963010353405</v>
      </c>
      <c r="H74" s="414" t="b">
        <f>Wh_hp&gt;='2023'!Maxi_hp</f>
        <v>0</v>
      </c>
      <c r="I74" s="390">
        <f>IF(H74,Wh_hp,'2023'!Maxi_hp)</f>
        <v>43.00792316495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4.4786755515374477E-2</v>
      </c>
      <c r="M74" s="845"/>
      <c r="N74" s="845"/>
      <c r="O74" s="48">
        <f>IF(t&lt;Tnet,'2023'!Resal+('2023'!Salim-'2023'!Resal)*(1-EXP(('2023'!Tnet-t)/('2023'!Tau_j))),Resal+(Salim-Resal)*(1-EXP((Tnet-t)/(Tau_j))))*Salcycl</f>
        <v>7.0191375443990331E-2</v>
      </c>
      <c r="P74" s="169">
        <f>(INDEX(Models!$BJ74:$BT74,,T74)*(1-R74)+INDEX(Models!$BJ74:$BT74,,T74+1)*R74-ERP_i)*Q74*Ramure*Pc/MaxiM</f>
        <v>2.951615842117236E-4</v>
      </c>
      <c r="Q74" s="305">
        <f t="shared" si="4"/>
        <v>0.5</v>
      </c>
      <c r="R74" s="177">
        <f t="shared" si="5"/>
        <v>4.4606610958608517E-3</v>
      </c>
      <c r="S74" s="811">
        <f t="shared" si="6"/>
        <v>1</v>
      </c>
      <c r="T74" s="176">
        <f t="shared" si="7"/>
        <v>7</v>
      </c>
      <c r="U74" s="251">
        <f t="shared" si="8"/>
        <v>1.0044606610958609</v>
      </c>
      <c r="V74" s="383">
        <f t="shared" si="9"/>
        <v>39.066895171713377</v>
      </c>
      <c r="W74" s="402">
        <f t="shared" si="10"/>
        <v>38.187066309470133</v>
      </c>
      <c r="X74" s="157">
        <f t="shared" si="11"/>
        <v>45351</v>
      </c>
      <c r="Y74" s="385">
        <f t="shared" si="12"/>
        <v>37.37222230809612</v>
      </c>
      <c r="Z74" s="385">
        <f t="shared" si="22"/>
        <v>39.124480867368916</v>
      </c>
      <c r="AA74" s="386">
        <f t="shared" si="13"/>
        <v>42.995439194627977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9.0031835928837733E-2</v>
      </c>
      <c r="AD74" s="231">
        <f>(INDEX(Models!$BJ74:$BT74,,AH74)*(1-AF74)+INDEX(Models!$BJ74:$BT74,,AH74+1)*AF74-ERP_i)*AE74*Ramure*Pc/MaxiM</f>
        <v>2.951615842117236E-4</v>
      </c>
      <c r="AE74" s="305">
        <f t="shared" si="15"/>
        <v>0.5</v>
      </c>
      <c r="AF74" s="177">
        <f t="shared" si="23"/>
        <v>4.4606610958608517E-3</v>
      </c>
      <c r="AG74" s="811">
        <f t="shared" si="24"/>
        <v>1</v>
      </c>
      <c r="AH74" s="176">
        <f t="shared" si="16"/>
        <v>7</v>
      </c>
      <c r="AI74" s="225">
        <f t="shared" si="17"/>
        <v>1.0044606610958609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'2023'!Wh/'2023'!Env_an*'2024'!Env_an</f>
        <v>10.516305846513044</v>
      </c>
      <c r="C75" s="841"/>
      <c r="D75" s="393">
        <f t="shared" si="0"/>
        <v>11.009621407960655</v>
      </c>
      <c r="E75" s="385">
        <f t="shared" si="1"/>
        <v>11.841213819733126</v>
      </c>
      <c r="F75" s="385">
        <f t="shared" si="2"/>
        <v>11.841213819733126</v>
      </c>
      <c r="G75" s="110">
        <f t="shared" si="21"/>
        <v>0.26689202781191529</v>
      </c>
      <c r="H75" s="414" t="b">
        <f>Wh_hp&gt;='2023'!Maxi_hp</f>
        <v>0</v>
      </c>
      <c r="I75" s="390">
        <f>IF(H75,Wh_hp,'2023'!Maxi_hp)</f>
        <v>29.154269715170336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4.48076771369188E-2</v>
      </c>
      <c r="M75" s="845"/>
      <c r="N75" s="845"/>
      <c r="O75" s="48">
        <f>IF(t&lt;Tnet,'2023'!Resal+('2023'!Salim-'2023'!Resal)*(1-EXP(('2023'!Tnet-t)/('2023'!Tau_j))),Resal+(Salim-Resal)*(1-EXP((Tnet-t)/(Tau_j))))*Salcycl</f>
        <v>7.0228645849350416E-2</v>
      </c>
      <c r="P75" s="169">
        <f>(INDEX(Models!$BJ75:$BT75,,T75)*(1-R75)+INDEX(Models!$BJ75:$BT75,,T75+1)*R75-ERP_i)*Q75*Ramure*Pc/MaxiM</f>
        <v>2.9333020668459453E-4</v>
      </c>
      <c r="Q75" s="305">
        <f t="shared" si="4"/>
        <v>0.5</v>
      </c>
      <c r="R75" s="177">
        <f t="shared" si="5"/>
        <v>4.7812820651225163E-3</v>
      </c>
      <c r="S75" s="811">
        <f t="shared" si="6"/>
        <v>1</v>
      </c>
      <c r="T75" s="176">
        <f t="shared" si="7"/>
        <v>7</v>
      </c>
      <c r="U75" s="251">
        <f t="shared" si="8"/>
        <v>1.0047812820651225</v>
      </c>
      <c r="V75" s="383">
        <f t="shared" si="9"/>
        <v>39.391289363481576</v>
      </c>
      <c r="W75" s="402">
        <f t="shared" si="10"/>
        <v>10.516305846513044</v>
      </c>
      <c r="X75" s="157">
        <f t="shared" si="11"/>
        <v>45352</v>
      </c>
      <c r="Y75" s="385">
        <f t="shared" si="12"/>
        <v>10.292099596986407</v>
      </c>
      <c r="Z75" s="385">
        <f t="shared" si="22"/>
        <v>10.774897735920867</v>
      </c>
      <c r="AA75" s="386">
        <f t="shared" si="13"/>
        <v>11.841213819733126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9.0051248127558159E-2</v>
      </c>
      <c r="AD75" s="231">
        <f>(INDEX(Models!$BJ75:$BT75,,AH75)*(1-AF75)+INDEX(Models!$BJ75:$BT75,,AH75+1)*AF75-ERP_i)*AE75*Ramure*Pc/MaxiM</f>
        <v>2.9333020668459453E-4</v>
      </c>
      <c r="AE75" s="305">
        <f t="shared" si="15"/>
        <v>0.5</v>
      </c>
      <c r="AF75" s="177">
        <f t="shared" si="23"/>
        <v>4.7812820651225163E-3</v>
      </c>
      <c r="AG75" s="811">
        <f t="shared" si="24"/>
        <v>1</v>
      </c>
      <c r="AH75" s="176">
        <f t="shared" si="16"/>
        <v>7</v>
      </c>
      <c r="AI75" s="225">
        <f t="shared" si="17"/>
        <v>1.0047812820651225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'2023'!Wh/'2023'!Env_an*'2024'!Env_an</f>
        <v>33.893491626148112</v>
      </c>
      <c r="C76" s="841"/>
      <c r="D76" s="393">
        <f t="shared" si="0"/>
        <v>35.484198507025013</v>
      </c>
      <c r="E76" s="385">
        <f t="shared" si="1"/>
        <v>38.165963861437021</v>
      </c>
      <c r="F76" s="385">
        <f t="shared" si="2"/>
        <v>38.174688210551253</v>
      </c>
      <c r="G76" s="110">
        <f t="shared" si="21"/>
        <v>0.85336051853177319</v>
      </c>
      <c r="H76" s="414" t="b">
        <f>Wh_hp&gt;='2023'!Maxi_hp</f>
        <v>0</v>
      </c>
      <c r="I76" s="390">
        <f>IF(H76,Wh_hp,'2023'!Maxi_hp)</f>
        <v>39.010447727103518</v>
      </c>
      <c r="J76" s="85">
        <f>IF(H76,An,'2023'!An_max)</f>
        <v>2019</v>
      </c>
      <c r="K76" s="197">
        <f t="shared" si="3"/>
        <v>45353</v>
      </c>
      <c r="L76" s="147">
        <f>IF(t&lt;Tvie,1-EXP((T0-t)*PertePVj)+'2023'!Pspv,1-EXP((T0-t)*PertePVj)+Pspv)</f>
        <v>4.4828598300226008E-2</v>
      </c>
      <c r="M76" s="845"/>
      <c r="N76" s="845"/>
      <c r="O76" s="48">
        <f>IF(t&lt;Tnet,'2023'!Resal+('2023'!Salim-'2023'!Resal)*(1-EXP(('2023'!Tnet-t)/('2023'!Tau_j))),Resal+(Salim-Resal)*(1-EXP((Tnet-t)/(Tau_j))))*Salcycl</f>
        <v>7.0265888322596975E-2</v>
      </c>
      <c r="P76" s="169">
        <f>(INDEX(Models!$BJ76:$BT76,,T76)*(1-R76)+INDEX(Models!$BJ76:$BT76,,T76+1)*R76-ERP_i)*Q76*Ramure*Pc/MaxiM</f>
        <v>2.8907255095221573E-4</v>
      </c>
      <c r="Q76" s="305">
        <f t="shared" si="4"/>
        <v>0.5</v>
      </c>
      <c r="R76" s="177">
        <f t="shared" si="5"/>
        <v>5.1149104749803609E-3</v>
      </c>
      <c r="S76" s="811">
        <f t="shared" si="6"/>
        <v>1</v>
      </c>
      <c r="T76" s="176">
        <f t="shared" si="7"/>
        <v>7</v>
      </c>
      <c r="U76" s="251">
        <f t="shared" si="8"/>
        <v>1.0051149104749804</v>
      </c>
      <c r="V76" s="383">
        <f t="shared" si="9"/>
        <v>39.71526532815205</v>
      </c>
      <c r="W76" s="402">
        <f t="shared" si="10"/>
        <v>33.893491626148112</v>
      </c>
      <c r="X76" s="157">
        <f t="shared" si="11"/>
        <v>45353</v>
      </c>
      <c r="Y76" s="385">
        <f t="shared" si="12"/>
        <v>33.17150831379459</v>
      </c>
      <c r="Z76" s="385">
        <f t="shared" si="22"/>
        <v>34.728330700400235</v>
      </c>
      <c r="AA76" s="386">
        <f t="shared" si="13"/>
        <v>38.165963861437021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9.0070649689792739E-2</v>
      </c>
      <c r="AD76" s="231">
        <f>(INDEX(Models!$BJ76:$BT76,,AH76)*(1-AF76)+INDEX(Models!$BJ76:$BT76,,AH76+1)*AF76-ERP_i)*AE76*Ramure*Pc/MaxiM</f>
        <v>2.8907255095221573E-4</v>
      </c>
      <c r="AE76" s="305">
        <f t="shared" si="15"/>
        <v>0.5</v>
      </c>
      <c r="AF76" s="177">
        <f t="shared" si="23"/>
        <v>5.1149104749803609E-3</v>
      </c>
      <c r="AG76" s="811">
        <f t="shared" si="24"/>
        <v>1</v>
      </c>
      <c r="AH76" s="176">
        <f t="shared" si="16"/>
        <v>7</v>
      </c>
      <c r="AI76" s="225">
        <f t="shared" si="17"/>
        <v>1.0051149104749804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'2023'!Wh/'2023'!Env_an*'2024'!Env_an</f>
        <v>3.8984989482062917</v>
      </c>
      <c r="C77" s="841"/>
      <c r="D77" s="393">
        <f t="shared" si="0"/>
        <v>4.0815547139194166</v>
      </c>
      <c r="E77" s="385">
        <f t="shared" si="1"/>
        <v>4.3901993959433829</v>
      </c>
      <c r="F77" s="385">
        <f t="shared" si="2"/>
        <v>4.3901993959433829</v>
      </c>
      <c r="G77" s="110">
        <f t="shared" si="21"/>
        <v>9.7341165166570695E-2</v>
      </c>
      <c r="H77" s="414" t="b">
        <f>Wh_hp&gt;='2023'!Maxi_hp</f>
        <v>0</v>
      </c>
      <c r="I77" s="390">
        <f>IF(H77,Wh_hp,'2023'!Maxi_hp)</f>
        <v>30.286197485540761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4.4849519005305982E-2</v>
      </c>
      <c r="M77" s="845"/>
      <c r="N77" s="845"/>
      <c r="O77" s="48">
        <f>IF(t&lt;Tnet,'2023'!Resal+('2023'!Salim-'2023'!Resal)*(1-EXP(('2023'!Tnet-t)/('2023'!Tau_j))),Resal+(Salim-Resal)*(1-EXP((Tnet-t)/(Tau_j))))*Salcycl</f>
        <v>7.03031124985255E-2</v>
      </c>
      <c r="P77" s="169">
        <f>(INDEX(Models!$BJ77:$BT77,,T77)*(1-R77)+INDEX(Models!$BJ77:$BT77,,T77+1)*R77-ERP_i)*Q77*Ramure*Pc/MaxiM</f>
        <v>2.8244909224340686E-4</v>
      </c>
      <c r="Q77" s="305">
        <f t="shared" si="4"/>
        <v>0.5</v>
      </c>
      <c r="R77" s="177">
        <f t="shared" si="5"/>
        <v>5.4620550200785711E-3</v>
      </c>
      <c r="S77" s="811">
        <f t="shared" si="6"/>
        <v>1</v>
      </c>
      <c r="T77" s="176">
        <f t="shared" si="7"/>
        <v>7</v>
      </c>
      <c r="U77" s="251">
        <f t="shared" si="8"/>
        <v>1.0054620550200786</v>
      </c>
      <c r="V77" s="383">
        <f t="shared" si="9"/>
        <v>40.038536769598061</v>
      </c>
      <c r="W77" s="402">
        <f t="shared" si="10"/>
        <v>3.8984989482062917</v>
      </c>
      <c r="X77" s="157">
        <f t="shared" si="11"/>
        <v>45354</v>
      </c>
      <c r="Y77" s="385">
        <f t="shared" si="12"/>
        <v>3.8155263498103276</v>
      </c>
      <c r="Z77" s="385">
        <f t="shared" si="22"/>
        <v>3.9946860999712182</v>
      </c>
      <c r="AA77" s="386">
        <f t="shared" si="13"/>
        <v>4.3901993959433829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9.0090052934184636E-2</v>
      </c>
      <c r="AD77" s="231">
        <f>(INDEX(Models!$BJ77:$BT77,,AH77)*(1-AF77)+INDEX(Models!$BJ77:$BT77,,AH77+1)*AF77-ERP_i)*AE77*Ramure*Pc/MaxiM</f>
        <v>2.8244909224340686E-4</v>
      </c>
      <c r="AE77" s="305">
        <f t="shared" si="15"/>
        <v>0.5</v>
      </c>
      <c r="AF77" s="177">
        <f t="shared" si="23"/>
        <v>5.4620550200785711E-3</v>
      </c>
      <c r="AG77" s="811">
        <f t="shared" si="24"/>
        <v>1</v>
      </c>
      <c r="AH77" s="176">
        <f t="shared" si="16"/>
        <v>7</v>
      </c>
      <c r="AI77" s="225">
        <f t="shared" si="17"/>
        <v>1.0054620550200786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'2023'!Wh/'2023'!Env_an*'2024'!Env_an</f>
        <v>12.906382004220237</v>
      </c>
      <c r="C78" s="841"/>
      <c r="D78" s="393">
        <f t="shared" si="0"/>
        <v>13.512702919711771</v>
      </c>
      <c r="E78" s="385">
        <f t="shared" si="1"/>
        <v>14.535107144405236</v>
      </c>
      <c r="F78" s="385">
        <f t="shared" si="2"/>
        <v>14.535219456559149</v>
      </c>
      <c r="G78" s="110">
        <f t="shared" si="21"/>
        <v>0.3196900462440187</v>
      </c>
      <c r="H78" s="414" t="b">
        <f>Wh_hp&gt;='2023'!Maxi_hp</f>
        <v>0</v>
      </c>
      <c r="I78" s="390">
        <f>IF(H78,Wh_hp,'2023'!Maxi_hp)</f>
        <v>44.531611979407565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4.4870439252168937E-2</v>
      </c>
      <c r="M78" s="845"/>
      <c r="N78" s="845"/>
      <c r="O78" s="48">
        <f>IF(t&lt;Tnet,'2023'!Resal+('2023'!Salim-'2023'!Resal)*(1-EXP(('2023'!Tnet-t)/('2023'!Tau_j))),Resal+(Salim-Resal)*(1-EXP((Tnet-t)/(Tau_j))))*Salcycl</f>
        <v>7.0340329420069181E-2</v>
      </c>
      <c r="P78" s="169">
        <f>(INDEX(Models!$BJ78:$BT78,,T78)*(1-R78)+INDEX(Models!$BJ78:$BT78,,T78+1)*R78-ERP_i)*Q78*Ramure*Pc/MaxiM</f>
        <v>2.7351794632062628E-4</v>
      </c>
      <c r="Q78" s="305">
        <f t="shared" si="4"/>
        <v>0.5</v>
      </c>
      <c r="R78" s="177">
        <f t="shared" si="5"/>
        <v>5.8232426919742064E-3</v>
      </c>
      <c r="S78" s="811">
        <f t="shared" si="6"/>
        <v>1</v>
      </c>
      <c r="T78" s="176">
        <f t="shared" si="7"/>
        <v>7</v>
      </c>
      <c r="U78" s="251">
        <f t="shared" si="8"/>
        <v>1.0058232426919742</v>
      </c>
      <c r="V78" s="383">
        <f t="shared" si="9"/>
        <v>40.360817387033045</v>
      </c>
      <c r="W78" s="402">
        <f t="shared" si="10"/>
        <v>12.906382004220237</v>
      </c>
      <c r="X78" s="157">
        <f t="shared" si="11"/>
        <v>45355</v>
      </c>
      <c r="Y78" s="385">
        <f t="shared" si="12"/>
        <v>12.631928767522748</v>
      </c>
      <c r="Z78" s="385">
        <f t="shared" si="22"/>
        <v>13.225356314626485</v>
      </c>
      <c r="AA78" s="386">
        <f t="shared" si="13"/>
        <v>14.535107144405236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9.0109471967868629E-2</v>
      </c>
      <c r="AD78" s="231">
        <f>(INDEX(Models!$BJ78:$BT78,,AH78)*(1-AF78)+INDEX(Models!$BJ78:$BT78,,AH78+1)*AF78-ERP_i)*AE78*Ramure*Pc/MaxiM</f>
        <v>2.7351794632062628E-4</v>
      </c>
      <c r="AE78" s="305">
        <f t="shared" si="15"/>
        <v>0.5</v>
      </c>
      <c r="AF78" s="177">
        <f t="shared" si="23"/>
        <v>5.8232426919742064E-3</v>
      </c>
      <c r="AG78" s="811">
        <f t="shared" si="24"/>
        <v>1</v>
      </c>
      <c r="AH78" s="176">
        <f t="shared" si="16"/>
        <v>7</v>
      </c>
      <c r="AI78" s="225">
        <f t="shared" si="17"/>
        <v>1.0058232426919742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'2023'!Wh/'2023'!Env_an*'2024'!Env_an</f>
        <v>15.421107568236993</v>
      </c>
      <c r="C79" s="841"/>
      <c r="D79" s="393">
        <f t="shared" ref="D79:D142" si="25">Wh/(1-Ppv)</f>
        <v>16.145919853421308</v>
      </c>
      <c r="E79" s="385">
        <f t="shared" si="1"/>
        <v>17.368255123284314</v>
      </c>
      <c r="F79" s="385">
        <f t="shared" ref="F79:F142" si="26">Wh_sa/(1-Pvg*MEDIAN((-Sdif+Wh/Env_an)/Csdif,0,1))</f>
        <v>17.368769698114949</v>
      </c>
      <c r="G79" s="110">
        <f t="shared" si="21"/>
        <v>0.37896758652555779</v>
      </c>
      <c r="H79" s="414" t="b">
        <f>Wh_hp&gt;='2023'!Maxi_hp</f>
        <v>0</v>
      </c>
      <c r="I79" s="390">
        <f>IF(H79,Wh_hp,'2023'!Maxi_hp)</f>
        <v>23.382336400970807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4.4891359040824641E-2</v>
      </c>
      <c r="M79" s="845"/>
      <c r="N79" s="845"/>
      <c r="O79" s="48">
        <f>IF(t&lt;Tnet,'2023'!Resal+('2023'!Salim-'2023'!Resal)*(1-EXP(('2023'!Tnet-t)/('2023'!Tau_j))),Resal+(Salim-Resal)*(1-EXP((Tnet-t)/(Tau_j))))*Salcycl</f>
        <v>7.0377551526423193E-2</v>
      </c>
      <c r="P79" s="169">
        <f>(INDEX(Models!$BJ79:$BT79,,T79)*(1-R79)+INDEX(Models!$BJ79:$BT79,,T79+1)*R79-ERP_i)*Q79*Ramure*Pc/MaxiM</f>
        <v>2.6232749265000073E-4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6.1990193018723883E-3</v>
      </c>
      <c r="S79" s="811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1.0061990193018724</v>
      </c>
      <c r="V79" s="383">
        <f t="shared" ref="V79:V142" si="33">MaxiM*(1-Ppv)*(1-Pvg)*(1-Psa)</f>
        <v>40.682948891014355</v>
      </c>
      <c r="W79" s="402">
        <f t="shared" ref="W79:W142" si="34">Wh*(A79&gt;Tmaj)</f>
        <v>15.421107568236993</v>
      </c>
      <c r="X79" s="157">
        <f t="shared" ref="X79:X142" si="35">t</f>
        <v>45356</v>
      </c>
      <c r="Y79" s="385">
        <f t="shared" ref="Y79:Y142" si="36">Wh_pvt_s*(1-Ppv)</f>
        <v>15.093460554653721</v>
      </c>
      <c r="Z79" s="385">
        <f t="shared" ref="Z79:Z142" si="37">Wh_sa_s*(1-Psa_s)</f>
        <v>15.802873000390818</v>
      </c>
      <c r="AA79" s="386">
        <f t="shared" ref="AA79:AA142" si="38">Wh_hp*(1-Pvg_s*MEDIAN((-Sdif+Wh/Env_an)/Csdif,0,1))</f>
        <v>17.368255123284314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9.0128922668512926E-2</v>
      </c>
      <c r="AD79" s="231">
        <f>(INDEX(Models!$BJ79:$BT79,,AH79)*(1-AF79)+INDEX(Models!$BJ79:$BT79,,AH79+1)*AF79-ERP_i)*AE79*Ramure*Pc/MaxiM</f>
        <v>2.6232749265000073E-4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6.1990193018723883E-3</v>
      </c>
      <c r="AG79" s="811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1.0061990193018724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'2023'!Wh/'2023'!Env_an*'2024'!Env_an</f>
        <v>36.020201104824594</v>
      </c>
      <c r="C80" s="841"/>
      <c r="D80" s="393">
        <f t="shared" si="25"/>
        <v>37.714023842123254</v>
      </c>
      <c r="E80" s="385">
        <f t="shared" ref="E80:E143" si="47">Wh_pvt/(1-Psa)</f>
        <v>40.570808940595931</v>
      </c>
      <c r="F80" s="385">
        <f t="shared" si="26"/>
        <v>40.579165236107109</v>
      </c>
      <c r="G80" s="110">
        <f t="shared" ref="G80:G143" si="48">+Wh_hp/MaxiM</f>
        <v>0.87837867091186983</v>
      </c>
      <c r="H80" s="414" t="b">
        <f>Wh_hp&gt;='2023'!Maxi_hp</f>
        <v>0</v>
      </c>
      <c r="I80" s="390">
        <f>IF(H80,Wh_hp,'2023'!Maxi_hp)</f>
        <v>42.685529835046331</v>
      </c>
      <c r="J80" s="85">
        <f>IF(H80,An,'2023'!An_max)</f>
        <v>2019</v>
      </c>
      <c r="K80" s="197">
        <f t="shared" si="27"/>
        <v>45357</v>
      </c>
      <c r="L80" s="147">
        <f>IF(t&lt;Tvie,1-EXP((T0-t)*PertePVj)+'2023'!Pspv,1-EXP((T0-t)*PertePVj)+Pspv)</f>
        <v>4.4912278371283421E-2</v>
      </c>
      <c r="M80" s="845"/>
      <c r="N80" s="845"/>
      <c r="O80" s="48">
        <f>IF(t&lt;Tnet,'2023'!Resal+('2023'!Salim-'2023'!Resal)*(1-EXP(('2023'!Tnet-t)/('2023'!Tau_j))),Resal+(Salim-Resal)*(1-EXP((Tnet-t)/(Tau_j))))*Salcycl</f>
        <v>7.0414792632200199E-2</v>
      </c>
      <c r="P80" s="169">
        <f>(INDEX(Models!$BJ80:$BT80,,T80)*(1-R80)+INDEX(Models!$BJ80:$BT80,,T80+1)*R80-ERP_i)*Q80*Ramure*Pc/MaxiM</f>
        <v>2.492113951982257E-4</v>
      </c>
      <c r="Q80" s="305">
        <f t="shared" si="28"/>
        <v>0.5</v>
      </c>
      <c r="R80" s="177">
        <f t="shared" si="29"/>
        <v>6.5899500063080207E-3</v>
      </c>
      <c r="S80" s="811">
        <f t="shared" si="30"/>
        <v>1</v>
      </c>
      <c r="T80" s="176">
        <f t="shared" si="31"/>
        <v>7</v>
      </c>
      <c r="U80" s="251">
        <f t="shared" si="32"/>
        <v>1.006589950006308</v>
      </c>
      <c r="V80" s="383">
        <f t="shared" si="33"/>
        <v>41.005824502857052</v>
      </c>
      <c r="W80" s="402">
        <f t="shared" si="34"/>
        <v>36.020201104824594</v>
      </c>
      <c r="X80" s="157">
        <f t="shared" si="35"/>
        <v>45357</v>
      </c>
      <c r="Y80" s="385">
        <f t="shared" si="36"/>
        <v>35.255548960714641</v>
      </c>
      <c r="Z80" s="385">
        <f t="shared" si="37"/>
        <v>36.913414508766955</v>
      </c>
      <c r="AA80" s="386">
        <f t="shared" si="38"/>
        <v>40.570808940595931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9.0148422654923177E-2</v>
      </c>
      <c r="AD80" s="231">
        <f>(INDEX(Models!$BJ80:$BT80,,AH80)*(1-AF80)+INDEX(Models!$BJ80:$BT80,,AH80+1)*AF80-ERP_i)*AE80*Ramure*Pc/MaxiM</f>
        <v>2.492113951982257E-4</v>
      </c>
      <c r="AE80" s="305">
        <f t="shared" si="40"/>
        <v>0.5</v>
      </c>
      <c r="AF80" s="177">
        <f t="shared" si="41"/>
        <v>6.5899500063080207E-3</v>
      </c>
      <c r="AG80" s="811">
        <f t="shared" ref="AG80:AG143" si="49">INDEX(Echel_vg,AH80)</f>
        <v>1</v>
      </c>
      <c r="AH80" s="176">
        <f t="shared" si="42"/>
        <v>7</v>
      </c>
      <c r="AI80" s="225">
        <f t="shared" si="43"/>
        <v>1.006589950006308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'2023'!Wh/'2023'!Env_an*'2024'!Env_an</f>
        <v>31.130029645753385</v>
      </c>
      <c r="C81" s="841"/>
      <c r="D81" s="393">
        <f t="shared" si="25"/>
        <v>32.594609671185445</v>
      </c>
      <c r="E81" s="385">
        <f t="shared" si="47"/>
        <v>35.065012298482046</v>
      </c>
      <c r="F81" s="385">
        <f t="shared" si="26"/>
        <v>35.070348098118856</v>
      </c>
      <c r="G81" s="110">
        <f t="shared" si="48"/>
        <v>0.75315841204992018</v>
      </c>
      <c r="H81" s="414" t="b">
        <f>Wh_hp&gt;='2023'!Maxi_hp</f>
        <v>0</v>
      </c>
      <c r="I81" s="390">
        <f>IF(H81,Wh_hp,'2023'!Maxi_hp)</f>
        <v>35.07193791062771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4.4933197243555045E-2</v>
      </c>
      <c r="M81" s="845"/>
      <c r="N81" s="845"/>
      <c r="O81" s="48">
        <f>IF(t&lt;Tnet,'2023'!Resal+('2023'!Salim-'2023'!Resal)*(1-EXP(('2023'!Tnet-t)/('2023'!Tau_j))),Resal+(Salim-Resal)*(1-EXP((Tnet-t)/(Tau_j))))*Salcycl</f>
        <v>7.0452067897992507E-2</v>
      </c>
      <c r="P81" s="169">
        <f>(INDEX(Models!$BJ81:$BT81,,T81)*(1-R81)+INDEX(Models!$BJ81:$BT81,,T81+1)*R81-ERP_i)*Q81*Ramure*Pc/MaxiM</f>
        <v>2.3498904887631002E-4</v>
      </c>
      <c r="Q81" s="305">
        <f t="shared" si="28"/>
        <v>0.5</v>
      </c>
      <c r="R81" s="177">
        <f t="shared" si="29"/>
        <v>6.9966198345181585E-3</v>
      </c>
      <c r="S81" s="811">
        <f t="shared" si="30"/>
        <v>1</v>
      </c>
      <c r="T81" s="176">
        <f t="shared" si="31"/>
        <v>7</v>
      </c>
      <c r="U81" s="251">
        <f t="shared" si="32"/>
        <v>1.0069966198345182</v>
      </c>
      <c r="V81" s="383">
        <f t="shared" si="33"/>
        <v>41.329220834180639</v>
      </c>
      <c r="W81" s="402">
        <f t="shared" si="34"/>
        <v>31.130029645753385</v>
      </c>
      <c r="X81" s="157">
        <f t="shared" si="35"/>
        <v>45358</v>
      </c>
      <c r="Y81" s="385">
        <f t="shared" si="36"/>
        <v>30.469754626958814</v>
      </c>
      <c r="Z81" s="385">
        <f t="shared" si="37"/>
        <v>31.903270576486591</v>
      </c>
      <c r="AA81" s="386">
        <f t="shared" si="38"/>
        <v>35.065012298482046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9.0167991246714208E-2</v>
      </c>
      <c r="AD81" s="231">
        <f>(INDEX(Models!$BJ81:$BT81,,AH81)*(1-AF81)+INDEX(Models!$BJ81:$BT81,,AH81+1)*AF81-ERP_i)*AE81*Ramure*Pc/MaxiM</f>
        <v>2.3498904887631002E-4</v>
      </c>
      <c r="AE81" s="305">
        <f t="shared" si="40"/>
        <v>0.5</v>
      </c>
      <c r="AF81" s="177">
        <f t="shared" si="41"/>
        <v>6.9966198345181585E-3</v>
      </c>
      <c r="AG81" s="811">
        <f t="shared" si="49"/>
        <v>1</v>
      </c>
      <c r="AH81" s="176">
        <f t="shared" si="42"/>
        <v>7</v>
      </c>
      <c r="AI81" s="225">
        <f t="shared" si="43"/>
        <v>1.0069966198345182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'2023'!Wh/'2023'!Env_an*'2024'!Env_an</f>
        <v>27.778051439134515</v>
      </c>
      <c r="C82" s="841"/>
      <c r="D82" s="393">
        <f t="shared" si="25"/>
        <v>29.085567400002599</v>
      </c>
      <c r="E82" s="385">
        <f t="shared" si="47"/>
        <v>31.291270057351756</v>
      </c>
      <c r="F82" s="385">
        <f t="shared" si="26"/>
        <v>31.294873469954499</v>
      </c>
      <c r="G82" s="110">
        <f t="shared" si="48"/>
        <v>0.66682310568087433</v>
      </c>
      <c r="H82" s="414" t="b">
        <f>Wh_hp&gt;='2023'!Maxi_hp</f>
        <v>0</v>
      </c>
      <c r="I82" s="390">
        <f>IF(H82,Wh_hp,'2023'!Maxi_hp)</f>
        <v>44.010087492548095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4.4954115657649729E-2</v>
      </c>
      <c r="M82" s="845"/>
      <c r="N82" s="845"/>
      <c r="O82" s="48">
        <f>IF(t&lt;Tnet,'2023'!Resal+('2023'!Salim-'2023'!Resal)*(1-EXP(('2023'!Tnet-t)/('2023'!Tau_j))),Resal+(Salim-Resal)*(1-EXP((Tnet-t)/(Tau_j))))*Salcycl</f>
        <v>7.0489393792788346E-2</v>
      </c>
      <c r="P82" s="169">
        <f>(INDEX(Models!$BJ82:$BT82,,T82)*(1-R82)+INDEX(Models!$BJ82:$BT82,,T82+1)*R82-ERP_i)*Q82*Ramure*Pc/MaxiM</f>
        <v>2.1968459666838418E-4</v>
      </c>
      <c r="Q82" s="305">
        <f t="shared" si="28"/>
        <v>0.5</v>
      </c>
      <c r="R82" s="177">
        <f t="shared" si="29"/>
        <v>7.419634216105031E-3</v>
      </c>
      <c r="S82" s="811">
        <f t="shared" si="30"/>
        <v>1</v>
      </c>
      <c r="T82" s="176">
        <f t="shared" si="31"/>
        <v>7</v>
      </c>
      <c r="U82" s="251">
        <f t="shared" si="32"/>
        <v>1.007419634216105</v>
      </c>
      <c r="V82" s="383">
        <f t="shared" si="33"/>
        <v>41.652946531403224</v>
      </c>
      <c r="W82" s="402">
        <f t="shared" si="34"/>
        <v>27.778051439134515</v>
      </c>
      <c r="X82" s="157">
        <f t="shared" si="35"/>
        <v>45359</v>
      </c>
      <c r="Y82" s="385">
        <f t="shared" si="36"/>
        <v>27.189376975128024</v>
      </c>
      <c r="Z82" s="385">
        <f t="shared" si="37"/>
        <v>28.469183963711622</v>
      </c>
      <c r="AA82" s="386">
        <f t="shared" si="38"/>
        <v>31.291270057351756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9.0187649413645224E-2</v>
      </c>
      <c r="AD82" s="231">
        <f>(INDEX(Models!$BJ82:$BT82,,AH82)*(1-AF82)+INDEX(Models!$BJ82:$BT82,,AH82+1)*AF82-ERP_i)*AE82*Ramure*Pc/MaxiM</f>
        <v>2.1968459666838418E-4</v>
      </c>
      <c r="AE82" s="305">
        <f t="shared" si="40"/>
        <v>0.5</v>
      </c>
      <c r="AF82" s="177">
        <f t="shared" si="41"/>
        <v>7.419634216105031E-3</v>
      </c>
      <c r="AG82" s="811">
        <f t="shared" si="49"/>
        <v>1</v>
      </c>
      <c r="AH82" s="176">
        <f t="shared" si="42"/>
        <v>7</v>
      </c>
      <c r="AI82" s="225">
        <f t="shared" si="43"/>
        <v>1.007419634216105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'2023'!Wh/'2023'!Env_an*'2024'!Env_an</f>
        <v>24.131574235219659</v>
      </c>
      <c r="C83" s="841"/>
      <c r="D83" s="393">
        <f t="shared" si="25"/>
        <v>25.268003543957128</v>
      </c>
      <c r="E83" s="385">
        <f t="shared" si="47"/>
        <v>27.18529508872226</v>
      </c>
      <c r="F83" s="385">
        <f t="shared" si="26"/>
        <v>27.187465757481828</v>
      </c>
      <c r="G83" s="110">
        <f t="shared" si="48"/>
        <v>0.57480771170595724</v>
      </c>
      <c r="H83" s="414" t="b">
        <f>Wh_hp&gt;='2023'!Maxi_hp</f>
        <v>0</v>
      </c>
      <c r="I83" s="390">
        <f>IF(H83,Wh_hp,'2023'!Maxi_hp)</f>
        <v>43.468612982947825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4.4975033613577575E-2</v>
      </c>
      <c r="M83" s="845"/>
      <c r="N83" s="845"/>
      <c r="O83" s="48">
        <f>IF(t&lt;Tnet,'2023'!Resal+('2023'!Salim-'2023'!Resal)*(1-EXP(('2023'!Tnet-t)/('2023'!Tau_j))),Resal+(Salim-Resal)*(1-EXP((Tnet-t)/(Tau_j))))*Salcycl</f>
        <v>7.0526788048753328E-2</v>
      </c>
      <c r="P83" s="169">
        <f>(INDEX(Models!$BJ83:$BT83,,T83)*(1-R83)+INDEX(Models!$BJ83:$BT83,,T83+1)*R83-ERP_i)*Q83*Ramure*Pc/MaxiM</f>
        <v>2.0332078370042866E-4</v>
      </c>
      <c r="Q83" s="305">
        <f t="shared" si="28"/>
        <v>0.5</v>
      </c>
      <c r="R83" s="177">
        <f t="shared" si="29"/>
        <v>7.8596195074416286E-3</v>
      </c>
      <c r="S83" s="811">
        <f t="shared" si="30"/>
        <v>1</v>
      </c>
      <c r="T83" s="176">
        <f t="shared" si="31"/>
        <v>7</v>
      </c>
      <c r="U83" s="251">
        <f t="shared" si="32"/>
        <v>1.0078596195074416</v>
      </c>
      <c r="V83" s="383">
        <f t="shared" si="33"/>
        <v>41.976810225914008</v>
      </c>
      <c r="W83" s="402">
        <f t="shared" si="34"/>
        <v>24.131574235219659</v>
      </c>
      <c r="X83" s="157">
        <f t="shared" si="35"/>
        <v>45360</v>
      </c>
      <c r="Y83" s="385">
        <f t="shared" si="36"/>
        <v>23.620613168294291</v>
      </c>
      <c r="Z83" s="385">
        <f t="shared" si="37"/>
        <v>24.732979764569748</v>
      </c>
      <c r="AA83" s="386">
        <f t="shared" si="38"/>
        <v>27.18529508872226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9.020741971529482E-2</v>
      </c>
      <c r="AD83" s="231">
        <f>(INDEX(Models!$BJ83:$BT83,,AH83)*(1-AF83)+INDEX(Models!$BJ83:$BT83,,AH83+1)*AF83-ERP_i)*AE83*Ramure*Pc/MaxiM</f>
        <v>2.0332078370042866E-4</v>
      </c>
      <c r="AE83" s="305">
        <f t="shared" si="40"/>
        <v>0.5</v>
      </c>
      <c r="AF83" s="177">
        <f t="shared" si="41"/>
        <v>7.8596195074416286E-3</v>
      </c>
      <c r="AG83" s="811">
        <f t="shared" si="49"/>
        <v>1</v>
      </c>
      <c r="AH83" s="176">
        <f t="shared" si="42"/>
        <v>7</v>
      </c>
      <c r="AI83" s="225">
        <f t="shared" si="43"/>
        <v>1.0078596195074416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'2023'!Wh/'2023'!Env_an*'2024'!Env_an</f>
        <v>15.312866880021426</v>
      </c>
      <c r="C84" s="841"/>
      <c r="D84" s="393">
        <f t="shared" si="25"/>
        <v>16.034347600767948</v>
      </c>
      <c r="E84" s="385">
        <f t="shared" si="47"/>
        <v>17.251701302705012</v>
      </c>
      <c r="F84" s="385">
        <f t="shared" si="26"/>
        <v>17.251985397480112</v>
      </c>
      <c r="G84" s="110">
        <f t="shared" si="48"/>
        <v>0.36193965606456591</v>
      </c>
      <c r="H84" s="414" t="b">
        <f>Wh_hp&gt;='2023'!Maxi_hp</f>
        <v>0</v>
      </c>
      <c r="I84" s="390">
        <f>IF(H84,Wh_hp,'2023'!Maxi_hp)</f>
        <v>34.137173352401021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4.4995951111348353E-2</v>
      </c>
      <c r="M84" s="845"/>
      <c r="N84" s="845"/>
      <c r="O84" s="48">
        <f>IF(t&lt;Tnet,'2023'!Resal+('2023'!Salim-'2023'!Resal)*(1-EXP(('2023'!Tnet-t)/('2023'!Tau_j))),Resal+(Salim-Resal)*(1-EXP((Tnet-t)/(Tau_j))))*Salcycl</f>
        <v>7.0564269608945004E-2</v>
      </c>
      <c r="P84" s="169">
        <f>(INDEX(Models!$BJ84:$BT84,,T84)*(1-R84)+INDEX(Models!$BJ84:$BT84,,T84+1)*R84-ERP_i)*Q84*Ramure*Pc/MaxiM</f>
        <v>1.85918890756067E-4</v>
      </c>
      <c r="Q84" s="305">
        <f t="shared" si="28"/>
        <v>0.5</v>
      </c>
      <c r="R84" s="177">
        <f t="shared" si="29"/>
        <v>8.3172235151065532E-3</v>
      </c>
      <c r="S84" s="811">
        <f t="shared" si="30"/>
        <v>1</v>
      </c>
      <c r="T84" s="176">
        <f t="shared" si="31"/>
        <v>7</v>
      </c>
      <c r="U84" s="251">
        <f t="shared" si="32"/>
        <v>1.0083172235151066</v>
      </c>
      <c r="V84" s="383">
        <f t="shared" si="33"/>
        <v>42.300620537514106</v>
      </c>
      <c r="W84" s="402">
        <f t="shared" si="34"/>
        <v>15.312866880021426</v>
      </c>
      <c r="X84" s="157">
        <f t="shared" si="35"/>
        <v>45361</v>
      </c>
      <c r="Y84" s="385">
        <f t="shared" si="36"/>
        <v>14.988909280076621</v>
      </c>
      <c r="Z84" s="385">
        <f t="shared" si="37"/>
        <v>15.695126421211903</v>
      </c>
      <c r="AA84" s="386">
        <f t="shared" si="38"/>
        <v>17.251701302705012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9.0227326231821725E-2</v>
      </c>
      <c r="AD84" s="231">
        <f>(INDEX(Models!$BJ84:$BT84,,AH84)*(1-AF84)+INDEX(Models!$BJ84:$BT84,,AH84+1)*AF84-ERP_i)*AE84*Ramure*Pc/MaxiM</f>
        <v>1.85918890756067E-4</v>
      </c>
      <c r="AE84" s="305">
        <f t="shared" si="40"/>
        <v>0.5</v>
      </c>
      <c r="AF84" s="177">
        <f t="shared" si="41"/>
        <v>8.3172235151065532E-3</v>
      </c>
      <c r="AG84" s="811">
        <f t="shared" si="49"/>
        <v>1</v>
      </c>
      <c r="AH84" s="176">
        <f t="shared" si="42"/>
        <v>7</v>
      </c>
      <c r="AI84" s="225">
        <f t="shared" si="43"/>
        <v>1.0083172235151066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'2023'!Wh/'2023'!Env_an*'2024'!Env_an</f>
        <v>14.228340124319502</v>
      </c>
      <c r="C85" s="841"/>
      <c r="D85" s="393">
        <f t="shared" si="25"/>
        <v>14.899048632168768</v>
      </c>
      <c r="E85" s="385">
        <f t="shared" si="47"/>
        <v>16.030856925560229</v>
      </c>
      <c r="F85" s="385">
        <f t="shared" si="26"/>
        <v>16.030986615670013</v>
      </c>
      <c r="G85" s="110">
        <f t="shared" si="48"/>
        <v>0.33375586242429739</v>
      </c>
      <c r="H85" s="414" t="b">
        <f>Wh_hp&gt;='2023'!Maxi_hp</f>
        <v>0</v>
      </c>
      <c r="I85" s="390">
        <f>IF(H85,Wh_hp,'2023'!Maxi_hp)</f>
        <v>42.294025676295831</v>
      </c>
      <c r="J85" s="85">
        <f>IF(H85,An,'2023'!An_max)</f>
        <v>2019</v>
      </c>
      <c r="K85" s="197">
        <f t="shared" si="27"/>
        <v>45362</v>
      </c>
      <c r="L85" s="147">
        <f>IF(t&lt;Tvie,1-EXP((T0-t)*PertePVj)+'2023'!Pspv,1-EXP((T0-t)*PertePVj)+Pspv)</f>
        <v>4.5016868150972278E-2</v>
      </c>
      <c r="M85" s="845"/>
      <c r="N85" s="845"/>
      <c r="O85" s="48">
        <f>IF(t&lt;Tnet,'2023'!Resal+('2023'!Salim-'2023'!Resal)*(1-EXP(('2023'!Tnet-t)/('2023'!Tau_j))),Resal+(Salim-Resal)*(1-EXP((Tnet-t)/(Tau_j))))*Salcycl</f>
        <v>7.0601858568574954E-2</v>
      </c>
      <c r="P85" s="169">
        <f>(INDEX(Models!$BJ85:$BT85,,T85)*(1-R85)+INDEX(Models!$BJ85:$BT85,,T85+1)*R85-ERP_i)*Q85*Ramure*Pc/MaxiM</f>
        <v>1.674986682828885E-4</v>
      </c>
      <c r="Q85" s="305">
        <f t="shared" si="28"/>
        <v>0.5</v>
      </c>
      <c r="R85" s="177">
        <f t="shared" si="29"/>
        <v>8.7931160144618659E-3</v>
      </c>
      <c r="S85" s="811">
        <f t="shared" si="30"/>
        <v>1</v>
      </c>
      <c r="T85" s="176">
        <f t="shared" si="31"/>
        <v>7</v>
      </c>
      <c r="U85" s="251">
        <f t="shared" si="32"/>
        <v>1.0087931160144619</v>
      </c>
      <c r="V85" s="383">
        <f t="shared" si="33"/>
        <v>42.624186078344543</v>
      </c>
      <c r="W85" s="402">
        <f t="shared" si="34"/>
        <v>14.228340124319502</v>
      </c>
      <c r="X85" s="157">
        <f t="shared" si="35"/>
        <v>45362</v>
      </c>
      <c r="Y85" s="385">
        <f t="shared" si="36"/>
        <v>13.927582726057532</v>
      </c>
      <c r="Z85" s="385">
        <f t="shared" si="37"/>
        <v>14.584113856640693</v>
      </c>
      <c r="AA85" s="386">
        <f t="shared" si="38"/>
        <v>16.030856925560229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9.0247394486616145E-2</v>
      </c>
      <c r="AD85" s="231">
        <f>(INDEX(Models!$BJ85:$BT85,,AH85)*(1-AF85)+INDEX(Models!$BJ85:$BT85,,AH85+1)*AF85-ERP_i)*AE85*Ramure*Pc/MaxiM</f>
        <v>1.674986682828885E-4</v>
      </c>
      <c r="AE85" s="305">
        <f t="shared" si="40"/>
        <v>0.5</v>
      </c>
      <c r="AF85" s="177">
        <f t="shared" si="41"/>
        <v>8.7931160144618659E-3</v>
      </c>
      <c r="AG85" s="811">
        <f t="shared" si="49"/>
        <v>1</v>
      </c>
      <c r="AH85" s="176">
        <f t="shared" si="42"/>
        <v>7</v>
      </c>
      <c r="AI85" s="225">
        <f t="shared" si="43"/>
        <v>1.0087931160144619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'2023'!Wh/'2023'!Env_an*'2024'!Env_an</f>
        <v>9.6583281491829336</v>
      </c>
      <c r="C86" s="841"/>
      <c r="D86" s="393">
        <f t="shared" si="25"/>
        <v>10.113832772406678</v>
      </c>
      <c r="E86" s="385">
        <f t="shared" si="47"/>
        <v>10.882573124943928</v>
      </c>
      <c r="F86" s="385">
        <f t="shared" si="26"/>
        <v>10.882573124943928</v>
      </c>
      <c r="G86" s="110">
        <f t="shared" si="48"/>
        <v>0.22485451902739509</v>
      </c>
      <c r="H86" s="414" t="b">
        <f>Wh_hp&gt;='2023'!Maxi_hp</f>
        <v>0</v>
      </c>
      <c r="I86" s="390">
        <f>IF(H86,Wh_hp,'2023'!Maxi_hp)</f>
        <v>41.647039184319176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4.5037784732459341E-2</v>
      </c>
      <c r="M86" s="845"/>
      <c r="N86" s="845"/>
      <c r="O86" s="48">
        <f>IF(t&lt;Tnet,'2023'!Resal+('2023'!Salim-'2023'!Resal)*(1-EXP(('2023'!Tnet-t)/('2023'!Tau_j))),Resal+(Salim-Resal)*(1-EXP((Tnet-t)/(Tau_j))))*Salcycl</f>
        <v>7.0639576110471627E-2</v>
      </c>
      <c r="P86" s="169">
        <f>(INDEX(Models!$BJ86:$BT86,,T86)*(1-R86)+INDEX(Models!$BJ86:$BT86,,T86+1)*R86-ERP_i)*Q86*Ramure*Pc/MaxiM</f>
        <v>1.4892089293098006E-4</v>
      </c>
      <c r="Q86" s="305">
        <f t="shared" si="28"/>
        <v>0.5</v>
      </c>
      <c r="R86" s="177">
        <f t="shared" si="29"/>
        <v>9.2879892613075832E-3</v>
      </c>
      <c r="S86" s="811">
        <f t="shared" si="30"/>
        <v>1</v>
      </c>
      <c r="T86" s="176">
        <f t="shared" si="31"/>
        <v>7</v>
      </c>
      <c r="U86" s="251">
        <f t="shared" si="32"/>
        <v>1.0092879892613076</v>
      </c>
      <c r="V86" s="383">
        <f t="shared" si="33"/>
        <v>42.94727926350545</v>
      </c>
      <c r="W86" s="402">
        <f t="shared" si="34"/>
        <v>9.6583281491829336</v>
      </c>
      <c r="X86" s="157">
        <f t="shared" si="35"/>
        <v>45363</v>
      </c>
      <c r="Y86" s="385">
        <f t="shared" si="36"/>
        <v>9.4543444343183047</v>
      </c>
      <c r="Z86" s="385">
        <f t="shared" si="37"/>
        <v>9.9002288081833587</v>
      </c>
      <c r="AA86" s="386">
        <f t="shared" si="38"/>
        <v>10.882573124943928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9.0267651361693138E-2</v>
      </c>
      <c r="AD86" s="231">
        <f>(INDEX(Models!$BJ86:$BT86,,AH86)*(1-AF86)+INDEX(Models!$BJ86:$BT86,,AH86+1)*AF86-ERP_i)*AE86*Ramure*Pc/MaxiM</f>
        <v>1.4892089293098006E-4</v>
      </c>
      <c r="AE86" s="305">
        <f t="shared" si="40"/>
        <v>0.5</v>
      </c>
      <c r="AF86" s="177">
        <f t="shared" si="41"/>
        <v>9.2879892613075832E-3</v>
      </c>
      <c r="AG86" s="811">
        <f t="shared" si="49"/>
        <v>1</v>
      </c>
      <c r="AH86" s="176">
        <f t="shared" si="42"/>
        <v>7</v>
      </c>
      <c r="AI86" s="225">
        <f t="shared" si="43"/>
        <v>1.0092879892613076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'2023'!Wh/'2023'!Env_an*'2024'!Env_an</f>
        <v>13.918653834947145</v>
      </c>
      <c r="C87" s="841"/>
      <c r="D87" s="393">
        <f t="shared" si="25"/>
        <v>14.575402537748719</v>
      </c>
      <c r="E87" s="385">
        <f t="shared" si="47"/>
        <v>15.683900547204509</v>
      </c>
      <c r="F87" s="385">
        <f t="shared" si="26"/>
        <v>15.683964508210158</v>
      </c>
      <c r="G87" s="110">
        <f t="shared" si="48"/>
        <v>0.32163143757402074</v>
      </c>
      <c r="H87" s="414" t="b">
        <f>Wh_hp&gt;='2023'!Maxi_hp</f>
        <v>0</v>
      </c>
      <c r="I87" s="390">
        <f>IF(H87,Wh_hp,'2023'!Maxi_hp)</f>
        <v>41.178376020580401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4.5058700855819644E-2</v>
      </c>
      <c r="M87" s="845"/>
      <c r="N87" s="845"/>
      <c r="O87" s="48">
        <f>IF(t&lt;Tnet,'2023'!Resal+('2023'!Salim-'2023'!Resal)*(1-EXP(('2023'!Tnet-t)/('2023'!Tau_j))),Resal+(Salim-Resal)*(1-EXP((Tnet-t)/(Tau_j))))*Salcycl</f>
        <v>7.0677444435425785E-2</v>
      </c>
      <c r="P87" s="169">
        <f>(INDEX(Models!$BJ87:$BT87,,T87)*(1-R87)+INDEX(Models!$BJ87:$BT87,,T87+1)*R87-ERP_i)*Q87*Ramure*Pc/MaxiM</f>
        <v>1.3171903334815185E-4</v>
      </c>
      <c r="Q87" s="305">
        <f t="shared" si="28"/>
        <v>0.5</v>
      </c>
      <c r="R87" s="177">
        <f t="shared" si="29"/>
        <v>9.8025584943453037E-3</v>
      </c>
      <c r="S87" s="811">
        <f t="shared" si="30"/>
        <v>1</v>
      </c>
      <c r="T87" s="176">
        <f t="shared" si="31"/>
        <v>7</v>
      </c>
      <c r="U87" s="251">
        <f t="shared" si="32"/>
        <v>1.0098025584943453</v>
      </c>
      <c r="V87" s="383">
        <f t="shared" si="33"/>
        <v>43.269642243031001</v>
      </c>
      <c r="W87" s="402">
        <f t="shared" si="34"/>
        <v>13.918653834947145</v>
      </c>
      <c r="X87" s="157">
        <f t="shared" si="35"/>
        <v>45364</v>
      </c>
      <c r="Y87" s="385">
        <f t="shared" si="36"/>
        <v>13.62494066431</v>
      </c>
      <c r="Z87" s="385">
        <f t="shared" si="37"/>
        <v>14.267830574005638</v>
      </c>
      <c r="AA87" s="386">
        <f t="shared" si="38"/>
        <v>15.683900547204509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9.0288125006714057E-2</v>
      </c>
      <c r="AD87" s="231">
        <f>(INDEX(Models!$BJ87:$BT87,,AH87)*(1-AF87)+INDEX(Models!$BJ87:$BT87,,AH87+1)*AF87-ERP_i)*AE87*Ramure*Pc/MaxiM</f>
        <v>1.3171903334815185E-4</v>
      </c>
      <c r="AE87" s="305">
        <f t="shared" si="40"/>
        <v>0.5</v>
      </c>
      <c r="AF87" s="177">
        <f t="shared" si="41"/>
        <v>9.8025584943453037E-3</v>
      </c>
      <c r="AG87" s="811">
        <f t="shared" si="49"/>
        <v>1</v>
      </c>
      <c r="AH87" s="176">
        <f t="shared" si="42"/>
        <v>7</v>
      </c>
      <c r="AI87" s="225">
        <f t="shared" si="43"/>
        <v>1.0098025584943453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'2023'!Wh/'2023'!Env_an*'2024'!Env_an</f>
        <v>13.942020083904808</v>
      </c>
      <c r="C88" s="841"/>
      <c r="D88" s="393">
        <f t="shared" si="25"/>
        <v>14.600191099818883</v>
      </c>
      <c r="E88" s="385">
        <f t="shared" si="47"/>
        <v>15.711217491169871</v>
      </c>
      <c r="F88" s="385">
        <f t="shared" si="26"/>
        <v>15.711269074786827</v>
      </c>
      <c r="G88" s="110">
        <f t="shared" si="48"/>
        <v>0.31980050566802104</v>
      </c>
      <c r="H88" s="414" t="b">
        <f>Wh_hp&gt;='2023'!Maxi_hp</f>
        <v>0</v>
      </c>
      <c r="I88" s="390">
        <f>IF(H88,Wh_hp,'2023'!Maxi_hp)</f>
        <v>31.428093358036886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4.5079616521063182E-2</v>
      </c>
      <c r="M88" s="845"/>
      <c r="N88" s="845"/>
      <c r="O88" s="48">
        <f>IF(t&lt;Tnet,'2023'!Resal+('2023'!Salim-'2023'!Resal)*(1-EXP(('2023'!Tnet-t)/('2023'!Tau_j))),Resal+(Salim-Resal)*(1-EXP((Tnet-t)/(Tau_j))))*Salcycl</f>
        <v>7.0715486688120416E-2</v>
      </c>
      <c r="P88" s="169">
        <f>(INDEX(Models!$BJ88:$BT88,,T88)*(1-R88)+INDEX(Models!$BJ88:$BT88,,T88+1)*R88-ERP_i)*Q88*Ramure*Pc/MaxiM</f>
        <v>1.1585992863226694E-4</v>
      </c>
      <c r="Q88" s="305">
        <f t="shared" si="28"/>
        <v>0.5</v>
      </c>
      <c r="R88" s="177">
        <f t="shared" si="29"/>
        <v>1.0337562425976943E-2</v>
      </c>
      <c r="S88" s="811">
        <f t="shared" si="30"/>
        <v>1</v>
      </c>
      <c r="T88" s="176">
        <f t="shared" si="31"/>
        <v>7</v>
      </c>
      <c r="U88" s="251">
        <f t="shared" si="32"/>
        <v>1.0103375624259769</v>
      </c>
      <c r="V88" s="383">
        <f t="shared" si="33"/>
        <v>43.591083456719403</v>
      </c>
      <c r="W88" s="402">
        <f t="shared" si="34"/>
        <v>13.942020083904808</v>
      </c>
      <c r="X88" s="157">
        <f t="shared" si="35"/>
        <v>45365</v>
      </c>
      <c r="Y88" s="385">
        <f t="shared" si="36"/>
        <v>13.648061680861616</v>
      </c>
      <c r="Z88" s="385">
        <f t="shared" si="37"/>
        <v>14.292355590043449</v>
      </c>
      <c r="AA88" s="386">
        <f t="shared" si="38"/>
        <v>15.711217491169871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9.0308844742545261E-2</v>
      </c>
      <c r="AD88" s="231">
        <f>(INDEX(Models!$BJ88:$BT88,,AH88)*(1-AF88)+INDEX(Models!$BJ88:$BT88,,AH88+1)*AF88-ERP_i)*AE88*Ramure*Pc/MaxiM</f>
        <v>1.1585992863226694E-4</v>
      </c>
      <c r="AE88" s="305">
        <f t="shared" si="40"/>
        <v>0.5</v>
      </c>
      <c r="AF88" s="177">
        <f t="shared" si="41"/>
        <v>1.0337562425976943E-2</v>
      </c>
      <c r="AG88" s="811">
        <f t="shared" si="49"/>
        <v>1</v>
      </c>
      <c r="AH88" s="176">
        <f t="shared" si="42"/>
        <v>7</v>
      </c>
      <c r="AI88" s="225">
        <f t="shared" si="43"/>
        <v>1.0103375624259769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'2023'!Wh/'2023'!Env_an*'2024'!Env_an</f>
        <v>12.56667221581788</v>
      </c>
      <c r="C89" s="841"/>
      <c r="D89" s="393">
        <f t="shared" si="25"/>
        <v>13.160204433416791</v>
      </c>
      <c r="E89" s="385">
        <f t="shared" si="47"/>
        <v>14.162235366542287</v>
      </c>
      <c r="F89" s="385">
        <f t="shared" si="26"/>
        <v>14.162235366542287</v>
      </c>
      <c r="G89" s="110">
        <f t="shared" si="48"/>
        <v>0.28615338684648139</v>
      </c>
      <c r="H89" s="414" t="b">
        <f>Wh_hp&gt;='2023'!Maxi_hp</f>
        <v>0</v>
      </c>
      <c r="I89" s="390">
        <f>IF(H89,Wh_hp,'2023'!Maxi_hp)</f>
        <v>50.491533478793343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4.5100531728199944E-2</v>
      </c>
      <c r="M89" s="845"/>
      <c r="N89" s="845"/>
      <c r="O89" s="48">
        <f>IF(t&lt;Tnet,'2023'!Resal+('2023'!Salim-'2023'!Resal)*(1-EXP(('2023'!Tnet-t)/('2023'!Tau_j))),Resal+(Salim-Resal)*(1-EXP((Tnet-t)/(Tau_j))))*Salcycl</f>
        <v>7.075372687935659E-2</v>
      </c>
      <c r="P89" s="169">
        <f>(INDEX(Models!$BJ89:$BT89,,T89)*(1-R89)+INDEX(Models!$BJ89:$BT89,,T89+1)*R89-ERP_i)*Q89*Ramure*Pc/MaxiM</f>
        <v>1.0131107689258821E-4</v>
      </c>
      <c r="Q89" s="305">
        <f t="shared" si="28"/>
        <v>0.5</v>
      </c>
      <c r="R89" s="177">
        <f t="shared" si="29"/>
        <v>1.0893763718748728E-2</v>
      </c>
      <c r="S89" s="811">
        <f t="shared" si="30"/>
        <v>1</v>
      </c>
      <c r="T89" s="176">
        <f t="shared" si="31"/>
        <v>7</v>
      </c>
      <c r="U89" s="251">
        <f t="shared" si="32"/>
        <v>1.0108937637187487</v>
      </c>
      <c r="V89" s="383">
        <f t="shared" si="33"/>
        <v>43.911411328023028</v>
      </c>
      <c r="W89" s="402">
        <f t="shared" si="34"/>
        <v>12.56667221581788</v>
      </c>
      <c r="X89" s="157">
        <f t="shared" si="35"/>
        <v>45366</v>
      </c>
      <c r="Y89" s="385">
        <f t="shared" si="36"/>
        <v>12.301934421295236</v>
      </c>
      <c r="Z89" s="385">
        <f t="shared" si="37"/>
        <v>12.882962898240557</v>
      </c>
      <c r="AA89" s="386">
        <f t="shared" si="38"/>
        <v>14.162235366542287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9.0329840960273813E-2</v>
      </c>
      <c r="AD89" s="231">
        <f>(INDEX(Models!$BJ89:$BT89,,AH89)*(1-AF89)+INDEX(Models!$BJ89:$BT89,,AH89+1)*AF89-ERP_i)*AE89*Ramure*Pc/MaxiM</f>
        <v>1.0131107689258821E-4</v>
      </c>
      <c r="AE89" s="305">
        <f t="shared" si="40"/>
        <v>0.5</v>
      </c>
      <c r="AF89" s="177">
        <f t="shared" si="41"/>
        <v>1.0893763718748728E-2</v>
      </c>
      <c r="AG89" s="811">
        <f t="shared" si="49"/>
        <v>1</v>
      </c>
      <c r="AH89" s="176">
        <f t="shared" si="42"/>
        <v>7</v>
      </c>
      <c r="AI89" s="225">
        <f t="shared" si="43"/>
        <v>1.0108937637187487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'2023'!Wh/'2023'!Env_an*'2024'!Env_an</f>
        <v>10.483767381799838</v>
      </c>
      <c r="C90" s="841"/>
      <c r="D90" s="393">
        <f t="shared" si="25"/>
        <v>10.979163102075002</v>
      </c>
      <c r="E90" s="385">
        <f t="shared" si="47"/>
        <v>11.815616465572276</v>
      </c>
      <c r="F90" s="385">
        <f t="shared" si="26"/>
        <v>11.815616465572276</v>
      </c>
      <c r="G90" s="110">
        <f t="shared" si="48"/>
        <v>0.23700523311201976</v>
      </c>
      <c r="H90" s="414" t="b">
        <f>Wh_hp&gt;='2023'!Maxi_hp</f>
        <v>0</v>
      </c>
      <c r="I90" s="390">
        <f>IF(H90,Wh_hp,'2023'!Maxi_hp)</f>
        <v>27.136616542417517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4.5121446477239924E-2</v>
      </c>
      <c r="M90" s="845"/>
      <c r="N90" s="845"/>
      <c r="O90" s="48">
        <f>IF(t&lt;Tnet,'2023'!Resal+('2023'!Salim-'2023'!Resal)*(1-EXP(('2023'!Tnet-t)/('2023'!Tau_j))),Resal+(Salim-Resal)*(1-EXP((Tnet-t)/(Tau_j))))*Salcycl</f>
        <v>7.0792189805287564E-2</v>
      </c>
      <c r="P90" s="169">
        <f>(INDEX(Models!$BJ90:$BT90,,T90)*(1-R90)+INDEX(Models!$BJ90:$BT90,,T90+1)*R90-ERP_i)*Q90*Ramure*Pc/MaxiM</f>
        <v>8.8040680529651502E-5</v>
      </c>
      <c r="Q90" s="305">
        <f t="shared" si="28"/>
        <v>0.5</v>
      </c>
      <c r="R90" s="177">
        <f t="shared" si="29"/>
        <v>1.1471949444513019E-2</v>
      </c>
      <c r="S90" s="811">
        <f t="shared" si="30"/>
        <v>1</v>
      </c>
      <c r="T90" s="176">
        <f t="shared" si="31"/>
        <v>7</v>
      </c>
      <c r="U90" s="251">
        <f t="shared" si="32"/>
        <v>1.011471949444513</v>
      </c>
      <c r="V90" s="383">
        <f t="shared" si="33"/>
        <v>44.230434265687066</v>
      </c>
      <c r="W90" s="402">
        <f t="shared" si="34"/>
        <v>10.483767381799838</v>
      </c>
      <c r="X90" s="157">
        <f t="shared" si="35"/>
        <v>45367</v>
      </c>
      <c r="Y90" s="385">
        <f t="shared" si="36"/>
        <v>10.263093885067766</v>
      </c>
      <c r="Z90" s="385">
        <f t="shared" si="37"/>
        <v>10.748061988830855</v>
      </c>
      <c r="AA90" s="386">
        <f t="shared" si="38"/>
        <v>11.815616465572276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9.0351145016597717E-2</v>
      </c>
      <c r="AD90" s="231">
        <f>(INDEX(Models!$BJ90:$BT90,,AH90)*(1-AF90)+INDEX(Models!$BJ90:$BT90,,AH90+1)*AF90-ERP_i)*AE90*Ramure*Pc/MaxiM</f>
        <v>8.8040680529651502E-5</v>
      </c>
      <c r="AE90" s="305">
        <f t="shared" si="40"/>
        <v>0.5</v>
      </c>
      <c r="AF90" s="177">
        <f t="shared" si="41"/>
        <v>1.1471949444513019E-2</v>
      </c>
      <c r="AG90" s="811">
        <f t="shared" si="49"/>
        <v>1</v>
      </c>
      <c r="AH90" s="176">
        <f t="shared" si="42"/>
        <v>7</v>
      </c>
      <c r="AI90" s="225">
        <f t="shared" si="43"/>
        <v>1.011471949444513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'2023'!Wh/'2023'!Env_an*'2024'!Env_an</f>
        <v>13.97811991689157</v>
      </c>
      <c r="C91" s="841"/>
      <c r="D91" s="393">
        <f t="shared" si="25"/>
        <v>14.638956994821887</v>
      </c>
      <c r="E91" s="385">
        <f t="shared" si="47"/>
        <v>15.75489005178429</v>
      </c>
      <c r="F91" s="385">
        <f t="shared" si="26"/>
        <v>15.754913623076558</v>
      </c>
      <c r="G91" s="110">
        <f t="shared" si="48"/>
        <v>0.31375349251849494</v>
      </c>
      <c r="H91" s="414" t="b">
        <f>Wh_hp&gt;='2023'!Maxi_hp</f>
        <v>0</v>
      </c>
      <c r="I91" s="390">
        <f>IF(H91,Wh_hp,'2023'!Maxi_hp)</f>
        <v>35.441978382349127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4.5142360768193335E-2</v>
      </c>
      <c r="M91" s="845"/>
      <c r="N91" s="845"/>
      <c r="O91" s="48">
        <f>IF(t&lt;Tnet,'2023'!Resal+('2023'!Salim-'2023'!Resal)*(1-EXP(('2023'!Tnet-t)/('2023'!Tau_j))),Resal+(Salim-Resal)*(1-EXP((Tnet-t)/(Tau_j))))*Salcycl</f>
        <v>7.0830900964365617E-2</v>
      </c>
      <c r="P91" s="169">
        <f>(INDEX(Models!$BJ91:$BT91,,T91)*(1-R91)+INDEX(Models!$BJ91:$BT91,,T91+1)*R91-ERP_i)*Q91*Ramure*Pc/MaxiM</f>
        <v>7.6017689674063424E-5</v>
      </c>
      <c r="Q91" s="305">
        <f t="shared" si="28"/>
        <v>0.5</v>
      </c>
      <c r="R91" s="177">
        <f t="shared" si="29"/>
        <v>1.2072931523138486E-2</v>
      </c>
      <c r="S91" s="811">
        <f t="shared" si="30"/>
        <v>1</v>
      </c>
      <c r="T91" s="176">
        <f t="shared" si="31"/>
        <v>7</v>
      </c>
      <c r="U91" s="251">
        <f t="shared" si="32"/>
        <v>1.0120729315231385</v>
      </c>
      <c r="V91" s="383">
        <f t="shared" si="33"/>
        <v>44.547960667296948</v>
      </c>
      <c r="W91" s="402">
        <f t="shared" si="34"/>
        <v>13.97811991689157</v>
      </c>
      <c r="X91" s="157">
        <f t="shared" si="35"/>
        <v>45368</v>
      </c>
      <c r="Y91" s="385">
        <f t="shared" si="36"/>
        <v>13.684138061041802</v>
      </c>
      <c r="Z91" s="385">
        <f t="shared" si="37"/>
        <v>14.331076695423246</v>
      </c>
      <c r="AA91" s="386">
        <f t="shared" si="38"/>
        <v>15.75489005178429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9.0372789126496836E-2</v>
      </c>
      <c r="AD91" s="231">
        <f>(INDEX(Models!$BJ91:$BT91,,AH91)*(1-AF91)+INDEX(Models!$BJ91:$BT91,,AH91+1)*AF91-ERP_i)*AE91*Ramure*Pc/MaxiM</f>
        <v>7.6017689674063424E-5</v>
      </c>
      <c r="AE91" s="305">
        <f t="shared" si="40"/>
        <v>0.5</v>
      </c>
      <c r="AF91" s="177">
        <f t="shared" si="41"/>
        <v>1.2072931523138486E-2</v>
      </c>
      <c r="AG91" s="811">
        <f t="shared" si="49"/>
        <v>1</v>
      </c>
      <c r="AH91" s="176">
        <f t="shared" si="42"/>
        <v>7</v>
      </c>
      <c r="AI91" s="225">
        <f t="shared" si="43"/>
        <v>1.0120729315231385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'2023'!Wh/'2023'!Env_an*'2024'!Env_an</f>
        <v>28.367971456868229</v>
      </c>
      <c r="C92" s="841"/>
      <c r="D92" s="393">
        <f t="shared" si="25"/>
        <v>29.709761577316915</v>
      </c>
      <c r="E92" s="385">
        <f t="shared" si="47"/>
        <v>31.975889215911838</v>
      </c>
      <c r="F92" s="385">
        <f t="shared" si="26"/>
        <v>31.976879163230013</v>
      </c>
      <c r="G92" s="110">
        <f t="shared" si="48"/>
        <v>0.6322915224217921</v>
      </c>
      <c r="H92" s="414" t="b">
        <f>Wh_hp&gt;='2023'!Maxi_hp</f>
        <v>0</v>
      </c>
      <c r="I92" s="390">
        <f>IF(H92,Wh_hp,'2023'!Maxi_hp)</f>
        <v>46.110957889709681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4.5163274601070058E-2</v>
      </c>
      <c r="M92" s="845"/>
      <c r="N92" s="845"/>
      <c r="O92" s="48">
        <f>IF(t&lt;Tnet,'2023'!Resal+('2023'!Salim-'2023'!Resal)*(1-EXP(('2023'!Tnet-t)/('2023'!Tau_j))),Resal+(Salim-Resal)*(1-EXP((Tnet-t)/(Tau_j))))*Salcycl</f>
        <v>7.0869886472688076E-2</v>
      </c>
      <c r="P92" s="169">
        <f>(INDEX(Models!$BJ92:$BT92,,T92)*(1-R92)+INDEX(Models!$BJ92:$BT92,,T92+1)*R92-ERP_i)*Q92*Ramure*Pc/MaxiM</f>
        <v>6.5211843643750707E-5</v>
      </c>
      <c r="Q92" s="305">
        <f t="shared" si="28"/>
        <v>0.5</v>
      </c>
      <c r="R92" s="177">
        <f t="shared" si="29"/>
        <v>1.2697547137344944E-2</v>
      </c>
      <c r="S92" s="811">
        <f t="shared" si="30"/>
        <v>1</v>
      </c>
      <c r="T92" s="176">
        <f t="shared" si="31"/>
        <v>7</v>
      </c>
      <c r="U92" s="251">
        <f t="shared" si="32"/>
        <v>1.0126975471373449</v>
      </c>
      <c r="V92" s="383">
        <f t="shared" si="33"/>
        <v>44.863798920421971</v>
      </c>
      <c r="W92" s="402">
        <f t="shared" si="34"/>
        <v>28.367971456868229</v>
      </c>
      <c r="X92" s="157">
        <f t="shared" si="35"/>
        <v>45369</v>
      </c>
      <c r="Y92" s="385">
        <f t="shared" si="36"/>
        <v>27.771841421912196</v>
      </c>
      <c r="Z92" s="385">
        <f t="shared" si="37"/>
        <v>29.085434905438042</v>
      </c>
      <c r="AA92" s="386">
        <f t="shared" si="38"/>
        <v>31.975889215911838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9.0394806254064874E-2</v>
      </c>
      <c r="AD92" s="231">
        <f>(INDEX(Models!$BJ92:$BT92,,AH92)*(1-AF92)+INDEX(Models!$BJ92:$BT92,,AH92+1)*AF92-ERP_i)*AE92*Ramure*Pc/MaxiM</f>
        <v>6.5211843643750707E-5</v>
      </c>
      <c r="AE92" s="305">
        <f t="shared" si="40"/>
        <v>0.5</v>
      </c>
      <c r="AF92" s="177">
        <f t="shared" si="41"/>
        <v>1.2697547137344944E-2</v>
      </c>
      <c r="AG92" s="811">
        <f t="shared" si="49"/>
        <v>1</v>
      </c>
      <c r="AH92" s="176">
        <f t="shared" si="42"/>
        <v>7</v>
      </c>
      <c r="AI92" s="225">
        <f t="shared" si="43"/>
        <v>1.0126975471373449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'2023'!Wh/'2023'!Env_an*'2024'!Env_an</f>
        <v>29.300454008359832</v>
      </c>
      <c r="C93" s="841"/>
      <c r="D93" s="393">
        <f t="shared" si="25"/>
        <v>30.687022187290363</v>
      </c>
      <c r="E93" s="385">
        <f t="shared" si="47"/>
        <v>33.029087463563002</v>
      </c>
      <c r="F93" s="385">
        <f t="shared" si="26"/>
        <v>33.030001667407426</v>
      </c>
      <c r="G93" s="110">
        <f t="shared" si="48"/>
        <v>0.64850472353802413</v>
      </c>
      <c r="H93" s="414" t="b">
        <f>Wh_hp&gt;='2023'!Maxi_hp</f>
        <v>0</v>
      </c>
      <c r="I93" s="390">
        <f>IF(H93,Wh_hp,'2023'!Maxi_hp)</f>
        <v>51.145293953169229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4.5184187975880086E-2</v>
      </c>
      <c r="M93" s="845"/>
      <c r="N93" s="845"/>
      <c r="O93" s="48">
        <f>IF(t&lt;Tnet,'2023'!Resal+('2023'!Salim-'2023'!Resal)*(1-EXP(('2023'!Tnet-t)/('2023'!Tau_j))),Resal+(Salim-Resal)*(1-EXP((Tnet-t)/(Tau_j))))*Salcycl</f>
        <v>7.0909172978404378E-2</v>
      </c>
      <c r="P93" s="169">
        <f>(INDEX(Models!$BJ93:$BT93,,T93)*(1-R93)+INDEX(Models!$BJ93:$BT93,,T93+1)*R93-ERP_i)*Q93*Ramure*Pc/MaxiM</f>
        <v>5.5590587111891115E-5</v>
      </c>
      <c r="Q93" s="305">
        <f t="shared" si="28"/>
        <v>0.5</v>
      </c>
      <c r="R93" s="177">
        <f t="shared" si="29"/>
        <v>1.3346659119966464E-2</v>
      </c>
      <c r="S93" s="811">
        <f t="shared" si="30"/>
        <v>1</v>
      </c>
      <c r="T93" s="176">
        <f t="shared" si="31"/>
        <v>7</v>
      </c>
      <c r="U93" s="251">
        <f t="shared" si="32"/>
        <v>1.0133466591199665</v>
      </c>
      <c r="V93" s="383">
        <f t="shared" si="33"/>
        <v>45.180297182599155</v>
      </c>
      <c r="W93" s="402">
        <f t="shared" si="34"/>
        <v>29.300454008359832</v>
      </c>
      <c r="X93" s="157">
        <f t="shared" si="35"/>
        <v>45370</v>
      </c>
      <c r="Y93" s="385">
        <f t="shared" si="36"/>
        <v>28.685234364598067</v>
      </c>
      <c r="Z93" s="385">
        <f t="shared" si="37"/>
        <v>30.042688865602322</v>
      </c>
      <c r="AA93" s="386">
        <f t="shared" si="38"/>
        <v>33.029087463563002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9.0417230002349053E-2</v>
      </c>
      <c r="AD93" s="231">
        <f>(INDEX(Models!$BJ93:$BT93,,AH93)*(1-AF93)+INDEX(Models!$BJ93:$BT93,,AH93+1)*AF93-ERP_i)*AE93*Ramure*Pc/MaxiM</f>
        <v>5.5590587111891115E-5</v>
      </c>
      <c r="AE93" s="305">
        <f t="shared" si="40"/>
        <v>0.5</v>
      </c>
      <c r="AF93" s="177">
        <f t="shared" si="41"/>
        <v>1.3346659119966464E-2</v>
      </c>
      <c r="AG93" s="811">
        <f t="shared" si="49"/>
        <v>1</v>
      </c>
      <c r="AH93" s="176">
        <f t="shared" si="42"/>
        <v>7</v>
      </c>
      <c r="AI93" s="225">
        <f t="shared" si="43"/>
        <v>1.0133466591199665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'2023'!Wh/'2023'!Env_an*'2024'!Env_an</f>
        <v>42.722622307562652</v>
      </c>
      <c r="C94" s="841"/>
      <c r="D94" s="393">
        <f t="shared" si="25"/>
        <v>44.745339912795771</v>
      </c>
      <c r="E94" s="385">
        <f t="shared" si="47"/>
        <v>48.162404089696032</v>
      </c>
      <c r="F94" s="385">
        <f t="shared" si="26"/>
        <v>48.164480916953089</v>
      </c>
      <c r="G94" s="110">
        <f t="shared" si="48"/>
        <v>0.93896951937919215</v>
      </c>
      <c r="H94" s="414" t="b">
        <f>Wh_hp&gt;='2023'!Maxi_hp</f>
        <v>0</v>
      </c>
      <c r="I94" s="390">
        <f>IF(H94,Wh_hp,'2023'!Maxi_hp)</f>
        <v>51.378117175877115</v>
      </c>
      <c r="J94" s="85">
        <f>IF(H94,An,'2023'!An_max)</f>
        <v>2019</v>
      </c>
      <c r="K94" s="197">
        <f t="shared" si="27"/>
        <v>45371</v>
      </c>
      <c r="L94" s="147">
        <f>IF(t&lt;Tvie,1-EXP((T0-t)*PertePVj)+'2023'!Pspv,1-EXP((T0-t)*PertePVj)+Pspv)</f>
        <v>4.5205100892633632E-2</v>
      </c>
      <c r="M94" s="845"/>
      <c r="N94" s="845"/>
      <c r="O94" s="48">
        <f>IF(t&lt;Tnet,'2023'!Resal+('2023'!Salim-'2023'!Resal)*(1-EXP(('2023'!Tnet-t)/('2023'!Tau_j))),Resal+(Salim-Resal)*(1-EXP((Tnet-t)/(Tau_j))))*Salcycl</f>
        <v>7.0948787575811967E-2</v>
      </c>
      <c r="P94" s="169">
        <f>(INDEX(Models!$BJ94:$BT94,,T94)*(1-R94)+INDEX(Models!$BJ94:$BT94,,T94+1)*R94-ERP_i)*Q94*Ramure*Pc/MaxiM</f>
        <v>4.7237701874928683E-5</v>
      </c>
      <c r="Q94" s="305">
        <f t="shared" si="28"/>
        <v>0.5</v>
      </c>
      <c r="R94" s="177">
        <f t="shared" si="29"/>
        <v>1.4021156309666827E-2</v>
      </c>
      <c r="S94" s="811">
        <f t="shared" si="30"/>
        <v>1</v>
      </c>
      <c r="T94" s="176">
        <f t="shared" si="31"/>
        <v>7</v>
      </c>
      <c r="U94" s="251">
        <f t="shared" si="32"/>
        <v>1.0140211563096668</v>
      </c>
      <c r="V94" s="383">
        <f t="shared" si="33"/>
        <v>45.499289888433005</v>
      </c>
      <c r="W94" s="402">
        <f t="shared" si="34"/>
        <v>42.722622307562652</v>
      </c>
      <c r="X94" s="157">
        <f t="shared" si="35"/>
        <v>45371</v>
      </c>
      <c r="Y94" s="385">
        <f t="shared" si="36"/>
        <v>41.826310314213885</v>
      </c>
      <c r="Z94" s="385">
        <f t="shared" si="37"/>
        <v>43.806591712332271</v>
      </c>
      <c r="AA94" s="386">
        <f t="shared" si="38"/>
        <v>48.162404089696032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9.0440094502999654E-2</v>
      </c>
      <c r="AD94" s="231">
        <f>(INDEX(Models!$BJ94:$BT94,,AH94)*(1-AF94)+INDEX(Models!$BJ94:$BT94,,AH94+1)*AF94-ERP_i)*AE94*Ramure*Pc/MaxiM</f>
        <v>4.7237701874928683E-5</v>
      </c>
      <c r="AE94" s="305">
        <f t="shared" si="40"/>
        <v>0.5</v>
      </c>
      <c r="AF94" s="177">
        <f t="shared" si="41"/>
        <v>1.4021156309666827E-2</v>
      </c>
      <c r="AG94" s="811">
        <f t="shared" si="49"/>
        <v>1</v>
      </c>
      <c r="AH94" s="176">
        <f t="shared" si="42"/>
        <v>7</v>
      </c>
      <c r="AI94" s="225">
        <f t="shared" si="43"/>
        <v>1.0140211563096668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'2023'!Wh/'2023'!Env_an*'2024'!Env_an</f>
        <v>40.201897042252043</v>
      </c>
      <c r="C95" s="841"/>
      <c r="D95" s="393">
        <f t="shared" si="25"/>
        <v>42.106192255367404</v>
      </c>
      <c r="E95" s="385">
        <f t="shared" si="47"/>
        <v>45.323662770772465</v>
      </c>
      <c r="F95" s="385">
        <f t="shared" si="26"/>
        <v>45.325153780042434</v>
      </c>
      <c r="G95" s="110">
        <f t="shared" si="48"/>
        <v>0.87738459055810014</v>
      </c>
      <c r="H95" s="414" t="b">
        <f>Wh_hp&gt;='2023'!Maxi_hp</f>
        <v>0</v>
      </c>
      <c r="I95" s="390">
        <f>IF(H95,Wh_hp,'2023'!Maxi_hp)</f>
        <v>50.23936086110939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4.5226013351340577E-2</v>
      </c>
      <c r="M95" s="845"/>
      <c r="N95" s="845"/>
      <c r="O95" s="48">
        <f>IF(t&lt;Tnet,'2023'!Resal+('2023'!Salim-'2023'!Resal)*(1-EXP(('2023'!Tnet-t)/('2023'!Tau_j))),Resal+(Salim-Resal)*(1-EXP((Tnet-t)/(Tau_j))))*Salcycl</f>
        <v>7.0988757719728832E-2</v>
      </c>
      <c r="P95" s="169">
        <f>(INDEX(Models!$BJ95:$BT95,,T95)*(1-R95)+INDEX(Models!$BJ95:$BT95,,T95+1)*R95-ERP_i)*Q95*Ramure*Pc/MaxiM</f>
        <v>3.988129922894334E-5</v>
      </c>
      <c r="Q95" s="305">
        <f t="shared" si="28"/>
        <v>0.5</v>
      </c>
      <c r="R95" s="177">
        <f t="shared" si="29"/>
        <v>1.4721953870841409E-2</v>
      </c>
      <c r="S95" s="811">
        <f t="shared" si="30"/>
        <v>1</v>
      </c>
      <c r="T95" s="176">
        <f t="shared" si="31"/>
        <v>7</v>
      </c>
      <c r="U95" s="251">
        <f t="shared" si="32"/>
        <v>1.0147219538708414</v>
      </c>
      <c r="V95" s="383">
        <f t="shared" si="33"/>
        <v>45.819833898567076</v>
      </c>
      <c r="W95" s="402">
        <f t="shared" si="34"/>
        <v>40.201897042252043</v>
      </c>
      <c r="X95" s="157">
        <f t="shared" si="35"/>
        <v>45372</v>
      </c>
      <c r="Y95" s="385">
        <f t="shared" si="36"/>
        <v>39.359152727177957</v>
      </c>
      <c r="Z95" s="385">
        <f t="shared" si="37"/>
        <v>41.223528581179764</v>
      </c>
      <c r="AA95" s="386">
        <f t="shared" si="38"/>
        <v>45.323662770772465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9.0463434306477172E-2</v>
      </c>
      <c r="AD95" s="231">
        <f>(INDEX(Models!$BJ95:$BT95,,AH95)*(1-AF95)+INDEX(Models!$BJ95:$BT95,,AH95+1)*AF95-ERP_i)*AE95*Ramure*Pc/MaxiM</f>
        <v>3.988129922894334E-5</v>
      </c>
      <c r="AE95" s="305">
        <f t="shared" si="40"/>
        <v>0.5</v>
      </c>
      <c r="AF95" s="177">
        <f t="shared" si="41"/>
        <v>1.4721953870841409E-2</v>
      </c>
      <c r="AG95" s="811">
        <f t="shared" si="49"/>
        <v>1</v>
      </c>
      <c r="AH95" s="176">
        <f t="shared" si="42"/>
        <v>7</v>
      </c>
      <c r="AI95" s="225">
        <f t="shared" si="43"/>
        <v>1.0147219538708414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'2023'!Wh/'2023'!Env_an*'2024'!Env_an</f>
        <v>46.128864699334244</v>
      </c>
      <c r="C96" s="841"/>
      <c r="D96" s="393">
        <f t="shared" si="25"/>
        <v>48.314968471132332</v>
      </c>
      <c r="E96" s="385">
        <f t="shared" si="47"/>
        <v>52.009130803289509</v>
      </c>
      <c r="F96" s="385">
        <f t="shared" si="26"/>
        <v>52.010872686475388</v>
      </c>
      <c r="G96" s="110">
        <f t="shared" si="48"/>
        <v>0.99973752744341626</v>
      </c>
      <c r="H96" s="414" t="b">
        <f>Wh_hp&gt;='2023'!Maxi_hp</f>
        <v>0</v>
      </c>
      <c r="I96" s="390">
        <f>IF(H96,Wh_hp,'2023'!Maxi_hp)</f>
        <v>52.010873192692713</v>
      </c>
      <c r="J96" s="85">
        <f>IF(H96,An,'2023'!An_max)</f>
        <v>2022</v>
      </c>
      <c r="K96" s="197">
        <f t="shared" si="27"/>
        <v>45373</v>
      </c>
      <c r="L96" s="147">
        <f>IF(t&lt;Tvie,1-EXP((T0-t)*PertePVj)+'2023'!Pspv,1-EXP((T0-t)*PertePVj)+Pspv)</f>
        <v>4.5246925352011025E-2</v>
      </c>
      <c r="M96" s="845"/>
      <c r="N96" s="845"/>
      <c r="O96" s="48">
        <f>IF(t&lt;Tnet,'2023'!Resal+('2023'!Salim-'2023'!Resal)*(1-EXP(('2023'!Tnet-t)/('2023'!Tau_j))),Resal+(Salim-Resal)*(1-EXP((Tnet-t)/(Tau_j))))*Salcycl</f>
        <v>7.1029111140683096E-2</v>
      </c>
      <c r="P96" s="169">
        <f>(INDEX(Models!$BJ96:$BT96,,T96)*(1-R96)+INDEX(Models!$BJ96:$BT96,,T96+1)*R96-ERP_i)*Q96*Ramure*Pc/MaxiM</f>
        <v>3.3503312817047731E-5</v>
      </c>
      <c r="Q96" s="305">
        <f t="shared" si="28"/>
        <v>0.5</v>
      </c>
      <c r="R96" s="177">
        <f t="shared" si="29"/>
        <v>1.5449993573136034E-2</v>
      </c>
      <c r="S96" s="811">
        <f t="shared" si="30"/>
        <v>1</v>
      </c>
      <c r="T96" s="176">
        <f t="shared" si="31"/>
        <v>7</v>
      </c>
      <c r="U96" s="251">
        <f t="shared" si="32"/>
        <v>1.015449993573136</v>
      </c>
      <c r="V96" s="383">
        <f t="shared" si="33"/>
        <v>46.140974859486619</v>
      </c>
      <c r="W96" s="402">
        <f t="shared" si="34"/>
        <v>46.128864699334244</v>
      </c>
      <c r="X96" s="157">
        <f t="shared" si="35"/>
        <v>45373</v>
      </c>
      <c r="Y96" s="385">
        <f t="shared" si="36"/>
        <v>45.162652037016848</v>
      </c>
      <c r="Z96" s="385">
        <f t="shared" si="37"/>
        <v>47.302965799474393</v>
      </c>
      <c r="AA96" s="386">
        <f t="shared" si="38"/>
        <v>52.009130803289509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9.0487284273503998E-2</v>
      </c>
      <c r="AD96" s="231">
        <f>(INDEX(Models!$BJ96:$BT96,,AH96)*(1-AF96)+INDEX(Models!$BJ96:$BT96,,AH96+1)*AF96-ERP_i)*AE96*Ramure*Pc/MaxiM</f>
        <v>3.3503312817047731E-5</v>
      </c>
      <c r="AE96" s="305">
        <f t="shared" si="40"/>
        <v>0.5</v>
      </c>
      <c r="AF96" s="177">
        <f t="shared" si="41"/>
        <v>1.5449993573136034E-2</v>
      </c>
      <c r="AG96" s="811">
        <f t="shared" si="49"/>
        <v>1</v>
      </c>
      <c r="AH96" s="176">
        <f t="shared" si="42"/>
        <v>7</v>
      </c>
      <c r="AI96" s="225">
        <f t="shared" si="43"/>
        <v>1.015449993573136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'2023'!Wh/'2023'!Env_an*'2024'!Env_an</f>
        <v>45.142168925078757</v>
      </c>
      <c r="C97" s="841"/>
      <c r="D97" s="393">
        <f t="shared" si="25"/>
        <v>47.282547576746687</v>
      </c>
      <c r="E97" s="385">
        <f t="shared" si="47"/>
        <v>50.900004578387808</v>
      </c>
      <c r="F97" s="385">
        <f t="shared" si="26"/>
        <v>50.901376184581963</v>
      </c>
      <c r="G97" s="110">
        <f t="shared" si="48"/>
        <v>0.97159726282503933</v>
      </c>
      <c r="H97" s="414" t="b">
        <f>Wh_hp&gt;='2023'!Maxi_hp</f>
        <v>0</v>
      </c>
      <c r="I97" s="390">
        <f>IF(H97,Wh_hp,'2023'!Maxi_hp)</f>
        <v>51.495753799818651</v>
      </c>
      <c r="J97" s="85">
        <f>IF(H97,An,'2023'!An_max)</f>
        <v>2019</v>
      </c>
      <c r="K97" s="197">
        <f t="shared" si="27"/>
        <v>45374</v>
      </c>
      <c r="L97" s="147">
        <f>IF(t&lt;Tvie,1-EXP((T0-t)*PertePVj)+'2023'!Pspv,1-EXP((T0-t)*PertePVj)+Pspv)</f>
        <v>4.5267836894654967E-2</v>
      </c>
      <c r="M97" s="845"/>
      <c r="N97" s="845"/>
      <c r="O97" s="48">
        <f>IF(t&lt;Tnet,'2023'!Resal+('2023'!Salim-'2023'!Resal)*(1-EXP(('2023'!Tnet-t)/('2023'!Tau_j))),Resal+(Salim-Resal)*(1-EXP((Tnet-t)/(Tau_j))))*Salcycl</f>
        <v>7.1069875761407983E-2</v>
      </c>
      <c r="P97" s="169">
        <f>(INDEX(Models!$BJ97:$BT97,,T97)*(1-R97)+INDEX(Models!$BJ97:$BT97,,T97+1)*R97-ERP_i)*Q97*Ramure*Pc/MaxiM</f>
        <v>2.8085898375104803E-5</v>
      </c>
      <c r="Q97" s="305">
        <f t="shared" si="28"/>
        <v>0.5</v>
      </c>
      <c r="R97" s="177">
        <f t="shared" si="29"/>
        <v>1.6206244025695815E-2</v>
      </c>
      <c r="S97" s="811">
        <f t="shared" si="30"/>
        <v>1</v>
      </c>
      <c r="T97" s="176">
        <f t="shared" si="31"/>
        <v>7</v>
      </c>
      <c r="U97" s="251">
        <f t="shared" si="32"/>
        <v>1.0162062440256958</v>
      </c>
      <c r="V97" s="383">
        <f t="shared" si="33"/>
        <v>46.461758600120774</v>
      </c>
      <c r="W97" s="402">
        <f t="shared" si="34"/>
        <v>45.142168925078757</v>
      </c>
      <c r="X97" s="157">
        <f t="shared" si="35"/>
        <v>45374</v>
      </c>
      <c r="Y97" s="385">
        <f t="shared" si="36"/>
        <v>44.19737753092771</v>
      </c>
      <c r="Z97" s="385">
        <f t="shared" si="37"/>
        <v>46.292959679049773</v>
      </c>
      <c r="AA97" s="386">
        <f t="shared" si="38"/>
        <v>50.900004578387808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9.05116794683785E-2</v>
      </c>
      <c r="AD97" s="231">
        <f>(INDEX(Models!$BJ97:$BT97,,AH97)*(1-AF97)+INDEX(Models!$BJ97:$BT97,,AH97+1)*AF97-ERP_i)*AE97*Ramure*Pc/MaxiM</f>
        <v>2.8085898375104803E-5</v>
      </c>
      <c r="AE97" s="305">
        <f t="shared" si="40"/>
        <v>0.5</v>
      </c>
      <c r="AF97" s="177">
        <f t="shared" si="41"/>
        <v>1.6206244025695815E-2</v>
      </c>
      <c r="AG97" s="811">
        <f t="shared" si="49"/>
        <v>1</v>
      </c>
      <c r="AH97" s="176">
        <f t="shared" si="42"/>
        <v>7</v>
      </c>
      <c r="AI97" s="225">
        <f t="shared" si="43"/>
        <v>1.0162062440256958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'2023'!Wh/'2023'!Env_an*'2024'!Env_an</f>
        <v>39.54317090024481</v>
      </c>
      <c r="C98" s="841"/>
      <c r="D98" s="393">
        <f t="shared" si="25"/>
        <v>41.418984867465156</v>
      </c>
      <c r="E98" s="385">
        <f t="shared" si="47"/>
        <v>44.589814732962147</v>
      </c>
      <c r="F98" s="385">
        <f t="shared" si="26"/>
        <v>44.590634878194095</v>
      </c>
      <c r="G98" s="110">
        <f t="shared" si="48"/>
        <v>0.84527413163900167</v>
      </c>
      <c r="H98" s="414" t="b">
        <f>Wh_hp&gt;='2023'!Maxi_hp</f>
        <v>0</v>
      </c>
      <c r="I98" s="390">
        <f>IF(H98,Wh_hp,'2023'!Maxi_hp)</f>
        <v>48.049790210842104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4.5288747979282507E-2</v>
      </c>
      <c r="M98" s="845"/>
      <c r="N98" s="845"/>
      <c r="O98" s="48">
        <f>IF(t&lt;Tnet,'2023'!Resal+('2023'!Salim-'2023'!Resal)*(1-EXP(('2023'!Tnet-t)/('2023'!Tau_j))),Resal+(Salim-Resal)*(1-EXP((Tnet-t)/(Tau_j))))*Salcycl</f>
        <v>7.1111079615072278E-2</v>
      </c>
      <c r="P98" s="169">
        <f>(INDEX(Models!$BJ98:$BT98,,T98)*(1-R98)+INDEX(Models!$BJ98:$BT98,,T98+1)*R98-ERP_i)*Q98*Ramure*Pc/MaxiM</f>
        <v>2.3611671919634296E-5</v>
      </c>
      <c r="Q98" s="305">
        <f t="shared" si="28"/>
        <v>0.5</v>
      </c>
      <c r="R98" s="177">
        <f t="shared" si="29"/>
        <v>1.6991700860943038E-2</v>
      </c>
      <c r="S98" s="811">
        <f t="shared" si="30"/>
        <v>1</v>
      </c>
      <c r="T98" s="176">
        <f t="shared" si="31"/>
        <v>7</v>
      </c>
      <c r="U98" s="251">
        <f t="shared" si="32"/>
        <v>1.016991700860943</v>
      </c>
      <c r="V98" s="383">
        <f t="shared" si="33"/>
        <v>46.781231134793124</v>
      </c>
      <c r="W98" s="402">
        <f t="shared" si="34"/>
        <v>39.54317090024481</v>
      </c>
      <c r="X98" s="157">
        <f t="shared" si="35"/>
        <v>45375</v>
      </c>
      <c r="Y98" s="385">
        <f t="shared" si="36"/>
        <v>38.716216425293943</v>
      </c>
      <c r="Z98" s="385">
        <f t="shared" si="37"/>
        <v>40.552802057531203</v>
      </c>
      <c r="AA98" s="386">
        <f t="shared" si="38"/>
        <v>44.589814732962147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9.0536655054694729E-2</v>
      </c>
      <c r="AD98" s="231">
        <f>(INDEX(Models!$BJ98:$BT98,,AH98)*(1-AF98)+INDEX(Models!$BJ98:$BT98,,AH98+1)*AF98-ERP_i)*AE98*Ramure*Pc/MaxiM</f>
        <v>2.3611671919634296E-5</v>
      </c>
      <c r="AE98" s="305">
        <f t="shared" si="40"/>
        <v>0.5</v>
      </c>
      <c r="AF98" s="177">
        <f t="shared" si="41"/>
        <v>1.6991700860943038E-2</v>
      </c>
      <c r="AG98" s="811">
        <f t="shared" si="49"/>
        <v>1</v>
      </c>
      <c r="AH98" s="176">
        <f t="shared" si="42"/>
        <v>7</v>
      </c>
      <c r="AI98" s="225">
        <f t="shared" si="43"/>
        <v>1.016991700860943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'2023'!Wh/'2023'!Env_an*'2024'!Env_an</f>
        <v>44.504552717966448</v>
      </c>
      <c r="C99" s="841"/>
      <c r="D99" s="393">
        <f t="shared" si="25"/>
        <v>46.6167413540376</v>
      </c>
      <c r="E99" s="385">
        <f t="shared" si="47"/>
        <v>50.187736888344247</v>
      </c>
      <c r="F99" s="385">
        <f t="shared" si="26"/>
        <v>50.188664644258878</v>
      </c>
      <c r="G99" s="110">
        <f t="shared" si="48"/>
        <v>0.9449247940844544</v>
      </c>
      <c r="H99" s="414" t="b">
        <f>Wh_hp&gt;='2023'!Maxi_hp</f>
        <v>0</v>
      </c>
      <c r="I99" s="390">
        <f>IF(H99,Wh_hp,'2023'!Maxi_hp)</f>
        <v>54.932815887950575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4.5309658605903635E-2</v>
      </c>
      <c r="M99" s="845"/>
      <c r="N99" s="845"/>
      <c r="O99" s="48">
        <f>IF(t&lt;Tnet,'2023'!Resal+('2023'!Salim-'2023'!Resal)*(1-EXP(('2023'!Tnet-t)/('2023'!Tau_j))),Resal+(Salim-Resal)*(1-EXP((Tnet-t)/(Tau_j))))*Salcycl</f>
        <v>7.1152750765615613E-2</v>
      </c>
      <c r="P99" s="169">
        <f>(INDEX(Models!$BJ99:$BT99,,T99)*(1-R99)+INDEX(Models!$BJ99:$BT99,,T99+1)*R99-ERP_i)*Q99*Ramure*Pc/MaxiM</f>
        <v>2.0063932261318342E-5</v>
      </c>
      <c r="Q99" s="305">
        <f t="shared" si="28"/>
        <v>0.5</v>
      </c>
      <c r="R99" s="177">
        <f t="shared" si="29"/>
        <v>1.780738686234673E-2</v>
      </c>
      <c r="S99" s="811">
        <f t="shared" si="30"/>
        <v>1</v>
      </c>
      <c r="T99" s="176">
        <f t="shared" si="31"/>
        <v>7</v>
      </c>
      <c r="U99" s="251">
        <f t="shared" si="32"/>
        <v>1.0178073868623467</v>
      </c>
      <c r="V99" s="383">
        <f t="shared" si="33"/>
        <v>47.098438671485759</v>
      </c>
      <c r="W99" s="402">
        <f t="shared" si="34"/>
        <v>44.504552717966448</v>
      </c>
      <c r="X99" s="157">
        <f t="shared" si="35"/>
        <v>45376</v>
      </c>
      <c r="Y99" s="385">
        <f t="shared" si="36"/>
        <v>43.574571051733798</v>
      </c>
      <c r="Z99" s="385">
        <f t="shared" si="37"/>
        <v>45.642622704345769</v>
      </c>
      <c r="AA99" s="386">
        <f t="shared" si="38"/>
        <v>50.187736888344247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9.0562246193931301E-2</v>
      </c>
      <c r="AD99" s="231">
        <f>(INDEX(Models!$BJ99:$BT99,,AH99)*(1-AF99)+INDEX(Models!$BJ99:$BT99,,AH99+1)*AF99-ERP_i)*AE99*Ramure*Pc/MaxiM</f>
        <v>2.0063932261318342E-5</v>
      </c>
      <c r="AE99" s="305">
        <f t="shared" si="40"/>
        <v>0.5</v>
      </c>
      <c r="AF99" s="177">
        <f t="shared" si="41"/>
        <v>1.780738686234673E-2</v>
      </c>
      <c r="AG99" s="811">
        <f t="shared" si="49"/>
        <v>1</v>
      </c>
      <c r="AH99" s="176">
        <f t="shared" si="42"/>
        <v>7</v>
      </c>
      <c r="AI99" s="225">
        <f t="shared" si="43"/>
        <v>1.0178073868623467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'2023'!Wh/'2023'!Env_an*'2024'!Env_an</f>
        <v>43.350508931677432</v>
      </c>
      <c r="C100" s="841"/>
      <c r="D100" s="393">
        <f t="shared" si="25"/>
        <v>45.40892115507468</v>
      </c>
      <c r="E100" s="385">
        <f t="shared" si="47"/>
        <v>48.889613114168753</v>
      </c>
      <c r="F100" s="385">
        <f t="shared" si="26"/>
        <v>48.890365187531081</v>
      </c>
      <c r="G100" s="110">
        <f t="shared" si="48"/>
        <v>0.91432610602204256</v>
      </c>
      <c r="H100" s="414" t="b">
        <f>Wh_hp&gt;='2023'!Maxi_hp</f>
        <v>0</v>
      </c>
      <c r="I100" s="390">
        <f>IF(H100,Wh_hp,'2023'!Maxi_hp)</f>
        <v>54.175577399192605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4.5330568774528346E-2</v>
      </c>
      <c r="M100" s="845"/>
      <c r="N100" s="845"/>
      <c r="O100" s="48">
        <f>IF(t&lt;Tnet,'2023'!Resal+('2023'!Salim-'2023'!Resal)*(1-EXP(('2023'!Tnet-t)/('2023'!Tau_j))),Resal+(Salim-Resal)*(1-EXP((Tnet-t)/(Tau_j))))*Salcycl</f>
        <v>7.1194917230493149E-2</v>
      </c>
      <c r="P100" s="169">
        <f>(INDEX(Models!$BJ100:$BT100,,T100)*(1-R100)+INDEX(Models!$BJ100:$BT100,,T100+1)*R100-ERP_i)*Q100*Ramure*Pc/MaxiM</f>
        <v>1.7528090528002906E-5</v>
      </c>
      <c r="Q100" s="305">
        <f t="shared" si="28"/>
        <v>0.5</v>
      </c>
      <c r="R100" s="177">
        <f t="shared" si="29"/>
        <v>1.8654352030311294E-2</v>
      </c>
      <c r="S100" s="811">
        <f t="shared" si="30"/>
        <v>1</v>
      </c>
      <c r="T100" s="176">
        <f t="shared" si="31"/>
        <v>7</v>
      </c>
      <c r="U100" s="251">
        <f t="shared" si="32"/>
        <v>1.0186543520303113</v>
      </c>
      <c r="V100" s="383">
        <f t="shared" si="33"/>
        <v>47.412422818995502</v>
      </c>
      <c r="W100" s="402">
        <f t="shared" si="34"/>
        <v>43.350508931677432</v>
      </c>
      <c r="X100" s="157">
        <f t="shared" si="35"/>
        <v>45377</v>
      </c>
      <c r="Y100" s="385">
        <f t="shared" si="36"/>
        <v>42.445344676903126</v>
      </c>
      <c r="Z100" s="385">
        <f t="shared" si="37"/>
        <v>44.460776985828176</v>
      </c>
      <c r="AA100" s="386">
        <f t="shared" si="38"/>
        <v>48.889613114168753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9.0588487947290547E-2</v>
      </c>
      <c r="AD100" s="231">
        <f>(INDEX(Models!$BJ100:$BT100,,AH100)*(1-AF100)+INDEX(Models!$BJ100:$BT100,,AH100+1)*AF100-ERP_i)*AE100*Ramure*Pc/MaxiM</f>
        <v>1.7528090528002906E-5</v>
      </c>
      <c r="AE100" s="305">
        <f t="shared" si="40"/>
        <v>0.5</v>
      </c>
      <c r="AF100" s="177">
        <f t="shared" si="41"/>
        <v>1.8654352030311294E-2</v>
      </c>
      <c r="AG100" s="811">
        <f t="shared" si="49"/>
        <v>1</v>
      </c>
      <c r="AH100" s="176">
        <f t="shared" si="42"/>
        <v>7</v>
      </c>
      <c r="AI100" s="225">
        <f t="shared" si="43"/>
        <v>1.0186543520303113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'2023'!Wh/'2023'!Env_an*'2024'!Env_an</f>
        <v>33.941848782050442</v>
      </c>
      <c r="C101" s="841"/>
      <c r="D101" s="393">
        <f t="shared" si="25"/>
        <v>35.554288324033244</v>
      </c>
      <c r="E101" s="385">
        <f t="shared" si="47"/>
        <v>38.281360860869178</v>
      </c>
      <c r="F101" s="385">
        <f t="shared" si="26"/>
        <v>38.281703171849045</v>
      </c>
      <c r="G101" s="110">
        <f t="shared" si="48"/>
        <v>0.71123267929288336</v>
      </c>
      <c r="H101" s="414" t="b">
        <f>Wh_hp&gt;='2023'!Maxi_hp</f>
        <v>0</v>
      </c>
      <c r="I101" s="390">
        <f>IF(H101,Wh_hp,'2023'!Maxi_hp)</f>
        <v>52.923988977147388</v>
      </c>
      <c r="J101" s="85">
        <f>IF(H101,An,'2023'!An_max)</f>
        <v>2019</v>
      </c>
      <c r="K101" s="197">
        <f t="shared" si="27"/>
        <v>45378</v>
      </c>
      <c r="L101" s="147">
        <f>IF(t&lt;Tvie,1-EXP((T0-t)*PertePVj)+'2023'!Pspv,1-EXP((T0-t)*PertePVj)+Pspv)</f>
        <v>4.535147848516663E-2</v>
      </c>
      <c r="M101" s="845"/>
      <c r="N101" s="845"/>
      <c r="O101" s="48">
        <f>IF(t&lt;Tnet,'2023'!Resal+('2023'!Salim-'2023'!Resal)*(1-EXP(('2023'!Tnet-t)/('2023'!Tau_j))),Resal+(Salim-Resal)*(1-EXP((Tnet-t)/(Tau_j))))*Salcycl</f>
        <v>7.1237606906067966E-2</v>
      </c>
      <c r="P101" s="169">
        <f>(INDEX(Models!$BJ101:$BT101,,T101)*(1-R101)+INDEX(Models!$BJ101:$BT101,,T101+1)*R101-ERP_i)*Q101*Ramure*Pc/MaxiM</f>
        <v>1.5220723011216698E-5</v>
      </c>
      <c r="Q101" s="305">
        <f t="shared" si="28"/>
        <v>0.5</v>
      </c>
      <c r="R101" s="177">
        <f t="shared" si="29"/>
        <v>1.9533673579975597E-2</v>
      </c>
      <c r="S101" s="811">
        <f t="shared" si="30"/>
        <v>1</v>
      </c>
      <c r="T101" s="176">
        <f t="shared" si="31"/>
        <v>7</v>
      </c>
      <c r="U101" s="251">
        <f t="shared" si="32"/>
        <v>1.0195336735799756</v>
      </c>
      <c r="V101" s="383">
        <f t="shared" si="33"/>
        <v>47.722266781762166</v>
      </c>
      <c r="W101" s="402">
        <f t="shared" si="34"/>
        <v>33.941848782050442</v>
      </c>
      <c r="X101" s="157">
        <f t="shared" si="35"/>
        <v>45378</v>
      </c>
      <c r="Y101" s="385">
        <f t="shared" si="36"/>
        <v>33.233682039847295</v>
      </c>
      <c r="Z101" s="385">
        <f t="shared" si="37"/>
        <v>34.812479452764656</v>
      </c>
      <c r="AA101" s="386">
        <f t="shared" si="38"/>
        <v>38.281360860869178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9.0615415181082931E-2</v>
      </c>
      <c r="AD101" s="231">
        <f>(INDEX(Models!$BJ101:$BT101,,AH101)*(1-AF101)+INDEX(Models!$BJ101:$BT101,,AH101+1)*AF101-ERP_i)*AE101*Ramure*Pc/MaxiM</f>
        <v>1.5220723011216698E-5</v>
      </c>
      <c r="AE101" s="305">
        <f t="shared" si="40"/>
        <v>0.5</v>
      </c>
      <c r="AF101" s="177">
        <f t="shared" si="41"/>
        <v>1.9533673579975597E-2</v>
      </c>
      <c r="AG101" s="811">
        <f t="shared" si="49"/>
        <v>1</v>
      </c>
      <c r="AH101" s="176">
        <f t="shared" si="42"/>
        <v>7</v>
      </c>
      <c r="AI101" s="225">
        <f t="shared" si="43"/>
        <v>1.0195336735799756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'2023'!Wh/'2023'!Env_an*'2024'!Env_an</f>
        <v>26.733156152284074</v>
      </c>
      <c r="C102" s="841"/>
      <c r="D102" s="393">
        <f t="shared" si="25"/>
        <v>28.003753305369816</v>
      </c>
      <c r="E102" s="385">
        <f t="shared" si="47"/>
        <v>30.153091200780253</v>
      </c>
      <c r="F102" s="385">
        <f t="shared" si="26"/>
        <v>30.153236443211643</v>
      </c>
      <c r="G102" s="110">
        <f t="shared" si="48"/>
        <v>0.55662281503191768</v>
      </c>
      <c r="H102" s="414" t="b">
        <f>Wh_hp&gt;='2023'!Maxi_hp</f>
        <v>0</v>
      </c>
      <c r="I102" s="390">
        <f>IF(H102,Wh_hp,'2023'!Maxi_hp)</f>
        <v>54.418783965233558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4.5372387737828701E-2</v>
      </c>
      <c r="M102" s="845"/>
      <c r="N102" s="845"/>
      <c r="O102" s="48">
        <f>IF(t&lt;Tnet,'2023'!Resal+('2023'!Salim-'2023'!Resal)*(1-EXP(('2023'!Tnet-t)/('2023'!Tau_j))),Resal+(Salim-Resal)*(1-EXP((Tnet-t)/(Tau_j))))*Salcycl</f>
        <v>7.1280847495822211E-2</v>
      </c>
      <c r="P102" s="169">
        <f>(INDEX(Models!$BJ102:$BT102,,T102)*(1-R102)+INDEX(Models!$BJ102:$BT102,,T102+1)*R102-ERP_i)*Q102*Ramure*Pc/MaxiM</f>
        <v>1.3138764044808787E-5</v>
      </c>
      <c r="Q102" s="305">
        <f t="shared" si="28"/>
        <v>0.5</v>
      </c>
      <c r="R102" s="177">
        <f t="shared" si="29"/>
        <v>2.0446455864362001E-2</v>
      </c>
      <c r="S102" s="811">
        <f t="shared" si="30"/>
        <v>1</v>
      </c>
      <c r="T102" s="176">
        <f t="shared" si="31"/>
        <v>7</v>
      </c>
      <c r="U102" s="251">
        <f t="shared" si="32"/>
        <v>1.020446455864362</v>
      </c>
      <c r="V102" s="383">
        <f t="shared" si="33"/>
        <v>48.027017501251372</v>
      </c>
      <c r="W102" s="402">
        <f t="shared" si="34"/>
        <v>26.733156152284074</v>
      </c>
      <c r="X102" s="157">
        <f t="shared" si="35"/>
        <v>45379</v>
      </c>
      <c r="Y102" s="385">
        <f t="shared" si="36"/>
        <v>26.175815308047223</v>
      </c>
      <c r="Z102" s="385">
        <f t="shared" si="37"/>
        <v>27.419922671227436</v>
      </c>
      <c r="AA102" s="386">
        <f t="shared" si="38"/>
        <v>30.153091200780253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9.0643062475866176E-2</v>
      </c>
      <c r="AD102" s="231">
        <f>(INDEX(Models!$BJ102:$BT102,,AH102)*(1-AF102)+INDEX(Models!$BJ102:$BT102,,AH102+1)*AF102-ERP_i)*AE102*Ramure*Pc/MaxiM</f>
        <v>1.3138764044808787E-5</v>
      </c>
      <c r="AE102" s="305">
        <f t="shared" si="40"/>
        <v>0.5</v>
      </c>
      <c r="AF102" s="177">
        <f t="shared" si="41"/>
        <v>2.0446455864362001E-2</v>
      </c>
      <c r="AG102" s="811">
        <f t="shared" si="49"/>
        <v>1</v>
      </c>
      <c r="AH102" s="176">
        <f t="shared" si="42"/>
        <v>7</v>
      </c>
      <c r="AI102" s="225">
        <f t="shared" si="43"/>
        <v>1.020446455864362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'2023'!Wh/'2023'!Env_an*'2024'!Env_an</f>
        <v>7.5180996758016079</v>
      </c>
      <c r="C103" s="841"/>
      <c r="D103" s="393">
        <f t="shared" si="25"/>
        <v>7.8755990802213738</v>
      </c>
      <c r="E103" s="385">
        <f t="shared" si="47"/>
        <v>8.4804654496890279</v>
      </c>
      <c r="F103" s="385">
        <f t="shared" si="26"/>
        <v>8.4804654496890279</v>
      </c>
      <c r="G103" s="110">
        <f t="shared" si="48"/>
        <v>0.15556963330071691</v>
      </c>
      <c r="H103" s="414" t="b">
        <f>Wh_hp&gt;='2023'!Maxi_hp</f>
        <v>0</v>
      </c>
      <c r="I103" s="390">
        <f>IF(H103,Wh_hp,'2023'!Maxi_hp)</f>
        <v>55.483183570295765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4.5393296532524441E-2</v>
      </c>
      <c r="M103" s="845"/>
      <c r="N103" s="845"/>
      <c r="O103" s="48">
        <f>IF(t&lt;Tnet,'2023'!Resal+('2023'!Salim-'2023'!Resal)*(1-EXP(('2023'!Tnet-t)/('2023'!Tau_j))),Resal+(Salim-Resal)*(1-EXP((Tnet-t)/(Tau_j))))*Salcycl</f>
        <v>7.1324666441490381E-2</v>
      </c>
      <c r="P103" s="169">
        <f>(INDEX(Models!$BJ103:$BT103,,T103)*(1-R103)+INDEX(Models!$BJ103:$BT103,,T103+1)*R103-ERP_i)*Q103*Ramure*Pc/MaxiM</f>
        <v>1.1279430672535635E-5</v>
      </c>
      <c r="Q103" s="305">
        <f t="shared" si="28"/>
        <v>0.5</v>
      </c>
      <c r="R103" s="177">
        <f t="shared" si="29"/>
        <v>2.1393830215980181E-2</v>
      </c>
      <c r="S103" s="811">
        <f t="shared" si="30"/>
        <v>1</v>
      </c>
      <c r="T103" s="176">
        <f t="shared" si="31"/>
        <v>7</v>
      </c>
      <c r="U103" s="251">
        <f t="shared" si="32"/>
        <v>1.0213938302159802</v>
      </c>
      <c r="V103" s="383">
        <f t="shared" si="33"/>
        <v>48.325722163175406</v>
      </c>
      <c r="W103" s="402">
        <f t="shared" si="34"/>
        <v>7.5180996758016079</v>
      </c>
      <c r="X103" s="157">
        <f t="shared" si="35"/>
        <v>45380</v>
      </c>
      <c r="Y103" s="385">
        <f t="shared" si="36"/>
        <v>7.3614774984990552</v>
      </c>
      <c r="Z103" s="385">
        <f t="shared" si="37"/>
        <v>7.7115292316296502</v>
      </c>
      <c r="AA103" s="386">
        <f t="shared" si="38"/>
        <v>8.4804654496890279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9.0671464039461927E-2</v>
      </c>
      <c r="AD103" s="231">
        <f>(INDEX(Models!$BJ103:$BT103,,AH103)*(1-AF103)+INDEX(Models!$BJ103:$BT103,,AH103+1)*AF103-ERP_i)*AE103*Ramure*Pc/MaxiM</f>
        <v>1.1279430672535635E-5</v>
      </c>
      <c r="AE103" s="305">
        <f t="shared" si="40"/>
        <v>0.5</v>
      </c>
      <c r="AF103" s="177">
        <f t="shared" si="41"/>
        <v>2.1393830215980181E-2</v>
      </c>
      <c r="AG103" s="811">
        <f t="shared" si="49"/>
        <v>1</v>
      </c>
      <c r="AH103" s="176">
        <f t="shared" si="42"/>
        <v>7</v>
      </c>
      <c r="AI103" s="225">
        <f t="shared" si="43"/>
        <v>1.0213938302159802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'2023'!Wh/'2023'!Env_an*'2024'!Env_an</f>
        <v>27.397928181771398</v>
      </c>
      <c r="C104" s="841"/>
      <c r="D104" s="393">
        <f t="shared" si="25"/>
        <v>28.701378463335598</v>
      </c>
      <c r="E104" s="385">
        <f t="shared" si="47"/>
        <v>30.907197015257402</v>
      </c>
      <c r="F104" s="385">
        <f t="shared" si="26"/>
        <v>30.907309191600742</v>
      </c>
      <c r="G104" s="110">
        <f t="shared" si="48"/>
        <v>0.56353790213269361</v>
      </c>
      <c r="H104" s="414" t="b">
        <f>Wh_hp&gt;='2023'!Maxi_hp</f>
        <v>0</v>
      </c>
      <c r="I104" s="390">
        <f>IF(H104,Wh_hp,'2023'!Maxi_hp)</f>
        <v>49.250450204262727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4.5414204869263841E-2</v>
      </c>
      <c r="M104" s="845"/>
      <c r="N104" s="845"/>
      <c r="O104" s="48">
        <f>IF(t&lt;Tnet,'2023'!Resal+('2023'!Salim-'2023'!Resal)*(1-EXP(('2023'!Tnet-t)/('2023'!Tau_j))),Resal+(Salim-Resal)*(1-EXP((Tnet-t)/(Tau_j))))*Salcycl</f>
        <v>7.1369090857152054E-2</v>
      </c>
      <c r="P104" s="169">
        <f>(INDEX(Models!$BJ104:$BT104,,T104)*(1-R104)+INDEX(Models!$BJ104:$BT104,,T104+1)*R104-ERP_i)*Q104*Ramure*Pc/MaxiM</f>
        <v>9.6402757287417043E-6</v>
      </c>
      <c r="Q104" s="305">
        <f t="shared" si="28"/>
        <v>0.5</v>
      </c>
      <c r="R104" s="177">
        <f t="shared" si="29"/>
        <v>2.2376954699644624E-2</v>
      </c>
      <c r="S104" s="811">
        <f t="shared" si="30"/>
        <v>1</v>
      </c>
      <c r="T104" s="176">
        <f t="shared" si="31"/>
        <v>7</v>
      </c>
      <c r="U104" s="251">
        <f t="shared" si="32"/>
        <v>1.0223769546996446</v>
      </c>
      <c r="V104" s="383">
        <f t="shared" si="33"/>
        <v>48.617428203404863</v>
      </c>
      <c r="W104" s="402">
        <f t="shared" si="34"/>
        <v>27.397928181771398</v>
      </c>
      <c r="X104" s="157">
        <f t="shared" si="35"/>
        <v>45381</v>
      </c>
      <c r="Y104" s="385">
        <f t="shared" si="36"/>
        <v>26.827578042539749</v>
      </c>
      <c r="Z104" s="385">
        <f t="shared" si="37"/>
        <v>28.103894044291277</v>
      </c>
      <c r="AA104" s="386">
        <f t="shared" si="38"/>
        <v>30.907197015257402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9.0700653623888045E-2</v>
      </c>
      <c r="AD104" s="231">
        <f>(INDEX(Models!$BJ104:$BT104,,AH104)*(1-AF104)+INDEX(Models!$BJ104:$BT104,,AH104+1)*AF104-ERP_i)*AE104*Ramure*Pc/MaxiM</f>
        <v>9.6402757287417043E-6</v>
      </c>
      <c r="AE104" s="305">
        <f t="shared" si="40"/>
        <v>0.5</v>
      </c>
      <c r="AF104" s="177">
        <f t="shared" si="41"/>
        <v>2.2376954699644624E-2</v>
      </c>
      <c r="AG104" s="811">
        <f t="shared" si="49"/>
        <v>1</v>
      </c>
      <c r="AH104" s="176">
        <f t="shared" si="42"/>
        <v>7</v>
      </c>
      <c r="AI104" s="225">
        <f t="shared" si="43"/>
        <v>1.0223769546996446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'2023'!Wh/'2023'!Env_an*'2024'!Env_an</f>
        <v>29.983302112707406</v>
      </c>
      <c r="C105" s="841"/>
      <c r="D105" s="393">
        <f t="shared" si="25"/>
        <v>31.410438947765076</v>
      </c>
      <c r="E105" s="385">
        <f t="shared" si="47"/>
        <v>33.826101121461654</v>
      </c>
      <c r="F105" s="385">
        <f t="shared" si="26"/>
        <v>33.826225494584641</v>
      </c>
      <c r="G105" s="110">
        <f t="shared" si="48"/>
        <v>0.61313784000673732</v>
      </c>
      <c r="H105" s="414" t="b">
        <f>Wh_hp&gt;='2023'!Maxi_hp</f>
        <v>0</v>
      </c>
      <c r="I105" s="390">
        <f>IF(H105,Wh_hp,'2023'!Maxi_hp)</f>
        <v>50.405835504746996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4.5435112748057116E-2</v>
      </c>
      <c r="M105" s="845"/>
      <c r="N105" s="845"/>
      <c r="O105" s="48">
        <f>IF(t&lt;Tnet,'2023'!Resal+('2023'!Salim-'2023'!Resal)*(1-EXP(('2023'!Tnet-t)/('2023'!Tau_j))),Resal+(Salim-Resal)*(1-EXP((Tnet-t)/(Tau_j))))*Salcycl</f>
        <v>7.1414147466256808E-2</v>
      </c>
      <c r="P105" s="169">
        <f>(INDEX(Models!$BJ105:$BT105,,T105)*(1-R105)+INDEX(Models!$BJ105:$BT105,,T105+1)*R105-ERP_i)*Q105*Ramure*Pc/MaxiM</f>
        <v>8.2192393122555561E-6</v>
      </c>
      <c r="Q105" s="305">
        <f t="shared" si="28"/>
        <v>0.5</v>
      </c>
      <c r="R105" s="177">
        <f t="shared" si="29"/>
        <v>2.3397013768929886E-2</v>
      </c>
      <c r="S105" s="811">
        <f t="shared" si="30"/>
        <v>1</v>
      </c>
      <c r="T105" s="176">
        <f t="shared" si="31"/>
        <v>7</v>
      </c>
      <c r="U105" s="251">
        <f t="shared" si="32"/>
        <v>1.0233970137689299</v>
      </c>
      <c r="V105" s="383">
        <f t="shared" si="33"/>
        <v>48.901183321692649</v>
      </c>
      <c r="W105" s="402">
        <f t="shared" si="34"/>
        <v>29.983302112707406</v>
      </c>
      <c r="X105" s="157">
        <f t="shared" si="35"/>
        <v>45382</v>
      </c>
      <c r="Y105" s="385">
        <f t="shared" si="36"/>
        <v>29.35958707031962</v>
      </c>
      <c r="Z105" s="385">
        <f t="shared" si="37"/>
        <v>30.757036491088325</v>
      </c>
      <c r="AA105" s="386">
        <f t="shared" si="38"/>
        <v>33.826101121461654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9.07306644461634E-2</v>
      </c>
      <c r="AD105" s="231">
        <f>(INDEX(Models!$BJ105:$BT105,,AH105)*(1-AF105)+INDEX(Models!$BJ105:$BT105,,AH105+1)*AF105-ERP_i)*AE105*Ramure*Pc/MaxiM</f>
        <v>8.2192393122555561E-6</v>
      </c>
      <c r="AE105" s="305">
        <f t="shared" si="40"/>
        <v>0.5</v>
      </c>
      <c r="AF105" s="177">
        <f t="shared" si="41"/>
        <v>2.3397013768929886E-2</v>
      </c>
      <c r="AG105" s="811">
        <f t="shared" si="49"/>
        <v>1</v>
      </c>
      <c r="AH105" s="176">
        <f t="shared" si="42"/>
        <v>7</v>
      </c>
      <c r="AI105" s="225">
        <f t="shared" si="43"/>
        <v>1.0233970137689299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'2023'!Wh/'2023'!Env_an*'2024'!Env_an</f>
        <v>20.44084499082506</v>
      </c>
      <c r="C106" s="841"/>
      <c r="D106" s="393">
        <f t="shared" si="25"/>
        <v>21.414251645526306</v>
      </c>
      <c r="E106" s="385">
        <f t="shared" si="47"/>
        <v>23.062278927585094</v>
      </c>
      <c r="F106" s="385">
        <f t="shared" si="26"/>
        <v>23.062305659029519</v>
      </c>
      <c r="G106" s="110">
        <f t="shared" si="48"/>
        <v>0.41566435950065361</v>
      </c>
      <c r="H106" s="414" t="b">
        <f>Wh_hp&gt;='2023'!Maxi_hp</f>
        <v>0</v>
      </c>
      <c r="I106" s="390">
        <f>IF(H106,Wh_hp,'2023'!Maxi_hp)</f>
        <v>45.758995612636852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4.5456020168914146E-2</v>
      </c>
      <c r="M106" s="845"/>
      <c r="N106" s="845"/>
      <c r="O106" s="48">
        <f>IF(t&lt;Tnet,'2023'!Resal+('2023'!Salim-'2023'!Resal)*(1-EXP(('2023'!Tnet-t)/('2023'!Tau_j))),Resal+(Salim-Resal)*(1-EXP((Tnet-t)/(Tau_j))))*Salcycl</f>
        <v>7.1459862541492364E-2</v>
      </c>
      <c r="P106" s="169">
        <f>(INDEX(Models!$BJ106:$BT106,,T106)*(1-R106)+INDEX(Models!$BJ106:$BT106,,T106+1)*R106-ERP_i)*Q106*Ramure*Pc/MaxiM</f>
        <v>7.0146990983816653E-6</v>
      </c>
      <c r="Q106" s="305">
        <f t="shared" si="28"/>
        <v>0.5</v>
      </c>
      <c r="R106" s="177">
        <f t="shared" si="29"/>
        <v>2.4455217818369235E-2</v>
      </c>
      <c r="S106" s="811">
        <f t="shared" si="30"/>
        <v>1</v>
      </c>
      <c r="T106" s="176">
        <f t="shared" si="31"/>
        <v>7</v>
      </c>
      <c r="U106" s="251">
        <f t="shared" si="32"/>
        <v>1.0244552178183692</v>
      </c>
      <c r="V106" s="383">
        <f t="shared" si="33"/>
        <v>49.176035496002243</v>
      </c>
      <c r="W106" s="402">
        <f t="shared" si="34"/>
        <v>20.44084499082506</v>
      </c>
      <c r="X106" s="157">
        <f t="shared" si="35"/>
        <v>45383</v>
      </c>
      <c r="Y106" s="385">
        <f t="shared" si="36"/>
        <v>20.015938884418205</v>
      </c>
      <c r="Z106" s="385">
        <f t="shared" si="37"/>
        <v>20.969111227290107</v>
      </c>
      <c r="AA106" s="386">
        <f t="shared" si="38"/>
        <v>23.062278927585094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9.0761529112863309E-2</v>
      </c>
      <c r="AD106" s="231">
        <f>(INDEX(Models!$BJ106:$BT106,,AH106)*(1-AF106)+INDEX(Models!$BJ106:$BT106,,AH106+1)*AF106-ERP_i)*AE106*Ramure*Pc/MaxiM</f>
        <v>7.0146990983816653E-6</v>
      </c>
      <c r="AE106" s="305">
        <f t="shared" si="40"/>
        <v>0.5</v>
      </c>
      <c r="AF106" s="177">
        <f t="shared" si="41"/>
        <v>2.4455217818369235E-2</v>
      </c>
      <c r="AG106" s="811">
        <f t="shared" si="49"/>
        <v>1</v>
      </c>
      <c r="AH106" s="176">
        <f t="shared" si="42"/>
        <v>7</v>
      </c>
      <c r="AI106" s="225">
        <f t="shared" si="43"/>
        <v>1.0244552178183692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'2023'!Wh/'2023'!Env_an*'2024'!Env_an</f>
        <v>22.145433932655497</v>
      </c>
      <c r="C107" s="841"/>
      <c r="D107" s="393">
        <f t="shared" si="25"/>
        <v>23.200522399225825</v>
      </c>
      <c r="E107" s="385">
        <f t="shared" si="47"/>
        <v>24.987268568322342</v>
      </c>
      <c r="F107" s="385">
        <f t="shared" si="26"/>
        <v>24.987300376571483</v>
      </c>
      <c r="G107" s="110">
        <f t="shared" si="48"/>
        <v>0.44789053918505067</v>
      </c>
      <c r="H107" s="414" t="b">
        <f>Wh_hp&gt;='2023'!Maxi_hp</f>
        <v>0</v>
      </c>
      <c r="I107" s="390">
        <f>IF(H107,Wh_hp,'2023'!Maxi_hp)</f>
        <v>53.35954700357199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4.5476927131844924E-2</v>
      </c>
      <c r="M107" s="845"/>
      <c r="N107" s="845"/>
      <c r="O107" s="48">
        <f>IF(t&lt;Tnet,'2023'!Resal+('2023'!Salim-'2023'!Resal)*(1-EXP(('2023'!Tnet-t)/('2023'!Tau_j))),Resal+(Salim-Resal)*(1-EXP((Tnet-t)/(Tau_j))))*Salcycl</f>
        <v>7.1506261847350108E-2</v>
      </c>
      <c r="P107" s="169">
        <f>(INDEX(Models!$BJ107:$BT107,,T107)*(1-R107)+INDEX(Models!$BJ107:$BT107,,T107+1)*R107-ERP_i)*Q107*Ramure*Pc/MaxiM</f>
        <v>6.0252049476165085E-6</v>
      </c>
      <c r="Q107" s="305">
        <f t="shared" si="28"/>
        <v>0.5</v>
      </c>
      <c r="R107" s="177">
        <f t="shared" si="29"/>
        <v>2.5552802623182824E-2</v>
      </c>
      <c r="S107" s="811">
        <f t="shared" si="30"/>
        <v>1</v>
      </c>
      <c r="T107" s="176">
        <f t="shared" si="31"/>
        <v>7</v>
      </c>
      <c r="U107" s="251">
        <f t="shared" si="32"/>
        <v>1.0255528026231828</v>
      </c>
      <c r="V107" s="383">
        <f t="shared" si="33"/>
        <v>49.443617926507386</v>
      </c>
      <c r="W107" s="402">
        <f t="shared" si="34"/>
        <v>22.145433932655497</v>
      </c>
      <c r="X107" s="157">
        <f t="shared" si="35"/>
        <v>45384</v>
      </c>
      <c r="Y107" s="385">
        <f t="shared" si="36"/>
        <v>21.685420732025161</v>
      </c>
      <c r="Z107" s="385">
        <f t="shared" si="37"/>
        <v>22.718592508051916</v>
      </c>
      <c r="AA107" s="386">
        <f t="shared" si="38"/>
        <v>24.987268568322342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9.0793279548231381E-2</v>
      </c>
      <c r="AD107" s="231">
        <f>(INDEX(Models!$BJ107:$BT107,,AH107)*(1-AF107)+INDEX(Models!$BJ107:$BT107,,AH107+1)*AF107-ERP_i)*AE107*Ramure*Pc/MaxiM</f>
        <v>6.0252049476165085E-6</v>
      </c>
      <c r="AE107" s="305">
        <f t="shared" si="40"/>
        <v>0.5</v>
      </c>
      <c r="AF107" s="177">
        <f t="shared" si="41"/>
        <v>2.5552802623182824E-2</v>
      </c>
      <c r="AG107" s="811">
        <f t="shared" si="49"/>
        <v>1</v>
      </c>
      <c r="AH107" s="176">
        <f t="shared" si="42"/>
        <v>7</v>
      </c>
      <c r="AI107" s="225">
        <f t="shared" si="43"/>
        <v>1.0255528026231828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'2023'!Wh/'2023'!Env_an*'2024'!Env_an</f>
        <v>46.573190588627163</v>
      </c>
      <c r="C108" s="841"/>
      <c r="D108" s="393">
        <f t="shared" si="25"/>
        <v>48.793174316283732</v>
      </c>
      <c r="E108" s="385">
        <f t="shared" si="47"/>
        <v>52.553558568075601</v>
      </c>
      <c r="F108" s="385">
        <f t="shared" si="26"/>
        <v>52.553813159913311</v>
      </c>
      <c r="G108" s="110">
        <f t="shared" si="48"/>
        <v>0.9369703040533206</v>
      </c>
      <c r="H108" s="414" t="b">
        <f>Wh_hp&gt;='2023'!Maxi_hp</f>
        <v>0</v>
      </c>
      <c r="I108" s="390">
        <f>IF(H108,Wh_hp,'2023'!Maxi_hp)</f>
        <v>56.536713073450201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4.5497833636859664E-2</v>
      </c>
      <c r="M108" s="845"/>
      <c r="N108" s="845"/>
      <c r="O108" s="48">
        <f>IF(t&lt;Tnet,'2023'!Resal+('2023'!Salim-'2023'!Resal)*(1-EXP(('2023'!Tnet-t)/('2023'!Tau_j))),Resal+(Salim-Resal)*(1-EXP((Tnet-t)/(Tau_j))))*Salcycl</f>
        <v>7.1553370585187528E-2</v>
      </c>
      <c r="P108" s="169">
        <f>(INDEX(Models!$BJ108:$BT108,,T108)*(1-R108)+INDEX(Models!$BJ108:$BT108,,T108+1)*R108-ERP_i)*Q108*Ramure*Pc/MaxiM</f>
        <v>5.3237639522463064E-6</v>
      </c>
      <c r="Q108" s="305">
        <f t="shared" si="28"/>
        <v>0.5</v>
      </c>
      <c r="R108" s="177">
        <f t="shared" si="29"/>
        <v>2.6691028658035298E-2</v>
      </c>
      <c r="S108" s="811">
        <f t="shared" si="30"/>
        <v>1</v>
      </c>
      <c r="T108" s="176">
        <f t="shared" si="31"/>
        <v>7</v>
      </c>
      <c r="U108" s="251">
        <f t="shared" si="32"/>
        <v>1.0266910286580353</v>
      </c>
      <c r="V108" s="383">
        <f t="shared" si="33"/>
        <v>49.706130558955948</v>
      </c>
      <c r="W108" s="402">
        <f t="shared" si="34"/>
        <v>46.573190588627163</v>
      </c>
      <c r="X108" s="157">
        <f t="shared" si="35"/>
        <v>45385</v>
      </c>
      <c r="Y108" s="385">
        <f t="shared" si="36"/>
        <v>45.606430257340271</v>
      </c>
      <c r="Z108" s="385">
        <f t="shared" si="37"/>
        <v>47.780331846820872</v>
      </c>
      <c r="AA108" s="386">
        <f t="shared" si="38"/>
        <v>52.553558568075601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9.0825946925586362E-2</v>
      </c>
      <c r="AD108" s="231">
        <f>(INDEX(Models!$BJ108:$BT108,,AH108)*(1-AF108)+INDEX(Models!$BJ108:$BT108,,AH108+1)*AF108-ERP_i)*AE108*Ramure*Pc/MaxiM</f>
        <v>5.3237639522463064E-6</v>
      </c>
      <c r="AE108" s="305">
        <f t="shared" si="40"/>
        <v>0.5</v>
      </c>
      <c r="AF108" s="177">
        <f t="shared" si="41"/>
        <v>2.6691028658035298E-2</v>
      </c>
      <c r="AG108" s="811">
        <f t="shared" si="49"/>
        <v>1</v>
      </c>
      <c r="AH108" s="176">
        <f t="shared" si="42"/>
        <v>7</v>
      </c>
      <c r="AI108" s="225">
        <f t="shared" si="43"/>
        <v>1.0266910286580353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'2023'!Wh/'2023'!Env_an*'2024'!Env_an</f>
        <v>49.504186243549626</v>
      </c>
      <c r="C109" s="841"/>
      <c r="D109" s="393">
        <f t="shared" si="25"/>
        <v>51.865016424899359</v>
      </c>
      <c r="E109" s="385">
        <f t="shared" si="47"/>
        <v>55.865019612443469</v>
      </c>
      <c r="F109" s="385">
        <f t="shared" si="26"/>
        <v>55.865284043788179</v>
      </c>
      <c r="G109" s="110">
        <f t="shared" si="48"/>
        <v>0.99080729121781119</v>
      </c>
      <c r="H109" s="414" t="b">
        <f>Wh_hp&gt;='2023'!Maxi_hp</f>
        <v>0</v>
      </c>
      <c r="I109" s="390">
        <f>IF(H109,Wh_hp,'2023'!Maxi_hp)</f>
        <v>58.623693621493487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4.5518739683968246E-2</v>
      </c>
      <c r="M109" s="845"/>
      <c r="N109" s="845"/>
      <c r="O109" s="48">
        <f>IF(t&lt;Tnet,'2023'!Resal+('2023'!Salim-'2023'!Resal)*(1-EXP(('2023'!Tnet-t)/('2023'!Tau_j))),Resal+(Salim-Resal)*(1-EXP((Tnet-t)/(Tau_j))))*Salcycl</f>
        <v>7.1601213340541647E-2</v>
      </c>
      <c r="P109" s="169">
        <f>(INDEX(Models!$BJ109:$BT109,,T109)*(1-R109)+INDEX(Models!$BJ109:$BT109,,T109+1)*R109-ERP_i)*Q109*Ramure*Pc/MaxiM</f>
        <v>4.7963626269216838E-6</v>
      </c>
      <c r="Q109" s="305">
        <f t="shared" si="28"/>
        <v>0.5</v>
      </c>
      <c r="R109" s="177">
        <f t="shared" si="29"/>
        <v>2.7871180286054065E-2</v>
      </c>
      <c r="S109" s="811">
        <f t="shared" si="30"/>
        <v>1</v>
      </c>
      <c r="T109" s="176">
        <f t="shared" si="31"/>
        <v>7</v>
      </c>
      <c r="U109" s="251">
        <f t="shared" si="32"/>
        <v>1.0278711802860541</v>
      </c>
      <c r="V109" s="383">
        <f t="shared" si="33"/>
        <v>49.96348287318591</v>
      </c>
      <c r="W109" s="402">
        <f t="shared" si="34"/>
        <v>49.504186243549626</v>
      </c>
      <c r="X109" s="157">
        <f t="shared" si="35"/>
        <v>45386</v>
      </c>
      <c r="Y109" s="385">
        <f t="shared" si="36"/>
        <v>48.477290395813689</v>
      </c>
      <c r="Z109" s="385">
        <f t="shared" si="37"/>
        <v>50.789148421586304</v>
      </c>
      <c r="AA109" s="386">
        <f t="shared" si="38"/>
        <v>55.865019612443469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9.0859561601703179E-2</v>
      </c>
      <c r="AD109" s="231">
        <f>(INDEX(Models!$BJ109:$BT109,,AH109)*(1-AF109)+INDEX(Models!$BJ109:$BT109,,AH109+1)*AF109-ERP_i)*AE109*Ramure*Pc/MaxiM</f>
        <v>4.7963626269216838E-6</v>
      </c>
      <c r="AE109" s="305">
        <f t="shared" si="40"/>
        <v>0.5</v>
      </c>
      <c r="AF109" s="177">
        <f t="shared" si="41"/>
        <v>2.7871180286054065E-2</v>
      </c>
      <c r="AG109" s="811">
        <f t="shared" si="49"/>
        <v>1</v>
      </c>
      <c r="AH109" s="176">
        <f t="shared" si="42"/>
        <v>7</v>
      </c>
      <c r="AI109" s="225">
        <f t="shared" si="43"/>
        <v>1.0278711802860541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'2023'!Wh/'2023'!Env_an*'2024'!Env_an</f>
        <v>10.845051758449012</v>
      </c>
      <c r="C110" s="841"/>
      <c r="D110" s="393">
        <f t="shared" si="25"/>
        <v>11.362495785959624</v>
      </c>
      <c r="E110" s="385">
        <f t="shared" si="47"/>
        <v>12.239450110215444</v>
      </c>
      <c r="F110" s="385">
        <f t="shared" si="26"/>
        <v>12.239450110215444</v>
      </c>
      <c r="G110" s="110">
        <f t="shared" si="48"/>
        <v>0.21596890509951266</v>
      </c>
      <c r="H110" s="414" t="b">
        <f>Wh_hp&gt;='2023'!Maxi_hp</f>
        <v>0</v>
      </c>
      <c r="I110" s="390">
        <f>IF(H110,Wh_hp,'2023'!Maxi_hp)</f>
        <v>59.354429100482541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4.5539645273180773E-2</v>
      </c>
      <c r="M110" s="845"/>
      <c r="N110" s="845"/>
      <c r="O110" s="48">
        <f>IF(t&lt;Tnet,'2023'!Resal+('2023'!Salim-'2023'!Resal)*(1-EXP(('2023'!Tnet-t)/('2023'!Tau_j))),Resal+(Salim-Resal)*(1-EXP((Tnet-t)/(Tau_j))))*Salcycl</f>
        <v>7.1649814032403752E-2</v>
      </c>
      <c r="P110" s="169">
        <f>(INDEX(Models!$BJ110:$BT110,,T110)*(1-R110)+INDEX(Models!$BJ110:$BT110,,T110+1)*R110-ERP_i)*Q110*Ramure*Pc/MaxiM</f>
        <v>4.4420583282033072E-6</v>
      </c>
      <c r="Q110" s="305">
        <f t="shared" si="28"/>
        <v>0.5</v>
      </c>
      <c r="R110" s="177">
        <f t="shared" si="29"/>
        <v>2.9094564809094337E-2</v>
      </c>
      <c r="S110" s="811">
        <f t="shared" si="30"/>
        <v>1</v>
      </c>
      <c r="T110" s="176">
        <f t="shared" si="31"/>
        <v>7</v>
      </c>
      <c r="U110" s="251">
        <f t="shared" si="32"/>
        <v>1.0290945648090943</v>
      </c>
      <c r="V110" s="383">
        <f t="shared" si="33"/>
        <v>50.215578854277382</v>
      </c>
      <c r="W110" s="402">
        <f t="shared" si="34"/>
        <v>10.845051758449012</v>
      </c>
      <c r="X110" s="157">
        <f t="shared" si="35"/>
        <v>45387</v>
      </c>
      <c r="Y110" s="385">
        <f t="shared" si="36"/>
        <v>10.620238044940031</v>
      </c>
      <c r="Z110" s="385">
        <f t="shared" si="37"/>
        <v>11.126955658603233</v>
      </c>
      <c r="AA110" s="386">
        <f t="shared" si="38"/>
        <v>12.239450110215444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9.0894153053795057E-2</v>
      </c>
      <c r="AD110" s="231">
        <f>(INDEX(Models!$BJ110:$BT110,,AH110)*(1-AF110)+INDEX(Models!$BJ110:$BT110,,AH110+1)*AF110-ERP_i)*AE110*Ramure*Pc/MaxiM</f>
        <v>4.4420583282033072E-6</v>
      </c>
      <c r="AE110" s="305">
        <f t="shared" si="40"/>
        <v>0.5</v>
      </c>
      <c r="AF110" s="177">
        <f t="shared" si="41"/>
        <v>2.9094564809094337E-2</v>
      </c>
      <c r="AG110" s="811">
        <f t="shared" si="49"/>
        <v>1</v>
      </c>
      <c r="AH110" s="176">
        <f t="shared" si="42"/>
        <v>7</v>
      </c>
      <c r="AI110" s="225">
        <f t="shared" si="43"/>
        <v>1.0290945648090943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'2023'!Wh/'2023'!Env_an*'2024'!Env_an</f>
        <v>37.072597003311955</v>
      </c>
      <c r="C111" s="841"/>
      <c r="D111" s="393">
        <f t="shared" si="25"/>
        <v>38.842272308656078</v>
      </c>
      <c r="E111" s="385">
        <f t="shared" si="47"/>
        <v>41.842334010270974</v>
      </c>
      <c r="F111" s="385">
        <f t="shared" si="26"/>
        <v>41.84244469885801</v>
      </c>
      <c r="G111" s="110">
        <f t="shared" si="48"/>
        <v>0.73465776581684061</v>
      </c>
      <c r="H111" s="414" t="b">
        <f>Wh_hp&gt;='2023'!Maxi_hp</f>
        <v>0</v>
      </c>
      <c r="I111" s="390">
        <f>IF(H111,Wh_hp,'2023'!Maxi_hp)</f>
        <v>56.351753523847592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4.5560550404507238E-2</v>
      </c>
      <c r="M111" s="845"/>
      <c r="N111" s="845"/>
      <c r="O111" s="48">
        <f>IF(t&lt;Tnet,'2023'!Resal+('2023'!Salim-'2023'!Resal)*(1-EXP(('2023'!Tnet-t)/('2023'!Tau_j))),Resal+(Salim-Resal)*(1-EXP((Tnet-t)/(Tau_j))))*Salcycl</f>
        <v>7.1699195864133064E-2</v>
      </c>
      <c r="P111" s="169">
        <f>(INDEX(Models!$BJ111:$BT111,,T111)*(1-R111)+INDEX(Models!$BJ111:$BT111,,T111+1)*R111-ERP_i)*Q111*Ramure*Pc/MaxiM</f>
        <v>4.2602511667759141E-6</v>
      </c>
      <c r="Q111" s="305">
        <f t="shared" si="28"/>
        <v>0.5</v>
      </c>
      <c r="R111" s="177">
        <f t="shared" si="29"/>
        <v>3.0362511370043421E-2</v>
      </c>
      <c r="S111" s="811">
        <f t="shared" si="30"/>
        <v>1</v>
      </c>
      <c r="T111" s="176">
        <f t="shared" si="31"/>
        <v>7</v>
      </c>
      <c r="U111" s="251">
        <f t="shared" si="32"/>
        <v>1.0303625113700434</v>
      </c>
      <c r="V111" s="383">
        <f t="shared" si="33"/>
        <v>50.462322540009708</v>
      </c>
      <c r="W111" s="402">
        <f t="shared" si="34"/>
        <v>37.072597003311955</v>
      </c>
      <c r="X111" s="157">
        <f t="shared" si="35"/>
        <v>45388</v>
      </c>
      <c r="Y111" s="385">
        <f t="shared" si="36"/>
        <v>36.30460609591308</v>
      </c>
      <c r="Z111" s="385">
        <f t="shared" si="37"/>
        <v>38.037621046887338</v>
      </c>
      <c r="AA111" s="386">
        <f t="shared" si="38"/>
        <v>41.842334010270974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9.0929749818681196E-2</v>
      </c>
      <c r="AD111" s="231">
        <f>(INDEX(Models!$BJ111:$BT111,,AH111)*(1-AF111)+INDEX(Models!$BJ111:$BT111,,AH111+1)*AF111-ERP_i)*AE111*Ramure*Pc/MaxiM</f>
        <v>4.2602511667759141E-6</v>
      </c>
      <c r="AE111" s="305">
        <f t="shared" si="40"/>
        <v>0.5</v>
      </c>
      <c r="AF111" s="177">
        <f t="shared" si="41"/>
        <v>3.0362511370043421E-2</v>
      </c>
      <c r="AG111" s="811">
        <f t="shared" si="49"/>
        <v>1</v>
      </c>
      <c r="AH111" s="176">
        <f t="shared" si="42"/>
        <v>7</v>
      </c>
      <c r="AI111" s="225">
        <f t="shared" si="43"/>
        <v>1.0303625113700434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'2023'!Wh/'2023'!Env_an*'2024'!Env_an</f>
        <v>30.537918873755125</v>
      </c>
      <c r="C112" s="841"/>
      <c r="D112" s="393">
        <f t="shared" si="25"/>
        <v>31.996359496817494</v>
      </c>
      <c r="E112" s="385">
        <f t="shared" si="47"/>
        <v>34.469526711211692</v>
      </c>
      <c r="F112" s="385">
        <f t="shared" si="26"/>
        <v>34.469589983146449</v>
      </c>
      <c r="G112" s="110">
        <f t="shared" si="48"/>
        <v>0.6022813816222341</v>
      </c>
      <c r="H112" s="414" t="b">
        <f>Wh_hp&gt;='2023'!Maxi_hp</f>
        <v>0</v>
      </c>
      <c r="I112" s="390">
        <f>IF(H112,Wh_hp,'2023'!Maxi_hp)</f>
        <v>55.793489046232402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4.5581455077957633E-2</v>
      </c>
      <c r="M112" s="845"/>
      <c r="N112" s="845"/>
      <c r="O112" s="48">
        <f>IF(t&lt;Tnet,'2023'!Resal+('2023'!Salim-'2023'!Resal)*(1-EXP(('2023'!Tnet-t)/('2023'!Tau_j))),Resal+(Salim-Resal)*(1-EXP((Tnet-t)/(Tau_j))))*Salcycl</f>
        <v>7.1749381275657803E-2</v>
      </c>
      <c r="P112" s="169">
        <f>(INDEX(Models!$BJ112:$BT112,,T112)*(1-R112)+INDEX(Models!$BJ112:$BT112,,T112+1)*R112-ERP_i)*Q112*Ramure*Pc/MaxiM</f>
        <v>4.2506911306536033E-6</v>
      </c>
      <c r="Q112" s="305">
        <f t="shared" si="28"/>
        <v>0.5</v>
      </c>
      <c r="R112" s="177">
        <f t="shared" si="29"/>
        <v>3.1676369697786866E-2</v>
      </c>
      <c r="S112" s="811">
        <f t="shared" si="30"/>
        <v>1</v>
      </c>
      <c r="T112" s="176">
        <f t="shared" si="31"/>
        <v>7</v>
      </c>
      <c r="U112" s="251">
        <f t="shared" si="32"/>
        <v>1.0316763696977869</v>
      </c>
      <c r="V112" s="383">
        <f t="shared" si="33"/>
        <v>50.703618031684272</v>
      </c>
      <c r="W112" s="402">
        <f t="shared" si="34"/>
        <v>30.537918873755125</v>
      </c>
      <c r="X112" s="157">
        <f t="shared" si="35"/>
        <v>45389</v>
      </c>
      <c r="Y112" s="385">
        <f t="shared" si="36"/>
        <v>29.905711236173843</v>
      </c>
      <c r="Z112" s="385">
        <f t="shared" si="37"/>
        <v>31.33395866549991</v>
      </c>
      <c r="AA112" s="386">
        <f t="shared" si="38"/>
        <v>34.469526711211692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9.0966379433689584E-2</v>
      </c>
      <c r="AD112" s="231">
        <f>(INDEX(Models!$BJ112:$BT112,,AH112)*(1-AF112)+INDEX(Models!$BJ112:$BT112,,AH112+1)*AF112-ERP_i)*AE112*Ramure*Pc/MaxiM</f>
        <v>4.2506911306536033E-6</v>
      </c>
      <c r="AE112" s="305">
        <f t="shared" si="40"/>
        <v>0.5</v>
      </c>
      <c r="AF112" s="177">
        <f t="shared" si="41"/>
        <v>3.1676369697786866E-2</v>
      </c>
      <c r="AG112" s="811">
        <f t="shared" si="49"/>
        <v>1</v>
      </c>
      <c r="AH112" s="176">
        <f t="shared" si="42"/>
        <v>7</v>
      </c>
      <c r="AI112" s="225">
        <f t="shared" si="43"/>
        <v>1.0316763696977869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'2023'!Wh/'2023'!Env_an*'2024'!Env_an</f>
        <v>34.003034505655158</v>
      </c>
      <c r="C113" s="841"/>
      <c r="D113" s="393">
        <f t="shared" si="25"/>
        <v>35.627743673471002</v>
      </c>
      <c r="E113" s="385">
        <f t="shared" si="47"/>
        <v>38.383709023826569</v>
      </c>
      <c r="F113" s="385">
        <f t="shared" si="26"/>
        <v>38.383797966931134</v>
      </c>
      <c r="G113" s="110">
        <f t="shared" si="48"/>
        <v>0.66751833729537968</v>
      </c>
      <c r="H113" s="414" t="b">
        <f>Wh_hp&gt;='2023'!Maxi_hp</f>
        <v>0</v>
      </c>
      <c r="I113" s="390">
        <f>IF(H113,Wh_hp,'2023'!Maxi_hp)</f>
        <v>41.648731192226585</v>
      </c>
      <c r="J113" s="85">
        <f>IF(H113,An,'2023'!An_max)</f>
        <v>2019</v>
      </c>
      <c r="K113" s="197">
        <f t="shared" si="27"/>
        <v>45390</v>
      </c>
      <c r="L113" s="147">
        <f>IF(t&lt;Tvie,1-EXP((T0-t)*PertePVj)+'2023'!Pspv,1-EXP((T0-t)*PertePVj)+Pspv)</f>
        <v>4.5602359293542061E-2</v>
      </c>
      <c r="M113" s="845"/>
      <c r="N113" s="845"/>
      <c r="O113" s="48">
        <f>IF(t&lt;Tnet,'2023'!Resal+('2023'!Salim-'2023'!Resal)*(1-EXP(('2023'!Tnet-t)/('2023'!Tau_j))),Resal+(Salim-Resal)*(1-EXP((Tnet-t)/(Tau_j))))*Salcycl</f>
        <v>7.1800391896593693E-2</v>
      </c>
      <c r="P113" s="169">
        <f>(INDEX(Models!$BJ113:$BT113,,T113)*(1-R113)+INDEX(Models!$BJ113:$BT113,,T113+1)*R113-ERP_i)*Q113*Ramure*Pc/MaxiM</f>
        <v>4.4134855917082967E-6</v>
      </c>
      <c r="Q113" s="305">
        <f t="shared" si="28"/>
        <v>0.5</v>
      </c>
      <c r="R113" s="177">
        <f t="shared" si="29"/>
        <v>3.3037508685352934E-2</v>
      </c>
      <c r="S113" s="811">
        <f t="shared" si="30"/>
        <v>1</v>
      </c>
      <c r="T113" s="176">
        <f t="shared" si="31"/>
        <v>7</v>
      </c>
      <c r="U113" s="251">
        <f t="shared" si="32"/>
        <v>1.0330375086853529</v>
      </c>
      <c r="V113" s="383">
        <f t="shared" si="33"/>
        <v>50.939369491090069</v>
      </c>
      <c r="W113" s="402">
        <f t="shared" si="34"/>
        <v>34.003034505655158</v>
      </c>
      <c r="X113" s="157">
        <f t="shared" si="35"/>
        <v>45390</v>
      </c>
      <c r="Y113" s="385">
        <f t="shared" si="36"/>
        <v>33.299540054289359</v>
      </c>
      <c r="Z113" s="385">
        <f t="shared" si="37"/>
        <v>34.890635343189444</v>
      </c>
      <c r="AA113" s="386">
        <f t="shared" si="38"/>
        <v>38.383709023826569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9.1004068378822051E-2</v>
      </c>
      <c r="AD113" s="231">
        <f>(INDEX(Models!$BJ113:$BT113,,AH113)*(1-AF113)+INDEX(Models!$BJ113:$BT113,,AH113+1)*AF113-ERP_i)*AE113*Ramure*Pc/MaxiM</f>
        <v>4.4134855917082967E-6</v>
      </c>
      <c r="AE113" s="305">
        <f t="shared" si="40"/>
        <v>0.5</v>
      </c>
      <c r="AF113" s="177">
        <f t="shared" si="41"/>
        <v>3.3037508685352934E-2</v>
      </c>
      <c r="AG113" s="811">
        <f t="shared" si="49"/>
        <v>1</v>
      </c>
      <c r="AH113" s="176">
        <f t="shared" si="42"/>
        <v>7</v>
      </c>
      <c r="AI113" s="225">
        <f t="shared" si="43"/>
        <v>1.0330375086853529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'2023'!Wh/'2023'!Env_an*'2024'!Env_an</f>
        <v>51.203184026798908</v>
      </c>
      <c r="C114" s="841"/>
      <c r="D114" s="393">
        <f t="shared" si="25"/>
        <v>53.650913779083048</v>
      </c>
      <c r="E114" s="385">
        <f t="shared" si="47"/>
        <v>57.804281368317369</v>
      </c>
      <c r="F114" s="385">
        <f t="shared" si="26"/>
        <v>57.804561838176731</v>
      </c>
      <c r="G114" s="110">
        <f t="shared" si="48"/>
        <v>1.0006587548321233</v>
      </c>
      <c r="H114" s="414" t="b">
        <f>Wh_hp&gt;='2023'!Maxi_hp</f>
        <v>0</v>
      </c>
      <c r="I114" s="390">
        <f>IF(H114,Wh_hp,'2023'!Maxi_hp)</f>
        <v>58.06042842516851</v>
      </c>
      <c r="J114" s="85">
        <f>IF(H114,An,'2023'!An_max)</f>
        <v>2020</v>
      </c>
      <c r="K114" s="197">
        <f t="shared" si="27"/>
        <v>45391</v>
      </c>
      <c r="L114" s="147">
        <f>IF(t&lt;Tvie,1-EXP((T0-t)*PertePVj)+'2023'!Pspv,1-EXP((T0-t)*PertePVj)+Pspv)</f>
        <v>4.5623263051270513E-2</v>
      </c>
      <c r="M114" s="845"/>
      <c r="N114" s="845"/>
      <c r="O114" s="48">
        <f>IF(t&lt;Tnet,'2023'!Resal+('2023'!Salim-'2023'!Resal)*(1-EXP(('2023'!Tnet-t)/('2023'!Tau_j))),Resal+(Salim-Resal)*(1-EXP((Tnet-t)/(Tau_j))))*Salcycl</f>
        <v>7.1852248499897228E-2</v>
      </c>
      <c r="P114" s="169">
        <f>(INDEX(Models!$BJ114:$BT114,,T114)*(1-R114)+INDEX(Models!$BJ114:$BT114,,T114+1)*R114-ERP_i)*Q114*Ramure*Pc/MaxiM</f>
        <v>4.8520367673902666E-6</v>
      </c>
      <c r="Q114" s="305">
        <f t="shared" si="28"/>
        <v>0.5</v>
      </c>
      <c r="R114" s="177">
        <f t="shared" si="29"/>
        <v>3.4447314791695494E-2</v>
      </c>
      <c r="S114" s="811">
        <f t="shared" si="30"/>
        <v>1</v>
      </c>
      <c r="T114" s="176">
        <f t="shared" si="31"/>
        <v>7</v>
      </c>
      <c r="U114" s="251">
        <f t="shared" si="32"/>
        <v>1.0344473147916955</v>
      </c>
      <c r="V114" s="383">
        <f t="shared" si="33"/>
        <v>51.169475887300933</v>
      </c>
      <c r="W114" s="402">
        <f t="shared" si="34"/>
        <v>51.203184026798908</v>
      </c>
      <c r="X114" s="157">
        <f t="shared" si="35"/>
        <v>45391</v>
      </c>
      <c r="Y114" s="385">
        <f t="shared" si="36"/>
        <v>50.144495375138142</v>
      </c>
      <c r="Z114" s="385">
        <f t="shared" si="37"/>
        <v>52.541615311639745</v>
      </c>
      <c r="AA114" s="386">
        <f t="shared" si="38"/>
        <v>57.804281368317369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9.1042842019693412E-2</v>
      </c>
      <c r="AD114" s="231">
        <f>(INDEX(Models!$BJ114:$BT114,,AH114)*(1-AF114)+INDEX(Models!$BJ114:$BT114,,AH114+1)*AF114-ERP_i)*AE114*Ramure*Pc/MaxiM</f>
        <v>4.8520367673902666E-6</v>
      </c>
      <c r="AE114" s="305">
        <f t="shared" si="40"/>
        <v>0.5</v>
      </c>
      <c r="AF114" s="177">
        <f t="shared" si="41"/>
        <v>3.4447314791695494E-2</v>
      </c>
      <c r="AG114" s="811">
        <f t="shared" si="49"/>
        <v>1</v>
      </c>
      <c r="AH114" s="176">
        <f t="shared" si="42"/>
        <v>7</v>
      </c>
      <c r="AI114" s="225">
        <f t="shared" si="43"/>
        <v>1.0344473147916955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'2023'!Wh/'2023'!Env_an*'2024'!Env_an</f>
        <v>42.997941887099337</v>
      </c>
      <c r="C115" s="841"/>
      <c r="D115" s="393">
        <f t="shared" si="25"/>
        <v>45.054413009351741</v>
      </c>
      <c r="E115" s="385">
        <f t="shared" si="47"/>
        <v>48.545042909824332</v>
      </c>
      <c r="F115" s="385">
        <f t="shared" si="26"/>
        <v>48.545246360994589</v>
      </c>
      <c r="G115" s="110">
        <f t="shared" si="48"/>
        <v>0.83663492533831185</v>
      </c>
      <c r="H115" s="414" t="b">
        <f>Wh_hp&gt;='2023'!Maxi_hp</f>
        <v>0</v>
      </c>
      <c r="I115" s="390">
        <f>IF(H115,Wh_hp,'2023'!Maxi_hp)</f>
        <v>59.123099904366789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4.5644166351152982E-2</v>
      </c>
      <c r="M115" s="845"/>
      <c r="N115" s="845"/>
      <c r="O115" s="48">
        <f>IF(t&lt;Tnet,'2023'!Resal+('2023'!Salim-'2023'!Resal)*(1-EXP(('2023'!Tnet-t)/('2023'!Tau_j))),Resal+(Salim-Resal)*(1-EXP((Tnet-t)/(Tau_j))))*Salcycl</f>
        <v>7.1904970955668251E-2</v>
      </c>
      <c r="P115" s="169">
        <f>(INDEX(Models!$BJ115:$BT115,,T115)*(1-R115)+INDEX(Models!$BJ115:$BT115,,T115+1)*R115-ERP_i)*Q115*Ramure*Pc/MaxiM</f>
        <v>5.4667816119321515E-6</v>
      </c>
      <c r="Q115" s="305">
        <f t="shared" si="28"/>
        <v>0.5</v>
      </c>
      <c r="R115" s="177">
        <f t="shared" si="29"/>
        <v>3.5907190257592481E-2</v>
      </c>
      <c r="S115" s="811">
        <f t="shared" si="30"/>
        <v>1</v>
      </c>
      <c r="T115" s="176">
        <f t="shared" si="31"/>
        <v>7</v>
      </c>
      <c r="U115" s="251">
        <f t="shared" si="32"/>
        <v>1.0359071902575925</v>
      </c>
      <c r="V115" s="383">
        <f t="shared" si="33"/>
        <v>51.393846619258795</v>
      </c>
      <c r="W115" s="402">
        <f t="shared" si="34"/>
        <v>42.997941887099337</v>
      </c>
      <c r="X115" s="157">
        <f t="shared" si="35"/>
        <v>45392</v>
      </c>
      <c r="Y115" s="385">
        <f t="shared" si="36"/>
        <v>42.109451044242739</v>
      </c>
      <c r="Z115" s="385">
        <f t="shared" si="37"/>
        <v>44.12342813816425</v>
      </c>
      <c r="AA115" s="386">
        <f t="shared" si="38"/>
        <v>48.545042909824332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9.1082724550754376E-2</v>
      </c>
      <c r="AD115" s="231">
        <f>(INDEX(Models!$BJ115:$BT115,,AH115)*(1-AF115)+INDEX(Models!$BJ115:$BT115,,AH115+1)*AF115-ERP_i)*AE115*Ramure*Pc/MaxiM</f>
        <v>5.4667816119321515E-6</v>
      </c>
      <c r="AE115" s="305">
        <f t="shared" si="40"/>
        <v>0.5</v>
      </c>
      <c r="AF115" s="177">
        <f t="shared" si="41"/>
        <v>3.5907190257592481E-2</v>
      </c>
      <c r="AG115" s="811">
        <f t="shared" si="49"/>
        <v>1</v>
      </c>
      <c r="AH115" s="176">
        <f t="shared" si="42"/>
        <v>7</v>
      </c>
      <c r="AI115" s="225">
        <f t="shared" si="43"/>
        <v>1.0359071902575925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'2023'!Wh/'2023'!Env_an*'2024'!Env_an</f>
        <v>34.870488471324109</v>
      </c>
      <c r="C116" s="841"/>
      <c r="D116" s="393">
        <f t="shared" si="25"/>
        <v>36.539046560775461</v>
      </c>
      <c r="E116" s="385">
        <f t="shared" si="47"/>
        <v>39.372215185507443</v>
      </c>
      <c r="F116" s="385">
        <f t="shared" si="26"/>
        <v>39.372347405256122</v>
      </c>
      <c r="G116" s="110">
        <f t="shared" si="48"/>
        <v>0.67562052388766092</v>
      </c>
      <c r="H116" s="414" t="b">
        <f>Wh_hp&gt;='2023'!Maxi_hp</f>
        <v>0</v>
      </c>
      <c r="I116" s="390">
        <f>IF(H116,Wh_hp,'2023'!Maxi_hp)</f>
        <v>58.323508945597986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4.566506919319957E-2</v>
      </c>
      <c r="M116" s="845"/>
      <c r="N116" s="845"/>
      <c r="O116" s="48">
        <f>IF(t&lt;Tnet,'2023'!Resal+('2023'!Salim-'2023'!Resal)*(1-EXP(('2023'!Tnet-t)/('2023'!Tau_j))),Resal+(Salim-Resal)*(1-EXP((Tnet-t)/(Tau_j))))*Salcycl</f>
        <v>7.1958578184720623E-2</v>
      </c>
      <c r="P116" s="169">
        <f>(INDEX(Models!$BJ116:$BT116,,T116)*(1-R116)+INDEX(Models!$BJ116:$BT116,,T116+1)*R116-ERP_i)*Q116*Ramure*Pc/MaxiM</f>
        <v>6.2582294131338883E-6</v>
      </c>
      <c r="Q116" s="305">
        <f t="shared" si="28"/>
        <v>0.5</v>
      </c>
      <c r="R116" s="177">
        <f t="shared" si="29"/>
        <v>3.7418551126220834E-2</v>
      </c>
      <c r="S116" s="811">
        <f t="shared" si="30"/>
        <v>1</v>
      </c>
      <c r="T116" s="176">
        <f t="shared" si="31"/>
        <v>7</v>
      </c>
      <c r="U116" s="251">
        <f t="shared" si="32"/>
        <v>1.0374185511262208</v>
      </c>
      <c r="V116" s="383">
        <f t="shared" si="33"/>
        <v>51.612386113547906</v>
      </c>
      <c r="W116" s="402">
        <f t="shared" si="34"/>
        <v>34.870488471324109</v>
      </c>
      <c r="X116" s="157">
        <f t="shared" si="35"/>
        <v>45393</v>
      </c>
      <c r="Y116" s="385">
        <f t="shared" si="36"/>
        <v>34.150371350040807</v>
      </c>
      <c r="Z116" s="385">
        <f t="shared" si="37"/>
        <v>35.784471727520106</v>
      </c>
      <c r="AA116" s="386">
        <f t="shared" si="38"/>
        <v>39.372215185507443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9.1123738938314797E-2</v>
      </c>
      <c r="AD116" s="231">
        <f>(INDEX(Models!$BJ116:$BT116,,AH116)*(1-AF116)+INDEX(Models!$BJ116:$BT116,,AH116+1)*AF116-ERP_i)*AE116*Ramure*Pc/MaxiM</f>
        <v>6.2582294131338883E-6</v>
      </c>
      <c r="AE116" s="305">
        <f t="shared" si="40"/>
        <v>0.5</v>
      </c>
      <c r="AF116" s="177">
        <f t="shared" si="41"/>
        <v>3.7418551126220834E-2</v>
      </c>
      <c r="AG116" s="811">
        <f t="shared" si="49"/>
        <v>1</v>
      </c>
      <c r="AH116" s="176">
        <f t="shared" si="42"/>
        <v>7</v>
      </c>
      <c r="AI116" s="225">
        <f t="shared" si="43"/>
        <v>1.0374185511262208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'2023'!Wh/'2023'!Env_an*'2024'!Env_an</f>
        <v>6.9922677214031577</v>
      </c>
      <c r="C117" s="841"/>
      <c r="D117" s="393">
        <f t="shared" si="25"/>
        <v>7.327009258116985</v>
      </c>
      <c r="E117" s="385">
        <f t="shared" si="47"/>
        <v>7.8955954704216422</v>
      </c>
      <c r="F117" s="385">
        <f t="shared" si="26"/>
        <v>7.8955954704216422</v>
      </c>
      <c r="G117" s="110">
        <f t="shared" si="48"/>
        <v>0.13491977495731725</v>
      </c>
      <c r="H117" s="414" t="b">
        <f>Wh_hp&gt;='2023'!Maxi_hp</f>
        <v>0</v>
      </c>
      <c r="I117" s="390">
        <f>IF(H117,Wh_hp,'2023'!Maxi_hp)</f>
        <v>59.034851740298983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4.568597157742027E-2</v>
      </c>
      <c r="M117" s="845"/>
      <c r="N117" s="845"/>
      <c r="O117" s="48">
        <f>IF(t&lt;Tnet,'2023'!Resal+('2023'!Salim-'2023'!Resal)*(1-EXP(('2023'!Tnet-t)/('2023'!Tau_j))),Resal+(Salim-Resal)*(1-EXP((Tnet-t)/(Tau_j))))*Salcycl</f>
        <v>7.2013088111553616E-2</v>
      </c>
      <c r="P117" s="169">
        <f>(INDEX(Models!$BJ117:$BT117,,T117)*(1-R117)+INDEX(Models!$BJ117:$BT117,,T117+1)*R117-ERP_i)*Q117*Ramure*Pc/MaxiM</f>
        <v>7.2272327004358599E-6</v>
      </c>
      <c r="Q117" s="305">
        <f t="shared" si="28"/>
        <v>0.5</v>
      </c>
      <c r="R117" s="177">
        <f t="shared" si="29"/>
        <v>3.8982825059142412E-2</v>
      </c>
      <c r="S117" s="811">
        <f t="shared" si="30"/>
        <v>1</v>
      </c>
      <c r="T117" s="176">
        <f t="shared" si="31"/>
        <v>7</v>
      </c>
      <c r="U117" s="251">
        <f t="shared" si="32"/>
        <v>1.0389828250591424</v>
      </c>
      <c r="V117" s="383">
        <f t="shared" si="33"/>
        <v>51.82499888447979</v>
      </c>
      <c r="W117" s="402">
        <f t="shared" si="34"/>
        <v>6.9922677214031577</v>
      </c>
      <c r="X117" s="157">
        <f t="shared" si="35"/>
        <v>45394</v>
      </c>
      <c r="Y117" s="385">
        <f t="shared" si="36"/>
        <v>6.8479535779456748</v>
      </c>
      <c r="Z117" s="385">
        <f t="shared" si="37"/>
        <v>7.1757863491380354</v>
      </c>
      <c r="AA117" s="386">
        <f t="shared" si="38"/>
        <v>7.8955954704216422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9.1165906862901658E-2</v>
      </c>
      <c r="AD117" s="231">
        <f>(INDEX(Models!$BJ117:$BT117,,AH117)*(1-AF117)+INDEX(Models!$BJ117:$BT117,,AH117+1)*AF117-ERP_i)*AE117*Ramure*Pc/MaxiM</f>
        <v>7.2272327004358599E-6</v>
      </c>
      <c r="AE117" s="305">
        <f t="shared" si="40"/>
        <v>0.5</v>
      </c>
      <c r="AF117" s="177">
        <f t="shared" si="41"/>
        <v>3.8982825059142412E-2</v>
      </c>
      <c r="AG117" s="811">
        <f t="shared" si="49"/>
        <v>1</v>
      </c>
      <c r="AH117" s="176">
        <f t="shared" si="42"/>
        <v>7</v>
      </c>
      <c r="AI117" s="225">
        <f t="shared" si="43"/>
        <v>1.0389828250591424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'2023'!Wh/'2023'!Env_an*'2024'!Env_an</f>
        <v>37.797232527806827</v>
      </c>
      <c r="C118" s="841"/>
      <c r="D118" s="393">
        <f t="shared" si="25"/>
        <v>39.607570754056276</v>
      </c>
      <c r="E118" s="385">
        <f t="shared" si="47"/>
        <v>42.683723427848768</v>
      </c>
      <c r="F118" s="385">
        <f t="shared" si="26"/>
        <v>42.683941197404266</v>
      </c>
      <c r="G118" s="110">
        <f t="shared" si="48"/>
        <v>0.72642617970891532</v>
      </c>
      <c r="H118" s="414" t="b">
        <f>Wh_hp&gt;='2023'!Maxi_hp</f>
        <v>0</v>
      </c>
      <c r="I118" s="390">
        <f>IF(H118,Wh_hp,'2023'!Maxi_hp)</f>
        <v>57.514245582008527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4.5706873503825074E-2</v>
      </c>
      <c r="M118" s="845"/>
      <c r="N118" s="845"/>
      <c r="O118" s="48">
        <f>IF(t&lt;Tnet,'2023'!Resal+('2023'!Salim-'2023'!Resal)*(1-EXP(('2023'!Tnet-t)/('2023'!Tau_j))),Resal+(Salim-Resal)*(1-EXP((Tnet-t)/(Tau_j))))*Salcycl</f>
        <v>7.2068517616377226E-2</v>
      </c>
      <c r="P118" s="169">
        <f>(INDEX(Models!$BJ118:$BT118,,T118)*(1-R118)+INDEX(Models!$BJ118:$BT118,,T118+1)*R118-ERP_i)*Q118*Ramure*Pc/MaxiM</f>
        <v>8.374992187611191E-6</v>
      </c>
      <c r="Q118" s="305">
        <f t="shared" si="28"/>
        <v>0.5</v>
      </c>
      <c r="R118" s="177">
        <f t="shared" si="29"/>
        <v>4.0601448938706097E-2</v>
      </c>
      <c r="S118" s="811">
        <f t="shared" si="30"/>
        <v>1</v>
      </c>
      <c r="T118" s="176">
        <f t="shared" si="31"/>
        <v>7</v>
      </c>
      <c r="U118" s="251">
        <f t="shared" si="32"/>
        <v>1.0406014489387061</v>
      </c>
      <c r="V118" s="383">
        <f t="shared" si="33"/>
        <v>52.03158953991705</v>
      </c>
      <c r="W118" s="402">
        <f t="shared" si="34"/>
        <v>37.797232527806827</v>
      </c>
      <c r="X118" s="157">
        <f t="shared" si="35"/>
        <v>45395</v>
      </c>
      <c r="Y118" s="385">
        <f t="shared" si="36"/>
        <v>37.017577266871982</v>
      </c>
      <c r="Z118" s="385">
        <f t="shared" si="37"/>
        <v>38.79057308396149</v>
      </c>
      <c r="AA118" s="386">
        <f t="shared" si="38"/>
        <v>42.683723427848768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9.1209248660514289E-2</v>
      </c>
      <c r="AD118" s="231">
        <f>(INDEX(Models!$BJ118:$BT118,,AH118)*(1-AF118)+INDEX(Models!$BJ118:$BT118,,AH118+1)*AF118-ERP_i)*AE118*Ramure*Pc/MaxiM</f>
        <v>8.374992187611191E-6</v>
      </c>
      <c r="AE118" s="305">
        <f t="shared" si="40"/>
        <v>0.5</v>
      </c>
      <c r="AF118" s="177">
        <f t="shared" si="41"/>
        <v>4.0601448938706097E-2</v>
      </c>
      <c r="AG118" s="811">
        <f t="shared" si="49"/>
        <v>1</v>
      </c>
      <c r="AH118" s="176">
        <f t="shared" si="42"/>
        <v>7</v>
      </c>
      <c r="AI118" s="225">
        <f t="shared" si="43"/>
        <v>1.0406014489387061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'2023'!Wh/'2023'!Env_an*'2024'!Env_an</f>
        <v>43.316103977626305</v>
      </c>
      <c r="C119" s="841"/>
      <c r="D119" s="393">
        <f t="shared" si="25"/>
        <v>45.39176855574371</v>
      </c>
      <c r="E119" s="385">
        <f t="shared" si="47"/>
        <v>48.920126964233098</v>
      </c>
      <c r="F119" s="385">
        <f t="shared" si="26"/>
        <v>48.920485889696316</v>
      </c>
      <c r="G119" s="110">
        <f t="shared" si="48"/>
        <v>0.8292990774743596</v>
      </c>
      <c r="H119" s="414" t="b">
        <f>Wh_hp&gt;='2023'!Maxi_hp</f>
        <v>0</v>
      </c>
      <c r="I119" s="390">
        <f>IF(H119,Wh_hp,'2023'!Maxi_hp)</f>
        <v>58.00017289991299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4.5727774972424085E-2</v>
      </c>
      <c r="M119" s="845"/>
      <c r="N119" s="845"/>
      <c r="O119" s="48">
        <f>IF(t&lt;Tnet,'2023'!Resal+('2023'!Salim-'2023'!Resal)*(1-EXP(('2023'!Tnet-t)/('2023'!Tau_j))),Resal+(Salim-Resal)*(1-EXP((Tnet-t)/(Tau_j))))*Salcycl</f>
        <v>7.2124882485874911E-2</v>
      </c>
      <c r="P119" s="169">
        <f>(INDEX(Models!$BJ119:$BT119,,T119)*(1-R119)+INDEX(Models!$BJ119:$BT119,,T119+1)*R119-ERP_i)*Q119*Ramure*Pc/MaxiM</f>
        <v>9.7030618688882441E-6</v>
      </c>
      <c r="Q119" s="305">
        <f t="shared" si="28"/>
        <v>0.5</v>
      </c>
      <c r="R119" s="177">
        <f t="shared" si="29"/>
        <v>4.2275866248237426E-2</v>
      </c>
      <c r="S119" s="811">
        <f t="shared" si="30"/>
        <v>1</v>
      </c>
      <c r="T119" s="176">
        <f t="shared" si="31"/>
        <v>7</v>
      </c>
      <c r="U119" s="251">
        <f t="shared" si="32"/>
        <v>1.0422758662482374</v>
      </c>
      <c r="V119" s="383">
        <f t="shared" si="33"/>
        <v>52.2320627879444</v>
      </c>
      <c r="W119" s="402">
        <f t="shared" si="34"/>
        <v>43.316103977626305</v>
      </c>
      <c r="X119" s="157">
        <f t="shared" si="35"/>
        <v>45396</v>
      </c>
      <c r="Y119" s="385">
        <f t="shared" si="36"/>
        <v>42.423107237685073</v>
      </c>
      <c r="Z119" s="385">
        <f t="shared" si="37"/>
        <v>44.455980301070966</v>
      </c>
      <c r="AA119" s="386">
        <f t="shared" si="38"/>
        <v>48.920126964233098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9.1253783262377861E-2</v>
      </c>
      <c r="AD119" s="231">
        <f>(INDEX(Models!$BJ119:$BT119,,AH119)*(1-AF119)+INDEX(Models!$BJ119:$BT119,,AH119+1)*AF119-ERP_i)*AE119*Ramure*Pc/MaxiM</f>
        <v>9.7030618688882441E-6</v>
      </c>
      <c r="AE119" s="305">
        <f t="shared" si="40"/>
        <v>0.5</v>
      </c>
      <c r="AF119" s="177">
        <f t="shared" si="41"/>
        <v>4.2275866248237426E-2</v>
      </c>
      <c r="AG119" s="811">
        <f t="shared" si="49"/>
        <v>1</v>
      </c>
      <c r="AH119" s="176">
        <f t="shared" si="42"/>
        <v>7</v>
      </c>
      <c r="AI119" s="225">
        <f t="shared" si="43"/>
        <v>1.0422758662482374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'2023'!Wh/'2023'!Env_an*'2024'!Env_an</f>
        <v>41.797977005512713</v>
      </c>
      <c r="C120" s="841"/>
      <c r="D120" s="393">
        <f t="shared" si="25"/>
        <v>43.801853823551035</v>
      </c>
      <c r="E120" s="385">
        <f t="shared" si="47"/>
        <v>47.209542325047273</v>
      </c>
      <c r="F120" s="385">
        <f t="shared" si="26"/>
        <v>47.209918390737876</v>
      </c>
      <c r="G120" s="110">
        <f t="shared" si="48"/>
        <v>0.79726821412450599</v>
      </c>
      <c r="H120" s="414" t="b">
        <f>Wh_hp&gt;='2023'!Maxi_hp</f>
        <v>0</v>
      </c>
      <c r="I120" s="390">
        <f>IF(H120,Wh_hp,'2023'!Maxi_hp)</f>
        <v>52.848516926149152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4.5748675983227294E-2</v>
      </c>
      <c r="M120" s="845"/>
      <c r="N120" s="845"/>
      <c r="O120" s="48">
        <f>IF(t&lt;Tnet,'2023'!Resal+('2023'!Salim-'2023'!Resal)*(1-EXP(('2023'!Tnet-t)/('2023'!Tau_j))),Resal+(Salim-Resal)*(1-EXP((Tnet-t)/(Tau_j))))*Salcycl</f>
        <v>7.2182197362423414E-2</v>
      </c>
      <c r="P120" s="169">
        <f>(INDEX(Models!$BJ120:$BT120,,T120)*(1-R120)+INDEX(Models!$BJ120:$BT120,,T120+1)*R120-ERP_i)*Q120*Ramure*Pc/MaxiM</f>
        <v>1.1213354260752045E-5</v>
      </c>
      <c r="Q120" s="305">
        <f t="shared" si="28"/>
        <v>0.5</v>
      </c>
      <c r="R120" s="177">
        <f t="shared" si="29"/>
        <v>4.4007524221879812E-2</v>
      </c>
      <c r="S120" s="811">
        <f t="shared" si="30"/>
        <v>1</v>
      </c>
      <c r="T120" s="176">
        <f t="shared" si="31"/>
        <v>7</v>
      </c>
      <c r="U120" s="251">
        <f t="shared" si="32"/>
        <v>1.0440075242218798</v>
      </c>
      <c r="V120" s="383">
        <f t="shared" si="33"/>
        <v>52.426323442417612</v>
      </c>
      <c r="W120" s="402">
        <f t="shared" si="34"/>
        <v>41.797977005512713</v>
      </c>
      <c r="X120" s="157">
        <f t="shared" si="35"/>
        <v>45397</v>
      </c>
      <c r="Y120" s="385">
        <f t="shared" si="36"/>
        <v>40.936745684366223</v>
      </c>
      <c r="Z120" s="385">
        <f t="shared" si="37"/>
        <v>42.899333387402962</v>
      </c>
      <c r="AA120" s="386">
        <f t="shared" si="38"/>
        <v>47.209542325047273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9.129952813284338E-2</v>
      </c>
      <c r="AD120" s="231">
        <f>(INDEX(Models!$BJ120:$BT120,,AH120)*(1-AF120)+INDEX(Models!$BJ120:$BT120,,AH120+1)*AF120-ERP_i)*AE120*Ramure*Pc/MaxiM</f>
        <v>1.1213354260752045E-5</v>
      </c>
      <c r="AE120" s="305">
        <f t="shared" si="40"/>
        <v>0.5</v>
      </c>
      <c r="AF120" s="177">
        <f t="shared" si="41"/>
        <v>4.4007524221879812E-2</v>
      </c>
      <c r="AG120" s="811">
        <f t="shared" si="49"/>
        <v>1</v>
      </c>
      <c r="AH120" s="176">
        <f t="shared" si="42"/>
        <v>7</v>
      </c>
      <c r="AI120" s="225">
        <f t="shared" si="43"/>
        <v>1.0440075242218798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'2023'!Wh/'2023'!Env_an*'2024'!Env_an</f>
        <v>51.054169234942883</v>
      </c>
      <c r="C121" s="841"/>
      <c r="D121" s="393">
        <f t="shared" si="25"/>
        <v>53.502977875743746</v>
      </c>
      <c r="E121" s="385">
        <f t="shared" si="47"/>
        <v>57.669014948268867</v>
      </c>
      <c r="F121" s="385">
        <f t="shared" si="26"/>
        <v>57.669727837183657</v>
      </c>
      <c r="G121" s="110">
        <f t="shared" si="48"/>
        <v>0.97035469662870655</v>
      </c>
      <c r="H121" s="414" t="b">
        <f>Wh_hp&gt;='2023'!Maxi_hp</f>
        <v>0</v>
      </c>
      <c r="I121" s="390">
        <f>IF(H121,Wh_hp,'2023'!Maxi_hp)</f>
        <v>57.669742711750253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4.5769576536244805E-2</v>
      </c>
      <c r="M121" s="845"/>
      <c r="N121" s="845"/>
      <c r="O121" s="48">
        <f>IF(t&lt;Tnet,'2023'!Resal+('2023'!Salim-'2023'!Resal)*(1-EXP(('2023'!Tnet-t)/('2023'!Tau_j))),Resal+(Salim-Resal)*(1-EXP((Tnet-t)/(Tau_j))))*Salcycl</f>
        <v>7.2240475691533898E-2</v>
      </c>
      <c r="P121" s="169">
        <f>(INDEX(Models!$BJ121:$BT121,,T121)*(1-R121)+INDEX(Models!$BJ121:$BT121,,T121+1)*R121-ERP_i)*Q121*Ramure*Pc/MaxiM</f>
        <v>1.290823905223076E-5</v>
      </c>
      <c r="Q121" s="305">
        <f t="shared" si="28"/>
        <v>0.5</v>
      </c>
      <c r="R121" s="177">
        <f t="shared" si="29"/>
        <v>4.5797870756556724E-2</v>
      </c>
      <c r="S121" s="811">
        <f t="shared" si="30"/>
        <v>1</v>
      </c>
      <c r="T121" s="176">
        <f t="shared" si="31"/>
        <v>7</v>
      </c>
      <c r="U121" s="251">
        <f t="shared" si="32"/>
        <v>1.0457978707565567</v>
      </c>
      <c r="V121" s="383">
        <f t="shared" si="33"/>
        <v>52.613896240947838</v>
      </c>
      <c r="W121" s="402">
        <f t="shared" si="34"/>
        <v>51.054169234942883</v>
      </c>
      <c r="X121" s="157">
        <f t="shared" si="35"/>
        <v>45398</v>
      </c>
      <c r="Y121" s="385">
        <f t="shared" si="36"/>
        <v>50.002773768431773</v>
      </c>
      <c r="Z121" s="385">
        <f t="shared" si="37"/>
        <v>52.401152320135644</v>
      </c>
      <c r="AA121" s="386">
        <f t="shared" si="38"/>
        <v>57.669014948268867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9.134649920513957E-2</v>
      </c>
      <c r="AD121" s="231">
        <f>(INDEX(Models!$BJ121:$BT121,,AH121)*(1-AF121)+INDEX(Models!$BJ121:$BT121,,AH121+1)*AF121-ERP_i)*AE121*Ramure*Pc/MaxiM</f>
        <v>1.290823905223076E-5</v>
      </c>
      <c r="AE121" s="305">
        <f t="shared" si="40"/>
        <v>0.5</v>
      </c>
      <c r="AF121" s="177">
        <f t="shared" si="41"/>
        <v>4.5797870756556724E-2</v>
      </c>
      <c r="AG121" s="811">
        <f t="shared" si="49"/>
        <v>1</v>
      </c>
      <c r="AH121" s="176">
        <f t="shared" si="42"/>
        <v>7</v>
      </c>
      <c r="AI121" s="225">
        <f t="shared" si="43"/>
        <v>1.0457978707565567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'2023'!Wh/'2023'!Env_an*'2024'!Env_an</f>
        <v>35.315213803000674</v>
      </c>
      <c r="C122" s="841"/>
      <c r="D122" s="393">
        <f t="shared" si="25"/>
        <v>37.009915472581191</v>
      </c>
      <c r="E122" s="385">
        <f t="shared" si="47"/>
        <v>39.894259661376999</v>
      </c>
      <c r="F122" s="385">
        <f t="shared" si="26"/>
        <v>39.89457416719064</v>
      </c>
      <c r="G122" s="110">
        <f t="shared" si="48"/>
        <v>0.66891304982130162</v>
      </c>
      <c r="H122" s="414" t="b">
        <f>Wh_hp&gt;='2023'!Maxi_hp</f>
        <v>0</v>
      </c>
      <c r="I122" s="390">
        <f>IF(H122,Wh_hp,'2023'!Maxi_hp)</f>
        <v>42.565319321773202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4.5790476631486499E-2</v>
      </c>
      <c r="M122" s="845"/>
      <c r="N122" s="845"/>
      <c r="O122" s="48">
        <f>IF(t&lt;Tnet,'2023'!Resal+('2023'!Salim-'2023'!Resal)*(1-EXP(('2023'!Tnet-t)/('2023'!Tau_j))),Resal+(Salim-Resal)*(1-EXP((Tnet-t)/(Tau_j))))*Salcycl</f>
        <v>7.2299729667329601E-2</v>
      </c>
      <c r="P122" s="169">
        <f>(INDEX(Models!$BJ122:$BT122,,T122)*(1-R122)+INDEX(Models!$BJ122:$BT122,,T122+1)*R122-ERP_i)*Q122*Ramure*Pc/MaxiM</f>
        <v>1.4958336355944558E-5</v>
      </c>
      <c r="Q122" s="305">
        <f t="shared" si="28"/>
        <v>0.5</v>
      </c>
      <c r="R122" s="177">
        <f t="shared" si="29"/>
        <v>4.7648351079279561E-2</v>
      </c>
      <c r="S122" s="811">
        <f t="shared" si="30"/>
        <v>1</v>
      </c>
      <c r="T122" s="176">
        <f t="shared" si="31"/>
        <v>7</v>
      </c>
      <c r="U122" s="251">
        <f t="shared" si="32"/>
        <v>1.0476483510792796</v>
      </c>
      <c r="V122" s="383">
        <f t="shared" si="33"/>
        <v>52.794550739287246</v>
      </c>
      <c r="W122" s="402">
        <f t="shared" si="34"/>
        <v>35.315213803000674</v>
      </c>
      <c r="X122" s="157">
        <f t="shared" si="35"/>
        <v>45399</v>
      </c>
      <c r="Y122" s="385">
        <f t="shared" si="36"/>
        <v>34.58831594239804</v>
      </c>
      <c r="Z122" s="385">
        <f t="shared" si="37"/>
        <v>36.24813533645704</v>
      </c>
      <c r="AA122" s="386">
        <f t="shared" si="38"/>
        <v>39.894259661376999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9.1394710814746455E-2</v>
      </c>
      <c r="AD122" s="231">
        <f>(INDEX(Models!$BJ122:$BT122,,AH122)*(1-AF122)+INDEX(Models!$BJ122:$BT122,,AH122+1)*AF122-ERP_i)*AE122*Ramure*Pc/MaxiM</f>
        <v>1.4958336355944558E-5</v>
      </c>
      <c r="AE122" s="305">
        <f t="shared" si="40"/>
        <v>0.5</v>
      </c>
      <c r="AF122" s="177">
        <f t="shared" si="41"/>
        <v>4.7648351079279561E-2</v>
      </c>
      <c r="AG122" s="811">
        <f t="shared" si="49"/>
        <v>1</v>
      </c>
      <c r="AH122" s="176">
        <f t="shared" si="42"/>
        <v>7</v>
      </c>
      <c r="AI122" s="225">
        <f t="shared" si="43"/>
        <v>1.0476483510792796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'2023'!Wh/'2023'!Env_an*'2024'!Env_an</f>
        <v>8.4423106525853537</v>
      </c>
      <c r="C123" s="841"/>
      <c r="D123" s="393">
        <f t="shared" si="25"/>
        <v>8.8476328920947545</v>
      </c>
      <c r="E123" s="385">
        <f t="shared" si="47"/>
        <v>9.5377868652054101</v>
      </c>
      <c r="F123" s="385">
        <f t="shared" si="26"/>
        <v>9.5377868652054101</v>
      </c>
      <c r="G123" s="110">
        <f t="shared" si="48"/>
        <v>0.1593806228244076</v>
      </c>
      <c r="H123" s="414" t="b">
        <f>Wh_hp&gt;='2023'!Maxi_hp</f>
        <v>0</v>
      </c>
      <c r="I123" s="390">
        <f>IF(H123,Wh_hp,'2023'!Maxi_hp)</f>
        <v>57.730407119667383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4.5811376268962367E-2</v>
      </c>
      <c r="M123" s="845"/>
      <c r="N123" s="845"/>
      <c r="O123" s="48">
        <f>IF(t&lt;Tnet,'2023'!Resal+('2023'!Salim-'2023'!Resal)*(1-EXP(('2023'!Tnet-t)/('2023'!Tau_j))),Resal+(Salim-Resal)*(1-EXP((Tnet-t)/(Tau_j))))*Salcycl</f>
        <v>7.2359970175931584E-2</v>
      </c>
      <c r="P123" s="169">
        <f>(INDEX(Models!$BJ123:$BT123,,T123)*(1-R123)+INDEX(Models!$BJ123:$BT123,,T123+1)*R123-ERP_i)*Q123*Ramure*Pc/MaxiM</f>
        <v>1.7291849757288963E-5</v>
      </c>
      <c r="Q123" s="305">
        <f t="shared" si="28"/>
        <v>0.5</v>
      </c>
      <c r="R123" s="177">
        <f t="shared" si="29"/>
        <v>4.9560404163916383E-2</v>
      </c>
      <c r="S123" s="811">
        <f t="shared" si="30"/>
        <v>1</v>
      </c>
      <c r="T123" s="176">
        <f t="shared" si="31"/>
        <v>7</v>
      </c>
      <c r="U123" s="251">
        <f t="shared" si="32"/>
        <v>1.0495604041639164</v>
      </c>
      <c r="V123" s="383">
        <f t="shared" si="33"/>
        <v>52.968576228484345</v>
      </c>
      <c r="W123" s="402">
        <f t="shared" si="34"/>
        <v>8.4423106525853537</v>
      </c>
      <c r="X123" s="157">
        <f t="shared" si="35"/>
        <v>45400</v>
      </c>
      <c r="Y123" s="385">
        <f t="shared" si="36"/>
        <v>8.2686282048437061</v>
      </c>
      <c r="Z123" s="385">
        <f t="shared" si="37"/>
        <v>8.6656118079798343</v>
      </c>
      <c r="AA123" s="386">
        <f t="shared" si="38"/>
        <v>9.5377868652054101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9.1444175630233229E-2</v>
      </c>
      <c r="AD123" s="231">
        <f>(INDEX(Models!$BJ123:$BT123,,AH123)*(1-AF123)+INDEX(Models!$BJ123:$BT123,,AH123+1)*AF123-ERP_i)*AE123*Ramure*Pc/MaxiM</f>
        <v>1.7291849757288963E-5</v>
      </c>
      <c r="AE123" s="305">
        <f t="shared" si="40"/>
        <v>0.5</v>
      </c>
      <c r="AF123" s="177">
        <f t="shared" si="41"/>
        <v>4.9560404163916383E-2</v>
      </c>
      <c r="AG123" s="811">
        <f t="shared" si="49"/>
        <v>1</v>
      </c>
      <c r="AH123" s="176">
        <f t="shared" si="42"/>
        <v>7</v>
      </c>
      <c r="AI123" s="225">
        <f t="shared" si="43"/>
        <v>1.0495604041639164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'2023'!Wh/'2023'!Env_an*'2024'!Env_an</f>
        <v>9.6609034524440851</v>
      </c>
      <c r="C124" s="841"/>
      <c r="D124" s="393">
        <f t="shared" si="25"/>
        <v>10.12495309143576</v>
      </c>
      <c r="E124" s="385">
        <f t="shared" si="47"/>
        <v>10.915464179398901</v>
      </c>
      <c r="F124" s="385">
        <f t="shared" si="26"/>
        <v>10.915464179398901</v>
      </c>
      <c r="G124" s="110">
        <f t="shared" si="48"/>
        <v>0.18181015059483069</v>
      </c>
      <c r="H124" s="414" t="b">
        <f>Wh_hp&gt;='2023'!Maxi_hp</f>
        <v>0</v>
      </c>
      <c r="I124" s="390">
        <f>IF(H124,Wh_hp,'2023'!Maxi_hp)</f>
        <v>54.953153725787914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4.5832275448682624E-2</v>
      </c>
      <c r="M124" s="845"/>
      <c r="N124" s="845"/>
      <c r="O124" s="48">
        <f>IF(t&lt;Tnet,'2023'!Resal+('2023'!Salim-'2023'!Resal)*(1-EXP(('2023'!Tnet-t)/('2023'!Tau_j))),Resal+(Salim-Resal)*(1-EXP((Tnet-t)/(Tau_j))))*Salcycl</f>
        <v>7.2421206736686339E-2</v>
      </c>
      <c r="P124" s="169">
        <f>(INDEX(Models!$BJ124:$BT124,,T124)*(1-R124)+INDEX(Models!$BJ124:$BT124,,T124+1)*R124-ERP_i)*Q124*Ramure*Pc/MaxiM</f>
        <v>1.9911992658726928E-5</v>
      </c>
      <c r="Q124" s="305">
        <f t="shared" si="28"/>
        <v>0.5</v>
      </c>
      <c r="R124" s="177">
        <f t="shared" si="29"/>
        <v>5.1535458892585595E-2</v>
      </c>
      <c r="S124" s="811">
        <f t="shared" si="30"/>
        <v>1</v>
      </c>
      <c r="T124" s="176">
        <f t="shared" si="31"/>
        <v>7</v>
      </c>
      <c r="U124" s="251">
        <f t="shared" si="32"/>
        <v>1.0515354588925856</v>
      </c>
      <c r="V124" s="383">
        <f t="shared" si="33"/>
        <v>53.136258085692056</v>
      </c>
      <c r="W124" s="402">
        <f t="shared" si="34"/>
        <v>9.6609034524440851</v>
      </c>
      <c r="X124" s="157">
        <f t="shared" si="35"/>
        <v>45401</v>
      </c>
      <c r="Y124" s="385">
        <f t="shared" si="36"/>
        <v>9.4622473871071691</v>
      </c>
      <c r="Z124" s="385">
        <f t="shared" si="37"/>
        <v>9.9167548258422222</v>
      </c>
      <c r="AA124" s="386">
        <f t="shared" si="38"/>
        <v>10.915464179398901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9.1494904581481226E-2</v>
      </c>
      <c r="AD124" s="231">
        <f>(INDEX(Models!$BJ124:$BT124,,AH124)*(1-AF124)+INDEX(Models!$BJ124:$BT124,,AH124+1)*AF124-ERP_i)*AE124*Ramure*Pc/MaxiM</f>
        <v>1.9911992658726928E-5</v>
      </c>
      <c r="AE124" s="305">
        <f t="shared" si="40"/>
        <v>0.5</v>
      </c>
      <c r="AF124" s="177">
        <f t="shared" si="41"/>
        <v>5.1535458892585595E-2</v>
      </c>
      <c r="AG124" s="811">
        <f t="shared" si="49"/>
        <v>1</v>
      </c>
      <c r="AH124" s="176">
        <f t="shared" si="42"/>
        <v>7</v>
      </c>
      <c r="AI124" s="225">
        <f t="shared" si="43"/>
        <v>1.0515354588925856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'2023'!Wh/'2023'!Env_an*'2024'!Env_an</f>
        <v>8.9301337405876779</v>
      </c>
      <c r="C125" s="841"/>
      <c r="D125" s="393">
        <f t="shared" si="25"/>
        <v>9.3592867458586593</v>
      </c>
      <c r="E125" s="385">
        <f t="shared" si="47"/>
        <v>10.090695114862314</v>
      </c>
      <c r="F125" s="385">
        <f t="shared" si="26"/>
        <v>10.090695114862314</v>
      </c>
      <c r="G125" s="110">
        <f t="shared" si="48"/>
        <v>0.16754755819159012</v>
      </c>
      <c r="H125" s="414" t="b">
        <f>Wh_hp&gt;='2023'!Maxi_hp</f>
        <v>0</v>
      </c>
      <c r="I125" s="390">
        <f>IF(H125,Wh_hp,'2023'!Maxi_hp)</f>
        <v>55.659407422413302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4.5853174170657263E-2</v>
      </c>
      <c r="M125" s="845"/>
      <c r="N125" s="845"/>
      <c r="O125" s="48">
        <f>IF(t&lt;Tnet,'2023'!Resal+('2023'!Salim-'2023'!Resal)*(1-EXP(('2023'!Tnet-t)/('2023'!Tau_j))),Resal+(Salim-Resal)*(1-EXP((Tnet-t)/(Tau_j))))*Salcycl</f>
        <v>7.2483447441235568E-2</v>
      </c>
      <c r="P125" s="169">
        <f>(INDEX(Models!$BJ125:$BT125,,T125)*(1-R125)+INDEX(Models!$BJ125:$BT125,,T125+1)*R125-ERP_i)*Q125*Ramure*Pc/MaxiM</f>
        <v>2.2822471621047374E-5</v>
      </c>
      <c r="Q125" s="305">
        <f t="shared" si="28"/>
        <v>0.5</v>
      </c>
      <c r="R125" s="177">
        <f t="shared" si="29"/>
        <v>5.3574929958058792E-2</v>
      </c>
      <c r="S125" s="811">
        <f t="shared" si="30"/>
        <v>1</v>
      </c>
      <c r="T125" s="176">
        <f t="shared" si="31"/>
        <v>7</v>
      </c>
      <c r="U125" s="251">
        <f t="shared" si="32"/>
        <v>1.0535749299580588</v>
      </c>
      <c r="V125" s="383">
        <f t="shared" si="33"/>
        <v>53.297881683554365</v>
      </c>
      <c r="W125" s="402">
        <f t="shared" si="34"/>
        <v>8.9301337405876779</v>
      </c>
      <c r="X125" s="157">
        <f t="shared" si="35"/>
        <v>45402</v>
      </c>
      <c r="Y125" s="385">
        <f t="shared" si="36"/>
        <v>8.7465906641529951</v>
      </c>
      <c r="Z125" s="385">
        <f t="shared" si="37"/>
        <v>9.1669231897831587</v>
      </c>
      <c r="AA125" s="386">
        <f t="shared" si="38"/>
        <v>10.090695114862314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9.1546906785297297E-2</v>
      </c>
      <c r="AD125" s="231">
        <f>(INDEX(Models!$BJ125:$BT125,,AH125)*(1-AF125)+INDEX(Models!$BJ125:$BT125,,AH125+1)*AF125-ERP_i)*AE125*Ramure*Pc/MaxiM</f>
        <v>2.2822471621047374E-5</v>
      </c>
      <c r="AE125" s="305">
        <f t="shared" si="40"/>
        <v>0.5</v>
      </c>
      <c r="AF125" s="177">
        <f t="shared" si="41"/>
        <v>5.3574929958058792E-2</v>
      </c>
      <c r="AG125" s="811">
        <f t="shared" si="49"/>
        <v>1</v>
      </c>
      <c r="AH125" s="176">
        <f t="shared" si="42"/>
        <v>7</v>
      </c>
      <c r="AI125" s="225">
        <f t="shared" si="43"/>
        <v>1.0535749299580588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'2023'!Wh/'2023'!Env_an*'2024'!Env_an</f>
        <v>26.134677739269019</v>
      </c>
      <c r="C126" s="841"/>
      <c r="D126" s="393">
        <f t="shared" si="25"/>
        <v>27.391224768373927</v>
      </c>
      <c r="E126" s="385">
        <f t="shared" si="47"/>
        <v>29.533804813251656</v>
      </c>
      <c r="F126" s="385">
        <f t="shared" si="26"/>
        <v>29.534012274621759</v>
      </c>
      <c r="G126" s="110">
        <f t="shared" si="48"/>
        <v>0.48891218496523214</v>
      </c>
      <c r="H126" s="414" t="b">
        <f>Wh_hp&gt;='2023'!Maxi_hp</f>
        <v>0</v>
      </c>
      <c r="I126" s="390">
        <f>IF(H126,Wh_hp,'2023'!Maxi_hp)</f>
        <v>61.619887493232405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4.5874072434896163E-2</v>
      </c>
      <c r="M126" s="845"/>
      <c r="N126" s="845"/>
      <c r="O126" s="48">
        <f>IF(t&lt;Tnet,'2023'!Resal+('2023'!Salim-'2023'!Resal)*(1-EXP(('2023'!Tnet-t)/('2023'!Tau_j))),Resal+(Salim-Resal)*(1-EXP((Tnet-t)/(Tau_j))))*Salcycl</f>
        <v>7.2546698890498668E-2</v>
      </c>
      <c r="P126" s="169">
        <f>(INDEX(Models!$BJ126:$BT126,,T126)*(1-R126)+INDEX(Models!$BJ126:$BT126,,T126+1)*R126-ERP_i)*Q126*Ramure*Pc/MaxiM</f>
        <v>2.6027442803252673E-5</v>
      </c>
      <c r="Q126" s="305">
        <f t="shared" si="28"/>
        <v>0.5</v>
      </c>
      <c r="R126" s="177">
        <f t="shared" si="29"/>
        <v>5.5680213504941234E-2</v>
      </c>
      <c r="S126" s="811">
        <f t="shared" si="30"/>
        <v>1</v>
      </c>
      <c r="T126" s="176">
        <f t="shared" si="31"/>
        <v>7</v>
      </c>
      <c r="U126" s="251">
        <f t="shared" si="32"/>
        <v>1.0556802135049412</v>
      </c>
      <c r="V126" s="383">
        <f t="shared" si="33"/>
        <v>53.453732394883751</v>
      </c>
      <c r="W126" s="402">
        <f t="shared" si="34"/>
        <v>26.134677739269019</v>
      </c>
      <c r="X126" s="157">
        <f t="shared" si="35"/>
        <v>45403</v>
      </c>
      <c r="Y126" s="385">
        <f t="shared" si="36"/>
        <v>25.597770020606692</v>
      </c>
      <c r="Z126" s="385">
        <f t="shared" si="37"/>
        <v>26.828502696631787</v>
      </c>
      <c r="AA126" s="386">
        <f t="shared" si="38"/>
        <v>29.533804813251656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9.1600189468510923E-2</v>
      </c>
      <c r="AD126" s="231">
        <f>(INDEX(Models!$BJ126:$BT126,,AH126)*(1-AF126)+INDEX(Models!$BJ126:$BT126,,AH126+1)*AF126-ERP_i)*AE126*Ramure*Pc/MaxiM</f>
        <v>2.6027442803252673E-5</v>
      </c>
      <c r="AE126" s="305">
        <f t="shared" si="40"/>
        <v>0.5</v>
      </c>
      <c r="AF126" s="177">
        <f t="shared" si="41"/>
        <v>5.5680213504941234E-2</v>
      </c>
      <c r="AG126" s="811">
        <f t="shared" si="49"/>
        <v>1</v>
      </c>
      <c r="AH126" s="176">
        <f t="shared" si="42"/>
        <v>7</v>
      </c>
      <c r="AI126" s="225">
        <f t="shared" si="43"/>
        <v>1.0556802135049412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'2023'!Wh/'2023'!Env_an*'2024'!Env_an</f>
        <v>9.0430028242607374</v>
      </c>
      <c r="C127" s="841"/>
      <c r="D127" s="393">
        <f t="shared" si="25"/>
        <v>9.4779951286377937</v>
      </c>
      <c r="E127" s="385">
        <f t="shared" si="47"/>
        <v>10.22008540373084</v>
      </c>
      <c r="F127" s="385">
        <f t="shared" si="26"/>
        <v>10.22008540373084</v>
      </c>
      <c r="G127" s="110">
        <f t="shared" si="48"/>
        <v>0.16869486690038149</v>
      </c>
      <c r="H127" s="414" t="b">
        <f>Wh_hp&gt;='2023'!Maxi_hp</f>
        <v>0</v>
      </c>
      <c r="I127" s="390">
        <f>IF(H127,Wh_hp,'2023'!Maxi_hp)</f>
        <v>61.960154457717145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4.5894970241409538E-2</v>
      </c>
      <c r="M127" s="845"/>
      <c r="N127" s="845"/>
      <c r="O127" s="48">
        <f>IF(t&lt;Tnet,'2023'!Resal+('2023'!Salim-'2023'!Resal)*(1-EXP(('2023'!Tnet-t)/('2023'!Tau_j))),Resal+(Salim-Resal)*(1-EXP((Tnet-t)/(Tau_j))))*Salcycl</f>
        <v>7.2610966129710255E-2</v>
      </c>
      <c r="P127" s="169">
        <f>(INDEX(Models!$BJ127:$BT127,,T127)*(1-R127)+INDEX(Models!$BJ127:$BT127,,T127+1)*R127-ERP_i)*Q127*Ramure*Pc/MaxiM</f>
        <v>2.9531419020524091E-5</v>
      </c>
      <c r="Q127" s="305">
        <f t="shared" si="28"/>
        <v>0.5</v>
      </c>
      <c r="R127" s="177">
        <f t="shared" si="29"/>
        <v>5.7852682508974684E-2</v>
      </c>
      <c r="S127" s="811">
        <f t="shared" si="30"/>
        <v>1</v>
      </c>
      <c r="T127" s="176">
        <f t="shared" si="31"/>
        <v>7</v>
      </c>
      <c r="U127" s="251">
        <f t="shared" si="32"/>
        <v>1.0578526825089747</v>
      </c>
      <c r="V127" s="383">
        <f t="shared" si="33"/>
        <v>53.604095594059118</v>
      </c>
      <c r="W127" s="402">
        <f t="shared" si="34"/>
        <v>9.0430028242607374</v>
      </c>
      <c r="X127" s="157">
        <f t="shared" si="35"/>
        <v>45404</v>
      </c>
      <c r="Y127" s="385">
        <f t="shared" si="36"/>
        <v>8.8573061464136398</v>
      </c>
      <c r="Z127" s="385">
        <f t="shared" si="37"/>
        <v>9.2833659504496406</v>
      </c>
      <c r="AA127" s="386">
        <f t="shared" si="38"/>
        <v>10.22008540373084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9.1654757888740279E-2</v>
      </c>
      <c r="AD127" s="231">
        <f>(INDEX(Models!$BJ127:$BT127,,AH127)*(1-AF127)+INDEX(Models!$BJ127:$BT127,,AH127+1)*AF127-ERP_i)*AE127*Ramure*Pc/MaxiM</f>
        <v>2.9531419020524091E-5</v>
      </c>
      <c r="AE127" s="305">
        <f t="shared" si="40"/>
        <v>0.5</v>
      </c>
      <c r="AF127" s="177">
        <f t="shared" si="41"/>
        <v>5.7852682508974684E-2</v>
      </c>
      <c r="AG127" s="811">
        <f t="shared" si="49"/>
        <v>1</v>
      </c>
      <c r="AH127" s="176">
        <f t="shared" si="42"/>
        <v>7</v>
      </c>
      <c r="AI127" s="225">
        <f t="shared" si="43"/>
        <v>1.0578526825089747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'2023'!Wh/'2023'!Env_an*'2024'!Env_an</f>
        <v>28.693884247433402</v>
      </c>
      <c r="C128" s="841"/>
      <c r="D128" s="393">
        <f t="shared" si="25"/>
        <v>30.07479453091771</v>
      </c>
      <c r="E128" s="385">
        <f t="shared" si="47"/>
        <v>32.431817490545157</v>
      </c>
      <c r="F128" s="385">
        <f t="shared" si="26"/>
        <v>32.432181261544152</v>
      </c>
      <c r="G128" s="110">
        <f t="shared" si="48"/>
        <v>0.53383527936229691</v>
      </c>
      <c r="H128" s="414" t="b">
        <f>Wh_hp&gt;='2023'!Maxi_hp</f>
        <v>0</v>
      </c>
      <c r="I128" s="390">
        <f>IF(H128,Wh_hp,'2023'!Maxi_hp)</f>
        <v>59.446721075347604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4.5915867590207271E-2</v>
      </c>
      <c r="M128" s="845"/>
      <c r="N128" s="845"/>
      <c r="O128" s="48">
        <f>IF(t&lt;Tnet,'2023'!Resal+('2023'!Salim-'2023'!Resal)*(1-EXP(('2023'!Tnet-t)/('2023'!Tau_j))),Resal+(Salim-Resal)*(1-EXP((Tnet-t)/(Tau_j))))*Salcycl</f>
        <v>7.2676252581730508E-2</v>
      </c>
      <c r="P128" s="169">
        <f>(INDEX(Models!$BJ128:$BT128,,T128)*(1-R128)+INDEX(Models!$BJ128:$BT128,,T128+1)*R128-ERP_i)*Q128*Ramure*Pc/MaxiM</f>
        <v>3.3575133708644095E-5</v>
      </c>
      <c r="Q128" s="305">
        <f t="shared" si="28"/>
        <v>0.5</v>
      </c>
      <c r="R128" s="177">
        <f t="shared" si="29"/>
        <v>6.0093681895556195E-2</v>
      </c>
      <c r="S128" s="811">
        <f t="shared" si="30"/>
        <v>1</v>
      </c>
      <c r="T128" s="176">
        <f t="shared" si="31"/>
        <v>7</v>
      </c>
      <c r="U128" s="251">
        <f t="shared" si="32"/>
        <v>1.0600936818955562</v>
      </c>
      <c r="V128" s="383">
        <f t="shared" si="33"/>
        <v>53.7492439885756</v>
      </c>
      <c r="W128" s="402">
        <f t="shared" si="34"/>
        <v>28.693884247433402</v>
      </c>
      <c r="X128" s="157">
        <f t="shared" si="35"/>
        <v>45405</v>
      </c>
      <c r="Y128" s="385">
        <f t="shared" si="36"/>
        <v>28.104910007598974</v>
      </c>
      <c r="Z128" s="385">
        <f t="shared" si="37"/>
        <v>29.457475554710847</v>
      </c>
      <c r="AA128" s="386">
        <f t="shared" si="38"/>
        <v>32.431817490545157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9.1710615253105032E-2</v>
      </c>
      <c r="AD128" s="231">
        <f>(INDEX(Models!$BJ128:$BT128,,AH128)*(1-AF128)+INDEX(Models!$BJ128:$BT128,,AH128+1)*AF128-ERP_i)*AE128*Ramure*Pc/MaxiM</f>
        <v>3.3575133708644095E-5</v>
      </c>
      <c r="AE128" s="305">
        <f t="shared" si="40"/>
        <v>0.5</v>
      </c>
      <c r="AF128" s="177">
        <f t="shared" si="41"/>
        <v>6.0093681895556195E-2</v>
      </c>
      <c r="AG128" s="811">
        <f t="shared" si="49"/>
        <v>1</v>
      </c>
      <c r="AH128" s="176">
        <f t="shared" si="42"/>
        <v>7</v>
      </c>
      <c r="AI128" s="225">
        <f t="shared" si="43"/>
        <v>1.0600936818955562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'2023'!Wh/'2023'!Env_an*'2024'!Env_an</f>
        <v>44.156486883699337</v>
      </c>
      <c r="C129" s="841"/>
      <c r="D129" s="393">
        <f t="shared" si="25"/>
        <v>46.282557842921747</v>
      </c>
      <c r="E129" s="385">
        <f t="shared" si="47"/>
        <v>49.913385264257968</v>
      </c>
      <c r="F129" s="385">
        <f t="shared" si="26"/>
        <v>49.91479488123975</v>
      </c>
      <c r="G129" s="110">
        <f t="shared" si="48"/>
        <v>0.81938186690175274</v>
      </c>
      <c r="H129" s="414" t="b">
        <f>Wh_hp&gt;='2023'!Maxi_hp</f>
        <v>0</v>
      </c>
      <c r="I129" s="390">
        <f>IF(H129,Wh_hp,'2023'!Maxi_hp)</f>
        <v>54.184367462537033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4.5936764481299353E-2</v>
      </c>
      <c r="M129" s="845"/>
      <c r="N129" s="845"/>
      <c r="O129" s="48">
        <f>IF(t&lt;Tnet,'2023'!Resal+('2023'!Salim-'2023'!Resal)*(1-EXP(('2023'!Tnet-t)/('2023'!Tau_j))),Resal+(Salim-Resal)*(1-EXP((Tnet-t)/(Tau_j))))*Salcycl</f>
        <v>7.2742559978919874E-2</v>
      </c>
      <c r="P129" s="169">
        <f>(INDEX(Models!$BJ129:$BT129,,T129)*(1-R129)+INDEX(Models!$BJ129:$BT129,,T129+1)*R129-ERP_i)*Q129*Ramure*Pc/MaxiM</f>
        <v>3.8060664007967532E-5</v>
      </c>
      <c r="Q129" s="305">
        <f t="shared" si="28"/>
        <v>0.5</v>
      </c>
      <c r="R129" s="177">
        <f t="shared" si="29"/>
        <v>6.2404523400521938E-2</v>
      </c>
      <c r="S129" s="811">
        <f t="shared" si="30"/>
        <v>1</v>
      </c>
      <c r="T129" s="176">
        <f t="shared" si="31"/>
        <v>7</v>
      </c>
      <c r="U129" s="251">
        <f t="shared" si="32"/>
        <v>1.0624045234005219</v>
      </c>
      <c r="V129" s="383">
        <f t="shared" si="33"/>
        <v>53.889468426846598</v>
      </c>
      <c r="W129" s="402">
        <f t="shared" si="34"/>
        <v>44.156486883699337</v>
      </c>
      <c r="X129" s="157">
        <f t="shared" si="35"/>
        <v>45406</v>
      </c>
      <c r="Y129" s="385">
        <f t="shared" si="36"/>
        <v>43.250496728974632</v>
      </c>
      <c r="Z129" s="385">
        <f t="shared" si="37"/>
        <v>45.33294557300534</v>
      </c>
      <c r="AA129" s="386">
        <f t="shared" si="38"/>
        <v>49.913385264257968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9.1767762635258321E-2</v>
      </c>
      <c r="AD129" s="231">
        <f>(INDEX(Models!$BJ129:$BT129,,AH129)*(1-AF129)+INDEX(Models!$BJ129:$BT129,,AH129+1)*AF129-ERP_i)*AE129*Ramure*Pc/MaxiM</f>
        <v>3.8060664007967532E-5</v>
      </c>
      <c r="AE129" s="305">
        <f t="shared" si="40"/>
        <v>0.5</v>
      </c>
      <c r="AF129" s="177">
        <f t="shared" si="41"/>
        <v>6.2404523400521938E-2</v>
      </c>
      <c r="AG129" s="811">
        <f t="shared" si="49"/>
        <v>1</v>
      </c>
      <c r="AH129" s="176">
        <f t="shared" si="42"/>
        <v>7</v>
      </c>
      <c r="AI129" s="225">
        <f t="shared" si="43"/>
        <v>1.0624045234005219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'2023'!Wh/'2023'!Env_an*'2024'!Env_an</f>
        <v>51.404556039805371</v>
      </c>
      <c r="C130" s="841"/>
      <c r="D130" s="393">
        <f t="shared" si="25"/>
        <v>53.880791170221976</v>
      </c>
      <c r="E130" s="385">
        <f t="shared" si="47"/>
        <v>58.111913069348688</v>
      </c>
      <c r="F130" s="385">
        <f t="shared" si="26"/>
        <v>58.114238538376668</v>
      </c>
      <c r="G130" s="110">
        <f t="shared" si="48"/>
        <v>0.95149192627902912</v>
      </c>
      <c r="H130" s="414" t="b">
        <f>Wh_hp&gt;='2023'!Maxi_hp</f>
        <v>0</v>
      </c>
      <c r="I130" s="390">
        <f>IF(H130,Wh_hp,'2023'!Maxi_hp)</f>
        <v>58.114308236973073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4.5957660914695997E-2</v>
      </c>
      <c r="M130" s="845"/>
      <c r="N130" s="845"/>
      <c r="O130" s="48">
        <f>IF(t&lt;Tnet,'2023'!Resal+('2023'!Salim-'2023'!Resal)*(1-EXP(('2023'!Tnet-t)/('2023'!Tau_j))),Resal+(Salim-Resal)*(1-EXP((Tnet-t)/(Tau_j))))*Salcycl</f>
        <v>7.2809888293944858E-2</v>
      </c>
      <c r="P130" s="169">
        <f>(INDEX(Models!$BJ130:$BT130,,T130)*(1-R130)+INDEX(Models!$BJ130:$BT130,,T130+1)*R130-ERP_i)*Q130*Ramure*Pc/MaxiM</f>
        <v>4.2994719531570077E-5</v>
      </c>
      <c r="Q130" s="305">
        <f t="shared" si="28"/>
        <v>0.5</v>
      </c>
      <c r="R130" s="177">
        <f t="shared" si="29"/>
        <v>6.4786480178380845E-2</v>
      </c>
      <c r="S130" s="811">
        <f t="shared" si="30"/>
        <v>1</v>
      </c>
      <c r="T130" s="176">
        <f t="shared" si="31"/>
        <v>7</v>
      </c>
      <c r="U130" s="251">
        <f t="shared" si="32"/>
        <v>1.0647864801783808</v>
      </c>
      <c r="V130" s="383">
        <f t="shared" si="33"/>
        <v>54.025054198945433</v>
      </c>
      <c r="W130" s="402">
        <f t="shared" si="34"/>
        <v>51.404556039805371</v>
      </c>
      <c r="X130" s="157">
        <f t="shared" si="35"/>
        <v>45407</v>
      </c>
      <c r="Y130" s="385">
        <f t="shared" si="36"/>
        <v>50.350268476310546</v>
      </c>
      <c r="Z130" s="385">
        <f t="shared" si="37"/>
        <v>52.775716981894412</v>
      </c>
      <c r="AA130" s="386">
        <f t="shared" si="38"/>
        <v>58.111913069348688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9.1826198891202415E-2</v>
      </c>
      <c r="AD130" s="231">
        <f>(INDEX(Models!$BJ130:$BT130,,AH130)*(1-AF130)+INDEX(Models!$BJ130:$BT130,,AH130+1)*AF130-ERP_i)*AE130*Ramure*Pc/MaxiM</f>
        <v>4.2994719531570077E-5</v>
      </c>
      <c r="AE130" s="305">
        <f t="shared" si="40"/>
        <v>0.5</v>
      </c>
      <c r="AF130" s="177">
        <f t="shared" si="41"/>
        <v>6.4786480178380845E-2</v>
      </c>
      <c r="AG130" s="811">
        <f t="shared" si="49"/>
        <v>1</v>
      </c>
      <c r="AH130" s="176">
        <f t="shared" si="42"/>
        <v>7</v>
      </c>
      <c r="AI130" s="225">
        <f t="shared" si="43"/>
        <v>1.0647864801783808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'2023'!Wh/'2023'!Env_an*'2024'!Env_an</f>
        <v>38.721265352910059</v>
      </c>
      <c r="C131" s="841"/>
      <c r="D131" s="393">
        <f t="shared" si="25"/>
        <v>40.587416176621481</v>
      </c>
      <c r="E131" s="385">
        <f t="shared" si="47"/>
        <v>43.777870111754574</v>
      </c>
      <c r="F131" s="385">
        <f t="shared" si="26"/>
        <v>43.779125893488491</v>
      </c>
      <c r="G131" s="110">
        <f t="shared" si="48"/>
        <v>0.71497705903391839</v>
      </c>
      <c r="H131" s="414" t="b">
        <f>Wh_hp&gt;='2023'!Maxi_hp</f>
        <v>0</v>
      </c>
      <c r="I131" s="390">
        <f>IF(H131,Wh_hp,'2023'!Maxi_hp)</f>
        <v>43.779467103843352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4.5978556890407085E-2</v>
      </c>
      <c r="M131" s="845"/>
      <c r="N131" s="845"/>
      <c r="O131" s="48">
        <f>IF(t&lt;Tnet,'2023'!Resal+('2023'!Salim-'2023'!Resal)*(1-EXP(('2023'!Tnet-t)/('2023'!Tau_j))),Resal+(Salim-Resal)*(1-EXP((Tnet-t)/(Tau_j))))*Salcycl</f>
        <v>7.2878235669954175E-2</v>
      </c>
      <c r="P131" s="169">
        <f>(INDEX(Models!$BJ131:$BT131,,T131)*(1-R131)+INDEX(Models!$BJ131:$BT131,,T131+1)*R131-ERP_i)*Q131*Ramure*Pc/MaxiM</f>
        <v>4.8384503174864814E-5</v>
      </c>
      <c r="Q131" s="305">
        <f t="shared" si="28"/>
        <v>0.5</v>
      </c>
      <c r="R131" s="177">
        <f t="shared" si="29"/>
        <v>6.7240781165515795E-2</v>
      </c>
      <c r="S131" s="811">
        <f t="shared" si="30"/>
        <v>1</v>
      </c>
      <c r="T131" s="176">
        <f t="shared" si="31"/>
        <v>7</v>
      </c>
      <c r="U131" s="251">
        <f t="shared" si="32"/>
        <v>1.0672407811655158</v>
      </c>
      <c r="V131" s="383">
        <f t="shared" si="33"/>
        <v>54.15628659997077</v>
      </c>
      <c r="W131" s="402">
        <f t="shared" si="34"/>
        <v>38.721265352910059</v>
      </c>
      <c r="X131" s="157">
        <f t="shared" si="35"/>
        <v>45408</v>
      </c>
      <c r="Y131" s="385">
        <f t="shared" si="36"/>
        <v>37.927408883082599</v>
      </c>
      <c r="Z131" s="385">
        <f t="shared" si="37"/>
        <v>39.75530021574756</v>
      </c>
      <c r="AA131" s="386">
        <f t="shared" si="38"/>
        <v>43.777870111754574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9.1885920574444155E-2</v>
      </c>
      <c r="AD131" s="231">
        <f>(INDEX(Models!$BJ131:$BT131,,AH131)*(1-AF131)+INDEX(Models!$BJ131:$BT131,,AH131+1)*AF131-ERP_i)*AE131*Ramure*Pc/MaxiM</f>
        <v>4.8384503174864814E-5</v>
      </c>
      <c r="AE131" s="305">
        <f t="shared" si="40"/>
        <v>0.5</v>
      </c>
      <c r="AF131" s="177">
        <f t="shared" si="41"/>
        <v>6.7240781165515795E-2</v>
      </c>
      <c r="AG131" s="811">
        <f t="shared" si="49"/>
        <v>1</v>
      </c>
      <c r="AH131" s="176">
        <f t="shared" si="42"/>
        <v>7</v>
      </c>
      <c r="AI131" s="225">
        <f t="shared" si="43"/>
        <v>1.0672407811655158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'2023'!Wh/'2023'!Env_an*'2024'!Env_an</f>
        <v>19.273683138235437</v>
      </c>
      <c r="C132" s="841"/>
      <c r="D132" s="393">
        <f t="shared" si="25"/>
        <v>20.203010561045517</v>
      </c>
      <c r="E132" s="385">
        <f t="shared" si="47"/>
        <v>21.792738495797359</v>
      </c>
      <c r="F132" s="385">
        <f t="shared" si="26"/>
        <v>21.792831461767307</v>
      </c>
      <c r="G132" s="110">
        <f t="shared" si="48"/>
        <v>0.35503859209454813</v>
      </c>
      <c r="H132" s="414" t="b">
        <f>Wh_hp&gt;='2023'!Maxi_hp</f>
        <v>0</v>
      </c>
      <c r="I132" s="390">
        <f>IF(H132,Wh_hp,'2023'!Maxi_hp)</f>
        <v>46.870510731346037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4.599945240844272E-2</v>
      </c>
      <c r="M132" s="845"/>
      <c r="N132" s="845"/>
      <c r="O132" s="48">
        <f>IF(t&lt;Tnet,'2023'!Resal+('2023'!Salim-'2023'!Resal)*(1-EXP(('2023'!Tnet-t)/('2023'!Tau_j))),Resal+(Salim-Resal)*(1-EXP((Tnet-t)/(Tau_j))))*Salcycl</f>
        <v>7.2947598350634815E-2</v>
      </c>
      <c r="P132" s="169">
        <f>(INDEX(Models!$BJ132:$BT132,,T132)*(1-R132)+INDEX(Models!$BJ132:$BT132,,T132+1)*R132-ERP_i)*Q132*Ramure*Pc/MaxiM</f>
        <v>5.4237677830207411E-5</v>
      </c>
      <c r="Q132" s="305">
        <f t="shared" si="28"/>
        <v>0.5</v>
      </c>
      <c r="R132" s="177">
        <f t="shared" si="29"/>
        <v>6.9768605208393231E-2</v>
      </c>
      <c r="S132" s="811">
        <f t="shared" si="30"/>
        <v>1</v>
      </c>
      <c r="T132" s="176">
        <f t="shared" si="31"/>
        <v>7</v>
      </c>
      <c r="U132" s="251">
        <f t="shared" si="32"/>
        <v>1.0697686052083932</v>
      </c>
      <c r="V132" s="383">
        <f t="shared" si="33"/>
        <v>54.28345093459837</v>
      </c>
      <c r="W132" s="402">
        <f t="shared" si="34"/>
        <v>19.273683138235437</v>
      </c>
      <c r="X132" s="157">
        <f t="shared" si="35"/>
        <v>45409</v>
      </c>
      <c r="Y132" s="385">
        <f t="shared" si="36"/>
        <v>18.878681798140814</v>
      </c>
      <c r="Z132" s="385">
        <f t="shared" si="37"/>
        <v>19.788963272402096</v>
      </c>
      <c r="AA132" s="386">
        <f t="shared" si="38"/>
        <v>21.792738495797359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9.1946921851133137E-2</v>
      </c>
      <c r="AD132" s="231">
        <f>(INDEX(Models!$BJ132:$BT132,,AH132)*(1-AF132)+INDEX(Models!$BJ132:$BT132,,AH132+1)*AF132-ERP_i)*AE132*Ramure*Pc/MaxiM</f>
        <v>5.4237677830207411E-5</v>
      </c>
      <c r="AE132" s="305">
        <f t="shared" si="40"/>
        <v>0.5</v>
      </c>
      <c r="AF132" s="177">
        <f t="shared" si="41"/>
        <v>6.9768605208393231E-2</v>
      </c>
      <c r="AG132" s="811">
        <f t="shared" si="49"/>
        <v>1</v>
      </c>
      <c r="AH132" s="176">
        <f t="shared" si="42"/>
        <v>7</v>
      </c>
      <c r="AI132" s="225">
        <f t="shared" si="43"/>
        <v>1.0697686052083932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'2023'!Wh/'2023'!Env_an*'2024'!Env_an</f>
        <v>38.785307868130353</v>
      </c>
      <c r="C133" s="841"/>
      <c r="D133" s="393">
        <f t="shared" si="25"/>
        <v>40.656326123121787</v>
      </c>
      <c r="E133" s="385">
        <f t="shared" si="47"/>
        <v>43.858807219712162</v>
      </c>
      <c r="F133" s="385">
        <f t="shared" si="26"/>
        <v>43.860373956991914</v>
      </c>
      <c r="G133" s="110">
        <f t="shared" si="48"/>
        <v>0.7128579731541832</v>
      </c>
      <c r="H133" s="414" t="b">
        <f>Wh_hp&gt;='2023'!Maxi_hp</f>
        <v>0</v>
      </c>
      <c r="I133" s="390">
        <f>IF(H133,Wh_hp,'2023'!Maxi_hp)</f>
        <v>52.731591737433121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4.6020347468812783E-2</v>
      </c>
      <c r="M133" s="845"/>
      <c r="N133" s="845"/>
      <c r="O133" s="48">
        <f>IF(t&lt;Tnet,'2023'!Resal+('2023'!Salim-'2023'!Resal)*(1-EXP(('2023'!Tnet-t)/('2023'!Tau_j))),Resal+(Salim-Resal)*(1-EXP((Tnet-t)/(Tau_j))))*Salcycl</f>
        <v>7.3017970610724542E-2</v>
      </c>
      <c r="P133" s="169">
        <f>(INDEX(Models!$BJ133:$BT133,,T133)*(1-R133)+INDEX(Models!$BJ133:$BT133,,T133+1)*R133-ERP_i)*Q133*Ramure*Pc/MaxiM</f>
        <v>6.0562331006830378E-5</v>
      </c>
      <c r="Q133" s="305">
        <f t="shared" si="28"/>
        <v>0.5</v>
      </c>
      <c r="R133" s="177">
        <f t="shared" si="29"/>
        <v>7.2371074969525218E-2</v>
      </c>
      <c r="S133" s="811">
        <f t="shared" si="30"/>
        <v>1</v>
      </c>
      <c r="T133" s="176">
        <f t="shared" si="31"/>
        <v>7</v>
      </c>
      <c r="U133" s="251">
        <f t="shared" si="32"/>
        <v>1.0723710749695252</v>
      </c>
      <c r="V133" s="383">
        <f t="shared" si="33"/>
        <v>54.406832519799941</v>
      </c>
      <c r="W133" s="402">
        <f t="shared" si="34"/>
        <v>38.785307868130353</v>
      </c>
      <c r="X133" s="157">
        <f t="shared" si="35"/>
        <v>45410</v>
      </c>
      <c r="Y133" s="385">
        <f t="shared" si="36"/>
        <v>37.990707283950847</v>
      </c>
      <c r="Z133" s="385">
        <f t="shared" si="37"/>
        <v>39.823393699383821</v>
      </c>
      <c r="AA133" s="386">
        <f t="shared" si="38"/>
        <v>43.858807219712162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9.2009194415908407E-2</v>
      </c>
      <c r="AD133" s="231">
        <f>(INDEX(Models!$BJ133:$BT133,,AH133)*(1-AF133)+INDEX(Models!$BJ133:$BT133,,AH133+1)*AF133-ERP_i)*AE133*Ramure*Pc/MaxiM</f>
        <v>6.0562331006830378E-5</v>
      </c>
      <c r="AE133" s="305">
        <f t="shared" si="40"/>
        <v>0.5</v>
      </c>
      <c r="AF133" s="177">
        <f t="shared" si="41"/>
        <v>7.2371074969525218E-2</v>
      </c>
      <c r="AG133" s="811">
        <f t="shared" si="49"/>
        <v>1</v>
      </c>
      <c r="AH133" s="176">
        <f t="shared" si="42"/>
        <v>7</v>
      </c>
      <c r="AI133" s="225">
        <f t="shared" si="43"/>
        <v>1.0723710749695252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'2023'!Wh/'2023'!Env_an*'2024'!Env_an</f>
        <v>41.227192296213836</v>
      </c>
      <c r="C134" s="841"/>
      <c r="D134" s="393">
        <f t="shared" si="25"/>
        <v>43.216954562835554</v>
      </c>
      <c r="E134" s="385">
        <f t="shared" si="47"/>
        <v>46.624725171889303</v>
      </c>
      <c r="F134" s="385">
        <f t="shared" si="26"/>
        <v>46.626771787023891</v>
      </c>
      <c r="G134" s="110">
        <f t="shared" si="48"/>
        <v>0.75607384815670631</v>
      </c>
      <c r="H134" s="414" t="b">
        <f>Wh_hp&gt;='2023'!Maxi_hp</f>
        <v>0</v>
      </c>
      <c r="I134" s="390">
        <f>IF(H134,Wh_hp,'2023'!Maxi_hp)</f>
        <v>62.081683557920357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4.6041242071527488E-2</v>
      </c>
      <c r="M134" s="845"/>
      <c r="N134" s="845"/>
      <c r="O134" s="48">
        <f>IF(t&lt;Tnet,'2023'!Resal+('2023'!Salim-'2023'!Resal)*(1-EXP(('2023'!Tnet-t)/('2023'!Tau_j))),Resal+(Salim-Resal)*(1-EXP((Tnet-t)/(Tau_j))))*Salcycl</f>
        <v>7.3089344687619559E-2</v>
      </c>
      <c r="P134" s="169">
        <f>(INDEX(Models!$BJ134:$BT134,,T134)*(1-R134)+INDEX(Models!$BJ134:$BT134,,T134+1)*R134-ERP_i)*Q134*Ramure*Pc/MaxiM</f>
        <v>6.7366937145744597E-5</v>
      </c>
      <c r="Q134" s="305">
        <f t="shared" si="28"/>
        <v>0.5</v>
      </c>
      <c r="R134" s="177">
        <f t="shared" si="29"/>
        <v>7.5049250626804342E-2</v>
      </c>
      <c r="S134" s="811">
        <f t="shared" si="30"/>
        <v>1</v>
      </c>
      <c r="T134" s="176">
        <f t="shared" si="31"/>
        <v>7</v>
      </c>
      <c r="U134" s="251">
        <f t="shared" si="32"/>
        <v>1.0750492506268043</v>
      </c>
      <c r="V134" s="383">
        <f t="shared" si="33"/>
        <v>54.526716686371614</v>
      </c>
      <c r="W134" s="402">
        <f t="shared" si="34"/>
        <v>41.227192296213836</v>
      </c>
      <c r="X134" s="157">
        <f t="shared" si="35"/>
        <v>45411</v>
      </c>
      <c r="Y134" s="385">
        <f t="shared" si="36"/>
        <v>40.38284816723867</v>
      </c>
      <c r="Z134" s="385">
        <f t="shared" si="37"/>
        <v>42.33185956060646</v>
      </c>
      <c r="AA134" s="386">
        <f t="shared" si="38"/>
        <v>46.624725171889303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9.207272740925615E-2</v>
      </c>
      <c r="AD134" s="231">
        <f>(INDEX(Models!$BJ134:$BT134,,AH134)*(1-AF134)+INDEX(Models!$BJ134:$BT134,,AH134+1)*AF134-ERP_i)*AE134*Ramure*Pc/MaxiM</f>
        <v>6.7366937145744597E-5</v>
      </c>
      <c r="AE134" s="305">
        <f t="shared" si="40"/>
        <v>0.5</v>
      </c>
      <c r="AF134" s="177">
        <f t="shared" si="41"/>
        <v>7.5049250626804342E-2</v>
      </c>
      <c r="AG134" s="811">
        <f t="shared" si="49"/>
        <v>1</v>
      </c>
      <c r="AH134" s="176">
        <f t="shared" si="42"/>
        <v>7</v>
      </c>
      <c r="AI134" s="225">
        <f t="shared" si="43"/>
        <v>1.0750492506268043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'2023'!Wh/'2023'!Env_an*'2024'!Env_an</f>
        <v>47.966099487590192</v>
      </c>
      <c r="C135" s="841"/>
      <c r="D135" s="393">
        <f t="shared" si="25"/>
        <v>50.282205276297901</v>
      </c>
      <c r="E135" s="385">
        <f t="shared" si="47"/>
        <v>50.537821315733346</v>
      </c>
      <c r="F135" s="385">
        <f t="shared" si="26"/>
        <v>50.540612210094899</v>
      </c>
      <c r="G135" s="110">
        <f t="shared" si="48"/>
        <v>0.81771467942792608</v>
      </c>
      <c r="H135" s="414" t="b">
        <f>Wh_hp&gt;='2023'!Maxi_hp</f>
        <v>0</v>
      </c>
      <c r="I135" s="390">
        <f>IF(H135,Wh_hp,'2023'!Maxi_hp)</f>
        <v>57.93362071879104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4.6062136216596716E-2</v>
      </c>
      <c r="M135" s="845"/>
      <c r="N135" s="845"/>
      <c r="O135" s="48">
        <f>IF(t&lt;Tnet,'2023'!Resal+('2023'!Salim-'2023'!Resal)*(1-EXP(('2023'!Tnet-t)/('2023'!Tau_j))),Resal+(Salim-Resal)*(1-EXP((Tnet-t)/(Tau_j))))*Salcycl</f>
        <v>5.0579156912699428E-3</v>
      </c>
      <c r="P135" s="169">
        <f>(INDEX(Models!$BJ135:$BT135,,T135)*(1-R135)+INDEX(Models!$BJ135:$BT135,,T135+1)*R135-ERP_i)*Q135*Ramure*Pc/MaxiM</f>
        <v>7.4661571083391604E-5</v>
      </c>
      <c r="Q135" s="305">
        <f t="shared" si="28"/>
        <v>0.5</v>
      </c>
      <c r="R135" s="177">
        <f t="shared" si="29"/>
        <v>7.780412338486431E-2</v>
      </c>
      <c r="S135" s="811">
        <f t="shared" si="30"/>
        <v>1</v>
      </c>
      <c r="T135" s="176">
        <f t="shared" si="31"/>
        <v>7</v>
      </c>
      <c r="U135" s="251">
        <f t="shared" si="32"/>
        <v>1.0778041233848643</v>
      </c>
      <c r="V135" s="383">
        <f t="shared" si="33"/>
        <v>58.65758331860463</v>
      </c>
      <c r="W135" s="402">
        <f t="shared" si="34"/>
        <v>47.966099487590192</v>
      </c>
      <c r="X135" s="157">
        <f t="shared" si="35"/>
        <v>45412</v>
      </c>
      <c r="Y135" s="385">
        <f t="shared" si="36"/>
        <v>44.682819526777813</v>
      </c>
      <c r="Z135" s="385">
        <f t="shared" si="37"/>
        <v>46.840387852476823</v>
      </c>
      <c r="AA135" s="386">
        <f t="shared" si="38"/>
        <v>50.537821315733346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7.3161710714772094E-2</v>
      </c>
      <c r="AD135" s="231">
        <f>(INDEX(Models!$BJ135:$BT135,,AH135)*(1-AF135)+INDEX(Models!$BJ135:$BT135,,AH135+1)*AF135-ERP_i)*AE135*Ramure*Pc/MaxiM</f>
        <v>7.4661571083391604E-5</v>
      </c>
      <c r="AE135" s="305">
        <f t="shared" si="40"/>
        <v>0.5</v>
      </c>
      <c r="AF135" s="177">
        <f t="shared" si="41"/>
        <v>7.780412338486431E-2</v>
      </c>
      <c r="AG135" s="811">
        <f t="shared" si="49"/>
        <v>1</v>
      </c>
      <c r="AH135" s="176">
        <f t="shared" si="42"/>
        <v>7</v>
      </c>
      <c r="AI135" s="225">
        <f t="shared" si="43"/>
        <v>1.0778041233848643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'2023'!Wh/'2023'!Env_an*'2024'!Env_an</f>
        <v>30.834422659391372</v>
      </c>
      <c r="C136" s="841"/>
      <c r="D136" s="393">
        <f t="shared" si="25"/>
        <v>32.324011026126577</v>
      </c>
      <c r="E136" s="385">
        <f t="shared" si="47"/>
        <v>32.491589251841674</v>
      </c>
      <c r="F136" s="385">
        <f t="shared" si="26"/>
        <v>32.49245386754253</v>
      </c>
      <c r="G136" s="110">
        <f t="shared" si="48"/>
        <v>0.52458548928887627</v>
      </c>
      <c r="H136" s="414" t="b">
        <f>Wh_hp&gt;='2023'!Maxi_hp</f>
        <v>0</v>
      </c>
      <c r="I136" s="390">
        <f>IF(H136,Wh_hp,'2023'!Maxi_hp)</f>
        <v>50.847443819946974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4.608302990403057E-2</v>
      </c>
      <c r="M136" s="845"/>
      <c r="N136" s="845"/>
      <c r="O136" s="48">
        <f>IF(t&lt;Tnet,'2023'!Resal+('2023'!Salim-'2023'!Resal)*(1-EXP(('2023'!Tnet-t)/('2023'!Tau_j))),Resal+(Salim-Resal)*(1-EXP((Tnet-t)/(Tau_j))))*Salcycl</f>
        <v>5.1575878426936604E-3</v>
      </c>
      <c r="P136" s="169">
        <f>(INDEX(Models!$BJ136:$BT136,,T136)*(1-R136)+INDEX(Models!$BJ136:$BT136,,T136+1)*R136-ERP_i)*Q136*Ramure*Pc/MaxiM</f>
        <v>8.2927738680235754E-5</v>
      </c>
      <c r="Q136" s="305">
        <f t="shared" si="28"/>
        <v>0.5</v>
      </c>
      <c r="R136" s="177">
        <f t="shared" si="29"/>
        <v>8.0636608820299438E-2</v>
      </c>
      <c r="S136" s="811">
        <f t="shared" si="30"/>
        <v>1</v>
      </c>
      <c r="T136" s="176">
        <f t="shared" si="31"/>
        <v>7</v>
      </c>
      <c r="U136" s="251">
        <f t="shared" si="32"/>
        <v>1.0806366088202994</v>
      </c>
      <c r="V136" s="383">
        <f t="shared" si="33"/>
        <v>58.775331589818286</v>
      </c>
      <c r="W136" s="402">
        <f t="shared" si="34"/>
        <v>30.834422659391372</v>
      </c>
      <c r="X136" s="157">
        <f t="shared" si="35"/>
        <v>45413</v>
      </c>
      <c r="Y136" s="385">
        <f t="shared" si="36"/>
        <v>28.724410640031312</v>
      </c>
      <c r="Z136" s="385">
        <f t="shared" si="37"/>
        <v>30.112065872086827</v>
      </c>
      <c r="AA136" s="386">
        <f t="shared" si="38"/>
        <v>32.491589251841674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7.3235056657623199E-2</v>
      </c>
      <c r="AD136" s="231">
        <f>(INDEX(Models!$BJ136:$BT136,,AH136)*(1-AF136)+INDEX(Models!$BJ136:$BT136,,AH136+1)*AF136-ERP_i)*AE136*Ramure*Pc/MaxiM</f>
        <v>8.2927738680235754E-5</v>
      </c>
      <c r="AE136" s="305">
        <f t="shared" si="40"/>
        <v>0.5</v>
      </c>
      <c r="AF136" s="177">
        <f t="shared" si="41"/>
        <v>8.0636608820299438E-2</v>
      </c>
      <c r="AG136" s="811">
        <f t="shared" si="49"/>
        <v>1</v>
      </c>
      <c r="AH136" s="176">
        <f t="shared" si="42"/>
        <v>7</v>
      </c>
      <c r="AI136" s="225">
        <f t="shared" si="43"/>
        <v>1.0806366088202994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'2023'!Wh/'2023'!Env_an*'2024'!Env_an</f>
        <v>36.738583762280655</v>
      </c>
      <c r="C137" s="841"/>
      <c r="D137" s="393">
        <f t="shared" si="25"/>
        <v>38.514241386732699</v>
      </c>
      <c r="E137" s="385">
        <f t="shared" si="47"/>
        <v>38.717794088862966</v>
      </c>
      <c r="F137" s="385">
        <f t="shared" si="26"/>
        <v>38.719442351209359</v>
      </c>
      <c r="G137" s="110">
        <f t="shared" si="48"/>
        <v>0.62384163895343037</v>
      </c>
      <c r="H137" s="414" t="b">
        <f>Wh_hp&gt;='2023'!Maxi_hp</f>
        <v>0</v>
      </c>
      <c r="I137" s="390">
        <f>IF(H137,Wh_hp,'2023'!Maxi_hp)</f>
        <v>60.514631083164147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4.6103923133839042E-2</v>
      </c>
      <c r="M137" s="845"/>
      <c r="N137" s="845"/>
      <c r="O137" s="48">
        <f>IF(t&lt;Tnet,'2023'!Resal+('2023'!Salim-'2023'!Resal)*(1-EXP(('2023'!Tnet-t)/('2023'!Tau_j))),Resal+(Salim-Resal)*(1-EXP((Tnet-t)/(Tau_j))))*Salcycl</f>
        <v>5.2573424421620361E-3</v>
      </c>
      <c r="P137" s="169">
        <f>(INDEX(Models!$BJ137:$BT137,,T137)*(1-R137)+INDEX(Models!$BJ137:$BT137,,T137+1)*R137-ERP_i)*Q137*Ramure*Pc/MaxiM</f>
        <v>9.20070767956545E-5</v>
      </c>
      <c r="Q137" s="305">
        <f t="shared" si="28"/>
        <v>0.5</v>
      </c>
      <c r="R137" s="177">
        <f t="shared" si="29"/>
        <v>8.3547540085863181E-2</v>
      </c>
      <c r="S137" s="811">
        <f t="shared" si="30"/>
        <v>1</v>
      </c>
      <c r="T137" s="176">
        <f t="shared" si="31"/>
        <v>7</v>
      </c>
      <c r="U137" s="251">
        <f t="shared" si="32"/>
        <v>1.0835475400858632</v>
      </c>
      <c r="V137" s="383">
        <f t="shared" si="33"/>
        <v>58.887969509910853</v>
      </c>
      <c r="W137" s="402">
        <f t="shared" si="34"/>
        <v>36.738583762280655</v>
      </c>
      <c r="X137" s="157">
        <f t="shared" si="35"/>
        <v>45414</v>
      </c>
      <c r="Y137" s="385">
        <f t="shared" si="36"/>
        <v>34.225235177655598</v>
      </c>
      <c r="Z137" s="385">
        <f t="shared" si="37"/>
        <v>35.879417064064164</v>
      </c>
      <c r="AA137" s="386">
        <f t="shared" si="38"/>
        <v>38.717794088862966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7.3309368252858553E-2</v>
      </c>
      <c r="AD137" s="231">
        <f>(INDEX(Models!$BJ137:$BT137,,AH137)*(1-AF137)+INDEX(Models!$BJ137:$BT137,,AH137+1)*AF137-ERP_i)*AE137*Ramure*Pc/MaxiM</f>
        <v>9.20070767956545E-5</v>
      </c>
      <c r="AE137" s="305">
        <f t="shared" si="40"/>
        <v>0.5</v>
      </c>
      <c r="AF137" s="177">
        <f t="shared" si="41"/>
        <v>8.3547540085863181E-2</v>
      </c>
      <c r="AG137" s="811">
        <f t="shared" si="49"/>
        <v>1</v>
      </c>
      <c r="AH137" s="176">
        <f t="shared" si="42"/>
        <v>7</v>
      </c>
      <c r="AI137" s="225">
        <f t="shared" si="43"/>
        <v>1.0835475400858632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'2023'!Wh/'2023'!Env_an*'2024'!Env_an</f>
        <v>20.378739172753097</v>
      </c>
      <c r="C138" s="841"/>
      <c r="D138" s="393">
        <f t="shared" si="25"/>
        <v>21.364156980464596</v>
      </c>
      <c r="E138" s="385">
        <f t="shared" si="47"/>
        <v>21.479225097104031</v>
      </c>
      <c r="F138" s="385">
        <f t="shared" si="26"/>
        <v>21.479367162399015</v>
      </c>
      <c r="G138" s="110">
        <f t="shared" si="48"/>
        <v>0.34539520238003557</v>
      </c>
      <c r="H138" s="414" t="b">
        <f>Wh_hp&gt;='2023'!Maxi_hp</f>
        <v>0</v>
      </c>
      <c r="I138" s="390">
        <f>IF(H138,Wh_hp,'2023'!Maxi_hp)</f>
        <v>57.253924122877009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4.6124815906032124E-2</v>
      </c>
      <c r="M138" s="845"/>
      <c r="N138" s="845"/>
      <c r="O138" s="48">
        <f>IF(t&lt;Tnet,'2023'!Resal+('2023'!Salim-'2023'!Resal)*(1-EXP(('2023'!Tnet-t)/('2023'!Tau_j))),Resal+(Salim-Resal)*(1-EXP((Tnet-t)/(Tau_j))))*Salcycl</f>
        <v>5.3571819336698731E-3</v>
      </c>
      <c r="P138" s="169">
        <f>(INDEX(Models!$BJ138:$BT138,,T138)*(1-R138)+INDEX(Models!$BJ138:$BT138,,T138+1)*R138-ERP_i)*Q138*Ramure*Pc/MaxiM</f>
        <v>1.0191538953259161E-4</v>
      </c>
      <c r="Q138" s="305">
        <f t="shared" si="28"/>
        <v>0.5</v>
      </c>
      <c r="R138" s="177">
        <f t="shared" si="29"/>
        <v>8.6537661002153543E-2</v>
      </c>
      <c r="S138" s="811">
        <f t="shared" si="30"/>
        <v>1</v>
      </c>
      <c r="T138" s="176">
        <f t="shared" si="31"/>
        <v>7</v>
      </c>
      <c r="U138" s="251">
        <f t="shared" si="32"/>
        <v>1.0865376610021535</v>
      </c>
      <c r="V138" s="383">
        <f t="shared" si="33"/>
        <v>58.995599527896275</v>
      </c>
      <c r="W138" s="402">
        <f t="shared" si="34"/>
        <v>20.378739172753097</v>
      </c>
      <c r="X138" s="157">
        <f t="shared" si="35"/>
        <v>45415</v>
      </c>
      <c r="Y138" s="385">
        <f t="shared" si="36"/>
        <v>18.984958838556281</v>
      </c>
      <c r="Z138" s="385">
        <f t="shared" si="37"/>
        <v>19.902980133180655</v>
      </c>
      <c r="AA138" s="386">
        <f t="shared" si="38"/>
        <v>21.479225097104031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7.33846289518095E-2</v>
      </c>
      <c r="AD138" s="231">
        <f>(INDEX(Models!$BJ138:$BT138,,AH138)*(1-AF138)+INDEX(Models!$BJ138:$BT138,,AH138+1)*AF138-ERP_i)*AE138*Ramure*Pc/MaxiM</f>
        <v>1.0191538953259161E-4</v>
      </c>
      <c r="AE138" s="305">
        <f t="shared" si="40"/>
        <v>0.5</v>
      </c>
      <c r="AF138" s="177">
        <f t="shared" si="41"/>
        <v>8.6537661002153543E-2</v>
      </c>
      <c r="AG138" s="811">
        <f t="shared" si="49"/>
        <v>1</v>
      </c>
      <c r="AH138" s="176">
        <f t="shared" si="42"/>
        <v>7</v>
      </c>
      <c r="AI138" s="225">
        <f t="shared" si="43"/>
        <v>1.0865376610021535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'2023'!Wh/'2023'!Env_an*'2024'!Env_an</f>
        <v>42.713645751086048</v>
      </c>
      <c r="C139" s="841"/>
      <c r="D139" s="393">
        <f t="shared" si="25"/>
        <v>44.780053011456616</v>
      </c>
      <c r="E139" s="385">
        <f t="shared" si="47"/>
        <v>45.025763487608017</v>
      </c>
      <c r="F139" s="385">
        <f t="shared" si="26"/>
        <v>45.028827478920093</v>
      </c>
      <c r="G139" s="110">
        <f t="shared" si="48"/>
        <v>0.72272336421820871</v>
      </c>
      <c r="H139" s="414" t="b">
        <f>Wh_hp&gt;='2023'!Maxi_hp</f>
        <v>0</v>
      </c>
      <c r="I139" s="390">
        <f>IF(H139,Wh_hp,'2023'!Maxi_hp)</f>
        <v>60.369568048217943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4.6145708220619919E-2</v>
      </c>
      <c r="M139" s="845"/>
      <c r="N139" s="845"/>
      <c r="O139" s="48">
        <f>IF(t&lt;Tnet,'2023'!Resal+('2023'!Salim-'2023'!Resal)*(1-EXP(('2023'!Tnet-t)/('2023'!Tau_j))),Resal+(Salim-Resal)*(1-EXP((Tnet-t)/(Tau_j))))*Salcycl</f>
        <v>5.4571084889882037E-3</v>
      </c>
      <c r="P139" s="169">
        <f>(INDEX(Models!$BJ139:$BT139,,T139)*(1-R139)+INDEX(Models!$BJ139:$BT139,,T139+1)*R139-ERP_i)*Q139*Ramure*Pc/MaxiM</f>
        <v>1.1266928614691655E-4</v>
      </c>
      <c r="Q139" s="305">
        <f t="shared" si="28"/>
        <v>0.5</v>
      </c>
      <c r="R139" s="177">
        <f t="shared" si="29"/>
        <v>8.9607619068730049E-2</v>
      </c>
      <c r="S139" s="811">
        <f t="shared" si="30"/>
        <v>1</v>
      </c>
      <c r="T139" s="176">
        <f t="shared" si="31"/>
        <v>7</v>
      </c>
      <c r="U139" s="251">
        <f t="shared" si="32"/>
        <v>1.08960761906873</v>
      </c>
      <c r="V139" s="383">
        <f t="shared" si="33"/>
        <v>59.098324026280082</v>
      </c>
      <c r="W139" s="402">
        <f t="shared" si="34"/>
        <v>42.713645751086048</v>
      </c>
      <c r="X139" s="157">
        <f t="shared" si="35"/>
        <v>45416</v>
      </c>
      <c r="Y139" s="385">
        <f t="shared" si="36"/>
        <v>39.793021148133739</v>
      </c>
      <c r="Z139" s="385">
        <f t="shared" si="37"/>
        <v>41.718133986587532</v>
      </c>
      <c r="AA139" s="386">
        <f t="shared" si="38"/>
        <v>45.025763487608017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7.3460819868847158E-2</v>
      </c>
      <c r="AD139" s="231">
        <f>(INDEX(Models!$BJ139:$BT139,,AH139)*(1-AF139)+INDEX(Models!$BJ139:$BT139,,AH139+1)*AF139-ERP_i)*AE139*Ramure*Pc/MaxiM</f>
        <v>1.1266928614691655E-4</v>
      </c>
      <c r="AE139" s="305">
        <f t="shared" si="40"/>
        <v>0.5</v>
      </c>
      <c r="AF139" s="177">
        <f t="shared" si="41"/>
        <v>8.9607619068730049E-2</v>
      </c>
      <c r="AG139" s="811">
        <f t="shared" si="49"/>
        <v>1</v>
      </c>
      <c r="AH139" s="176">
        <f t="shared" si="42"/>
        <v>7</v>
      </c>
      <c r="AI139" s="225">
        <f t="shared" si="43"/>
        <v>1.08960761906873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'2023'!Wh/'2023'!Env_an*'2024'!Env_an</f>
        <v>39.073913569638954</v>
      </c>
      <c r="C140" s="841"/>
      <c r="D140" s="393">
        <f t="shared" si="25"/>
        <v>40.965134553705454</v>
      </c>
      <c r="E140" s="385">
        <f t="shared" si="47"/>
        <v>41.194055025117663</v>
      </c>
      <c r="F140" s="385">
        <f t="shared" si="26"/>
        <v>41.196688801712483</v>
      </c>
      <c r="G140" s="110">
        <f t="shared" si="48"/>
        <v>0.66003434713862763</v>
      </c>
      <c r="H140" s="414" t="b">
        <f>Wh_hp&gt;='2023'!Maxi_hp</f>
        <v>0</v>
      </c>
      <c r="I140" s="390">
        <f>IF(H140,Wh_hp,'2023'!Maxi_hp)</f>
        <v>64.189889106761925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4.6166600077612419E-2</v>
      </c>
      <c r="M140" s="845"/>
      <c r="N140" s="845"/>
      <c r="O140" s="48">
        <f>IF(t&lt;Tnet,'2023'!Resal+('2023'!Salim-'2023'!Resal)*(1-EXP(('2023'!Tnet-t)/('2023'!Tau_j))),Resal+(Salim-Resal)*(1-EXP((Tnet-t)/(Tau_j))))*Salcycl</f>
        <v>5.5571239896782367E-3</v>
      </c>
      <c r="P140" s="169">
        <f>(INDEX(Models!$BJ140:$BT140,,T140)*(1-R140)+INDEX(Models!$BJ140:$BT140,,T140+1)*R140-ERP_i)*Q140*Ramure*Pc/MaxiM</f>
        <v>1.2428613223965874E-4</v>
      </c>
      <c r="Q140" s="305">
        <f t="shared" si="28"/>
        <v>0.5</v>
      </c>
      <c r="R140" s="177">
        <f t="shared" si="29"/>
        <v>9.2757958430071508E-2</v>
      </c>
      <c r="S140" s="811">
        <f t="shared" si="30"/>
        <v>1</v>
      </c>
      <c r="T140" s="176">
        <f t="shared" si="31"/>
        <v>7</v>
      </c>
      <c r="U140" s="251">
        <f t="shared" si="32"/>
        <v>1.0927579584300715</v>
      </c>
      <c r="V140" s="383">
        <f t="shared" si="33"/>
        <v>59.196245326479612</v>
      </c>
      <c r="W140" s="402">
        <f t="shared" si="34"/>
        <v>39.073913569638954</v>
      </c>
      <c r="X140" s="157">
        <f t="shared" si="35"/>
        <v>45417</v>
      </c>
      <c r="Y140" s="385">
        <f t="shared" si="36"/>
        <v>36.402794090127315</v>
      </c>
      <c r="Z140" s="385">
        <f t="shared" si="37"/>
        <v>38.164729913095279</v>
      </c>
      <c r="AA140" s="386">
        <f t="shared" si="38"/>
        <v>41.194055025117663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7.3537919735633686E-2</v>
      </c>
      <c r="AD140" s="231">
        <f>(INDEX(Models!$BJ140:$BT140,,AH140)*(1-AF140)+INDEX(Models!$BJ140:$BT140,,AH140+1)*AF140-ERP_i)*AE140*Ramure*Pc/MaxiM</f>
        <v>1.2428613223965874E-4</v>
      </c>
      <c r="AE140" s="305">
        <f t="shared" si="40"/>
        <v>0.5</v>
      </c>
      <c r="AF140" s="177">
        <f t="shared" si="41"/>
        <v>9.2757958430071508E-2</v>
      </c>
      <c r="AG140" s="811">
        <f t="shared" si="49"/>
        <v>1</v>
      </c>
      <c r="AH140" s="176">
        <f t="shared" si="42"/>
        <v>7</v>
      </c>
      <c r="AI140" s="225">
        <f t="shared" si="43"/>
        <v>1.0927579584300715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'2023'!Wh/'2023'!Env_an*'2024'!Env_an</f>
        <v>53.129487881675935</v>
      </c>
      <c r="C141" s="841"/>
      <c r="D141" s="393">
        <f t="shared" si="25"/>
        <v>55.702234356256483</v>
      </c>
      <c r="E141" s="385">
        <f t="shared" si="47"/>
        <v>56.019147558925162</v>
      </c>
      <c r="F141" s="385">
        <f t="shared" si="26"/>
        <v>56.025673541168139</v>
      </c>
      <c r="G141" s="110">
        <f t="shared" si="48"/>
        <v>0.89608513930808442</v>
      </c>
      <c r="H141" s="414" t="b">
        <f>Wh_hp&gt;='2023'!Maxi_hp</f>
        <v>0</v>
      </c>
      <c r="I141" s="390">
        <f>IF(H141,Wh_hp,'2023'!Maxi_hp)</f>
        <v>60.114108347336412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4.6187491477019615E-2</v>
      </c>
      <c r="M141" s="845"/>
      <c r="N141" s="845"/>
      <c r="O141" s="48">
        <f>IF(t&lt;Tnet,'2023'!Resal+('2023'!Salim-'2023'!Resal)*(1-EXP(('2023'!Tnet-t)/('2023'!Tau_j))),Resal+(Salim-Resal)*(1-EXP((Tnet-t)/(Tau_j))))*Salcycl</f>
        <v>5.6572300093520947E-3</v>
      </c>
      <c r="P141" s="169">
        <f>(INDEX(Models!$BJ141:$BT141,,T141)*(1-R141)+INDEX(Models!$BJ141:$BT141,,T141+1)*R141-ERP_i)*Q141*Ramure*Pc/MaxiM</f>
        <v>1.3678399709238952E-4</v>
      </c>
      <c r="Q141" s="305">
        <f t="shared" si="28"/>
        <v>0.5</v>
      </c>
      <c r="R141" s="177">
        <f t="shared" si="29"/>
        <v>9.5989112835223711E-2</v>
      </c>
      <c r="S141" s="811">
        <f t="shared" si="30"/>
        <v>1</v>
      </c>
      <c r="T141" s="176">
        <f t="shared" si="31"/>
        <v>7</v>
      </c>
      <c r="U141" s="251">
        <f t="shared" si="32"/>
        <v>1.0959891128352237</v>
      </c>
      <c r="V141" s="383">
        <f t="shared" si="33"/>
        <v>59.289465688590354</v>
      </c>
      <c r="W141" s="402">
        <f t="shared" si="34"/>
        <v>53.129487881675935</v>
      </c>
      <c r="X141" s="157">
        <f t="shared" si="35"/>
        <v>45418</v>
      </c>
      <c r="Y141" s="385">
        <f t="shared" si="36"/>
        <v>49.49833602839918</v>
      </c>
      <c r="Z141" s="385">
        <f t="shared" si="37"/>
        <v>51.895247321771315</v>
      </c>
      <c r="AA141" s="386">
        <f t="shared" si="38"/>
        <v>56.019147558925162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7.3615904862101206E-2</v>
      </c>
      <c r="AD141" s="231">
        <f>(INDEX(Models!$BJ141:$BT141,,AH141)*(1-AF141)+INDEX(Models!$BJ141:$BT141,,AH141+1)*AF141-ERP_i)*AE141*Ramure*Pc/MaxiM</f>
        <v>1.3678399709238952E-4</v>
      </c>
      <c r="AE141" s="305">
        <f t="shared" si="40"/>
        <v>0.5</v>
      </c>
      <c r="AF141" s="177">
        <f t="shared" si="41"/>
        <v>9.5989112835223711E-2</v>
      </c>
      <c r="AG141" s="811">
        <f t="shared" si="49"/>
        <v>1</v>
      </c>
      <c r="AH141" s="176">
        <f t="shared" si="42"/>
        <v>7</v>
      </c>
      <c r="AI141" s="225">
        <f t="shared" si="43"/>
        <v>1.0959891128352237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'2023'!Wh/'2023'!Env_an*'2024'!Env_an</f>
        <v>50.560661158301755</v>
      </c>
      <c r="C142" s="841"/>
      <c r="D142" s="393">
        <f t="shared" si="25"/>
        <v>53.010175625704804</v>
      </c>
      <c r="E142" s="385">
        <f t="shared" si="47"/>
        <v>53.317145239727914</v>
      </c>
      <c r="F142" s="385">
        <f t="shared" si="26"/>
        <v>53.323430906412156</v>
      </c>
      <c r="G142" s="110">
        <f t="shared" si="48"/>
        <v>0.85147619205080916</v>
      </c>
      <c r="H142" s="414" t="b">
        <f>Wh_hp&gt;='2023'!Maxi_hp</f>
        <v>0</v>
      </c>
      <c r="I142" s="390">
        <f>IF(H142,Wh_hp,'2023'!Maxi_hp)</f>
        <v>60.745186891784464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4.6208382418851501E-2</v>
      </c>
      <c r="M142" s="845"/>
      <c r="N142" s="845"/>
      <c r="O142" s="48">
        <f>IF(t&lt;Tnet,'2023'!Resal+('2023'!Salim-'2023'!Resal)*(1-EXP(('2023'!Tnet-t)/('2023'!Tau_j))),Resal+(Salim-Resal)*(1-EXP((Tnet-t)/(Tau_j))))*Salcycl</f>
        <v>5.7574277963100776E-3</v>
      </c>
      <c r="P142" s="169">
        <f>(INDEX(Models!$BJ142:$BT142,,T142)*(1-R142)+INDEX(Models!$BJ142:$BT142,,T142+1)*R142-ERP_i)*Q142*Ramure*Pc/MaxiM</f>
        <v>1.4961779466644606E-4</v>
      </c>
      <c r="Q142" s="305">
        <f t="shared" si="28"/>
        <v>0.5</v>
      </c>
      <c r="R142" s="177">
        <f t="shared" si="29"/>
        <v>9.930139863335663E-2</v>
      </c>
      <c r="S142" s="811">
        <f t="shared" si="30"/>
        <v>1</v>
      </c>
      <c r="T142" s="176">
        <f t="shared" si="31"/>
        <v>7</v>
      </c>
      <c r="U142" s="251">
        <f t="shared" si="32"/>
        <v>1.0993013986333566</v>
      </c>
      <c r="V142" s="383">
        <f t="shared" si="33"/>
        <v>59.378120801302138</v>
      </c>
      <c r="W142" s="402">
        <f t="shared" si="34"/>
        <v>50.560661158301755</v>
      </c>
      <c r="X142" s="157">
        <f t="shared" si="35"/>
        <v>45419</v>
      </c>
      <c r="Y142" s="385">
        <f t="shared" si="36"/>
        <v>47.105814243952508</v>
      </c>
      <c r="Z142" s="385">
        <f t="shared" si="37"/>
        <v>49.387951598290023</v>
      </c>
      <c r="AA142" s="386">
        <f t="shared" si="38"/>
        <v>53.317145239727914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7.3694749105024326E-2</v>
      </c>
      <c r="AD142" s="231">
        <f>(INDEX(Models!$BJ142:$BT142,,AH142)*(1-AF142)+INDEX(Models!$BJ142:$BT142,,AH142+1)*AF142-ERP_i)*AE142*Ramure*Pc/MaxiM</f>
        <v>1.4961779466644606E-4</v>
      </c>
      <c r="AE142" s="305">
        <f t="shared" si="40"/>
        <v>0.5</v>
      </c>
      <c r="AF142" s="177">
        <f t="shared" si="41"/>
        <v>9.930139863335663E-2</v>
      </c>
      <c r="AG142" s="811">
        <f t="shared" si="49"/>
        <v>1</v>
      </c>
      <c r="AH142" s="176">
        <f t="shared" si="42"/>
        <v>7</v>
      </c>
      <c r="AI142" s="225">
        <f t="shared" si="43"/>
        <v>1.0993013986333566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'2023'!Wh/'2023'!Env_an*'2024'!Env_an</f>
        <v>52.907250412963279</v>
      </c>
      <c r="C143" s="841"/>
      <c r="D143" s="393">
        <f t="shared" ref="D143:D206" si="50">Wh/(1-Ppv)</f>
        <v>55.47166516003702</v>
      </c>
      <c r="E143" s="385">
        <f t="shared" si="47"/>
        <v>55.798517152658434</v>
      </c>
      <c r="F143" s="385">
        <f t="shared" ref="F143:F206" si="51">Wh_sa/(1-Pvg*MEDIAN((-Sdif+Wh/Env_an)/Csdif,0,1))</f>
        <v>55.806159925868208</v>
      </c>
      <c r="G143" s="110">
        <f t="shared" si="48"/>
        <v>0.889738048964268</v>
      </c>
      <c r="H143" s="414" t="b">
        <f>Wh_hp&gt;='2023'!Maxi_hp</f>
        <v>0</v>
      </c>
      <c r="I143" s="390">
        <f>IF(H143,Wh_hp,'2023'!Maxi_hp)</f>
        <v>55.806669798350285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4.6229272903118179E-2</v>
      </c>
      <c r="M143" s="845"/>
      <c r="N143" s="845"/>
      <c r="O143" s="48">
        <f>IF(t&lt;Tnet,'2023'!Resal+('2023'!Salim-'2023'!Resal)*(1-EXP(('2023'!Tnet-t)/('2023'!Tau_j))),Resal+(Salim-Resal)*(1-EXP((Tnet-t)/(Tau_j))))*Salcycl</f>
        <v>5.8577182566910491E-3</v>
      </c>
      <c r="P143" s="169">
        <f>(INDEX(Models!$BJ143:$BT143,,T143)*(1-R143)+INDEX(Models!$BJ143:$BT143,,T143+1)*R143-ERP_i)*Q143*Ramure*Pc/MaxiM</f>
        <v>1.6255148785199576E-4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0.10269500785070207</v>
      </c>
      <c r="S143" s="811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1.1026950078507021</v>
      </c>
      <c r="V143" s="383">
        <f t="shared" ref="V143:V206" si="58">MaxiM*(1-Ppv)*(1-Pvg)*(1-Psa)</f>
        <v>59.4623281516444</v>
      </c>
      <c r="W143" s="402">
        <f t="shared" ref="W143:W206" si="59">Wh*(A143&gt;Tmaj)</f>
        <v>52.907250412963279</v>
      </c>
      <c r="X143" s="157">
        <f t="shared" ref="X143:X206" si="60">t</f>
        <v>45420</v>
      </c>
      <c r="Y143" s="385">
        <f t="shared" ref="Y143:Y206" si="61">Wh_pvt_s*(1-Ppv)</f>
        <v>49.292791782871568</v>
      </c>
      <c r="Z143" s="385">
        <f t="shared" ref="Z143:Z206" si="62">Wh_sa_s*(1-Psa_s)</f>
        <v>51.682013698313597</v>
      </c>
      <c r="AA143" s="386">
        <f t="shared" ref="AA143:AA206" si="63">Wh_hp*(1-Pvg_s*MEDIAN((-Sdif+Wh/Env_an)/Csdif,0,1))</f>
        <v>55.798517152658434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7.3774423845037865E-2</v>
      </c>
      <c r="AD143" s="231">
        <f>(INDEX(Models!$BJ143:$BT143,,AH143)*(1-AF143)+INDEX(Models!$BJ143:$BT143,,AH143+1)*AF143-ERP_i)*AE143*Ramure*Pc/MaxiM</f>
        <v>1.6255148785199576E-4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0.10269500785070207</v>
      </c>
      <c r="AG143" s="811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1.1026950078507021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'2023'!Wh/'2023'!Env_an*'2024'!Env_an</f>
        <v>52.567459538390899</v>
      </c>
      <c r="C144" s="841"/>
      <c r="D144" s="393">
        <f t="shared" si="50"/>
        <v>55.116611814973602</v>
      </c>
      <c r="E144" s="385">
        <f t="shared" ref="E144:E169" si="72">Wh_pvt/(1-Psa)</f>
        <v>55.446970517485546</v>
      </c>
      <c r="F144" s="385">
        <f t="shared" si="51"/>
        <v>55.455078691048868</v>
      </c>
      <c r="G144" s="110">
        <f t="shared" ref="G144:G169" si="73">+Wh_hp/MaxiM</f>
        <v>0.88283474526070194</v>
      </c>
      <c r="H144" s="414" t="b">
        <f>Wh_hp&gt;='2023'!Maxi_hp</f>
        <v>0</v>
      </c>
      <c r="I144" s="390">
        <f>IF(H144,Wh_hp,'2023'!Maxi_hp)</f>
        <v>55.455663117094851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4.6250162929829641E-2</v>
      </c>
      <c r="M144" s="845"/>
      <c r="N144" s="845"/>
      <c r="O144" s="48">
        <f>IF(t&lt;Tnet,'2023'!Resal+('2023'!Salim-'2023'!Resal)*(1-EXP(('2023'!Tnet-t)/('2023'!Tau_j))),Resal+(Salim-Resal)*(1-EXP((Tnet-t)/(Tau_j))))*Salcycl</f>
        <v>5.958101938279275E-3</v>
      </c>
      <c r="P144" s="169">
        <f>(INDEX(Models!$BJ144:$BT144,,T144)*(1-R144)+INDEX(Models!$BJ144:$BT144,,T144+1)*R144-ERP_i)*Q144*Ramure*Pc/MaxiM</f>
        <v>1.7559614751506825E-4</v>
      </c>
      <c r="Q144" s="305">
        <f t="shared" si="53"/>
        <v>0.5</v>
      </c>
      <c r="R144" s="177">
        <f t="shared" si="54"/>
        <v>0.10617000139742028</v>
      </c>
      <c r="S144" s="811">
        <f t="shared" si="55"/>
        <v>1</v>
      </c>
      <c r="T144" s="176">
        <f t="shared" si="56"/>
        <v>7</v>
      </c>
      <c r="U144" s="251">
        <f t="shared" si="57"/>
        <v>1.1061700013974203</v>
      </c>
      <c r="V144" s="383">
        <f t="shared" si="58"/>
        <v>59.542190564632662</v>
      </c>
      <c r="W144" s="402">
        <f t="shared" si="59"/>
        <v>52.567459538390899</v>
      </c>
      <c r="X144" s="157">
        <f t="shared" si="60"/>
        <v>45421</v>
      </c>
      <c r="Y144" s="385">
        <f t="shared" si="61"/>
        <v>48.9769045675218</v>
      </c>
      <c r="Z144" s="385">
        <f t="shared" si="62"/>
        <v>51.35194016700882</v>
      </c>
      <c r="AA144" s="386">
        <f t="shared" si="63"/>
        <v>55.446970517485546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7.3854897972925881E-2</v>
      </c>
      <c r="AD144" s="231">
        <f>(INDEX(Models!$BJ144:$BT144,,AH144)*(1-AF144)+INDEX(Models!$BJ144:$BT144,,AH144+1)*AF144-ERP_i)*AE144*Ramure*Pc/MaxiM</f>
        <v>1.7559614751506825E-4</v>
      </c>
      <c r="AE144" s="305">
        <f t="shared" si="65"/>
        <v>0.5</v>
      </c>
      <c r="AF144" s="177">
        <f t="shared" si="66"/>
        <v>0.10617000139742028</v>
      </c>
      <c r="AG144" s="811">
        <f t="shared" ref="AG144:AG207" si="74">INDEX(Echel_vg,AH144)</f>
        <v>1</v>
      </c>
      <c r="AH144" s="176">
        <f t="shared" si="67"/>
        <v>7</v>
      </c>
      <c r="AI144" s="225">
        <f t="shared" si="68"/>
        <v>1.1061700013974203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'2023'!Wh/'2023'!Env_an*'2024'!Env_an</f>
        <v>56.742491362480379</v>
      </c>
      <c r="C145" s="841"/>
      <c r="D145" s="393">
        <f t="shared" si="50"/>
        <v>59.495406437184442</v>
      </c>
      <c r="E145" s="385">
        <f t="shared" si="72"/>
        <v>59.858061230843099</v>
      </c>
      <c r="F145" s="385">
        <f t="shared" si="51"/>
        <v>59.868583569705535</v>
      </c>
      <c r="G145" s="110">
        <f t="shared" si="73"/>
        <v>0.9517584170817367</v>
      </c>
      <c r="H145" s="414" t="b">
        <f>Wh_hp&gt;='2023'!Maxi_hp</f>
        <v>0</v>
      </c>
      <c r="I145" s="390">
        <f>IF(H145,Wh_hp,'2023'!Maxi_hp)</f>
        <v>59.868864727425738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4.627105249899599E-2</v>
      </c>
      <c r="M145" s="845"/>
      <c r="N145" s="845"/>
      <c r="O145" s="48">
        <f>IF(t&lt;Tnet,'2023'!Resal+('2023'!Salim-'2023'!Resal)*(1-EXP(('2023'!Tnet-t)/('2023'!Tau_j))),Resal+(Salim-Resal)*(1-EXP((Tnet-t)/(Tau_j))))*Salcycl</f>
        <v>6.0585790151150079E-3</v>
      </c>
      <c r="P145" s="169">
        <f>(INDEX(Models!$BJ145:$BT145,,T145)*(1-R145)+INDEX(Models!$BJ145:$BT145,,T145+1)*R145-ERP_i)*Q145*Ramure*Pc/MaxiM</f>
        <v>1.8876281372256674E-4</v>
      </c>
      <c r="Q145" s="305">
        <f t="shared" si="53"/>
        <v>0.5</v>
      </c>
      <c r="R145" s="177">
        <f t="shared" si="54"/>
        <v>0.10972630245578463</v>
      </c>
      <c r="S145" s="811">
        <f t="shared" si="55"/>
        <v>1</v>
      </c>
      <c r="T145" s="176">
        <f t="shared" si="56"/>
        <v>7</v>
      </c>
      <c r="U145" s="251">
        <f t="shared" si="57"/>
        <v>1.1097263024557846</v>
      </c>
      <c r="V145" s="383">
        <f t="shared" si="58"/>
        <v>59.617810830436589</v>
      </c>
      <c r="W145" s="402">
        <f t="shared" si="59"/>
        <v>56.742491362480379</v>
      </c>
      <c r="X145" s="157">
        <f t="shared" si="60"/>
        <v>45422</v>
      </c>
      <c r="Y145" s="385">
        <f t="shared" si="61"/>
        <v>52.867472456316506</v>
      </c>
      <c r="Z145" s="385">
        <f t="shared" si="62"/>
        <v>55.43238736209257</v>
      </c>
      <c r="AA145" s="386">
        <f t="shared" si="63"/>
        <v>59.858061230843099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7.3936137885971281E-2</v>
      </c>
      <c r="AD145" s="231">
        <f>(INDEX(Models!$BJ145:$BT145,,AH145)*(1-AF145)+INDEX(Models!$BJ145:$BT145,,AH145+1)*AF145-ERP_i)*AE145*Ramure*Pc/MaxiM</f>
        <v>1.8876281372256674E-4</v>
      </c>
      <c r="AE145" s="305">
        <f t="shared" si="65"/>
        <v>0.5</v>
      </c>
      <c r="AF145" s="177">
        <f t="shared" si="66"/>
        <v>0.10972630245578463</v>
      </c>
      <c r="AG145" s="811">
        <f t="shared" si="74"/>
        <v>1</v>
      </c>
      <c r="AH145" s="176">
        <f t="shared" si="67"/>
        <v>7</v>
      </c>
      <c r="AI145" s="225">
        <f t="shared" si="68"/>
        <v>1.1097263024557846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'2023'!Wh/'2023'!Env_an*'2024'!Env_an</f>
        <v>41.372598135452499</v>
      </c>
      <c r="C146" s="841"/>
      <c r="D146" s="393">
        <f t="shared" si="50"/>
        <v>43.380778605690665</v>
      </c>
      <c r="E146" s="385">
        <f t="shared" si="72"/>
        <v>43.649623150386738</v>
      </c>
      <c r="F146" s="385">
        <f t="shared" si="51"/>
        <v>43.654577157069063</v>
      </c>
      <c r="G146" s="110">
        <f t="shared" si="73"/>
        <v>0.69307126491867932</v>
      </c>
      <c r="H146" s="414" t="b">
        <f>Wh_hp&gt;='2023'!Maxi_hp</f>
        <v>0</v>
      </c>
      <c r="I146" s="390">
        <f>IF(H146,Wh_hp,'2023'!Maxi_hp)</f>
        <v>59.238727729135654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4.6291941610626997E-2</v>
      </c>
      <c r="M146" s="845"/>
      <c r="N146" s="845"/>
      <c r="O146" s="48">
        <f>IF(t&lt;Tnet,'2023'!Resal+('2023'!Salim-'2023'!Resal)*(1-EXP(('2023'!Tnet-t)/('2023'!Tau_j))),Resal+(Salim-Resal)*(1-EXP((Tnet-t)/(Tau_j))))*Salcycl</f>
        <v>6.1591492730605716E-3</v>
      </c>
      <c r="P146" s="169">
        <f>(INDEX(Models!$BJ146:$BT146,,T146)*(1-R146)+INDEX(Models!$BJ146:$BT146,,T146+1)*R146-ERP_i)*Q146*Ramure*Pc/MaxiM</f>
        <v>2.0206249268549977E-4</v>
      </c>
      <c r="Q146" s="305">
        <f t="shared" si="53"/>
        <v>0.5</v>
      </c>
      <c r="R146" s="177">
        <f t="shared" si="54"/>
        <v>0.11336369010361325</v>
      </c>
      <c r="S146" s="811">
        <f t="shared" si="55"/>
        <v>1</v>
      </c>
      <c r="T146" s="176">
        <f t="shared" si="56"/>
        <v>7</v>
      </c>
      <c r="U146" s="251">
        <f t="shared" si="57"/>
        <v>1.1133636901036132</v>
      </c>
      <c r="V146" s="383">
        <f t="shared" si="58"/>
        <v>59.689291717075371</v>
      </c>
      <c r="W146" s="402">
        <f t="shared" si="59"/>
        <v>41.372598135452499</v>
      </c>
      <c r="X146" s="157">
        <f t="shared" si="60"/>
        <v>45423</v>
      </c>
      <c r="Y146" s="385">
        <f t="shared" si="61"/>
        <v>38.547697743847799</v>
      </c>
      <c r="Z146" s="385">
        <f t="shared" si="62"/>
        <v>40.418760651920408</v>
      </c>
      <c r="AA146" s="386">
        <f t="shared" si="63"/>
        <v>43.649623150386738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7.4018107495109134E-2</v>
      </c>
      <c r="AD146" s="231">
        <f>(INDEX(Models!$BJ146:$BT146,,AH146)*(1-AF146)+INDEX(Models!$BJ146:$BT146,,AH146+1)*AF146-ERP_i)*AE146*Ramure*Pc/MaxiM</f>
        <v>2.0206249268549977E-4</v>
      </c>
      <c r="AE146" s="305">
        <f t="shared" si="65"/>
        <v>0.5</v>
      </c>
      <c r="AF146" s="177">
        <f t="shared" si="66"/>
        <v>0.11336369010361325</v>
      </c>
      <c r="AG146" s="811">
        <f t="shared" si="74"/>
        <v>1</v>
      </c>
      <c r="AH146" s="176">
        <f t="shared" si="67"/>
        <v>7</v>
      </c>
      <c r="AI146" s="225">
        <f t="shared" si="68"/>
        <v>1.1133636901036132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'2023'!Wh/'2023'!Env_an*'2024'!Env_an</f>
        <v>42.082431571321763</v>
      </c>
      <c r="C147" s="841"/>
      <c r="D147" s="393">
        <f t="shared" si="50"/>
        <v>44.126033050233211</v>
      </c>
      <c r="E147" s="385">
        <f t="shared" si="72"/>
        <v>44.403993707173164</v>
      </c>
      <c r="F147" s="385">
        <f t="shared" si="51"/>
        <v>44.409520399344203</v>
      </c>
      <c r="G147" s="110">
        <f t="shared" si="73"/>
        <v>0.70416495285934533</v>
      </c>
      <c r="H147" s="414" t="b">
        <f>Wh_hp&gt;='2023'!Maxi_hp</f>
        <v>0</v>
      </c>
      <c r="I147" s="390">
        <f>IF(H147,Wh_hp,'2023'!Maxi_hp)</f>
        <v>65.408960512497771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4.6312830264732985E-2</v>
      </c>
      <c r="M147" s="845"/>
      <c r="N147" s="845"/>
      <c r="O147" s="48">
        <f>IF(t&lt;Tnet,'2023'!Resal+('2023'!Salim-'2023'!Resal)*(1-EXP(('2023'!Tnet-t)/('2023'!Tau_j))),Resal+(Salim-Resal)*(1-EXP((Tnet-t)/(Tau_j))))*Salcycl</f>
        <v>6.2598120964748385E-3</v>
      </c>
      <c r="P147" s="169">
        <f>(INDEX(Models!$BJ147:$BT147,,T147)*(1-R147)+INDEX(Models!$BJ147:$BT147,,T147+1)*R147-ERP_i)*Q147*Ramure*Pc/MaxiM</f>
        <v>2.1550615211220528E-4</v>
      </c>
      <c r="Q147" s="305">
        <f t="shared" si="53"/>
        <v>0.5</v>
      </c>
      <c r="R147" s="177">
        <f t="shared" si="54"/>
        <v>0.11708179322906531</v>
      </c>
      <c r="S147" s="811">
        <f t="shared" si="55"/>
        <v>1</v>
      </c>
      <c r="T147" s="176">
        <f t="shared" si="56"/>
        <v>7</v>
      </c>
      <c r="U147" s="251">
        <f t="shared" si="57"/>
        <v>1.1170817932290653</v>
      </c>
      <c r="V147" s="383">
        <f t="shared" si="58"/>
        <v>59.756735961358068</v>
      </c>
      <c r="W147" s="402">
        <f t="shared" si="59"/>
        <v>42.082431571321763</v>
      </c>
      <c r="X147" s="157">
        <f t="shared" si="60"/>
        <v>45424</v>
      </c>
      <c r="Y147" s="385">
        <f t="shared" si="61"/>
        <v>39.209535386237349</v>
      </c>
      <c r="Z147" s="385">
        <f t="shared" si="62"/>
        <v>41.113623660389059</v>
      </c>
      <c r="AA147" s="386">
        <f t="shared" si="63"/>
        <v>44.403993707173164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7.4100768243568385E-2</v>
      </c>
      <c r="AD147" s="231">
        <f>(INDEX(Models!$BJ147:$BT147,,AH147)*(1-AF147)+INDEX(Models!$BJ147:$BT147,,AH147+1)*AF147-ERP_i)*AE147*Ramure*Pc/MaxiM</f>
        <v>2.1550615211220528E-4</v>
      </c>
      <c r="AE147" s="305">
        <f t="shared" si="65"/>
        <v>0.5</v>
      </c>
      <c r="AF147" s="177">
        <f t="shared" si="66"/>
        <v>0.11708179322906531</v>
      </c>
      <c r="AG147" s="811">
        <f t="shared" si="74"/>
        <v>1</v>
      </c>
      <c r="AH147" s="176">
        <f t="shared" si="67"/>
        <v>7</v>
      </c>
      <c r="AI147" s="225">
        <f t="shared" si="68"/>
        <v>1.1170817932290653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'2023'!Wh/'2023'!Env_an*'2024'!Env_an</f>
        <v>50.913231086840007</v>
      </c>
      <c r="C148" s="841"/>
      <c r="D148" s="393">
        <f t="shared" si="50"/>
        <v>53.386841993296585</v>
      </c>
      <c r="E148" s="385">
        <f t="shared" si="72"/>
        <v>53.728586236649782</v>
      </c>
      <c r="F148" s="385">
        <f t="shared" si="51"/>
        <v>53.738279121284371</v>
      </c>
      <c r="G148" s="110">
        <f t="shared" si="73"/>
        <v>0.85106218497070818</v>
      </c>
      <c r="H148" s="414" t="b">
        <f>Wh_hp&gt;='2023'!Maxi_hp</f>
        <v>0</v>
      </c>
      <c r="I148" s="390">
        <f>IF(H148,Wh_hp,'2023'!Maxi_hp)</f>
        <v>63.832836981428784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4.6333718461323725E-2</v>
      </c>
      <c r="M148" s="845"/>
      <c r="N148" s="845"/>
      <c r="O148" s="48">
        <f>IF(t&lt;Tnet,'2023'!Resal+('2023'!Salim-'2023'!Resal)*(1-EXP(('2023'!Tnet-t)/('2023'!Tau_j))),Resal+(Salim-Resal)*(1-EXP((Tnet-t)/(Tau_j))))*Salcycl</f>
        <v>6.360566456150003E-3</v>
      </c>
      <c r="P148" s="169">
        <f>(INDEX(Models!$BJ148:$BT148,,T148)*(1-R148)+INDEX(Models!$BJ148:$BT148,,T148+1)*R148-ERP_i)*Q148*Ramure*Pc/MaxiM</f>
        <v>2.291047147594532E-4</v>
      </c>
      <c r="Q148" s="305">
        <f t="shared" si="53"/>
        <v>0.5</v>
      </c>
      <c r="R148" s="177">
        <f t="shared" si="54"/>
        <v>0.12088008479466783</v>
      </c>
      <c r="S148" s="811">
        <f t="shared" si="55"/>
        <v>1</v>
      </c>
      <c r="T148" s="176">
        <f t="shared" si="56"/>
        <v>7</v>
      </c>
      <c r="U148" s="251">
        <f t="shared" si="57"/>
        <v>1.1208800847946678</v>
      </c>
      <c r="V148" s="383">
        <f t="shared" si="58"/>
        <v>59.820246277974853</v>
      </c>
      <c r="W148" s="402">
        <f t="shared" si="59"/>
        <v>50.913231086840007</v>
      </c>
      <c r="X148" s="157">
        <f t="shared" si="60"/>
        <v>45425</v>
      </c>
      <c r="Y148" s="385">
        <f t="shared" si="61"/>
        <v>47.438012554140229</v>
      </c>
      <c r="Z148" s="385">
        <f t="shared" si="62"/>
        <v>49.742780543317721</v>
      </c>
      <c r="AA148" s="386">
        <f t="shared" si="63"/>
        <v>53.728586236649782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7.4184079137619888E-2</v>
      </c>
      <c r="AD148" s="231">
        <f>(INDEX(Models!$BJ148:$BT148,,AH148)*(1-AF148)+INDEX(Models!$BJ148:$BT148,,AH148+1)*AF148-ERP_i)*AE148*Ramure*Pc/MaxiM</f>
        <v>2.291047147594532E-4</v>
      </c>
      <c r="AE148" s="305">
        <f t="shared" si="65"/>
        <v>0.5</v>
      </c>
      <c r="AF148" s="177">
        <f t="shared" si="66"/>
        <v>0.12088008479466783</v>
      </c>
      <c r="AG148" s="811">
        <f t="shared" si="74"/>
        <v>1</v>
      </c>
      <c r="AH148" s="176">
        <f t="shared" si="67"/>
        <v>7</v>
      </c>
      <c r="AI148" s="225">
        <f t="shared" si="68"/>
        <v>1.1208800847946678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'2023'!Wh/'2023'!Env_an*'2024'!Env_an</f>
        <v>53.86321239988672</v>
      </c>
      <c r="C149" s="841"/>
      <c r="D149" s="393">
        <f t="shared" si="50"/>
        <v>56.481384747511427</v>
      </c>
      <c r="E149" s="385">
        <f t="shared" si="72"/>
        <v>56.848707606414422</v>
      </c>
      <c r="F149" s="385">
        <f t="shared" si="51"/>
        <v>56.8605353424702</v>
      </c>
      <c r="G149" s="110">
        <f t="shared" si="73"/>
        <v>0.89949944554025663</v>
      </c>
      <c r="H149" s="414" t="b">
        <f>Wh_hp&gt;='2023'!Maxi_hp</f>
        <v>0</v>
      </c>
      <c r="I149" s="390">
        <f>IF(H149,Wh_hp,'2023'!Maxi_hp)</f>
        <v>64.337487236928794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4.6354606200409432E-2</v>
      </c>
      <c r="M149" s="845"/>
      <c r="N149" s="845"/>
      <c r="O149" s="48">
        <f>IF(t&lt;Tnet,'2023'!Resal+('2023'!Salim-'2023'!Resal)*(1-EXP(('2023'!Tnet-t)/('2023'!Tau_j))),Resal+(Salim-Resal)*(1-EXP((Tnet-t)/(Tau_j))))*Salcycl</f>
        <v>6.4614108986630735E-3</v>
      </c>
      <c r="P149" s="169">
        <f>(INDEX(Models!$BJ149:$BT149,,T149)*(1-R149)+INDEX(Models!$BJ149:$BT149,,T149+1)*R149-ERP_i)*Q149*Ramure*Pc/MaxiM</f>
        <v>2.428718688621947E-4</v>
      </c>
      <c r="Q149" s="305">
        <f t="shared" si="53"/>
        <v>0.5</v>
      </c>
      <c r="R149" s="177">
        <f t="shared" si="54"/>
        <v>0.12475787650970749</v>
      </c>
      <c r="S149" s="811">
        <f t="shared" si="55"/>
        <v>1</v>
      </c>
      <c r="T149" s="176">
        <f t="shared" si="56"/>
        <v>7</v>
      </c>
      <c r="U149" s="251">
        <f t="shared" si="57"/>
        <v>1.1247578765097075</v>
      </c>
      <c r="V149" s="383">
        <f t="shared" si="58"/>
        <v>59.879230243947489</v>
      </c>
      <c r="W149" s="402">
        <f t="shared" si="59"/>
        <v>53.86321239988672</v>
      </c>
      <c r="X149" s="157">
        <f t="shared" si="60"/>
        <v>45426</v>
      </c>
      <c r="Y149" s="385">
        <f t="shared" si="61"/>
        <v>50.187179502887545</v>
      </c>
      <c r="Z149" s="385">
        <f t="shared" si="62"/>
        <v>52.626667972387253</v>
      </c>
      <c r="AA149" s="386">
        <f t="shared" si="63"/>
        <v>56.848707606414422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7.4267996789970633E-2</v>
      </c>
      <c r="AD149" s="231">
        <f>(INDEX(Models!$BJ149:$BT149,,AH149)*(1-AF149)+INDEX(Models!$BJ149:$BT149,,AH149+1)*AF149-ERP_i)*AE149*Ramure*Pc/MaxiM</f>
        <v>2.428718688621947E-4</v>
      </c>
      <c r="AE149" s="305">
        <f t="shared" si="65"/>
        <v>0.5</v>
      </c>
      <c r="AF149" s="177">
        <f t="shared" si="66"/>
        <v>0.12475787650970749</v>
      </c>
      <c r="AG149" s="811">
        <f t="shared" si="74"/>
        <v>1</v>
      </c>
      <c r="AH149" s="176">
        <f t="shared" si="67"/>
        <v>7</v>
      </c>
      <c r="AI149" s="225">
        <f t="shared" si="68"/>
        <v>1.1247578765097075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'2023'!Wh/'2023'!Env_an*'2024'!Env_an</f>
        <v>51.342122574227368</v>
      </c>
      <c r="C150" s="841"/>
      <c r="D150" s="393">
        <f t="shared" si="50"/>
        <v>53.838929498251389</v>
      </c>
      <c r="E150" s="385">
        <f t="shared" si="72"/>
        <v>54.194572903500948</v>
      </c>
      <c r="F150" s="385">
        <f t="shared" si="51"/>
        <v>54.205575624941666</v>
      </c>
      <c r="G150" s="110">
        <f t="shared" si="73"/>
        <v>0.8566101751135784</v>
      </c>
      <c r="H150" s="414" t="b">
        <f>Wh_hp&gt;='2023'!Maxi_hp</f>
        <v>0</v>
      </c>
      <c r="I150" s="390">
        <f>IF(H150,Wh_hp,'2023'!Maxi_hp)</f>
        <v>55.759884023555387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4.6375493482000096E-2</v>
      </c>
      <c r="M150" s="845"/>
      <c r="N150" s="845"/>
      <c r="O150" s="48">
        <f>IF(t&lt;Tnet,'2023'!Resal+('2023'!Salim-'2023'!Resal)*(1-EXP(('2023'!Tnet-t)/('2023'!Tau_j))),Resal+(Salim-Resal)*(1-EXP((Tnet-t)/(Tau_j))))*Salcycl</f>
        <v>6.5623435372914925E-3</v>
      </c>
      <c r="P150" s="169">
        <f>(INDEX(Models!$BJ150:$BT150,,T150)*(1-R150)+INDEX(Models!$BJ150:$BT150,,T150+1)*R150-ERP_i)*Q150*Ramure*Pc/MaxiM</f>
        <v>2.5525138830632293E-4</v>
      </c>
      <c r="Q150" s="305">
        <f t="shared" si="53"/>
        <v>0.5</v>
      </c>
      <c r="R150" s="177">
        <f t="shared" si="54"/>
        <v>0.12871431397083355</v>
      </c>
      <c r="S150" s="811">
        <f t="shared" si="55"/>
        <v>1</v>
      </c>
      <c r="T150" s="176">
        <f t="shared" si="56"/>
        <v>7</v>
      </c>
      <c r="U150" s="251">
        <f t="shared" si="57"/>
        <v>1.1287143139708335</v>
      </c>
      <c r="V150" s="383">
        <f t="shared" si="58"/>
        <v>59.933257701917221</v>
      </c>
      <c r="W150" s="402">
        <f t="shared" si="59"/>
        <v>51.342122574227368</v>
      </c>
      <c r="X150" s="157">
        <f t="shared" si="60"/>
        <v>45427</v>
      </c>
      <c r="Y150" s="385">
        <f t="shared" si="61"/>
        <v>47.838642269558513</v>
      </c>
      <c r="Z150" s="385">
        <f t="shared" si="62"/>
        <v>50.165072250747102</v>
      </c>
      <c r="AA150" s="386">
        <f t="shared" si="63"/>
        <v>54.194572903500948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7.4352475476258312E-2</v>
      </c>
      <c r="AD150" s="231">
        <f>(INDEX(Models!$BJ150:$BT150,,AH150)*(1-AF150)+INDEX(Models!$BJ150:$BT150,,AH150+1)*AF150-ERP_i)*AE150*Ramure*Pc/MaxiM</f>
        <v>2.5525138830632293E-4</v>
      </c>
      <c r="AE150" s="305">
        <f t="shared" si="65"/>
        <v>0.5</v>
      </c>
      <c r="AF150" s="177">
        <f t="shared" si="66"/>
        <v>0.12871431397083355</v>
      </c>
      <c r="AG150" s="811">
        <f t="shared" si="74"/>
        <v>1</v>
      </c>
      <c r="AH150" s="176">
        <f t="shared" si="67"/>
        <v>7</v>
      </c>
      <c r="AI150" s="225">
        <f t="shared" si="68"/>
        <v>1.1287143139708335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'2023'!Wh/'2023'!Env_an*'2024'!Env_an</f>
        <v>54.672463115375635</v>
      </c>
      <c r="C151" s="841"/>
      <c r="D151" s="393">
        <f t="shared" si="50"/>
        <v>57.332482790832344</v>
      </c>
      <c r="E151" s="385">
        <f t="shared" si="72"/>
        <v>57.717072541331859</v>
      </c>
      <c r="F151" s="385">
        <f t="shared" si="51"/>
        <v>57.730472032868505</v>
      </c>
      <c r="G151" s="110">
        <f t="shared" si="73"/>
        <v>0.91144191846977751</v>
      </c>
      <c r="H151" s="414" t="b">
        <f>Wh_hp&gt;='2023'!Maxi_hp</f>
        <v>0</v>
      </c>
      <c r="I151" s="390">
        <f>IF(H151,Wh_hp,'2023'!Maxi_hp)</f>
        <v>59.143869986274652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4.63963803061056E-2</v>
      </c>
      <c r="M151" s="845"/>
      <c r="N151" s="845"/>
      <c r="O151" s="48">
        <f>IF(t&lt;Tnet,'2023'!Resal+('2023'!Salim-'2023'!Resal)*(1-EXP(('2023'!Tnet-t)/('2023'!Tau_j))),Resal+(Salim-Resal)*(1-EXP((Tnet-t)/(Tau_j))))*Salcycl</f>
        <v>6.6633620446377466E-3</v>
      </c>
      <c r="P151" s="169">
        <f>(INDEX(Models!$BJ151:$BT151,,T151)*(1-R151)+INDEX(Models!$BJ151:$BT151,,T151+1)*R151-ERP_i)*Q151*Ramure*Pc/MaxiM</f>
        <v>2.6570778657398537E-4</v>
      </c>
      <c r="Q151" s="305">
        <f t="shared" si="53"/>
        <v>0.5</v>
      </c>
      <c r="R151" s="177">
        <f t="shared" si="54"/>
        <v>0.13274837233080738</v>
      </c>
      <c r="S151" s="811">
        <f t="shared" si="55"/>
        <v>1</v>
      </c>
      <c r="T151" s="176">
        <f t="shared" si="56"/>
        <v>7</v>
      </c>
      <c r="U151" s="251">
        <f t="shared" si="57"/>
        <v>1.1327483723308074</v>
      </c>
      <c r="V151" s="383">
        <f t="shared" si="58"/>
        <v>59.982566520489108</v>
      </c>
      <c r="W151" s="402">
        <f t="shared" si="59"/>
        <v>54.672463115375635</v>
      </c>
      <c r="X151" s="157">
        <f t="shared" si="60"/>
        <v>45428</v>
      </c>
      <c r="Y151" s="385">
        <f t="shared" si="61"/>
        <v>50.942229956771158</v>
      </c>
      <c r="Z151" s="385">
        <f t="shared" si="62"/>
        <v>53.420759846867561</v>
      </c>
      <c r="AA151" s="386">
        <f t="shared" si="63"/>
        <v>57.717072541331859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7.4437467205005228E-2</v>
      </c>
      <c r="AD151" s="231">
        <f>(INDEX(Models!$BJ151:$BT151,,AH151)*(1-AF151)+INDEX(Models!$BJ151:$BT151,,AH151+1)*AF151-ERP_i)*AE151*Ramure*Pc/MaxiM</f>
        <v>2.6570778657398537E-4</v>
      </c>
      <c r="AE151" s="305">
        <f t="shared" si="65"/>
        <v>0.5</v>
      </c>
      <c r="AF151" s="177">
        <f t="shared" si="66"/>
        <v>0.13274837233080738</v>
      </c>
      <c r="AG151" s="811">
        <f t="shared" si="74"/>
        <v>1</v>
      </c>
      <c r="AH151" s="176">
        <f t="shared" si="67"/>
        <v>7</v>
      </c>
      <c r="AI151" s="225">
        <f t="shared" si="68"/>
        <v>1.1327483723308074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'2023'!Wh/'2023'!Env_an*'2024'!Env_an</f>
        <v>52.592590958129371</v>
      </c>
      <c r="C152" s="841"/>
      <c r="D152" s="393">
        <f t="shared" si="50"/>
        <v>55.152625063398567</v>
      </c>
      <c r="E152" s="385">
        <f t="shared" si="72"/>
        <v>55.52824385031137</v>
      </c>
      <c r="F152" s="385">
        <f t="shared" si="51"/>
        <v>55.540778830925227</v>
      </c>
      <c r="G152" s="110">
        <f t="shared" si="73"/>
        <v>0.87610107863113773</v>
      </c>
      <c r="H152" s="414" t="b">
        <f>Wh_hp&gt;='2023'!Maxi_hp</f>
        <v>0</v>
      </c>
      <c r="I152" s="390">
        <f>IF(H152,Wh_hp,'2023'!Maxi_hp)</f>
        <v>63.972000087795209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4.6417266672736046E-2</v>
      </c>
      <c r="M152" s="845"/>
      <c r="N152" s="845"/>
      <c r="O152" s="48">
        <f>IF(t&lt;Tnet,'2023'!Resal+('2023'!Salim-'2023'!Resal)*(1-EXP(('2023'!Tnet-t)/('2023'!Tau_j))),Resal+(Salim-Resal)*(1-EXP((Tnet-t)/(Tau_j))))*Salcycl</f>
        <v>6.7644636471011453E-3</v>
      </c>
      <c r="P152" s="169">
        <f>(INDEX(Models!$BJ152:$BT152,,T152)*(1-R152)+INDEX(Models!$BJ152:$BT152,,T152+1)*R152-ERP_i)*Q152*Ramure*Pc/MaxiM</f>
        <v>2.7420729325856668E-4</v>
      </c>
      <c r="Q152" s="305">
        <f t="shared" si="53"/>
        <v>0.5</v>
      </c>
      <c r="R152" s="177">
        <f t="shared" si="54"/>
        <v>0.13685885255476449</v>
      </c>
      <c r="S152" s="811">
        <f t="shared" si="55"/>
        <v>1</v>
      </c>
      <c r="T152" s="176">
        <f t="shared" si="56"/>
        <v>7</v>
      </c>
      <c r="U152" s="251">
        <f t="shared" si="57"/>
        <v>1.1368588525547645</v>
      </c>
      <c r="V152" s="383">
        <f t="shared" si="58"/>
        <v>60.027364419305563</v>
      </c>
      <c r="W152" s="402">
        <f t="shared" si="59"/>
        <v>52.592590958129371</v>
      </c>
      <c r="X152" s="157">
        <f t="shared" si="60"/>
        <v>45429</v>
      </c>
      <c r="Y152" s="385">
        <f t="shared" si="61"/>
        <v>49.004728116711107</v>
      </c>
      <c r="Z152" s="385">
        <f t="shared" si="62"/>
        <v>51.390116876091732</v>
      </c>
      <c r="AA152" s="386">
        <f t="shared" si="63"/>
        <v>55.52824385031137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7.4522921801288583E-2</v>
      </c>
      <c r="AD152" s="231">
        <f>(INDEX(Models!$BJ152:$BT152,,AH152)*(1-AF152)+INDEX(Models!$BJ152:$BT152,,AH152+1)*AF152-ERP_i)*AE152*Ramure*Pc/MaxiM</f>
        <v>2.7420729325856668E-4</v>
      </c>
      <c r="AE152" s="305">
        <f t="shared" si="65"/>
        <v>0.5</v>
      </c>
      <c r="AF152" s="177">
        <f t="shared" si="66"/>
        <v>0.13685885255476449</v>
      </c>
      <c r="AG152" s="811">
        <f t="shared" si="74"/>
        <v>1</v>
      </c>
      <c r="AH152" s="176">
        <f t="shared" si="67"/>
        <v>7</v>
      </c>
      <c r="AI152" s="225">
        <f t="shared" si="68"/>
        <v>1.1368588525547645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'2023'!Wh/'2023'!Env_an*'2024'!Env_an</f>
        <v>55.508251122150213</v>
      </c>
      <c r="C153" s="841"/>
      <c r="D153" s="393">
        <f t="shared" si="50"/>
        <v>58.21148494190129</v>
      </c>
      <c r="E153" s="385">
        <f t="shared" si="72"/>
        <v>58.613907228103827</v>
      </c>
      <c r="F153" s="385">
        <f t="shared" si="51"/>
        <v>58.628580426056999</v>
      </c>
      <c r="G153" s="110">
        <f t="shared" si="73"/>
        <v>0.9240642471158671</v>
      </c>
      <c r="H153" s="414" t="b">
        <f>Wh_hp&gt;='2023'!Maxi_hp</f>
        <v>0</v>
      </c>
      <c r="I153" s="390">
        <f>IF(H153,Wh_hp,'2023'!Maxi_hp)</f>
        <v>63.050548226982031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4.6438152581901537E-2</v>
      </c>
      <c r="M153" s="845"/>
      <c r="N153" s="845"/>
      <c r="O153" s="48">
        <f>IF(t&lt;Tnet,'2023'!Resal+('2023'!Salim-'2023'!Resal)*(1-EXP(('2023'!Tnet-t)/('2023'!Tau_j))),Resal+(Salim-Resal)*(1-EXP((Tnet-t)/(Tau_j))))*Salcycl</f>
        <v>6.865645121326848E-3</v>
      </c>
      <c r="P153" s="169">
        <f>(INDEX(Models!$BJ153:$BT153,,T153)*(1-R153)+INDEX(Models!$BJ153:$BT153,,T153+1)*R153-ERP_i)*Q153*Ramure*Pc/MaxiM</f>
        <v>2.8071431180310471E-4</v>
      </c>
      <c r="Q153" s="305">
        <f t="shared" si="53"/>
        <v>0.5</v>
      </c>
      <c r="R153" s="177">
        <f t="shared" si="54"/>
        <v>0.14104437832206096</v>
      </c>
      <c r="S153" s="811">
        <f t="shared" si="55"/>
        <v>1</v>
      </c>
      <c r="T153" s="176">
        <f t="shared" si="56"/>
        <v>7</v>
      </c>
      <c r="U153" s="251">
        <f t="shared" si="57"/>
        <v>1.141044378322061</v>
      </c>
      <c r="V153" s="383">
        <f t="shared" si="58"/>
        <v>60.067859105197826</v>
      </c>
      <c r="W153" s="402">
        <f t="shared" si="59"/>
        <v>55.508251122150213</v>
      </c>
      <c r="X153" s="157">
        <f t="shared" si="60"/>
        <v>45430</v>
      </c>
      <c r="Y153" s="385">
        <f t="shared" si="61"/>
        <v>51.721952407409326</v>
      </c>
      <c r="Z153" s="385">
        <f t="shared" si="62"/>
        <v>54.240794708233892</v>
      </c>
      <c r="AA153" s="386">
        <f t="shared" si="63"/>
        <v>58.613907228103827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7.4608787004275021E-2</v>
      </c>
      <c r="AD153" s="231">
        <f>(INDEX(Models!$BJ153:$BT153,,AH153)*(1-AF153)+INDEX(Models!$BJ153:$BT153,,AH153+1)*AF153-ERP_i)*AE153*Ramure*Pc/MaxiM</f>
        <v>2.8071431180310471E-4</v>
      </c>
      <c r="AE153" s="305">
        <f t="shared" si="65"/>
        <v>0.5</v>
      </c>
      <c r="AF153" s="177">
        <f t="shared" si="66"/>
        <v>0.14104437832206096</v>
      </c>
      <c r="AG153" s="811">
        <f t="shared" si="74"/>
        <v>1</v>
      </c>
      <c r="AH153" s="176">
        <f t="shared" si="67"/>
        <v>7</v>
      </c>
      <c r="AI153" s="225">
        <f t="shared" si="68"/>
        <v>1.141044378322061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'2023'!Wh/'2023'!Env_an*'2024'!Env_an</f>
        <v>50.287749711147683</v>
      </c>
      <c r="C154" s="841"/>
      <c r="D154" s="393">
        <f t="shared" si="50"/>
        <v>52.737901901397613</v>
      </c>
      <c r="E154" s="385">
        <f t="shared" si="72"/>
        <v>53.107899474564135</v>
      </c>
      <c r="F154" s="385">
        <f t="shared" si="51"/>
        <v>53.119514079451029</v>
      </c>
      <c r="G154" s="110">
        <f t="shared" si="73"/>
        <v>0.83661963781534521</v>
      </c>
      <c r="H154" s="414" t="b">
        <f>Wh_hp&gt;='2023'!Maxi_hp</f>
        <v>0</v>
      </c>
      <c r="I154" s="390">
        <f>IF(H154,Wh_hp,'2023'!Maxi_hp)</f>
        <v>62.803447200223168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4.6459038033611955E-2</v>
      </c>
      <c r="M154" s="845"/>
      <c r="N154" s="845"/>
      <c r="O154" s="48">
        <f>IF(t&lt;Tnet,'2023'!Resal+('2023'!Salim-'2023'!Resal)*(1-EXP(('2023'!Tnet-t)/('2023'!Tau_j))),Resal+(Salim-Resal)*(1-EXP((Tnet-t)/(Tau_j))))*Salcycl</f>
        <v>6.966902792751856E-3</v>
      </c>
      <c r="P154" s="169">
        <f>(INDEX(Models!$BJ154:$BT154,,T154)*(1-R154)+INDEX(Models!$BJ154:$BT154,,T154+1)*R154-ERP_i)*Q154*Ramure*Pc/MaxiM</f>
        <v>2.8519161993642052E-4</v>
      </c>
      <c r="Q154" s="305">
        <f t="shared" si="53"/>
        <v>0.5</v>
      </c>
      <c r="R154" s="177">
        <f t="shared" si="54"/>
        <v>0.14530339362972167</v>
      </c>
      <c r="S154" s="811">
        <f t="shared" si="55"/>
        <v>1</v>
      </c>
      <c r="T154" s="176">
        <f t="shared" si="56"/>
        <v>7</v>
      </c>
      <c r="U154" s="251">
        <f t="shared" si="57"/>
        <v>1.1453033936297217</v>
      </c>
      <c r="V154" s="383">
        <f t="shared" si="58"/>
        <v>60.104258255539747</v>
      </c>
      <c r="W154" s="402">
        <f t="shared" si="59"/>
        <v>50.287749711147683</v>
      </c>
      <c r="X154" s="157">
        <f t="shared" si="60"/>
        <v>45431</v>
      </c>
      <c r="Y154" s="385">
        <f t="shared" si="61"/>
        <v>46.857960672141758</v>
      </c>
      <c r="Z154" s="385">
        <f t="shared" si="62"/>
        <v>49.14100446771733</v>
      </c>
      <c r="AA154" s="386">
        <f t="shared" si="63"/>
        <v>53.107899474564135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7.4695008578652994E-2</v>
      </c>
      <c r="AD154" s="231">
        <f>(INDEX(Models!$BJ154:$BT154,,AH154)*(1-AF154)+INDEX(Models!$BJ154:$BT154,,AH154+1)*AF154-ERP_i)*AE154*Ramure*Pc/MaxiM</f>
        <v>2.8519161993642052E-4</v>
      </c>
      <c r="AE154" s="305">
        <f t="shared" si="65"/>
        <v>0.5</v>
      </c>
      <c r="AF154" s="177">
        <f t="shared" si="66"/>
        <v>0.14530339362972167</v>
      </c>
      <c r="AG154" s="811">
        <f t="shared" si="74"/>
        <v>1</v>
      </c>
      <c r="AH154" s="176">
        <f t="shared" si="67"/>
        <v>7</v>
      </c>
      <c r="AI154" s="225">
        <f t="shared" si="68"/>
        <v>1.1453033936297217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'2023'!Wh/'2023'!Env_an*'2024'!Env_an</f>
        <v>50.202729240311015</v>
      </c>
      <c r="C155" s="841"/>
      <c r="D155" s="393">
        <f t="shared" si="50"/>
        <v>52.649892176081316</v>
      </c>
      <c r="E155" s="385">
        <f t="shared" si="72"/>
        <v>53.024682965447667</v>
      </c>
      <c r="F155" s="385">
        <f t="shared" si="51"/>
        <v>53.036336672965035</v>
      </c>
      <c r="G155" s="110">
        <f t="shared" si="73"/>
        <v>0.83475254225111362</v>
      </c>
      <c r="H155" s="414" t="b">
        <f>Wh_hp&gt;='2023'!Maxi_hp</f>
        <v>0</v>
      </c>
      <c r="I155" s="390">
        <f>IF(H155,Wh_hp,'2023'!Maxi_hp)</f>
        <v>61.178268574854386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4.6479923027877401E-2</v>
      </c>
      <c r="M155" s="845"/>
      <c r="N155" s="845"/>
      <c r="O155" s="48">
        <f>IF(t&lt;Tnet,'2023'!Resal+('2023'!Salim-'2023'!Resal)*(1-EXP(('2023'!Tnet-t)/('2023'!Tau_j))),Resal+(Salim-Resal)*(1-EXP((Tnet-t)/(Tau_j))))*Salcycl</f>
        <v>7.0682325363562726E-3</v>
      </c>
      <c r="P155" s="169">
        <f>(INDEX(Models!$BJ155:$BT155,,T155)*(1-R155)+INDEX(Models!$BJ155:$BT155,,T155+1)*R155-ERP_i)*Q155*Ramure*Pc/MaxiM</f>
        <v>2.8760057829780358E-4</v>
      </c>
      <c r="Q155" s="305">
        <f t="shared" si="53"/>
        <v>0.5</v>
      </c>
      <c r="R155" s="177">
        <f t="shared" si="54"/>
        <v>0.14963416115066441</v>
      </c>
      <c r="S155" s="811">
        <f t="shared" si="55"/>
        <v>1</v>
      </c>
      <c r="T155" s="176">
        <f t="shared" si="56"/>
        <v>7</v>
      </c>
      <c r="U155" s="251">
        <f t="shared" si="57"/>
        <v>1.1496341611506644</v>
      </c>
      <c r="V155" s="383">
        <f t="shared" si="58"/>
        <v>60.136769514125263</v>
      </c>
      <c r="W155" s="402">
        <f t="shared" si="59"/>
        <v>50.202729240311015</v>
      </c>
      <c r="X155" s="157">
        <f t="shared" si="60"/>
        <v>45432</v>
      </c>
      <c r="Y155" s="385">
        <f t="shared" si="61"/>
        <v>46.779138141697615</v>
      </c>
      <c r="Z155" s="385">
        <f t="shared" si="62"/>
        <v>49.059416022202186</v>
      </c>
      <c r="AA155" s="386">
        <f t="shared" si="63"/>
        <v>53.024682965447667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7.4781530439877508E-2</v>
      </c>
      <c r="AD155" s="231">
        <f>(INDEX(Models!$BJ155:$BT155,,AH155)*(1-AF155)+INDEX(Models!$BJ155:$BT155,,AH155+1)*AF155-ERP_i)*AE155*Ramure*Pc/MaxiM</f>
        <v>2.8760057829780358E-4</v>
      </c>
      <c r="AE155" s="305">
        <f t="shared" si="65"/>
        <v>0.5</v>
      </c>
      <c r="AF155" s="177">
        <f t="shared" si="66"/>
        <v>0.14963416115066441</v>
      </c>
      <c r="AG155" s="811">
        <f t="shared" si="74"/>
        <v>1</v>
      </c>
      <c r="AH155" s="176">
        <f t="shared" si="67"/>
        <v>7</v>
      </c>
      <c r="AI155" s="225">
        <f t="shared" si="68"/>
        <v>1.1496341611506644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'2023'!Wh/'2023'!Env_an*'2024'!Env_an</f>
        <v>37.99497704880153</v>
      </c>
      <c r="C156" s="841"/>
      <c r="D156" s="393">
        <f t="shared" si="50"/>
        <v>39.84793836244387</v>
      </c>
      <c r="E156" s="385">
        <f t="shared" si="72"/>
        <v>40.135696446919276</v>
      </c>
      <c r="F156" s="385">
        <f t="shared" si="51"/>
        <v>40.141168136286353</v>
      </c>
      <c r="G156" s="110">
        <f t="shared" si="73"/>
        <v>0.6314109108268513</v>
      </c>
      <c r="H156" s="414" t="b">
        <f>Wh_hp&gt;='2023'!Maxi_hp</f>
        <v>0</v>
      </c>
      <c r="I156" s="390">
        <f>IF(H156,Wh_hp,'2023'!Maxi_hp)</f>
        <v>62.875998222350205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4.6500807564707758E-2</v>
      </c>
      <c r="M156" s="845"/>
      <c r="N156" s="845"/>
      <c r="O156" s="48">
        <f>IF(t&lt;Tnet,'2023'!Resal+('2023'!Salim-'2023'!Resal)*(1-EXP(('2023'!Tnet-t)/('2023'!Tau_j))),Resal+(Salim-Resal)*(1-EXP((Tnet-t)/(Tau_j))))*Salcycl</f>
        <v>7.1696297797144053E-3</v>
      </c>
      <c r="P156" s="169">
        <f>(INDEX(Models!$BJ156:$BT156,,T156)*(1-R156)+INDEX(Models!$BJ156:$BT156,,T156+1)*R156-ERP_i)*Q156*Ramure*Pc/MaxiM</f>
        <v>2.8783080730065356E-4</v>
      </c>
      <c r="Q156" s="305">
        <f t="shared" si="53"/>
        <v>0.5</v>
      </c>
      <c r="R156" s="177">
        <f t="shared" si="54"/>
        <v>0.15403476139622008</v>
      </c>
      <c r="S156" s="811">
        <f t="shared" si="55"/>
        <v>1</v>
      </c>
      <c r="T156" s="176">
        <f t="shared" si="56"/>
        <v>7</v>
      </c>
      <c r="U156" s="251">
        <f t="shared" si="57"/>
        <v>1.1540347613962201</v>
      </c>
      <c r="V156" s="383">
        <f t="shared" si="58"/>
        <v>60.165604722998616</v>
      </c>
      <c r="W156" s="402">
        <f t="shared" si="59"/>
        <v>37.99497704880153</v>
      </c>
      <c r="X156" s="157">
        <f t="shared" si="60"/>
        <v>45433</v>
      </c>
      <c r="Y156" s="385">
        <f t="shared" si="61"/>
        <v>35.404192861927491</v>
      </c>
      <c r="Z156" s="385">
        <f t="shared" si="62"/>
        <v>37.130805293608198</v>
      </c>
      <c r="AA156" s="386">
        <f t="shared" si="63"/>
        <v>40.135696446919276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7.4868294793019E-2</v>
      </c>
      <c r="AD156" s="231">
        <f>(INDEX(Models!$BJ156:$BT156,,AH156)*(1-AF156)+INDEX(Models!$BJ156:$BT156,,AH156+1)*AF156-ERP_i)*AE156*Ramure*Pc/MaxiM</f>
        <v>2.8783080730065356E-4</v>
      </c>
      <c r="AE156" s="305">
        <f t="shared" si="65"/>
        <v>0.5</v>
      </c>
      <c r="AF156" s="177">
        <f t="shared" si="66"/>
        <v>0.15403476139622008</v>
      </c>
      <c r="AG156" s="811">
        <f t="shared" si="74"/>
        <v>1</v>
      </c>
      <c r="AH156" s="176">
        <f t="shared" si="67"/>
        <v>7</v>
      </c>
      <c r="AI156" s="225">
        <f t="shared" si="68"/>
        <v>1.1540347613962201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'2023'!Wh/'2023'!Env_an*'2024'!Env_an</f>
        <v>19.808883721233844</v>
      </c>
      <c r="C157" s="841"/>
      <c r="D157" s="393">
        <f t="shared" si="50"/>
        <v>20.775390009019649</v>
      </c>
      <c r="E157" s="385">
        <f t="shared" si="72"/>
        <v>20.927556142927475</v>
      </c>
      <c r="F157" s="385">
        <f t="shared" si="51"/>
        <v>20.927805325659648</v>
      </c>
      <c r="G157" s="110">
        <f t="shared" si="73"/>
        <v>0.32901042874705849</v>
      </c>
      <c r="H157" s="414" t="b">
        <f>Wh_hp&gt;='2023'!Maxi_hp</f>
        <v>0</v>
      </c>
      <c r="I157" s="390">
        <f>IF(H157,Wh_hp,'2023'!Maxi_hp)</f>
        <v>58.76828057791041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4.652169164411335E-2</v>
      </c>
      <c r="M157" s="845"/>
      <c r="N157" s="845"/>
      <c r="O157" s="48">
        <f>IF(t&lt;Tnet,'2023'!Resal+('2023'!Salim-'2023'!Resal)*(1-EXP(('2023'!Tnet-t)/('2023'!Tau_j))),Resal+(Salim-Resal)*(1-EXP((Tnet-t)/(Tau_j))))*Salcycl</f>
        <v>7.2710895084254793E-3</v>
      </c>
      <c r="P157" s="169">
        <f>(INDEX(Models!$BJ157:$BT157,,T157)*(1-R157)+INDEX(Models!$BJ157:$BT157,,T157+1)*R157-ERP_i)*Q157*Ramure*Pc/MaxiM</f>
        <v>2.8640977196484979E-4</v>
      </c>
      <c r="Q157" s="305">
        <f t="shared" si="53"/>
        <v>0.5</v>
      </c>
      <c r="R157" s="177">
        <f t="shared" si="54"/>
        <v>0.15850309272799246</v>
      </c>
      <c r="S157" s="811">
        <f t="shared" si="55"/>
        <v>1</v>
      </c>
      <c r="T157" s="176">
        <f t="shared" si="56"/>
        <v>7</v>
      </c>
      <c r="U157" s="251">
        <f t="shared" si="57"/>
        <v>1.1585030927279925</v>
      </c>
      <c r="V157" s="383">
        <f t="shared" si="58"/>
        <v>60.190937211370695</v>
      </c>
      <c r="W157" s="402">
        <f t="shared" si="59"/>
        <v>19.808883721233844</v>
      </c>
      <c r="X157" s="157">
        <f t="shared" si="60"/>
        <v>45434</v>
      </c>
      <c r="Y157" s="385">
        <f t="shared" si="61"/>
        <v>18.458316111134536</v>
      </c>
      <c r="Z157" s="385">
        <f t="shared" si="62"/>
        <v>19.358926101803831</v>
      </c>
      <c r="AA157" s="386">
        <f t="shared" si="63"/>
        <v>20.927556142927475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7.4955242284884163E-2</v>
      </c>
      <c r="AD157" s="231">
        <f>(INDEX(Models!$BJ157:$BT157,,AH157)*(1-AF157)+INDEX(Models!$BJ157:$BT157,,AH157+1)*AF157-ERP_i)*AE157*Ramure*Pc/MaxiM</f>
        <v>2.8640977196484979E-4</v>
      </c>
      <c r="AE157" s="305">
        <f t="shared" si="65"/>
        <v>0.5</v>
      </c>
      <c r="AF157" s="177">
        <f t="shared" si="66"/>
        <v>0.15850309272799246</v>
      </c>
      <c r="AG157" s="811">
        <f t="shared" si="74"/>
        <v>1</v>
      </c>
      <c r="AH157" s="176">
        <f t="shared" si="67"/>
        <v>7</v>
      </c>
      <c r="AI157" s="225">
        <f t="shared" si="68"/>
        <v>1.1585030927279925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'2023'!Wh/'2023'!Env_an*'2024'!Env_an</f>
        <v>17.175305342089597</v>
      </c>
      <c r="C158" s="841"/>
      <c r="D158" s="393">
        <f t="shared" si="50"/>
        <v>18.013709785608011</v>
      </c>
      <c r="E158" s="385">
        <f t="shared" si="72"/>
        <v>18.147504188847918</v>
      </c>
      <c r="F158" s="385">
        <f t="shared" si="51"/>
        <v>18.147504188847918</v>
      </c>
      <c r="G158" s="110">
        <f t="shared" si="73"/>
        <v>0.28516179136921876</v>
      </c>
      <c r="H158" s="414" t="b">
        <f>Wh_hp&gt;='2023'!Maxi_hp</f>
        <v>0</v>
      </c>
      <c r="I158" s="390">
        <f>IF(H158,Wh_hp,'2023'!Maxi_hp)</f>
        <v>30.554357090064354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4.6542575266103836E-2</v>
      </c>
      <c r="M158" s="845"/>
      <c r="N158" s="845"/>
      <c r="O158" s="48">
        <f>IF(t&lt;Tnet,'2023'!Resal+('2023'!Salim-'2023'!Resal)*(1-EXP(('2023'!Tnet-t)/('2023'!Tau_j))),Resal+(Salim-Resal)*(1-EXP((Tnet-t)/(Tau_j))))*Salcycl</f>
        <v>7.3726062739871007E-3</v>
      </c>
      <c r="P158" s="169">
        <f>(INDEX(Models!$BJ158:$BT158,,T158)*(1-R158)+INDEX(Models!$BJ158:$BT158,,T158+1)*R158-ERP_i)*Q158*Ramure*Pc/MaxiM</f>
        <v>2.8328099225351092E-4</v>
      </c>
      <c r="Q158" s="305">
        <f t="shared" si="53"/>
        <v>0.5</v>
      </c>
      <c r="R158" s="177">
        <f t="shared" si="54"/>
        <v>0.1630368722588218</v>
      </c>
      <c r="S158" s="811">
        <f t="shared" si="55"/>
        <v>1</v>
      </c>
      <c r="T158" s="176">
        <f t="shared" si="56"/>
        <v>7</v>
      </c>
      <c r="U158" s="251">
        <f t="shared" si="57"/>
        <v>1.1630368722588218</v>
      </c>
      <c r="V158" s="383">
        <f t="shared" si="58"/>
        <v>60.212975315189674</v>
      </c>
      <c r="W158" s="402">
        <f t="shared" si="59"/>
        <v>17.175305342089597</v>
      </c>
      <c r="X158" s="157">
        <f t="shared" si="60"/>
        <v>45435</v>
      </c>
      <c r="Y158" s="385">
        <f t="shared" si="61"/>
        <v>16.004425041483874</v>
      </c>
      <c r="Z158" s="385">
        <f t="shared" si="62"/>
        <v>16.785673514421063</v>
      </c>
      <c r="AA158" s="386">
        <f t="shared" si="63"/>
        <v>18.147504188847918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7.5042312168950187E-2</v>
      </c>
      <c r="AD158" s="231">
        <f>(INDEX(Models!$BJ158:$BT158,,AH158)*(1-AF158)+INDEX(Models!$BJ158:$BT158,,AH158+1)*AF158-ERP_i)*AE158*Ramure*Pc/MaxiM</f>
        <v>2.8328099225351092E-4</v>
      </c>
      <c r="AE158" s="305">
        <f t="shared" si="65"/>
        <v>0.5</v>
      </c>
      <c r="AF158" s="177">
        <f t="shared" si="66"/>
        <v>0.1630368722588218</v>
      </c>
      <c r="AG158" s="811">
        <f t="shared" si="74"/>
        <v>1</v>
      </c>
      <c r="AH158" s="176">
        <f t="shared" si="67"/>
        <v>7</v>
      </c>
      <c r="AI158" s="225">
        <f t="shared" si="68"/>
        <v>1.1630368722588218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'2023'!Wh/'2023'!Env_an*'2024'!Env_an</f>
        <v>40.283544158666793</v>
      </c>
      <c r="C159" s="841"/>
      <c r="D159" s="393">
        <f t="shared" si="50"/>
        <v>42.250891802785347</v>
      </c>
      <c r="E159" s="385">
        <f t="shared" si="72"/>
        <v>42.569060375740918</v>
      </c>
      <c r="F159" s="385">
        <f t="shared" si="51"/>
        <v>42.575305051985396</v>
      </c>
      <c r="G159" s="110">
        <f t="shared" si="73"/>
        <v>0.66871905462356895</v>
      </c>
      <c r="H159" s="414" t="b">
        <f>Wh_hp&gt;='2023'!Maxi_hp</f>
        <v>0</v>
      </c>
      <c r="I159" s="390">
        <f>IF(H159,Wh_hp,'2023'!Maxi_hp)</f>
        <v>59.691953884707942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4.6563458430689542E-2</v>
      </c>
      <c r="M159" s="845"/>
      <c r="N159" s="845"/>
      <c r="O159" s="48">
        <f>IF(t&lt;Tnet,'2023'!Resal+('2023'!Salim-'2023'!Resal)*(1-EXP(('2023'!Tnet-t)/('2023'!Tau_j))),Resal+(Salim-Resal)*(1-EXP((Tnet-t)/(Tau_j))))*Salcycl</f>
        <v>7.4741742041570264E-3</v>
      </c>
      <c r="P159" s="169">
        <f>(INDEX(Models!$BJ159:$BT159,,T159)*(1-R159)+INDEX(Models!$BJ159:$BT159,,T159+1)*R159-ERP_i)*Q159*Ramure*Pc/MaxiM</f>
        <v>2.7838822122279851E-4</v>
      </c>
      <c r="Q159" s="305">
        <f t="shared" si="53"/>
        <v>0.5</v>
      </c>
      <c r="R159" s="177">
        <f t="shared" si="54"/>
        <v>0.16763363767653905</v>
      </c>
      <c r="S159" s="811">
        <f t="shared" si="55"/>
        <v>1</v>
      </c>
      <c r="T159" s="176">
        <f t="shared" si="56"/>
        <v>7</v>
      </c>
      <c r="U159" s="251">
        <f t="shared" si="57"/>
        <v>1.167633637676539</v>
      </c>
      <c r="V159" s="383">
        <f t="shared" si="58"/>
        <v>60.231927253884329</v>
      </c>
      <c r="W159" s="402">
        <f t="shared" si="59"/>
        <v>40.283544158666793</v>
      </c>
      <c r="X159" s="157">
        <f t="shared" si="60"/>
        <v>45436</v>
      </c>
      <c r="Y159" s="385">
        <f t="shared" si="61"/>
        <v>37.537626706017178</v>
      </c>
      <c r="Z159" s="385">
        <f t="shared" si="62"/>
        <v>39.370870602706354</v>
      </c>
      <c r="AA159" s="386">
        <f t="shared" si="63"/>
        <v>42.569060375740918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7.5129442482529674E-2</v>
      </c>
      <c r="AD159" s="231">
        <f>(INDEX(Models!$BJ159:$BT159,,AH159)*(1-AF159)+INDEX(Models!$BJ159:$BT159,,AH159+1)*AF159-ERP_i)*AE159*Ramure*Pc/MaxiM</f>
        <v>2.7838822122279851E-4</v>
      </c>
      <c r="AE159" s="305">
        <f t="shared" si="65"/>
        <v>0.5</v>
      </c>
      <c r="AF159" s="177">
        <f t="shared" si="66"/>
        <v>0.16763363767653905</v>
      </c>
      <c r="AG159" s="811">
        <f t="shared" si="74"/>
        <v>1</v>
      </c>
      <c r="AH159" s="176">
        <f t="shared" si="67"/>
        <v>7</v>
      </c>
      <c r="AI159" s="225">
        <f t="shared" si="68"/>
        <v>1.167633637676539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'2023'!Wh/'2023'!Env_an*'2024'!Env_an</f>
        <v>24.425672906918628</v>
      </c>
      <c r="C160" s="841"/>
      <c r="D160" s="393">
        <f t="shared" si="50"/>
        <v>25.619122866169537</v>
      </c>
      <c r="E160" s="385">
        <f t="shared" si="72"/>
        <v>25.814689455363151</v>
      </c>
      <c r="F160" s="385">
        <f t="shared" si="51"/>
        <v>25.815745671149394</v>
      </c>
      <c r="G160" s="110">
        <f t="shared" si="73"/>
        <v>0.40532525069770126</v>
      </c>
      <c r="H160" s="414" t="b">
        <f>Wh_hp&gt;='2023'!Maxi_hp</f>
        <v>0</v>
      </c>
      <c r="I160" s="390">
        <f>IF(H160,Wh_hp,'2023'!Maxi_hp)</f>
        <v>61.991403277896538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4.6584341137880236E-2</v>
      </c>
      <c r="M160" s="845"/>
      <c r="N160" s="845"/>
      <c r="O160" s="48">
        <f>IF(t&lt;Tnet,'2023'!Resal+('2023'!Salim-'2023'!Resal)*(1-EXP(('2023'!Tnet-t)/('2023'!Tau_j))),Resal+(Salim-Resal)*(1-EXP((Tnet-t)/(Tau_j))))*Salcycl</f>
        <v>7.5757870158296662E-3</v>
      </c>
      <c r="P160" s="169">
        <f>(INDEX(Models!$BJ160:$BT160,,T160)*(1-R160)+INDEX(Models!$BJ160:$BT160,,T160+1)*R160-ERP_i)*Q160*Ramure*Pc/MaxiM</f>
        <v>2.7167389834955295E-4</v>
      </c>
      <c r="Q160" s="305">
        <f t="shared" si="53"/>
        <v>0.5</v>
      </c>
      <c r="R160" s="177">
        <f t="shared" si="54"/>
        <v>0.17229075001737137</v>
      </c>
      <c r="S160" s="811">
        <f t="shared" si="55"/>
        <v>1</v>
      </c>
      <c r="T160" s="176">
        <f t="shared" si="56"/>
        <v>7</v>
      </c>
      <c r="U160" s="251">
        <f t="shared" si="57"/>
        <v>1.1722907500173714</v>
      </c>
      <c r="V160" s="383">
        <f t="shared" si="58"/>
        <v>60.248001227051212</v>
      </c>
      <c r="W160" s="402">
        <f t="shared" si="59"/>
        <v>24.425672906918628</v>
      </c>
      <c r="X160" s="157">
        <f t="shared" si="60"/>
        <v>45437</v>
      </c>
      <c r="Y160" s="385">
        <f t="shared" si="61"/>
        <v>22.760889214144271</v>
      </c>
      <c r="Z160" s="385">
        <f t="shared" si="62"/>
        <v>23.872997052837253</v>
      </c>
      <c r="AA160" s="386">
        <f t="shared" si="63"/>
        <v>25.814689455363151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7.5216570235459482E-2</v>
      </c>
      <c r="AD160" s="231">
        <f>(INDEX(Models!$BJ160:$BT160,,AH160)*(1-AF160)+INDEX(Models!$BJ160:$BT160,,AH160+1)*AF160-ERP_i)*AE160*Ramure*Pc/MaxiM</f>
        <v>2.7167389834955295E-4</v>
      </c>
      <c r="AE160" s="305">
        <f t="shared" si="65"/>
        <v>0.5</v>
      </c>
      <c r="AF160" s="177">
        <f t="shared" si="66"/>
        <v>0.17229075001737137</v>
      </c>
      <c r="AG160" s="811">
        <f t="shared" si="74"/>
        <v>1</v>
      </c>
      <c r="AH160" s="176">
        <f t="shared" si="67"/>
        <v>7</v>
      </c>
      <c r="AI160" s="225">
        <f t="shared" si="68"/>
        <v>1.1722907500173714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'2023'!Wh/'2023'!Env_an*'2024'!Env_an</f>
        <v>45.43406536849232</v>
      </c>
      <c r="C161" s="841"/>
      <c r="D161" s="393">
        <f t="shared" si="50"/>
        <v>47.655039111848957</v>
      </c>
      <c r="E161" s="385">
        <f t="shared" si="72"/>
        <v>48.023738387307276</v>
      </c>
      <c r="F161" s="385">
        <f t="shared" si="51"/>
        <v>48.031932962866577</v>
      </c>
      <c r="G161" s="110">
        <f t="shared" si="73"/>
        <v>0.75387991611253824</v>
      </c>
      <c r="H161" s="414" t="b">
        <f>Wh_hp&gt;='2023'!Maxi_hp</f>
        <v>0</v>
      </c>
      <c r="I161" s="390">
        <f>IF(H161,Wh_hp,'2023'!Maxi_hp)</f>
        <v>62.096546618278133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4.6605223387686134E-2</v>
      </c>
      <c r="M161" s="845"/>
      <c r="N161" s="845"/>
      <c r="O161" s="48">
        <f>IF(t&lt;Tnet,'2023'!Resal+('2023'!Salim-'2023'!Resal)*(1-EXP(('2023'!Tnet-t)/('2023'!Tau_j))),Resal+(Salim-Resal)*(1-EXP((Tnet-t)/(Tau_j))))*Salcycl</f>
        <v>7.677438030433875E-3</v>
      </c>
      <c r="P161" s="169">
        <f>(INDEX(Models!$BJ161:$BT161,,T161)*(1-R161)+INDEX(Models!$BJ161:$BT161,,T161+1)*R161-ERP_i)*Q161*Ramure*Pc/MaxiM</f>
        <v>2.6307934767621182E-4</v>
      </c>
      <c r="Q161" s="305">
        <f t="shared" si="53"/>
        <v>0.5</v>
      </c>
      <c r="R161" s="177">
        <f t="shared" si="54"/>
        <v>0.1770053974083472</v>
      </c>
      <c r="S161" s="811">
        <f t="shared" si="55"/>
        <v>1</v>
      </c>
      <c r="T161" s="176">
        <f t="shared" si="56"/>
        <v>7</v>
      </c>
      <c r="U161" s="251">
        <f t="shared" si="57"/>
        <v>1.1770053974083472</v>
      </c>
      <c r="V161" s="383">
        <f t="shared" si="58"/>
        <v>60.261405401519347</v>
      </c>
      <c r="W161" s="402">
        <f t="shared" si="59"/>
        <v>45.43406536849232</v>
      </c>
      <c r="X161" s="157">
        <f t="shared" si="60"/>
        <v>45438</v>
      </c>
      <c r="Y161" s="385">
        <f t="shared" si="61"/>
        <v>42.337760782214836</v>
      </c>
      <c r="Z161" s="385">
        <f t="shared" si="62"/>
        <v>44.407376483279137</v>
      </c>
      <c r="AA161" s="386">
        <f t="shared" si="63"/>
        <v>48.023738387307276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7.5303631609486443E-2</v>
      </c>
      <c r="AD161" s="231">
        <f>(INDEX(Models!$BJ161:$BT161,,AH161)*(1-AF161)+INDEX(Models!$BJ161:$BT161,,AH161+1)*AF161-ERP_i)*AE161*Ramure*Pc/MaxiM</f>
        <v>2.6307934767621182E-4</v>
      </c>
      <c r="AE161" s="305">
        <f t="shared" si="65"/>
        <v>0.5</v>
      </c>
      <c r="AF161" s="177">
        <f t="shared" si="66"/>
        <v>0.1770053974083472</v>
      </c>
      <c r="AG161" s="811">
        <f t="shared" si="74"/>
        <v>1</v>
      </c>
      <c r="AH161" s="176">
        <f t="shared" si="67"/>
        <v>7</v>
      </c>
      <c r="AI161" s="225">
        <f t="shared" si="68"/>
        <v>1.1770053974083472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'2023'!Wh/'2023'!Env_an*'2024'!Env_an</f>
        <v>54.743491966166005</v>
      </c>
      <c r="C162" s="841"/>
      <c r="D162" s="393">
        <f t="shared" si="50"/>
        <v>57.420800237569409</v>
      </c>
      <c r="E162" s="385">
        <f t="shared" si="72"/>
        <v>57.870985590094868</v>
      </c>
      <c r="F162" s="385">
        <f t="shared" si="51"/>
        <v>57.883688184682136</v>
      </c>
      <c r="G162" s="110">
        <f t="shared" si="73"/>
        <v>0.9082387157539068</v>
      </c>
      <c r="H162" s="414" t="b">
        <f>Wh_hp&gt;='2023'!Maxi_hp</f>
        <v>0</v>
      </c>
      <c r="I162" s="390">
        <f>IF(H162,Wh_hp,'2023'!Maxi_hp)</f>
        <v>61.293375317013549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4.6626105180117117E-2</v>
      </c>
      <c r="M162" s="845"/>
      <c r="N162" s="845"/>
      <c r="O162" s="48">
        <f>IF(t&lt;Tnet,'2023'!Resal+('2023'!Salim-'2023'!Resal)*(1-EXP(('2023'!Tnet-t)/('2023'!Tau_j))),Resal+(Salim-Resal)*(1-EXP((Tnet-t)/(Tau_j))))*Salcycl</f>
        <v>7.7791201918378048E-3</v>
      </c>
      <c r="P162" s="169">
        <f>(INDEX(Models!$BJ162:$BT162,,T162)*(1-R162)+INDEX(Models!$BJ162:$BT162,,T162+1)*R162-ERP_i)*Q162*Ramure*Pc/MaxiM</f>
        <v>2.5254498853462617E-4</v>
      </c>
      <c r="Q162" s="305">
        <f t="shared" si="53"/>
        <v>0.5</v>
      </c>
      <c r="R162" s="177">
        <f t="shared" si="54"/>
        <v>0.18177459978988963</v>
      </c>
      <c r="S162" s="811">
        <f t="shared" si="55"/>
        <v>1</v>
      </c>
      <c r="T162" s="176">
        <f t="shared" si="56"/>
        <v>7</v>
      </c>
      <c r="U162" s="251">
        <f t="shared" si="57"/>
        <v>1.1817745997898896</v>
      </c>
      <c r="V162" s="383">
        <f t="shared" si="58"/>
        <v>60.272347899187317</v>
      </c>
      <c r="W162" s="402">
        <f t="shared" si="59"/>
        <v>54.743491966166005</v>
      </c>
      <c r="X162" s="157">
        <f t="shared" si="60"/>
        <v>45439</v>
      </c>
      <c r="Y162" s="385">
        <f t="shared" si="61"/>
        <v>51.013187045223304</v>
      </c>
      <c r="Z162" s="385">
        <f t="shared" si="62"/>
        <v>53.508059453275699</v>
      </c>
      <c r="AA162" s="386">
        <f t="shared" si="63"/>
        <v>57.870985590094868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7.539056216740711E-2</v>
      </c>
      <c r="AD162" s="231">
        <f>(INDEX(Models!$BJ162:$BT162,,AH162)*(1-AF162)+INDEX(Models!$BJ162:$BT162,,AH162+1)*AF162-ERP_i)*AE162*Ramure*Pc/MaxiM</f>
        <v>2.5254498853462617E-4</v>
      </c>
      <c r="AE162" s="305">
        <f t="shared" si="65"/>
        <v>0.5</v>
      </c>
      <c r="AF162" s="177">
        <f t="shared" si="66"/>
        <v>0.18177459978988963</v>
      </c>
      <c r="AG162" s="811">
        <f t="shared" si="74"/>
        <v>1</v>
      </c>
      <c r="AH162" s="176">
        <f t="shared" si="67"/>
        <v>7</v>
      </c>
      <c r="AI162" s="225">
        <f t="shared" si="68"/>
        <v>1.1817745997898896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'2023'!Wh/'2023'!Env_an*'2024'!Env_an</f>
        <v>59.00256710029074</v>
      </c>
      <c r="C163" s="841"/>
      <c r="D163" s="393">
        <f t="shared" si="50"/>
        <v>61.889527033241421</v>
      </c>
      <c r="E163" s="385">
        <f t="shared" si="72"/>
        <v>62.381141964152206</v>
      </c>
      <c r="F163" s="385">
        <f t="shared" si="51"/>
        <v>62.395664022643864</v>
      </c>
      <c r="G163" s="110">
        <f t="shared" si="73"/>
        <v>0.97878906528854526</v>
      </c>
      <c r="H163" s="414" t="b">
        <f>Wh_hp&gt;='2023'!Maxi_hp</f>
        <v>0</v>
      </c>
      <c r="I163" s="390">
        <f>IF(H163,Wh_hp,'2023'!Maxi_hp)</f>
        <v>62.395871267870142</v>
      </c>
      <c r="J163" s="85">
        <f>IF(H163,An,'2023'!An_max)</f>
        <v>2022</v>
      </c>
      <c r="K163" s="197">
        <f t="shared" si="52"/>
        <v>45440</v>
      </c>
      <c r="L163" s="147">
        <f>IF(t&lt;Tvie,1-EXP((T0-t)*PertePVj)+'2023'!Pspv,1-EXP((T0-t)*PertePVj)+Pspv)</f>
        <v>4.6646986515183286E-2</v>
      </c>
      <c r="M163" s="845"/>
      <c r="N163" s="845"/>
      <c r="O163" s="48">
        <f>IF(t&lt;Tnet,'2023'!Resal+('2023'!Salim-'2023'!Resal)*(1-EXP(('2023'!Tnet-t)/('2023'!Tau_j))),Resal+(Salim-Resal)*(1-EXP((Tnet-t)/(Tau_j))))*Salcycl</f>
        <v>7.8808260867250651E-3</v>
      </c>
      <c r="P163" s="169">
        <f>(INDEX(Models!$BJ163:$BT163,,T163)*(1-R163)+INDEX(Models!$BJ163:$BT163,,T163+1)*R163-ERP_i)*Q163*Ramure*Pc/MaxiM</f>
        <v>2.4001170342117105E-4</v>
      </c>
      <c r="Q163" s="305">
        <f t="shared" si="53"/>
        <v>0.5</v>
      </c>
      <c r="R163" s="177">
        <f t="shared" si="54"/>
        <v>0.18659521462111162</v>
      </c>
      <c r="S163" s="811">
        <f t="shared" si="55"/>
        <v>1</v>
      </c>
      <c r="T163" s="176">
        <f t="shared" si="56"/>
        <v>7</v>
      </c>
      <c r="U163" s="251">
        <f t="shared" si="57"/>
        <v>1.1865952146211116</v>
      </c>
      <c r="V163" s="383">
        <f t="shared" si="58"/>
        <v>60.280749070823141</v>
      </c>
      <c r="W163" s="402">
        <f t="shared" si="59"/>
        <v>59.00256710029074</v>
      </c>
      <c r="X163" s="157">
        <f t="shared" si="60"/>
        <v>45440</v>
      </c>
      <c r="Y163" s="385">
        <f t="shared" si="61"/>
        <v>54.982520497163847</v>
      </c>
      <c r="Z163" s="385">
        <f t="shared" si="62"/>
        <v>57.672781980501405</v>
      </c>
      <c r="AA163" s="386">
        <f t="shared" si="63"/>
        <v>62.381141964152206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7.5477297070907973E-2</v>
      </c>
      <c r="AD163" s="231">
        <f>(INDEX(Models!$BJ163:$BT163,,AH163)*(1-AF163)+INDEX(Models!$BJ163:$BT163,,AH163+1)*AF163-ERP_i)*AE163*Ramure*Pc/MaxiM</f>
        <v>2.4001170342117105E-4</v>
      </c>
      <c r="AE163" s="305">
        <f t="shared" si="65"/>
        <v>0.5</v>
      </c>
      <c r="AF163" s="177">
        <f t="shared" si="66"/>
        <v>0.18659521462111162</v>
      </c>
      <c r="AG163" s="811">
        <f t="shared" si="74"/>
        <v>1</v>
      </c>
      <c r="AH163" s="176">
        <f t="shared" si="67"/>
        <v>7</v>
      </c>
      <c r="AI163" s="225">
        <f t="shared" si="68"/>
        <v>1.1865952146211116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'2023'!Wh/'2023'!Env_an*'2024'!Env_an</f>
        <v>50.244712126368718</v>
      </c>
      <c r="C164" s="841"/>
      <c r="D164" s="393">
        <f t="shared" si="50"/>
        <v>52.704309870436262</v>
      </c>
      <c r="E164" s="385">
        <f t="shared" si="72"/>
        <v>53.128409951303425</v>
      </c>
      <c r="F164" s="385">
        <f t="shared" si="51"/>
        <v>53.137572804032281</v>
      </c>
      <c r="G164" s="110">
        <f t="shared" si="73"/>
        <v>0.83339046529482874</v>
      </c>
      <c r="H164" s="414" t="b">
        <f>Wh_hp&gt;='2023'!Maxi_hp</f>
        <v>0</v>
      </c>
      <c r="I164" s="390">
        <f>IF(H164,Wh_hp,'2023'!Maxi_hp)</f>
        <v>57.223999787813696</v>
      </c>
      <c r="J164" s="85">
        <f>IF(H164,An,'2023'!An_max)</f>
        <v>2019</v>
      </c>
      <c r="K164" s="197">
        <f t="shared" si="52"/>
        <v>45441</v>
      </c>
      <c r="L164" s="147">
        <f>IF(t&lt;Tvie,1-EXP((T0-t)*PertePVj)+'2023'!Pspv,1-EXP((T0-t)*PertePVj)+Pspv)</f>
        <v>4.6667867392894635E-2</v>
      </c>
      <c r="M164" s="845"/>
      <c r="N164" s="845"/>
      <c r="O164" s="48">
        <f>IF(t&lt;Tnet,'2023'!Resal+('2023'!Salim-'2023'!Resal)*(1-EXP(('2023'!Tnet-t)/('2023'!Tau_j))),Resal+(Salim-Resal)*(1-EXP((Tnet-t)/(Tau_j))))*Salcycl</f>
        <v>7.9825479673848107E-3</v>
      </c>
      <c r="P164" s="169">
        <f>(INDEX(Models!$BJ164:$BT164,,T164)*(1-R164)+INDEX(Models!$BJ164:$BT164,,T164+1)*R164-ERP_i)*Q164*Ramure*Pc/MaxiM</f>
        <v>2.2627951686880594E-4</v>
      </c>
      <c r="Q164" s="305">
        <f t="shared" si="53"/>
        <v>0.5</v>
      </c>
      <c r="R164" s="177">
        <f t="shared" si="54"/>
        <v>0.19146394356119911</v>
      </c>
      <c r="S164" s="811">
        <f t="shared" si="55"/>
        <v>1</v>
      </c>
      <c r="T164" s="176">
        <f t="shared" si="56"/>
        <v>7</v>
      </c>
      <c r="U164" s="251">
        <f t="shared" si="57"/>
        <v>1.1914639435611991</v>
      </c>
      <c r="V164" s="383">
        <f t="shared" si="58"/>
        <v>60.286274466826882</v>
      </c>
      <c r="W164" s="402">
        <f t="shared" si="59"/>
        <v>50.244712126368718</v>
      </c>
      <c r="X164" s="157">
        <f t="shared" si="60"/>
        <v>45441</v>
      </c>
      <c r="Y164" s="385">
        <f t="shared" si="61"/>
        <v>46.821789369479198</v>
      </c>
      <c r="Z164" s="385">
        <f t="shared" si="62"/>
        <v>49.113826931894423</v>
      </c>
      <c r="AA164" s="386">
        <f t="shared" si="63"/>
        <v>53.128409951303425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7.5563771305949157E-2</v>
      </c>
      <c r="AD164" s="231">
        <f>(INDEX(Models!$BJ164:$BT164,,AH164)*(1-AF164)+INDEX(Models!$BJ164:$BT164,,AH164+1)*AF164-ERP_i)*AE164*Ramure*Pc/MaxiM</f>
        <v>2.2627951686880594E-4</v>
      </c>
      <c r="AE164" s="305">
        <f t="shared" si="65"/>
        <v>0.5</v>
      </c>
      <c r="AF164" s="177">
        <f t="shared" si="66"/>
        <v>0.19146394356119911</v>
      </c>
      <c r="AG164" s="811">
        <f t="shared" si="74"/>
        <v>1</v>
      </c>
      <c r="AH164" s="176">
        <f t="shared" si="67"/>
        <v>7</v>
      </c>
      <c r="AI164" s="225">
        <f t="shared" si="68"/>
        <v>1.1914639435611991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'2023'!Wh/'2023'!Env_an*'2024'!Env_an</f>
        <v>53.358830675441752</v>
      </c>
      <c r="C165" s="841"/>
      <c r="D165" s="393">
        <f t="shared" si="50"/>
        <v>55.972097835880348</v>
      </c>
      <c r="E165" s="385">
        <f t="shared" si="72"/>
        <v>56.428279723635221</v>
      </c>
      <c r="F165" s="385">
        <f t="shared" si="51"/>
        <v>56.438329669797753</v>
      </c>
      <c r="G165" s="110">
        <f t="shared" si="73"/>
        <v>0.88502397347610096</v>
      </c>
      <c r="H165" s="414" t="b">
        <f>Wh_hp&gt;='2023'!Maxi_hp</f>
        <v>0</v>
      </c>
      <c r="I165" s="390">
        <f>IF(H165,Wh_hp,'2023'!Maxi_hp)</f>
        <v>63.126585406149495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4.6688747813261156E-2</v>
      </c>
      <c r="M165" s="845"/>
      <c r="N165" s="845"/>
      <c r="O165" s="48">
        <f>IF(t&lt;Tnet,'2023'!Resal+('2023'!Salim-'2023'!Resal)*(1-EXP(('2023'!Tnet-t)/('2023'!Tau_j))),Resal+(Salim-Resal)*(1-EXP((Tnet-t)/(Tau_j))))*Salcycl</f>
        <v>8.084277776836065E-3</v>
      </c>
      <c r="P165" s="169">
        <f>(INDEX(Models!$BJ165:$BT165,,T165)*(1-R165)+INDEX(Models!$BJ165:$BT165,,T165+1)*R165-ERP_i)*Q165*Ramure*Pc/MaxiM</f>
        <v>2.1305462703400914E-4</v>
      </c>
      <c r="Q165" s="305">
        <f t="shared" si="53"/>
        <v>0.5</v>
      </c>
      <c r="R165" s="177">
        <f t="shared" si="54"/>
        <v>0.19637734011082575</v>
      </c>
      <c r="S165" s="811">
        <f t="shared" si="55"/>
        <v>1</v>
      </c>
      <c r="T165" s="176">
        <f t="shared" si="56"/>
        <v>7</v>
      </c>
      <c r="U165" s="251">
        <f t="shared" si="57"/>
        <v>1.1963773401108257</v>
      </c>
      <c r="V165" s="383">
        <f t="shared" si="58"/>
        <v>60.288721184457096</v>
      </c>
      <c r="W165" s="402">
        <f t="shared" si="59"/>
        <v>53.358830675441752</v>
      </c>
      <c r="X165" s="157">
        <f t="shared" si="60"/>
        <v>45442</v>
      </c>
      <c r="Y165" s="385">
        <f t="shared" si="61"/>
        <v>49.724223845924513</v>
      </c>
      <c r="Z165" s="385">
        <f t="shared" si="62"/>
        <v>52.159484881632672</v>
      </c>
      <c r="AA165" s="386">
        <f t="shared" si="63"/>
        <v>56.428279723635221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7.5649919914438729E-2</v>
      </c>
      <c r="AD165" s="231">
        <f>(INDEX(Models!$BJ165:$BT165,,AH165)*(1-AF165)+INDEX(Models!$BJ165:$BT165,,AH165+1)*AF165-ERP_i)*AE165*Ramure*Pc/MaxiM</f>
        <v>2.1305462703400914E-4</v>
      </c>
      <c r="AE165" s="305">
        <f t="shared" si="65"/>
        <v>0.5</v>
      </c>
      <c r="AF165" s="177">
        <f t="shared" si="66"/>
        <v>0.19637734011082575</v>
      </c>
      <c r="AG165" s="811">
        <f t="shared" si="74"/>
        <v>1</v>
      </c>
      <c r="AH165" s="176">
        <f t="shared" si="67"/>
        <v>7</v>
      </c>
      <c r="AI165" s="225">
        <f t="shared" si="68"/>
        <v>1.1963773401108257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'2023'!Wh/'2023'!Env_an*'2024'!Env_an</f>
        <v>55.744810545022276</v>
      </c>
      <c r="C166" s="841"/>
      <c r="D166" s="393">
        <f t="shared" si="50"/>
        <v>58.47621267273297</v>
      </c>
      <c r="E166" s="385">
        <f t="shared" si="72"/>
        <v>58.958850243929383</v>
      </c>
      <c r="F166" s="385">
        <f t="shared" si="51"/>
        <v>58.969391876934395</v>
      </c>
      <c r="G166" s="110">
        <f t="shared" si="73"/>
        <v>0.92462210899511132</v>
      </c>
      <c r="H166" s="414" t="b">
        <f>Wh_hp&gt;='2023'!Maxi_hp</f>
        <v>0</v>
      </c>
      <c r="I166" s="390">
        <f>IF(H166,Wh_hp,'2023'!Maxi_hp)</f>
        <v>64.729267905613341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4.6709627776292839E-2</v>
      </c>
      <c r="M166" s="845"/>
      <c r="N166" s="845"/>
      <c r="O166" s="48">
        <f>IF(t&lt;Tnet,'2023'!Resal+('2023'!Salim-'2023'!Resal)*(1-EXP(('2023'!Tnet-t)/('2023'!Tau_j))),Resal+(Salim-Resal)*(1-EXP((Tnet-t)/(Tau_j))))*Salcycl</f>
        <v>8.1860071761848535E-3</v>
      </c>
      <c r="P166" s="169">
        <f>(INDEX(Models!$BJ166:$BT166,,T166)*(1-R166)+INDEX(Models!$BJ166:$BT166,,T166+1)*R166-ERP_i)*Q166*Ramure*Pc/MaxiM</f>
        <v>2.0033095619045733E-4</v>
      </c>
      <c r="Q166" s="305">
        <f t="shared" si="53"/>
        <v>0.5</v>
      </c>
      <c r="R166" s="177">
        <f t="shared" si="54"/>
        <v>0.20133181818790802</v>
      </c>
      <c r="S166" s="811">
        <f t="shared" si="55"/>
        <v>1</v>
      </c>
      <c r="T166" s="176">
        <f t="shared" si="56"/>
        <v>7</v>
      </c>
      <c r="U166" s="251">
        <f t="shared" si="57"/>
        <v>1.201331818187908</v>
      </c>
      <c r="V166" s="383">
        <f t="shared" si="58"/>
        <v>60.287989621874104</v>
      </c>
      <c r="W166" s="402">
        <f t="shared" si="59"/>
        <v>55.744810545022276</v>
      </c>
      <c r="X166" s="157">
        <f t="shared" si="60"/>
        <v>45443</v>
      </c>
      <c r="Y166" s="385">
        <f t="shared" si="61"/>
        <v>51.948187748241182</v>
      </c>
      <c r="Z166" s="385">
        <f t="shared" si="62"/>
        <v>54.493561732993754</v>
      </c>
      <c r="AA166" s="386">
        <f t="shared" si="63"/>
        <v>58.958850243929383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7.5735678230858819E-2</v>
      </c>
      <c r="AD166" s="231">
        <f>(INDEX(Models!$BJ166:$BT166,,AH166)*(1-AF166)+INDEX(Models!$BJ166:$BT166,,AH166+1)*AF166-ERP_i)*AE166*Ramure*Pc/MaxiM</f>
        <v>2.0033095619045733E-4</v>
      </c>
      <c r="AE166" s="305">
        <f t="shared" si="65"/>
        <v>0.5</v>
      </c>
      <c r="AF166" s="177">
        <f t="shared" si="66"/>
        <v>0.20133181818790802</v>
      </c>
      <c r="AG166" s="811">
        <f t="shared" si="74"/>
        <v>1</v>
      </c>
      <c r="AH166" s="176">
        <f t="shared" si="67"/>
        <v>7</v>
      </c>
      <c r="AI166" s="225">
        <f t="shared" si="68"/>
        <v>1.201331818187908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'2023'!Wh/'2023'!Env_an*'2024'!Env_an</f>
        <v>44.780702738248564</v>
      </c>
      <c r="C167" s="841"/>
      <c r="D167" s="393">
        <f t="shared" si="50"/>
        <v>46.975910883886598</v>
      </c>
      <c r="E167" s="385">
        <f t="shared" si="72"/>
        <v>47.368488008094275</v>
      </c>
      <c r="F167" s="385">
        <f t="shared" si="51"/>
        <v>47.374125330818806</v>
      </c>
      <c r="G167" s="110">
        <f t="shared" si="73"/>
        <v>0.74277789129429195</v>
      </c>
      <c r="H167" s="414" t="b">
        <f>Wh_hp&gt;='2023'!Maxi_hp</f>
        <v>0</v>
      </c>
      <c r="I167" s="390">
        <f>IF(H167,Wh_hp,'2023'!Maxi_hp)</f>
        <v>63.739845271535835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4.6730507281999789E-2</v>
      </c>
      <c r="M167" s="845"/>
      <c r="N167" s="845"/>
      <c r="O167" s="48">
        <f>IF(t&lt;Tnet,'2023'!Resal+('2023'!Salim-'2023'!Resal)*(1-EXP(('2023'!Tnet-t)/('2023'!Tau_j))),Resal+(Salim-Resal)*(1-EXP((Tnet-t)/(Tau_j))))*Salcycl</f>
        <v>8.2877275740908963E-3</v>
      </c>
      <c r="P167" s="169">
        <f>(INDEX(Models!$BJ167:$BT167,,T167)*(1-R167)+INDEX(Models!$BJ167:$BT167,,T167+1)*R167-ERP_i)*Q167*Ramure*Pc/MaxiM</f>
        <v>1.8810201680548866E-4</v>
      </c>
      <c r="Q167" s="305">
        <f t="shared" si="53"/>
        <v>0.5</v>
      </c>
      <c r="R167" s="177">
        <f t="shared" si="54"/>
        <v>0.20632366160232074</v>
      </c>
      <c r="S167" s="811">
        <f t="shared" si="55"/>
        <v>1</v>
      </c>
      <c r="T167" s="176">
        <f t="shared" si="56"/>
        <v>7</v>
      </c>
      <c r="U167" s="251">
        <f t="shared" si="57"/>
        <v>1.2063236616023207</v>
      </c>
      <c r="V167" s="383">
        <f t="shared" si="58"/>
        <v>60.283980272647725</v>
      </c>
      <c r="W167" s="402">
        <f t="shared" si="59"/>
        <v>44.780702738248564</v>
      </c>
      <c r="X167" s="157">
        <f t="shared" si="60"/>
        <v>45444</v>
      </c>
      <c r="Y167" s="385">
        <f t="shared" si="61"/>
        <v>41.731243050230546</v>
      </c>
      <c r="Z167" s="385">
        <f t="shared" si="62"/>
        <v>43.776962725666117</v>
      </c>
      <c r="AA167" s="386">
        <f t="shared" si="63"/>
        <v>47.368488008094275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7.5820982122427896E-2</v>
      </c>
      <c r="AD167" s="231">
        <f>(INDEX(Models!$BJ167:$BT167,,AH167)*(1-AF167)+INDEX(Models!$BJ167:$BT167,,AH167+1)*AF167-ERP_i)*AE167*Ramure*Pc/MaxiM</f>
        <v>1.8810201680548866E-4</v>
      </c>
      <c r="AE167" s="305">
        <f t="shared" si="65"/>
        <v>0.5</v>
      </c>
      <c r="AF167" s="177">
        <f t="shared" si="66"/>
        <v>0.20632366160232074</v>
      </c>
      <c r="AG167" s="811">
        <f t="shared" si="74"/>
        <v>1</v>
      </c>
      <c r="AH167" s="176">
        <f t="shared" si="67"/>
        <v>7</v>
      </c>
      <c r="AI167" s="225">
        <f t="shared" si="68"/>
        <v>1.2063236616023207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'2023'!Wh/'2023'!Env_an*'2024'!Env_an</f>
        <v>54.573532275942419</v>
      </c>
      <c r="C168" s="841"/>
      <c r="D168" s="393">
        <f t="shared" si="50"/>
        <v>57.250051553557654</v>
      </c>
      <c r="E168" s="385">
        <f t="shared" si="72"/>
        <v>57.734410356972298</v>
      </c>
      <c r="F168" s="385">
        <f t="shared" si="51"/>
        <v>57.743217540774616</v>
      </c>
      <c r="G168" s="110">
        <f t="shared" si="73"/>
        <v>0.90536355494613419</v>
      </c>
      <c r="H168" s="414" t="b">
        <f>Wh_hp&gt;='2023'!Maxi_hp</f>
        <v>0</v>
      </c>
      <c r="I168" s="390">
        <f>IF(H168,Wh_hp,'2023'!Maxi_hp)</f>
        <v>57.743879265054304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4.6751386330391997E-2</v>
      </c>
      <c r="M168" s="845"/>
      <c r="N168" s="845"/>
      <c r="O168" s="48">
        <f>IF(t&lt;Tnet,'2023'!Resal+('2023'!Salim-'2023'!Resal)*(1-EXP(('2023'!Tnet-t)/('2023'!Tau_j))),Resal+(Salim-Resal)*(1-EXP((Tnet-t)/(Tau_j))))*Salcycl</f>
        <v>8.3894301581993787E-3</v>
      </c>
      <c r="P168" s="169">
        <f>(INDEX(Models!$BJ168:$BT168,,T168)*(1-R168)+INDEX(Models!$BJ168:$BT168,,T168+1)*R168-ERP_i)*Q168*Ramure*Pc/MaxiM</f>
        <v>1.7636092315536487E-4</v>
      </c>
      <c r="Q168" s="305">
        <f t="shared" si="53"/>
        <v>0.5</v>
      </c>
      <c r="R168" s="177">
        <f t="shared" si="54"/>
        <v>0.21134903438459252</v>
      </c>
      <c r="S168" s="811">
        <f t="shared" si="55"/>
        <v>1</v>
      </c>
      <c r="T168" s="176">
        <f t="shared" si="56"/>
        <v>7</v>
      </c>
      <c r="U168" s="251">
        <f t="shared" si="57"/>
        <v>1.2113490343845925</v>
      </c>
      <c r="V168" s="383">
        <f t="shared" si="58"/>
        <v>60.276593721822692</v>
      </c>
      <c r="W168" s="402">
        <f t="shared" si="59"/>
        <v>54.573532275942419</v>
      </c>
      <c r="X168" s="157">
        <f t="shared" si="60"/>
        <v>45445</v>
      </c>
      <c r="Y168" s="385">
        <f t="shared" si="61"/>
        <v>50.857753958276163</v>
      </c>
      <c r="Z168" s="385">
        <f t="shared" si="62"/>
        <v>53.352035585444078</v>
      </c>
      <c r="AA168" s="386">
        <f t="shared" si="63"/>
        <v>57.734410356972298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7.5905768231319296E-2</v>
      </c>
      <c r="AD168" s="231">
        <f>(INDEX(Models!$BJ168:$BT168,,AH168)*(1-AF168)+INDEX(Models!$BJ168:$BT168,,AH168+1)*AF168-ERP_i)*AE168*Ramure*Pc/MaxiM</f>
        <v>1.7636092315536487E-4</v>
      </c>
      <c r="AE168" s="305">
        <f t="shared" si="65"/>
        <v>0.5</v>
      </c>
      <c r="AF168" s="177">
        <f t="shared" si="66"/>
        <v>0.21134903438459252</v>
      </c>
      <c r="AG168" s="811">
        <f t="shared" si="74"/>
        <v>1</v>
      </c>
      <c r="AH168" s="176">
        <f t="shared" si="67"/>
        <v>7</v>
      </c>
      <c r="AI168" s="225">
        <f t="shared" si="68"/>
        <v>1.2113490343845925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'2023'!Wh/'2023'!Env_an*'2024'!Env_an</f>
        <v>24.643944452131095</v>
      </c>
      <c r="C169" s="841"/>
      <c r="D169" s="393">
        <f t="shared" si="50"/>
        <v>25.853155070127173</v>
      </c>
      <c r="E169" s="385">
        <f t="shared" si="72"/>
        <v>26.074556894755929</v>
      </c>
      <c r="F169" s="385">
        <f t="shared" si="51"/>
        <v>26.075226765867157</v>
      </c>
      <c r="G169" s="110">
        <f t="shared" si="73"/>
        <v>0.40886434921154213</v>
      </c>
      <c r="H169" s="414" t="b">
        <f>Wh_hp&gt;='2023'!Maxi_hp</f>
        <v>0</v>
      </c>
      <c r="I169" s="390">
        <f>IF(H169,Wh_hp,'2023'!Maxi_hp)</f>
        <v>59.953702782585943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4.6772264921479456E-2</v>
      </c>
      <c r="M169" s="845"/>
      <c r="N169" s="845"/>
      <c r="O169" s="48">
        <f>IF(t&lt;Tnet,'2023'!Resal+('2023'!Salim-'2023'!Resal)*(1-EXP(('2023'!Tnet-t)/('2023'!Tau_j))),Resal+(Salim-Resal)*(1-EXP((Tnet-t)/(Tau_j))))*Salcycl</f>
        <v>8.4911059283727802E-3</v>
      </c>
      <c r="P169" s="169">
        <f>(INDEX(Models!$BJ169:$BT169,,T169)*(1-R169)+INDEX(Models!$BJ169:$BT169,,T169+1)*R169-ERP_i)*Q169*Ramure*Pc/MaxiM</f>
        <v>1.6510040748983129E-4</v>
      </c>
      <c r="Q169" s="305">
        <f t="shared" si="53"/>
        <v>0.5</v>
      </c>
      <c r="R169" s="177">
        <f t="shared" si="54"/>
        <v>0.21640399191425241</v>
      </c>
      <c r="S169" s="811">
        <f t="shared" si="55"/>
        <v>1</v>
      </c>
      <c r="T169" s="176">
        <f t="shared" si="56"/>
        <v>7</v>
      </c>
      <c r="U169" s="251">
        <f t="shared" si="57"/>
        <v>1.2164039919142524</v>
      </c>
      <c r="V169" s="383">
        <f t="shared" si="58"/>
        <v>60.265730645537097</v>
      </c>
      <c r="W169" s="402">
        <f t="shared" si="59"/>
        <v>24.643944452131095</v>
      </c>
      <c r="X169" s="157">
        <f t="shared" si="60"/>
        <v>45446</v>
      </c>
      <c r="Y169" s="385">
        <f t="shared" si="61"/>
        <v>22.966260700989292</v>
      </c>
      <c r="Z169" s="385">
        <f t="shared" si="62"/>
        <v>24.093151988593245</v>
      </c>
      <c r="AA169" s="386">
        <f t="shared" si="63"/>
        <v>26.074556894755929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7.5989974217402001E-2</v>
      </c>
      <c r="AD169" s="231">
        <f>(INDEX(Models!$BJ169:$BT169,,AH169)*(1-AF169)+INDEX(Models!$BJ169:$BT169,,AH169+1)*AF169-ERP_i)*AE169*Ramure*Pc/MaxiM</f>
        <v>1.6510040748983129E-4</v>
      </c>
      <c r="AE169" s="305">
        <f t="shared" si="65"/>
        <v>0.5</v>
      </c>
      <c r="AF169" s="177">
        <f t="shared" si="66"/>
        <v>0.21640399191425241</v>
      </c>
      <c r="AG169" s="811">
        <f t="shared" si="74"/>
        <v>1</v>
      </c>
      <c r="AH169" s="176">
        <f t="shared" si="67"/>
        <v>7</v>
      </c>
      <c r="AI169" s="225">
        <f t="shared" si="68"/>
        <v>1.2164039919142524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'2023'!Wh/'2023'!Env_an*'2024'!Env_an</f>
        <v>33.995554273612541</v>
      </c>
      <c r="C170" s="841"/>
      <c r="D170" s="393">
        <f t="shared" si="50"/>
        <v>35.664403823716711</v>
      </c>
      <c r="E170" s="385">
        <f t="shared" ref="E170:E232" si="75">Wh_pvt/(1-Psa)</f>
        <v>35.973515091971684</v>
      </c>
      <c r="F170" s="385">
        <f t="shared" si="51"/>
        <v>35.975614898836099</v>
      </c>
      <c r="G170" s="110">
        <f t="shared" ref="G170:G232" si="76">+Wh_hp/MaxiM</f>
        <v>0.56417532887219002</v>
      </c>
      <c r="H170" s="414" t="b">
        <f>Wh_hp&gt;='2023'!Maxi_hp</f>
        <v>0</v>
      </c>
      <c r="I170" s="390">
        <f>IF(H170,Wh_hp,'2023'!Maxi_hp)</f>
        <v>43.180770881481472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4.6793143055272157E-2</v>
      </c>
      <c r="M170" s="845"/>
      <c r="N170" s="845"/>
      <c r="O170" s="48">
        <f>IF(t&lt;Tnet,'2023'!Resal+('2023'!Salim-'2023'!Resal)*(1-EXP(('2023'!Tnet-t)/('2023'!Tau_j))),Resal+(Salim-Resal)*(1-EXP((Tnet-t)/(Tau_j))))*Salcycl</f>
        <v>8.5927457315385074E-3</v>
      </c>
      <c r="P170" s="169">
        <f>(INDEX(Models!$BJ170:$BT170,,T170)*(1-R170)+INDEX(Models!$BJ170:$BT170,,T170+1)*R170-ERP_i)*Q170*Ramure*Pc/MaxiM</f>
        <v>1.5462781685197143E-4</v>
      </c>
      <c r="Q170" s="305">
        <f t="shared" si="53"/>
        <v>0.5</v>
      </c>
      <c r="R170" s="177">
        <f t="shared" si="54"/>
        <v>0.22148449278452431</v>
      </c>
      <c r="S170" s="811">
        <f t="shared" si="55"/>
        <v>1</v>
      </c>
      <c r="T170" s="176">
        <f t="shared" si="56"/>
        <v>7</v>
      </c>
      <c r="U170" s="251">
        <f t="shared" si="57"/>
        <v>1.2214844927845243</v>
      </c>
      <c r="V170" s="383">
        <f t="shared" si="58"/>
        <v>60.251272823072924</v>
      </c>
      <c r="W170" s="402">
        <f t="shared" si="59"/>
        <v>33.995554273612541</v>
      </c>
      <c r="X170" s="157">
        <f t="shared" si="60"/>
        <v>45447</v>
      </c>
      <c r="Y170" s="385">
        <f t="shared" si="61"/>
        <v>31.681624291654948</v>
      </c>
      <c r="Z170" s="385">
        <f t="shared" si="62"/>
        <v>33.23688248865799</v>
      </c>
      <c r="AA170" s="386">
        <f t="shared" si="63"/>
        <v>35.973515091971684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7.6073538999930371E-2</v>
      </c>
      <c r="AD170" s="231">
        <f>(INDEX(Models!$BJ170:$BT170,,AH170)*(1-AF170)+INDEX(Models!$BJ170:$BT170,,AH170+1)*AF170-ERP_i)*AE170*Ramure*Pc/MaxiM</f>
        <v>1.5462781685197143E-4</v>
      </c>
      <c r="AE170" s="305">
        <f t="shared" si="65"/>
        <v>0.5</v>
      </c>
      <c r="AF170" s="177">
        <f t="shared" si="66"/>
        <v>0.22148449278452431</v>
      </c>
      <c r="AG170" s="811">
        <f t="shared" si="74"/>
        <v>1</v>
      </c>
      <c r="AH170" s="176">
        <f t="shared" si="67"/>
        <v>7</v>
      </c>
      <c r="AI170" s="225">
        <f t="shared" si="68"/>
        <v>1.2214844927845243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'2023'!Wh/'2023'!Env_an*'2024'!Env_an</f>
        <v>47.878007602584191</v>
      </c>
      <c r="C171" s="841"/>
      <c r="D171" s="393">
        <f t="shared" si="50"/>
        <v>50.229450121938541</v>
      </c>
      <c r="E171" s="385">
        <f t="shared" si="75"/>
        <v>50.669992277695293</v>
      </c>
      <c r="F171" s="385">
        <f t="shared" si="51"/>
        <v>50.675191442761161</v>
      </c>
      <c r="G171" s="110">
        <f t="shared" si="76"/>
        <v>0.79484475452760417</v>
      </c>
      <c r="H171" s="414" t="b">
        <f>Wh_hp&gt;='2023'!Maxi_hp</f>
        <v>0</v>
      </c>
      <c r="I171" s="390">
        <f>IF(H171,Wh_hp,'2023'!Maxi_hp)</f>
        <v>62.343880742671914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4.6814020731780204E-2</v>
      </c>
      <c r="M171" s="845"/>
      <c r="N171" s="845"/>
      <c r="O171" s="48">
        <f>IF(t&lt;Tnet,'2023'!Resal+('2023'!Salim-'2023'!Resal)*(1-EXP(('2023'!Tnet-t)/('2023'!Tau_j))),Resal+(Salim-Resal)*(1-EXP((Tnet-t)/(Tau_j))))*Salcycl</f>
        <v>8.6943402979494811E-3</v>
      </c>
      <c r="P171" s="169">
        <f>(INDEX(Models!$BJ171:$BT171,,T171)*(1-R171)+INDEX(Models!$BJ171:$BT171,,T171+1)*R171-ERP_i)*Q171*Ramure*Pc/MaxiM</f>
        <v>1.4512345467616511E-4</v>
      </c>
      <c r="Q171" s="305">
        <f t="shared" si="53"/>
        <v>0.5</v>
      </c>
      <c r="R171" s="177">
        <f t="shared" si="54"/>
        <v>0.22658641133166424</v>
      </c>
      <c r="S171" s="811">
        <f t="shared" si="55"/>
        <v>1</v>
      </c>
      <c r="T171" s="176">
        <f t="shared" si="56"/>
        <v>7</v>
      </c>
      <c r="U171" s="251">
        <f t="shared" si="57"/>
        <v>1.2265864113316642</v>
      </c>
      <c r="V171" s="383">
        <f t="shared" si="58"/>
        <v>60.233109772875224</v>
      </c>
      <c r="W171" s="402">
        <f t="shared" si="59"/>
        <v>47.878007602584191</v>
      </c>
      <c r="X171" s="157">
        <f t="shared" si="60"/>
        <v>45448</v>
      </c>
      <c r="Y171" s="385">
        <f t="shared" si="61"/>
        <v>44.619729876477052</v>
      </c>
      <c r="Z171" s="385">
        <f t="shared" si="62"/>
        <v>46.811147925961443</v>
      </c>
      <c r="AA171" s="386">
        <f t="shared" si="63"/>
        <v>50.669992277695293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7.6156402996581815E-2</v>
      </c>
      <c r="AD171" s="231">
        <f>(INDEX(Models!$BJ171:$BT171,,AH171)*(1-AF171)+INDEX(Models!$BJ171:$BT171,,AH171+1)*AF171-ERP_i)*AE171*Ramure*Pc/MaxiM</f>
        <v>1.4512345467616511E-4</v>
      </c>
      <c r="AE171" s="305">
        <f t="shared" si="65"/>
        <v>0.5</v>
      </c>
      <c r="AF171" s="177">
        <f t="shared" si="66"/>
        <v>0.22658641133166424</v>
      </c>
      <c r="AG171" s="811">
        <f t="shared" si="74"/>
        <v>1</v>
      </c>
      <c r="AH171" s="176">
        <f t="shared" si="67"/>
        <v>7</v>
      </c>
      <c r="AI171" s="225">
        <f t="shared" si="68"/>
        <v>1.2265864113316642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'2023'!Wh/'2023'!Env_an*'2024'!Env_an</f>
        <v>24.960067574539103</v>
      </c>
      <c r="C172" s="841"/>
      <c r="D172" s="393">
        <f t="shared" si="50"/>
        <v>26.186510102901686</v>
      </c>
      <c r="E172" s="385">
        <f t="shared" si="75"/>
        <v>26.418887474219733</v>
      </c>
      <c r="F172" s="385">
        <f t="shared" si="51"/>
        <v>26.41947808407275</v>
      </c>
      <c r="G172" s="110">
        <f t="shared" si="76"/>
        <v>0.41449498308947919</v>
      </c>
      <c r="H172" s="414" t="b">
        <f>Wh_hp&gt;='2023'!Maxi_hp</f>
        <v>0</v>
      </c>
      <c r="I172" s="390">
        <f>IF(H172,Wh_hp,'2023'!Maxi_hp)</f>
        <v>54.813719171232592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4.6834897951013477E-2</v>
      </c>
      <c r="M172" s="845"/>
      <c r="N172" s="845"/>
      <c r="O172" s="48">
        <f>IF(t&lt;Tnet,'2023'!Resal+('2023'!Salim-'2023'!Resal)*(1-EXP(('2023'!Tnet-t)/('2023'!Tau_j))),Resal+(Salim-Resal)*(1-EXP((Tnet-t)/(Tau_j))))*Salcycl</f>
        <v>8.7958802786381081E-3</v>
      </c>
      <c r="P172" s="169">
        <f>(INDEX(Models!$BJ172:$BT172,,T172)*(1-R172)+INDEX(Models!$BJ172:$BT172,,T172+1)*R172-ERP_i)*Q172*Ramure*Pc/MaxiM</f>
        <v>1.3661815032691969E-4</v>
      </c>
      <c r="Q172" s="305">
        <f t="shared" si="53"/>
        <v>0.5</v>
      </c>
      <c r="R172" s="177">
        <f t="shared" si="54"/>
        <v>0.23170555074949029</v>
      </c>
      <c r="S172" s="811">
        <f t="shared" si="55"/>
        <v>1</v>
      </c>
      <c r="T172" s="176">
        <f t="shared" si="56"/>
        <v>7</v>
      </c>
      <c r="U172" s="251">
        <f t="shared" si="57"/>
        <v>1.2317055507494903</v>
      </c>
      <c r="V172" s="383">
        <f t="shared" si="58"/>
        <v>60.211140098953393</v>
      </c>
      <c r="W172" s="402">
        <f t="shared" si="59"/>
        <v>24.960067574539103</v>
      </c>
      <c r="X172" s="157">
        <f t="shared" si="60"/>
        <v>45449</v>
      </c>
      <c r="Y172" s="385">
        <f t="shared" si="61"/>
        <v>23.261756882747083</v>
      </c>
      <c r="Z172" s="385">
        <f t="shared" si="62"/>
        <v>24.404750900701334</v>
      </c>
      <c r="AA172" s="386">
        <f t="shared" si="63"/>
        <v>26.418887474219733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7.6238508358228541E-2</v>
      </c>
      <c r="AD172" s="231">
        <f>(INDEX(Models!$BJ172:$BT172,,AH172)*(1-AF172)+INDEX(Models!$BJ172:$BT172,,AH172+1)*AF172-ERP_i)*AE172*Ramure*Pc/MaxiM</f>
        <v>1.3661815032691969E-4</v>
      </c>
      <c r="AE172" s="305">
        <f t="shared" si="65"/>
        <v>0.5</v>
      </c>
      <c r="AF172" s="177">
        <f t="shared" si="66"/>
        <v>0.23170555074949029</v>
      </c>
      <c r="AG172" s="811">
        <f t="shared" si="74"/>
        <v>1</v>
      </c>
      <c r="AH172" s="176">
        <f t="shared" si="67"/>
        <v>7</v>
      </c>
      <c r="AI172" s="225">
        <f t="shared" si="68"/>
        <v>1.2317055507494903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'2023'!Wh/'2023'!Env_an*'2024'!Env_an</f>
        <v>20.406173475660193</v>
      </c>
      <c r="C173" s="841"/>
      <c r="D173" s="393">
        <f t="shared" si="50"/>
        <v>21.409323934701838</v>
      </c>
      <c r="E173" s="385">
        <f t="shared" si="75"/>
        <v>21.601520357595749</v>
      </c>
      <c r="F173" s="385">
        <f t="shared" si="51"/>
        <v>21.601676007321363</v>
      </c>
      <c r="G173" s="110">
        <f t="shared" si="76"/>
        <v>0.33901464153243105</v>
      </c>
      <c r="H173" s="414" t="b">
        <f>Wh_hp&gt;='2023'!Maxi_hp</f>
        <v>0</v>
      </c>
      <c r="I173" s="390">
        <f>IF(H173,Wh_hp,'2023'!Maxi_hp)</f>
        <v>64.469263284236831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4.6855774712982079E-2</v>
      </c>
      <c r="M173" s="845"/>
      <c r="N173" s="845"/>
      <c r="O173" s="48">
        <f>IF(t&lt;Tnet,'2023'!Resal+('2023'!Salim-'2023'!Resal)*(1-EXP(('2023'!Tnet-t)/('2023'!Tau_j))),Resal+(Salim-Resal)*(1-EXP((Tnet-t)/(Tau_j))))*Salcycl</f>
        <v>8.8973562838288705E-3</v>
      </c>
      <c r="P173" s="169">
        <f>(INDEX(Models!$BJ173:$BT173,,T173)*(1-R173)+INDEX(Models!$BJ173:$BT173,,T173+1)*R173-ERP_i)*Q173*Ramure*Pc/MaxiM</f>
        <v>1.2914314252748717E-4</v>
      </c>
      <c r="Q173" s="305">
        <f t="shared" si="53"/>
        <v>0.5</v>
      </c>
      <c r="R173" s="177">
        <f t="shared" si="54"/>
        <v>0.2368376567027568</v>
      </c>
      <c r="S173" s="811">
        <f t="shared" si="55"/>
        <v>1</v>
      </c>
      <c r="T173" s="176">
        <f t="shared" si="56"/>
        <v>7</v>
      </c>
      <c r="U173" s="251">
        <f t="shared" si="57"/>
        <v>1.2368376567027568</v>
      </c>
      <c r="V173" s="383">
        <f t="shared" si="58"/>
        <v>60.185262452758153</v>
      </c>
      <c r="W173" s="402">
        <f t="shared" si="59"/>
        <v>20.406173475660193</v>
      </c>
      <c r="X173" s="157">
        <f t="shared" si="60"/>
        <v>45450</v>
      </c>
      <c r="Y173" s="385">
        <f t="shared" si="61"/>
        <v>19.017988230691834</v>
      </c>
      <c r="Z173" s="385">
        <f t="shared" si="62"/>
        <v>19.952896661536187</v>
      </c>
      <c r="AA173" s="386">
        <f t="shared" si="63"/>
        <v>21.601520357595749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7.631979919783087E-2</v>
      </c>
      <c r="AD173" s="231">
        <f>(INDEX(Models!$BJ173:$BT173,,AH173)*(1-AF173)+INDEX(Models!$BJ173:$BT173,,AH173+1)*AF173-ERP_i)*AE173*Ramure*Pc/MaxiM</f>
        <v>1.2914314252748717E-4</v>
      </c>
      <c r="AE173" s="305">
        <f t="shared" si="65"/>
        <v>0.5</v>
      </c>
      <c r="AF173" s="177">
        <f t="shared" si="66"/>
        <v>0.2368376567027568</v>
      </c>
      <c r="AG173" s="811">
        <f t="shared" si="74"/>
        <v>1</v>
      </c>
      <c r="AH173" s="176">
        <f t="shared" si="67"/>
        <v>7</v>
      </c>
      <c r="AI173" s="225">
        <f t="shared" si="68"/>
        <v>1.2368376567027568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'2023'!Wh/'2023'!Env_an*'2024'!Env_an</f>
        <v>46.63156271067443</v>
      </c>
      <c r="C174" s="841"/>
      <c r="D174" s="393">
        <f t="shared" si="50"/>
        <v>48.9250030024605</v>
      </c>
      <c r="E174" s="385">
        <f t="shared" si="75"/>
        <v>49.369265117411423</v>
      </c>
      <c r="F174" s="385">
        <f t="shared" si="51"/>
        <v>49.37337858961623</v>
      </c>
      <c r="G174" s="110">
        <f t="shared" si="76"/>
        <v>0.77515474039463794</v>
      </c>
      <c r="H174" s="414" t="b">
        <f>Wh_hp&gt;='2023'!Maxi_hp</f>
        <v>0</v>
      </c>
      <c r="I174" s="390">
        <f>IF(H174,Wh_hp,'2023'!Maxi_hp)</f>
        <v>60.601331416290115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4.6876651017696003E-2</v>
      </c>
      <c r="M174" s="845"/>
      <c r="N174" s="845"/>
      <c r="O174" s="48">
        <f>IF(t&lt;Tnet,'2023'!Resal+('2023'!Salim-'2023'!Resal)*(1-EXP(('2023'!Tnet-t)/('2023'!Tau_j))),Resal+(Salim-Resal)*(1-EXP((Tnet-t)/(Tau_j))))*Salcycl</f>
        <v>8.9987589220614471E-3</v>
      </c>
      <c r="P174" s="169">
        <f>(INDEX(Models!$BJ174:$BT174,,T174)*(1-R174)+INDEX(Models!$BJ174:$BT174,,T174+1)*R174-ERP_i)*Q174*Ramure*Pc/MaxiM</f>
        <v>1.2273000871029994E-4</v>
      </c>
      <c r="Q174" s="305">
        <f t="shared" si="53"/>
        <v>0.5</v>
      </c>
      <c r="R174" s="177">
        <f t="shared" si="54"/>
        <v>0.24197843134706254</v>
      </c>
      <c r="S174" s="811">
        <f t="shared" si="55"/>
        <v>1</v>
      </c>
      <c r="T174" s="176">
        <f t="shared" si="56"/>
        <v>7</v>
      </c>
      <c r="U174" s="251">
        <f t="shared" si="57"/>
        <v>1.2419784313470625</v>
      </c>
      <c r="V174" s="383">
        <f t="shared" si="58"/>
        <v>60.155375536293853</v>
      </c>
      <c r="W174" s="402">
        <f t="shared" si="59"/>
        <v>46.63156271067443</v>
      </c>
      <c r="X174" s="157">
        <f t="shared" si="60"/>
        <v>45451</v>
      </c>
      <c r="Y174" s="385">
        <f t="shared" si="61"/>
        <v>43.459986921205378</v>
      </c>
      <c r="Z174" s="385">
        <f t="shared" si="62"/>
        <v>45.59744231175295</v>
      </c>
      <c r="AA174" s="386">
        <f t="shared" si="63"/>
        <v>49.369265117411423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7.6400221811854255E-2</v>
      </c>
      <c r="AD174" s="231">
        <f>(INDEX(Models!$BJ174:$BT174,,AH174)*(1-AF174)+INDEX(Models!$BJ174:$BT174,,AH174+1)*AF174-ERP_i)*AE174*Ramure*Pc/MaxiM</f>
        <v>1.2273000871029994E-4</v>
      </c>
      <c r="AE174" s="305">
        <f t="shared" si="65"/>
        <v>0.5</v>
      </c>
      <c r="AF174" s="177">
        <f t="shared" si="66"/>
        <v>0.24197843134706254</v>
      </c>
      <c r="AG174" s="811">
        <f t="shared" si="74"/>
        <v>1</v>
      </c>
      <c r="AH174" s="176">
        <f t="shared" si="67"/>
        <v>7</v>
      </c>
      <c r="AI174" s="225">
        <f t="shared" si="68"/>
        <v>1.2419784313470625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'2023'!Wh/'2023'!Env_an*'2024'!Env_an</f>
        <v>56.90759439700394</v>
      </c>
      <c r="C175" s="841"/>
      <c r="D175" s="393">
        <f t="shared" si="50"/>
        <v>59.707739724806345</v>
      </c>
      <c r="E175" s="385">
        <f t="shared" si="75"/>
        <v>60.256074755657579</v>
      </c>
      <c r="F175" s="385">
        <f t="shared" si="51"/>
        <v>60.262609912224335</v>
      </c>
      <c r="G175" s="110">
        <f t="shared" si="76"/>
        <v>0.94653658819886322</v>
      </c>
      <c r="H175" s="414" t="b">
        <f>Wh_hp&gt;='2023'!Maxi_hp</f>
        <v>0</v>
      </c>
      <c r="I175" s="390">
        <f>IF(H175,Wh_hp,'2023'!Maxi_hp)</f>
        <v>61.199848181326935</v>
      </c>
      <c r="J175" s="85">
        <f>IF(H175,An,'2023'!An_max)</f>
        <v>2021</v>
      </c>
      <c r="K175" s="197">
        <f t="shared" si="52"/>
        <v>45452</v>
      </c>
      <c r="L175" s="147">
        <f>IF(t&lt;Tvie,1-EXP((T0-t)*PertePVj)+'2023'!Pspv,1-EXP((T0-t)*PertePVj)+Pspv)</f>
        <v>4.6897526865165351E-2</v>
      </c>
      <c r="M175" s="845"/>
      <c r="N175" s="845"/>
      <c r="O175" s="48">
        <f>IF(t&lt;Tnet,'2023'!Resal+('2023'!Salim-'2023'!Resal)*(1-EXP(('2023'!Tnet-t)/('2023'!Tau_j))),Resal+(Salim-Resal)*(1-EXP((Tnet-t)/(Tau_j))))*Salcycl</f>
        <v>9.1000788397646217E-3</v>
      </c>
      <c r="P175" s="169">
        <f>(INDEX(Models!$BJ175:$BT175,,T175)*(1-R175)+INDEX(Models!$BJ175:$BT175,,T175+1)*R175-ERP_i)*Q175*Ramure*Pc/MaxiM</f>
        <v>1.1741059575520033E-4</v>
      </c>
      <c r="Q175" s="305">
        <f t="shared" si="53"/>
        <v>0.5</v>
      </c>
      <c r="R175" s="177">
        <f t="shared" si="54"/>
        <v>0.24712354765807421</v>
      </c>
      <c r="S175" s="811">
        <f t="shared" si="55"/>
        <v>1</v>
      </c>
      <c r="T175" s="176">
        <f t="shared" si="56"/>
        <v>7</v>
      </c>
      <c r="U175" s="251">
        <f t="shared" si="57"/>
        <v>1.2471235476580742</v>
      </c>
      <c r="V175" s="383">
        <f t="shared" si="58"/>
        <v>60.12137810598</v>
      </c>
      <c r="W175" s="402">
        <f t="shared" si="59"/>
        <v>56.90759439700394</v>
      </c>
      <c r="X175" s="157">
        <f t="shared" si="60"/>
        <v>45452</v>
      </c>
      <c r="Y175" s="385">
        <f t="shared" si="61"/>
        <v>53.037966913633866</v>
      </c>
      <c r="Z175" s="385">
        <f t="shared" si="62"/>
        <v>55.647706735234365</v>
      </c>
      <c r="AA175" s="386">
        <f t="shared" si="63"/>
        <v>60.256074755657579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7.6479724892642903E-2</v>
      </c>
      <c r="AD175" s="231">
        <f>(INDEX(Models!$BJ175:$BT175,,AH175)*(1-AF175)+INDEX(Models!$BJ175:$BT175,,AH175+1)*AF175-ERP_i)*AE175*Ramure*Pc/MaxiM</f>
        <v>1.1741059575520033E-4</v>
      </c>
      <c r="AE175" s="305">
        <f t="shared" si="65"/>
        <v>0.5</v>
      </c>
      <c r="AF175" s="177">
        <f t="shared" si="66"/>
        <v>0.24712354765807421</v>
      </c>
      <c r="AG175" s="811">
        <f t="shared" si="74"/>
        <v>1</v>
      </c>
      <c r="AH175" s="176">
        <f t="shared" si="67"/>
        <v>7</v>
      </c>
      <c r="AI175" s="225">
        <f t="shared" si="68"/>
        <v>1.2471235476580742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'2023'!Wh/'2023'!Env_an*'2024'!Env_an</f>
        <v>55.642060525031795</v>
      </c>
      <c r="C176" s="841"/>
      <c r="D176" s="393">
        <f t="shared" si="50"/>
        <v>58.381213798172986</v>
      </c>
      <c r="E176" s="385">
        <f t="shared" si="75"/>
        <v>58.923385947675065</v>
      </c>
      <c r="F176" s="385">
        <f t="shared" si="51"/>
        <v>58.929353245196651</v>
      </c>
      <c r="G176" s="110">
        <f t="shared" si="76"/>
        <v>0.92607291187244134</v>
      </c>
      <c r="H176" s="414" t="b">
        <f>Wh_hp&gt;='2023'!Maxi_hp</f>
        <v>0</v>
      </c>
      <c r="I176" s="390">
        <f>IF(H176,Wh_hp,'2023'!Maxi_hp)</f>
        <v>58.929674289697104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4.6918402255400005E-2</v>
      </c>
      <c r="M176" s="845"/>
      <c r="N176" s="845"/>
      <c r="O176" s="48">
        <f>IF(t&lt;Tnet,'2023'!Resal+('2023'!Salim-'2023'!Resal)*(1-EXP(('2023'!Tnet-t)/('2023'!Tau_j))),Resal+(Salim-Resal)*(1-EXP((Tnet-t)/(Tau_j))))*Salcycl</f>
        <v>9.2013067610123116E-3</v>
      </c>
      <c r="P176" s="169">
        <f>(INDEX(Models!$BJ176:$BT176,,T176)*(1-R176)+INDEX(Models!$BJ176:$BT176,,T176+1)*R176-ERP_i)*Q176*Ramure*Pc/MaxiM</f>
        <v>1.1321695301820501E-4</v>
      </c>
      <c r="Q176" s="305">
        <f t="shared" si="53"/>
        <v>0.5</v>
      </c>
      <c r="R176" s="177">
        <f t="shared" si="54"/>
        <v>0.25226866396908565</v>
      </c>
      <c r="S176" s="811">
        <f t="shared" si="55"/>
        <v>1</v>
      </c>
      <c r="T176" s="176">
        <f t="shared" si="56"/>
        <v>7</v>
      </c>
      <c r="U176" s="251">
        <f t="shared" si="57"/>
        <v>1.2522686639690856</v>
      </c>
      <c r="V176" s="383">
        <f t="shared" si="58"/>
        <v>60.083168981443954</v>
      </c>
      <c r="W176" s="402">
        <f t="shared" si="59"/>
        <v>55.642060525031795</v>
      </c>
      <c r="X176" s="157">
        <f t="shared" si="60"/>
        <v>45453</v>
      </c>
      <c r="Y176" s="385">
        <f t="shared" si="61"/>
        <v>51.859375223295373</v>
      </c>
      <c r="Z176" s="385">
        <f t="shared" si="62"/>
        <v>54.412314062108543</v>
      </c>
      <c r="AA176" s="386">
        <f t="shared" si="63"/>
        <v>58.923385947675065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7.6558259730227077E-2</v>
      </c>
      <c r="AD176" s="231">
        <f>(INDEX(Models!$BJ176:$BT176,,AH176)*(1-AF176)+INDEX(Models!$BJ176:$BT176,,AH176+1)*AF176-ERP_i)*AE176*Ramure*Pc/MaxiM</f>
        <v>1.1321695301820501E-4</v>
      </c>
      <c r="AE176" s="305">
        <f t="shared" si="65"/>
        <v>0.5</v>
      </c>
      <c r="AF176" s="177">
        <f t="shared" si="66"/>
        <v>0.25226866396908565</v>
      </c>
      <c r="AG176" s="811">
        <f t="shared" si="74"/>
        <v>1</v>
      </c>
      <c r="AH176" s="176">
        <f t="shared" si="67"/>
        <v>7</v>
      </c>
      <c r="AI176" s="225">
        <f t="shared" si="68"/>
        <v>1.2522686639690856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'2023'!Wh/'2023'!Env_an*'2024'!Env_an</f>
        <v>42.57511843693343</v>
      </c>
      <c r="C177" s="841"/>
      <c r="D177" s="393">
        <f t="shared" si="50"/>
        <v>44.6719893264871</v>
      </c>
      <c r="E177" s="385">
        <f t="shared" si="75"/>
        <v>45.091449538463124</v>
      </c>
      <c r="F177" s="385">
        <f t="shared" si="51"/>
        <v>45.094353420416695</v>
      </c>
      <c r="G177" s="110">
        <f t="shared" si="76"/>
        <v>0.70907983662326102</v>
      </c>
      <c r="H177" s="414" t="b">
        <f>Wh_hp&gt;='2023'!Maxi_hp</f>
        <v>0</v>
      </c>
      <c r="I177" s="390">
        <f>IF(H177,Wh_hp,'2023'!Maxi_hp)</f>
        <v>58.244062693126686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4.6939277188410067E-2</v>
      </c>
      <c r="M177" s="845"/>
      <c r="N177" s="845"/>
      <c r="O177" s="48">
        <f>IF(t&lt;Tnet,'2023'!Resal+('2023'!Salim-'2023'!Resal)*(1-EXP(('2023'!Tnet-t)/('2023'!Tau_j))),Resal+(Salim-Resal)*(1-EXP((Tnet-t)/(Tau_j))))*Salcycl</f>
        <v>9.3024335271861425E-3</v>
      </c>
      <c r="P177" s="169">
        <f>(INDEX(Models!$BJ177:$BT177,,T177)*(1-R177)+INDEX(Models!$BJ177:$BT177,,T177+1)*R177-ERP_i)*Q177*Ramure*Pc/MaxiM</f>
        <v>1.1018241566177447E-4</v>
      </c>
      <c r="Q177" s="305">
        <f t="shared" si="53"/>
        <v>0.5</v>
      </c>
      <c r="R177" s="177">
        <f t="shared" si="54"/>
        <v>0.25740943861339161</v>
      </c>
      <c r="S177" s="811">
        <f t="shared" si="55"/>
        <v>1</v>
      </c>
      <c r="T177" s="176">
        <f t="shared" si="56"/>
        <v>7</v>
      </c>
      <c r="U177" s="251">
        <f t="shared" si="57"/>
        <v>1.2574094386133916</v>
      </c>
      <c r="V177" s="383">
        <f t="shared" si="58"/>
        <v>60.040021923086023</v>
      </c>
      <c r="W177" s="402">
        <f t="shared" si="59"/>
        <v>42.57511843693343</v>
      </c>
      <c r="X177" s="157">
        <f t="shared" si="60"/>
        <v>45454</v>
      </c>
      <c r="Y177" s="385">
        <f t="shared" si="61"/>
        <v>39.681475296009062</v>
      </c>
      <c r="Z177" s="385">
        <f t="shared" si="62"/>
        <v>41.635831113621151</v>
      </c>
      <c r="AA177" s="386">
        <f t="shared" si="63"/>
        <v>45.091449538463124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7.6635780402098716E-2</v>
      </c>
      <c r="AD177" s="231">
        <f>(INDEX(Models!$BJ177:$BT177,,AH177)*(1-AF177)+INDEX(Models!$BJ177:$BT177,,AH177+1)*AF177-ERP_i)*AE177*Ramure*Pc/MaxiM</f>
        <v>1.1018241566177447E-4</v>
      </c>
      <c r="AE177" s="305">
        <f t="shared" si="65"/>
        <v>0.5</v>
      </c>
      <c r="AF177" s="177">
        <f t="shared" si="66"/>
        <v>0.25740943861339161</v>
      </c>
      <c r="AG177" s="811">
        <f t="shared" si="74"/>
        <v>1</v>
      </c>
      <c r="AH177" s="176">
        <f t="shared" si="67"/>
        <v>7</v>
      </c>
      <c r="AI177" s="225">
        <f t="shared" si="68"/>
        <v>1.2574094386133916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'2023'!Wh/'2023'!Env_an*'2024'!Env_an</f>
        <v>53.907031990956163</v>
      </c>
      <c r="C178" s="841"/>
      <c r="D178" s="393">
        <f t="shared" si="50"/>
        <v>56.563250828482182</v>
      </c>
      <c r="E178" s="385">
        <f t="shared" si="75"/>
        <v>57.100189614291416</v>
      </c>
      <c r="F178" s="385">
        <f t="shared" si="51"/>
        <v>57.10548208465238</v>
      </c>
      <c r="G178" s="110">
        <f t="shared" si="76"/>
        <v>0.8985630250692147</v>
      </c>
      <c r="H178" s="414" t="b">
        <f>Wh_hp&gt;='2023'!Maxi_hp</f>
        <v>0</v>
      </c>
      <c r="I178" s="390">
        <f>IF(H178,Wh_hp,'2023'!Maxi_hp)</f>
        <v>66.115436428019962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4.6960151664205529E-2</v>
      </c>
      <c r="M178" s="845"/>
      <c r="N178" s="845"/>
      <c r="O178" s="48">
        <f>IF(t&lt;Tnet,'2023'!Resal+('2023'!Salim-'2023'!Resal)*(1-EXP(('2023'!Tnet-t)/('2023'!Tau_j))),Resal+(Salim-Resal)*(1-EXP((Tnet-t)/(Tau_j))))*Salcycl</f>
        <v>9.4034501362643772E-3</v>
      </c>
      <c r="P178" s="169">
        <f>(INDEX(Models!$BJ178:$BT178,,T178)*(1-R178)+INDEX(Models!$BJ178:$BT178,,T178+1)*R178-ERP_i)*Q178*Ramure*Pc/MaxiM</f>
        <v>1.0838234605040039E-4</v>
      </c>
      <c r="Q178" s="305">
        <f t="shared" si="53"/>
        <v>0.5</v>
      </c>
      <c r="R178" s="177">
        <f t="shared" si="54"/>
        <v>0.26254154456665812</v>
      </c>
      <c r="S178" s="811">
        <f t="shared" si="55"/>
        <v>1</v>
      </c>
      <c r="T178" s="176">
        <f t="shared" si="56"/>
        <v>7</v>
      </c>
      <c r="U178" s="251">
        <f t="shared" si="57"/>
        <v>1.2625415445666581</v>
      </c>
      <c r="V178" s="383">
        <f t="shared" si="58"/>
        <v>59.991546368639668</v>
      </c>
      <c r="W178" s="402">
        <f t="shared" si="59"/>
        <v>53.907031990956163</v>
      </c>
      <c r="X178" s="157">
        <f t="shared" si="60"/>
        <v>45455</v>
      </c>
      <c r="Y178" s="385">
        <f t="shared" si="61"/>
        <v>50.244171160413877</v>
      </c>
      <c r="Z178" s="385">
        <f t="shared" si="62"/>
        <v>52.719905939033545</v>
      </c>
      <c r="AA178" s="386">
        <f t="shared" si="63"/>
        <v>57.100189614291416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7.6712243949563802E-2</v>
      </c>
      <c r="AD178" s="231">
        <f>(INDEX(Models!$BJ178:$BT178,,AH178)*(1-AF178)+INDEX(Models!$BJ178:$BT178,,AH178+1)*AF178-ERP_i)*AE178*Ramure*Pc/MaxiM</f>
        <v>1.0838234605040039E-4</v>
      </c>
      <c r="AE178" s="305">
        <f t="shared" si="65"/>
        <v>0.5</v>
      </c>
      <c r="AF178" s="177">
        <f t="shared" si="66"/>
        <v>0.26254154456665812</v>
      </c>
      <c r="AG178" s="811">
        <f t="shared" si="74"/>
        <v>1</v>
      </c>
      <c r="AH178" s="176">
        <f t="shared" si="67"/>
        <v>7</v>
      </c>
      <c r="AI178" s="225">
        <f t="shared" si="68"/>
        <v>1.2625415445666581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'2023'!Wh/'2023'!Env_an*'2024'!Env_an</f>
        <v>49.165314022597087</v>
      </c>
      <c r="C179" s="841"/>
      <c r="D179" s="393">
        <f t="shared" si="50"/>
        <v>51.589019051611103</v>
      </c>
      <c r="E179" s="385">
        <f t="shared" si="75"/>
        <v>52.084043918880731</v>
      </c>
      <c r="F179" s="385">
        <f t="shared" si="51"/>
        <v>52.088182622782774</v>
      </c>
      <c r="G179" s="110">
        <f t="shared" si="76"/>
        <v>0.82024419004196059</v>
      </c>
      <c r="H179" s="414" t="b">
        <f>Wh_hp&gt;='2023'!Maxi_hp</f>
        <v>0</v>
      </c>
      <c r="I179" s="390">
        <f>IF(H179,Wh_hp,'2023'!Maxi_hp)</f>
        <v>57.514759839675243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4.6981025682796385E-2</v>
      </c>
      <c r="M179" s="845"/>
      <c r="N179" s="845"/>
      <c r="O179" s="48">
        <f>IF(t&lt;Tnet,'2023'!Resal+('2023'!Salim-'2023'!Resal)*(1-EXP(('2023'!Tnet-t)/('2023'!Tau_j))),Resal+(Salim-Resal)*(1-EXP((Tnet-t)/(Tau_j))))*Salcycl</f>
        <v>9.5043477814551521E-3</v>
      </c>
      <c r="P179" s="169">
        <f>(INDEX(Models!$BJ179:$BT179,,T179)*(1-R179)+INDEX(Models!$BJ179:$BT179,,T179+1)*R179-ERP_i)*Q179*Ramure*Pc/MaxiM</f>
        <v>1.0690478781513419E-4</v>
      </c>
      <c r="Q179" s="305">
        <f t="shared" si="53"/>
        <v>0.5</v>
      </c>
      <c r="R179" s="177">
        <f t="shared" si="54"/>
        <v>0.26766068398448395</v>
      </c>
      <c r="S179" s="811">
        <f t="shared" si="55"/>
        <v>1</v>
      </c>
      <c r="T179" s="176">
        <f t="shared" si="56"/>
        <v>7</v>
      </c>
      <c r="U179" s="251">
        <f t="shared" si="57"/>
        <v>1.2676606839844839</v>
      </c>
      <c r="V179" s="383">
        <f t="shared" si="58"/>
        <v>59.938204951701884</v>
      </c>
      <c r="W179" s="402">
        <f t="shared" si="59"/>
        <v>49.165314022597087</v>
      </c>
      <c r="X179" s="157">
        <f t="shared" si="60"/>
        <v>45456</v>
      </c>
      <c r="Y179" s="385">
        <f t="shared" si="61"/>
        <v>45.825569184194109</v>
      </c>
      <c r="Z179" s="385">
        <f t="shared" si="62"/>
        <v>48.084634639122605</v>
      </c>
      <c r="AA179" s="386">
        <f t="shared" si="63"/>
        <v>52.084043918880731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7.6787610539363713E-2</v>
      </c>
      <c r="AD179" s="231">
        <f>(INDEX(Models!$BJ179:$BT179,,AH179)*(1-AF179)+INDEX(Models!$BJ179:$BT179,,AH179+1)*AF179-ERP_i)*AE179*Ramure*Pc/MaxiM</f>
        <v>1.0690478781513419E-4</v>
      </c>
      <c r="AE179" s="305">
        <f t="shared" si="65"/>
        <v>0.5</v>
      </c>
      <c r="AF179" s="177">
        <f t="shared" si="66"/>
        <v>0.26766068398448395</v>
      </c>
      <c r="AG179" s="811">
        <f t="shared" si="74"/>
        <v>1</v>
      </c>
      <c r="AH179" s="176">
        <f t="shared" si="67"/>
        <v>7</v>
      </c>
      <c r="AI179" s="225">
        <f t="shared" si="68"/>
        <v>1.2676606839844839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'2023'!Wh/'2023'!Env_an*'2024'!Env_an</f>
        <v>53.630389291943843</v>
      </c>
      <c r="C180" s="841"/>
      <c r="D180" s="393">
        <f t="shared" si="50"/>
        <v>56.275441944123969</v>
      </c>
      <c r="E180" s="385">
        <f t="shared" si="75"/>
        <v>56.8212164264907</v>
      </c>
      <c r="F180" s="385">
        <f t="shared" si="51"/>
        <v>56.826330566021994</v>
      </c>
      <c r="G180" s="110">
        <f t="shared" si="76"/>
        <v>0.89561091093434531</v>
      </c>
      <c r="H180" s="414" t="b">
        <f>Wh_hp&gt;='2023'!Maxi_hp</f>
        <v>0</v>
      </c>
      <c r="I180" s="390">
        <f>IF(H180,Wh_hp,'2023'!Maxi_hp)</f>
        <v>56.826713041719522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4.7001899244192624E-2</v>
      </c>
      <c r="M180" s="845"/>
      <c r="N180" s="845"/>
      <c r="O180" s="48">
        <f>IF(t&lt;Tnet,'2023'!Resal+('2023'!Salim-'2023'!Resal)*(1-EXP(('2023'!Tnet-t)/('2023'!Tau_j))),Resal+(Salim-Resal)*(1-EXP((Tnet-t)/(Tau_j))))*Salcycl</f>
        <v>9.6051178888927197E-3</v>
      </c>
      <c r="P180" s="169">
        <f>(INDEX(Models!$BJ180:$BT180,,T180)*(1-R180)+INDEX(Models!$BJ180:$BT180,,T180+1)*R180-ERP_i)*Q180*Ramure*Pc/MaxiM</f>
        <v>1.0576648095736827E-4</v>
      </c>
      <c r="Q180" s="305">
        <f t="shared" si="53"/>
        <v>0.5</v>
      </c>
      <c r="R180" s="177">
        <f t="shared" si="54"/>
        <v>0.2727626025316241</v>
      </c>
      <c r="S180" s="811">
        <f t="shared" si="55"/>
        <v>1</v>
      </c>
      <c r="T180" s="176">
        <f t="shared" si="56"/>
        <v>7</v>
      </c>
      <c r="U180" s="251">
        <f t="shared" si="57"/>
        <v>1.2727626025316241</v>
      </c>
      <c r="V180" s="383">
        <f t="shared" si="58"/>
        <v>59.880404293073845</v>
      </c>
      <c r="W180" s="402">
        <f t="shared" si="59"/>
        <v>53.630389291943843</v>
      </c>
      <c r="X180" s="157">
        <f t="shared" si="60"/>
        <v>45457</v>
      </c>
      <c r="Y180" s="385">
        <f t="shared" si="61"/>
        <v>49.988403203322925</v>
      </c>
      <c r="Z180" s="385">
        <f t="shared" si="62"/>
        <v>52.453832975824326</v>
      </c>
      <c r="AA180" s="386">
        <f t="shared" si="63"/>
        <v>56.8212164264907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7.6861843609357272E-2</v>
      </c>
      <c r="AD180" s="231">
        <f>(INDEX(Models!$BJ180:$BT180,,AH180)*(1-AF180)+INDEX(Models!$BJ180:$BT180,,AH180+1)*AF180-ERP_i)*AE180*Ramure*Pc/MaxiM</f>
        <v>1.0576648095736827E-4</v>
      </c>
      <c r="AE180" s="305">
        <f t="shared" si="65"/>
        <v>0.5</v>
      </c>
      <c r="AF180" s="177">
        <f t="shared" si="66"/>
        <v>0.2727626025316241</v>
      </c>
      <c r="AG180" s="811">
        <f t="shared" si="74"/>
        <v>1</v>
      </c>
      <c r="AH180" s="176">
        <f t="shared" si="67"/>
        <v>7</v>
      </c>
      <c r="AI180" s="225">
        <f t="shared" si="68"/>
        <v>1.2727626025316241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'2023'!Wh/'2023'!Env_an*'2024'!Env_an</f>
        <v>51.540989568903406</v>
      </c>
      <c r="C181" s="841"/>
      <c r="D181" s="393">
        <f t="shared" si="50"/>
        <v>54.084177536870342</v>
      </c>
      <c r="E181" s="385">
        <f t="shared" si="75"/>
        <v>54.614249910585578</v>
      </c>
      <c r="F181" s="385">
        <f t="shared" si="51"/>
        <v>54.618850499517578</v>
      </c>
      <c r="G181" s="110">
        <f t="shared" si="76"/>
        <v>0.86160428719578641</v>
      </c>
      <c r="H181" s="414" t="b">
        <f>Wh_hp&gt;='2023'!Maxi_hp</f>
        <v>0</v>
      </c>
      <c r="I181" s="390">
        <f>IF(H181,Wh_hp,'2023'!Maxi_hp)</f>
        <v>64.761857489550721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4.7022772348404351E-2</v>
      </c>
      <c r="M181" s="845"/>
      <c r="N181" s="845"/>
      <c r="O181" s="48">
        <f>IF(t&lt;Tnet,'2023'!Resal+('2023'!Salim-'2023'!Resal)*(1-EXP(('2023'!Tnet-t)/('2023'!Tau_j))),Resal+(Salim-Resal)*(1-EXP((Tnet-t)/(Tau_j))))*Salcycl</f>
        <v>9.7057521541185771E-3</v>
      </c>
      <c r="P181" s="169">
        <f>(INDEX(Models!$BJ181:$BT181,,T181)*(1-R181)+INDEX(Models!$BJ181:$BT181,,T181+1)*R181-ERP_i)*Q181*Ramure*Pc/MaxiM</f>
        <v>1.0498437592578338E-4</v>
      </c>
      <c r="Q181" s="305">
        <f t="shared" si="53"/>
        <v>0.5</v>
      </c>
      <c r="R181" s="177">
        <f t="shared" si="54"/>
        <v>0.277843103401896</v>
      </c>
      <c r="S181" s="811">
        <f t="shared" si="55"/>
        <v>1</v>
      </c>
      <c r="T181" s="176">
        <f t="shared" si="56"/>
        <v>7</v>
      </c>
      <c r="U181" s="251">
        <f t="shared" si="57"/>
        <v>1.277843103401896</v>
      </c>
      <c r="V181" s="383">
        <f t="shared" si="58"/>
        <v>59.818550794577597</v>
      </c>
      <c r="W181" s="402">
        <f t="shared" si="59"/>
        <v>51.540989568903406</v>
      </c>
      <c r="X181" s="157">
        <f t="shared" si="60"/>
        <v>45458</v>
      </c>
      <c r="Y181" s="385">
        <f t="shared" si="61"/>
        <v>48.041971645036966</v>
      </c>
      <c r="Z181" s="385">
        <f t="shared" si="62"/>
        <v>50.41250750915205</v>
      </c>
      <c r="AA181" s="386">
        <f t="shared" si="63"/>
        <v>54.614249910585578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7.6934909997164069E-2</v>
      </c>
      <c r="AD181" s="231">
        <f>(INDEX(Models!$BJ181:$BT181,,AH181)*(1-AF181)+INDEX(Models!$BJ181:$BT181,,AH181+1)*AF181-ERP_i)*AE181*Ramure*Pc/MaxiM</f>
        <v>1.0498437592578338E-4</v>
      </c>
      <c r="AE181" s="305">
        <f t="shared" si="65"/>
        <v>0.5</v>
      </c>
      <c r="AF181" s="177">
        <f t="shared" si="66"/>
        <v>0.277843103401896</v>
      </c>
      <c r="AG181" s="811">
        <f t="shared" si="74"/>
        <v>1</v>
      </c>
      <c r="AH181" s="176">
        <f t="shared" si="67"/>
        <v>7</v>
      </c>
      <c r="AI181" s="225">
        <f t="shared" si="68"/>
        <v>1.277843103401896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'2023'!Wh/'2023'!Env_an*'2024'!Env_an</f>
        <v>51.611007344134428</v>
      </c>
      <c r="C182" s="841"/>
      <c r="D182" s="393">
        <f t="shared" si="50"/>
        <v>54.158836417946489</v>
      </c>
      <c r="E182" s="385">
        <f t="shared" si="75"/>
        <v>54.695190726005102</v>
      </c>
      <c r="F182" s="385">
        <f t="shared" si="51"/>
        <v>54.699797485571416</v>
      </c>
      <c r="G182" s="110">
        <f t="shared" si="76"/>
        <v>0.86372086575696827</v>
      </c>
      <c r="H182" s="414" t="b">
        <f>Wh_hp&gt;='2023'!Maxi_hp</f>
        <v>0</v>
      </c>
      <c r="I182" s="390">
        <f>IF(H182,Wh_hp,'2023'!Maxi_hp)</f>
        <v>62.682408537874828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4.7043644995441447E-2</v>
      </c>
      <c r="M182" s="845"/>
      <c r="N182" s="845"/>
      <c r="O182" s="48">
        <f>IF(t&lt;Tnet,'2023'!Resal+('2023'!Salim-'2023'!Resal)*(1-EXP(('2023'!Tnet-t)/('2023'!Tau_j))),Resal+(Salim-Resal)*(1-EXP((Tnet-t)/(Tau_j))))*Salcycl</f>
        <v>9.8062425770753647E-3</v>
      </c>
      <c r="P182" s="169">
        <f>(INDEX(Models!$BJ182:$BT182,,T182)*(1-R182)+INDEX(Models!$BJ182:$BT182,,T182+1)*R182-ERP_i)*Q182*Ramure*Pc/MaxiM</f>
        <v>1.0457556287838832E-4</v>
      </c>
      <c r="Q182" s="305">
        <f t="shared" si="53"/>
        <v>0.5</v>
      </c>
      <c r="R182" s="177">
        <f t="shared" si="54"/>
        <v>0.28289806093155567</v>
      </c>
      <c r="S182" s="811">
        <f t="shared" si="55"/>
        <v>1</v>
      </c>
      <c r="T182" s="176">
        <f t="shared" si="56"/>
        <v>7</v>
      </c>
      <c r="U182" s="251">
        <f t="shared" si="57"/>
        <v>1.2828980609315557</v>
      </c>
      <c r="V182" s="383">
        <f t="shared" si="58"/>
        <v>59.75305064000063</v>
      </c>
      <c r="W182" s="402">
        <f t="shared" si="59"/>
        <v>51.611007344134428</v>
      </c>
      <c r="X182" s="157">
        <f t="shared" si="60"/>
        <v>45459</v>
      </c>
      <c r="Y182" s="385">
        <f t="shared" si="61"/>
        <v>48.108372221375966</v>
      </c>
      <c r="Z182" s="385">
        <f t="shared" si="62"/>
        <v>50.483290203931567</v>
      </c>
      <c r="AA182" s="386">
        <f t="shared" si="63"/>
        <v>54.695190726005102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7.7006780050790924E-2</v>
      </c>
      <c r="AD182" s="231">
        <f>(INDEX(Models!$BJ182:$BT182,,AH182)*(1-AF182)+INDEX(Models!$BJ182:$BT182,,AH182+1)*AF182-ERP_i)*AE182*Ramure*Pc/MaxiM</f>
        <v>1.0457556287838832E-4</v>
      </c>
      <c r="AE182" s="305">
        <f t="shared" si="65"/>
        <v>0.5</v>
      </c>
      <c r="AF182" s="177">
        <f t="shared" si="66"/>
        <v>0.28289806093155567</v>
      </c>
      <c r="AG182" s="811">
        <f t="shared" si="74"/>
        <v>1</v>
      </c>
      <c r="AH182" s="176">
        <f t="shared" si="67"/>
        <v>7</v>
      </c>
      <c r="AI182" s="225">
        <f t="shared" si="68"/>
        <v>1.2828980609315557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'2023'!Wh/'2023'!Env_an*'2024'!Env_an</f>
        <v>54.991683794875897</v>
      </c>
      <c r="C183" s="841"/>
      <c r="D183" s="393">
        <f t="shared" si="50"/>
        <v>57.70766729395671</v>
      </c>
      <c r="E183" s="385">
        <f t="shared" si="75"/>
        <v>58.285073120790251</v>
      </c>
      <c r="F183" s="385">
        <f t="shared" si="51"/>
        <v>58.290483253960545</v>
      </c>
      <c r="G183" s="110">
        <f t="shared" si="76"/>
        <v>0.92136506403519736</v>
      </c>
      <c r="H183" s="414" t="b">
        <f>Wh_hp&gt;='2023'!Maxi_hp</f>
        <v>0</v>
      </c>
      <c r="I183" s="390">
        <f>IF(H183,Wh_hp,'2023'!Maxi_hp)</f>
        <v>60.904385564297691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4.7064517185314125E-2</v>
      </c>
      <c r="M183" s="845"/>
      <c r="N183" s="845"/>
      <c r="O183" s="48">
        <f>IF(t&lt;Tnet,'2023'!Resal+('2023'!Salim-'2023'!Resal)*(1-EXP(('2023'!Tnet-t)/('2023'!Tau_j))),Resal+(Salim-Resal)*(1-EXP((Tnet-t)/(Tau_j))))*Salcycl</f>
        <v>9.9065814953499653E-3</v>
      </c>
      <c r="P183" s="169">
        <f>(INDEX(Models!$BJ183:$BT183,,T183)*(1-R183)+INDEX(Models!$BJ183:$BT183,,T183+1)*R183-ERP_i)*Q183*Ramure*Pc/MaxiM</f>
        <v>1.0455719999606437E-4</v>
      </c>
      <c r="Q183" s="305">
        <f t="shared" si="53"/>
        <v>0.5</v>
      </c>
      <c r="R183" s="177">
        <f t="shared" si="54"/>
        <v>0.28792343371382767</v>
      </c>
      <c r="S183" s="811">
        <f t="shared" si="55"/>
        <v>1</v>
      </c>
      <c r="T183" s="176">
        <f t="shared" si="56"/>
        <v>7</v>
      </c>
      <c r="U183" s="251">
        <f t="shared" si="57"/>
        <v>1.2879234337138277</v>
      </c>
      <c r="V183" s="383">
        <f t="shared" si="58"/>
        <v>59.684309798179036</v>
      </c>
      <c r="W183" s="402">
        <f t="shared" si="59"/>
        <v>54.991683794875897</v>
      </c>
      <c r="X183" s="157">
        <f t="shared" si="60"/>
        <v>45460</v>
      </c>
      <c r="Y183" s="385">
        <f t="shared" si="61"/>
        <v>51.260886410705133</v>
      </c>
      <c r="Z183" s="385">
        <f t="shared" si="62"/>
        <v>53.79260961014468</v>
      </c>
      <c r="AA183" s="386">
        <f t="shared" si="63"/>
        <v>58.285073120790251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7.7077427720393735E-2</v>
      </c>
      <c r="AD183" s="231">
        <f>(INDEX(Models!$BJ183:$BT183,,AH183)*(1-AF183)+INDEX(Models!$BJ183:$BT183,,AH183+1)*AF183-ERP_i)*AE183*Ramure*Pc/MaxiM</f>
        <v>1.0455719999606437E-4</v>
      </c>
      <c r="AE183" s="305">
        <f t="shared" si="65"/>
        <v>0.5</v>
      </c>
      <c r="AF183" s="177">
        <f t="shared" si="66"/>
        <v>0.28792343371382767</v>
      </c>
      <c r="AG183" s="811">
        <f t="shared" si="74"/>
        <v>1</v>
      </c>
      <c r="AH183" s="176">
        <f t="shared" si="67"/>
        <v>7</v>
      </c>
      <c r="AI183" s="225">
        <f t="shared" si="68"/>
        <v>1.2879234337138277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'2023'!Wh/'2023'!Env_an*'2024'!Env_an</f>
        <v>56.113449537760893</v>
      </c>
      <c r="C184" s="841"/>
      <c r="D184" s="393">
        <f t="shared" si="50"/>
        <v>58.886125666651282</v>
      </c>
      <c r="E184" s="385">
        <f t="shared" si="75"/>
        <v>59.481341269298198</v>
      </c>
      <c r="F184" s="385">
        <f t="shared" si="51"/>
        <v>59.487063227237783</v>
      </c>
      <c r="G184" s="110">
        <f t="shared" si="76"/>
        <v>0.94129147001816194</v>
      </c>
      <c r="H184" s="414" t="b">
        <f>Wh_hp&gt;='2023'!Maxi_hp</f>
        <v>0</v>
      </c>
      <c r="I184" s="390">
        <f>IF(H184,Wh_hp,'2023'!Maxi_hp)</f>
        <v>59.487278705048723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4.7085388918032156E-2</v>
      </c>
      <c r="M184" s="845"/>
      <c r="N184" s="845"/>
      <c r="O184" s="48">
        <f>IF(t&lt;Tnet,'2023'!Resal+('2023'!Salim-'2023'!Resal)*(1-EXP(('2023'!Tnet-t)/('2023'!Tau_j))),Resal+(Salim-Resal)*(1-EXP((Tnet-t)/(Tau_j))))*Salcycl</f>
        <v>1.0006761615413359E-2</v>
      </c>
      <c r="P184" s="169">
        <f>(INDEX(Models!$BJ184:$BT184,,T184)*(1-R184)+INDEX(Models!$BJ184:$BT184,,T184+1)*R184-ERP_i)*Q184*Ramure*Pc/MaxiM</f>
        <v>1.0499269794630859E-4</v>
      </c>
      <c r="Q184" s="305">
        <f t="shared" si="53"/>
        <v>0.5</v>
      </c>
      <c r="R184" s="177">
        <f t="shared" si="54"/>
        <v>0.29291527712824017</v>
      </c>
      <c r="S184" s="811">
        <f t="shared" si="55"/>
        <v>1</v>
      </c>
      <c r="T184" s="176">
        <f t="shared" si="56"/>
        <v>7</v>
      </c>
      <c r="U184" s="251">
        <f t="shared" si="57"/>
        <v>1.2929152771282402</v>
      </c>
      <c r="V184" s="383">
        <f t="shared" si="58"/>
        <v>59.612731264371945</v>
      </c>
      <c r="W184" s="402">
        <f t="shared" si="59"/>
        <v>56.113449537760893</v>
      </c>
      <c r="X184" s="157">
        <f t="shared" si="60"/>
        <v>45461</v>
      </c>
      <c r="Y184" s="385">
        <f t="shared" si="61"/>
        <v>52.307907511246164</v>
      </c>
      <c r="Z184" s="385">
        <f t="shared" si="62"/>
        <v>54.892544308722684</v>
      </c>
      <c r="AA184" s="386">
        <f t="shared" si="63"/>
        <v>59.481341269298198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7.7146830630466401E-2</v>
      </c>
      <c r="AD184" s="231">
        <f>(INDEX(Models!$BJ184:$BT184,,AH184)*(1-AF184)+INDEX(Models!$BJ184:$BT184,,AH184+1)*AF184-ERP_i)*AE184*Ramure*Pc/MaxiM</f>
        <v>1.0499269794630859E-4</v>
      </c>
      <c r="AE184" s="305">
        <f t="shared" si="65"/>
        <v>0.5</v>
      </c>
      <c r="AF184" s="177">
        <f t="shared" si="66"/>
        <v>0.29291527712824017</v>
      </c>
      <c r="AG184" s="811">
        <f t="shared" si="74"/>
        <v>1</v>
      </c>
      <c r="AH184" s="176">
        <f t="shared" si="67"/>
        <v>7</v>
      </c>
      <c r="AI184" s="225">
        <f t="shared" si="68"/>
        <v>1.2929152771282402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'2023'!Wh/'2023'!Env_an*'2024'!Env_an</f>
        <v>31.249710130461263</v>
      </c>
      <c r="C185" s="841"/>
      <c r="D185" s="393">
        <f t="shared" si="50"/>
        <v>32.794538178842977</v>
      </c>
      <c r="E185" s="385">
        <f t="shared" si="75"/>
        <v>33.129369294704631</v>
      </c>
      <c r="F185" s="385">
        <f t="shared" si="51"/>
        <v>33.130492146675053</v>
      </c>
      <c r="G185" s="110">
        <f t="shared" si="76"/>
        <v>0.52482585344054733</v>
      </c>
      <c r="H185" s="414" t="b">
        <f>Wh_hp&gt;='2023'!Maxi_hp</f>
        <v>0</v>
      </c>
      <c r="I185" s="390">
        <f>IF(H185,Wh_hp,'2023'!Maxi_hp)</f>
        <v>58.208712843769881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4.7106260193605753E-2</v>
      </c>
      <c r="M185" s="845"/>
      <c r="N185" s="845"/>
      <c r="O185" s="48">
        <f>IF(t&lt;Tnet,'2023'!Resal+('2023'!Salim-'2023'!Resal)*(1-EXP(('2023'!Tnet-t)/('2023'!Tau_j))),Resal+(Salim-Resal)*(1-EXP((Tnet-t)/(Tau_j))))*Salcycl</f>
        <v>1.0106776041618498E-2</v>
      </c>
      <c r="P185" s="169">
        <f>(INDEX(Models!$BJ185:$BT185,,T185)*(1-R185)+INDEX(Models!$BJ185:$BT185,,T185+1)*R185-ERP_i)*Q185*Ramure*Pc/MaxiM</f>
        <v>1.0550518518100879E-4</v>
      </c>
      <c r="Q185" s="305">
        <f t="shared" si="53"/>
        <v>0.5</v>
      </c>
      <c r="R185" s="177">
        <f t="shared" si="54"/>
        <v>0.29786975520532244</v>
      </c>
      <c r="S185" s="811">
        <f t="shared" si="55"/>
        <v>1</v>
      </c>
      <c r="T185" s="176">
        <f t="shared" si="56"/>
        <v>7</v>
      </c>
      <c r="U185" s="251">
        <f t="shared" si="57"/>
        <v>1.2978697552053224</v>
      </c>
      <c r="V185" s="383">
        <f t="shared" si="58"/>
        <v>59.538744046615143</v>
      </c>
      <c r="W185" s="402">
        <f t="shared" si="59"/>
        <v>31.249710130461263</v>
      </c>
      <c r="X185" s="157">
        <f t="shared" si="60"/>
        <v>45462</v>
      </c>
      <c r="Y185" s="385">
        <f t="shared" si="61"/>
        <v>29.131187079748841</v>
      </c>
      <c r="Z185" s="385">
        <f t="shared" si="62"/>
        <v>30.571286034125503</v>
      </c>
      <c r="AA185" s="386">
        <f t="shared" si="63"/>
        <v>33.129369294704631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7.7214970131894739E-2</v>
      </c>
      <c r="AD185" s="231">
        <f>(INDEX(Models!$BJ185:$BT185,,AH185)*(1-AF185)+INDEX(Models!$BJ185:$BT185,,AH185+1)*AF185-ERP_i)*AE185*Ramure*Pc/MaxiM</f>
        <v>1.0550518518100879E-4</v>
      </c>
      <c r="AE185" s="305">
        <f t="shared" si="65"/>
        <v>0.5</v>
      </c>
      <c r="AF185" s="177">
        <f t="shared" si="66"/>
        <v>0.29786975520532244</v>
      </c>
      <c r="AG185" s="811">
        <f t="shared" si="74"/>
        <v>1</v>
      </c>
      <c r="AH185" s="176">
        <f t="shared" si="67"/>
        <v>7</v>
      </c>
      <c r="AI185" s="225">
        <f t="shared" si="68"/>
        <v>1.2978697552053224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'2023'!Wh/'2023'!Env_an*'2024'!Env_an</f>
        <v>23.337068350434663</v>
      </c>
      <c r="C186" s="841"/>
      <c r="D186" s="393">
        <f t="shared" si="50"/>
        <v>24.491271721505647</v>
      </c>
      <c r="E186" s="385">
        <f t="shared" si="75"/>
        <v>24.743822472836488</v>
      </c>
      <c r="F186" s="385">
        <f t="shared" si="51"/>
        <v>24.74416925607656</v>
      </c>
      <c r="G186" s="110">
        <f t="shared" si="76"/>
        <v>0.39242917148196849</v>
      </c>
      <c r="H186" s="414" t="b">
        <f>Wh_hp&gt;='2023'!Maxi_hp</f>
        <v>0</v>
      </c>
      <c r="I186" s="390">
        <f>IF(H186,Wh_hp,'2023'!Maxi_hp)</f>
        <v>54.428674381419142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4.7127131012044798E-2</v>
      </c>
      <c r="M186" s="845"/>
      <c r="N186" s="845"/>
      <c r="O186" s="48">
        <f>IF(t&lt;Tnet,'2023'!Resal+('2023'!Salim-'2023'!Resal)*(1-EXP(('2023'!Tnet-t)/('2023'!Tau_j))),Resal+(Salim-Resal)*(1-EXP((Tnet-t)/(Tau_j))))*Salcycl</f>
        <v>1.0206618302733558E-2</v>
      </c>
      <c r="P186" s="169">
        <f>(INDEX(Models!$BJ186:$BT186,,T186)*(1-R186)+INDEX(Models!$BJ186:$BT186,,T186+1)*R186-ERP_i)*Q186*Ramure*Pc/MaxiM</f>
        <v>1.0609732312667335E-4</v>
      </c>
      <c r="Q186" s="305">
        <f t="shared" si="53"/>
        <v>0.5</v>
      </c>
      <c r="R186" s="177">
        <f t="shared" si="54"/>
        <v>0.3027831517549493</v>
      </c>
      <c r="S186" s="811">
        <f t="shared" si="55"/>
        <v>1</v>
      </c>
      <c r="T186" s="176">
        <f t="shared" si="56"/>
        <v>7</v>
      </c>
      <c r="U186" s="251">
        <f t="shared" si="57"/>
        <v>1.3027831517549493</v>
      </c>
      <c r="V186" s="383">
        <f t="shared" si="58"/>
        <v>59.462754246307881</v>
      </c>
      <c r="W186" s="402">
        <f t="shared" si="59"/>
        <v>23.337068350434663</v>
      </c>
      <c r="X186" s="157">
        <f t="shared" si="60"/>
        <v>45463</v>
      </c>
      <c r="Y186" s="385">
        <f t="shared" si="61"/>
        <v>21.755587952541926</v>
      </c>
      <c r="Z186" s="385">
        <f t="shared" si="62"/>
        <v>22.831574557945494</v>
      </c>
      <c r="AA186" s="386">
        <f t="shared" si="63"/>
        <v>24.743822472836488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7.7281831333466749E-2</v>
      </c>
      <c r="AD186" s="231">
        <f>(INDEX(Models!$BJ186:$BT186,,AH186)*(1-AF186)+INDEX(Models!$BJ186:$BT186,,AH186+1)*AF186-ERP_i)*AE186*Ramure*Pc/MaxiM</f>
        <v>1.0609732312667335E-4</v>
      </c>
      <c r="AE186" s="305">
        <f t="shared" si="65"/>
        <v>0.5</v>
      </c>
      <c r="AF186" s="177">
        <f t="shared" si="66"/>
        <v>0.3027831517549493</v>
      </c>
      <c r="AG186" s="811">
        <f t="shared" si="74"/>
        <v>1</v>
      </c>
      <c r="AH186" s="176">
        <f t="shared" si="67"/>
        <v>7</v>
      </c>
      <c r="AI186" s="225">
        <f t="shared" si="68"/>
        <v>1.3027831517549493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'2023'!Wh/'2023'!Env_an*'2024'!Env_an</f>
        <v>39.034301667397038</v>
      </c>
      <c r="C187" s="841"/>
      <c r="D187" s="393">
        <f t="shared" si="50"/>
        <v>40.965755147344751</v>
      </c>
      <c r="E187" s="385">
        <f t="shared" si="75"/>
        <v>41.392356461234257</v>
      </c>
      <c r="F187" s="385">
        <f t="shared" si="51"/>
        <v>41.39461248689431</v>
      </c>
      <c r="G187" s="110">
        <f t="shared" si="76"/>
        <v>0.65727289609061668</v>
      </c>
      <c r="H187" s="414" t="b">
        <f>Wh_hp&gt;='2023'!Maxi_hp</f>
        <v>0</v>
      </c>
      <c r="I187" s="390">
        <f>IF(H187,Wh_hp,'2023'!Maxi_hp)</f>
        <v>63.004166310746122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4.7148001373359394E-2</v>
      </c>
      <c r="M187" s="845"/>
      <c r="N187" s="845"/>
      <c r="O187" s="48">
        <f>IF(t&lt;Tnet,'2023'!Resal+('2023'!Salim-'2023'!Resal)*(1-EXP(('2023'!Tnet-t)/('2023'!Tau_j))),Resal+(Salim-Resal)*(1-EXP((Tnet-t)/(Tau_j))))*Salcycl</f>
        <v>1.0306282375806148E-2</v>
      </c>
      <c r="P187" s="169">
        <f>(INDEX(Models!$BJ187:$BT187,,T187)*(1-R187)+INDEX(Models!$BJ187:$BT187,,T187+1)*R187-ERP_i)*Q187*Ramure*Pc/MaxiM</f>
        <v>1.0677176395222761E-4</v>
      </c>
      <c r="Q187" s="305">
        <f t="shared" si="53"/>
        <v>0.5</v>
      </c>
      <c r="R187" s="177">
        <f t="shared" si="54"/>
        <v>0.30765188069503679</v>
      </c>
      <c r="S187" s="811">
        <f t="shared" si="55"/>
        <v>1</v>
      </c>
      <c r="T187" s="176">
        <f t="shared" si="56"/>
        <v>7</v>
      </c>
      <c r="U187" s="251">
        <f t="shared" si="57"/>
        <v>1.3076518806950368</v>
      </c>
      <c r="V187" s="383">
        <f t="shared" si="58"/>
        <v>59.385167735846785</v>
      </c>
      <c r="W187" s="402">
        <f t="shared" si="59"/>
        <v>39.034301667397038</v>
      </c>
      <c r="X187" s="157">
        <f t="shared" si="60"/>
        <v>45464</v>
      </c>
      <c r="Y187" s="385">
        <f t="shared" si="61"/>
        <v>36.390146931079308</v>
      </c>
      <c r="Z187" s="385">
        <f t="shared" si="62"/>
        <v>38.190765180247254</v>
      </c>
      <c r="AA187" s="386">
        <f t="shared" si="63"/>
        <v>41.392356461234257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7.7347403112587587E-2</v>
      </c>
      <c r="AD187" s="231">
        <f>(INDEX(Models!$BJ187:$BT187,,AH187)*(1-AF187)+INDEX(Models!$BJ187:$BT187,,AH187+1)*AF187-ERP_i)*AE187*Ramure*Pc/MaxiM</f>
        <v>1.0677176395222761E-4</v>
      </c>
      <c r="AE187" s="305">
        <f t="shared" si="65"/>
        <v>0.5</v>
      </c>
      <c r="AF187" s="177">
        <f t="shared" si="66"/>
        <v>0.30765188069503679</v>
      </c>
      <c r="AG187" s="811">
        <f t="shared" si="74"/>
        <v>1</v>
      </c>
      <c r="AH187" s="176">
        <f t="shared" si="67"/>
        <v>7</v>
      </c>
      <c r="AI187" s="225">
        <f t="shared" si="68"/>
        <v>1.3076518806950368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'2023'!Wh/'2023'!Env_an*'2024'!Env_an</f>
        <v>41.690609714075123</v>
      </c>
      <c r="C188" s="841"/>
      <c r="D188" s="393">
        <f t="shared" si="50"/>
        <v>43.75445811680612</v>
      </c>
      <c r="E188" s="385">
        <f t="shared" si="75"/>
        <v>44.214544171662332</v>
      </c>
      <c r="F188" s="385">
        <f t="shared" si="51"/>
        <v>44.217281308114991</v>
      </c>
      <c r="G188" s="110">
        <f t="shared" si="76"/>
        <v>0.70293786517258805</v>
      </c>
      <c r="H188" s="414" t="b">
        <f>Wh_hp&gt;='2023'!Maxi_hp</f>
        <v>0</v>
      </c>
      <c r="I188" s="390">
        <f>IF(H188,Wh_hp,'2023'!Maxi_hp)</f>
        <v>55.386626209177535</v>
      </c>
      <c r="J188" s="85">
        <f>IF(H188,An,'2023'!An_max)</f>
        <v>2019</v>
      </c>
      <c r="K188" s="197">
        <f t="shared" si="52"/>
        <v>45465</v>
      </c>
      <c r="L188" s="147">
        <f>IF(t&lt;Tvie,1-EXP((T0-t)*PertePVj)+'2023'!Pspv,1-EXP((T0-t)*PertePVj)+Pspv)</f>
        <v>4.7168871277559532E-2</v>
      </c>
      <c r="M188" s="845"/>
      <c r="N188" s="845"/>
      <c r="O188" s="48">
        <f>IF(t&lt;Tnet,'2023'!Resal+('2023'!Salim-'2023'!Resal)*(1-EXP(('2023'!Tnet-t)/('2023'!Tau_j))),Resal+(Salim-Resal)*(1-EXP((Tnet-t)/(Tau_j))))*Salcycl</f>
        <v>1.0405762707174766E-2</v>
      </c>
      <c r="P188" s="169">
        <f>(INDEX(Models!$BJ188:$BT188,,T188)*(1-R188)+INDEX(Models!$BJ188:$BT188,,T188+1)*R188-ERP_i)*Q188*Ramure*Pc/MaxiM</f>
        <v>1.0753003789458726E-4</v>
      </c>
      <c r="Q188" s="305">
        <f t="shared" si="53"/>
        <v>0.5</v>
      </c>
      <c r="R188" s="177">
        <f t="shared" si="54"/>
        <v>0.31247249552625878</v>
      </c>
      <c r="S188" s="811">
        <f t="shared" si="55"/>
        <v>1</v>
      </c>
      <c r="T188" s="176">
        <f t="shared" si="56"/>
        <v>7</v>
      </c>
      <c r="U188" s="251">
        <f t="shared" si="57"/>
        <v>1.3124724955262588</v>
      </c>
      <c r="V188" s="383">
        <f t="shared" si="58"/>
        <v>59.306390222357109</v>
      </c>
      <c r="W188" s="402">
        <f t="shared" si="59"/>
        <v>41.690609714075123</v>
      </c>
      <c r="X188" s="157">
        <f t="shared" si="60"/>
        <v>45465</v>
      </c>
      <c r="Y188" s="385">
        <f t="shared" si="61"/>
        <v>38.867717904365655</v>
      </c>
      <c r="Z188" s="385">
        <f t="shared" si="62"/>
        <v>40.791822110681494</v>
      </c>
      <c r="AA188" s="386">
        <f t="shared" si="63"/>
        <v>44.214544171662332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7.741167810510885E-2</v>
      </c>
      <c r="AD188" s="231">
        <f>(INDEX(Models!$BJ188:$BT188,,AH188)*(1-AF188)+INDEX(Models!$BJ188:$BT188,,AH188+1)*AF188-ERP_i)*AE188*Ramure*Pc/MaxiM</f>
        <v>1.0753003789458726E-4</v>
      </c>
      <c r="AE188" s="305">
        <f t="shared" si="65"/>
        <v>0.5</v>
      </c>
      <c r="AF188" s="177">
        <f t="shared" si="66"/>
        <v>0.31247249552625878</v>
      </c>
      <c r="AG188" s="811">
        <f t="shared" si="74"/>
        <v>1</v>
      </c>
      <c r="AH188" s="176">
        <f t="shared" si="67"/>
        <v>7</v>
      </c>
      <c r="AI188" s="225">
        <f t="shared" si="68"/>
        <v>1.3124724955262588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'2023'!Wh/'2023'!Env_an*'2024'!Env_an</f>
        <v>39.844430872158838</v>
      </c>
      <c r="C189" s="841"/>
      <c r="D189" s="393">
        <f t="shared" si="50"/>
        <v>41.817802111474251</v>
      </c>
      <c r="E189" s="385">
        <f t="shared" si="75"/>
        <v>42.26176423665548</v>
      </c>
      <c r="F189" s="385">
        <f t="shared" si="51"/>
        <v>42.264203211824153</v>
      </c>
      <c r="G189" s="110">
        <f t="shared" si="76"/>
        <v>0.67270887024702397</v>
      </c>
      <c r="H189" s="414" t="b">
        <f>Wh_hp&gt;='2023'!Maxi_hp</f>
        <v>0</v>
      </c>
      <c r="I189" s="390">
        <f>IF(H189,Wh_hp,'2023'!Maxi_hp)</f>
        <v>62.031075143124923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4.7189740724655205E-2</v>
      </c>
      <c r="M189" s="845"/>
      <c r="N189" s="845"/>
      <c r="O189" s="48">
        <f>IF(t&lt;Tnet,'2023'!Resal+('2023'!Salim-'2023'!Resal)*(1-EXP(('2023'!Tnet-t)/('2023'!Tau_j))),Resal+(Salim-Resal)*(1-EXP((Tnet-t)/(Tau_j))))*Salcycl</f>
        <v>1.0505054230465886E-2</v>
      </c>
      <c r="P189" s="169">
        <f>(INDEX(Models!$BJ189:$BT189,,T189)*(1-R189)+INDEX(Models!$BJ189:$BT189,,T189+1)*R189-ERP_i)*Q189*Ramure*Pc/MaxiM</f>
        <v>1.0837354667876649E-4</v>
      </c>
      <c r="Q189" s="305">
        <f t="shared" si="53"/>
        <v>0.5</v>
      </c>
      <c r="R189" s="177">
        <f t="shared" si="54"/>
        <v>0.31724169790780099</v>
      </c>
      <c r="S189" s="811">
        <f t="shared" si="55"/>
        <v>1</v>
      </c>
      <c r="T189" s="176">
        <f t="shared" si="56"/>
        <v>7</v>
      </c>
      <c r="U189" s="251">
        <f t="shared" si="57"/>
        <v>1.317241697907801</v>
      </c>
      <c r="V189" s="383">
        <f t="shared" si="58"/>
        <v>59.226827192139389</v>
      </c>
      <c r="W189" s="402">
        <f t="shared" si="59"/>
        <v>39.844430872158838</v>
      </c>
      <c r="X189" s="157">
        <f t="shared" si="60"/>
        <v>45466</v>
      </c>
      <c r="Y189" s="385">
        <f t="shared" si="61"/>
        <v>37.147736414909112</v>
      </c>
      <c r="Z189" s="385">
        <f t="shared" si="62"/>
        <v>38.9875487310156</v>
      </c>
      <c r="AA189" s="386">
        <f t="shared" si="63"/>
        <v>42.26176423665548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7.7474652674343614E-2</v>
      </c>
      <c r="AD189" s="231">
        <f>(INDEX(Models!$BJ189:$BT189,,AH189)*(1-AF189)+INDEX(Models!$BJ189:$BT189,,AH189+1)*AF189-ERP_i)*AE189*Ramure*Pc/MaxiM</f>
        <v>1.0837354667876649E-4</v>
      </c>
      <c r="AE189" s="305">
        <f t="shared" si="65"/>
        <v>0.5</v>
      </c>
      <c r="AF189" s="177">
        <f t="shared" si="66"/>
        <v>0.31724169790780099</v>
      </c>
      <c r="AG189" s="811">
        <f t="shared" si="74"/>
        <v>1</v>
      </c>
      <c r="AH189" s="176">
        <f t="shared" si="67"/>
        <v>7</v>
      </c>
      <c r="AI189" s="225">
        <f t="shared" si="68"/>
        <v>1.317241697907801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'2023'!Wh/'2023'!Env_an*'2024'!Env_an</f>
        <v>35.063910836957533</v>
      </c>
      <c r="C190" s="841"/>
      <c r="D190" s="393">
        <f t="shared" si="50"/>
        <v>36.801323770467796</v>
      </c>
      <c r="E190" s="385">
        <f t="shared" si="75"/>
        <v>37.19575320540028</v>
      </c>
      <c r="F190" s="385">
        <f t="shared" si="51"/>
        <v>37.197454055771381</v>
      </c>
      <c r="G190" s="110">
        <f t="shared" si="76"/>
        <v>0.59279000181692443</v>
      </c>
      <c r="H190" s="414" t="b">
        <f>Wh_hp&gt;='2023'!Maxi_hp</f>
        <v>0</v>
      </c>
      <c r="I190" s="390">
        <f>IF(H190,Wh_hp,'2023'!Maxi_hp)</f>
        <v>59.517932616441065</v>
      </c>
      <c r="J190" s="85">
        <f>IF(H190,An,'2023'!An_max)</f>
        <v>2021</v>
      </c>
      <c r="K190" s="197">
        <f t="shared" si="52"/>
        <v>45467</v>
      </c>
      <c r="L190" s="147">
        <f>IF(t&lt;Tvie,1-EXP((T0-t)*PertePVj)+'2023'!Pspv,1-EXP((T0-t)*PertePVj)+Pspv)</f>
        <v>4.7210609714656404E-2</v>
      </c>
      <c r="M190" s="845"/>
      <c r="N190" s="845"/>
      <c r="O190" s="48">
        <f>IF(t&lt;Tnet,'2023'!Resal+('2023'!Salim-'2023'!Resal)*(1-EXP(('2023'!Tnet-t)/('2023'!Tau_j))),Resal+(Salim-Resal)*(1-EXP((Tnet-t)/(Tau_j))))*Salcycl</f>
        <v>1.060415238143955E-2</v>
      </c>
      <c r="P190" s="169">
        <f>(INDEX(Models!$BJ190:$BT190,,T190)*(1-R190)+INDEX(Models!$BJ190:$BT190,,T190+1)*R190-ERP_i)*Q190*Ramure*Pc/MaxiM</f>
        <v>1.0930468665049395E-4</v>
      </c>
      <c r="Q190" s="305">
        <f t="shared" si="53"/>
        <v>0.5</v>
      </c>
      <c r="R190" s="177">
        <f t="shared" si="54"/>
        <v>0.32195634529877704</v>
      </c>
      <c r="S190" s="811">
        <f t="shared" si="55"/>
        <v>1</v>
      </c>
      <c r="T190" s="176">
        <f t="shared" si="56"/>
        <v>7</v>
      </c>
      <c r="U190" s="251">
        <f t="shared" si="57"/>
        <v>1.321956345298777</v>
      </c>
      <c r="V190" s="383">
        <f t="shared" si="58"/>
        <v>59.146883840914072</v>
      </c>
      <c r="W190" s="402">
        <f t="shared" si="59"/>
        <v>35.063910836957533</v>
      </c>
      <c r="X190" s="157">
        <f t="shared" si="60"/>
        <v>45467</v>
      </c>
      <c r="Y190" s="385">
        <f t="shared" si="61"/>
        <v>32.69185338020614</v>
      </c>
      <c r="Z190" s="385">
        <f t="shared" si="62"/>
        <v>34.311731127080989</v>
      </c>
      <c r="AA190" s="386">
        <f t="shared" si="63"/>
        <v>37.19575320540028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7.7536326859502083E-2</v>
      </c>
      <c r="AD190" s="231">
        <f>(INDEX(Models!$BJ190:$BT190,,AH190)*(1-AF190)+INDEX(Models!$BJ190:$BT190,,AH190+1)*AF190-ERP_i)*AE190*Ramure*Pc/MaxiM</f>
        <v>1.0930468665049395E-4</v>
      </c>
      <c r="AE190" s="305">
        <f t="shared" si="65"/>
        <v>0.5</v>
      </c>
      <c r="AF190" s="177">
        <f t="shared" si="66"/>
        <v>0.32195634529877704</v>
      </c>
      <c r="AG190" s="811">
        <f t="shared" si="74"/>
        <v>1</v>
      </c>
      <c r="AH190" s="176">
        <f t="shared" si="67"/>
        <v>7</v>
      </c>
      <c r="AI190" s="225">
        <f t="shared" si="68"/>
        <v>1.321956345298777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'2023'!Wh/'2023'!Env_an*'2024'!Env_an</f>
        <v>11.764656534815073</v>
      </c>
      <c r="C191" s="841"/>
      <c r="D191" s="393">
        <f t="shared" si="50"/>
        <v>12.347864424798946</v>
      </c>
      <c r="E191" s="385">
        <f t="shared" si="75"/>
        <v>12.481454090817648</v>
      </c>
      <c r="F191" s="385">
        <f t="shared" si="51"/>
        <v>12.481454090817648</v>
      </c>
      <c r="G191" s="110">
        <f t="shared" si="76"/>
        <v>0.19915633176720574</v>
      </c>
      <c r="H191" s="414" t="b">
        <f>Wh_hp&gt;='2023'!Maxi_hp</f>
        <v>0</v>
      </c>
      <c r="I191" s="390">
        <f>IF(H191,Wh_hp,'2023'!Maxi_hp)</f>
        <v>61.557220620707511</v>
      </c>
      <c r="J191" s="85">
        <f>IF(H191,An,'2023'!An_max)</f>
        <v>2019</v>
      </c>
      <c r="K191" s="197">
        <f t="shared" si="52"/>
        <v>45468</v>
      </c>
      <c r="L191" s="147">
        <f>IF(t&lt;Tvie,1-EXP((T0-t)*PertePVj)+'2023'!Pspv,1-EXP((T0-t)*PertePVj)+Pspv)</f>
        <v>4.7231478247573122E-2</v>
      </c>
      <c r="M191" s="845"/>
      <c r="N191" s="845"/>
      <c r="O191" s="48">
        <f>IF(t&lt;Tnet,'2023'!Resal+('2023'!Salim-'2023'!Resal)*(1-EXP(('2023'!Tnet-t)/('2023'!Tau_j))),Resal+(Salim-Resal)*(1-EXP((Tnet-t)/(Tau_j))))*Salcycl</f>
        <v>1.0703053109571741E-2</v>
      </c>
      <c r="P191" s="169">
        <f>(INDEX(Models!$BJ191:$BT191,,T191)*(1-R191)+INDEX(Models!$BJ191:$BT191,,T191+1)*R191-ERP_i)*Q191*Ramure*Pc/MaxiM</f>
        <v>1.1032766895849337E-4</v>
      </c>
      <c r="Q191" s="305">
        <f t="shared" si="53"/>
        <v>0.5</v>
      </c>
      <c r="R191" s="177">
        <f t="shared" si="54"/>
        <v>0.32661345763960936</v>
      </c>
      <c r="S191" s="811">
        <f t="shared" si="55"/>
        <v>1</v>
      </c>
      <c r="T191" s="176">
        <f t="shared" si="56"/>
        <v>7</v>
      </c>
      <c r="U191" s="251">
        <f t="shared" si="57"/>
        <v>1.3266134576396094</v>
      </c>
      <c r="V191" s="383">
        <f t="shared" si="58"/>
        <v>59.065953180106284</v>
      </c>
      <c r="W191" s="402">
        <f t="shared" si="59"/>
        <v>11.764656534815073</v>
      </c>
      <c r="X191" s="157">
        <f t="shared" si="60"/>
        <v>45468</v>
      </c>
      <c r="Y191" s="385">
        <f t="shared" si="61"/>
        <v>10.969161478315447</v>
      </c>
      <c r="Z191" s="385">
        <f t="shared" si="62"/>
        <v>11.512934388449223</v>
      </c>
      <c r="AA191" s="386">
        <f t="shared" si="63"/>
        <v>12.481454090817648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7.7596704303943678E-2</v>
      </c>
      <c r="AD191" s="231">
        <f>(INDEX(Models!$BJ191:$BT191,,AH191)*(1-AF191)+INDEX(Models!$BJ191:$BT191,,AH191+1)*AF191-ERP_i)*AE191*Ramure*Pc/MaxiM</f>
        <v>1.1032766895849337E-4</v>
      </c>
      <c r="AE191" s="305">
        <f t="shared" si="65"/>
        <v>0.5</v>
      </c>
      <c r="AF191" s="177">
        <f t="shared" si="66"/>
        <v>0.32661345763960936</v>
      </c>
      <c r="AG191" s="811">
        <f t="shared" si="74"/>
        <v>1</v>
      </c>
      <c r="AH191" s="176">
        <f t="shared" si="67"/>
        <v>7</v>
      </c>
      <c r="AI191" s="225">
        <f t="shared" si="68"/>
        <v>1.3266134576396094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'2023'!Wh/'2023'!Env_an*'2024'!Env_an</f>
        <v>12.841745105771782</v>
      </c>
      <c r="C192" s="841"/>
      <c r="D192" s="393">
        <f t="shared" si="50"/>
        <v>13.478642593572824</v>
      </c>
      <c r="E192" s="385">
        <f t="shared" si="75"/>
        <v>13.625825392332521</v>
      </c>
      <c r="F192" s="385">
        <f t="shared" si="51"/>
        <v>13.625825392332521</v>
      </c>
      <c r="G192" s="110">
        <f t="shared" si="76"/>
        <v>0.2176945796065119</v>
      </c>
      <c r="H192" s="414" t="b">
        <f>Wh_hp&gt;='2023'!Maxi_hp</f>
        <v>0</v>
      </c>
      <c r="I192" s="390">
        <f>IF(H192,Wh_hp,'2023'!Maxi_hp)</f>
        <v>61.321800192772599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4.7252346323415462E-2</v>
      </c>
      <c r="M192" s="845"/>
      <c r="N192" s="845"/>
      <c r="O192" s="48">
        <f>IF(t&lt;Tnet,'2023'!Resal+('2023'!Salim-'2023'!Resal)*(1-EXP(('2023'!Tnet-t)/('2023'!Tau_j))),Resal+(Salim-Resal)*(1-EXP((Tnet-t)/(Tau_j))))*Salcycl</f>
        <v>1.0801752886288934E-2</v>
      </c>
      <c r="P192" s="169">
        <f>(INDEX(Models!$BJ192:$BT192,,T192)*(1-R192)+INDEX(Models!$BJ192:$BT192,,T192+1)*R192-ERP_i)*Q192*Ramure*Pc/MaxiM</f>
        <v>1.1187922278964244E-4</v>
      </c>
      <c r="Q192" s="305">
        <f t="shared" si="53"/>
        <v>0.5</v>
      </c>
      <c r="R192" s="177">
        <f t="shared" si="54"/>
        <v>0.33121022305732639</v>
      </c>
      <c r="S192" s="811">
        <f t="shared" si="55"/>
        <v>1</v>
      </c>
      <c r="T192" s="176">
        <f t="shared" si="56"/>
        <v>7</v>
      </c>
      <c r="U192" s="251">
        <f t="shared" si="57"/>
        <v>1.3312102230573264</v>
      </c>
      <c r="V192" s="383">
        <f t="shared" si="58"/>
        <v>58.983133179150563</v>
      </c>
      <c r="W192" s="402">
        <f t="shared" si="59"/>
        <v>12.841745105771782</v>
      </c>
      <c r="X192" s="157">
        <f t="shared" si="60"/>
        <v>45469</v>
      </c>
      <c r="Y192" s="385">
        <f t="shared" si="61"/>
        <v>11.973847761434534</v>
      </c>
      <c r="Z192" s="385">
        <f t="shared" si="62"/>
        <v>12.56770112760532</v>
      </c>
      <c r="AA192" s="386">
        <f t="shared" si="63"/>
        <v>13.625825392332521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7.7655792163799947E-2</v>
      </c>
      <c r="AD192" s="231">
        <f>(INDEX(Models!$BJ192:$BT192,,AH192)*(1-AF192)+INDEX(Models!$BJ192:$BT192,,AH192+1)*AF192-ERP_i)*AE192*Ramure*Pc/MaxiM</f>
        <v>1.1187922278964244E-4</v>
      </c>
      <c r="AE192" s="305">
        <f t="shared" si="65"/>
        <v>0.5</v>
      </c>
      <c r="AF192" s="177">
        <f t="shared" si="66"/>
        <v>0.33121022305732639</v>
      </c>
      <c r="AG192" s="811">
        <f t="shared" si="74"/>
        <v>1</v>
      </c>
      <c r="AH192" s="176">
        <f t="shared" si="67"/>
        <v>7</v>
      </c>
      <c r="AI192" s="225">
        <f t="shared" si="68"/>
        <v>1.3312102230573264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'2023'!Wh/'2023'!Env_an*'2024'!Env_an</f>
        <v>58.296102990137598</v>
      </c>
      <c r="C193" s="841"/>
      <c r="D193" s="393">
        <f t="shared" si="50"/>
        <v>61.188688974889899</v>
      </c>
      <c r="E193" s="385">
        <f t="shared" si="75"/>
        <v>61.863011182718552</v>
      </c>
      <c r="F193" s="385">
        <f t="shared" si="51"/>
        <v>61.86995679106959</v>
      </c>
      <c r="G193" s="110">
        <f t="shared" si="76"/>
        <v>0.98977186900504255</v>
      </c>
      <c r="H193" s="414" t="b">
        <f>Wh_hp&gt;='2023'!Maxi_hp</f>
        <v>0</v>
      </c>
      <c r="I193" s="390">
        <f>IF(H193,Wh_hp,'2023'!Maxi_hp)</f>
        <v>61.869999951616521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4.7273213942193415E-2</v>
      </c>
      <c r="M193" s="845"/>
      <c r="N193" s="845"/>
      <c r="O193" s="48">
        <f>IF(t&lt;Tnet,'2023'!Resal+('2023'!Salim-'2023'!Resal)*(1-EXP(('2023'!Tnet-t)/('2023'!Tau_j))),Resal+(Salim-Resal)*(1-EXP((Tnet-t)/(Tau_j))))*Salcycl</f>
        <v>1.0900248709798064E-2</v>
      </c>
      <c r="P193" s="169">
        <f>(INDEX(Models!$BJ193:$BT193,,T193)*(1-R193)+INDEX(Models!$BJ193:$BT193,,T193+1)*R193-ERP_i)*Q193*Ramure*Pc/MaxiM</f>
        <v>1.1392577774749506E-4</v>
      </c>
      <c r="Q193" s="305">
        <f t="shared" si="53"/>
        <v>0.5</v>
      </c>
      <c r="R193" s="177">
        <f t="shared" si="54"/>
        <v>0.33574400258815595</v>
      </c>
      <c r="S193" s="811">
        <f t="shared" si="55"/>
        <v>1</v>
      </c>
      <c r="T193" s="176">
        <f t="shared" si="56"/>
        <v>7</v>
      </c>
      <c r="U193" s="251">
        <f t="shared" si="57"/>
        <v>1.335744002588156</v>
      </c>
      <c r="V193" s="383">
        <f t="shared" si="58"/>
        <v>58.898426777344632</v>
      </c>
      <c r="W193" s="402">
        <f t="shared" si="59"/>
        <v>58.296102990137598</v>
      </c>
      <c r="X193" s="157">
        <f t="shared" si="60"/>
        <v>45470</v>
      </c>
      <c r="Y193" s="385">
        <f t="shared" si="61"/>
        <v>54.35822103130598</v>
      </c>
      <c r="Z193" s="385">
        <f t="shared" si="62"/>
        <v>57.05541381514994</v>
      </c>
      <c r="AA193" s="386">
        <f t="shared" si="63"/>
        <v>61.863011182718552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7.7713600997676879E-2</v>
      </c>
      <c r="AD193" s="231">
        <f>(INDEX(Models!$BJ193:$BT193,,AH193)*(1-AF193)+INDEX(Models!$BJ193:$BT193,,AH193+1)*AF193-ERP_i)*AE193*Ramure*Pc/MaxiM</f>
        <v>1.1392577774749506E-4</v>
      </c>
      <c r="AE193" s="305">
        <f t="shared" si="65"/>
        <v>0.5</v>
      </c>
      <c r="AF193" s="177">
        <f t="shared" si="66"/>
        <v>0.33574400258815595</v>
      </c>
      <c r="AG193" s="811">
        <f t="shared" si="74"/>
        <v>1</v>
      </c>
      <c r="AH193" s="176">
        <f t="shared" si="67"/>
        <v>7</v>
      </c>
      <c r="AI193" s="225">
        <f t="shared" si="68"/>
        <v>1.335744002588156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'2023'!Wh/'2023'!Env_an*'2024'!Env_an</f>
        <v>55.345158088901819</v>
      </c>
      <c r="C194" s="841"/>
      <c r="D194" s="393">
        <f t="shared" si="50"/>
        <v>58.092593938149577</v>
      </c>
      <c r="E194" s="385">
        <f t="shared" si="75"/>
        <v>58.738633031873398</v>
      </c>
      <c r="F194" s="385">
        <f t="shared" si="51"/>
        <v>58.74489960644614</v>
      </c>
      <c r="G194" s="110">
        <f t="shared" si="76"/>
        <v>0.94104555886429986</v>
      </c>
      <c r="H194" s="414" t="b">
        <f>Wh_hp&gt;='2023'!Maxi_hp</f>
        <v>0</v>
      </c>
      <c r="I194" s="390">
        <f>IF(H194,Wh_hp,'2023'!Maxi_hp)</f>
        <v>58.745144461778843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4.7294081103916863E-2</v>
      </c>
      <c r="M194" s="845"/>
      <c r="N194" s="845"/>
      <c r="O194" s="48">
        <f>IF(t&lt;Tnet,'2023'!Resal+('2023'!Salim-'2023'!Resal)*(1-EXP(('2023'!Tnet-t)/('2023'!Tau_j))),Resal+(Salim-Resal)*(1-EXP((Tnet-t)/(Tau_j))))*Salcycl</f>
        <v>1.0998538106483699E-2</v>
      </c>
      <c r="P194" s="169">
        <f>(INDEX(Models!$BJ194:$BT194,,T194)*(1-R194)+INDEX(Models!$BJ194:$BT194,,T194+1)*R194-ERP_i)*Q194*Ramure*Pc/MaxiM</f>
        <v>1.1648310435189779E-4</v>
      </c>
      <c r="Q194" s="305">
        <f t="shared" si="53"/>
        <v>0.5</v>
      </c>
      <c r="R194" s="177">
        <f t="shared" si="54"/>
        <v>0.34021233391992833</v>
      </c>
      <c r="S194" s="811">
        <f t="shared" si="55"/>
        <v>1</v>
      </c>
      <c r="T194" s="176">
        <f t="shared" si="56"/>
        <v>7</v>
      </c>
      <c r="U194" s="251">
        <f t="shared" si="57"/>
        <v>1.3402123339199283</v>
      </c>
      <c r="V194" s="383">
        <f t="shared" si="58"/>
        <v>58.811833968246169</v>
      </c>
      <c r="W194" s="402">
        <f t="shared" si="59"/>
        <v>55.345158088901819</v>
      </c>
      <c r="X194" s="157">
        <f t="shared" si="60"/>
        <v>45471</v>
      </c>
      <c r="Y194" s="385">
        <f t="shared" si="61"/>
        <v>51.608576029379201</v>
      </c>
      <c r="Z194" s="385">
        <f t="shared" si="62"/>
        <v>54.170521045128964</v>
      </c>
      <c r="AA194" s="386">
        <f t="shared" si="63"/>
        <v>58.738633031873398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7.7770144638293404E-2</v>
      </c>
      <c r="AD194" s="231">
        <f>(INDEX(Models!$BJ194:$BT194,,AH194)*(1-AF194)+INDEX(Models!$BJ194:$BT194,,AH194+1)*AF194-ERP_i)*AE194*Ramure*Pc/MaxiM</f>
        <v>1.1648310435189779E-4</v>
      </c>
      <c r="AE194" s="305">
        <f t="shared" si="65"/>
        <v>0.5</v>
      </c>
      <c r="AF194" s="177">
        <f t="shared" si="66"/>
        <v>0.34021233391992833</v>
      </c>
      <c r="AG194" s="811">
        <f t="shared" si="74"/>
        <v>1</v>
      </c>
      <c r="AH194" s="176">
        <f t="shared" si="67"/>
        <v>7</v>
      </c>
      <c r="AI194" s="225">
        <f t="shared" si="68"/>
        <v>1.3402123339199283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'2023'!Wh/'2023'!Env_an*'2024'!Env_an</f>
        <v>13.760352536284181</v>
      </c>
      <c r="C195" s="841"/>
      <c r="D195" s="393">
        <f t="shared" si="50"/>
        <v>14.443758201760458</v>
      </c>
      <c r="E195" s="385">
        <f t="shared" si="75"/>
        <v>14.605833573990751</v>
      </c>
      <c r="F195" s="385">
        <f t="shared" si="51"/>
        <v>14.605833573990751</v>
      </c>
      <c r="G195" s="110">
        <f t="shared" si="76"/>
        <v>0.23429702402777269</v>
      </c>
      <c r="H195" s="414" t="b">
        <f>Wh_hp&gt;='2023'!Maxi_hp</f>
        <v>0</v>
      </c>
      <c r="I195" s="390">
        <f>IF(H195,Wh_hp,'2023'!Maxi_hp)</f>
        <v>52.467807817786799</v>
      </c>
      <c r="J195" s="85">
        <f>IF(H195,An,'2023'!An_max)</f>
        <v>2019</v>
      </c>
      <c r="K195" s="197">
        <f t="shared" si="52"/>
        <v>45472</v>
      </c>
      <c r="L195" s="147">
        <f>IF(t&lt;Tvie,1-EXP((T0-t)*PertePVj)+'2023'!Pspv,1-EXP((T0-t)*PertePVj)+Pspv)</f>
        <v>4.731494780859602E-2</v>
      </c>
      <c r="M195" s="845"/>
      <c r="N195" s="845"/>
      <c r="O195" s="48">
        <f>IF(t&lt;Tnet,'2023'!Resal+('2023'!Salim-'2023'!Resal)*(1-EXP(('2023'!Tnet-t)/('2023'!Tau_j))),Resal+(Salim-Resal)*(1-EXP((Tnet-t)/(Tau_j))))*Salcycl</f>
        <v>1.1096619128873811E-2</v>
      </c>
      <c r="P195" s="169">
        <f>(INDEX(Models!$BJ195:$BT195,,T195)*(1-R195)+INDEX(Models!$BJ195:$BT195,,T195+1)*R195-ERP_i)*Q195*Ramure*Pc/MaxiM</f>
        <v>1.1956653319979719E-4</v>
      </c>
      <c r="Q195" s="305">
        <f t="shared" si="53"/>
        <v>0.5</v>
      </c>
      <c r="R195" s="177">
        <f t="shared" si="54"/>
        <v>0.34461293416548378</v>
      </c>
      <c r="S195" s="811">
        <f t="shared" si="55"/>
        <v>1</v>
      </c>
      <c r="T195" s="176">
        <f t="shared" si="56"/>
        <v>7</v>
      </c>
      <c r="U195" s="251">
        <f t="shared" si="57"/>
        <v>1.3446129341654838</v>
      </c>
      <c r="V195" s="383">
        <f t="shared" si="58"/>
        <v>58.723354749076556</v>
      </c>
      <c r="W195" s="402">
        <f t="shared" si="59"/>
        <v>13.760352536284181</v>
      </c>
      <c r="X195" s="157">
        <f t="shared" si="60"/>
        <v>45472</v>
      </c>
      <c r="Y195" s="385">
        <f t="shared" si="61"/>
        <v>12.831837053451194</v>
      </c>
      <c r="Z195" s="385">
        <f t="shared" si="62"/>
        <v>13.469128148840893</v>
      </c>
      <c r="AA195" s="386">
        <f t="shared" si="63"/>
        <v>14.605833573990751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7.7825440047053551E-2</v>
      </c>
      <c r="AD195" s="231">
        <f>(INDEX(Models!$BJ195:$BT195,,AH195)*(1-AF195)+INDEX(Models!$BJ195:$BT195,,AH195+1)*AF195-ERP_i)*AE195*Ramure*Pc/MaxiM</f>
        <v>1.1956653319979719E-4</v>
      </c>
      <c r="AE195" s="305">
        <f t="shared" si="65"/>
        <v>0.5</v>
      </c>
      <c r="AF195" s="177">
        <f t="shared" si="66"/>
        <v>0.34461293416548378</v>
      </c>
      <c r="AG195" s="811">
        <f t="shared" si="74"/>
        <v>1</v>
      </c>
      <c r="AH195" s="176">
        <f t="shared" si="67"/>
        <v>7</v>
      </c>
      <c r="AI195" s="225">
        <f t="shared" si="68"/>
        <v>1.3446129341654838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'2023'!Wh/'2023'!Env_an*'2024'!Env_an</f>
        <v>49.534557993383252</v>
      </c>
      <c r="C196" s="841"/>
      <c r="D196" s="393">
        <f t="shared" si="50"/>
        <v>51.995822582867135</v>
      </c>
      <c r="E196" s="385">
        <f t="shared" si="75"/>
        <v>52.584479025892996</v>
      </c>
      <c r="F196" s="385">
        <f t="shared" si="51"/>
        <v>52.589521413138094</v>
      </c>
      <c r="G196" s="110">
        <f t="shared" si="76"/>
        <v>0.84480095365471386</v>
      </c>
      <c r="H196" s="414" t="b">
        <f>Wh_hp&gt;='2023'!Maxi_hp</f>
        <v>0</v>
      </c>
      <c r="I196" s="390">
        <f>IF(H196,Wh_hp,'2023'!Maxi_hp)</f>
        <v>60.470455322225597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4.7335814056240766E-2</v>
      </c>
      <c r="M196" s="845"/>
      <c r="N196" s="845"/>
      <c r="O196" s="48">
        <f>IF(t&lt;Tnet,'2023'!Resal+('2023'!Salim-'2023'!Resal)*(1-EXP(('2023'!Tnet-t)/('2023'!Tau_j))),Resal+(Salim-Resal)*(1-EXP((Tnet-t)/(Tau_j))))*Salcycl</f>
        <v>1.1194490350203933E-2</v>
      </c>
      <c r="P196" s="169">
        <f>(INDEX(Models!$BJ196:$BT196,,T196)*(1-R196)+INDEX(Models!$BJ196:$BT196,,T196+1)*R196-ERP_i)*Q196*Ramure*Pc/MaxiM</f>
        <v>1.2319093883222254E-4</v>
      </c>
      <c r="Q196" s="305">
        <f t="shared" si="53"/>
        <v>0.5</v>
      </c>
      <c r="R196" s="177">
        <f t="shared" si="54"/>
        <v>0.34894370168642674</v>
      </c>
      <c r="S196" s="811">
        <f t="shared" si="55"/>
        <v>1</v>
      </c>
      <c r="T196" s="176">
        <f t="shared" si="56"/>
        <v>7</v>
      </c>
      <c r="U196" s="251">
        <f t="shared" si="57"/>
        <v>1.3489437016864267</v>
      </c>
      <c r="V196" s="383">
        <f t="shared" si="58"/>
        <v>58.632989122457744</v>
      </c>
      <c r="W196" s="402">
        <f t="shared" si="59"/>
        <v>49.534557993383252</v>
      </c>
      <c r="X196" s="157">
        <f t="shared" si="60"/>
        <v>45473</v>
      </c>
      <c r="Y196" s="385">
        <f t="shared" si="61"/>
        <v>46.193948743277019</v>
      </c>
      <c r="Z196" s="385">
        <f t="shared" si="62"/>
        <v>48.489225715475875</v>
      </c>
      <c r="AA196" s="386">
        <f t="shared" si="63"/>
        <v>52.584479025892996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7.7879507152682534E-2</v>
      </c>
      <c r="AD196" s="231">
        <f>(INDEX(Models!$BJ196:$BT196,,AH196)*(1-AF196)+INDEX(Models!$BJ196:$BT196,,AH196+1)*AF196-ERP_i)*AE196*Ramure*Pc/MaxiM</f>
        <v>1.2319093883222254E-4</v>
      </c>
      <c r="AE196" s="305">
        <f t="shared" si="65"/>
        <v>0.5</v>
      </c>
      <c r="AF196" s="177">
        <f t="shared" si="66"/>
        <v>0.34894370168642674</v>
      </c>
      <c r="AG196" s="811">
        <f t="shared" si="74"/>
        <v>1</v>
      </c>
      <c r="AH196" s="176">
        <f t="shared" si="67"/>
        <v>7</v>
      </c>
      <c r="AI196" s="225">
        <f t="shared" si="68"/>
        <v>1.3489437016864267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'2023'!Wh/'2023'!Env_an*'2024'!Env_an</f>
        <v>55.179244398275593</v>
      </c>
      <c r="C197" s="841"/>
      <c r="D197" s="393">
        <f t="shared" si="50"/>
        <v>57.922249839956308</v>
      </c>
      <c r="E197" s="385">
        <f t="shared" si="75"/>
        <v>58.583786798175936</v>
      </c>
      <c r="F197" s="385">
        <f t="shared" si="51"/>
        <v>58.590637357875622</v>
      </c>
      <c r="G197" s="110">
        <f t="shared" si="76"/>
        <v>0.94256872291802263</v>
      </c>
      <c r="H197" s="414" t="b">
        <f>Wh_hp&gt;='2023'!Maxi_hp</f>
        <v>0</v>
      </c>
      <c r="I197" s="390">
        <f>IF(H197,Wh_hp,'2023'!Maxi_hp)</f>
        <v>58.590912235340006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4.7356679846861094E-2</v>
      </c>
      <c r="M197" s="845"/>
      <c r="N197" s="845"/>
      <c r="O197" s="48">
        <f>IF(t&lt;Tnet,'2023'!Resal+('2023'!Salim-'2023'!Resal)*(1-EXP(('2023'!Tnet-t)/('2023'!Tau_j))),Resal+(Salim-Resal)*(1-EXP((Tnet-t)/(Tau_j))))*Salcycl</f>
        <v>1.1292150855639655E-2</v>
      </c>
      <c r="P197" s="169">
        <f>(INDEX(Models!$BJ197:$BT197,,T197)*(1-R197)+INDEX(Models!$BJ197:$BT197,,T197+1)*R197-ERP_i)*Q197*Ramure*Pc/MaxiM</f>
        <v>1.273707287612012E-4</v>
      </c>
      <c r="Q197" s="305">
        <f t="shared" si="53"/>
        <v>0.5</v>
      </c>
      <c r="R197" s="177">
        <f t="shared" si="54"/>
        <v>0.35320271699408723</v>
      </c>
      <c r="S197" s="811">
        <f t="shared" si="55"/>
        <v>1</v>
      </c>
      <c r="T197" s="176">
        <f t="shared" si="56"/>
        <v>7</v>
      </c>
      <c r="U197" s="251">
        <f t="shared" si="57"/>
        <v>1.3532027169940872</v>
      </c>
      <c r="V197" s="383">
        <f t="shared" si="58"/>
        <v>58.540737094276494</v>
      </c>
      <c r="W197" s="402">
        <f t="shared" si="59"/>
        <v>55.179244398275593</v>
      </c>
      <c r="X197" s="157">
        <f t="shared" si="60"/>
        <v>45474</v>
      </c>
      <c r="Y197" s="385">
        <f t="shared" si="61"/>
        <v>51.46009028313339</v>
      </c>
      <c r="Z197" s="385">
        <f t="shared" si="62"/>
        <v>54.018213527032444</v>
      </c>
      <c r="AA197" s="386">
        <f t="shared" si="63"/>
        <v>58.583786798175936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7.793236867517836E-2</v>
      </c>
      <c r="AD197" s="231">
        <f>(INDEX(Models!$BJ197:$BT197,,AH197)*(1-AF197)+INDEX(Models!$BJ197:$BT197,,AH197+1)*AF197-ERP_i)*AE197*Ramure*Pc/MaxiM</f>
        <v>1.273707287612012E-4</v>
      </c>
      <c r="AE197" s="305">
        <f t="shared" si="65"/>
        <v>0.5</v>
      </c>
      <c r="AF197" s="177">
        <f t="shared" si="66"/>
        <v>0.35320271699408723</v>
      </c>
      <c r="AG197" s="811">
        <f t="shared" si="74"/>
        <v>1</v>
      </c>
      <c r="AH197" s="176">
        <f t="shared" si="67"/>
        <v>7</v>
      </c>
      <c r="AI197" s="225">
        <f t="shared" si="68"/>
        <v>1.3532027169940872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'2023'!Wh/'2023'!Env_an*'2024'!Env_an</f>
        <v>45.978611494127762</v>
      </c>
      <c r="C198" s="841"/>
      <c r="D198" s="393">
        <f t="shared" si="50"/>
        <v>48.26530307102415</v>
      </c>
      <c r="E198" s="385">
        <f t="shared" si="75"/>
        <v>48.821358830804357</v>
      </c>
      <c r="F198" s="385">
        <f t="shared" si="51"/>
        <v>48.825878957995933</v>
      </c>
      <c r="G198" s="110">
        <f t="shared" si="76"/>
        <v>0.78664617302250239</v>
      </c>
      <c r="H198" s="414" t="b">
        <f>Wh_hp&gt;='2023'!Maxi_hp</f>
        <v>0</v>
      </c>
      <c r="I198" s="390">
        <f>IF(H198,Wh_hp,'2023'!Maxi_hp)</f>
        <v>53.763656051916264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4.7377545180467107E-2</v>
      </c>
      <c r="M198" s="845"/>
      <c r="N198" s="845"/>
      <c r="O198" s="48">
        <f>IF(t&lt;Tnet,'2023'!Resal+('2023'!Salim-'2023'!Resal)*(1-EXP(('2023'!Tnet-t)/('2023'!Tau_j))),Resal+(Salim-Resal)*(1-EXP((Tnet-t)/(Tau_j))))*Salcycl</f>
        <v>1.1389600230244996E-2</v>
      </c>
      <c r="P198" s="169">
        <f>(INDEX(Models!$BJ198:$BT198,,T198)*(1-R198)+INDEX(Models!$BJ198:$BT198,,T198+1)*R198-ERP_i)*Q198*Ramure*Pc/MaxiM</f>
        <v>1.3315479897168882E-4</v>
      </c>
      <c r="Q198" s="305">
        <f t="shared" si="53"/>
        <v>0.5</v>
      </c>
      <c r="R198" s="177">
        <f t="shared" si="54"/>
        <v>0.3573882427613837</v>
      </c>
      <c r="S198" s="811">
        <f t="shared" si="55"/>
        <v>1</v>
      </c>
      <c r="T198" s="176">
        <f t="shared" si="56"/>
        <v>7</v>
      </c>
      <c r="U198" s="251">
        <f t="shared" si="57"/>
        <v>1.3573882427613837</v>
      </c>
      <c r="V198" s="383">
        <f t="shared" si="58"/>
        <v>58.446538180187126</v>
      </c>
      <c r="W198" s="402">
        <f t="shared" si="59"/>
        <v>45.978611494127762</v>
      </c>
      <c r="X198" s="157">
        <f t="shared" si="60"/>
        <v>45475</v>
      </c>
      <c r="Y198" s="385">
        <f t="shared" si="61"/>
        <v>42.881415337361048</v>
      </c>
      <c r="Z198" s="385">
        <f t="shared" si="62"/>
        <v>45.014071545777924</v>
      </c>
      <c r="AA198" s="386">
        <f t="shared" si="63"/>
        <v>48.821358830804357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7.7984049936442729E-2</v>
      </c>
      <c r="AD198" s="231">
        <f>(INDEX(Models!$BJ198:$BT198,,AH198)*(1-AF198)+INDEX(Models!$BJ198:$BT198,,AH198+1)*AF198-ERP_i)*AE198*Ramure*Pc/MaxiM</f>
        <v>1.3315479897168882E-4</v>
      </c>
      <c r="AE198" s="305">
        <f t="shared" si="65"/>
        <v>0.5</v>
      </c>
      <c r="AF198" s="177">
        <f t="shared" si="66"/>
        <v>0.3573882427613837</v>
      </c>
      <c r="AG198" s="811">
        <f t="shared" si="74"/>
        <v>1</v>
      </c>
      <c r="AH198" s="176">
        <f t="shared" si="67"/>
        <v>7</v>
      </c>
      <c r="AI198" s="225">
        <f t="shared" si="68"/>
        <v>1.3573882427613837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'2023'!Wh/'2023'!Env_an*'2024'!Env_an</f>
        <v>43.632157013083344</v>
      </c>
      <c r="C199" s="841"/>
      <c r="D199" s="393">
        <f t="shared" si="50"/>
        <v>45.803153672772339</v>
      </c>
      <c r="E199" s="385">
        <f t="shared" si="75"/>
        <v>46.335400942258907</v>
      </c>
      <c r="F199" s="385">
        <f t="shared" si="51"/>
        <v>46.339565965679256</v>
      </c>
      <c r="G199" s="110">
        <f t="shared" si="76"/>
        <v>0.74772325751922175</v>
      </c>
      <c r="H199" s="414" t="b">
        <f>Wh_hp&gt;='2023'!Maxi_hp</f>
        <v>0</v>
      </c>
      <c r="I199" s="390">
        <f>IF(H199,Wh_hp,'2023'!Maxi_hp)</f>
        <v>58.995697367701958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4.7398410057068685E-2</v>
      </c>
      <c r="M199" s="845"/>
      <c r="N199" s="845"/>
      <c r="O199" s="48">
        <f>IF(t&lt;Tnet,'2023'!Resal+('2023'!Salim-'2023'!Resal)*(1-EXP(('2023'!Tnet-t)/('2023'!Tau_j))),Resal+(Salim-Resal)*(1-EXP((Tnet-t)/(Tau_j))))*Salcycl</f>
        <v>1.1486838543813051E-2</v>
      </c>
      <c r="P199" s="169">
        <f>(INDEX(Models!$BJ199:$BT199,,T199)*(1-R199)+INDEX(Models!$BJ199:$BT199,,T199+1)*R199-ERP_i)*Q199*Ramure*Pc/MaxiM</f>
        <v>1.4051320631934037E-4</v>
      </c>
      <c r="Q199" s="305">
        <f t="shared" si="53"/>
        <v>0.5</v>
      </c>
      <c r="R199" s="177">
        <f t="shared" si="54"/>
        <v>0.36149872298534103</v>
      </c>
      <c r="S199" s="811">
        <f t="shared" si="55"/>
        <v>1</v>
      </c>
      <c r="T199" s="176">
        <f t="shared" si="56"/>
        <v>7</v>
      </c>
      <c r="U199" s="251">
        <f t="shared" si="57"/>
        <v>1.361498722985341</v>
      </c>
      <c r="V199" s="383">
        <f t="shared" si="58"/>
        <v>58.350395231947786</v>
      </c>
      <c r="W199" s="402">
        <f t="shared" si="59"/>
        <v>43.632157013083344</v>
      </c>
      <c r="X199" s="157">
        <f t="shared" si="60"/>
        <v>45476</v>
      </c>
      <c r="Y199" s="385">
        <f t="shared" si="61"/>
        <v>40.694794559257581</v>
      </c>
      <c r="Z199" s="385">
        <f t="shared" si="62"/>
        <v>42.719637452731455</v>
      </c>
      <c r="AA199" s="386">
        <f t="shared" si="63"/>
        <v>46.335400942258907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7.8034578659052889E-2</v>
      </c>
      <c r="AD199" s="231">
        <f>(INDEX(Models!$BJ199:$BT199,,AH199)*(1-AF199)+INDEX(Models!$BJ199:$BT199,,AH199+1)*AF199-ERP_i)*AE199*Ramure*Pc/MaxiM</f>
        <v>1.4051320631934037E-4</v>
      </c>
      <c r="AE199" s="305">
        <f t="shared" si="65"/>
        <v>0.5</v>
      </c>
      <c r="AF199" s="177">
        <f t="shared" si="66"/>
        <v>0.36149872298534103</v>
      </c>
      <c r="AG199" s="811">
        <f t="shared" si="74"/>
        <v>1</v>
      </c>
      <c r="AH199" s="176">
        <f t="shared" si="67"/>
        <v>7</v>
      </c>
      <c r="AI199" s="225">
        <f t="shared" si="68"/>
        <v>1.361498722985341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'2023'!Wh/'2023'!Env_an*'2024'!Env_an</f>
        <v>54.666960524589655</v>
      </c>
      <c r="C200" s="841"/>
      <c r="D200" s="393">
        <f t="shared" si="50"/>
        <v>57.388270683890852</v>
      </c>
      <c r="E200" s="385">
        <f t="shared" si="75"/>
        <v>58.060839690024501</v>
      </c>
      <c r="F200" s="385">
        <f t="shared" si="51"/>
        <v>58.068755962495061</v>
      </c>
      <c r="G200" s="110">
        <f t="shared" si="76"/>
        <v>0.93843907334682386</v>
      </c>
      <c r="H200" s="414" t="b">
        <f>Wh_hp&gt;='2023'!Maxi_hp</f>
        <v>0</v>
      </c>
      <c r="I200" s="390">
        <f>IF(H200,Wh_hp,'2023'!Maxi_hp)</f>
        <v>61.322232788721351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4.7419274476675932E-2</v>
      </c>
      <c r="M200" s="845"/>
      <c r="N200" s="845"/>
      <c r="O200" s="48">
        <f>IF(t&lt;Tnet,'2023'!Resal+('2023'!Salim-'2023'!Resal)*(1-EXP(('2023'!Tnet-t)/('2023'!Tau_j))),Resal+(Salim-Resal)*(1-EXP((Tnet-t)/(Tau_j))))*Salcycl</f>
        <v>1.1583866332701453E-2</v>
      </c>
      <c r="P200" s="169">
        <f>(INDEX(Models!$BJ200:$BT200,,T200)*(1-R200)+INDEX(Models!$BJ200:$BT200,,T200+1)*R200-ERP_i)*Q200*Ramure*Pc/MaxiM</f>
        <v>1.4946806164875653E-4</v>
      </c>
      <c r="Q200" s="305">
        <f t="shared" si="53"/>
        <v>0.5</v>
      </c>
      <c r="R200" s="177">
        <f t="shared" si="54"/>
        <v>0.36553278134531464</v>
      </c>
      <c r="S200" s="811">
        <f t="shared" si="55"/>
        <v>1</v>
      </c>
      <c r="T200" s="176">
        <f t="shared" si="56"/>
        <v>7</v>
      </c>
      <c r="U200" s="251">
        <f t="shared" si="57"/>
        <v>1.3655327813453146</v>
      </c>
      <c r="V200" s="383">
        <f t="shared" si="58"/>
        <v>58.252308044747338</v>
      </c>
      <c r="W200" s="402">
        <f t="shared" si="59"/>
        <v>54.666960524589655</v>
      </c>
      <c r="X200" s="157">
        <f t="shared" si="60"/>
        <v>45477</v>
      </c>
      <c r="Y200" s="385">
        <f t="shared" si="61"/>
        <v>50.988996127985821</v>
      </c>
      <c r="Z200" s="385">
        <f t="shared" si="62"/>
        <v>53.527217968822264</v>
      </c>
      <c r="AA200" s="386">
        <f t="shared" si="63"/>
        <v>58.060839690024501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7.8083984754722113E-2</v>
      </c>
      <c r="AD200" s="231">
        <f>(INDEX(Models!$BJ200:$BT200,,AH200)*(1-AF200)+INDEX(Models!$BJ200:$BT200,,AH200+1)*AF200-ERP_i)*AE200*Ramure*Pc/MaxiM</f>
        <v>1.4946806164875653E-4</v>
      </c>
      <c r="AE200" s="305">
        <f t="shared" si="65"/>
        <v>0.5</v>
      </c>
      <c r="AF200" s="177">
        <f t="shared" si="66"/>
        <v>0.36553278134531464</v>
      </c>
      <c r="AG200" s="811">
        <f t="shared" si="74"/>
        <v>1</v>
      </c>
      <c r="AH200" s="176">
        <f t="shared" si="67"/>
        <v>7</v>
      </c>
      <c r="AI200" s="225">
        <f t="shared" si="68"/>
        <v>1.3655327813453146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'2023'!Wh/'2023'!Env_an*'2024'!Env_an</f>
        <v>46.945201734608283</v>
      </c>
      <c r="C201" s="841"/>
      <c r="D201" s="393">
        <f t="shared" si="50"/>
        <v>49.283203742903815</v>
      </c>
      <c r="E201" s="385">
        <f t="shared" si="75"/>
        <v>49.86566889255063</v>
      </c>
      <c r="F201" s="385">
        <f t="shared" si="51"/>
        <v>49.871452946068857</v>
      </c>
      <c r="G201" s="110">
        <f t="shared" si="76"/>
        <v>0.80724497613600943</v>
      </c>
      <c r="H201" s="414" t="b">
        <f>Wh_hp&gt;='2023'!Maxi_hp</f>
        <v>0</v>
      </c>
      <c r="I201" s="390">
        <f>IF(H201,Wh_hp,'2023'!Maxi_hp)</f>
        <v>60.73746121896113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4.7440138439298951E-2</v>
      </c>
      <c r="M201" s="845"/>
      <c r="N201" s="845"/>
      <c r="O201" s="48">
        <f>IF(t&lt;Tnet,'2023'!Resal+('2023'!Salim-'2023'!Resal)*(1-EXP(('2023'!Tnet-t)/('2023'!Tau_j))),Resal+(Salim-Resal)*(1-EXP((Tnet-t)/(Tau_j))))*Salcycl</f>
        <v>1.1680684578841111E-2</v>
      </c>
      <c r="P201" s="169">
        <f>(INDEX(Models!$BJ201:$BT201,,T201)*(1-R201)+INDEX(Models!$BJ201:$BT201,,T201+1)*R201-ERP_i)*Q201*Ramure*Pc/MaxiM</f>
        <v>1.600405777475298E-4</v>
      </c>
      <c r="Q201" s="305">
        <f t="shared" si="53"/>
        <v>0.5</v>
      </c>
      <c r="R201" s="177">
        <f t="shared" si="54"/>
        <v>0.36948921880644092</v>
      </c>
      <c r="S201" s="811">
        <f t="shared" si="55"/>
        <v>1</v>
      </c>
      <c r="T201" s="176">
        <f t="shared" si="56"/>
        <v>7</v>
      </c>
      <c r="U201" s="251">
        <f t="shared" si="57"/>
        <v>1.3694892188064409</v>
      </c>
      <c r="V201" s="383">
        <f t="shared" si="58"/>
        <v>58.152276464180012</v>
      </c>
      <c r="W201" s="402">
        <f t="shared" si="59"/>
        <v>46.945201734608283</v>
      </c>
      <c r="X201" s="157">
        <f t="shared" si="60"/>
        <v>45478</v>
      </c>
      <c r="Y201" s="385">
        <f t="shared" si="61"/>
        <v>43.788747694151688</v>
      </c>
      <c r="Z201" s="385">
        <f t="shared" si="62"/>
        <v>45.969549485747763</v>
      </c>
      <c r="AA201" s="386">
        <f t="shared" si="63"/>
        <v>49.86566889255063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7.8132300104068214E-2</v>
      </c>
      <c r="AD201" s="231">
        <f>(INDEX(Models!$BJ201:$BT201,,AH201)*(1-AF201)+INDEX(Models!$BJ201:$BT201,,AH201+1)*AF201-ERP_i)*AE201*Ramure*Pc/MaxiM</f>
        <v>1.600405777475298E-4</v>
      </c>
      <c r="AE201" s="305">
        <f t="shared" si="65"/>
        <v>0.5</v>
      </c>
      <c r="AF201" s="177">
        <f t="shared" si="66"/>
        <v>0.36948921880644092</v>
      </c>
      <c r="AG201" s="811">
        <f t="shared" si="74"/>
        <v>1</v>
      </c>
      <c r="AH201" s="176">
        <f t="shared" si="67"/>
        <v>7</v>
      </c>
      <c r="AI201" s="225">
        <f t="shared" si="68"/>
        <v>1.3694892188064409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'2023'!Wh/'2023'!Env_an*'2024'!Env_an</f>
        <v>53.916776922660716</v>
      </c>
      <c r="C202" s="841"/>
      <c r="D202" s="393">
        <f t="shared" si="50"/>
        <v>56.603222579601479</v>
      </c>
      <c r="E202" s="385">
        <f t="shared" si="75"/>
        <v>57.277800110474665</v>
      </c>
      <c r="F202" s="385">
        <f t="shared" si="51"/>
        <v>57.286664034478349</v>
      </c>
      <c r="G202" s="110">
        <f t="shared" si="76"/>
        <v>0.92877783059680341</v>
      </c>
      <c r="H202" s="414" t="b">
        <f>Wh_hp&gt;='2023'!Maxi_hp</f>
        <v>0</v>
      </c>
      <c r="I202" s="390">
        <f>IF(H202,Wh_hp,'2023'!Maxi_hp)</f>
        <v>57.287148915483868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4.7461001944947512E-2</v>
      </c>
      <c r="M202" s="845"/>
      <c r="N202" s="845"/>
      <c r="O202" s="48">
        <f>IF(t&lt;Tnet,'2023'!Resal+('2023'!Salim-'2023'!Resal)*(1-EXP(('2023'!Tnet-t)/('2023'!Tau_j))),Resal+(Salim-Resal)*(1-EXP((Tnet-t)/(Tau_j))))*Salcycl</f>
        <v>1.177729468611045E-2</v>
      </c>
      <c r="P202" s="169">
        <f>(INDEX(Models!$BJ202:$BT202,,T202)*(1-R202)+INDEX(Models!$BJ202:$BT202,,T202+1)*R202-ERP_i)*Q202*Ramure*Pc/MaxiM</f>
        <v>1.7225112539892337E-4</v>
      </c>
      <c r="Q202" s="305">
        <f t="shared" si="53"/>
        <v>0.5</v>
      </c>
      <c r="R202" s="177">
        <f t="shared" si="54"/>
        <v>0.37336701052148058</v>
      </c>
      <c r="S202" s="811">
        <f t="shared" si="55"/>
        <v>1</v>
      </c>
      <c r="T202" s="176">
        <f t="shared" si="56"/>
        <v>7</v>
      </c>
      <c r="U202" s="251">
        <f t="shared" si="57"/>
        <v>1.3733670105214806</v>
      </c>
      <c r="V202" s="383">
        <f t="shared" si="58"/>
        <v>58.050300382523112</v>
      </c>
      <c r="W202" s="402">
        <f t="shared" si="59"/>
        <v>53.916776922660716</v>
      </c>
      <c r="X202" s="157">
        <f t="shared" si="60"/>
        <v>45479</v>
      </c>
      <c r="Y202" s="385">
        <f t="shared" si="61"/>
        <v>50.293913354801354</v>
      </c>
      <c r="Z202" s="385">
        <f t="shared" si="62"/>
        <v>52.799846995760056</v>
      </c>
      <c r="AA202" s="386">
        <f t="shared" si="63"/>
        <v>57.277800110474665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7.8179558329365878E-2</v>
      </c>
      <c r="AD202" s="231">
        <f>(INDEX(Models!$BJ202:$BT202,,AH202)*(1-AF202)+INDEX(Models!$BJ202:$BT202,,AH202+1)*AF202-ERP_i)*AE202*Ramure*Pc/MaxiM</f>
        <v>1.7225112539892337E-4</v>
      </c>
      <c r="AE202" s="305">
        <f t="shared" si="65"/>
        <v>0.5</v>
      </c>
      <c r="AF202" s="177">
        <f t="shared" si="66"/>
        <v>0.37336701052148058</v>
      </c>
      <c r="AG202" s="811">
        <f t="shared" si="74"/>
        <v>1</v>
      </c>
      <c r="AH202" s="176">
        <f t="shared" si="67"/>
        <v>7</v>
      </c>
      <c r="AI202" s="225">
        <f t="shared" si="68"/>
        <v>1.3733670105214806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'2023'!Wh/'2023'!Env_an*'2024'!Env_an</f>
        <v>56.701676253660892</v>
      </c>
      <c r="C203" s="841"/>
      <c r="D203" s="393">
        <f t="shared" si="50"/>
        <v>59.528185521928997</v>
      </c>
      <c r="E203" s="385">
        <f t="shared" si="75"/>
        <v>60.243498658835406</v>
      </c>
      <c r="F203" s="385">
        <f t="shared" si="51"/>
        <v>60.254369030398735</v>
      </c>
      <c r="G203" s="110">
        <f t="shared" si="76"/>
        <v>0.97851414721141328</v>
      </c>
      <c r="H203" s="414" t="b">
        <f>Wh_hp&gt;='2023'!Maxi_hp</f>
        <v>0</v>
      </c>
      <c r="I203" s="390">
        <f>IF(H203,Wh_hp,'2023'!Maxi_hp)</f>
        <v>63.132463716134929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4.7481864993631828E-2</v>
      </c>
      <c r="M203" s="845"/>
      <c r="N203" s="845"/>
      <c r="O203" s="48">
        <f>IF(t&lt;Tnet,'2023'!Resal+('2023'!Salim-'2023'!Resal)*(1-EXP(('2023'!Tnet-t)/('2023'!Tau_j))),Resal+(Salim-Resal)*(1-EXP((Tnet-t)/(Tau_j))))*Salcycl</f>
        <v>1.1873698454289545E-2</v>
      </c>
      <c r="P203" s="169">
        <f>(INDEX(Models!$BJ203:$BT203,,T203)*(1-R203)+INDEX(Models!$BJ203:$BT203,,T203+1)*R203-ERP_i)*Q203*Ramure*Pc/MaxiM</f>
        <v>1.8611929601048107E-4</v>
      </c>
      <c r="Q203" s="305">
        <f t="shared" si="53"/>
        <v>0.5</v>
      </c>
      <c r="R203" s="177">
        <f t="shared" si="54"/>
        <v>0.37716530208708288</v>
      </c>
      <c r="S203" s="811">
        <f t="shared" si="55"/>
        <v>1</v>
      </c>
      <c r="T203" s="176">
        <f t="shared" si="56"/>
        <v>7</v>
      </c>
      <c r="U203" s="251">
        <f t="shared" si="57"/>
        <v>1.3771653020870829</v>
      </c>
      <c r="V203" s="383">
        <f t="shared" si="58"/>
        <v>57.946379741196132</v>
      </c>
      <c r="W203" s="402">
        <f t="shared" si="59"/>
        <v>56.701676253660892</v>
      </c>
      <c r="X203" s="157">
        <f t="shared" si="60"/>
        <v>45480</v>
      </c>
      <c r="Y203" s="385">
        <f t="shared" si="61"/>
        <v>52.894192264654684</v>
      </c>
      <c r="Z203" s="385">
        <f t="shared" si="62"/>
        <v>55.530903109053199</v>
      </c>
      <c r="AA203" s="386">
        <f t="shared" si="63"/>
        <v>60.243498658835406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7.8225794562000392E-2</v>
      </c>
      <c r="AD203" s="231">
        <f>(INDEX(Models!$BJ203:$BT203,,AH203)*(1-AF203)+INDEX(Models!$BJ203:$BT203,,AH203+1)*AF203-ERP_i)*AE203*Ramure*Pc/MaxiM</f>
        <v>1.8611929601048107E-4</v>
      </c>
      <c r="AE203" s="305">
        <f t="shared" si="65"/>
        <v>0.5</v>
      </c>
      <c r="AF203" s="177">
        <f t="shared" si="66"/>
        <v>0.37716530208708288</v>
      </c>
      <c r="AG203" s="811">
        <f t="shared" si="74"/>
        <v>1</v>
      </c>
      <c r="AH203" s="176">
        <f t="shared" si="67"/>
        <v>7</v>
      </c>
      <c r="AI203" s="225">
        <f t="shared" si="68"/>
        <v>1.3771653020870829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'2023'!Wh/'2023'!Env_an*'2024'!Env_an</f>
        <v>55.969432348044627</v>
      </c>
      <c r="C204" s="841"/>
      <c r="D204" s="393">
        <f t="shared" si="50"/>
        <v>58.760727163195682</v>
      </c>
      <c r="E204" s="385">
        <f t="shared" si="75"/>
        <v>59.472608220410855</v>
      </c>
      <c r="F204" s="385">
        <f t="shared" si="51"/>
        <v>59.484049650489467</v>
      </c>
      <c r="G204" s="110">
        <f t="shared" si="76"/>
        <v>0.96764199115671479</v>
      </c>
      <c r="H204" s="414" t="b">
        <f>Wh_hp&gt;='2023'!Maxi_hp</f>
        <v>0</v>
      </c>
      <c r="I204" s="390">
        <f>IF(H204,Wh_hp,'2023'!Maxi_hp)</f>
        <v>60.536567302517156</v>
      </c>
      <c r="J204" s="85">
        <f>IF(H204,An,'2023'!An_max)</f>
        <v>2020</v>
      </c>
      <c r="K204" s="197">
        <f t="shared" si="52"/>
        <v>45481</v>
      </c>
      <c r="L204" s="147">
        <f>IF(t&lt;Tvie,1-EXP((T0-t)*PertePVj)+'2023'!Pspv,1-EXP((T0-t)*PertePVj)+Pspv)</f>
        <v>4.7502727585361781E-2</v>
      </c>
      <c r="M204" s="845"/>
      <c r="N204" s="845"/>
      <c r="O204" s="48">
        <f>IF(t&lt;Tnet,'2023'!Resal+('2023'!Salim-'2023'!Resal)*(1-EXP(('2023'!Tnet-t)/('2023'!Tau_j))),Resal+(Salim-Resal)*(1-EXP((Tnet-t)/(Tau_j))))*Salcycl</f>
        <v>1.1969898050828346E-2</v>
      </c>
      <c r="P204" s="169">
        <f>(INDEX(Models!$BJ204:$BT204,,T204)*(1-R204)+INDEX(Models!$BJ204:$BT204,,T204+1)*R204-ERP_i)*Q204*Ramure*Pc/MaxiM</f>
        <v>2.0166396998654056E-4</v>
      </c>
      <c r="Q204" s="305">
        <f t="shared" si="53"/>
        <v>0.5</v>
      </c>
      <c r="R204" s="177">
        <f t="shared" si="54"/>
        <v>0.38088340521253494</v>
      </c>
      <c r="S204" s="811">
        <f t="shared" si="55"/>
        <v>1</v>
      </c>
      <c r="T204" s="176">
        <f t="shared" si="56"/>
        <v>7</v>
      </c>
      <c r="U204" s="251">
        <f t="shared" si="57"/>
        <v>1.3808834052125349</v>
      </c>
      <c r="V204" s="383">
        <f t="shared" si="58"/>
        <v>57.840514522960056</v>
      </c>
      <c r="W204" s="402">
        <f t="shared" si="59"/>
        <v>55.969432348044627</v>
      </c>
      <c r="X204" s="157">
        <f t="shared" si="60"/>
        <v>45481</v>
      </c>
      <c r="Y204" s="385">
        <f t="shared" si="61"/>
        <v>52.213638305941139</v>
      </c>
      <c r="Z204" s="385">
        <f t="shared" si="62"/>
        <v>54.817625013850595</v>
      </c>
      <c r="AA204" s="386">
        <f t="shared" si="63"/>
        <v>59.472608220410855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7.8271045206365852E-2</v>
      </c>
      <c r="AD204" s="231">
        <f>(INDEX(Models!$BJ204:$BT204,,AH204)*(1-AF204)+INDEX(Models!$BJ204:$BT204,,AH204+1)*AF204-ERP_i)*AE204*Ramure*Pc/MaxiM</f>
        <v>2.0166396998654056E-4</v>
      </c>
      <c r="AE204" s="305">
        <f t="shared" si="65"/>
        <v>0.5</v>
      </c>
      <c r="AF204" s="177">
        <f t="shared" si="66"/>
        <v>0.38088340521253494</v>
      </c>
      <c r="AG204" s="811">
        <f t="shared" si="74"/>
        <v>1</v>
      </c>
      <c r="AH204" s="176">
        <f t="shared" si="67"/>
        <v>7</v>
      </c>
      <c r="AI204" s="225">
        <f t="shared" si="68"/>
        <v>1.3808834052125349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'2023'!Wh/'2023'!Env_an*'2024'!Env_an</f>
        <v>55.255407193780805</v>
      </c>
      <c r="C205" s="841"/>
      <c r="D205" s="393">
        <f t="shared" si="50"/>
        <v>58.012362928280709</v>
      </c>
      <c r="E205" s="385">
        <f t="shared" si="75"/>
        <v>58.720882994384695</v>
      </c>
      <c r="F205" s="385">
        <f t="shared" si="51"/>
        <v>58.732951828676676</v>
      </c>
      <c r="G205" s="110">
        <f t="shared" si="76"/>
        <v>0.95708100587544342</v>
      </c>
      <c r="H205" s="414" t="b">
        <f>Wh_hp&gt;='2023'!Maxi_hp</f>
        <v>0</v>
      </c>
      <c r="I205" s="390">
        <f>IF(H205,Wh_hp,'2023'!Maxi_hp)</f>
        <v>59.982897259607313</v>
      </c>
      <c r="J205" s="85">
        <f>IF(H205,An,'2023'!An_max)</f>
        <v>2019</v>
      </c>
      <c r="K205" s="197">
        <f t="shared" si="52"/>
        <v>45482</v>
      </c>
      <c r="L205" s="147">
        <f>IF(t&lt;Tvie,1-EXP((T0-t)*PertePVj)+'2023'!Pspv,1-EXP((T0-t)*PertePVj)+Pspv)</f>
        <v>4.7523589720147474E-2</v>
      </c>
      <c r="M205" s="845"/>
      <c r="N205" s="845"/>
      <c r="O205" s="48">
        <f>IF(t&lt;Tnet,'2023'!Resal+('2023'!Salim-'2023'!Resal)*(1-EXP(('2023'!Tnet-t)/('2023'!Tau_j))),Resal+(Salim-Resal)*(1-EXP((Tnet-t)/(Tau_j))))*Salcycl</f>
        <v>1.2065895980680938E-2</v>
      </c>
      <c r="P205" s="169">
        <f>(INDEX(Models!$BJ205:$BT205,,T205)*(1-R205)+INDEX(Models!$BJ205:$BT205,,T205+1)*R205-ERP_i)*Q205*Ramure*Pc/MaxiM</f>
        <v>2.1890421966338754E-4</v>
      </c>
      <c r="Q205" s="305">
        <f t="shared" si="53"/>
        <v>0.5</v>
      </c>
      <c r="R205" s="177">
        <f t="shared" si="54"/>
        <v>0.38452079286036378</v>
      </c>
      <c r="S205" s="811">
        <f t="shared" si="55"/>
        <v>1</v>
      </c>
      <c r="T205" s="176">
        <f t="shared" si="56"/>
        <v>7</v>
      </c>
      <c r="U205" s="251">
        <f t="shared" si="57"/>
        <v>1.3845207928603638</v>
      </c>
      <c r="V205" s="383">
        <f t="shared" si="58"/>
        <v>57.732485866807735</v>
      </c>
      <c r="W205" s="402">
        <f t="shared" si="59"/>
        <v>55.255407193780805</v>
      </c>
      <c r="X205" s="157">
        <f t="shared" si="60"/>
        <v>45482</v>
      </c>
      <c r="Y205" s="385">
        <f t="shared" si="61"/>
        <v>51.55005840955414</v>
      </c>
      <c r="Z205" s="385">
        <f t="shared" si="62"/>
        <v>54.122136625313296</v>
      </c>
      <c r="AA205" s="386">
        <f t="shared" si="63"/>
        <v>58.720882994384695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7.8315347701960955E-2</v>
      </c>
      <c r="AD205" s="231">
        <f>(INDEX(Models!$BJ205:$BT205,,AH205)*(1-AF205)+INDEX(Models!$BJ205:$BT205,,AH205+1)*AF205-ERP_i)*AE205*Ramure*Pc/MaxiM</f>
        <v>2.1890421966338754E-4</v>
      </c>
      <c r="AE205" s="305">
        <f t="shared" si="65"/>
        <v>0.5</v>
      </c>
      <c r="AF205" s="177">
        <f t="shared" si="66"/>
        <v>0.38452079286036378</v>
      </c>
      <c r="AG205" s="811">
        <f t="shared" si="74"/>
        <v>1</v>
      </c>
      <c r="AH205" s="176">
        <f t="shared" si="67"/>
        <v>7</v>
      </c>
      <c r="AI205" s="225">
        <f t="shared" si="68"/>
        <v>1.3845207928603638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'2023'!Wh/'2023'!Env_an*'2024'!Env_an</f>
        <v>53.791976910390034</v>
      </c>
      <c r="C206" s="841"/>
      <c r="D206" s="393">
        <f t="shared" si="50"/>
        <v>56.477152124679236</v>
      </c>
      <c r="E206" s="385">
        <f t="shared" si="75"/>
        <v>57.172466224412702</v>
      </c>
      <c r="F206" s="385">
        <f t="shared" si="51"/>
        <v>57.184753639049013</v>
      </c>
      <c r="G206" s="110">
        <f t="shared" si="76"/>
        <v>0.93350816069500719</v>
      </c>
      <c r="H206" s="414" t="b">
        <f>Wh_hp&gt;='2023'!Maxi_hp</f>
        <v>0</v>
      </c>
      <c r="I206" s="390">
        <f>IF(H206,Wh_hp,'2023'!Maxi_hp)</f>
        <v>61.452728703103304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4.7544451397998899E-2</v>
      </c>
      <c r="M206" s="845"/>
      <c r="N206" s="845"/>
      <c r="O206" s="48">
        <f>IF(t&lt;Tnet,'2023'!Resal+('2023'!Salim-'2023'!Resal)*(1-EXP(('2023'!Tnet-t)/('2023'!Tau_j))),Resal+(Salim-Resal)*(1-EXP((Tnet-t)/(Tau_j))))*Salcycl</f>
        <v>1.2161695054473018E-2</v>
      </c>
      <c r="P206" s="169">
        <f>(INDEX(Models!$BJ206:$BT206,,T206)*(1-R206)+INDEX(Models!$BJ206:$BT206,,T206+1)*R206-ERP_i)*Q206*Ramure*Pc/MaxiM</f>
        <v>2.3741691351580757E-4</v>
      </c>
      <c r="Q206" s="305">
        <f t="shared" si="53"/>
        <v>0.5</v>
      </c>
      <c r="R206" s="177">
        <f t="shared" si="54"/>
        <v>0.38807709391872791</v>
      </c>
      <c r="S206" s="811">
        <f t="shared" si="55"/>
        <v>1</v>
      </c>
      <c r="T206" s="176">
        <f t="shared" si="56"/>
        <v>7</v>
      </c>
      <c r="U206" s="251">
        <f t="shared" si="57"/>
        <v>1.3880770939187279</v>
      </c>
      <c r="V206" s="383">
        <f t="shared" si="58"/>
        <v>57.622167850963066</v>
      </c>
      <c r="W206" s="402">
        <f t="shared" si="59"/>
        <v>53.791976910390034</v>
      </c>
      <c r="X206" s="157">
        <f t="shared" si="60"/>
        <v>45483</v>
      </c>
      <c r="Y206" s="385">
        <f t="shared" si="61"/>
        <v>50.187267606476162</v>
      </c>
      <c r="Z206" s="385">
        <f t="shared" si="62"/>
        <v>52.692503792056463</v>
      </c>
      <c r="AA206" s="386">
        <f t="shared" si="63"/>
        <v>57.172466224412702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7.8358740285429454E-2</v>
      </c>
      <c r="AD206" s="231">
        <f>(INDEX(Models!$BJ206:$BT206,,AH206)*(1-AF206)+INDEX(Models!$BJ206:$BT206,,AH206+1)*AF206-ERP_i)*AE206*Ramure*Pc/MaxiM</f>
        <v>2.3741691351580757E-4</v>
      </c>
      <c r="AE206" s="305">
        <f t="shared" si="65"/>
        <v>0.5</v>
      </c>
      <c r="AF206" s="177">
        <f t="shared" si="66"/>
        <v>0.38807709391872791</v>
      </c>
      <c r="AG206" s="811">
        <f t="shared" si="74"/>
        <v>1</v>
      </c>
      <c r="AH206" s="176">
        <f t="shared" si="67"/>
        <v>7</v>
      </c>
      <c r="AI206" s="225">
        <f t="shared" si="68"/>
        <v>1.3880770939187279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'2023'!Wh/'2023'!Env_an*'2024'!Env_an</f>
        <v>53.888227258785371</v>
      </c>
      <c r="C207" s="841"/>
      <c r="D207" s="393">
        <f t="shared" ref="D207:D270" si="77">Wh/(1-Ppv)</f>
        <v>56.579446310342554</v>
      </c>
      <c r="E207" s="385">
        <f t="shared" si="75"/>
        <v>57.281563524722102</v>
      </c>
      <c r="F207" s="385">
        <f t="shared" ref="F207:F270" si="78">Wh_sa/(1-Pvg*MEDIAN((-Sdif+Wh/Env_an)/Csdif,0,1))</f>
        <v>57.294948168435425</v>
      </c>
      <c r="G207" s="110">
        <f t="shared" si="76"/>
        <v>0.93700698644687519</v>
      </c>
      <c r="H207" s="414" t="b">
        <f>Wh_hp&gt;='2023'!Maxi_hp</f>
        <v>0</v>
      </c>
      <c r="I207" s="390">
        <f>IF(H207,Wh_hp,'2023'!Maxi_hp)</f>
        <v>61.87528776158792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4.7565312618926048E-2</v>
      </c>
      <c r="M207" s="845"/>
      <c r="N207" s="845"/>
      <c r="O207" s="48">
        <f>IF(t&lt;Tnet,'2023'!Resal+('2023'!Salim-'2023'!Resal)*(1-EXP(('2023'!Tnet-t)/('2023'!Tau_j))),Resal+(Salim-Resal)*(1-EXP((Tnet-t)/(Tau_j))))*Salcycl</f>
        <v>1.225729835528179E-2</v>
      </c>
      <c r="P207" s="169">
        <f>(INDEX(Models!$BJ207:$BT207,,T207)*(1-R207)+INDEX(Models!$BJ207:$BT207,,T207+1)*R207-ERP_i)*Q207*Ramure*Pc/MaxiM</f>
        <v>2.5670218953864128E-4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0.39155208746544612</v>
      </c>
      <c r="S207" s="811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1.3915520874654461</v>
      </c>
      <c r="V207" s="383">
        <f t="shared" ref="V207:V270" si="85">MaxiM*(1-Ppv)*(1-Pvg)*(1-Psa)</f>
        <v>57.509691307418159</v>
      </c>
      <c r="W207" s="402">
        <f t="shared" ref="W207:W270" si="86">Wh*(A207&gt;Tmaj)</f>
        <v>53.888227258785371</v>
      </c>
      <c r="X207" s="157">
        <f t="shared" ref="X207:X270" si="87">t</f>
        <v>45484</v>
      </c>
      <c r="Y207" s="385">
        <f t="shared" ref="Y207:Y270" si="88">Wh_pvt_s*(1-Ppv)</f>
        <v>50.279614483913669</v>
      </c>
      <c r="Z207" s="385">
        <f t="shared" ref="Z207:Z270" si="89">Wh_sa_s*(1-Psa_s)</f>
        <v>52.790616669126564</v>
      </c>
      <c r="AA207" s="386">
        <f t="shared" ref="AA207:AA270" si="90">Wh_hp*(1-Pvg_s*MEDIAN((-Sdif+Wh/Env_an)/Csdif,0,1))</f>
        <v>57.281563524722102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7.840126175426923E-2</v>
      </c>
      <c r="AD207" s="231">
        <f>(INDEX(Models!$BJ207:$BT207,,AH207)*(1-AF207)+INDEX(Models!$BJ207:$BT207,,AH207+1)*AF207-ERP_i)*AE207*Ramure*Pc/MaxiM</f>
        <v>2.5670218953864128E-4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0.39155208746544612</v>
      </c>
      <c r="AG207" s="811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1.3915520874654461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'2023'!Wh/'2023'!Env_an*'2024'!Env_an</f>
        <v>53.251319235311129</v>
      </c>
      <c r="C208" s="841"/>
      <c r="D208" s="393">
        <f t="shared" si="77"/>
        <v>55.911955231118242</v>
      </c>
      <c r="E208" s="385">
        <f t="shared" si="75"/>
        <v>56.611257634366275</v>
      </c>
      <c r="F208" s="385">
        <f t="shared" si="78"/>
        <v>56.625312217913375</v>
      </c>
      <c r="G208" s="110">
        <f t="shared" si="76"/>
        <v>0.92777509361320676</v>
      </c>
      <c r="H208" s="414" t="b">
        <f>Wh_hp&gt;='2023'!Maxi_hp</f>
        <v>0</v>
      </c>
      <c r="I208" s="390">
        <f>IF(H208,Wh_hp,'2023'!Maxi_hp)</f>
        <v>56.626097687284791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4.7586173382938912E-2</v>
      </c>
      <c r="M208" s="845"/>
      <c r="N208" s="845"/>
      <c r="O208" s="48">
        <f>IF(t&lt;Tnet,'2023'!Resal+('2023'!Salim-'2023'!Resal)*(1-EXP(('2023'!Tnet-t)/('2023'!Tau_j))),Resal+(Salim-Resal)*(1-EXP((Tnet-t)/(Tau_j))))*Salcycl</f>
        <v>1.2352709204317608E-2</v>
      </c>
      <c r="P208" s="169">
        <f>(INDEX(Models!$BJ208:$BT208,,T208)*(1-R208)+INDEX(Models!$BJ208:$BT208,,T208+1)*R208-ERP_i)*Q208*Ramure*Pc/MaxiM</f>
        <v>2.7674705326242397E-4</v>
      </c>
      <c r="Q208" s="305">
        <f t="shared" si="80"/>
        <v>0.5</v>
      </c>
      <c r="R208" s="177">
        <f t="shared" si="81"/>
        <v>0.39494569668279156</v>
      </c>
      <c r="S208" s="811">
        <f t="shared" si="82"/>
        <v>1</v>
      </c>
      <c r="T208" s="176">
        <f t="shared" si="83"/>
        <v>7</v>
      </c>
      <c r="U208" s="251">
        <f t="shared" si="84"/>
        <v>1.3949456966827916</v>
      </c>
      <c r="V208" s="383">
        <f t="shared" si="85"/>
        <v>57.395158833795143</v>
      </c>
      <c r="W208" s="402">
        <f t="shared" si="86"/>
        <v>53.251319235311129</v>
      </c>
      <c r="X208" s="157">
        <f t="shared" si="87"/>
        <v>45485</v>
      </c>
      <c r="Y208" s="385">
        <f t="shared" si="88"/>
        <v>49.687908886844731</v>
      </c>
      <c r="Z208" s="385">
        <f t="shared" si="89"/>
        <v>52.170503512464073</v>
      </c>
      <c r="AA208" s="386">
        <f t="shared" si="90"/>
        <v>56.611257634366275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7.8442951233897537E-2</v>
      </c>
      <c r="AD208" s="231">
        <f>(INDEX(Models!$BJ208:$BT208,,AH208)*(1-AF208)+INDEX(Models!$BJ208:$BT208,,AH208+1)*AF208-ERP_i)*AE208*Ramure*Pc/MaxiM</f>
        <v>2.7674705326242397E-4</v>
      </c>
      <c r="AE208" s="305">
        <f t="shared" si="92"/>
        <v>0.5</v>
      </c>
      <c r="AF208" s="177">
        <f t="shared" si="93"/>
        <v>0.39494569668279156</v>
      </c>
      <c r="AG208" s="811">
        <f t="shared" ref="AG208:AG271" si="99">INDEX(Echel_vg,AH208)</f>
        <v>1</v>
      </c>
      <c r="AH208" s="176">
        <f t="shared" si="94"/>
        <v>7</v>
      </c>
      <c r="AI208" s="225">
        <f t="shared" si="95"/>
        <v>1.3949456966827916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'2023'!Wh/'2023'!Env_an*'2024'!Env_an</f>
        <v>52.680347401968277</v>
      </c>
      <c r="C209" s="841"/>
      <c r="D209" s="393">
        <f t="shared" si="77"/>
        <v>55.313667010875072</v>
      </c>
      <c r="E209" s="385">
        <f t="shared" si="75"/>
        <v>56.010886670443917</v>
      </c>
      <c r="F209" s="385">
        <f t="shared" si="78"/>
        <v>56.025644705427482</v>
      </c>
      <c r="G209" s="110">
        <f t="shared" si="76"/>
        <v>0.91968871838784583</v>
      </c>
      <c r="H209" s="414" t="b">
        <f>Wh_hp&gt;='2023'!Maxi_hp</f>
        <v>0</v>
      </c>
      <c r="I209" s="390">
        <f>IF(H209,Wh_hp,'2023'!Maxi_hp)</f>
        <v>61.910407700916835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4.7607033690047484E-2</v>
      </c>
      <c r="M209" s="845"/>
      <c r="N209" s="845"/>
      <c r="O209" s="48">
        <f>IF(t&lt;Tnet,'2023'!Resal+('2023'!Salim-'2023'!Resal)*(1-EXP(('2023'!Tnet-t)/('2023'!Tau_j))),Resal+(Salim-Resal)*(1-EXP((Tnet-t)/(Tau_j))))*Salcycl</f>
        <v>1.2447931125802962E-2</v>
      </c>
      <c r="P209" s="169">
        <f>(INDEX(Models!$BJ209:$BT209,,T209)*(1-R209)+INDEX(Models!$BJ209:$BT209,,T209+1)*R209-ERP_i)*Q209*Ramure*Pc/MaxiM</f>
        <v>2.9753915338560737E-4</v>
      </c>
      <c r="Q209" s="305">
        <f t="shared" si="80"/>
        <v>0.5</v>
      </c>
      <c r="R209" s="177">
        <f t="shared" si="81"/>
        <v>0.39825798248092448</v>
      </c>
      <c r="S209" s="811">
        <f t="shared" si="82"/>
        <v>1</v>
      </c>
      <c r="T209" s="176">
        <f t="shared" si="83"/>
        <v>7</v>
      </c>
      <c r="U209" s="251">
        <f t="shared" si="84"/>
        <v>1.3982579824809245</v>
      </c>
      <c r="V209" s="383">
        <f t="shared" si="85"/>
        <v>57.278672925131843</v>
      </c>
      <c r="W209" s="402">
        <f t="shared" si="86"/>
        <v>52.680347401968277</v>
      </c>
      <c r="X209" s="157">
        <f t="shared" si="87"/>
        <v>45486</v>
      </c>
      <c r="Y209" s="385">
        <f t="shared" si="88"/>
        <v>49.157702724349946</v>
      </c>
      <c r="Z209" s="385">
        <f t="shared" si="89"/>
        <v>51.614936757472613</v>
      </c>
      <c r="AA209" s="386">
        <f t="shared" si="90"/>
        <v>56.010886670443917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7.8483847949705435E-2</v>
      </c>
      <c r="AD209" s="231">
        <f>(INDEX(Models!$BJ209:$BT209,,AH209)*(1-AF209)+INDEX(Models!$BJ209:$BT209,,AH209+1)*AF209-ERP_i)*AE209*Ramure*Pc/MaxiM</f>
        <v>2.9753915338560737E-4</v>
      </c>
      <c r="AE209" s="305">
        <f t="shared" si="92"/>
        <v>0.5</v>
      </c>
      <c r="AF209" s="177">
        <f t="shared" si="93"/>
        <v>0.39825798248092448</v>
      </c>
      <c r="AG209" s="811">
        <f t="shared" si="99"/>
        <v>1</v>
      </c>
      <c r="AH209" s="176">
        <f t="shared" si="94"/>
        <v>7</v>
      </c>
      <c r="AI209" s="225">
        <f t="shared" si="95"/>
        <v>1.3982579824809245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'2023'!Wh/'2023'!Env_an*'2024'!Env_an</f>
        <v>50.916937057306583</v>
      </c>
      <c r="C210" s="841"/>
      <c r="D210" s="393">
        <f t="shared" si="77"/>
        <v>53.463280488737318</v>
      </c>
      <c r="E210" s="385">
        <f t="shared" si="75"/>
        <v>54.142386702374772</v>
      </c>
      <c r="F210" s="385">
        <f t="shared" si="78"/>
        <v>54.156970118802562</v>
      </c>
      <c r="G210" s="110">
        <f t="shared" si="76"/>
        <v>0.89072956866027286</v>
      </c>
      <c r="H210" s="414" t="b">
        <f>Wh_hp&gt;='2023'!Maxi_hp</f>
        <v>0</v>
      </c>
      <c r="I210" s="390">
        <f>IF(H210,Wh_hp,'2023'!Maxi_hp)</f>
        <v>63.341573131215071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4.7627893540261756E-2</v>
      </c>
      <c r="M210" s="845"/>
      <c r="N210" s="845"/>
      <c r="O210" s="48">
        <f>IF(t&lt;Tnet,'2023'!Resal+('2023'!Salim-'2023'!Resal)*(1-EXP(('2023'!Tnet-t)/('2023'!Tau_j))),Resal+(Salim-Resal)*(1-EXP((Tnet-t)/(Tau_j))))*Salcycl</f>
        <v>1.254296781134826E-2</v>
      </c>
      <c r="P210" s="169">
        <f>(INDEX(Models!$BJ210:$BT210,,T210)*(1-R210)+INDEX(Models!$BJ210:$BT210,,T210+1)*R210-ERP_i)*Q210*Ramure*Pc/MaxiM</f>
        <v>3.1906681455454432E-4</v>
      </c>
      <c r="Q210" s="305">
        <f t="shared" si="80"/>
        <v>0.5</v>
      </c>
      <c r="R210" s="177">
        <f t="shared" si="81"/>
        <v>0.4014891368860769</v>
      </c>
      <c r="S210" s="811">
        <f t="shared" si="82"/>
        <v>1</v>
      </c>
      <c r="T210" s="176">
        <f t="shared" si="83"/>
        <v>7</v>
      </c>
      <c r="U210" s="251">
        <f t="shared" si="84"/>
        <v>1.4014891368860769</v>
      </c>
      <c r="V210" s="383">
        <f t="shared" si="85"/>
        <v>57.160335975878894</v>
      </c>
      <c r="W210" s="402">
        <f t="shared" si="86"/>
        <v>50.916937057306583</v>
      </c>
      <c r="X210" s="157">
        <f t="shared" si="87"/>
        <v>45487</v>
      </c>
      <c r="Y210" s="385">
        <f t="shared" si="88"/>
        <v>47.514711446015404</v>
      </c>
      <c r="Z210" s="385">
        <f t="shared" si="89"/>
        <v>49.890910415932154</v>
      </c>
      <c r="AA210" s="386">
        <f t="shared" si="90"/>
        <v>54.142386702374772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7.8523991005666954E-2</v>
      </c>
      <c r="AD210" s="231">
        <f>(INDEX(Models!$BJ210:$BT210,,AH210)*(1-AF210)+INDEX(Models!$BJ210:$BT210,,AH210+1)*AF210-ERP_i)*AE210*Ramure*Pc/MaxiM</f>
        <v>3.1906681455454432E-4</v>
      </c>
      <c r="AE210" s="305">
        <f t="shared" si="92"/>
        <v>0.5</v>
      </c>
      <c r="AF210" s="177">
        <f t="shared" si="93"/>
        <v>0.4014891368860769</v>
      </c>
      <c r="AG210" s="811">
        <f t="shared" si="99"/>
        <v>1</v>
      </c>
      <c r="AH210" s="176">
        <f t="shared" si="94"/>
        <v>7</v>
      </c>
      <c r="AI210" s="225">
        <f t="shared" si="95"/>
        <v>1.4014891368860769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'2023'!Wh/'2023'!Env_an*'2024'!Env_an</f>
        <v>52.320254923321919</v>
      </c>
      <c r="C211" s="841"/>
      <c r="D211" s="393">
        <f t="shared" si="77"/>
        <v>54.937981217001116</v>
      </c>
      <c r="E211" s="385">
        <f t="shared" si="75"/>
        <v>55.641164408996694</v>
      </c>
      <c r="F211" s="385">
        <f t="shared" si="78"/>
        <v>55.657915827777011</v>
      </c>
      <c r="G211" s="110">
        <f t="shared" si="76"/>
        <v>0.91721447596494077</v>
      </c>
      <c r="H211" s="414" t="b">
        <f>Wh_hp&gt;='2023'!Maxi_hp</f>
        <v>0</v>
      </c>
      <c r="I211" s="390">
        <f>IF(H211,Wh_hp,'2023'!Maxi_hp)</f>
        <v>61.340662594559738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4.7648752933591831E-2</v>
      </c>
      <c r="M211" s="845"/>
      <c r="N211" s="845"/>
      <c r="O211" s="48">
        <f>IF(t&lt;Tnet,'2023'!Resal+('2023'!Salim-'2023'!Resal)*(1-EXP(('2023'!Tnet-t)/('2023'!Tau_j))),Resal+(Salim-Resal)*(1-EXP((Tnet-t)/(Tau_j))))*Salcycl</f>
        <v>1.2637823084124348E-2</v>
      </c>
      <c r="P211" s="169">
        <f>(INDEX(Models!$BJ211:$BT211,,T211)*(1-R211)+INDEX(Models!$BJ211:$BT211,,T211+1)*R211-ERP_i)*Q211*Ramure*Pc/MaxiM</f>
        <v>3.4131906310738659E-4</v>
      </c>
      <c r="Q211" s="305">
        <f t="shared" si="80"/>
        <v>0.5</v>
      </c>
      <c r="R211" s="177">
        <f t="shared" si="81"/>
        <v>0.40463947624741836</v>
      </c>
      <c r="S211" s="811">
        <f t="shared" si="82"/>
        <v>1</v>
      </c>
      <c r="T211" s="176">
        <f t="shared" si="83"/>
        <v>7</v>
      </c>
      <c r="U211" s="251">
        <f t="shared" si="84"/>
        <v>1.4046394762474184</v>
      </c>
      <c r="V211" s="383">
        <f t="shared" si="85"/>
        <v>57.040250277309106</v>
      </c>
      <c r="W211" s="402">
        <f t="shared" si="86"/>
        <v>52.320254923321919</v>
      </c>
      <c r="X211" s="157">
        <f t="shared" si="87"/>
        <v>45488</v>
      </c>
      <c r="Y211" s="385">
        <f t="shared" si="88"/>
        <v>48.82686204897599</v>
      </c>
      <c r="Z211" s="385">
        <f t="shared" si="89"/>
        <v>51.269804286370885</v>
      </c>
      <c r="AA211" s="386">
        <f t="shared" si="90"/>
        <v>55.641164408996694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7.8563419170986928E-2</v>
      </c>
      <c r="AD211" s="231">
        <f>(INDEX(Models!$BJ211:$BT211,,AH211)*(1-AF211)+INDEX(Models!$BJ211:$BT211,,AH211+1)*AF211-ERP_i)*AE211*Ramure*Pc/MaxiM</f>
        <v>3.4131906310738659E-4</v>
      </c>
      <c r="AE211" s="305">
        <f t="shared" si="92"/>
        <v>0.5</v>
      </c>
      <c r="AF211" s="177">
        <f t="shared" si="93"/>
        <v>0.40463947624741836</v>
      </c>
      <c r="AG211" s="811">
        <f t="shared" si="99"/>
        <v>1</v>
      </c>
      <c r="AH211" s="176">
        <f t="shared" si="94"/>
        <v>7</v>
      </c>
      <c r="AI211" s="225">
        <f t="shared" si="95"/>
        <v>1.4046394762474184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'2023'!Wh/'2023'!Env_an*'2024'!Env_an</f>
        <v>51.903504452893998</v>
      </c>
      <c r="C212" s="841"/>
      <c r="D212" s="393">
        <f t="shared" si="77"/>
        <v>54.501573298332453</v>
      </c>
      <c r="E212" s="385">
        <f t="shared" si="75"/>
        <v>55.204464186232244</v>
      </c>
      <c r="F212" s="385">
        <f t="shared" si="78"/>
        <v>55.221941574444202</v>
      </c>
      <c r="G212" s="110">
        <f t="shared" si="76"/>
        <v>0.91184775878442093</v>
      </c>
      <c r="H212" s="414" t="b">
        <f>Wh_hp&gt;='2023'!Maxi_hp</f>
        <v>0</v>
      </c>
      <c r="I212" s="390">
        <f>IF(H212,Wh_hp,'2023'!Maxi_hp)</f>
        <v>60.188178256844751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4.766961187004759E-2</v>
      </c>
      <c r="M212" s="845"/>
      <c r="N212" s="845"/>
      <c r="O212" s="48">
        <f>IF(t&lt;Tnet,'2023'!Resal+('2023'!Salim-'2023'!Resal)*(1-EXP(('2023'!Tnet-t)/('2023'!Tau_j))),Resal+(Salim-Resal)*(1-EXP((Tnet-t)/(Tau_j))))*Salcycl</f>
        <v>1.2732500863129312E-2</v>
      </c>
      <c r="P212" s="169">
        <f>(INDEX(Models!$BJ212:$BT212,,T212)*(1-R212)+INDEX(Models!$BJ212:$BT212,,T212+1)*R212-ERP_i)*Q212*Ramure*Pc/MaxiM</f>
        <v>3.6206789761981738E-4</v>
      </c>
      <c r="Q212" s="305">
        <f t="shared" si="80"/>
        <v>0.5</v>
      </c>
      <c r="R212" s="177">
        <f t="shared" si="81"/>
        <v>0.40770943431399465</v>
      </c>
      <c r="S212" s="811">
        <f t="shared" si="82"/>
        <v>1</v>
      </c>
      <c r="T212" s="176">
        <f t="shared" si="83"/>
        <v>7</v>
      </c>
      <c r="U212" s="251">
        <f t="shared" si="84"/>
        <v>1.4077094343139946</v>
      </c>
      <c r="V212" s="383">
        <f t="shared" si="85"/>
        <v>56.918644297298087</v>
      </c>
      <c r="W212" s="402">
        <f t="shared" si="86"/>
        <v>51.903504452893998</v>
      </c>
      <c r="X212" s="157">
        <f t="shared" si="87"/>
        <v>45489</v>
      </c>
      <c r="Y212" s="385">
        <f t="shared" si="88"/>
        <v>48.440545626191927</v>
      </c>
      <c r="Z212" s="385">
        <f t="shared" si="89"/>
        <v>50.865273470179197</v>
      </c>
      <c r="AA212" s="386">
        <f t="shared" si="90"/>
        <v>55.204464186232244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7.8602170676175628E-2</v>
      </c>
      <c r="AD212" s="231">
        <f>(INDEX(Models!$BJ212:$BT212,,AH212)*(1-AF212)+INDEX(Models!$BJ212:$BT212,,AH212+1)*AF212-ERP_i)*AE212*Ramure*Pc/MaxiM</f>
        <v>3.6206789761981738E-4</v>
      </c>
      <c r="AE212" s="305">
        <f t="shared" si="92"/>
        <v>0.5</v>
      </c>
      <c r="AF212" s="177">
        <f t="shared" si="93"/>
        <v>0.40770943431399465</v>
      </c>
      <c r="AG212" s="811">
        <f t="shared" si="99"/>
        <v>1</v>
      </c>
      <c r="AH212" s="176">
        <f t="shared" si="94"/>
        <v>7</v>
      </c>
      <c r="AI212" s="225">
        <f t="shared" si="95"/>
        <v>1.4077094343139946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'2023'!Wh/'2023'!Env_an*'2024'!Env_an</f>
        <v>53.788473436651444</v>
      </c>
      <c r="C213" s="841"/>
      <c r="D213" s="393">
        <f t="shared" si="77"/>
        <v>56.482132922055087</v>
      </c>
      <c r="E213" s="385">
        <f t="shared" si="75"/>
        <v>57.216043404195496</v>
      </c>
      <c r="F213" s="385">
        <f t="shared" si="78"/>
        <v>57.236158637211631</v>
      </c>
      <c r="G213" s="110">
        <f t="shared" si="76"/>
        <v>0.94702491742508743</v>
      </c>
      <c r="H213" s="414" t="b">
        <f>Wh_hp&gt;='2023'!Maxi_hp</f>
        <v>0</v>
      </c>
      <c r="I213" s="390">
        <f>IF(H213,Wh_hp,'2023'!Maxi_hp)</f>
        <v>57.23689776410086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4.7690470349639136E-2</v>
      </c>
      <c r="M213" s="845"/>
      <c r="N213" s="845"/>
      <c r="O213" s="48">
        <f>IF(t&lt;Tnet,'2023'!Resal+('2023'!Salim-'2023'!Resal)*(1-EXP(('2023'!Tnet-t)/('2023'!Tau_j))),Resal+(Salim-Resal)*(1-EXP((Tnet-t)/(Tau_j))))*Salcycl</f>
        <v>1.2827005127841386E-2</v>
      </c>
      <c r="P213" s="169">
        <f>(INDEX(Models!$BJ213:$BT213,,T213)*(1-R213)+INDEX(Models!$BJ213:$BT213,,T213+1)*R213-ERP_i)*Q213*Ramure*Pc/MaxiM</f>
        <v>3.8020107112957563E-4</v>
      </c>
      <c r="Q213" s="305">
        <f t="shared" si="80"/>
        <v>0.5</v>
      </c>
      <c r="R213" s="177">
        <f t="shared" si="81"/>
        <v>0.41069955523028501</v>
      </c>
      <c r="S213" s="811">
        <f t="shared" si="82"/>
        <v>1</v>
      </c>
      <c r="T213" s="176">
        <f t="shared" si="83"/>
        <v>7</v>
      </c>
      <c r="U213" s="251">
        <f t="shared" si="84"/>
        <v>1.410699555230285</v>
      </c>
      <c r="V213" s="383">
        <f t="shared" si="85"/>
        <v>56.795681968855568</v>
      </c>
      <c r="W213" s="402">
        <f t="shared" si="86"/>
        <v>53.788473436651444</v>
      </c>
      <c r="X213" s="157">
        <f t="shared" si="87"/>
        <v>45490</v>
      </c>
      <c r="Y213" s="385">
        <f t="shared" si="88"/>
        <v>50.202480132478158</v>
      </c>
      <c r="Z213" s="385">
        <f t="shared" si="89"/>
        <v>52.716557557614621</v>
      </c>
      <c r="AA213" s="386">
        <f t="shared" si="90"/>
        <v>57.216043404195496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7.8640283019831142E-2</v>
      </c>
      <c r="AD213" s="231">
        <f>(INDEX(Models!$BJ213:$BT213,,AH213)*(1-AF213)+INDEX(Models!$BJ213:$BT213,,AH213+1)*AF213-ERP_i)*AE213*Ramure*Pc/MaxiM</f>
        <v>3.8020107112957563E-4</v>
      </c>
      <c r="AE213" s="305">
        <f t="shared" si="92"/>
        <v>0.5</v>
      </c>
      <c r="AF213" s="177">
        <f t="shared" si="93"/>
        <v>0.41069955523028501</v>
      </c>
      <c r="AG213" s="811">
        <f t="shared" si="99"/>
        <v>1</v>
      </c>
      <c r="AH213" s="176">
        <f t="shared" si="94"/>
        <v>7</v>
      </c>
      <c r="AI213" s="225">
        <f t="shared" si="95"/>
        <v>1.410699555230285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'2023'!Wh/'2023'!Env_an*'2024'!Env_an</f>
        <v>43.151504107496123</v>
      </c>
      <c r="C214" s="841"/>
      <c r="D214" s="393">
        <f t="shared" si="77"/>
        <v>45.313469952071209</v>
      </c>
      <c r="E214" s="385">
        <f t="shared" si="75"/>
        <v>45.906645319153171</v>
      </c>
      <c r="F214" s="385">
        <f t="shared" si="78"/>
        <v>45.918622255758713</v>
      </c>
      <c r="G214" s="110">
        <f t="shared" si="76"/>
        <v>0.76132993972047769</v>
      </c>
      <c r="H214" s="414" t="b">
        <f>Wh_hp&gt;='2023'!Maxi_hp</f>
        <v>0</v>
      </c>
      <c r="I214" s="390">
        <f>IF(H214,Wh_hp,'2023'!Maxi_hp)</f>
        <v>60.582660665176114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4.771132837237646E-2</v>
      </c>
      <c r="M214" s="845"/>
      <c r="N214" s="845"/>
      <c r="O214" s="48">
        <f>IF(t&lt;Tnet,'2023'!Resal+('2023'!Salim-'2023'!Resal)*(1-EXP(('2023'!Tnet-t)/('2023'!Tau_j))),Resal+(Salim-Resal)*(1-EXP((Tnet-t)/(Tau_j))))*Salcycl</f>
        <v>1.2921339883541411E-2</v>
      </c>
      <c r="P214" s="169">
        <f>(INDEX(Models!$BJ214:$BT214,,T214)*(1-R214)+INDEX(Models!$BJ214:$BT214,,T214+1)*R214-ERP_i)*Q214*Ramure*Pc/MaxiM</f>
        <v>3.9568229950927107E-4</v>
      </c>
      <c r="Q214" s="305">
        <f t="shared" si="80"/>
        <v>0.5</v>
      </c>
      <c r="R214" s="177">
        <f t="shared" si="81"/>
        <v>0.41361048649584875</v>
      </c>
      <c r="S214" s="811">
        <f t="shared" si="82"/>
        <v>1</v>
      </c>
      <c r="T214" s="176">
        <f t="shared" si="83"/>
        <v>7</v>
      </c>
      <c r="U214" s="251">
        <f t="shared" si="84"/>
        <v>1.4136104864958488</v>
      </c>
      <c r="V214" s="383">
        <f t="shared" si="85"/>
        <v>56.671465605329693</v>
      </c>
      <c r="W214" s="402">
        <f t="shared" si="86"/>
        <v>43.151504107496123</v>
      </c>
      <c r="X214" s="157">
        <f t="shared" si="87"/>
        <v>45491</v>
      </c>
      <c r="Y214" s="385">
        <f t="shared" si="88"/>
        <v>40.276870137356603</v>
      </c>
      <c r="Z214" s="385">
        <f t="shared" si="89"/>
        <v>42.294811791173125</v>
      </c>
      <c r="AA214" s="386">
        <f t="shared" si="90"/>
        <v>45.906645319153171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7.8677792787292061E-2</v>
      </c>
      <c r="AD214" s="231">
        <f>(INDEX(Models!$BJ214:$BT214,,AH214)*(1-AF214)+INDEX(Models!$BJ214:$BT214,,AH214+1)*AF214-ERP_i)*AE214*Ramure*Pc/MaxiM</f>
        <v>3.9568229950927107E-4</v>
      </c>
      <c r="AE214" s="305">
        <f t="shared" si="92"/>
        <v>0.5</v>
      </c>
      <c r="AF214" s="177">
        <f t="shared" si="93"/>
        <v>0.41361048649584875</v>
      </c>
      <c r="AG214" s="811">
        <f t="shared" si="99"/>
        <v>1</v>
      </c>
      <c r="AH214" s="176">
        <f t="shared" si="94"/>
        <v>7</v>
      </c>
      <c r="AI214" s="225">
        <f t="shared" si="95"/>
        <v>1.4136104864958488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'2023'!Wh/'2023'!Env_an*'2024'!Env_an</f>
        <v>43.583750863310406</v>
      </c>
      <c r="C215" s="841"/>
      <c r="D215" s="393">
        <f t="shared" si="77"/>
        <v>45.768375471403999</v>
      </c>
      <c r="E215" s="385">
        <f t="shared" si="75"/>
        <v>46.371929746280053</v>
      </c>
      <c r="F215" s="385">
        <f t="shared" si="78"/>
        <v>46.384672041558034</v>
      </c>
      <c r="G215" s="110">
        <f t="shared" si="76"/>
        <v>0.77066183548434797</v>
      </c>
      <c r="H215" s="414" t="b">
        <f>Wh_hp&gt;='2023'!Maxi_hp</f>
        <v>0</v>
      </c>
      <c r="I215" s="390">
        <f>IF(H215,Wh_hp,'2023'!Maxi_hp)</f>
        <v>59.347072848746947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4.7732185938269556E-2</v>
      </c>
      <c r="M215" s="845"/>
      <c r="N215" s="845"/>
      <c r="O215" s="48">
        <f>IF(t&lt;Tnet,'2023'!Resal+('2023'!Salim-'2023'!Resal)*(1-EXP(('2023'!Tnet-t)/('2023'!Tau_j))),Resal+(Salim-Resal)*(1-EXP((Tnet-t)/(Tau_j))))*Salcycl</f>
        <v>1.3015509127576815E-2</v>
      </c>
      <c r="P215" s="169">
        <f>(INDEX(Models!$BJ215:$BT215,,T215)*(1-R215)+INDEX(Models!$BJ215:$BT215,,T215+1)*R215-ERP_i)*Q215*Ramure*Pc/MaxiM</f>
        <v>4.0847650174978247E-4</v>
      </c>
      <c r="Q215" s="305">
        <f t="shared" si="80"/>
        <v>0.5</v>
      </c>
      <c r="R215" s="177">
        <f t="shared" si="81"/>
        <v>0.41644297193128388</v>
      </c>
      <c r="S215" s="811">
        <f t="shared" si="82"/>
        <v>1</v>
      </c>
      <c r="T215" s="176">
        <f t="shared" si="83"/>
        <v>7</v>
      </c>
      <c r="U215" s="251">
        <f t="shared" si="84"/>
        <v>1.4164429719312839</v>
      </c>
      <c r="V215" s="383">
        <f t="shared" si="85"/>
        <v>56.546097358427048</v>
      </c>
      <c r="W215" s="402">
        <f t="shared" si="86"/>
        <v>43.583750863310406</v>
      </c>
      <c r="X215" s="157">
        <f t="shared" si="87"/>
        <v>45492</v>
      </c>
      <c r="Y215" s="385">
        <f t="shared" si="88"/>
        <v>40.682571827740297</v>
      </c>
      <c r="Z215" s="385">
        <f t="shared" si="89"/>
        <v>42.7217755625027</v>
      </c>
      <c r="AA215" s="386">
        <f t="shared" si="90"/>
        <v>46.371929746280053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7.8714735482194778E-2</v>
      </c>
      <c r="AD215" s="231">
        <f>(INDEX(Models!$BJ215:$BT215,,AH215)*(1-AF215)+INDEX(Models!$BJ215:$BT215,,AH215+1)*AF215-ERP_i)*AE215*Ramure*Pc/MaxiM</f>
        <v>4.0847650174978247E-4</v>
      </c>
      <c r="AE215" s="305">
        <f t="shared" si="92"/>
        <v>0.5</v>
      </c>
      <c r="AF215" s="177">
        <f t="shared" si="93"/>
        <v>0.41644297193128388</v>
      </c>
      <c r="AG215" s="811">
        <f t="shared" si="99"/>
        <v>1</v>
      </c>
      <c r="AH215" s="176">
        <f t="shared" si="94"/>
        <v>7</v>
      </c>
      <c r="AI215" s="225">
        <f t="shared" si="95"/>
        <v>1.4164429719312839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'2023'!Wh/'2023'!Env_an*'2024'!Env_an</f>
        <v>51.256233757303129</v>
      </c>
      <c r="C216" s="841"/>
      <c r="D216" s="393">
        <f t="shared" si="77"/>
        <v>53.82661859201999</v>
      </c>
      <c r="E216" s="385">
        <f t="shared" si="75"/>
        <v>54.541633047675575</v>
      </c>
      <c r="F216" s="385">
        <f t="shared" si="78"/>
        <v>54.561484054436391</v>
      </c>
      <c r="G216" s="110">
        <f t="shared" si="76"/>
        <v>0.9084317496938894</v>
      </c>
      <c r="H216" s="414" t="b">
        <f>Wh_hp&gt;='2023'!Maxi_hp</f>
        <v>0</v>
      </c>
      <c r="I216" s="390">
        <f>IF(H216,Wh_hp,'2023'!Maxi_hp)</f>
        <v>54.562753738097314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4.7753043047328414E-2</v>
      </c>
      <c r="M216" s="845"/>
      <c r="N216" s="845"/>
      <c r="O216" s="48">
        <f>IF(t&lt;Tnet,'2023'!Resal+('2023'!Salim-'2023'!Resal)*(1-EXP(('2023'!Tnet-t)/('2023'!Tau_j))),Resal+(Salim-Resal)*(1-EXP((Tnet-t)/(Tau_j))))*Salcycl</f>
        <v>1.3109516816824715E-2</v>
      </c>
      <c r="P216" s="169">
        <f>(INDEX(Models!$BJ216:$BT216,,T216)*(1-R216)+INDEX(Models!$BJ216:$BT216,,T216+1)*R216-ERP_i)*Q216*Ramure*Pc/MaxiM</f>
        <v>4.1854970244816679E-4</v>
      </c>
      <c r="Q216" s="305">
        <f t="shared" si="80"/>
        <v>0.5</v>
      </c>
      <c r="R216" s="177">
        <f t="shared" si="81"/>
        <v>0.41919784468934385</v>
      </c>
      <c r="S216" s="811">
        <f t="shared" si="82"/>
        <v>1</v>
      </c>
      <c r="T216" s="176">
        <f t="shared" si="83"/>
        <v>7</v>
      </c>
      <c r="U216" s="251">
        <f t="shared" si="84"/>
        <v>1.4191978446893438</v>
      </c>
      <c r="V216" s="383">
        <f t="shared" si="85"/>
        <v>56.419679228322472</v>
      </c>
      <c r="W216" s="402">
        <f t="shared" si="86"/>
        <v>51.256233757303129</v>
      </c>
      <c r="X216" s="157">
        <f t="shared" si="87"/>
        <v>45493</v>
      </c>
      <c r="Y216" s="385">
        <f t="shared" si="88"/>
        <v>47.846997661953083</v>
      </c>
      <c r="Z216" s="385">
        <f t="shared" si="89"/>
        <v>50.246416974720944</v>
      </c>
      <c r="AA216" s="386">
        <f t="shared" si="90"/>
        <v>54.541633047675575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7.8751145371832268E-2</v>
      </c>
      <c r="AD216" s="231">
        <f>(INDEX(Models!$BJ216:$BT216,,AH216)*(1-AF216)+INDEX(Models!$BJ216:$BT216,,AH216+1)*AF216-ERP_i)*AE216*Ramure*Pc/MaxiM</f>
        <v>4.1854970244816679E-4</v>
      </c>
      <c r="AE216" s="305">
        <f t="shared" si="92"/>
        <v>0.5</v>
      </c>
      <c r="AF216" s="177">
        <f t="shared" si="93"/>
        <v>0.41919784468934385</v>
      </c>
      <c r="AG216" s="811">
        <f t="shared" si="99"/>
        <v>1</v>
      </c>
      <c r="AH216" s="176">
        <f t="shared" si="94"/>
        <v>7</v>
      </c>
      <c r="AI216" s="225">
        <f t="shared" si="95"/>
        <v>1.4191978446893438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'2023'!Wh/'2023'!Env_an*'2024'!Env_an</f>
        <v>40.858234946943917</v>
      </c>
      <c r="C217" s="841"/>
      <c r="D217" s="393">
        <f t="shared" si="77"/>
        <v>42.908123327067734</v>
      </c>
      <c r="E217" s="385">
        <f t="shared" si="75"/>
        <v>43.482235229680313</v>
      </c>
      <c r="F217" s="385">
        <f t="shared" si="78"/>
        <v>43.493502820039566</v>
      </c>
      <c r="G217" s="110">
        <f t="shared" si="76"/>
        <v>0.72570153160685702</v>
      </c>
      <c r="H217" s="414" t="b">
        <f>Wh_hp&gt;='2023'!Maxi_hp</f>
        <v>0</v>
      </c>
      <c r="I217" s="390">
        <f>IF(H217,Wh_hp,'2023'!Maxi_hp)</f>
        <v>55.563972127949256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4.7773899699563138E-2</v>
      </c>
      <c r="M217" s="845"/>
      <c r="N217" s="845"/>
      <c r="O217" s="48">
        <f>IF(t&lt;Tnet,'2023'!Resal+('2023'!Salim-'2023'!Resal)*(1-EXP(('2023'!Tnet-t)/('2023'!Tau_j))),Resal+(Salim-Resal)*(1-EXP((Tnet-t)/(Tau_j))))*Salcycl</f>
        <v>1.3203366836594855E-2</v>
      </c>
      <c r="P217" s="169">
        <f>(INDEX(Models!$BJ217:$BT217,,T217)*(1-R217)+INDEX(Models!$BJ217:$BT217,,T217+1)*R217-ERP_i)*Q217*Ramure*Pc/MaxiM</f>
        <v>4.2586893525458795E-4</v>
      </c>
      <c r="Q217" s="305">
        <f t="shared" si="80"/>
        <v>0.5</v>
      </c>
      <c r="R217" s="177">
        <f t="shared" si="81"/>
        <v>0.42187602034662297</v>
      </c>
      <c r="S217" s="811">
        <f t="shared" si="82"/>
        <v>1</v>
      </c>
      <c r="T217" s="176">
        <f t="shared" si="83"/>
        <v>7</v>
      </c>
      <c r="U217" s="251">
        <f t="shared" si="84"/>
        <v>1.421876020346623</v>
      </c>
      <c r="V217" s="383">
        <f t="shared" si="85"/>
        <v>56.292313074442369</v>
      </c>
      <c r="W217" s="402">
        <f t="shared" si="86"/>
        <v>40.858234946943917</v>
      </c>
      <c r="X217" s="157">
        <f t="shared" si="87"/>
        <v>45494</v>
      </c>
      <c r="Y217" s="385">
        <f t="shared" si="88"/>
        <v>38.142747617748313</v>
      </c>
      <c r="Z217" s="385">
        <f t="shared" si="89"/>
        <v>40.056397956025251</v>
      </c>
      <c r="AA217" s="386">
        <f t="shared" si="90"/>
        <v>43.482235229680313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7.878705534706823E-2</v>
      </c>
      <c r="AD217" s="231">
        <f>(INDEX(Models!$BJ217:$BT217,,AH217)*(1-AF217)+INDEX(Models!$BJ217:$BT217,,AH217+1)*AF217-ERP_i)*AE217*Ramure*Pc/MaxiM</f>
        <v>4.2586893525458795E-4</v>
      </c>
      <c r="AE217" s="305">
        <f t="shared" si="92"/>
        <v>0.5</v>
      </c>
      <c r="AF217" s="177">
        <f t="shared" si="93"/>
        <v>0.42187602034662297</v>
      </c>
      <c r="AG217" s="811">
        <f t="shared" si="99"/>
        <v>1</v>
      </c>
      <c r="AH217" s="176">
        <f t="shared" si="94"/>
        <v>7</v>
      </c>
      <c r="AI217" s="225">
        <f t="shared" si="95"/>
        <v>1.421876020346623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'2023'!Wh/'2023'!Env_an*'2024'!Env_an</f>
        <v>45.65940438908531</v>
      </c>
      <c r="C218" s="841"/>
      <c r="D218" s="393">
        <f t="shared" si="77"/>
        <v>47.951221306285561</v>
      </c>
      <c r="E218" s="385">
        <f t="shared" si="75"/>
        <v>48.597424317675532</v>
      </c>
      <c r="F218" s="385">
        <f t="shared" si="78"/>
        <v>48.612756843931002</v>
      </c>
      <c r="G218" s="110">
        <f t="shared" si="76"/>
        <v>0.81287070126029326</v>
      </c>
      <c r="H218" s="414" t="b">
        <f>Wh_hp&gt;='2023'!Maxi_hp</f>
        <v>0</v>
      </c>
      <c r="I218" s="390">
        <f>IF(H218,Wh_hp,'2023'!Maxi_hp)</f>
        <v>57.937152506467669</v>
      </c>
      <c r="J218" s="85">
        <f>IF(H218,An,'2023'!An_max)</f>
        <v>2019</v>
      </c>
      <c r="K218" s="197">
        <f t="shared" si="79"/>
        <v>45495</v>
      </c>
      <c r="L218" s="147">
        <f>IF(t&lt;Tvie,1-EXP((T0-t)*PertePVj)+'2023'!Pspv,1-EXP((T0-t)*PertePVj)+Pspv)</f>
        <v>4.7794755894983498E-2</v>
      </c>
      <c r="M218" s="845"/>
      <c r="N218" s="845"/>
      <c r="O218" s="48">
        <f>IF(t&lt;Tnet,'2023'!Resal+('2023'!Salim-'2023'!Resal)*(1-EXP(('2023'!Tnet-t)/('2023'!Tau_j))),Resal+(Salim-Resal)*(1-EXP((Tnet-t)/(Tau_j))))*Salcycl</f>
        <v>1.3297062971194094E-2</v>
      </c>
      <c r="P218" s="169">
        <f>(INDEX(Models!$BJ218:$BT218,,T218)*(1-R218)+INDEX(Models!$BJ218:$BT218,,T218+1)*R218-ERP_i)*Q218*Ramure*Pc/MaxiM</f>
        <v>4.3040214874549756E-4</v>
      </c>
      <c r="Q218" s="305">
        <f t="shared" si="80"/>
        <v>0.5</v>
      </c>
      <c r="R218" s="177">
        <f t="shared" si="81"/>
        <v>0.42447849010775518</v>
      </c>
      <c r="S218" s="811">
        <f t="shared" si="82"/>
        <v>1</v>
      </c>
      <c r="T218" s="176">
        <f t="shared" si="83"/>
        <v>7</v>
      </c>
      <c r="U218" s="251">
        <f t="shared" si="84"/>
        <v>1.4244784901077552</v>
      </c>
      <c r="V218" s="383">
        <f t="shared" si="85"/>
        <v>56.164100626296218</v>
      </c>
      <c r="W218" s="402">
        <f t="shared" si="86"/>
        <v>45.65940438908531</v>
      </c>
      <c r="X218" s="157">
        <f t="shared" si="87"/>
        <v>45495</v>
      </c>
      <c r="Y218" s="385">
        <f t="shared" si="88"/>
        <v>42.627233136154217</v>
      </c>
      <c r="Z218" s="385">
        <f t="shared" si="89"/>
        <v>44.766853995033195</v>
      </c>
      <c r="AA218" s="386">
        <f t="shared" si="90"/>
        <v>48.597424317675532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7.8822496797409575E-2</v>
      </c>
      <c r="AD218" s="231">
        <f>(INDEX(Models!$BJ218:$BT218,,AH218)*(1-AF218)+INDEX(Models!$BJ218:$BT218,,AH218+1)*AF218-ERP_i)*AE218*Ramure*Pc/MaxiM</f>
        <v>4.3040214874549756E-4</v>
      </c>
      <c r="AE218" s="305">
        <f t="shared" si="92"/>
        <v>0.5</v>
      </c>
      <c r="AF218" s="177">
        <f t="shared" si="93"/>
        <v>0.42447849010775518</v>
      </c>
      <c r="AG218" s="811">
        <f t="shared" si="99"/>
        <v>1</v>
      </c>
      <c r="AH218" s="176">
        <f t="shared" si="94"/>
        <v>7</v>
      </c>
      <c r="AI218" s="225">
        <f t="shared" si="95"/>
        <v>1.4244784901077552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'2023'!Wh/'2023'!Env_an*'2024'!Env_an</f>
        <v>51.208750420138998</v>
      </c>
      <c r="C219" s="841"/>
      <c r="D219" s="393">
        <f t="shared" si="77"/>
        <v>53.78028777387798</v>
      </c>
      <c r="E219" s="385">
        <f t="shared" si="75"/>
        <v>54.510212712072089</v>
      </c>
      <c r="F219" s="385">
        <f t="shared" si="78"/>
        <v>54.530877283442649</v>
      </c>
      <c r="G219" s="110">
        <f t="shared" si="76"/>
        <v>0.91382396711463365</v>
      </c>
      <c r="H219" s="414" t="b">
        <f>Wh_hp&gt;='2023'!Maxi_hp</f>
        <v>0</v>
      </c>
      <c r="I219" s="390">
        <f>IF(H219,Wh_hp,'2023'!Maxi_hp)</f>
        <v>57.924820130429069</v>
      </c>
      <c r="J219" s="85">
        <f>IF(H219,An,'2023'!An_max)</f>
        <v>2019</v>
      </c>
      <c r="K219" s="197">
        <f t="shared" si="79"/>
        <v>45496</v>
      </c>
      <c r="L219" s="147">
        <f>IF(t&lt;Tvie,1-EXP((T0-t)*PertePVj)+'2023'!Pspv,1-EXP((T0-t)*PertePVj)+Pspv)</f>
        <v>4.7815611633599708E-2</v>
      </c>
      <c r="M219" s="845"/>
      <c r="N219" s="845"/>
      <c r="O219" s="48">
        <f>IF(t&lt;Tnet,'2023'!Resal+('2023'!Salim-'2023'!Resal)*(1-EXP(('2023'!Tnet-t)/('2023'!Tau_j))),Resal+(Salim-Resal)*(1-EXP((Tnet-t)/(Tau_j))))*Salcycl</f>
        <v>1.3390608876352034E-2</v>
      </c>
      <c r="P219" s="169">
        <f>(INDEX(Models!$BJ219:$BT219,,T219)*(1-R219)+INDEX(Models!$BJ219:$BT219,,T219+1)*R219-ERP_i)*Q219*Ramure*Pc/MaxiM</f>
        <v>4.3211936188249875E-4</v>
      </c>
      <c r="Q219" s="305">
        <f t="shared" si="80"/>
        <v>0.5</v>
      </c>
      <c r="R219" s="177">
        <f t="shared" si="81"/>
        <v>0.42700631415063239</v>
      </c>
      <c r="S219" s="811">
        <f t="shared" si="82"/>
        <v>1</v>
      </c>
      <c r="T219" s="176">
        <f t="shared" si="83"/>
        <v>7</v>
      </c>
      <c r="U219" s="251">
        <f t="shared" si="84"/>
        <v>1.4270063141506324</v>
      </c>
      <c r="V219" s="383">
        <f t="shared" si="85"/>
        <v>56.034891383627375</v>
      </c>
      <c r="W219" s="402">
        <f t="shared" si="86"/>
        <v>51.208750420138998</v>
      </c>
      <c r="X219" s="157">
        <f t="shared" si="87"/>
        <v>45496</v>
      </c>
      <c r="Y219" s="385">
        <f t="shared" si="88"/>
        <v>47.810771754035656</v>
      </c>
      <c r="Z219" s="385">
        <f t="shared" si="89"/>
        <v>50.211673640292958</v>
      </c>
      <c r="AA219" s="386">
        <f t="shared" si="90"/>
        <v>54.510212712072089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7.8857499501687911E-2</v>
      </c>
      <c r="AD219" s="231">
        <f>(INDEX(Models!$BJ219:$BT219,,AH219)*(1-AF219)+INDEX(Models!$BJ219:$BT219,,AH219+1)*AF219-ERP_i)*AE219*Ramure*Pc/MaxiM</f>
        <v>4.3211936188249875E-4</v>
      </c>
      <c r="AE219" s="305">
        <f t="shared" si="92"/>
        <v>0.5</v>
      </c>
      <c r="AF219" s="177">
        <f t="shared" si="93"/>
        <v>0.42700631415063239</v>
      </c>
      <c r="AG219" s="811">
        <f t="shared" si="99"/>
        <v>1</v>
      </c>
      <c r="AH219" s="176">
        <f t="shared" si="94"/>
        <v>7</v>
      </c>
      <c r="AI219" s="225">
        <f t="shared" si="95"/>
        <v>1.4270063141506324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'2023'!Wh/'2023'!Env_an*'2024'!Env_an</f>
        <v>26.169350069415906</v>
      </c>
      <c r="C220" s="841"/>
      <c r="D220" s="393">
        <f t="shared" si="77"/>
        <v>27.484091923410546</v>
      </c>
      <c r="E220" s="385">
        <f t="shared" si="75"/>
        <v>27.859753058018523</v>
      </c>
      <c r="F220" s="385">
        <f t="shared" si="78"/>
        <v>27.862632964301259</v>
      </c>
      <c r="G220" s="110">
        <f t="shared" si="76"/>
        <v>0.46795500265345541</v>
      </c>
      <c r="H220" s="414" t="b">
        <f>Wh_hp&gt;='2023'!Maxi_hp</f>
        <v>0</v>
      </c>
      <c r="I220" s="390">
        <f>IF(H220,Wh_hp,'2023'!Maxi_hp)</f>
        <v>58.619065963281635</v>
      </c>
      <c r="J220" s="85">
        <f>IF(H220,An,'2023'!An_max)</f>
        <v>2019</v>
      </c>
      <c r="K220" s="197">
        <f t="shared" si="79"/>
        <v>45497</v>
      </c>
      <c r="L220" s="147">
        <f>IF(t&lt;Tvie,1-EXP((T0-t)*PertePVj)+'2023'!Pspv,1-EXP((T0-t)*PertePVj)+Pspv)</f>
        <v>4.783646691542176E-2</v>
      </c>
      <c r="M220" s="845"/>
      <c r="N220" s="845"/>
      <c r="O220" s="48">
        <f>IF(t&lt;Tnet,'2023'!Resal+('2023'!Salim-'2023'!Resal)*(1-EXP(('2023'!Tnet-t)/('2023'!Tau_j))),Resal+(Salim-Resal)*(1-EXP((Tnet-t)/(Tau_j))))*Salcycl</f>
        <v>1.3484008053684285E-2</v>
      </c>
      <c r="P220" s="169">
        <f>(INDEX(Models!$BJ220:$BT220,,T220)*(1-R220)+INDEX(Models!$BJ220:$BT220,,T220+1)*R220-ERP_i)*Q220*Ramure*Pc/MaxiM</f>
        <v>4.3039338581650992E-4</v>
      </c>
      <c r="Q220" s="305">
        <f t="shared" si="80"/>
        <v>0.5</v>
      </c>
      <c r="R220" s="177">
        <f t="shared" si="81"/>
        <v>0.42946061513776734</v>
      </c>
      <c r="S220" s="811">
        <f t="shared" si="82"/>
        <v>1</v>
      </c>
      <c r="T220" s="176">
        <f t="shared" si="83"/>
        <v>7</v>
      </c>
      <c r="U220" s="251">
        <f t="shared" si="84"/>
        <v>1.4294606151377673</v>
      </c>
      <c r="V220" s="383">
        <f t="shared" si="85"/>
        <v>55.904501091533945</v>
      </c>
      <c r="W220" s="402">
        <f t="shared" si="86"/>
        <v>26.169350069415906</v>
      </c>
      <c r="X220" s="157">
        <f t="shared" si="87"/>
        <v>45497</v>
      </c>
      <c r="Y220" s="385">
        <f t="shared" si="88"/>
        <v>24.43426716355669</v>
      </c>
      <c r="Z220" s="385">
        <f t="shared" si="89"/>
        <v>25.661838869632764</v>
      </c>
      <c r="AA220" s="386">
        <f t="shared" si="90"/>
        <v>27.859753058018523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7.889209153464341E-2</v>
      </c>
      <c r="AD220" s="231">
        <f>(INDEX(Models!$BJ220:$BT220,,AH220)*(1-AF220)+INDEX(Models!$BJ220:$BT220,,AH220+1)*AF220-ERP_i)*AE220*Ramure*Pc/MaxiM</f>
        <v>4.3039338581650992E-4</v>
      </c>
      <c r="AE220" s="305">
        <f t="shared" si="92"/>
        <v>0.5</v>
      </c>
      <c r="AF220" s="177">
        <f t="shared" si="93"/>
        <v>0.42946061513776734</v>
      </c>
      <c r="AG220" s="811">
        <f t="shared" si="99"/>
        <v>1</v>
      </c>
      <c r="AH220" s="176">
        <f t="shared" si="94"/>
        <v>7</v>
      </c>
      <c r="AI220" s="225">
        <f t="shared" si="95"/>
        <v>1.4294606151377673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'2023'!Wh/'2023'!Env_an*'2024'!Env_an</f>
        <v>55.008673203461818</v>
      </c>
      <c r="C221" s="841"/>
      <c r="D221" s="393">
        <f t="shared" si="77"/>
        <v>57.773561105373794</v>
      </c>
      <c r="E221" s="385">
        <f t="shared" si="75"/>
        <v>58.568764675413533</v>
      </c>
      <c r="F221" s="385">
        <f t="shared" si="78"/>
        <v>58.593220673984078</v>
      </c>
      <c r="G221" s="110">
        <f t="shared" si="76"/>
        <v>0.98628928407126015</v>
      </c>
      <c r="H221" s="414" t="b">
        <f>Wh_hp&gt;='2023'!Maxi_hp</f>
        <v>0</v>
      </c>
      <c r="I221" s="390">
        <f>IF(H221,Wh_hp,'2023'!Maxi_hp)</f>
        <v>58.593405907385026</v>
      </c>
      <c r="J221" s="85">
        <f>IF(H221,An,'2023'!An_max)</f>
        <v>2022</v>
      </c>
      <c r="K221" s="197">
        <f t="shared" si="79"/>
        <v>45498</v>
      </c>
      <c r="L221" s="147">
        <f>IF(t&lt;Tvie,1-EXP((T0-t)*PertePVj)+'2023'!Pspv,1-EXP((T0-t)*PertePVj)+Pspv)</f>
        <v>4.7857321740459646E-2</v>
      </c>
      <c r="M221" s="845"/>
      <c r="N221" s="845"/>
      <c r="O221" s="48">
        <f>IF(t&lt;Tnet,'2023'!Resal+('2023'!Salim-'2023'!Resal)*(1-EXP(('2023'!Tnet-t)/('2023'!Tau_j))),Resal+(Salim-Resal)*(1-EXP((Tnet-t)/(Tau_j))))*Salcycl</f>
        <v>1.3577263827344414E-2</v>
      </c>
      <c r="P221" s="169">
        <f>(INDEX(Models!$BJ221:$BT221,,T221)*(1-R221)+INDEX(Models!$BJ221:$BT221,,T221+1)*R221-ERP_i)*Q221*Ramure*Pc/MaxiM</f>
        <v>4.257196033166278E-4</v>
      </c>
      <c r="Q221" s="305">
        <f t="shared" si="80"/>
        <v>0.5</v>
      </c>
      <c r="R221" s="177">
        <f t="shared" si="81"/>
        <v>0.43184257191562625</v>
      </c>
      <c r="S221" s="811">
        <f t="shared" si="82"/>
        <v>1</v>
      </c>
      <c r="T221" s="176">
        <f t="shared" si="83"/>
        <v>7</v>
      </c>
      <c r="U221" s="251">
        <f t="shared" si="84"/>
        <v>1.4318425719156262</v>
      </c>
      <c r="V221" s="383">
        <f t="shared" si="85"/>
        <v>55.772901001784938</v>
      </c>
      <c r="W221" s="402">
        <f t="shared" si="86"/>
        <v>55.008673203461818</v>
      </c>
      <c r="X221" s="157">
        <f t="shared" si="87"/>
        <v>45498</v>
      </c>
      <c r="Y221" s="385">
        <f t="shared" si="88"/>
        <v>51.364430630192757</v>
      </c>
      <c r="Z221" s="385">
        <f t="shared" si="89"/>
        <v>53.946148831479597</v>
      </c>
      <c r="AA221" s="386">
        <f t="shared" si="90"/>
        <v>58.568764675413533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7.8926299189548257E-2</v>
      </c>
      <c r="AD221" s="231">
        <f>(INDEX(Models!$BJ221:$BT221,,AH221)*(1-AF221)+INDEX(Models!$BJ221:$BT221,,AH221+1)*AF221-ERP_i)*AE221*Ramure*Pc/MaxiM</f>
        <v>4.257196033166278E-4</v>
      </c>
      <c r="AE221" s="305">
        <f t="shared" si="92"/>
        <v>0.5</v>
      </c>
      <c r="AF221" s="177">
        <f t="shared" si="93"/>
        <v>0.43184257191562625</v>
      </c>
      <c r="AG221" s="811">
        <f t="shared" si="99"/>
        <v>1</v>
      </c>
      <c r="AH221" s="176">
        <f t="shared" si="94"/>
        <v>7</v>
      </c>
      <c r="AI221" s="225">
        <f t="shared" si="95"/>
        <v>1.4318425719156262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'2023'!Wh/'2023'!Env_an*'2024'!Env_an</f>
        <v>55.016321020802344</v>
      </c>
      <c r="C222" s="841"/>
      <c r="D222" s="393">
        <f t="shared" si="77"/>
        <v>57.782858916050522</v>
      </c>
      <c r="E222" s="385">
        <f t="shared" si="75"/>
        <v>58.583720598787941</v>
      </c>
      <c r="F222" s="385">
        <f t="shared" si="78"/>
        <v>58.607831123299341</v>
      </c>
      <c r="G222" s="110">
        <f t="shared" si="76"/>
        <v>0.98878257548463355</v>
      </c>
      <c r="H222" s="414" t="b">
        <f>Wh_hp&gt;='2023'!Maxi_hp</f>
        <v>0</v>
      </c>
      <c r="I222" s="390">
        <f>IF(H222,Wh_hp,'2023'!Maxi_hp)</f>
        <v>58.607976859934475</v>
      </c>
      <c r="J222" s="85">
        <f>IF(H222,An,'2023'!An_max)</f>
        <v>2022</v>
      </c>
      <c r="K222" s="197">
        <f t="shared" si="79"/>
        <v>45499</v>
      </c>
      <c r="L222" s="147">
        <f>IF(t&lt;Tvie,1-EXP((T0-t)*PertePVj)+'2023'!Pspv,1-EXP((T0-t)*PertePVj)+Pspv)</f>
        <v>4.7878176108723247E-2</v>
      </c>
      <c r="M222" s="845"/>
      <c r="N222" s="845"/>
      <c r="O222" s="48">
        <f>IF(t&lt;Tnet,'2023'!Resal+('2023'!Salim-'2023'!Resal)*(1-EXP(('2023'!Tnet-t)/('2023'!Tau_j))),Resal+(Salim-Resal)*(1-EXP((Tnet-t)/(Tau_j))))*Salcycl</f>
        <v>1.3670379322988778E-2</v>
      </c>
      <c r="P222" s="169">
        <f>(INDEX(Models!$BJ222:$BT222,,T222)*(1-R222)+INDEX(Models!$BJ222:$BT222,,T222+1)*R222-ERP_i)*Q222*Ramure*Pc/MaxiM</f>
        <v>4.1808320358403752E-4</v>
      </c>
      <c r="Q222" s="305">
        <f t="shared" si="80"/>
        <v>0.5</v>
      </c>
      <c r="R222" s="177">
        <f t="shared" si="81"/>
        <v>0.43415341342059222</v>
      </c>
      <c r="S222" s="811">
        <f t="shared" si="82"/>
        <v>1</v>
      </c>
      <c r="T222" s="176">
        <f t="shared" si="83"/>
        <v>7</v>
      </c>
      <c r="U222" s="251">
        <f t="shared" si="84"/>
        <v>1.4341534134205922</v>
      </c>
      <c r="V222" s="383">
        <f t="shared" si="85"/>
        <v>55.640091012849062</v>
      </c>
      <c r="W222" s="402">
        <f t="shared" si="86"/>
        <v>55.016321020802344</v>
      </c>
      <c r="X222" s="157">
        <f t="shared" si="87"/>
        <v>45499</v>
      </c>
      <c r="Y222" s="385">
        <f t="shared" si="88"/>
        <v>51.374533591918365</v>
      </c>
      <c r="Z222" s="385">
        <f t="shared" si="89"/>
        <v>53.957941413371955</v>
      </c>
      <c r="AA222" s="386">
        <f t="shared" si="90"/>
        <v>58.583720598787941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7.8960146916849883E-2</v>
      </c>
      <c r="AD222" s="231">
        <f>(INDEX(Models!$BJ222:$BT222,,AH222)*(1-AF222)+INDEX(Models!$BJ222:$BT222,,AH222+1)*AF222-ERP_i)*AE222*Ramure*Pc/MaxiM</f>
        <v>4.1808320358403752E-4</v>
      </c>
      <c r="AE222" s="305">
        <f t="shared" si="92"/>
        <v>0.5</v>
      </c>
      <c r="AF222" s="177">
        <f t="shared" si="93"/>
        <v>0.43415341342059222</v>
      </c>
      <c r="AG222" s="811">
        <f t="shared" si="99"/>
        <v>1</v>
      </c>
      <c r="AH222" s="176">
        <f t="shared" si="94"/>
        <v>7</v>
      </c>
      <c r="AI222" s="225">
        <f t="shared" si="95"/>
        <v>1.4341534134205922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'2023'!Wh/'2023'!Env_an*'2024'!Env_an</f>
        <v>44.150792899306118</v>
      </c>
      <c r="C223" s="841"/>
      <c r="D223" s="393">
        <f t="shared" si="77"/>
        <v>46.371965045097987</v>
      </c>
      <c r="E223" s="385">
        <f t="shared" si="75"/>
        <v>47.019105805234872</v>
      </c>
      <c r="F223" s="385">
        <f t="shared" si="78"/>
        <v>47.032669314770885</v>
      </c>
      <c r="G223" s="110">
        <f t="shared" si="76"/>
        <v>0.79532802284591009</v>
      </c>
      <c r="H223" s="414" t="b">
        <f>Wh_hp&gt;='2023'!Maxi_hp</f>
        <v>0</v>
      </c>
      <c r="I223" s="390">
        <f>IF(H223,Wh_hp,'2023'!Maxi_hp)</f>
        <v>56.44038029737262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4.7899030020222777E-2</v>
      </c>
      <c r="M223" s="845"/>
      <c r="N223" s="845"/>
      <c r="O223" s="48">
        <f>IF(t&lt;Tnet,'2023'!Resal+('2023'!Salim-'2023'!Resal)*(1-EXP(('2023'!Tnet-t)/('2023'!Tau_j))),Resal+(Salim-Resal)*(1-EXP((Tnet-t)/(Tau_j))))*Salcycl</f>
        <v>1.376335744915072E-2</v>
      </c>
      <c r="P223" s="169">
        <f>(INDEX(Models!$BJ223:$BT223,,T223)*(1-R223)+INDEX(Models!$BJ223:$BT223,,T223+1)*R223-ERP_i)*Q223*Ramure*Pc/MaxiM</f>
        <v>4.0746895376249305E-4</v>
      </c>
      <c r="Q223" s="305">
        <f t="shared" si="80"/>
        <v>0.5</v>
      </c>
      <c r="R223" s="177">
        <f t="shared" si="81"/>
        <v>0.43639441280717373</v>
      </c>
      <c r="S223" s="811">
        <f t="shared" si="82"/>
        <v>1</v>
      </c>
      <c r="T223" s="176">
        <f t="shared" si="83"/>
        <v>7</v>
      </c>
      <c r="U223" s="251">
        <f t="shared" si="84"/>
        <v>1.4363944128071737</v>
      </c>
      <c r="V223" s="383">
        <f t="shared" si="85"/>
        <v>55.506071026275535</v>
      </c>
      <c r="W223" s="402">
        <f t="shared" si="86"/>
        <v>44.150792899306118</v>
      </c>
      <c r="X223" s="157">
        <f t="shared" si="87"/>
        <v>45500</v>
      </c>
      <c r="Y223" s="385">
        <f t="shared" si="88"/>
        <v>41.230632225612773</v>
      </c>
      <c r="Z223" s="385">
        <f t="shared" si="89"/>
        <v>43.304894675707047</v>
      </c>
      <c r="AA223" s="386">
        <f t="shared" si="90"/>
        <v>47.019105805234872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7.8993657278660992E-2</v>
      </c>
      <c r="AD223" s="231">
        <f>(INDEX(Models!$BJ223:$BT223,,AH223)*(1-AF223)+INDEX(Models!$BJ223:$BT223,,AH223+1)*AF223-ERP_i)*AE223*Ramure*Pc/MaxiM</f>
        <v>4.0746895376249305E-4</v>
      </c>
      <c r="AE223" s="305">
        <f t="shared" si="92"/>
        <v>0.5</v>
      </c>
      <c r="AF223" s="177">
        <f t="shared" si="93"/>
        <v>0.43639441280717373</v>
      </c>
      <c r="AG223" s="811">
        <f t="shared" si="99"/>
        <v>1</v>
      </c>
      <c r="AH223" s="176">
        <f t="shared" si="94"/>
        <v>7</v>
      </c>
      <c r="AI223" s="225">
        <f t="shared" si="95"/>
        <v>1.4363944128071737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'2023'!Wh/'2023'!Env_an*'2024'!Env_an</f>
        <v>29.86586841322854</v>
      </c>
      <c r="C224" s="841"/>
      <c r="D224" s="393">
        <f t="shared" si="77"/>
        <v>31.369070622160514</v>
      </c>
      <c r="E224" s="385">
        <f t="shared" si="75"/>
        <v>31.809834073071194</v>
      </c>
      <c r="F224" s="385">
        <f t="shared" si="78"/>
        <v>31.814119074993592</v>
      </c>
      <c r="G224" s="110">
        <f t="shared" si="76"/>
        <v>0.53923918161671658</v>
      </c>
      <c r="H224" s="414" t="b">
        <f>Wh_hp&gt;='2023'!Maxi_hp</f>
        <v>0</v>
      </c>
      <c r="I224" s="390">
        <f>IF(H224,Wh_hp,'2023'!Maxi_hp)</f>
        <v>59.643858292588483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4.7919883474968006E-2</v>
      </c>
      <c r="M224" s="845"/>
      <c r="N224" s="845"/>
      <c r="O224" s="48">
        <f>IF(t&lt;Tnet,'2023'!Resal+('2023'!Salim-'2023'!Resal)*(1-EXP(('2023'!Tnet-t)/('2023'!Tau_j))),Resal+(Salim-Resal)*(1-EXP((Tnet-t)/(Tau_j))))*Salcycl</f>
        <v>1.385620088109198E-2</v>
      </c>
      <c r="P224" s="169">
        <f>(INDEX(Models!$BJ224:$BT224,,T224)*(1-R224)+INDEX(Models!$BJ224:$BT224,,T224+1)*R224-ERP_i)*Q224*Ramure*Pc/MaxiM</f>
        <v>3.9386113118332599E-4</v>
      </c>
      <c r="Q224" s="305">
        <f t="shared" si="80"/>
        <v>0.5</v>
      </c>
      <c r="R224" s="177">
        <f t="shared" si="81"/>
        <v>0.43856688181120695</v>
      </c>
      <c r="S224" s="811">
        <f t="shared" si="82"/>
        <v>1</v>
      </c>
      <c r="T224" s="176">
        <f t="shared" si="83"/>
        <v>7</v>
      </c>
      <c r="U224" s="251">
        <f t="shared" si="84"/>
        <v>1.438566881811207</v>
      </c>
      <c r="V224" s="383">
        <f t="shared" si="85"/>
        <v>55.370840952071624</v>
      </c>
      <c r="W224" s="402">
        <f t="shared" si="86"/>
        <v>29.86586841322854</v>
      </c>
      <c r="X224" s="157">
        <f t="shared" si="87"/>
        <v>45501</v>
      </c>
      <c r="Y224" s="385">
        <f t="shared" si="88"/>
        <v>27.89214200520469</v>
      </c>
      <c r="Z224" s="385">
        <f t="shared" si="89"/>
        <v>29.296003058027683</v>
      </c>
      <c r="AA224" s="386">
        <f t="shared" si="90"/>
        <v>31.809834073071194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7.902685091877322E-2</v>
      </c>
      <c r="AD224" s="231">
        <f>(INDEX(Models!$BJ224:$BT224,,AH224)*(1-AF224)+INDEX(Models!$BJ224:$BT224,,AH224+1)*AF224-ERP_i)*AE224*Ramure*Pc/MaxiM</f>
        <v>3.9386113118332599E-4</v>
      </c>
      <c r="AE224" s="305">
        <f t="shared" si="92"/>
        <v>0.5</v>
      </c>
      <c r="AF224" s="177">
        <f t="shared" si="93"/>
        <v>0.43856688181120695</v>
      </c>
      <c r="AG224" s="811">
        <f t="shared" si="99"/>
        <v>1</v>
      </c>
      <c r="AH224" s="176">
        <f t="shared" si="94"/>
        <v>7</v>
      </c>
      <c r="AI224" s="225">
        <f t="shared" si="95"/>
        <v>1.438566881811207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'2023'!Wh/'2023'!Env_an*'2024'!Env_an</f>
        <v>50.262399590906789</v>
      </c>
      <c r="C225" s="841"/>
      <c r="D225" s="393">
        <f t="shared" si="77"/>
        <v>52.793351754913878</v>
      </c>
      <c r="E225" s="385">
        <f t="shared" si="75"/>
        <v>53.540179002813836</v>
      </c>
      <c r="F225" s="385">
        <f t="shared" si="78"/>
        <v>53.557785155470754</v>
      </c>
      <c r="G225" s="110">
        <f t="shared" si="76"/>
        <v>0.90993945501899443</v>
      </c>
      <c r="H225" s="414" t="b">
        <f>Wh_hp&gt;='2023'!Maxi_hp</f>
        <v>0</v>
      </c>
      <c r="I225" s="390">
        <f>IF(H225,Wh_hp,'2023'!Maxi_hp)</f>
        <v>55.994393253662331</v>
      </c>
      <c r="J225" s="85">
        <f>IF(H225,An,'2023'!An_max)</f>
        <v>2018</v>
      </c>
      <c r="K225" s="197">
        <f t="shared" si="79"/>
        <v>45502</v>
      </c>
      <c r="L225" s="147">
        <f>IF(t&lt;Tvie,1-EXP((T0-t)*PertePVj)+'2023'!Pspv,1-EXP((T0-t)*PertePVj)+Pspv)</f>
        <v>4.7940736472969148E-2</v>
      </c>
      <c r="M225" s="845"/>
      <c r="N225" s="845"/>
      <c r="O225" s="48">
        <f>IF(t&lt;Tnet,'2023'!Resal+('2023'!Salim-'2023'!Resal)*(1-EXP(('2023'!Tnet-t)/('2023'!Tau_j))),Resal+(Salim-Resal)*(1-EXP((Tnet-t)/(Tau_j))))*Salcycl</f>
        <v>1.3948912047169469E-2</v>
      </c>
      <c r="P225" s="169">
        <f>(INDEX(Models!$BJ225:$BT225,,T225)*(1-R225)+INDEX(Models!$BJ225:$BT225,,T225+1)*R225-ERP_i)*Q225*Ramure*Pc/MaxiM</f>
        <v>3.7724346525253033E-4</v>
      </c>
      <c r="Q225" s="305">
        <f t="shared" si="80"/>
        <v>0.5</v>
      </c>
      <c r="R225" s="177">
        <f t="shared" si="81"/>
        <v>0.44067216535808962</v>
      </c>
      <c r="S225" s="811">
        <f t="shared" si="82"/>
        <v>1</v>
      </c>
      <c r="T225" s="176">
        <f t="shared" si="83"/>
        <v>7</v>
      </c>
      <c r="U225" s="251">
        <f t="shared" si="84"/>
        <v>1.4406721653580896</v>
      </c>
      <c r="V225" s="383">
        <f t="shared" si="85"/>
        <v>55.234400711351505</v>
      </c>
      <c r="W225" s="402">
        <f t="shared" si="86"/>
        <v>50.262399590906789</v>
      </c>
      <c r="X225" s="157">
        <f t="shared" si="87"/>
        <v>45502</v>
      </c>
      <c r="Y225" s="385">
        <f t="shared" si="88"/>
        <v>46.943477456599538</v>
      </c>
      <c r="Z225" s="385">
        <f t="shared" si="89"/>
        <v>49.307306020731474</v>
      </c>
      <c r="AA225" s="386">
        <f t="shared" si="90"/>
        <v>53.540179002813836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7.905974654772642E-2</v>
      </c>
      <c r="AD225" s="231">
        <f>(INDEX(Models!$BJ225:$BT225,,AH225)*(1-AF225)+INDEX(Models!$BJ225:$BT225,,AH225+1)*AF225-ERP_i)*AE225*Ramure*Pc/MaxiM</f>
        <v>3.7724346525253033E-4</v>
      </c>
      <c r="AE225" s="305">
        <f t="shared" si="92"/>
        <v>0.5</v>
      </c>
      <c r="AF225" s="177">
        <f t="shared" si="93"/>
        <v>0.44067216535808962</v>
      </c>
      <c r="AG225" s="811">
        <f t="shared" si="99"/>
        <v>1</v>
      </c>
      <c r="AH225" s="176">
        <f t="shared" si="94"/>
        <v>7</v>
      </c>
      <c r="AI225" s="225">
        <f t="shared" si="95"/>
        <v>1.4406721653580896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'2023'!Wh/'2023'!Env_an*'2024'!Env_an</f>
        <v>52.97195704118365</v>
      </c>
      <c r="C226" s="841"/>
      <c r="D226" s="393">
        <f t="shared" si="77"/>
        <v>55.640567050582746</v>
      </c>
      <c r="E226" s="385">
        <f t="shared" si="75"/>
        <v>56.432970213447774</v>
      </c>
      <c r="F226" s="385">
        <f t="shared" si="78"/>
        <v>56.452085232605846</v>
      </c>
      <c r="G226" s="110">
        <f t="shared" si="76"/>
        <v>0.96141696876400473</v>
      </c>
      <c r="H226" s="414" t="b">
        <f>Wh_hp&gt;='2023'!Maxi_hp</f>
        <v>0</v>
      </c>
      <c r="I226" s="390">
        <f>IF(H226,Wh_hp,'2023'!Maxi_hp)</f>
        <v>58.250484133448317</v>
      </c>
      <c r="J226" s="85">
        <f>IF(H226,An,'2023'!An_max)</f>
        <v>2019</v>
      </c>
      <c r="K226" s="197">
        <f t="shared" si="79"/>
        <v>45503</v>
      </c>
      <c r="L226" s="147">
        <f>IF(t&lt;Tvie,1-EXP((T0-t)*PertePVj)+'2023'!Pspv,1-EXP((T0-t)*PertePVj)+Pspv)</f>
        <v>4.7961589014236083E-2</v>
      </c>
      <c r="M226" s="845"/>
      <c r="N226" s="845"/>
      <c r="O226" s="48">
        <f>IF(t&lt;Tnet,'2023'!Resal+('2023'!Salim-'2023'!Resal)*(1-EXP(('2023'!Tnet-t)/('2023'!Tau_j))),Resal+(Salim-Resal)*(1-EXP((Tnet-t)/(Tau_j))))*Salcycl</f>
        <v>1.4041493117727226E-2</v>
      </c>
      <c r="P226" s="169">
        <f>(INDEX(Models!$BJ226:$BT226,,T226)*(1-R226)+INDEX(Models!$BJ226:$BT226,,T226+1)*R226-ERP_i)*Q226*Ramure*Pc/MaxiM</f>
        <v>3.583480037763078E-4</v>
      </c>
      <c r="Q226" s="305">
        <f t="shared" si="80"/>
        <v>0.5</v>
      </c>
      <c r="R226" s="177">
        <f t="shared" si="81"/>
        <v>0.44271163642356259</v>
      </c>
      <c r="S226" s="811">
        <f t="shared" si="82"/>
        <v>1</v>
      </c>
      <c r="T226" s="176">
        <f t="shared" si="83"/>
        <v>7</v>
      </c>
      <c r="U226" s="251">
        <f t="shared" si="84"/>
        <v>1.4427116364235626</v>
      </c>
      <c r="V226" s="383">
        <f t="shared" si="85"/>
        <v>55.096708961356178</v>
      </c>
      <c r="W226" s="402">
        <f t="shared" si="86"/>
        <v>52.97195704118365</v>
      </c>
      <c r="X226" s="157">
        <f t="shared" si="87"/>
        <v>45503</v>
      </c>
      <c r="Y226" s="385">
        <f t="shared" si="88"/>
        <v>49.477011004567132</v>
      </c>
      <c r="Z226" s="385">
        <f t="shared" si="89"/>
        <v>51.969553364278042</v>
      </c>
      <c r="AA226" s="386">
        <f t="shared" si="90"/>
        <v>56.432970213447774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7.9092360942329257E-2</v>
      </c>
      <c r="AD226" s="231">
        <f>(INDEX(Models!$BJ226:$BT226,,AH226)*(1-AF226)+INDEX(Models!$BJ226:$BT226,,AH226+1)*AF226-ERP_i)*AE226*Ramure*Pc/MaxiM</f>
        <v>3.583480037763078E-4</v>
      </c>
      <c r="AE226" s="305">
        <f t="shared" si="92"/>
        <v>0.5</v>
      </c>
      <c r="AF226" s="177">
        <f t="shared" si="93"/>
        <v>0.44271163642356259</v>
      </c>
      <c r="AG226" s="811">
        <f t="shared" si="99"/>
        <v>1</v>
      </c>
      <c r="AH226" s="176">
        <f t="shared" si="94"/>
        <v>7</v>
      </c>
      <c r="AI226" s="225">
        <f t="shared" si="95"/>
        <v>1.4427116364235626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'2023'!Wh/'2023'!Env_an*'2024'!Env_an</f>
        <v>52.04701373610051</v>
      </c>
      <c r="C227" s="841"/>
      <c r="D227" s="393">
        <f t="shared" si="77"/>
        <v>54.670224566205476</v>
      </c>
      <c r="E227" s="385">
        <f t="shared" si="75"/>
        <v>55.454008528029703</v>
      </c>
      <c r="F227" s="385">
        <f t="shared" si="78"/>
        <v>55.471414873846861</v>
      </c>
      <c r="G227" s="110">
        <f t="shared" si="76"/>
        <v>0.94701442491019161</v>
      </c>
      <c r="H227" s="414" t="b">
        <f>Wh_hp&gt;='2023'!Maxi_hp</f>
        <v>0</v>
      </c>
      <c r="I227" s="390">
        <f>IF(H227,Wh_hp,'2023'!Maxi_hp)</f>
        <v>55.471900998050899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4.7982441098778805E-2</v>
      </c>
      <c r="M227" s="845"/>
      <c r="N227" s="845"/>
      <c r="O227" s="48">
        <f>IF(t&lt;Tnet,'2023'!Resal+('2023'!Salim-'2023'!Resal)*(1-EXP(('2023'!Tnet-t)/('2023'!Tau_j))),Resal+(Salim-Resal)*(1-EXP((Tnet-t)/(Tau_j))))*Salcycl</f>
        <v>1.4133945996492918E-2</v>
      </c>
      <c r="P227" s="169">
        <f>(INDEX(Models!$BJ227:$BT227,,T227)*(1-R227)+INDEX(Models!$BJ227:$BT227,,T227+1)*R227-ERP_i)*Q227*Ramure*Pc/MaxiM</f>
        <v>3.3947368080694063E-4</v>
      </c>
      <c r="Q227" s="305">
        <f t="shared" si="80"/>
        <v>0.5</v>
      </c>
      <c r="R227" s="177">
        <f t="shared" si="81"/>
        <v>0.44468669115223181</v>
      </c>
      <c r="S227" s="811">
        <f t="shared" si="82"/>
        <v>1</v>
      </c>
      <c r="T227" s="176">
        <f t="shared" si="83"/>
        <v>7</v>
      </c>
      <c r="U227" s="251">
        <f t="shared" si="84"/>
        <v>1.4446866911522318</v>
      </c>
      <c r="V227" s="383">
        <f t="shared" si="85"/>
        <v>54.957638617711147</v>
      </c>
      <c r="W227" s="402">
        <f t="shared" si="86"/>
        <v>52.04701373610051</v>
      </c>
      <c r="X227" s="157">
        <f t="shared" si="87"/>
        <v>45504</v>
      </c>
      <c r="Y227" s="385">
        <f t="shared" si="88"/>
        <v>48.615944049820541</v>
      </c>
      <c r="Z227" s="385">
        <f t="shared" si="89"/>
        <v>51.066226242645179</v>
      </c>
      <c r="AA227" s="386">
        <f t="shared" si="90"/>
        <v>55.454008528029703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7.9124708958896645E-2</v>
      </c>
      <c r="AD227" s="231">
        <f>(INDEX(Models!$BJ227:$BT227,,AH227)*(1-AF227)+INDEX(Models!$BJ227:$BT227,,AH227+1)*AF227-ERP_i)*AE227*Ramure*Pc/MaxiM</f>
        <v>3.3947368080694063E-4</v>
      </c>
      <c r="AE227" s="305">
        <f t="shared" si="92"/>
        <v>0.5</v>
      </c>
      <c r="AF227" s="177">
        <f t="shared" si="93"/>
        <v>0.44468669115223181</v>
      </c>
      <c r="AG227" s="811">
        <f t="shared" si="99"/>
        <v>1</v>
      </c>
      <c r="AH227" s="176">
        <f t="shared" si="94"/>
        <v>7</v>
      </c>
      <c r="AI227" s="225">
        <f t="shared" si="95"/>
        <v>1.4446866911522318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'2023'!Wh/'2023'!Env_an*'2024'!Env_an</f>
        <v>52.253442377727822</v>
      </c>
      <c r="C228" s="841"/>
      <c r="D228" s="393">
        <f t="shared" si="77"/>
        <v>54.888259569076197</v>
      </c>
      <c r="E228" s="385">
        <f t="shared" si="75"/>
        <v>55.680383872620126</v>
      </c>
      <c r="F228" s="385">
        <f t="shared" si="78"/>
        <v>55.697048704134609</v>
      </c>
      <c r="G228" s="110">
        <f t="shared" si="76"/>
        <v>0.95321053573658976</v>
      </c>
      <c r="H228" s="414" t="b">
        <f>Wh_hp&gt;='2023'!Maxi_hp</f>
        <v>0</v>
      </c>
      <c r="I228" s="390">
        <f>IF(H228,Wh_hp,'2023'!Maxi_hp)</f>
        <v>56.845203333586923</v>
      </c>
      <c r="J228" s="85">
        <f>IF(H228,An,'2023'!An_max)</f>
        <v>2019</v>
      </c>
      <c r="K228" s="197">
        <f t="shared" si="79"/>
        <v>45505</v>
      </c>
      <c r="L228" s="147">
        <f>IF(t&lt;Tvie,1-EXP((T0-t)*PertePVj)+'2023'!Pspv,1-EXP((T0-t)*PertePVj)+Pspv)</f>
        <v>4.8003292726607416E-2</v>
      </c>
      <c r="M228" s="845"/>
      <c r="N228" s="845"/>
      <c r="O228" s="48">
        <f>IF(t&lt;Tnet,'2023'!Resal+('2023'!Salim-'2023'!Resal)*(1-EXP(('2023'!Tnet-t)/('2023'!Tau_j))),Resal+(Salim-Resal)*(1-EXP((Tnet-t)/(Tau_j))))*Salcycl</f>
        <v>1.422627231443078E-2</v>
      </c>
      <c r="P228" s="169">
        <f>(INDEX(Models!$BJ228:$BT228,,T228)*(1-R228)+INDEX(Models!$BJ228:$BT228,,T228+1)*R228-ERP_i)*Q228*Ramure*Pc/MaxiM</f>
        <v>3.2062694917096217E-4</v>
      </c>
      <c r="Q228" s="305">
        <f t="shared" si="80"/>
        <v>0.5</v>
      </c>
      <c r="R228" s="177">
        <f t="shared" si="81"/>
        <v>0.44659874423686863</v>
      </c>
      <c r="S228" s="811">
        <f t="shared" si="82"/>
        <v>1</v>
      </c>
      <c r="T228" s="176">
        <f t="shared" si="83"/>
        <v>7</v>
      </c>
      <c r="U228" s="251">
        <f t="shared" si="84"/>
        <v>1.4465987442368686</v>
      </c>
      <c r="V228" s="383">
        <f t="shared" si="85"/>
        <v>54.817189602338601</v>
      </c>
      <c r="W228" s="402">
        <f t="shared" si="86"/>
        <v>52.253442377727822</v>
      </c>
      <c r="X228" s="157">
        <f t="shared" si="87"/>
        <v>45505</v>
      </c>
      <c r="Y228" s="385">
        <f t="shared" si="88"/>
        <v>48.811634508768336</v>
      </c>
      <c r="Z228" s="385">
        <f t="shared" si="89"/>
        <v>51.27290266430586</v>
      </c>
      <c r="AA228" s="386">
        <f t="shared" si="90"/>
        <v>55.680383872620126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7.9156803559351244E-2</v>
      </c>
      <c r="AD228" s="231">
        <f>(INDEX(Models!$BJ228:$BT228,,AH228)*(1-AF228)+INDEX(Models!$BJ228:$BT228,,AH228+1)*AF228-ERP_i)*AE228*Ramure*Pc/MaxiM</f>
        <v>3.2062694917096217E-4</v>
      </c>
      <c r="AE228" s="305">
        <f t="shared" si="92"/>
        <v>0.5</v>
      </c>
      <c r="AF228" s="177">
        <f t="shared" si="93"/>
        <v>0.44659874423686863</v>
      </c>
      <c r="AG228" s="811">
        <f t="shared" si="99"/>
        <v>1</v>
      </c>
      <c r="AH228" s="176">
        <f t="shared" si="94"/>
        <v>7</v>
      </c>
      <c r="AI228" s="225">
        <f t="shared" si="95"/>
        <v>1.4465987442368686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'2023'!Wh/'2023'!Env_an*'2024'!Env_an</f>
        <v>50.066319964978909</v>
      </c>
      <c r="C229" s="841"/>
      <c r="D229" s="393">
        <f t="shared" si="77"/>
        <v>52.592006030455906</v>
      </c>
      <c r="E229" s="385">
        <f t="shared" si="75"/>
        <v>53.355982244338229</v>
      </c>
      <c r="F229" s="385">
        <f t="shared" si="78"/>
        <v>53.370150286486911</v>
      </c>
      <c r="G229" s="110">
        <f t="shared" si="76"/>
        <v>0.91566837485261487</v>
      </c>
      <c r="H229" s="414" t="b">
        <f>Wh_hp&gt;='2023'!Maxi_hp</f>
        <v>0</v>
      </c>
      <c r="I229" s="390">
        <f>IF(H229,Wh_hp,'2023'!Maxi_hp)</f>
        <v>57.532187418566849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4.8024143897731908E-2</v>
      </c>
      <c r="M229" s="845"/>
      <c r="N229" s="845"/>
      <c r="O229" s="48">
        <f>IF(t&lt;Tnet,'2023'!Resal+('2023'!Salim-'2023'!Resal)*(1-EXP(('2023'!Tnet-t)/('2023'!Tau_j))),Resal+(Salim-Resal)*(1-EXP((Tnet-t)/(Tau_j))))*Salcycl</f>
        <v>1.43184734259745E-2</v>
      </c>
      <c r="P229" s="169">
        <f>(INDEX(Models!$BJ229:$BT229,,T229)*(1-R229)+INDEX(Models!$BJ229:$BT229,,T229+1)*R229-ERP_i)*Q229*Ramure*Pc/MaxiM</f>
        <v>3.0181382244179355E-4</v>
      </c>
      <c r="Q229" s="305">
        <f t="shared" si="80"/>
        <v>0.5</v>
      </c>
      <c r="R229" s="177">
        <f t="shared" si="81"/>
        <v>0.44844922455959146</v>
      </c>
      <c r="S229" s="811">
        <f t="shared" si="82"/>
        <v>1</v>
      </c>
      <c r="T229" s="176">
        <f t="shared" si="83"/>
        <v>7</v>
      </c>
      <c r="U229" s="251">
        <f t="shared" si="84"/>
        <v>1.4484492245595915</v>
      </c>
      <c r="V229" s="383">
        <f t="shared" si="85"/>
        <v>54.675361879664813</v>
      </c>
      <c r="W229" s="402">
        <f t="shared" si="86"/>
        <v>50.066319964978909</v>
      </c>
      <c r="X229" s="157">
        <f t="shared" si="87"/>
        <v>45506</v>
      </c>
      <c r="Y229" s="385">
        <f t="shared" si="88"/>
        <v>46.771329421047653</v>
      </c>
      <c r="Z229" s="385">
        <f t="shared" si="89"/>
        <v>49.130793728893835</v>
      </c>
      <c r="AA229" s="386">
        <f t="shared" si="90"/>
        <v>53.355982244338229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7.9188655849227532E-2</v>
      </c>
      <c r="AD229" s="231">
        <f>(INDEX(Models!$BJ229:$BT229,,AH229)*(1-AF229)+INDEX(Models!$BJ229:$BT229,,AH229+1)*AF229-ERP_i)*AE229*Ramure*Pc/MaxiM</f>
        <v>3.0181382244179355E-4</v>
      </c>
      <c r="AE229" s="305">
        <f t="shared" si="92"/>
        <v>0.5</v>
      </c>
      <c r="AF229" s="177">
        <f t="shared" si="93"/>
        <v>0.44844922455959146</v>
      </c>
      <c r="AG229" s="811">
        <f t="shared" si="99"/>
        <v>1</v>
      </c>
      <c r="AH229" s="176">
        <f t="shared" si="94"/>
        <v>7</v>
      </c>
      <c r="AI229" s="225">
        <f t="shared" si="95"/>
        <v>1.4484492245595915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'2023'!Wh/'2023'!Env_an*'2024'!Env_an</f>
        <v>46.981012100450798</v>
      </c>
      <c r="C230" s="841"/>
      <c r="D230" s="393">
        <f t="shared" si="77"/>
        <v>49.352135168731188</v>
      </c>
      <c r="E230" s="385">
        <f t="shared" si="75"/>
        <v>50.073725108500383</v>
      </c>
      <c r="F230" s="385">
        <f t="shared" si="78"/>
        <v>50.085096930005712</v>
      </c>
      <c r="G230" s="110">
        <f t="shared" si="76"/>
        <v>0.86148036233698444</v>
      </c>
      <c r="H230" s="414" t="b">
        <f>Wh_hp&gt;='2023'!Maxi_hp</f>
        <v>0</v>
      </c>
      <c r="I230" s="390">
        <f>IF(H230,Wh_hp,'2023'!Maxi_hp)</f>
        <v>54.820289563876685</v>
      </c>
      <c r="J230" s="85">
        <f>IF(H230,An,'2023'!An_max)</f>
        <v>2019</v>
      </c>
      <c r="K230" s="197">
        <f t="shared" si="79"/>
        <v>45507</v>
      </c>
      <c r="L230" s="147">
        <f>IF(t&lt;Tvie,1-EXP((T0-t)*PertePVj)+'2023'!Pspv,1-EXP((T0-t)*PertePVj)+Pspv)</f>
        <v>4.8044994612162162E-2</v>
      </c>
      <c r="M230" s="845"/>
      <c r="N230" s="845"/>
      <c r="O230" s="48">
        <f>IF(t&lt;Tnet,'2023'!Resal+('2023'!Salim-'2023'!Resal)*(1-EXP(('2023'!Tnet-t)/('2023'!Tau_j))),Resal+(Salim-Resal)*(1-EXP((Tnet-t)/(Tau_j))))*Salcycl</f>
        <v>1.4410550407537028E-2</v>
      </c>
      <c r="P230" s="169">
        <f>(INDEX(Models!$BJ230:$BT230,,T230)*(1-R230)+INDEX(Models!$BJ230:$BT230,,T230+1)*R230-ERP_i)*Q230*Ramure*Pc/MaxiM</f>
        <v>2.8303990317301751E-4</v>
      </c>
      <c r="Q230" s="305">
        <f t="shared" si="80"/>
        <v>0.5</v>
      </c>
      <c r="R230" s="177">
        <f t="shared" si="81"/>
        <v>0.45023957109426838</v>
      </c>
      <c r="S230" s="811">
        <f t="shared" si="82"/>
        <v>1</v>
      </c>
      <c r="T230" s="176">
        <f t="shared" si="83"/>
        <v>7</v>
      </c>
      <c r="U230" s="251">
        <f t="shared" si="84"/>
        <v>1.4502395710942684</v>
      </c>
      <c r="V230" s="383">
        <f t="shared" si="85"/>
        <v>54.532155455687345</v>
      </c>
      <c r="W230" s="402">
        <f t="shared" si="86"/>
        <v>46.981012100450798</v>
      </c>
      <c r="X230" s="157">
        <f t="shared" si="87"/>
        <v>45507</v>
      </c>
      <c r="Y230" s="385">
        <f t="shared" si="88"/>
        <v>43.891666468242086</v>
      </c>
      <c r="Z230" s="385">
        <f t="shared" si="89"/>
        <v>46.106870828795209</v>
      </c>
      <c r="AA230" s="386">
        <f t="shared" si="90"/>
        <v>50.073725108500383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7.922027512652087E-2</v>
      </c>
      <c r="AD230" s="231">
        <f>(INDEX(Models!$BJ230:$BT230,,AH230)*(1-AF230)+INDEX(Models!$BJ230:$BT230,,AH230+1)*AF230-ERP_i)*AE230*Ramure*Pc/MaxiM</f>
        <v>2.8303990317301751E-4</v>
      </c>
      <c r="AE230" s="305">
        <f t="shared" si="92"/>
        <v>0.5</v>
      </c>
      <c r="AF230" s="177">
        <f t="shared" si="93"/>
        <v>0.45023957109426838</v>
      </c>
      <c r="AG230" s="811">
        <f t="shared" si="99"/>
        <v>1</v>
      </c>
      <c r="AH230" s="176">
        <f t="shared" si="94"/>
        <v>7</v>
      </c>
      <c r="AI230" s="225">
        <f t="shared" si="95"/>
        <v>1.4502395710942684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'2023'!Wh/'2023'!Env_an*'2024'!Env_an</f>
        <v>43.710217297859053</v>
      </c>
      <c r="C231" s="841"/>
      <c r="D231" s="393">
        <f t="shared" si="77"/>
        <v>45.917269658094781</v>
      </c>
      <c r="E231" s="385">
        <f t="shared" si="75"/>
        <v>46.592984606431784</v>
      </c>
      <c r="F231" s="385">
        <f t="shared" si="78"/>
        <v>46.601847474905469</v>
      </c>
      <c r="G231" s="110">
        <f t="shared" si="76"/>
        <v>0.80362068473913539</v>
      </c>
      <c r="H231" s="414" t="b">
        <f>Wh_hp&gt;='2023'!Maxi_hp</f>
        <v>0</v>
      </c>
      <c r="I231" s="390">
        <f>IF(H231,Wh_hp,'2023'!Maxi_hp)</f>
        <v>56.442491959447445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4.8065844869908281E-2</v>
      </c>
      <c r="M231" s="845"/>
      <c r="N231" s="845"/>
      <c r="O231" s="48">
        <f>IF(t&lt;Tnet,'2023'!Resal+('2023'!Salim-'2023'!Resal)*(1-EXP(('2023'!Tnet-t)/('2023'!Tau_j))),Resal+(Salim-Resal)*(1-EXP((Tnet-t)/(Tau_j))))*Salcycl</f>
        <v>1.4502504058169489E-2</v>
      </c>
      <c r="P231" s="169">
        <f>(INDEX(Models!$BJ231:$BT231,,T231)*(1-R231)+INDEX(Models!$BJ231:$BT231,,T231+1)*R231-ERP_i)*Q231*Ramure*Pc/MaxiM</f>
        <v>2.6431041113636971E-4</v>
      </c>
      <c r="Q231" s="305">
        <f t="shared" si="80"/>
        <v>0.5</v>
      </c>
      <c r="R231" s="177">
        <f t="shared" si="81"/>
        <v>0.45197122906791076</v>
      </c>
      <c r="S231" s="811">
        <f t="shared" si="82"/>
        <v>1</v>
      </c>
      <c r="T231" s="176">
        <f t="shared" si="83"/>
        <v>7</v>
      </c>
      <c r="U231" s="251">
        <f t="shared" si="84"/>
        <v>1.4519712290679108</v>
      </c>
      <c r="V231" s="383">
        <f t="shared" si="85"/>
        <v>54.387570375246831</v>
      </c>
      <c r="W231" s="402">
        <f t="shared" si="86"/>
        <v>43.710217297859053</v>
      </c>
      <c r="X231" s="157">
        <f t="shared" si="87"/>
        <v>45508</v>
      </c>
      <c r="Y231" s="385">
        <f t="shared" si="88"/>
        <v>40.838368228221945</v>
      </c>
      <c r="Z231" s="385">
        <f t="shared" si="89"/>
        <v>42.900412815465117</v>
      </c>
      <c r="AA231" s="386">
        <f t="shared" si="90"/>
        <v>46.592984606431784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7.9251668940240841E-2</v>
      </c>
      <c r="AD231" s="231">
        <f>(INDEX(Models!$BJ231:$BT231,,AH231)*(1-AF231)+INDEX(Models!$BJ231:$BT231,,AH231+1)*AF231-ERP_i)*AE231*Ramure*Pc/MaxiM</f>
        <v>2.6431041113636971E-4</v>
      </c>
      <c r="AE231" s="305">
        <f t="shared" si="92"/>
        <v>0.5</v>
      </c>
      <c r="AF231" s="177">
        <f t="shared" si="93"/>
        <v>0.45197122906791076</v>
      </c>
      <c r="AG231" s="811">
        <f t="shared" si="99"/>
        <v>1</v>
      </c>
      <c r="AH231" s="176">
        <f t="shared" si="94"/>
        <v>7</v>
      </c>
      <c r="AI231" s="225">
        <f t="shared" si="95"/>
        <v>1.4519712290679108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'2023'!Wh/'2023'!Env_an*'2024'!Env_an</f>
        <v>47.89659842595362</v>
      </c>
      <c r="C232" s="841"/>
      <c r="D232" s="393">
        <f t="shared" si="77"/>
        <v>50.316135049082668</v>
      </c>
      <c r="E232" s="385">
        <f t="shared" si="75"/>
        <v>51.06134136552766</v>
      </c>
      <c r="F232" s="385">
        <f t="shared" si="78"/>
        <v>51.071789786783562</v>
      </c>
      <c r="G232" s="110">
        <f t="shared" si="76"/>
        <v>0.88298697068073562</v>
      </c>
      <c r="H232" s="414" t="b">
        <f>Wh_hp&gt;='2023'!Maxi_hp</f>
        <v>0</v>
      </c>
      <c r="I232" s="390">
        <f>IF(H232,Wh_hp,'2023'!Maxi_hp)</f>
        <v>57.46185272567628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4.8086694670980257E-2</v>
      </c>
      <c r="M232" s="845"/>
      <c r="N232" s="845"/>
      <c r="O232" s="48">
        <f>IF(t&lt;Tnet,'2023'!Resal+('2023'!Salim-'2023'!Resal)*(1-EXP(('2023'!Tnet-t)/('2023'!Tau_j))),Resal+(Salim-Resal)*(1-EXP((Tnet-t)/(Tau_j))))*Salcycl</f>
        <v>1.4594334902218014E-2</v>
      </c>
      <c r="P232" s="169">
        <f>(INDEX(Models!$BJ232:$BT232,,T232)*(1-R232)+INDEX(Models!$BJ232:$BT232,,T232+1)*R232-ERP_i)*Q232*Ramure*Pc/MaxiM</f>
        <v>2.4563021128518454E-4</v>
      </c>
      <c r="Q232" s="305">
        <f t="shared" si="80"/>
        <v>0.5</v>
      </c>
      <c r="R232" s="177">
        <f t="shared" si="81"/>
        <v>0.45364564637744231</v>
      </c>
      <c r="S232" s="811">
        <f t="shared" si="82"/>
        <v>1</v>
      </c>
      <c r="T232" s="176">
        <f t="shared" si="83"/>
        <v>7</v>
      </c>
      <c r="U232" s="251">
        <f t="shared" si="84"/>
        <v>1.4536456463774423</v>
      </c>
      <c r="V232" s="383">
        <f t="shared" si="85"/>
        <v>54.241606720587569</v>
      </c>
      <c r="W232" s="402">
        <f t="shared" si="86"/>
        <v>47.89659842595362</v>
      </c>
      <c r="X232" s="157">
        <f t="shared" si="87"/>
        <v>45509</v>
      </c>
      <c r="Y232" s="385">
        <f t="shared" si="88"/>
        <v>44.752350719230911</v>
      </c>
      <c r="Z232" s="385">
        <f t="shared" si="89"/>
        <v>47.013053046635051</v>
      </c>
      <c r="AA232" s="386">
        <f t="shared" si="90"/>
        <v>51.06134136552766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7.9282843157459107E-2</v>
      </c>
      <c r="AD232" s="231">
        <f>(INDEX(Models!$BJ232:$BT232,,AH232)*(1-AF232)+INDEX(Models!$BJ232:$BT232,,AH232+1)*AF232-ERP_i)*AE232*Ramure*Pc/MaxiM</f>
        <v>2.4563021128518454E-4</v>
      </c>
      <c r="AE232" s="305">
        <f t="shared" si="92"/>
        <v>0.5</v>
      </c>
      <c r="AF232" s="177">
        <f t="shared" si="93"/>
        <v>0.45364564637744231</v>
      </c>
      <c r="AG232" s="811">
        <f t="shared" si="99"/>
        <v>1</v>
      </c>
      <c r="AH232" s="176">
        <f t="shared" si="94"/>
        <v>7</v>
      </c>
      <c r="AI232" s="225">
        <f t="shared" si="95"/>
        <v>1.4536456463774423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'2023'!Wh/'2023'!Env_an*'2024'!Env_an</f>
        <v>50.907954430125265</v>
      </c>
      <c r="C233" s="841"/>
      <c r="D233" s="393">
        <f t="shared" si="77"/>
        <v>53.480783580186525</v>
      </c>
      <c r="E233" s="385">
        <f t="shared" ref="E233:E296" si="100">Wh_pvt/(1-Psa)</f>
        <v>54.277911330455169</v>
      </c>
      <c r="F233" s="385">
        <f t="shared" si="78"/>
        <v>54.289198058698624</v>
      </c>
      <c r="G233" s="110">
        <f t="shared" ref="G233:G296" si="101">+Wh_hp/MaxiM</f>
        <v>0.94107530235990222</v>
      </c>
      <c r="H233" s="414" t="b">
        <f>Wh_hp&gt;='2023'!Maxi_hp</f>
        <v>0</v>
      </c>
      <c r="I233" s="390">
        <f>IF(H233,Wh_hp,'2023'!Maxi_hp)</f>
        <v>55.820902062700583</v>
      </c>
      <c r="J233" s="85">
        <f>IF(H233,An,'2023'!An_max)</f>
        <v>2020</v>
      </c>
      <c r="K233" s="197">
        <f t="shared" si="79"/>
        <v>45510</v>
      </c>
      <c r="L233" s="147">
        <f>IF(t&lt;Tvie,1-EXP((T0-t)*PertePVj)+'2023'!Pspv,1-EXP((T0-t)*PertePVj)+Pspv)</f>
        <v>4.8107544015387971E-2</v>
      </c>
      <c r="M233" s="845"/>
      <c r="N233" s="845"/>
      <c r="O233" s="48">
        <f>IF(t&lt;Tnet,'2023'!Resal+('2023'!Salim-'2023'!Resal)*(1-EXP(('2023'!Tnet-t)/('2023'!Tau_j))),Resal+(Salim-Resal)*(1-EXP((Tnet-t)/(Tau_j))))*Salcycl</f>
        <v>1.468604319380603E-2</v>
      </c>
      <c r="P233" s="169">
        <f>(INDEX(Models!$BJ233:$BT233,,T233)*(1-R233)+INDEX(Models!$BJ233:$BT233,,T233+1)*R233-ERP_i)*Q233*Ramure*Pc/MaxiM</f>
        <v>2.270029258751635E-4</v>
      </c>
      <c r="Q233" s="305">
        <f t="shared" si="80"/>
        <v>0.5</v>
      </c>
      <c r="R233" s="177">
        <f t="shared" si="81"/>
        <v>0.45526427025700578</v>
      </c>
      <c r="S233" s="811">
        <f t="shared" si="82"/>
        <v>1</v>
      </c>
      <c r="T233" s="176">
        <f t="shared" si="83"/>
        <v>7</v>
      </c>
      <c r="U233" s="251">
        <f t="shared" si="84"/>
        <v>1.4552642702570058</v>
      </c>
      <c r="V233" s="383">
        <f t="shared" si="85"/>
        <v>54.094482782711893</v>
      </c>
      <c r="W233" s="402">
        <f t="shared" si="86"/>
        <v>50.907954430125265</v>
      </c>
      <c r="X233" s="157">
        <f t="shared" si="87"/>
        <v>45510</v>
      </c>
      <c r="Y233" s="385">
        <f t="shared" si="88"/>
        <v>47.568849184113368</v>
      </c>
      <c r="Z233" s="385">
        <f t="shared" si="89"/>
        <v>49.972923816177769</v>
      </c>
      <c r="AA233" s="386">
        <f t="shared" si="90"/>
        <v>54.277911330455169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7.9313802037586645E-2</v>
      </c>
      <c r="AD233" s="231">
        <f>(INDEX(Models!$BJ233:$BT233,,AH233)*(1-AF233)+INDEX(Models!$BJ233:$BT233,,AH233+1)*AF233-ERP_i)*AE233*Ramure*Pc/MaxiM</f>
        <v>2.270029258751635E-4</v>
      </c>
      <c r="AE233" s="305">
        <f t="shared" si="92"/>
        <v>0.5</v>
      </c>
      <c r="AF233" s="177">
        <f t="shared" si="93"/>
        <v>0.45526427025700578</v>
      </c>
      <c r="AG233" s="811">
        <f t="shared" si="99"/>
        <v>1</v>
      </c>
      <c r="AH233" s="176">
        <f t="shared" si="94"/>
        <v>7</v>
      </c>
      <c r="AI233" s="225">
        <f t="shared" si="95"/>
        <v>1.4552642702570058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'2023'!Wh/'2023'!Env_an*'2024'!Env_an</f>
        <v>51.724499720507481</v>
      </c>
      <c r="C234" s="841"/>
      <c r="D234" s="393">
        <f t="shared" si="77"/>
        <v>54.339786306121241</v>
      </c>
      <c r="E234" s="385">
        <f t="shared" si="100"/>
        <v>55.154844125917258</v>
      </c>
      <c r="F234" s="385">
        <f t="shared" si="78"/>
        <v>55.165685772852981</v>
      </c>
      <c r="G234" s="110">
        <f t="shared" si="101"/>
        <v>0.95880229550905227</v>
      </c>
      <c r="H234" s="414" t="b">
        <f>Wh_hp&gt;='2023'!Maxi_hp</f>
        <v>0</v>
      </c>
      <c r="I234" s="390">
        <f>IF(H234,Wh_hp,'2023'!Maxi_hp)</f>
        <v>55.165911052981301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4.8128392903141637E-2</v>
      </c>
      <c r="M234" s="845"/>
      <c r="N234" s="845"/>
      <c r="O234" s="48">
        <f>IF(t&lt;Tnet,'2023'!Resal+('2023'!Salim-'2023'!Resal)*(1-EXP(('2023'!Tnet-t)/('2023'!Tau_j))),Resal+(Salim-Resal)*(1-EXP((Tnet-t)/(Tau_j))))*Salcycl</f>
        <v>1.4777628922951076E-2</v>
      </c>
      <c r="P234" s="169">
        <f>(INDEX(Models!$BJ234:$BT234,,T234)*(1-R234)+INDEX(Models!$BJ234:$BT234,,T234+1)*R234-ERP_i)*Q234*Ramure*Pc/MaxiM</f>
        <v>2.0881486319952597E-4</v>
      </c>
      <c r="Q234" s="305">
        <f t="shared" si="80"/>
        <v>0.5</v>
      </c>
      <c r="R234" s="177">
        <f t="shared" si="81"/>
        <v>0.45682854418992735</v>
      </c>
      <c r="S234" s="811">
        <f t="shared" si="82"/>
        <v>1</v>
      </c>
      <c r="T234" s="176">
        <f t="shared" si="83"/>
        <v>7</v>
      </c>
      <c r="U234" s="251">
        <f t="shared" si="84"/>
        <v>1.4568285441899274</v>
      </c>
      <c r="V234" s="383">
        <f t="shared" si="85"/>
        <v>53.946329027622681</v>
      </c>
      <c r="W234" s="402">
        <f t="shared" si="86"/>
        <v>51.724499720507481</v>
      </c>
      <c r="X234" s="157">
        <f t="shared" si="87"/>
        <v>45511</v>
      </c>
      <c r="Y234" s="385">
        <f t="shared" si="88"/>
        <v>48.334715137894172</v>
      </c>
      <c r="Z234" s="385">
        <f t="shared" si="89"/>
        <v>50.778607931495785</v>
      </c>
      <c r="AA234" s="386">
        <f t="shared" si="90"/>
        <v>55.154844125917258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7.9344548312576521E-2</v>
      </c>
      <c r="AD234" s="231">
        <f>(INDEX(Models!$BJ234:$BT234,,AH234)*(1-AF234)+INDEX(Models!$BJ234:$BT234,,AH234+1)*AF234-ERP_i)*AE234*Ramure*Pc/MaxiM</f>
        <v>2.0881486319952597E-4</v>
      </c>
      <c r="AE234" s="305">
        <f t="shared" si="92"/>
        <v>0.5</v>
      </c>
      <c r="AF234" s="177">
        <f t="shared" si="93"/>
        <v>0.45682854418992735</v>
      </c>
      <c r="AG234" s="811">
        <f t="shared" si="99"/>
        <v>1</v>
      </c>
      <c r="AH234" s="176">
        <f t="shared" si="94"/>
        <v>7</v>
      </c>
      <c r="AI234" s="225">
        <f t="shared" si="95"/>
        <v>1.4568285441899274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'2023'!Wh/'2023'!Env_an*'2024'!Env_an</f>
        <v>49.993534741737967</v>
      </c>
      <c r="C235" s="841"/>
      <c r="D235" s="393">
        <f t="shared" si="77"/>
        <v>52.522450905871111</v>
      </c>
      <c r="E235" s="385">
        <f t="shared" si="100"/>
        <v>53.315199502846291</v>
      </c>
      <c r="F235" s="385">
        <f t="shared" si="78"/>
        <v>53.324388131097216</v>
      </c>
      <c r="G235" s="110">
        <f t="shared" si="101"/>
        <v>0.9292814678091208</v>
      </c>
      <c r="H235" s="414" t="b">
        <f>Wh_hp&gt;='2023'!Maxi_hp</f>
        <v>0</v>
      </c>
      <c r="I235" s="390">
        <f>IF(H235,Wh_hp,'2023'!Maxi_hp)</f>
        <v>55.939165383860541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4.8149241334251136E-2</v>
      </c>
      <c r="M235" s="845"/>
      <c r="N235" s="845"/>
      <c r="O235" s="48">
        <f>IF(t&lt;Tnet,'2023'!Resal+('2023'!Salim-'2023'!Resal)*(1-EXP(('2023'!Tnet-t)/('2023'!Tau_j))),Resal+(Salim-Resal)*(1-EXP((Tnet-t)/(Tau_j))))*Salcycl</f>
        <v>1.4869091823108698E-2</v>
      </c>
      <c r="P235" s="169">
        <f>(INDEX(Models!$BJ235:$BT235,,T235)*(1-R235)+INDEX(Models!$BJ235:$BT235,,T235+1)*R235-ERP_i)*Q235*Ramure*Pc/MaxiM</f>
        <v>1.9167500375623858E-4</v>
      </c>
      <c r="Q235" s="305">
        <f t="shared" si="80"/>
        <v>0.5</v>
      </c>
      <c r="R235" s="177">
        <f t="shared" si="81"/>
        <v>0.45833990505855571</v>
      </c>
      <c r="S235" s="811">
        <f t="shared" si="82"/>
        <v>1</v>
      </c>
      <c r="T235" s="176">
        <f t="shared" si="83"/>
        <v>7</v>
      </c>
      <c r="U235" s="251">
        <f t="shared" si="84"/>
        <v>1.4583399050585557</v>
      </c>
      <c r="V235" s="383">
        <f t="shared" si="85"/>
        <v>53.797012493770538</v>
      </c>
      <c r="W235" s="402">
        <f t="shared" si="86"/>
        <v>49.993534741737967</v>
      </c>
      <c r="X235" s="157">
        <f t="shared" si="87"/>
        <v>45512</v>
      </c>
      <c r="Y235" s="385">
        <f t="shared" si="88"/>
        <v>46.719977392385687</v>
      </c>
      <c r="Z235" s="385">
        <f t="shared" si="89"/>
        <v>49.083301102659348</v>
      </c>
      <c r="AA235" s="386">
        <f t="shared" si="90"/>
        <v>53.315199502846291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7.9375083271722893E-2</v>
      </c>
      <c r="AD235" s="231">
        <f>(INDEX(Models!$BJ235:$BT235,,AH235)*(1-AF235)+INDEX(Models!$BJ235:$BT235,,AH235+1)*AF235-ERP_i)*AE235*Ramure*Pc/MaxiM</f>
        <v>1.9167500375623858E-4</v>
      </c>
      <c r="AE235" s="305">
        <f t="shared" si="92"/>
        <v>0.5</v>
      </c>
      <c r="AF235" s="177">
        <f t="shared" si="93"/>
        <v>0.45833990505855571</v>
      </c>
      <c r="AG235" s="811">
        <f t="shared" si="99"/>
        <v>1</v>
      </c>
      <c r="AH235" s="176">
        <f t="shared" si="94"/>
        <v>7</v>
      </c>
      <c r="AI235" s="225">
        <f t="shared" si="95"/>
        <v>1.4583399050585557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'2023'!Wh/'2023'!Env_an*'2024'!Env_an</f>
        <v>47.934146941686002</v>
      </c>
      <c r="C236" s="841"/>
      <c r="D236" s="393">
        <f t="shared" si="77"/>
        <v>50.359992266762745</v>
      </c>
      <c r="E236" s="385">
        <f t="shared" si="100"/>
        <v>51.124841956664845</v>
      </c>
      <c r="F236" s="385">
        <f t="shared" si="78"/>
        <v>51.132454668989425</v>
      </c>
      <c r="G236" s="110">
        <f t="shared" si="101"/>
        <v>0.8934958745662499</v>
      </c>
      <c r="H236" s="414" t="b">
        <f>Wh_hp&gt;='2023'!Maxi_hp</f>
        <v>0</v>
      </c>
      <c r="I236" s="390">
        <f>IF(H236,Wh_hp,'2023'!Maxi_hp)</f>
        <v>53.022413412282127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4.8170089308726571E-2</v>
      </c>
      <c r="M236" s="845"/>
      <c r="N236" s="845"/>
      <c r="O236" s="48">
        <f>IF(t&lt;Tnet,'2023'!Resal+('2023'!Salim-'2023'!Resal)*(1-EXP(('2023'!Tnet-t)/('2023'!Tau_j))),Resal+(Salim-Resal)*(1-EXP((Tnet-t)/(Tau_j))))*Salcycl</f>
        <v>1.4960431379923061E-2</v>
      </c>
      <c r="P236" s="169">
        <f>(INDEX(Models!$BJ236:$BT236,,T236)*(1-R236)+INDEX(Models!$BJ236:$BT236,,T236+1)*R236-ERP_i)*Q236*Ramure*Pc/MaxiM</f>
        <v>1.7559237207390941E-4</v>
      </c>
      <c r="Q236" s="305">
        <f t="shared" si="80"/>
        <v>0.5</v>
      </c>
      <c r="R236" s="177">
        <f t="shared" si="81"/>
        <v>0.45979978052445292</v>
      </c>
      <c r="S236" s="811">
        <f t="shared" si="82"/>
        <v>1</v>
      </c>
      <c r="T236" s="176">
        <f t="shared" si="83"/>
        <v>7</v>
      </c>
      <c r="U236" s="251">
        <f t="shared" si="84"/>
        <v>1.4597997805244529</v>
      </c>
      <c r="V236" s="383">
        <f t="shared" si="85"/>
        <v>53.646432833255865</v>
      </c>
      <c r="W236" s="402">
        <f t="shared" si="86"/>
        <v>47.934146941686002</v>
      </c>
      <c r="X236" s="157">
        <f t="shared" si="87"/>
        <v>45513</v>
      </c>
      <c r="Y236" s="385">
        <f t="shared" si="88"/>
        <v>44.798115636720169</v>
      </c>
      <c r="Z236" s="385">
        <f t="shared" si="89"/>
        <v>47.065253080968226</v>
      </c>
      <c r="AA236" s="386">
        <f t="shared" si="90"/>
        <v>51.124841956664845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7.9405406849720153E-2</v>
      </c>
      <c r="AD236" s="231">
        <f>(INDEX(Models!$BJ236:$BT236,,AH236)*(1-AF236)+INDEX(Models!$BJ236:$BT236,,AH236+1)*AF236-ERP_i)*AE236*Ramure*Pc/MaxiM</f>
        <v>1.7559237207390941E-4</v>
      </c>
      <c r="AE236" s="305">
        <f t="shared" si="92"/>
        <v>0.5</v>
      </c>
      <c r="AF236" s="177">
        <f t="shared" si="93"/>
        <v>0.45979978052445292</v>
      </c>
      <c r="AG236" s="811">
        <f t="shared" si="99"/>
        <v>1</v>
      </c>
      <c r="AH236" s="176">
        <f t="shared" si="94"/>
        <v>7</v>
      </c>
      <c r="AI236" s="225">
        <f t="shared" si="95"/>
        <v>1.4597997805244529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'2023'!Wh/'2023'!Env_an*'2024'!Env_an</f>
        <v>44.109943000765369</v>
      </c>
      <c r="C237" s="841"/>
      <c r="D237" s="393">
        <f t="shared" si="77"/>
        <v>46.343268526671316</v>
      </c>
      <c r="E237" s="385">
        <f t="shared" si="100"/>
        <v>47.051470646185152</v>
      </c>
      <c r="F237" s="385">
        <f t="shared" si="78"/>
        <v>47.057133185333974</v>
      </c>
      <c r="G237" s="110">
        <f t="shared" si="101"/>
        <v>0.82453665561190315</v>
      </c>
      <c r="H237" s="414" t="b">
        <f>Wh_hp&gt;='2023'!Maxi_hp</f>
        <v>0</v>
      </c>
      <c r="I237" s="390">
        <f>IF(H237,Wh_hp,'2023'!Maxi_hp)</f>
        <v>54.934751797677123</v>
      </c>
      <c r="J237" s="85">
        <f>IF(H237,An,'2023'!An_max)</f>
        <v>2018</v>
      </c>
      <c r="K237" s="197">
        <f t="shared" si="79"/>
        <v>45514</v>
      </c>
      <c r="L237" s="147">
        <f>IF(t&lt;Tvie,1-EXP((T0-t)*PertePVj)+'2023'!Pspv,1-EXP((T0-t)*PertePVj)+Pspv)</f>
        <v>4.8190936826577713E-2</v>
      </c>
      <c r="M237" s="845"/>
      <c r="N237" s="845"/>
      <c r="O237" s="48">
        <f>IF(t&lt;Tnet,'2023'!Resal+('2023'!Salim-'2023'!Resal)*(1-EXP(('2023'!Tnet-t)/('2023'!Tau_j))),Resal+(Salim-Resal)*(1-EXP((Tnet-t)/(Tau_j))))*Salcycl</f>
        <v>1.5051646840952818E-2</v>
      </c>
      <c r="P237" s="169">
        <f>(INDEX(Models!$BJ237:$BT237,,T237)*(1-R237)+INDEX(Models!$BJ237:$BT237,,T237+1)*R237-ERP_i)*Q237*Ramure*Pc/MaxiM</f>
        <v>1.6057593986538882E-4</v>
      </c>
      <c r="Q237" s="305">
        <f t="shared" si="80"/>
        <v>0.5</v>
      </c>
      <c r="R237" s="177">
        <f t="shared" si="81"/>
        <v>0.46120958663079525</v>
      </c>
      <c r="S237" s="811">
        <f t="shared" si="82"/>
        <v>1</v>
      </c>
      <c r="T237" s="176">
        <f t="shared" si="83"/>
        <v>7</v>
      </c>
      <c r="U237" s="251">
        <f t="shared" si="84"/>
        <v>1.4612095866307953</v>
      </c>
      <c r="V237" s="383">
        <f t="shared" si="85"/>
        <v>53.49448976642158</v>
      </c>
      <c r="W237" s="402">
        <f t="shared" si="86"/>
        <v>44.109943000765369</v>
      </c>
      <c r="X237" s="157">
        <f t="shared" si="87"/>
        <v>45514</v>
      </c>
      <c r="Y237" s="385">
        <f t="shared" si="88"/>
        <v>41.226574684663326</v>
      </c>
      <c r="Z237" s="385">
        <f t="shared" si="89"/>
        <v>43.313912716075627</v>
      </c>
      <c r="AA237" s="386">
        <f t="shared" si="90"/>
        <v>47.051470646185152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7.9435517716650889E-2</v>
      </c>
      <c r="AD237" s="231">
        <f>(INDEX(Models!$BJ237:$BT237,,AH237)*(1-AF237)+INDEX(Models!$BJ237:$BT237,,AH237+1)*AF237-ERP_i)*AE237*Ramure*Pc/MaxiM</f>
        <v>1.6057593986538882E-4</v>
      </c>
      <c r="AE237" s="305">
        <f t="shared" si="92"/>
        <v>0.5</v>
      </c>
      <c r="AF237" s="177">
        <f t="shared" si="93"/>
        <v>0.46120958663079525</v>
      </c>
      <c r="AG237" s="811">
        <f t="shared" si="99"/>
        <v>1</v>
      </c>
      <c r="AH237" s="176">
        <f t="shared" si="94"/>
        <v>7</v>
      </c>
      <c r="AI237" s="225">
        <f t="shared" si="95"/>
        <v>1.4612095866307953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'2023'!Wh/'2023'!Env_an*'2024'!Env_an</f>
        <v>46.291885271208244</v>
      </c>
      <c r="C238" s="841"/>
      <c r="D238" s="393">
        <f t="shared" si="77"/>
        <v>48.636749738611933</v>
      </c>
      <c r="E238" s="385">
        <f t="shared" si="100"/>
        <v>49.38456726371269</v>
      </c>
      <c r="F238" s="385">
        <f t="shared" si="78"/>
        <v>49.390442328342097</v>
      </c>
      <c r="G238" s="110">
        <f t="shared" si="101"/>
        <v>0.8678227163610952</v>
      </c>
      <c r="H238" s="414" t="b">
        <f>Wh_hp&gt;='2023'!Maxi_hp</f>
        <v>0</v>
      </c>
      <c r="I238" s="390">
        <f>IF(H238,Wh_hp,'2023'!Maxi_hp)</f>
        <v>52.198759439863373</v>
      </c>
      <c r="J238" s="85">
        <f>IF(H238,An,'2023'!An_max)</f>
        <v>2018</v>
      </c>
      <c r="K238" s="197">
        <f t="shared" si="79"/>
        <v>45515</v>
      </c>
      <c r="L238" s="147">
        <f>IF(t&lt;Tvie,1-EXP((T0-t)*PertePVj)+'2023'!Pspv,1-EXP((T0-t)*PertePVj)+Pspv)</f>
        <v>4.8211783887814774E-2</v>
      </c>
      <c r="M238" s="845"/>
      <c r="N238" s="845"/>
      <c r="O238" s="48">
        <f>IF(t&lt;Tnet,'2023'!Resal+('2023'!Salim-'2023'!Resal)*(1-EXP(('2023'!Tnet-t)/('2023'!Tau_j))),Resal+(Salim-Resal)*(1-EXP((Tnet-t)/(Tau_j))))*Salcycl</f>
        <v>1.5142737226134382E-2</v>
      </c>
      <c r="P238" s="169">
        <f>(INDEX(Models!$BJ238:$BT238,,T238)*(1-R238)+INDEX(Models!$BJ238:$BT238,,T238+1)*R238-ERP_i)*Q238*Ramure*Pc/MaxiM</f>
        <v>1.466346588018658E-4</v>
      </c>
      <c r="Q238" s="305">
        <f t="shared" si="80"/>
        <v>0.5</v>
      </c>
      <c r="R238" s="177">
        <f t="shared" si="81"/>
        <v>0.46257072561836132</v>
      </c>
      <c r="S238" s="811">
        <f t="shared" si="82"/>
        <v>1</v>
      </c>
      <c r="T238" s="176">
        <f t="shared" si="83"/>
        <v>7</v>
      </c>
      <c r="U238" s="251">
        <f t="shared" si="84"/>
        <v>1.4625707256183613</v>
      </c>
      <c r="V238" s="383">
        <f t="shared" si="85"/>
        <v>53.341083078390589</v>
      </c>
      <c r="W238" s="402">
        <f t="shared" si="86"/>
        <v>46.291885271208244</v>
      </c>
      <c r="X238" s="157">
        <f t="shared" si="87"/>
        <v>45515</v>
      </c>
      <c r="Y238" s="385">
        <f t="shared" si="88"/>
        <v>43.268484767527717</v>
      </c>
      <c r="Z238" s="385">
        <f t="shared" si="89"/>
        <v>45.460202212072517</v>
      </c>
      <c r="AA238" s="386">
        <f t="shared" si="90"/>
        <v>49.38456726371269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7.9465413368596222E-2</v>
      </c>
      <c r="AD238" s="231">
        <f>(INDEX(Models!$BJ238:$BT238,,AH238)*(1-AF238)+INDEX(Models!$BJ238:$BT238,,AH238+1)*AF238-ERP_i)*AE238*Ramure*Pc/MaxiM</f>
        <v>1.466346588018658E-4</v>
      </c>
      <c r="AE238" s="305">
        <f t="shared" si="92"/>
        <v>0.5</v>
      </c>
      <c r="AF238" s="177">
        <f t="shared" si="93"/>
        <v>0.46257072561836132</v>
      </c>
      <c r="AG238" s="811">
        <f t="shared" si="99"/>
        <v>1</v>
      </c>
      <c r="AH238" s="176">
        <f t="shared" si="94"/>
        <v>7</v>
      </c>
      <c r="AI238" s="225">
        <f t="shared" si="95"/>
        <v>1.4625707256183613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'2023'!Wh/'2023'!Env_an*'2024'!Env_an</f>
        <v>32.245894956476938</v>
      </c>
      <c r="C239" s="841"/>
      <c r="D239" s="393">
        <f t="shared" si="77"/>
        <v>33.880017312592969</v>
      </c>
      <c r="E239" s="385">
        <f t="shared" si="100"/>
        <v>34.404119392236652</v>
      </c>
      <c r="F239" s="385">
        <f t="shared" si="78"/>
        <v>34.40613332673248</v>
      </c>
      <c r="G239" s="110">
        <f t="shared" si="101"/>
        <v>0.60623848856293228</v>
      </c>
      <c r="H239" s="414" t="b">
        <f>Wh_hp&gt;='2023'!Maxi_hp</f>
        <v>0</v>
      </c>
      <c r="I239" s="390">
        <f>IF(H239,Wh_hp,'2023'!Maxi_hp)</f>
        <v>49.571963401626377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4.8232630492447748E-2</v>
      </c>
      <c r="M239" s="845"/>
      <c r="N239" s="845"/>
      <c r="O239" s="48">
        <f>IF(t&lt;Tnet,'2023'!Resal+('2023'!Salim-'2023'!Resal)*(1-EXP(('2023'!Tnet-t)/('2023'!Tau_j))),Resal+(Salim-Resal)*(1-EXP((Tnet-t)/(Tau_j))))*Salcycl</f>
        <v>1.5233701338739828E-2</v>
      </c>
      <c r="P239" s="169">
        <f>(INDEX(Models!$BJ239:$BT239,,T239)*(1-R239)+INDEX(Models!$BJ239:$BT239,,T239+1)*R239-ERP_i)*Q239*Ramure*Pc/MaxiM</f>
        <v>1.3377749102853043E-4</v>
      </c>
      <c r="Q239" s="305">
        <f t="shared" si="80"/>
        <v>0.5</v>
      </c>
      <c r="R239" s="177">
        <f t="shared" si="81"/>
        <v>0.46388458394610499</v>
      </c>
      <c r="S239" s="811">
        <f t="shared" si="82"/>
        <v>1</v>
      </c>
      <c r="T239" s="176">
        <f t="shared" si="83"/>
        <v>7</v>
      </c>
      <c r="U239" s="251">
        <f t="shared" si="84"/>
        <v>1.463884583946105</v>
      </c>
      <c r="V239" s="383">
        <f t="shared" si="85"/>
        <v>53.186112618303163</v>
      </c>
      <c r="W239" s="402">
        <f t="shared" si="86"/>
        <v>32.245894956476938</v>
      </c>
      <c r="X239" s="157">
        <f t="shared" si="87"/>
        <v>45516</v>
      </c>
      <c r="Y239" s="385">
        <f t="shared" si="88"/>
        <v>30.141673885587341</v>
      </c>
      <c r="Z239" s="385">
        <f t="shared" si="89"/>
        <v>31.669160817293776</v>
      </c>
      <c r="AA239" s="386">
        <f t="shared" si="90"/>
        <v>34.404119392236652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7.9495090217598291E-2</v>
      </c>
      <c r="AD239" s="231">
        <f>(INDEX(Models!$BJ239:$BT239,,AH239)*(1-AF239)+INDEX(Models!$BJ239:$BT239,,AH239+1)*AF239-ERP_i)*AE239*Ramure*Pc/MaxiM</f>
        <v>1.3377749102853043E-4</v>
      </c>
      <c r="AE239" s="305">
        <f t="shared" si="92"/>
        <v>0.5</v>
      </c>
      <c r="AF239" s="177">
        <f t="shared" si="93"/>
        <v>0.46388458394610499</v>
      </c>
      <c r="AG239" s="811">
        <f t="shared" si="99"/>
        <v>1</v>
      </c>
      <c r="AH239" s="176">
        <f t="shared" si="94"/>
        <v>7</v>
      </c>
      <c r="AI239" s="225">
        <f t="shared" si="95"/>
        <v>1.463884583946105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'2023'!Wh/'2023'!Env_an*'2024'!Env_an</f>
        <v>33.524725518972268</v>
      </c>
      <c r="C240" s="841"/>
      <c r="D240" s="393">
        <f t="shared" si="77"/>
        <v>35.224426563319959</v>
      </c>
      <c r="E240" s="385">
        <f t="shared" si="100"/>
        <v>35.772625514382803</v>
      </c>
      <c r="F240" s="385">
        <f t="shared" si="78"/>
        <v>35.774701800627852</v>
      </c>
      <c r="G240" s="110">
        <f t="shared" si="101"/>
        <v>0.63214992311516716</v>
      </c>
      <c r="H240" s="414" t="b">
        <f>Wh_hp&gt;='2023'!Maxi_hp</f>
        <v>0</v>
      </c>
      <c r="I240" s="390">
        <f>IF(H240,Wh_hp,'2023'!Maxi_hp)</f>
        <v>57.385484130512104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4.8253476640486515E-2</v>
      </c>
      <c r="M240" s="845"/>
      <c r="N240" s="845"/>
      <c r="O240" s="48">
        <f>IF(t&lt;Tnet,'2023'!Resal+('2023'!Salim-'2023'!Resal)*(1-EXP(('2023'!Tnet-t)/('2023'!Tau_j))),Resal+(Salim-Resal)*(1-EXP((Tnet-t)/(Tau_j))))*Salcycl</f>
        <v>1.5324537776586489E-2</v>
      </c>
      <c r="P240" s="169">
        <f>(INDEX(Models!$BJ240:$BT240,,T240)*(1-R240)+INDEX(Models!$BJ240:$BT240,,T240+1)*R240-ERP_i)*Q240*Ramure*Pc/MaxiM</f>
        <v>1.222987364300569E-4</v>
      </c>
      <c r="Q240" s="305">
        <f t="shared" si="80"/>
        <v>0.5</v>
      </c>
      <c r="R240" s="177">
        <f t="shared" si="81"/>
        <v>0.46515253050705385</v>
      </c>
      <c r="S240" s="811">
        <f t="shared" si="82"/>
        <v>1</v>
      </c>
      <c r="T240" s="176">
        <f t="shared" si="83"/>
        <v>7</v>
      </c>
      <c r="U240" s="251">
        <f t="shared" si="84"/>
        <v>1.4651525305070539</v>
      </c>
      <c r="V240" s="383">
        <f t="shared" si="85"/>
        <v>53.029463168577472</v>
      </c>
      <c r="W240" s="402">
        <f t="shared" si="86"/>
        <v>33.524725518972268</v>
      </c>
      <c r="X240" s="157">
        <f t="shared" si="87"/>
        <v>45517</v>
      </c>
      <c r="Y240" s="385">
        <f t="shared" si="88"/>
        <v>31.338941817852792</v>
      </c>
      <c r="Z240" s="385">
        <f t="shared" si="89"/>
        <v>32.927823794124642</v>
      </c>
      <c r="AA240" s="386">
        <f t="shared" si="90"/>
        <v>35.772625514382803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7.9524543679757906E-2</v>
      </c>
      <c r="AD240" s="231">
        <f>(INDEX(Models!$BJ240:$BT240,,AH240)*(1-AF240)+INDEX(Models!$BJ240:$BT240,,AH240+1)*AF240-ERP_i)*AE240*Ramure*Pc/MaxiM</f>
        <v>1.222987364300569E-4</v>
      </c>
      <c r="AE240" s="305">
        <f t="shared" si="92"/>
        <v>0.5</v>
      </c>
      <c r="AF240" s="177">
        <f t="shared" si="93"/>
        <v>0.46515253050705385</v>
      </c>
      <c r="AG240" s="811">
        <f t="shared" si="99"/>
        <v>1</v>
      </c>
      <c r="AH240" s="176">
        <f t="shared" si="94"/>
        <v>7</v>
      </c>
      <c r="AI240" s="225">
        <f t="shared" si="95"/>
        <v>1.4651525305070539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'2023'!Wh/'2023'!Env_an*'2024'!Env_an</f>
        <v>38.439463351968968</v>
      </c>
      <c r="C241" s="841"/>
      <c r="D241" s="393">
        <f t="shared" si="77"/>
        <v>40.389225859865697</v>
      </c>
      <c r="E241" s="385">
        <f t="shared" si="100"/>
        <v>41.021583619317809</v>
      </c>
      <c r="F241" s="385">
        <f t="shared" si="78"/>
        <v>41.024372403877152</v>
      </c>
      <c r="G241" s="110">
        <f t="shared" si="101"/>
        <v>0.72700984999578744</v>
      </c>
      <c r="H241" s="414" t="b">
        <f>Wh_hp&gt;='2023'!Maxi_hp</f>
        <v>0</v>
      </c>
      <c r="I241" s="390">
        <f>IF(H241,Wh_hp,'2023'!Maxi_hp)</f>
        <v>56.300151621417385</v>
      </c>
      <c r="J241" s="85">
        <f>IF(H241,An,'2023'!An_max)</f>
        <v>2018</v>
      </c>
      <c r="K241" s="197">
        <f t="shared" si="79"/>
        <v>45518</v>
      </c>
      <c r="L241" s="147">
        <f>IF(t&lt;Tvie,1-EXP((T0-t)*PertePVj)+'2023'!Pspv,1-EXP((T0-t)*PertePVj)+Pspv)</f>
        <v>4.8274322331941177E-2</v>
      </c>
      <c r="M241" s="845"/>
      <c r="N241" s="845"/>
      <c r="O241" s="48">
        <f>IF(t&lt;Tnet,'2023'!Resal+('2023'!Salim-'2023'!Resal)*(1-EXP(('2023'!Tnet-t)/('2023'!Tau_j))),Resal+(Salim-Resal)*(1-EXP((Tnet-t)/(Tau_j))))*Salcycl</f>
        <v>1.5415244943257691E-2</v>
      </c>
      <c r="P241" s="169">
        <f>(INDEX(Models!$BJ241:$BT241,,T241)*(1-R241)+INDEX(Models!$BJ241:$BT241,,T241+1)*R241-ERP_i)*Q241*Ramure*Pc/MaxiM</f>
        <v>1.11429719063795E-4</v>
      </c>
      <c r="Q241" s="305">
        <f t="shared" si="80"/>
        <v>0.5</v>
      </c>
      <c r="R241" s="177">
        <f t="shared" si="81"/>
        <v>0.46637591503009412</v>
      </c>
      <c r="S241" s="811">
        <f t="shared" si="82"/>
        <v>1</v>
      </c>
      <c r="T241" s="176">
        <f t="shared" si="83"/>
        <v>7</v>
      </c>
      <c r="U241" s="251">
        <f t="shared" si="84"/>
        <v>1.4663759150300941</v>
      </c>
      <c r="V241" s="383">
        <f t="shared" si="85"/>
        <v>52.871075963795114</v>
      </c>
      <c r="W241" s="402">
        <f t="shared" si="86"/>
        <v>38.439463351968968</v>
      </c>
      <c r="X241" s="157">
        <f t="shared" si="87"/>
        <v>45518</v>
      </c>
      <c r="Y241" s="385">
        <f t="shared" si="88"/>
        <v>35.935412376333645</v>
      </c>
      <c r="Z241" s="385">
        <f t="shared" si="89"/>
        <v>37.758162062395392</v>
      </c>
      <c r="AA241" s="386">
        <f t="shared" si="90"/>
        <v>41.021583619317809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7.9553768260316821E-2</v>
      </c>
      <c r="AD241" s="231">
        <f>(INDEX(Models!$BJ241:$BT241,,AH241)*(1-AF241)+INDEX(Models!$BJ241:$BT241,,AH241+1)*AF241-ERP_i)*AE241*Ramure*Pc/MaxiM</f>
        <v>1.11429719063795E-4</v>
      </c>
      <c r="AE241" s="305">
        <f t="shared" si="92"/>
        <v>0.5</v>
      </c>
      <c r="AF241" s="177">
        <f t="shared" si="93"/>
        <v>0.46637591503009412</v>
      </c>
      <c r="AG241" s="811">
        <f t="shared" si="99"/>
        <v>1</v>
      </c>
      <c r="AH241" s="176">
        <f t="shared" si="94"/>
        <v>7</v>
      </c>
      <c r="AI241" s="225">
        <f t="shared" si="95"/>
        <v>1.4663759150300941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'2023'!Wh/'2023'!Env_an*'2024'!Env_an</f>
        <v>32.289256704372171</v>
      </c>
      <c r="C242" s="841"/>
      <c r="D242" s="393">
        <f t="shared" si="77"/>
        <v>33.927805769168756</v>
      </c>
      <c r="E242" s="385">
        <f t="shared" si="100"/>
        <v>34.462170010662355</v>
      </c>
      <c r="F242" s="385">
        <f t="shared" si="78"/>
        <v>34.463727019076828</v>
      </c>
      <c r="G242" s="110">
        <f t="shared" si="101"/>
        <v>0.61253893432013296</v>
      </c>
      <c r="H242" s="414" t="b">
        <f>Wh_hp&gt;='2023'!Maxi_hp</f>
        <v>0</v>
      </c>
      <c r="I242" s="390">
        <f>IF(H242,Wh_hp,'2023'!Maxi_hp)</f>
        <v>56.421516120211891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4.8295167566821617E-2</v>
      </c>
      <c r="M242" s="845"/>
      <c r="N242" s="845"/>
      <c r="O242" s="48">
        <f>IF(t&lt;Tnet,'2023'!Resal+('2023'!Salim-'2023'!Resal)*(1-EXP(('2023'!Tnet-t)/('2023'!Tau_j))),Resal+(Salim-Resal)*(1-EXP((Tnet-t)/(Tau_j))))*Salcycl</f>
        <v>1.5505821059099641E-2</v>
      </c>
      <c r="P242" s="169">
        <f>(INDEX(Models!$BJ242:$BT242,,T242)*(1-R242)+INDEX(Models!$BJ242:$BT242,,T242+1)*R242-ERP_i)*Q242*Ramure*Pc/MaxiM</f>
        <v>1.0117540834360625E-4</v>
      </c>
      <c r="Q242" s="305">
        <f t="shared" si="80"/>
        <v>0.5</v>
      </c>
      <c r="R242" s="177">
        <f t="shared" si="81"/>
        <v>0.46755606665811289</v>
      </c>
      <c r="S242" s="811">
        <f t="shared" si="82"/>
        <v>1</v>
      </c>
      <c r="T242" s="176">
        <f t="shared" si="83"/>
        <v>7</v>
      </c>
      <c r="U242" s="251">
        <f t="shared" si="84"/>
        <v>1.4675560666581129</v>
      </c>
      <c r="V242" s="383">
        <f t="shared" si="85"/>
        <v>52.710851024664819</v>
      </c>
      <c r="W242" s="402">
        <f t="shared" si="86"/>
        <v>32.289256704372171</v>
      </c>
      <c r="X242" s="157">
        <f t="shared" si="87"/>
        <v>45519</v>
      </c>
      <c r="Y242" s="385">
        <f t="shared" si="88"/>
        <v>30.187673273839717</v>
      </c>
      <c r="Z242" s="385">
        <f t="shared" si="89"/>
        <v>31.719575487139569</v>
      </c>
      <c r="AA242" s="386">
        <f t="shared" si="90"/>
        <v>34.462170010662355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7.9582757634654083E-2</v>
      </c>
      <c r="AD242" s="231">
        <f>(INDEX(Models!$BJ242:$BT242,,AH242)*(1-AF242)+INDEX(Models!$BJ242:$BT242,,AH242+1)*AF242-ERP_i)*AE242*Ramure*Pc/MaxiM</f>
        <v>1.0117540834360625E-4</v>
      </c>
      <c r="AE242" s="305">
        <f t="shared" si="92"/>
        <v>0.5</v>
      </c>
      <c r="AF242" s="177">
        <f t="shared" si="93"/>
        <v>0.46755606665811289</v>
      </c>
      <c r="AG242" s="811">
        <f t="shared" si="99"/>
        <v>1</v>
      </c>
      <c r="AH242" s="176">
        <f t="shared" si="94"/>
        <v>7</v>
      </c>
      <c r="AI242" s="225">
        <f t="shared" si="95"/>
        <v>1.4675560666581129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'2023'!Wh/'2023'!Env_an*'2024'!Env_an</f>
        <v>22.195213435986638</v>
      </c>
      <c r="C243" s="841"/>
      <c r="D243" s="393">
        <f t="shared" si="77"/>
        <v>23.322041480050579</v>
      </c>
      <c r="E243" s="385">
        <f t="shared" si="100"/>
        <v>23.691541012314946</v>
      </c>
      <c r="F243" s="385">
        <f t="shared" si="78"/>
        <v>23.691920158804361</v>
      </c>
      <c r="G243" s="110">
        <f t="shared" si="101"/>
        <v>0.42234235525134506</v>
      </c>
      <c r="H243" s="414" t="b">
        <f>Wh_hp&gt;='2023'!Maxi_hp</f>
        <v>0</v>
      </c>
      <c r="I243" s="390">
        <f>IF(H243,Wh_hp,'2023'!Maxi_hp)</f>
        <v>55.293372982977111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4.8316012345137938E-2</v>
      </c>
      <c r="M243" s="845"/>
      <c r="N243" s="845"/>
      <c r="O243" s="48">
        <f>IF(t&lt;Tnet,'2023'!Resal+('2023'!Salim-'2023'!Resal)*(1-EXP(('2023'!Tnet-t)/('2023'!Tau_j))),Resal+(Salim-Resal)*(1-EXP((Tnet-t)/(Tau_j))))*Salcycl</f>
        <v>1.5596264171769176E-2</v>
      </c>
      <c r="P243" s="169">
        <f>(INDEX(Models!$BJ243:$BT243,,T243)*(1-R243)+INDEX(Models!$BJ243:$BT243,,T243+1)*R243-ERP_i)*Q243*Ramure*Pc/MaxiM</f>
        <v>9.1540807033934263E-5</v>
      </c>
      <c r="Q243" s="305">
        <f t="shared" si="80"/>
        <v>0.5</v>
      </c>
      <c r="R243" s="177">
        <f t="shared" si="81"/>
        <v>0.46869429269296559</v>
      </c>
      <c r="S243" s="811">
        <f t="shared" si="82"/>
        <v>1</v>
      </c>
      <c r="T243" s="176">
        <f t="shared" si="83"/>
        <v>7</v>
      </c>
      <c r="U243" s="251">
        <f t="shared" si="84"/>
        <v>1.4686942926929656</v>
      </c>
      <c r="V243" s="383">
        <f t="shared" si="85"/>
        <v>52.548688427408543</v>
      </c>
      <c r="W243" s="402">
        <f t="shared" si="86"/>
        <v>22.195213435986638</v>
      </c>
      <c r="X243" s="157">
        <f t="shared" si="87"/>
        <v>45520</v>
      </c>
      <c r="Y243" s="385">
        <f t="shared" si="88"/>
        <v>20.75187075502636</v>
      </c>
      <c r="Z243" s="385">
        <f t="shared" si="89"/>
        <v>21.805421783089031</v>
      </c>
      <c r="AA243" s="386">
        <f t="shared" si="90"/>
        <v>23.691541012314946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7.9611504724217935E-2</v>
      </c>
      <c r="AD243" s="231">
        <f>(INDEX(Models!$BJ243:$BT243,,AH243)*(1-AF243)+INDEX(Models!$BJ243:$BT243,,AH243+1)*AF243-ERP_i)*AE243*Ramure*Pc/MaxiM</f>
        <v>9.1540807033934263E-5</v>
      </c>
      <c r="AE243" s="305">
        <f t="shared" si="92"/>
        <v>0.5</v>
      </c>
      <c r="AF243" s="177">
        <f t="shared" si="93"/>
        <v>0.46869429269296559</v>
      </c>
      <c r="AG243" s="811">
        <f t="shared" si="99"/>
        <v>1</v>
      </c>
      <c r="AH243" s="176">
        <f t="shared" si="94"/>
        <v>7</v>
      </c>
      <c r="AI243" s="225">
        <f t="shared" si="95"/>
        <v>1.4686942926929656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'2023'!Wh/'2023'!Env_an*'2024'!Env_an</f>
        <v>38.620390458570142</v>
      </c>
      <c r="C244" s="841"/>
      <c r="D244" s="393">
        <f t="shared" si="77"/>
        <v>40.581996612064117</v>
      </c>
      <c r="E244" s="385">
        <f t="shared" si="100"/>
        <v>41.228734125237381</v>
      </c>
      <c r="F244" s="385">
        <f t="shared" si="78"/>
        <v>41.230859667268817</v>
      </c>
      <c r="G244" s="110">
        <f t="shared" si="101"/>
        <v>0.73722575585769223</v>
      </c>
      <c r="H244" s="414" t="b">
        <f>Wh_hp&gt;='2023'!Maxi_hp</f>
        <v>0</v>
      </c>
      <c r="I244" s="390">
        <f>IF(H244,Wh_hp,'2023'!Maxi_hp)</f>
        <v>53.147705265054185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4.8336856666900241E-2</v>
      </c>
      <c r="M244" s="845"/>
      <c r="N244" s="845"/>
      <c r="O244" s="48">
        <f>IF(t&lt;Tnet,'2023'!Resal+('2023'!Salim-'2023'!Resal)*(1-EXP(('2023'!Tnet-t)/('2023'!Tau_j))),Resal+(Salim-Resal)*(1-EXP((Tnet-t)/(Tau_j))))*Salcycl</f>
        <v>1.5686572166118812E-2</v>
      </c>
      <c r="P244" s="169">
        <f>(INDEX(Models!$BJ244:$BT244,,T244)*(1-R244)+INDEX(Models!$BJ244:$BT244,,T244+1)*R244-ERP_i)*Q244*Ramure*Pc/MaxiM</f>
        <v>8.2530965092289976E-5</v>
      </c>
      <c r="Q244" s="305">
        <f t="shared" si="80"/>
        <v>0.5</v>
      </c>
      <c r="R244" s="177">
        <f t="shared" si="81"/>
        <v>0.46979187749777918</v>
      </c>
      <c r="S244" s="811">
        <f t="shared" si="82"/>
        <v>1</v>
      </c>
      <c r="T244" s="176">
        <f t="shared" si="83"/>
        <v>7</v>
      </c>
      <c r="U244" s="251">
        <f t="shared" si="84"/>
        <v>1.4697918774977792</v>
      </c>
      <c r="V244" s="383">
        <f t="shared" si="85"/>
        <v>52.384488304306871</v>
      </c>
      <c r="W244" s="402">
        <f t="shared" si="86"/>
        <v>38.620390458570142</v>
      </c>
      <c r="X244" s="157">
        <f t="shared" si="87"/>
        <v>45521</v>
      </c>
      <c r="Y244" s="385">
        <f t="shared" si="88"/>
        <v>36.111122218912492</v>
      </c>
      <c r="Z244" s="385">
        <f t="shared" si="89"/>
        <v>37.945277666672155</v>
      </c>
      <c r="AA244" s="386">
        <f t="shared" si="90"/>
        <v>41.228734125237381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7.9640001766518517E-2</v>
      </c>
      <c r="AD244" s="231">
        <f>(INDEX(Models!$BJ244:$BT244,,AH244)*(1-AF244)+INDEX(Models!$BJ244:$BT244,,AH244+1)*AF244-ERP_i)*AE244*Ramure*Pc/MaxiM</f>
        <v>8.2530965092289976E-5</v>
      </c>
      <c r="AE244" s="305">
        <f t="shared" si="92"/>
        <v>0.5</v>
      </c>
      <c r="AF244" s="177">
        <f t="shared" si="93"/>
        <v>0.46979187749777918</v>
      </c>
      <c r="AG244" s="811">
        <f t="shared" si="99"/>
        <v>1</v>
      </c>
      <c r="AH244" s="176">
        <f t="shared" si="94"/>
        <v>7</v>
      </c>
      <c r="AI244" s="225">
        <f t="shared" si="95"/>
        <v>1.4697918774977792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'2023'!Wh/'2023'!Env_an*'2024'!Env_an</f>
        <v>39.987199878635629</v>
      </c>
      <c r="C245" s="841"/>
      <c r="D245" s="393">
        <f t="shared" si="77"/>
        <v>42.019149317968299</v>
      </c>
      <c r="E245" s="385">
        <f t="shared" si="100"/>
        <v>42.692701081220747</v>
      </c>
      <c r="F245" s="385">
        <f t="shared" si="78"/>
        <v>42.694807610038367</v>
      </c>
      <c r="G245" s="110">
        <f t="shared" si="101"/>
        <v>0.76575303856987109</v>
      </c>
      <c r="H245" s="414" t="b">
        <f>Wh_hp&gt;='2023'!Maxi_hp</f>
        <v>0</v>
      </c>
      <c r="I245" s="390">
        <f>IF(H245,Wh_hp,'2023'!Maxi_hp)</f>
        <v>53.076716411968974</v>
      </c>
      <c r="J245" s="85">
        <f>IF(H245,An,'2023'!An_max)</f>
        <v>2018</v>
      </c>
      <c r="K245" s="197">
        <f t="shared" si="79"/>
        <v>45522</v>
      </c>
      <c r="L245" s="147">
        <f>IF(t&lt;Tvie,1-EXP((T0-t)*PertePVj)+'2023'!Pspv,1-EXP((T0-t)*PertePVj)+Pspv)</f>
        <v>4.8357700532118297E-2</v>
      </c>
      <c r="M245" s="845"/>
      <c r="N245" s="845"/>
      <c r="O245" s="48">
        <f>IF(t&lt;Tnet,'2023'!Resal+('2023'!Salim-'2023'!Resal)*(1-EXP(('2023'!Tnet-t)/('2023'!Tau_j))),Resal+(Salim-Resal)*(1-EXP((Tnet-t)/(Tau_j))))*Salcycl</f>
        <v>1.5776742773221247E-2</v>
      </c>
      <c r="P245" s="169">
        <f>(INDEX(Models!$BJ245:$BT245,,T245)*(1-R245)+INDEX(Models!$BJ245:$BT245,,T245+1)*R245-ERP_i)*Q245*Ramure*Pc/MaxiM</f>
        <v>7.4150992708270783E-5</v>
      </c>
      <c r="Q245" s="305">
        <f t="shared" si="80"/>
        <v>0.5</v>
      </c>
      <c r="R245" s="177">
        <f t="shared" si="81"/>
        <v>0.47085008154721852</v>
      </c>
      <c r="S245" s="811">
        <f t="shared" si="82"/>
        <v>1</v>
      </c>
      <c r="T245" s="176">
        <f t="shared" si="83"/>
        <v>7</v>
      </c>
      <c r="U245" s="251">
        <f t="shared" si="84"/>
        <v>1.4708500815472185</v>
      </c>
      <c r="V245" s="383">
        <f t="shared" si="85"/>
        <v>52.218150843171983</v>
      </c>
      <c r="W245" s="402">
        <f t="shared" si="86"/>
        <v>39.987199878635629</v>
      </c>
      <c r="X245" s="157">
        <f t="shared" si="87"/>
        <v>45522</v>
      </c>
      <c r="Y245" s="385">
        <f t="shared" si="88"/>
        <v>37.391404598931338</v>
      </c>
      <c r="Z245" s="385">
        <f t="shared" si="89"/>
        <v>39.291448709078018</v>
      </c>
      <c r="AA245" s="386">
        <f t="shared" si="90"/>
        <v>42.692701081220747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7.9668240378419977E-2</v>
      </c>
      <c r="AD245" s="231">
        <f>(INDEX(Models!$BJ245:$BT245,,AH245)*(1-AF245)+INDEX(Models!$BJ245:$BT245,,AH245+1)*AF245-ERP_i)*AE245*Ramure*Pc/MaxiM</f>
        <v>7.4150992708270783E-5</v>
      </c>
      <c r="AE245" s="305">
        <f t="shared" si="92"/>
        <v>0.5</v>
      </c>
      <c r="AF245" s="177">
        <f t="shared" si="93"/>
        <v>0.47085008154721852</v>
      </c>
      <c r="AG245" s="811">
        <f t="shared" si="99"/>
        <v>1</v>
      </c>
      <c r="AH245" s="176">
        <f t="shared" si="94"/>
        <v>7</v>
      </c>
      <c r="AI245" s="225">
        <f t="shared" si="95"/>
        <v>1.4708500815472185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'2023'!Wh/'2023'!Env_an*'2024'!Env_an</f>
        <v>47.62091319738547</v>
      </c>
      <c r="C246" s="841"/>
      <c r="D246" s="393">
        <f t="shared" si="77"/>
        <v>50.041865800914749</v>
      </c>
      <c r="E246" s="385">
        <f t="shared" si="100"/>
        <v>50.848670136734697</v>
      </c>
      <c r="F246" s="385">
        <f t="shared" si="78"/>
        <v>50.851636534873649</v>
      </c>
      <c r="G246" s="110">
        <f t="shared" si="101"/>
        <v>0.91490713648905608</v>
      </c>
      <c r="H246" s="414" t="b">
        <f>Wh_hp&gt;='2023'!Maxi_hp</f>
        <v>0</v>
      </c>
      <c r="I246" s="390">
        <f>IF(H246,Wh_hp,'2023'!Maxi_hp)</f>
        <v>53.656818151544883</v>
      </c>
      <c r="J246" s="85">
        <f>IF(H246,An,'2023'!An_max)</f>
        <v>2018</v>
      </c>
      <c r="K246" s="197">
        <f t="shared" si="79"/>
        <v>45523</v>
      </c>
      <c r="L246" s="147">
        <f>IF(t&lt;Tvie,1-EXP((T0-t)*PertePVj)+'2023'!Pspv,1-EXP((T0-t)*PertePVj)+Pspv)</f>
        <v>4.837854394080221E-2</v>
      </c>
      <c r="M246" s="845"/>
      <c r="N246" s="845"/>
      <c r="O246" s="48">
        <f>IF(t&lt;Tnet,'2023'!Resal+('2023'!Salim-'2023'!Resal)*(1-EXP(('2023'!Tnet-t)/('2023'!Tau_j))),Resal+(Salim-Resal)*(1-EXP((Tnet-t)/(Tau_j))))*Salcycl</f>
        <v>1.586677357835346E-2</v>
      </c>
      <c r="P246" s="169">
        <f>(INDEX(Models!$BJ246:$BT246,,T246)*(1-R246)+INDEX(Models!$BJ246:$BT246,,T246+1)*R246-ERP_i)*Q246*Ramure*Pc/MaxiM</f>
        <v>6.6406072672851434E-5</v>
      </c>
      <c r="Q246" s="305">
        <f t="shared" si="80"/>
        <v>0.5</v>
      </c>
      <c r="R246" s="177">
        <f t="shared" si="81"/>
        <v>0.47187014061650379</v>
      </c>
      <c r="S246" s="811">
        <f t="shared" si="82"/>
        <v>1</v>
      </c>
      <c r="T246" s="176">
        <f t="shared" si="83"/>
        <v>7</v>
      </c>
      <c r="U246" s="251">
        <f t="shared" si="84"/>
        <v>1.4718701406165038</v>
      </c>
      <c r="V246" s="383">
        <f t="shared" si="85"/>
        <v>52.049576283570332</v>
      </c>
      <c r="W246" s="402">
        <f t="shared" si="86"/>
        <v>47.62091319738547</v>
      </c>
      <c r="X246" s="157">
        <f t="shared" si="87"/>
        <v>45523</v>
      </c>
      <c r="Y246" s="385">
        <f t="shared" si="88"/>
        <v>44.532290593823156</v>
      </c>
      <c r="Z246" s="385">
        <f t="shared" si="89"/>
        <v>46.796223761323979</v>
      </c>
      <c r="AA246" s="386">
        <f t="shared" si="90"/>
        <v>50.848670136734697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7.9696211612092949E-2</v>
      </c>
      <c r="AD246" s="231">
        <f>(INDEX(Models!$BJ246:$BT246,,AH246)*(1-AF246)+INDEX(Models!$BJ246:$BT246,,AH246+1)*AF246-ERP_i)*AE246*Ramure*Pc/MaxiM</f>
        <v>6.6406072672851434E-5</v>
      </c>
      <c r="AE246" s="305">
        <f t="shared" si="92"/>
        <v>0.5</v>
      </c>
      <c r="AF246" s="177">
        <f t="shared" si="93"/>
        <v>0.47187014061650379</v>
      </c>
      <c r="AG246" s="811">
        <f t="shared" si="99"/>
        <v>1</v>
      </c>
      <c r="AH246" s="176">
        <f t="shared" si="94"/>
        <v>7</v>
      </c>
      <c r="AI246" s="225">
        <f t="shared" si="95"/>
        <v>1.4718701406165038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'2023'!Wh/'2023'!Env_an*'2024'!Env_an</f>
        <v>32.102590572490953</v>
      </c>
      <c r="C247" s="841"/>
      <c r="D247" s="393">
        <f t="shared" si="77"/>
        <v>33.735361379890143</v>
      </c>
      <c r="E247" s="385">
        <f t="shared" si="100"/>
        <v>34.282393953712806</v>
      </c>
      <c r="F247" s="385">
        <f t="shared" si="78"/>
        <v>34.283319762794008</v>
      </c>
      <c r="G247" s="110">
        <f t="shared" si="101"/>
        <v>0.61875763544886031</v>
      </c>
      <c r="H247" s="414" t="b">
        <f>Wh_hp&gt;='2023'!Maxi_hp</f>
        <v>0</v>
      </c>
      <c r="I247" s="390">
        <f>IF(H247,Wh_hp,'2023'!Maxi_hp)</f>
        <v>54.498162972904758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4.8399386892961971E-2</v>
      </c>
      <c r="M247" s="845"/>
      <c r="N247" s="845"/>
      <c r="O247" s="48">
        <f>IF(t&lt;Tnet,'2023'!Resal+('2023'!Salim-'2023'!Resal)*(1-EXP(('2023'!Tnet-t)/('2023'!Tau_j))),Resal+(Salim-Resal)*(1-EXP((Tnet-t)/(Tau_j))))*Salcycl</f>
        <v>1.595666202778168E-2</v>
      </c>
      <c r="P247" s="169">
        <f>(INDEX(Models!$BJ247:$BT247,,T247)*(1-R247)+INDEX(Models!$BJ247:$BT247,,T247+1)*R247-ERP_i)*Q247*Ramure*Pc/MaxiM</f>
        <v>5.9299193173147924E-5</v>
      </c>
      <c r="Q247" s="305">
        <f t="shared" si="80"/>
        <v>0.5</v>
      </c>
      <c r="R247" s="177">
        <f t="shared" si="81"/>
        <v>0.47285326510016801</v>
      </c>
      <c r="S247" s="811">
        <f t="shared" si="82"/>
        <v>1</v>
      </c>
      <c r="T247" s="176">
        <f t="shared" si="83"/>
        <v>7</v>
      </c>
      <c r="U247" s="251">
        <f t="shared" si="84"/>
        <v>1.472853265100168</v>
      </c>
      <c r="V247" s="383">
        <f t="shared" si="85"/>
        <v>51.880658866920172</v>
      </c>
      <c r="W247" s="402">
        <f t="shared" si="86"/>
        <v>32.102590572490953</v>
      </c>
      <c r="X247" s="157">
        <f t="shared" si="87"/>
        <v>45524</v>
      </c>
      <c r="Y247" s="385">
        <f t="shared" si="88"/>
        <v>30.022302391794831</v>
      </c>
      <c r="Z247" s="385">
        <f t="shared" si="89"/>
        <v>31.549267600585143</v>
      </c>
      <c r="AA247" s="386">
        <f t="shared" si="90"/>
        <v>34.282393953712806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7.9723906003118128E-2</v>
      </c>
      <c r="AD247" s="231">
        <f>(INDEX(Models!$BJ247:$BT247,,AH247)*(1-AF247)+INDEX(Models!$BJ247:$BT247,,AH247+1)*AF247-ERP_i)*AE247*Ramure*Pc/MaxiM</f>
        <v>5.9299193173147924E-5</v>
      </c>
      <c r="AE247" s="305">
        <f t="shared" si="92"/>
        <v>0.5</v>
      </c>
      <c r="AF247" s="177">
        <f t="shared" si="93"/>
        <v>0.47285326510016801</v>
      </c>
      <c r="AG247" s="811">
        <f t="shared" si="99"/>
        <v>1</v>
      </c>
      <c r="AH247" s="176">
        <f t="shared" si="94"/>
        <v>7</v>
      </c>
      <c r="AI247" s="225">
        <f t="shared" si="95"/>
        <v>1.472853265100168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'2023'!Wh/'2023'!Env_an*'2024'!Env_an</f>
        <v>25.011343443908668</v>
      </c>
      <c r="C248" s="841"/>
      <c r="D248" s="393">
        <f t="shared" si="77"/>
        <v>26.28402180916353</v>
      </c>
      <c r="E248" s="385">
        <f t="shared" si="100"/>
        <v>26.712664046684512</v>
      </c>
      <c r="F248" s="385">
        <f t="shared" si="78"/>
        <v>26.713035741389824</v>
      </c>
      <c r="G248" s="110">
        <f t="shared" si="101"/>
        <v>0.48363961946251344</v>
      </c>
      <c r="H248" s="414" t="b">
        <f>Wh_hp&gt;='2023'!Maxi_hp</f>
        <v>0</v>
      </c>
      <c r="I248" s="390">
        <f>IF(H248,Wh_hp,'2023'!Maxi_hp)</f>
        <v>56.835581680919191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4.8420229388607572E-2</v>
      </c>
      <c r="M248" s="845"/>
      <c r="N248" s="845"/>
      <c r="O248" s="48">
        <f>IF(t&lt;Tnet,'2023'!Resal+('2023'!Salim-'2023'!Resal)*(1-EXP(('2023'!Tnet-t)/('2023'!Tau_j))),Resal+(Salim-Resal)*(1-EXP((Tnet-t)/(Tau_j))))*Salcycl</f>
        <v>1.6046405434211479E-2</v>
      </c>
      <c r="P248" s="169">
        <f>(INDEX(Models!$BJ248:$BT248,,T248)*(1-R248)+INDEX(Models!$BJ248:$BT248,,T248+1)*R248-ERP_i)*Q248*Ramure*Pc/MaxiM</f>
        <v>5.303346973468113E-5</v>
      </c>
      <c r="Q248" s="305">
        <f t="shared" si="80"/>
        <v>0.5</v>
      </c>
      <c r="R248" s="177">
        <f t="shared" si="81"/>
        <v>0.47380063945178641</v>
      </c>
      <c r="S248" s="811">
        <f t="shared" si="82"/>
        <v>1</v>
      </c>
      <c r="T248" s="176">
        <f t="shared" si="83"/>
        <v>7</v>
      </c>
      <c r="U248" s="251">
        <f t="shared" si="84"/>
        <v>1.4738006394517864</v>
      </c>
      <c r="V248" s="383">
        <f t="shared" si="85"/>
        <v>51.712812603143654</v>
      </c>
      <c r="W248" s="402">
        <f t="shared" si="86"/>
        <v>25.011343443908668</v>
      </c>
      <c r="X248" s="157">
        <f t="shared" si="87"/>
        <v>45525</v>
      </c>
      <c r="Y248" s="385">
        <f t="shared" si="88"/>
        <v>23.39201368460267</v>
      </c>
      <c r="Z248" s="385">
        <f t="shared" si="89"/>
        <v>24.582293998929003</v>
      </c>
      <c r="AA248" s="386">
        <f t="shared" si="90"/>
        <v>26.712664046684512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7.9751313610366942E-2</v>
      </c>
      <c r="AD248" s="231">
        <f>(INDEX(Models!$BJ248:$BT248,,AH248)*(1-AF248)+INDEX(Models!$BJ248:$BT248,,AH248+1)*AF248-ERP_i)*AE248*Ramure*Pc/MaxiM</f>
        <v>5.303346973468113E-5</v>
      </c>
      <c r="AE248" s="305">
        <f t="shared" si="92"/>
        <v>0.5</v>
      </c>
      <c r="AF248" s="177">
        <f t="shared" si="93"/>
        <v>0.47380063945178641</v>
      </c>
      <c r="AG248" s="811">
        <f t="shared" si="99"/>
        <v>1</v>
      </c>
      <c r="AH248" s="176">
        <f t="shared" si="94"/>
        <v>7</v>
      </c>
      <c r="AI248" s="225">
        <f t="shared" si="95"/>
        <v>1.4738006394517864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'2023'!Wh/'2023'!Env_an*'2024'!Env_an</f>
        <v>44.738406683545655</v>
      </c>
      <c r="C249" s="841"/>
      <c r="D249" s="393">
        <f t="shared" si="77"/>
        <v>47.015907622949399</v>
      </c>
      <c r="E249" s="385">
        <f t="shared" si="100"/>
        <v>47.786998680527553</v>
      </c>
      <c r="F249" s="385">
        <f t="shared" si="78"/>
        <v>47.788829542538515</v>
      </c>
      <c r="G249" s="110">
        <f t="shared" si="101"/>
        <v>0.86793652106016117</v>
      </c>
      <c r="H249" s="414" t="b">
        <f>Wh_hp&gt;='2023'!Maxi_hp</f>
        <v>0</v>
      </c>
      <c r="I249" s="390">
        <f>IF(H249,Wh_hp,'2023'!Maxi_hp)</f>
        <v>54.138140935976416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4.8441071427749116E-2</v>
      </c>
      <c r="M249" s="845"/>
      <c r="N249" s="845"/>
      <c r="O249" s="48">
        <f>IF(t&lt;Tnet,'2023'!Resal+('2023'!Salim-'2023'!Resal)*(1-EXP(('2023'!Tnet-t)/('2023'!Tau_j))),Resal+(Salim-Resal)*(1-EXP((Tnet-t)/(Tau_j))))*Salcycl</f>
        <v>1.6136000980793194E-2</v>
      </c>
      <c r="P249" s="169">
        <f>(INDEX(Models!$BJ249:$BT249,,T249)*(1-R249)+INDEX(Models!$BJ249:$BT249,,T249+1)*R249-ERP_i)*Q249*Ramure*Pc/MaxiM</f>
        <v>4.7219518082013864E-5</v>
      </c>
      <c r="Q249" s="305">
        <f t="shared" si="80"/>
        <v>0.5</v>
      </c>
      <c r="R249" s="177">
        <f t="shared" si="81"/>
        <v>0.47471342173617259</v>
      </c>
      <c r="S249" s="811">
        <f t="shared" si="82"/>
        <v>1</v>
      </c>
      <c r="T249" s="176">
        <f t="shared" si="83"/>
        <v>7</v>
      </c>
      <c r="U249" s="251">
        <f t="shared" si="84"/>
        <v>1.4747134217361726</v>
      </c>
      <c r="V249" s="383">
        <f t="shared" si="85"/>
        <v>51.545253659041379</v>
      </c>
      <c r="W249" s="402">
        <f t="shared" si="86"/>
        <v>44.738406683545655</v>
      </c>
      <c r="X249" s="157">
        <f t="shared" si="87"/>
        <v>45526</v>
      </c>
      <c r="Y249" s="385">
        <f t="shared" si="88"/>
        <v>41.844449176898799</v>
      </c>
      <c r="Z249" s="385">
        <f t="shared" si="89"/>
        <v>43.974627235838703</v>
      </c>
      <c r="AA249" s="386">
        <f t="shared" si="90"/>
        <v>47.786998680527553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7.9778424047424662E-2</v>
      </c>
      <c r="AD249" s="231">
        <f>(INDEX(Models!$BJ249:$BT249,,AH249)*(1-AF249)+INDEX(Models!$BJ249:$BT249,,AH249+1)*AF249-ERP_i)*AE249*Ramure*Pc/MaxiM</f>
        <v>4.7219518082013864E-5</v>
      </c>
      <c r="AE249" s="305">
        <f t="shared" si="92"/>
        <v>0.5</v>
      </c>
      <c r="AF249" s="177">
        <f t="shared" si="93"/>
        <v>0.47471342173617259</v>
      </c>
      <c r="AG249" s="811">
        <f t="shared" si="99"/>
        <v>1</v>
      </c>
      <c r="AH249" s="176">
        <f t="shared" si="94"/>
        <v>7</v>
      </c>
      <c r="AI249" s="225">
        <f t="shared" si="95"/>
        <v>1.4747134217361726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'2023'!Wh/'2023'!Env_an*'2024'!Env_an</f>
        <v>46.2225519862806</v>
      </c>
      <c r="C250" s="841"/>
      <c r="D250" s="393">
        <f t="shared" si="77"/>
        <v>48.576670359581335</v>
      </c>
      <c r="E250" s="385">
        <f t="shared" si="100"/>
        <v>49.377847951466016</v>
      </c>
      <c r="F250" s="385">
        <f t="shared" si="78"/>
        <v>49.379618831932277</v>
      </c>
      <c r="G250" s="110">
        <f t="shared" si="101"/>
        <v>0.89966550189983407</v>
      </c>
      <c r="H250" s="414" t="b">
        <f>Wh_hp&gt;='2023'!Maxi_hp</f>
        <v>0</v>
      </c>
      <c r="I250" s="390">
        <f>IF(H250,Wh_hp,'2023'!Maxi_hp)</f>
        <v>54.480093410292213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4.8461913010396485E-2</v>
      </c>
      <c r="M250" s="845"/>
      <c r="N250" s="845"/>
      <c r="O250" s="48">
        <f>IF(t&lt;Tnet,'2023'!Resal+('2023'!Salim-'2023'!Resal)*(1-EXP(('2023'!Tnet-t)/('2023'!Tau_j))),Resal+(Salim-Resal)*(1-EXP((Tnet-t)/(Tau_j))))*Salcycl</f>
        <v>1.6225445723599824E-2</v>
      </c>
      <c r="P250" s="169">
        <f>(INDEX(Models!$BJ250:$BT250,,T250)*(1-R250)+INDEX(Models!$BJ250:$BT250,,T250+1)*R250-ERP_i)*Q250*Ramure*Pc/MaxiM</f>
        <v>4.1862636787811371E-5</v>
      </c>
      <c r="Q250" s="305">
        <f t="shared" si="80"/>
        <v>0.5</v>
      </c>
      <c r="R250" s="177">
        <f t="shared" si="81"/>
        <v>0.47559274328583689</v>
      </c>
      <c r="S250" s="811">
        <f t="shared" si="82"/>
        <v>1</v>
      </c>
      <c r="T250" s="176">
        <f t="shared" si="83"/>
        <v>7</v>
      </c>
      <c r="U250" s="251">
        <f t="shared" si="84"/>
        <v>1.4755927432858369</v>
      </c>
      <c r="V250" s="383">
        <f t="shared" si="85"/>
        <v>51.377178007524947</v>
      </c>
      <c r="W250" s="402">
        <f t="shared" si="86"/>
        <v>46.2225519862806</v>
      </c>
      <c r="X250" s="157">
        <f t="shared" si="87"/>
        <v>45527</v>
      </c>
      <c r="Y250" s="385">
        <f t="shared" si="88"/>
        <v>43.23526215479307</v>
      </c>
      <c r="Z250" s="385">
        <f t="shared" si="89"/>
        <v>45.43723761134688</v>
      </c>
      <c r="AA250" s="386">
        <f t="shared" si="90"/>
        <v>49.377847951466016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7.980522650546458E-2</v>
      </c>
      <c r="AD250" s="231">
        <f>(INDEX(Models!$BJ250:$BT250,,AH250)*(1-AF250)+INDEX(Models!$BJ250:$BT250,,AH250+1)*AF250-ERP_i)*AE250*Ramure*Pc/MaxiM</f>
        <v>4.1862636787811371E-5</v>
      </c>
      <c r="AE250" s="305">
        <f t="shared" si="92"/>
        <v>0.5</v>
      </c>
      <c r="AF250" s="177">
        <f t="shared" si="93"/>
        <v>0.47559274328583689</v>
      </c>
      <c r="AG250" s="811">
        <f t="shared" si="99"/>
        <v>1</v>
      </c>
      <c r="AH250" s="176">
        <f t="shared" si="94"/>
        <v>7</v>
      </c>
      <c r="AI250" s="225">
        <f t="shared" si="95"/>
        <v>1.4755927432858369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'2023'!Wh/'2023'!Env_an*'2024'!Env_an</f>
        <v>32.981444382178012</v>
      </c>
      <c r="C251" s="841"/>
      <c r="D251" s="393">
        <f t="shared" si="77"/>
        <v>34.661951242144312</v>
      </c>
      <c r="E251" s="385">
        <f t="shared" si="100"/>
        <v>35.236830855913865</v>
      </c>
      <c r="F251" s="385">
        <f t="shared" si="78"/>
        <v>35.237471147973359</v>
      </c>
      <c r="G251" s="110">
        <f t="shared" si="101"/>
        <v>0.64405883508111628</v>
      </c>
      <c r="H251" s="414" t="b">
        <f>Wh_hp&gt;='2023'!Maxi_hp</f>
        <v>0</v>
      </c>
      <c r="I251" s="390">
        <f>IF(H251,Wh_hp,'2023'!Maxi_hp)</f>
        <v>50.04617729749566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4.8482754136559669E-2</v>
      </c>
      <c r="M251" s="845"/>
      <c r="N251" s="845"/>
      <c r="O251" s="48">
        <f>IF(t&lt;Tnet,'2023'!Resal+('2023'!Salim-'2023'!Resal)*(1-EXP(('2023'!Tnet-t)/('2023'!Tau_j))),Resal+(Salim-Resal)*(1-EXP((Tnet-t)/(Tau_j))))*Salcycl</f>
        <v>1.6314736592523919E-2</v>
      </c>
      <c r="P251" s="169">
        <f>(INDEX(Models!$BJ251:$BT251,,T251)*(1-R251)+INDEX(Models!$BJ251:$BT251,,T251+1)*R251-ERP_i)*Q251*Ramure*Pc/MaxiM</f>
        <v>3.6967784715575431E-5</v>
      </c>
      <c r="Q251" s="305">
        <f t="shared" si="80"/>
        <v>0.5</v>
      </c>
      <c r="R251" s="177">
        <f t="shared" si="81"/>
        <v>0.47643970845380146</v>
      </c>
      <c r="S251" s="811">
        <f t="shared" si="82"/>
        <v>1</v>
      </c>
      <c r="T251" s="176">
        <f t="shared" si="83"/>
        <v>7</v>
      </c>
      <c r="U251" s="251">
        <f t="shared" si="84"/>
        <v>1.4764397084538015</v>
      </c>
      <c r="V251" s="383">
        <f t="shared" si="85"/>
        <v>51.207781994225158</v>
      </c>
      <c r="W251" s="402">
        <f t="shared" si="86"/>
        <v>32.981444382178012</v>
      </c>
      <c r="X251" s="157">
        <f t="shared" si="87"/>
        <v>45528</v>
      </c>
      <c r="Y251" s="385">
        <f t="shared" si="88"/>
        <v>30.851818580077246</v>
      </c>
      <c r="Z251" s="385">
        <f t="shared" si="89"/>
        <v>32.423814401893701</v>
      </c>
      <c r="AA251" s="386">
        <f t="shared" si="90"/>
        <v>35.236830855913865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7.9831709767623826E-2</v>
      </c>
      <c r="AD251" s="231">
        <f>(INDEX(Models!$BJ251:$BT251,,AH251)*(1-AF251)+INDEX(Models!$BJ251:$BT251,,AH251+1)*AF251-ERP_i)*AE251*Ramure*Pc/MaxiM</f>
        <v>3.6967784715575431E-5</v>
      </c>
      <c r="AE251" s="305">
        <f t="shared" si="92"/>
        <v>0.5</v>
      </c>
      <c r="AF251" s="177">
        <f t="shared" si="93"/>
        <v>0.47643970845380146</v>
      </c>
      <c r="AG251" s="811">
        <f t="shared" si="99"/>
        <v>1</v>
      </c>
      <c r="AH251" s="176">
        <f t="shared" si="94"/>
        <v>7</v>
      </c>
      <c r="AI251" s="225">
        <f t="shared" si="95"/>
        <v>1.4764397084538015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'2023'!Wh/'2023'!Env_an*'2024'!Env_an</f>
        <v>41.433436758940964</v>
      </c>
      <c r="C252" s="841"/>
      <c r="D252" s="393">
        <f t="shared" si="77"/>
        <v>43.545552597756746</v>
      </c>
      <c r="E252" s="385">
        <f t="shared" si="100"/>
        <v>44.271781157829444</v>
      </c>
      <c r="F252" s="385">
        <f t="shared" si="78"/>
        <v>44.272834546079551</v>
      </c>
      <c r="G252" s="110">
        <f t="shared" si="101"/>
        <v>0.81183598594510775</v>
      </c>
      <c r="H252" s="414" t="b">
        <f>Wh_hp&gt;='2023'!Maxi_hp</f>
        <v>0</v>
      </c>
      <c r="I252" s="390">
        <f>IF(H252,Wh_hp,'2023'!Maxi_hp)</f>
        <v>54.589001673677714</v>
      </c>
      <c r="J252" s="85">
        <f>IF(H252,An,'2023'!An_max)</f>
        <v>2018</v>
      </c>
      <c r="K252" s="197">
        <f t="shared" si="79"/>
        <v>45529</v>
      </c>
      <c r="L252" s="147">
        <f>IF(t&lt;Tvie,1-EXP((T0-t)*PertePVj)+'2023'!Pspv,1-EXP((T0-t)*PertePVj)+Pspv)</f>
        <v>4.8503594806248662E-2</v>
      </c>
      <c r="M252" s="845"/>
      <c r="N252" s="845"/>
      <c r="O252" s="48">
        <f>IF(t&lt;Tnet,'2023'!Resal+('2023'!Salim-'2023'!Resal)*(1-EXP(('2023'!Tnet-t)/('2023'!Tau_j))),Resal+(Salim-Resal)*(1-EXP((Tnet-t)/(Tau_j))))*Salcycl</f>
        <v>1.6403870390569678E-2</v>
      </c>
      <c r="P252" s="169">
        <f>(INDEX(Models!$BJ252:$BT252,,T252)*(1-R252)+INDEX(Models!$BJ252:$BT252,,T252+1)*R252-ERP_i)*Q252*Ramure*Pc/MaxiM</f>
        <v>3.2539609701765998E-5</v>
      </c>
      <c r="Q252" s="305">
        <f t="shared" si="80"/>
        <v>0.5</v>
      </c>
      <c r="R252" s="177">
        <f t="shared" si="81"/>
        <v>0.47725539445520515</v>
      </c>
      <c r="S252" s="811">
        <f t="shared" si="82"/>
        <v>1</v>
      </c>
      <c r="T252" s="176">
        <f t="shared" si="83"/>
        <v>7</v>
      </c>
      <c r="U252" s="251">
        <f t="shared" si="84"/>
        <v>1.4772553944552052</v>
      </c>
      <c r="V252" s="383">
        <f t="shared" si="85"/>
        <v>51.036262336141654</v>
      </c>
      <c r="W252" s="402">
        <f t="shared" si="86"/>
        <v>41.433436758940964</v>
      </c>
      <c r="X252" s="157">
        <f t="shared" si="87"/>
        <v>45529</v>
      </c>
      <c r="Y252" s="385">
        <f t="shared" si="88"/>
        <v>38.760472848024634</v>
      </c>
      <c r="Z252" s="385">
        <f t="shared" si="89"/>
        <v>40.736331358111556</v>
      </c>
      <c r="AA252" s="386">
        <f t="shared" si="90"/>
        <v>44.271781157829444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7.9857862215074876E-2</v>
      </c>
      <c r="AD252" s="231">
        <f>(INDEX(Models!$BJ252:$BT252,,AH252)*(1-AF252)+INDEX(Models!$BJ252:$BT252,,AH252+1)*AF252-ERP_i)*AE252*Ramure*Pc/MaxiM</f>
        <v>3.2539609701765998E-5</v>
      </c>
      <c r="AE252" s="305">
        <f t="shared" si="92"/>
        <v>0.5</v>
      </c>
      <c r="AF252" s="177">
        <f t="shared" si="93"/>
        <v>0.47725539445520515</v>
      </c>
      <c r="AG252" s="811">
        <f t="shared" si="99"/>
        <v>1</v>
      </c>
      <c r="AH252" s="176">
        <f t="shared" si="94"/>
        <v>7</v>
      </c>
      <c r="AI252" s="225">
        <f t="shared" si="95"/>
        <v>1.4772553944552052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'2023'!Wh/'2023'!Env_an*'2024'!Env_an</f>
        <v>48.815946385629935</v>
      </c>
      <c r="C253" s="841"/>
      <c r="D253" s="393">
        <f t="shared" si="77"/>
        <v>51.305517642619691</v>
      </c>
      <c r="E253" s="385">
        <f t="shared" si="100"/>
        <v>52.165881375392452</v>
      </c>
      <c r="F253" s="385">
        <f t="shared" si="78"/>
        <v>52.167286767976385</v>
      </c>
      <c r="G253" s="110">
        <f t="shared" si="101"/>
        <v>0.95977434410565488</v>
      </c>
      <c r="H253" s="414" t="b">
        <f>Wh_hp&gt;='2023'!Maxi_hp</f>
        <v>0</v>
      </c>
      <c r="I253" s="390">
        <f>IF(H253,Wh_hp,'2023'!Maxi_hp)</f>
        <v>52.167327430527344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4.8524435019473566E-2</v>
      </c>
      <c r="M253" s="845"/>
      <c r="N253" s="845"/>
      <c r="O253" s="48">
        <f>IF(t&lt;Tnet,'2023'!Resal+('2023'!Salim-'2023'!Resal)*(1-EXP(('2023'!Tnet-t)/('2023'!Tau_j))),Resal+(Salim-Resal)*(1-EXP((Tnet-t)/(Tau_j))))*Salcycl</f>
        <v>1.6492843791547827E-2</v>
      </c>
      <c r="P253" s="169">
        <f>(INDEX(Models!$BJ253:$BT253,,T253)*(1-R253)+INDEX(Models!$BJ253:$BT253,,T253+1)*R253-ERP_i)*Q253*Ramure*Pc/MaxiM</f>
        <v>2.8582550972316428E-5</v>
      </c>
      <c r="Q253" s="305">
        <f t="shared" si="80"/>
        <v>0.5</v>
      </c>
      <c r="R253" s="177">
        <f t="shared" si="81"/>
        <v>0.47804085129045237</v>
      </c>
      <c r="S253" s="811">
        <f t="shared" si="82"/>
        <v>1</v>
      </c>
      <c r="T253" s="176">
        <f t="shared" si="83"/>
        <v>7</v>
      </c>
      <c r="U253" s="251">
        <f t="shared" si="84"/>
        <v>1.4780408512904524</v>
      </c>
      <c r="V253" s="383">
        <f t="shared" si="85"/>
        <v>50.861816119682253</v>
      </c>
      <c r="W253" s="402">
        <f t="shared" si="86"/>
        <v>48.815946385629935</v>
      </c>
      <c r="X253" s="157">
        <f t="shared" si="87"/>
        <v>45530</v>
      </c>
      <c r="Y253" s="385">
        <f t="shared" si="88"/>
        <v>45.669570435954597</v>
      </c>
      <c r="Z253" s="385">
        <f t="shared" si="89"/>
        <v>47.998679227132122</v>
      </c>
      <c r="AA253" s="386">
        <f t="shared" si="90"/>
        <v>52.165881375392452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7.9883671825126623E-2</v>
      </c>
      <c r="AD253" s="231">
        <f>(INDEX(Models!$BJ253:$BT253,,AH253)*(1-AF253)+INDEX(Models!$BJ253:$BT253,,AH253+1)*AF253-ERP_i)*AE253*Ramure*Pc/MaxiM</f>
        <v>2.8582550972316428E-5</v>
      </c>
      <c r="AE253" s="305">
        <f t="shared" si="92"/>
        <v>0.5</v>
      </c>
      <c r="AF253" s="177">
        <f t="shared" si="93"/>
        <v>0.47804085129045237</v>
      </c>
      <c r="AG253" s="811">
        <f t="shared" si="99"/>
        <v>1</v>
      </c>
      <c r="AH253" s="176">
        <f t="shared" si="94"/>
        <v>7</v>
      </c>
      <c r="AI253" s="225">
        <f t="shared" si="95"/>
        <v>1.4780408512904524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'2023'!Wh/'2023'!Env_an*'2024'!Env_an</f>
        <v>47.90711676256187</v>
      </c>
      <c r="C254" s="841"/>
      <c r="D254" s="393">
        <f t="shared" si="77"/>
        <v>50.351441316659027</v>
      </c>
      <c r="E254" s="385">
        <f t="shared" si="100"/>
        <v>51.200429082368174</v>
      </c>
      <c r="F254" s="385">
        <f t="shared" si="78"/>
        <v>51.201623479160382</v>
      </c>
      <c r="G254" s="110">
        <f t="shared" si="101"/>
        <v>0.94521685967616453</v>
      </c>
      <c r="H254" s="414" t="b">
        <f>Wh_hp&gt;='2023'!Maxi_hp</f>
        <v>0</v>
      </c>
      <c r="I254" s="390">
        <f>IF(H254,Wh_hp,'2023'!Maxi_hp)</f>
        <v>54.458266820267049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4.8545274776244374E-2</v>
      </c>
      <c r="M254" s="845"/>
      <c r="N254" s="845"/>
      <c r="O254" s="48">
        <f>IF(t&lt;Tnet,'2023'!Resal+('2023'!Salim-'2023'!Resal)*(1-EXP(('2023'!Tnet-t)/('2023'!Tau_j))),Resal+(Salim-Resal)*(1-EXP((Tnet-t)/(Tau_j))))*Salcycl</f>
        <v>1.6581653336212223E-2</v>
      </c>
      <c r="P254" s="169">
        <f>(INDEX(Models!$BJ254:$BT254,,T254)*(1-R254)+INDEX(Models!$BJ254:$BT254,,T254+1)*R254-ERP_i)*Q254*Ramure*Pc/MaxiM</f>
        <v>2.5307891828854134E-5</v>
      </c>
      <c r="Q254" s="305">
        <f t="shared" si="80"/>
        <v>0.5</v>
      </c>
      <c r="R254" s="177">
        <f t="shared" si="81"/>
        <v>0.47879710174301215</v>
      </c>
      <c r="S254" s="811">
        <f t="shared" si="82"/>
        <v>1</v>
      </c>
      <c r="T254" s="176">
        <f t="shared" si="83"/>
        <v>7</v>
      </c>
      <c r="U254" s="251">
        <f t="shared" si="84"/>
        <v>1.4787971017430122</v>
      </c>
      <c r="V254" s="383">
        <f t="shared" si="85"/>
        <v>50.683630308291079</v>
      </c>
      <c r="W254" s="402">
        <f t="shared" si="86"/>
        <v>47.90711676256187</v>
      </c>
      <c r="X254" s="157">
        <f t="shared" si="87"/>
        <v>45531</v>
      </c>
      <c r="Y254" s="385">
        <f t="shared" si="88"/>
        <v>44.822125878238062</v>
      </c>
      <c r="Z254" s="385">
        <f t="shared" si="89"/>
        <v>47.109047535285661</v>
      </c>
      <c r="AA254" s="386">
        <f t="shared" si="90"/>
        <v>51.200429082368174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7.9909126161824537E-2</v>
      </c>
      <c r="AD254" s="231">
        <f>(INDEX(Models!$BJ254:$BT254,,AH254)*(1-AF254)+INDEX(Models!$BJ254:$BT254,,AH254+1)*AF254-ERP_i)*AE254*Ramure*Pc/MaxiM</f>
        <v>2.5307891828854134E-5</v>
      </c>
      <c r="AE254" s="305">
        <f t="shared" si="92"/>
        <v>0.5</v>
      </c>
      <c r="AF254" s="177">
        <f t="shared" si="93"/>
        <v>0.47879710174301215</v>
      </c>
      <c r="AG254" s="811">
        <f t="shared" si="99"/>
        <v>1</v>
      </c>
      <c r="AH254" s="176">
        <f t="shared" si="94"/>
        <v>7</v>
      </c>
      <c r="AI254" s="225">
        <f t="shared" si="95"/>
        <v>1.4787971017430122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'2023'!Wh/'2023'!Env_an*'2024'!Env_an</f>
        <v>32.299360955392281</v>
      </c>
      <c r="C255" s="841"/>
      <c r="D255" s="393">
        <f t="shared" si="77"/>
        <v>33.948087653030804</v>
      </c>
      <c r="E255" s="385">
        <f t="shared" si="100"/>
        <v>34.523606370428134</v>
      </c>
      <c r="F255" s="385">
        <f t="shared" si="78"/>
        <v>34.523981935214536</v>
      </c>
      <c r="G255" s="110">
        <f t="shared" si="101"/>
        <v>0.63957229800198767</v>
      </c>
      <c r="H255" s="414" t="b">
        <f>Wh_hp&gt;='2023'!Maxi_hp</f>
        <v>0</v>
      </c>
      <c r="I255" s="390">
        <f>IF(H255,Wh_hp,'2023'!Maxi_hp)</f>
        <v>53.843045701686705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4.8566114076570854E-2</v>
      </c>
      <c r="M255" s="845"/>
      <c r="N255" s="845"/>
      <c r="O255" s="48">
        <f>IF(t&lt;Tnet,'2023'!Resal+('2023'!Salim-'2023'!Resal)*(1-EXP(('2023'!Tnet-t)/('2023'!Tau_j))),Resal+(Salim-Resal)*(1-EXP((Tnet-t)/(Tau_j))))*Salcycl</f>
        <v>1.667029542690834E-2</v>
      </c>
      <c r="P255" s="169">
        <f>(INDEX(Models!$BJ255:$BT255,,T255)*(1-R255)+INDEX(Models!$BJ255:$BT255,,T255+1)*R255-ERP_i)*Q255*Ramure*Pc/MaxiM</f>
        <v>2.2424373916115648E-5</v>
      </c>
      <c r="Q255" s="305">
        <f t="shared" si="80"/>
        <v>0.5</v>
      </c>
      <c r="R255" s="177">
        <f t="shared" si="81"/>
        <v>0.47952514144530678</v>
      </c>
      <c r="S255" s="811">
        <f t="shared" si="82"/>
        <v>1</v>
      </c>
      <c r="T255" s="176">
        <f t="shared" si="83"/>
        <v>7</v>
      </c>
      <c r="U255" s="251">
        <f t="shared" si="84"/>
        <v>1.4795251414453068</v>
      </c>
      <c r="V255" s="383">
        <f t="shared" si="85"/>
        <v>50.500917759910756</v>
      </c>
      <c r="W255" s="402">
        <f t="shared" si="86"/>
        <v>32.299360955392281</v>
      </c>
      <c r="X255" s="157">
        <f t="shared" si="87"/>
        <v>45532</v>
      </c>
      <c r="Y255" s="385">
        <f t="shared" si="88"/>
        <v>30.221335569848041</v>
      </c>
      <c r="Z255" s="385">
        <f t="shared" si="89"/>
        <v>31.763989087393337</v>
      </c>
      <c r="AA255" s="386">
        <f t="shared" si="90"/>
        <v>34.523606370428134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7.9934212359650814E-2</v>
      </c>
      <c r="AD255" s="231">
        <f>(INDEX(Models!$BJ255:$BT255,,AH255)*(1-AF255)+INDEX(Models!$BJ255:$BT255,,AH255+1)*AF255-ERP_i)*AE255*Ramure*Pc/MaxiM</f>
        <v>2.2424373916115648E-5</v>
      </c>
      <c r="AE255" s="305">
        <f t="shared" si="92"/>
        <v>0.5</v>
      </c>
      <c r="AF255" s="177">
        <f t="shared" si="93"/>
        <v>0.47952514144530678</v>
      </c>
      <c r="AG255" s="811">
        <f t="shared" si="99"/>
        <v>1</v>
      </c>
      <c r="AH255" s="176">
        <f t="shared" si="94"/>
        <v>7</v>
      </c>
      <c r="AI255" s="225">
        <f t="shared" si="95"/>
        <v>1.4795251414453068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'2023'!Wh/'2023'!Env_an*'2024'!Env_an</f>
        <v>46.898213053206803</v>
      </c>
      <c r="C256" s="841"/>
      <c r="D256" s="393">
        <f t="shared" si="77"/>
        <v>49.293220433717877</v>
      </c>
      <c r="E256" s="385">
        <f t="shared" si="100"/>
        <v>50.133394273212964</v>
      </c>
      <c r="F256" s="385">
        <f t="shared" si="78"/>
        <v>50.13429683687604</v>
      </c>
      <c r="G256" s="110">
        <f t="shared" si="101"/>
        <v>0.93212961647346182</v>
      </c>
      <c r="H256" s="414" t="b">
        <f>Wh_hp&gt;='2023'!Maxi_hp</f>
        <v>0</v>
      </c>
      <c r="I256" s="390">
        <f>IF(H256,Wh_hp,'2023'!Maxi_hp)</f>
        <v>52.67575781397985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4.8586952920463333E-2</v>
      </c>
      <c r="M256" s="845"/>
      <c r="N256" s="845"/>
      <c r="O256" s="48">
        <f>IF(t&lt;Tnet,'2023'!Resal+('2023'!Salim-'2023'!Resal)*(1-EXP(('2023'!Tnet-t)/('2023'!Tau_j))),Resal+(Salim-Resal)*(1-EXP((Tnet-t)/(Tau_j))))*Salcycl</f>
        <v>1.6758766320835519E-2</v>
      </c>
      <c r="P256" s="169">
        <f>(INDEX(Models!$BJ256:$BT256,,T256)*(1-R256)+INDEX(Models!$BJ256:$BT256,,T256+1)*R256-ERP_i)*Q256*Ramure*Pc/MaxiM</f>
        <v>1.9935795991082016E-5</v>
      </c>
      <c r="Q256" s="305">
        <f t="shared" si="80"/>
        <v>0.5</v>
      </c>
      <c r="R256" s="177">
        <f t="shared" si="81"/>
        <v>0.48022593900648158</v>
      </c>
      <c r="S256" s="811">
        <f t="shared" si="82"/>
        <v>1</v>
      </c>
      <c r="T256" s="176">
        <f t="shared" si="83"/>
        <v>7</v>
      </c>
      <c r="U256" s="251">
        <f t="shared" si="84"/>
        <v>1.4802259390064816</v>
      </c>
      <c r="V256" s="383">
        <f t="shared" si="85"/>
        <v>50.312876636735986</v>
      </c>
      <c r="W256" s="402">
        <f t="shared" si="86"/>
        <v>46.898213053206803</v>
      </c>
      <c r="X256" s="157">
        <f t="shared" si="87"/>
        <v>45533</v>
      </c>
      <c r="Y256" s="385">
        <f t="shared" si="88"/>
        <v>43.883719727703813</v>
      </c>
      <c r="Z256" s="385">
        <f t="shared" si="89"/>
        <v>46.124782356527007</v>
      </c>
      <c r="AA256" s="386">
        <f t="shared" si="90"/>
        <v>50.133394273212964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7.9958917101047397E-2</v>
      </c>
      <c r="AD256" s="231">
        <f>(INDEX(Models!$BJ256:$BT256,,AH256)*(1-AF256)+INDEX(Models!$BJ256:$BT256,,AH256+1)*AF256-ERP_i)*AE256*Ramure*Pc/MaxiM</f>
        <v>1.9935795991082016E-5</v>
      </c>
      <c r="AE256" s="305">
        <f t="shared" si="92"/>
        <v>0.5</v>
      </c>
      <c r="AF256" s="177">
        <f t="shared" si="93"/>
        <v>0.48022593900648158</v>
      </c>
      <c r="AG256" s="811">
        <f t="shared" si="99"/>
        <v>1</v>
      </c>
      <c r="AH256" s="176">
        <f t="shared" si="94"/>
        <v>7</v>
      </c>
      <c r="AI256" s="225">
        <f t="shared" si="95"/>
        <v>1.4802259390064816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'2023'!Wh/'2023'!Env_an*'2024'!Env_an</f>
        <v>22.072000248430648</v>
      </c>
      <c r="C257" s="841"/>
      <c r="D257" s="393">
        <f t="shared" si="77"/>
        <v>23.199685730845168</v>
      </c>
      <c r="E257" s="385">
        <f t="shared" si="100"/>
        <v>23.59722972594659</v>
      </c>
      <c r="F257" s="385">
        <f t="shared" si="78"/>
        <v>23.597314186687605</v>
      </c>
      <c r="G257" s="110">
        <f t="shared" si="101"/>
        <v>0.44038817735569735</v>
      </c>
      <c r="H257" s="414" t="b">
        <f>Wh_hp&gt;='2023'!Maxi_hp</f>
        <v>0</v>
      </c>
      <c r="I257" s="390">
        <f>IF(H257,Wh_hp,'2023'!Maxi_hp)</f>
        <v>52.060228799144411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4.860779130793158E-2</v>
      </c>
      <c r="M257" s="845"/>
      <c r="N257" s="845"/>
      <c r="O257" s="48">
        <f>IF(t&lt;Tnet,'2023'!Resal+('2023'!Salim-'2023'!Resal)*(1-EXP(('2023'!Tnet-t)/('2023'!Tau_j))),Resal+(Salim-Resal)*(1-EXP((Tnet-t)/(Tau_j))))*Salcycl</f>
        <v>1.6847062122054859E-2</v>
      </c>
      <c r="P257" s="169">
        <f>(INDEX(Models!$BJ257:$BT257,,T257)*(1-R257)+INDEX(Models!$BJ257:$BT257,,T257+1)*R257-ERP_i)*Q257*Ramure*Pc/MaxiM</f>
        <v>1.7845979119296751E-5</v>
      </c>
      <c r="Q257" s="305">
        <f t="shared" si="80"/>
        <v>0.5</v>
      </c>
      <c r="R257" s="177">
        <f t="shared" si="81"/>
        <v>0.48090043619618172</v>
      </c>
      <c r="S257" s="811">
        <f t="shared" si="82"/>
        <v>1</v>
      </c>
      <c r="T257" s="176">
        <f t="shared" si="83"/>
        <v>7</v>
      </c>
      <c r="U257" s="251">
        <f t="shared" si="84"/>
        <v>1.4809004361961817</v>
      </c>
      <c r="V257" s="383">
        <f t="shared" si="85"/>
        <v>50.118705467150875</v>
      </c>
      <c r="W257" s="402">
        <f t="shared" si="86"/>
        <v>22.072000248430648</v>
      </c>
      <c r="X257" s="157">
        <f t="shared" si="87"/>
        <v>45534</v>
      </c>
      <c r="Y257" s="385">
        <f t="shared" si="88"/>
        <v>20.654579434128465</v>
      </c>
      <c r="Z257" s="385">
        <f t="shared" si="89"/>
        <v>21.709847153912957</v>
      </c>
      <c r="AA257" s="386">
        <f t="shared" si="90"/>
        <v>23.59722972594659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7.9983226588599965E-2</v>
      </c>
      <c r="AD257" s="231">
        <f>(INDEX(Models!$BJ257:$BT257,,AH257)*(1-AF257)+INDEX(Models!$BJ257:$BT257,,AH257+1)*AF257-ERP_i)*AE257*Ramure*Pc/MaxiM</f>
        <v>1.7845979119296751E-5</v>
      </c>
      <c r="AE257" s="305">
        <f t="shared" si="92"/>
        <v>0.5</v>
      </c>
      <c r="AF257" s="177">
        <f t="shared" si="93"/>
        <v>0.48090043619618172</v>
      </c>
      <c r="AG257" s="811">
        <f t="shared" si="99"/>
        <v>1</v>
      </c>
      <c r="AH257" s="176">
        <f t="shared" si="94"/>
        <v>7</v>
      </c>
      <c r="AI257" s="225">
        <f t="shared" si="95"/>
        <v>1.4809004361961817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'2023'!Wh/'2023'!Env_an*'2024'!Env_an</f>
        <v>42.547157460492414</v>
      </c>
      <c r="C258" s="841"/>
      <c r="D258" s="393">
        <f t="shared" si="77"/>
        <v>44.721923286863671</v>
      </c>
      <c r="E258" s="385">
        <f t="shared" si="100"/>
        <v>45.492344269849326</v>
      </c>
      <c r="F258" s="385">
        <f t="shared" si="78"/>
        <v>45.492924323842821</v>
      </c>
      <c r="G258" s="110">
        <f t="shared" si="101"/>
        <v>0.85234485958661921</v>
      </c>
      <c r="H258" s="414" t="b">
        <f>Wh_hp&gt;='2023'!Maxi_hp</f>
        <v>0</v>
      </c>
      <c r="I258" s="390">
        <f>IF(H258,Wh_hp,'2023'!Maxi_hp)</f>
        <v>53.475031417285187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4.8628629238985699E-2</v>
      </c>
      <c r="M258" s="845"/>
      <c r="N258" s="845"/>
      <c r="O258" s="48">
        <f>IF(t&lt;Tnet,'2023'!Resal+('2023'!Salim-'2023'!Resal)*(1-EXP(('2023'!Tnet-t)/('2023'!Tau_j))),Resal+(Salim-Resal)*(1-EXP((Tnet-t)/(Tau_j))))*Salcycl</f>
        <v>1.6935178772404257E-2</v>
      </c>
      <c r="P258" s="169">
        <f>(INDEX(Models!$BJ258:$BT258,,T258)*(1-R258)+INDEX(Models!$BJ258:$BT258,,T258+1)*R258-ERP_i)*Q258*Ramure*Pc/MaxiM</f>
        <v>1.6158833489360287E-5</v>
      </c>
      <c r="Q258" s="305">
        <f t="shared" si="80"/>
        <v>0.5</v>
      </c>
      <c r="R258" s="177">
        <f t="shared" si="81"/>
        <v>0.48154954817880324</v>
      </c>
      <c r="S258" s="811">
        <f t="shared" si="82"/>
        <v>1</v>
      </c>
      <c r="T258" s="176">
        <f t="shared" si="83"/>
        <v>7</v>
      </c>
      <c r="U258" s="251">
        <f t="shared" si="84"/>
        <v>1.4815495481788032</v>
      </c>
      <c r="V258" s="383">
        <f t="shared" si="85"/>
        <v>49.917603141371302</v>
      </c>
      <c r="W258" s="402">
        <f t="shared" si="86"/>
        <v>42.547157460492414</v>
      </c>
      <c r="X258" s="157">
        <f t="shared" si="87"/>
        <v>45535</v>
      </c>
      <c r="Y258" s="385">
        <f t="shared" si="88"/>
        <v>39.817396376680456</v>
      </c>
      <c r="Z258" s="385">
        <f t="shared" si="89"/>
        <v>41.852632526486481</v>
      </c>
      <c r="AA258" s="386">
        <f t="shared" si="90"/>
        <v>45.492344269849326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8.0007126512825391E-2</v>
      </c>
      <c r="AD258" s="231">
        <f>(INDEX(Models!$BJ258:$BT258,,AH258)*(1-AF258)+INDEX(Models!$BJ258:$BT258,,AH258+1)*AF258-ERP_i)*AE258*Ramure*Pc/MaxiM</f>
        <v>1.6158833489360287E-5</v>
      </c>
      <c r="AE258" s="305">
        <f t="shared" si="92"/>
        <v>0.5</v>
      </c>
      <c r="AF258" s="177">
        <f t="shared" si="93"/>
        <v>0.48154954817880324</v>
      </c>
      <c r="AG258" s="811">
        <f t="shared" si="99"/>
        <v>1</v>
      </c>
      <c r="AH258" s="176">
        <f t="shared" si="94"/>
        <v>7</v>
      </c>
      <c r="AI258" s="225">
        <f t="shared" si="95"/>
        <v>1.4815495481788032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'2023'!Wh/'2023'!Env_an*'2024'!Env_an</f>
        <v>39.025962150220629</v>
      </c>
      <c r="C259" s="841"/>
      <c r="D259" s="393">
        <f t="shared" si="77"/>
        <v>41.021643216416308</v>
      </c>
      <c r="E259" s="385">
        <f t="shared" si="100"/>
        <v>41.7320526239561</v>
      </c>
      <c r="F259" s="385">
        <f t="shared" si="78"/>
        <v>41.73248291017071</v>
      </c>
      <c r="G259" s="110">
        <f t="shared" si="101"/>
        <v>0.78508852132961682</v>
      </c>
      <c r="H259" s="414" t="b">
        <f>Wh_hp&gt;='2023'!Maxi_hp</f>
        <v>0</v>
      </c>
      <c r="I259" s="390">
        <f>IF(H259,Wh_hp,'2023'!Maxi_hp)</f>
        <v>51.427835350869806</v>
      </c>
      <c r="J259" s="85">
        <f>IF(H259,An,'2023'!An_max)</f>
        <v>2019</v>
      </c>
      <c r="K259" s="197">
        <f t="shared" si="79"/>
        <v>45536</v>
      </c>
      <c r="L259" s="147">
        <f>IF(t&lt;Tvie,1-EXP((T0-t)*PertePVj)+'2023'!Pspv,1-EXP((T0-t)*PertePVj)+Pspv)</f>
        <v>4.864946671363557E-2</v>
      </c>
      <c r="M259" s="845"/>
      <c r="N259" s="845"/>
      <c r="O259" s="48">
        <f>IF(t&lt;Tnet,'2023'!Resal+('2023'!Salim-'2023'!Resal)*(1-EXP(('2023'!Tnet-t)/('2023'!Tau_j))),Resal+(Salim-Resal)*(1-EXP((Tnet-t)/(Tau_j))))*Salcycl</f>
        <v>1.7023112041509851E-2</v>
      </c>
      <c r="P259" s="169">
        <f>(INDEX(Models!$BJ259:$BT259,,T259)*(1-R259)+INDEX(Models!$BJ259:$BT259,,T259+1)*R259-ERP_i)*Q259*Ramure*Pc/MaxiM</f>
        <v>1.4878427723393244E-5</v>
      </c>
      <c r="Q259" s="305">
        <f t="shared" si="80"/>
        <v>0.5</v>
      </c>
      <c r="R259" s="177">
        <f t="shared" si="81"/>
        <v>0.48217416379300992</v>
      </c>
      <c r="S259" s="811">
        <f t="shared" si="82"/>
        <v>1</v>
      </c>
      <c r="T259" s="176">
        <f t="shared" si="83"/>
        <v>7</v>
      </c>
      <c r="U259" s="251">
        <f t="shared" si="84"/>
        <v>1.4821741637930099</v>
      </c>
      <c r="V259" s="383">
        <f t="shared" si="85"/>
        <v>49.708768914033278</v>
      </c>
      <c r="W259" s="402">
        <f t="shared" si="86"/>
        <v>39.025962150220629</v>
      </c>
      <c r="X259" s="157">
        <f t="shared" si="87"/>
        <v>45536</v>
      </c>
      <c r="Y259" s="385">
        <f t="shared" si="88"/>
        <v>36.524450721955994</v>
      </c>
      <c r="Z259" s="385">
        <f t="shared" si="89"/>
        <v>38.392211329072573</v>
      </c>
      <c r="AA259" s="386">
        <f t="shared" si="90"/>
        <v>41.7320526239561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8.0030602016597424E-2</v>
      </c>
      <c r="AD259" s="231">
        <f>(INDEX(Models!$BJ259:$BT259,,AH259)*(1-AF259)+INDEX(Models!$BJ259:$BT259,,AH259+1)*AF259-ERP_i)*AE259*Ramure*Pc/MaxiM</f>
        <v>1.4878427723393244E-5</v>
      </c>
      <c r="AE259" s="305">
        <f t="shared" si="92"/>
        <v>0.5</v>
      </c>
      <c r="AF259" s="177">
        <f t="shared" si="93"/>
        <v>0.48217416379300992</v>
      </c>
      <c r="AG259" s="811">
        <f t="shared" si="99"/>
        <v>1</v>
      </c>
      <c r="AH259" s="176">
        <f t="shared" si="94"/>
        <v>7</v>
      </c>
      <c r="AI259" s="225">
        <f t="shared" si="95"/>
        <v>1.4821741637930099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'2023'!Wh/'2023'!Env_an*'2024'!Env_an</f>
        <v>32.584391689227637</v>
      </c>
      <c r="C260" s="841"/>
      <c r="D260" s="393">
        <f t="shared" si="77"/>
        <v>34.251418637566147</v>
      </c>
      <c r="E260" s="385">
        <f t="shared" si="100"/>
        <v>34.847692539372524</v>
      </c>
      <c r="F260" s="385">
        <f t="shared" si="78"/>
        <v>34.847942480556306</v>
      </c>
      <c r="G260" s="110">
        <f t="shared" si="101"/>
        <v>0.65838039214276844</v>
      </c>
      <c r="H260" s="414" t="b">
        <f>Wh_hp&gt;='2023'!Maxi_hp</f>
        <v>0</v>
      </c>
      <c r="I260" s="390">
        <f>IF(H260,Wh_hp,'2023'!Maxi_hp)</f>
        <v>54.150203084511908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4.8670303731891407E-2</v>
      </c>
      <c r="M260" s="845"/>
      <c r="N260" s="845"/>
      <c r="O260" s="48">
        <f>IF(t&lt;Tnet,'2023'!Resal+('2023'!Salim-'2023'!Resal)*(1-EXP(('2023'!Tnet-t)/('2023'!Tau_j))),Resal+(Salim-Resal)*(1-EXP((Tnet-t)/(Tau_j))))*Salcycl</f>
        <v>1.7110857516108937E-2</v>
      </c>
      <c r="P260" s="169">
        <f>(INDEX(Models!$BJ260:$BT260,,T260)*(1-R260)+INDEX(Models!$BJ260:$BT260,,T260+1)*R260-ERP_i)*Q260*Ramure*Pc/MaxiM</f>
        <v>1.4009060994517806E-5</v>
      </c>
      <c r="Q260" s="305">
        <f t="shared" si="80"/>
        <v>0.5</v>
      </c>
      <c r="R260" s="177">
        <f t="shared" si="81"/>
        <v>0.48277514587163539</v>
      </c>
      <c r="S260" s="811">
        <f t="shared" si="82"/>
        <v>1</v>
      </c>
      <c r="T260" s="176">
        <f t="shared" si="83"/>
        <v>7</v>
      </c>
      <c r="U260" s="251">
        <f t="shared" si="84"/>
        <v>1.4827751458716354</v>
      </c>
      <c r="V260" s="383">
        <f t="shared" si="85"/>
        <v>49.491402395939375</v>
      </c>
      <c r="W260" s="402">
        <f t="shared" si="86"/>
        <v>32.584391689227637</v>
      </c>
      <c r="X260" s="157">
        <f t="shared" si="87"/>
        <v>45537</v>
      </c>
      <c r="Y260" s="385">
        <f t="shared" si="88"/>
        <v>30.497735001834261</v>
      </c>
      <c r="Z260" s="385">
        <f t="shared" si="89"/>
        <v>32.058007987631697</v>
      </c>
      <c r="AA260" s="386">
        <f t="shared" si="90"/>
        <v>34.847692539372524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8.0053637657325927E-2</v>
      </c>
      <c r="AD260" s="231">
        <f>(INDEX(Models!$BJ260:$BT260,,AH260)*(1-AF260)+INDEX(Models!$BJ260:$BT260,,AH260+1)*AF260-ERP_i)*AE260*Ramure*Pc/MaxiM</f>
        <v>1.4009060994517806E-5</v>
      </c>
      <c r="AE260" s="305">
        <f t="shared" si="92"/>
        <v>0.5</v>
      </c>
      <c r="AF260" s="177">
        <f t="shared" si="93"/>
        <v>0.48277514587163539</v>
      </c>
      <c r="AG260" s="811">
        <f t="shared" si="99"/>
        <v>1</v>
      </c>
      <c r="AH260" s="176">
        <f t="shared" si="94"/>
        <v>7</v>
      </c>
      <c r="AI260" s="225">
        <f t="shared" si="95"/>
        <v>1.4827751458716354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'2023'!Wh/'2023'!Env_an*'2024'!Env_an</f>
        <v>47.258924888653588</v>
      </c>
      <c r="C261" s="841"/>
      <c r="D261" s="393">
        <f t="shared" si="77"/>
        <v>49.677793291284061</v>
      </c>
      <c r="E261" s="385">
        <f t="shared" si="100"/>
        <v>50.547123474894306</v>
      </c>
      <c r="F261" s="385">
        <f t="shared" si="78"/>
        <v>50.547768777378899</v>
      </c>
      <c r="G261" s="110">
        <f t="shared" si="101"/>
        <v>0.95926277681231664</v>
      </c>
      <c r="H261" s="414" t="b">
        <f>Wh_hp&gt;='2023'!Maxi_hp</f>
        <v>0</v>
      </c>
      <c r="I261" s="390">
        <f>IF(H261,Wh_hp,'2023'!Maxi_hp)</f>
        <v>53.283178554064911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4.869114029376298E-2</v>
      </c>
      <c r="M261" s="845"/>
      <c r="N261" s="845"/>
      <c r="O261" s="48">
        <f>IF(t&lt;Tnet,'2023'!Resal+('2023'!Salim-'2023'!Resal)*(1-EXP(('2023'!Tnet-t)/('2023'!Tau_j))),Resal+(Salim-Resal)*(1-EXP((Tnet-t)/(Tau_j))))*Salcycl</f>
        <v>1.7198410588923466E-2</v>
      </c>
      <c r="P261" s="169">
        <f>(INDEX(Models!$BJ261:$BT261,,T261)*(1-R261)+INDEX(Models!$BJ261:$BT261,,T261+1)*R261-ERP_i)*Q261*Ramure*Pc/MaxiM</f>
        <v>1.3555025321701834E-5</v>
      </c>
      <c r="Q261" s="305">
        <f t="shared" si="80"/>
        <v>0.5</v>
      </c>
      <c r="R261" s="177">
        <f t="shared" si="81"/>
        <v>0.48335333159739946</v>
      </c>
      <c r="S261" s="811">
        <f t="shared" si="82"/>
        <v>1</v>
      </c>
      <c r="T261" s="176">
        <f t="shared" si="83"/>
        <v>7</v>
      </c>
      <c r="U261" s="251">
        <f t="shared" si="84"/>
        <v>1.4833533315973995</v>
      </c>
      <c r="V261" s="383">
        <f t="shared" si="85"/>
        <v>49.265841176254611</v>
      </c>
      <c r="W261" s="402">
        <f t="shared" si="86"/>
        <v>47.258924888653588</v>
      </c>
      <c r="X261" s="157">
        <f t="shared" si="87"/>
        <v>45538</v>
      </c>
      <c r="Y261" s="385">
        <f t="shared" si="88"/>
        <v>44.235387300034404</v>
      </c>
      <c r="Z261" s="385">
        <f t="shared" si="89"/>
        <v>46.499501028187879</v>
      </c>
      <c r="AA261" s="386">
        <f t="shared" si="90"/>
        <v>50.547123474894306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8.0076217368072328E-2</v>
      </c>
      <c r="AD261" s="231">
        <f>(INDEX(Models!$BJ261:$BT261,,AH261)*(1-AF261)+INDEX(Models!$BJ261:$BT261,,AH261+1)*AF261-ERP_i)*AE261*Ramure*Pc/MaxiM</f>
        <v>1.3555025321701834E-5</v>
      </c>
      <c r="AE261" s="305">
        <f t="shared" si="92"/>
        <v>0.5</v>
      </c>
      <c r="AF261" s="177">
        <f t="shared" si="93"/>
        <v>0.48335333159739946</v>
      </c>
      <c r="AG261" s="811">
        <f t="shared" si="99"/>
        <v>1</v>
      </c>
      <c r="AH261" s="176">
        <f t="shared" si="94"/>
        <v>7</v>
      </c>
      <c r="AI261" s="225">
        <f t="shared" si="95"/>
        <v>1.4833533315973995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'2023'!Wh/'2023'!Env_an*'2024'!Env_an</f>
        <v>39.951014730192263</v>
      </c>
      <c r="C262" s="841"/>
      <c r="D262" s="393">
        <f t="shared" si="77"/>
        <v>41.996759907659573</v>
      </c>
      <c r="E262" s="385">
        <f t="shared" si="100"/>
        <v>42.735475353638797</v>
      </c>
      <c r="F262" s="385">
        <f t="shared" si="78"/>
        <v>42.735910787745723</v>
      </c>
      <c r="G262" s="110">
        <f t="shared" si="101"/>
        <v>0.81477163932206031</v>
      </c>
      <c r="H262" s="414" t="b">
        <f>Wh_hp&gt;='2023'!Maxi_hp</f>
        <v>0</v>
      </c>
      <c r="I262" s="390">
        <f>IF(H262,Wh_hp,'2023'!Maxi_hp)</f>
        <v>52.787883333438941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4.8711976399260282E-2</v>
      </c>
      <c r="M262" s="845"/>
      <c r="N262" s="845"/>
      <c r="O262" s="48">
        <f>IF(t&lt;Tnet,'2023'!Resal+('2023'!Salim-'2023'!Resal)*(1-EXP(('2023'!Tnet-t)/('2023'!Tau_j))),Resal+(Salim-Resal)*(1-EXP((Tnet-t)/(Tau_j))))*Salcycl</f>
        <v>1.7285766447343975E-2</v>
      </c>
      <c r="P262" s="169">
        <f>(INDEX(Models!$BJ262:$BT262,,T262)*(1-R262)+INDEX(Models!$BJ262:$BT262,,T262+1)*R262-ERP_i)*Q262*Ramure*Pc/MaxiM</f>
        <v>1.3855123060097926E-5</v>
      </c>
      <c r="Q262" s="305">
        <f t="shared" si="80"/>
        <v>0.5</v>
      </c>
      <c r="R262" s="177">
        <f t="shared" si="81"/>
        <v>0.48390953289017147</v>
      </c>
      <c r="S262" s="811">
        <f t="shared" si="82"/>
        <v>1</v>
      </c>
      <c r="T262" s="176">
        <f t="shared" si="83"/>
        <v>7</v>
      </c>
      <c r="U262" s="251">
        <f t="shared" si="84"/>
        <v>1.4839095328901715</v>
      </c>
      <c r="V262" s="383">
        <f t="shared" si="85"/>
        <v>49.033209224922288</v>
      </c>
      <c r="W262" s="402">
        <f t="shared" si="86"/>
        <v>39.951014730192263</v>
      </c>
      <c r="X262" s="157">
        <f t="shared" si="87"/>
        <v>45539</v>
      </c>
      <c r="Y262" s="385">
        <f t="shared" si="88"/>
        <v>37.397448959919309</v>
      </c>
      <c r="Z262" s="385">
        <f t="shared" si="89"/>
        <v>39.312435384569923</v>
      </c>
      <c r="AA262" s="386">
        <f t="shared" si="90"/>
        <v>42.735475353638797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8.0098324418834674E-2</v>
      </c>
      <c r="AD262" s="231">
        <f>(INDEX(Models!$BJ262:$BT262,,AH262)*(1-AF262)+INDEX(Models!$BJ262:$BT262,,AH262+1)*AF262-ERP_i)*AE262*Ramure*Pc/MaxiM</f>
        <v>1.3855123060097926E-5</v>
      </c>
      <c r="AE262" s="305">
        <f t="shared" si="92"/>
        <v>0.5</v>
      </c>
      <c r="AF262" s="177">
        <f t="shared" si="93"/>
        <v>0.48390953289017147</v>
      </c>
      <c r="AG262" s="811">
        <f t="shared" si="99"/>
        <v>1</v>
      </c>
      <c r="AH262" s="176">
        <f t="shared" si="94"/>
        <v>7</v>
      </c>
      <c r="AI262" s="225">
        <f t="shared" si="95"/>
        <v>1.4839095328901715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'2023'!Wh/'2023'!Env_an*'2024'!Env_an</f>
        <v>45.307545516007501</v>
      </c>
      <c r="C263" s="841"/>
      <c r="D263" s="393">
        <f t="shared" si="77"/>
        <v>47.628622210306297</v>
      </c>
      <c r="E263" s="385">
        <f t="shared" si="100"/>
        <v>48.470699803348872</v>
      </c>
      <c r="F263" s="385">
        <f t="shared" si="78"/>
        <v>48.471340038962964</v>
      </c>
      <c r="G263" s="110">
        <f t="shared" si="101"/>
        <v>0.92854759054506464</v>
      </c>
      <c r="H263" s="414" t="b">
        <f>Wh_hp&gt;='2023'!Maxi_hp</f>
        <v>0</v>
      </c>
      <c r="I263" s="390">
        <f>IF(H263,Wh_hp,'2023'!Maxi_hp)</f>
        <v>54.673871330579189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4.8732812048393526E-2</v>
      </c>
      <c r="M263" s="845"/>
      <c r="N263" s="845"/>
      <c r="O263" s="48">
        <f>IF(t&lt;Tnet,'2023'!Resal+('2023'!Salim-'2023'!Resal)*(1-EXP(('2023'!Tnet-t)/('2023'!Tau_j))),Resal+(Salim-Resal)*(1-EXP((Tnet-t)/(Tau_j))))*Salcycl</f>
        <v>1.737292006220206E-2</v>
      </c>
      <c r="P263" s="169">
        <f>(INDEX(Models!$BJ263:$BT263,,T263)*(1-R263)+INDEX(Models!$BJ263:$BT263,,T263+1)*R263-ERP_i)*Q263*Ramure*Pc/MaxiM</f>
        <v>1.4710035239865655E-5</v>
      </c>
      <c r="Q263" s="305">
        <f t="shared" si="80"/>
        <v>0.5</v>
      </c>
      <c r="R263" s="177">
        <f t="shared" si="81"/>
        <v>0.48444453682180311</v>
      </c>
      <c r="S263" s="811">
        <f t="shared" si="82"/>
        <v>1</v>
      </c>
      <c r="T263" s="176">
        <f t="shared" si="83"/>
        <v>7</v>
      </c>
      <c r="U263" s="251">
        <f t="shared" si="84"/>
        <v>1.4844445368218031</v>
      </c>
      <c r="V263" s="383">
        <f t="shared" si="85"/>
        <v>48.793920685778509</v>
      </c>
      <c r="W263" s="402">
        <f t="shared" si="86"/>
        <v>45.307545516007501</v>
      </c>
      <c r="X263" s="157">
        <f t="shared" si="87"/>
        <v>45540</v>
      </c>
      <c r="Y263" s="385">
        <f t="shared" si="88"/>
        <v>42.414369068542726</v>
      </c>
      <c r="Z263" s="385">
        <f t="shared" si="89"/>
        <v>44.587230176492177</v>
      </c>
      <c r="AA263" s="386">
        <f t="shared" si="90"/>
        <v>48.470699803348872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8.0119941379273876E-2</v>
      </c>
      <c r="AD263" s="231">
        <f>(INDEX(Models!$BJ263:$BT263,,AH263)*(1-AF263)+INDEX(Models!$BJ263:$BT263,,AH263+1)*AF263-ERP_i)*AE263*Ramure*Pc/MaxiM</f>
        <v>1.4710035239865655E-5</v>
      </c>
      <c r="AE263" s="305">
        <f t="shared" si="92"/>
        <v>0.5</v>
      </c>
      <c r="AF263" s="177">
        <f t="shared" si="93"/>
        <v>0.48444453682180311</v>
      </c>
      <c r="AG263" s="811">
        <f t="shared" si="99"/>
        <v>1</v>
      </c>
      <c r="AH263" s="176">
        <f t="shared" si="94"/>
        <v>7</v>
      </c>
      <c r="AI263" s="225">
        <f t="shared" si="95"/>
        <v>1.4844445368218031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'2023'!Wh/'2023'!Env_an*'2024'!Env_an</f>
        <v>35.250887693795057</v>
      </c>
      <c r="C264" s="841"/>
      <c r="D264" s="393">
        <f t="shared" si="77"/>
        <v>37.057579870408532</v>
      </c>
      <c r="E264" s="385">
        <f t="shared" si="100"/>
        <v>37.716097892324306</v>
      </c>
      <c r="F264" s="385">
        <f t="shared" si="78"/>
        <v>37.71646814607999</v>
      </c>
      <c r="G264" s="110">
        <f t="shared" si="101"/>
        <v>0.72609355333748515</v>
      </c>
      <c r="H264" s="414" t="b">
        <f>Wh_hp&gt;='2023'!Maxi_hp</f>
        <v>0</v>
      </c>
      <c r="I264" s="390">
        <f>IF(H264,Wh_hp,'2023'!Maxi_hp)</f>
        <v>50.140065797662274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4.8753647241172593E-2</v>
      </c>
      <c r="M264" s="845"/>
      <c r="N264" s="845"/>
      <c r="O264" s="48">
        <f>IF(t&lt;Tnet,'2023'!Resal+('2023'!Salim-'2023'!Resal)*(1-EXP(('2023'!Tnet-t)/('2023'!Tau_j))),Resal+(Salim-Resal)*(1-EXP((Tnet-t)/(Tau_j))))*Salcycl</f>
        <v>1.7459866176924774E-2</v>
      </c>
      <c r="P264" s="169">
        <f>(INDEX(Models!$BJ264:$BT264,,T264)*(1-R264)+INDEX(Models!$BJ264:$BT264,,T264+1)*R264-ERP_i)*Q264*Ramure*Pc/MaxiM</f>
        <v>1.612712162256775E-5</v>
      </c>
      <c r="Q264" s="305">
        <f t="shared" si="80"/>
        <v>0.5</v>
      </c>
      <c r="R264" s="177">
        <f t="shared" si="81"/>
        <v>0.48495910605484061</v>
      </c>
      <c r="S264" s="811">
        <f t="shared" si="82"/>
        <v>1</v>
      </c>
      <c r="T264" s="176">
        <f t="shared" si="83"/>
        <v>7</v>
      </c>
      <c r="U264" s="251">
        <f t="shared" si="84"/>
        <v>1.4849591060548406</v>
      </c>
      <c r="V264" s="383">
        <f t="shared" si="85"/>
        <v>48.548379315526411</v>
      </c>
      <c r="W264" s="402">
        <f t="shared" si="86"/>
        <v>35.250887693795057</v>
      </c>
      <c r="X264" s="157">
        <f t="shared" si="87"/>
        <v>45541</v>
      </c>
      <c r="Y264" s="385">
        <f t="shared" si="88"/>
        <v>33.002056019274995</v>
      </c>
      <c r="Z264" s="385">
        <f t="shared" si="89"/>
        <v>34.693490202155985</v>
      </c>
      <c r="AA264" s="386">
        <f t="shared" si="90"/>
        <v>37.716097892324306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8.014105008417266E-2</v>
      </c>
      <c r="AD264" s="231">
        <f>(INDEX(Models!$BJ264:$BT264,,AH264)*(1-AF264)+INDEX(Models!$BJ264:$BT264,,AH264+1)*AF264-ERP_i)*AE264*Ramure*Pc/MaxiM</f>
        <v>1.612712162256775E-5</v>
      </c>
      <c r="AE264" s="305">
        <f t="shared" si="92"/>
        <v>0.5</v>
      </c>
      <c r="AF264" s="177">
        <f t="shared" si="93"/>
        <v>0.48495910605484061</v>
      </c>
      <c r="AG264" s="811">
        <f t="shared" si="99"/>
        <v>1</v>
      </c>
      <c r="AH264" s="176">
        <f t="shared" si="94"/>
        <v>7</v>
      </c>
      <c r="AI264" s="225">
        <f t="shared" si="95"/>
        <v>1.4849591060548406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'2023'!Wh/'2023'!Env_an*'2024'!Env_an</f>
        <v>38.601006657254125</v>
      </c>
      <c r="C265" s="841"/>
      <c r="D265" s="393">
        <f t="shared" si="77"/>
        <v>40.58028924361281</v>
      </c>
      <c r="E265" s="385">
        <f t="shared" si="100"/>
        <v>41.305052447872711</v>
      </c>
      <c r="F265" s="385">
        <f t="shared" si="78"/>
        <v>41.305586075532631</v>
      </c>
      <c r="G265" s="110">
        <f t="shared" si="101"/>
        <v>0.79923836151619598</v>
      </c>
      <c r="H265" s="414" t="b">
        <f>Wh_hp&gt;='2023'!Maxi_hp</f>
        <v>0</v>
      </c>
      <c r="I265" s="390">
        <f>IF(H265,Wh_hp,'2023'!Maxi_hp)</f>
        <v>49.195092920557293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4.8774481977607365E-2</v>
      </c>
      <c r="M265" s="845"/>
      <c r="N265" s="845"/>
      <c r="O265" s="48">
        <f>IF(t&lt;Tnet,'2023'!Resal+('2023'!Salim-'2023'!Resal)*(1-EXP(('2023'!Tnet-t)/('2023'!Tau_j))),Resal+(Salim-Resal)*(1-EXP((Tnet-t)/(Tau_j))))*Salcycl</f>
        <v>1.7546599297375568E-2</v>
      </c>
      <c r="P265" s="169">
        <f>(INDEX(Models!$BJ265:$BT265,,T265)*(1-R265)+INDEX(Models!$BJ265:$BT265,,T265+1)*R265-ERP_i)*Q265*Ramure*Pc/MaxiM</f>
        <v>1.8114069211032999E-5</v>
      </c>
      <c r="Q265" s="305">
        <f t="shared" si="80"/>
        <v>0.5</v>
      </c>
      <c r="R265" s="177">
        <f t="shared" si="81"/>
        <v>0.48545397930168654</v>
      </c>
      <c r="S265" s="811">
        <f t="shared" si="82"/>
        <v>1</v>
      </c>
      <c r="T265" s="176">
        <f t="shared" si="83"/>
        <v>7</v>
      </c>
      <c r="U265" s="251">
        <f t="shared" si="84"/>
        <v>1.4854539793016865</v>
      </c>
      <c r="V265" s="383">
        <f t="shared" si="85"/>
        <v>48.296988707193613</v>
      </c>
      <c r="W265" s="402">
        <f t="shared" si="86"/>
        <v>38.601006657254125</v>
      </c>
      <c r="X265" s="157">
        <f t="shared" si="87"/>
        <v>45542</v>
      </c>
      <c r="Y265" s="385">
        <f t="shared" si="88"/>
        <v>36.140835745186351</v>
      </c>
      <c r="Z265" s="385">
        <f t="shared" si="89"/>
        <v>37.993972050206885</v>
      </c>
      <c r="AA265" s="386">
        <f t="shared" si="90"/>
        <v>41.305052447872711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8.0161631602923999E-2</v>
      </c>
      <c r="AD265" s="231">
        <f>(INDEX(Models!$BJ265:$BT265,,AH265)*(1-AF265)+INDEX(Models!$BJ265:$BT265,,AH265+1)*AF265-ERP_i)*AE265*Ramure*Pc/MaxiM</f>
        <v>1.8114069211032999E-5</v>
      </c>
      <c r="AE265" s="305">
        <f t="shared" si="92"/>
        <v>0.5</v>
      </c>
      <c r="AF265" s="177">
        <f t="shared" si="93"/>
        <v>0.48545397930168654</v>
      </c>
      <c r="AG265" s="811">
        <f t="shared" si="99"/>
        <v>1</v>
      </c>
      <c r="AH265" s="176">
        <f t="shared" si="94"/>
        <v>7</v>
      </c>
      <c r="AI265" s="225">
        <f t="shared" si="95"/>
        <v>1.4854539793016865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'2023'!Wh/'2023'!Env_an*'2024'!Env_an</f>
        <v>21.488685734386447</v>
      </c>
      <c r="C266" s="841"/>
      <c r="D266" s="393">
        <f t="shared" si="77"/>
        <v>22.591021787071366</v>
      </c>
      <c r="E266" s="385">
        <f t="shared" si="100"/>
        <v>22.996522075128699</v>
      </c>
      <c r="F266" s="385">
        <f t="shared" si="78"/>
        <v>22.996622147743892</v>
      </c>
      <c r="G266" s="110">
        <f t="shared" si="101"/>
        <v>0.44729947473607612</v>
      </c>
      <c r="H266" s="414" t="b">
        <f>Wh_hp&gt;='2023'!Maxi_hp</f>
        <v>0</v>
      </c>
      <c r="I266" s="390">
        <f>IF(H266,Wh_hp,'2023'!Maxi_hp)</f>
        <v>49.204296027158733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4.8795316257708055E-2</v>
      </c>
      <c r="M266" s="845"/>
      <c r="N266" s="845"/>
      <c r="O266" s="48">
        <f>IF(t&lt;Tnet,'2023'!Resal+('2023'!Salim-'2023'!Resal)*(1-EXP(('2023'!Tnet-t)/('2023'!Tau_j))),Resal+(Salim-Resal)*(1-EXP((Tnet-t)/(Tau_j))))*Salcycl</f>
        <v>1.7633113682694233E-2</v>
      </c>
      <c r="P266" s="169">
        <f>(INDEX(Models!$BJ266:$BT266,,T266)*(1-R266)+INDEX(Models!$BJ266:$BT266,,T266+1)*R266-ERP_i)*Q266*Ramure*Pc/MaxiM</f>
        <v>2.0678856016611857E-5</v>
      </c>
      <c r="Q266" s="305">
        <f t="shared" si="80"/>
        <v>0.5</v>
      </c>
      <c r="R266" s="177">
        <f t="shared" si="81"/>
        <v>0.48592987180104164</v>
      </c>
      <c r="S266" s="811">
        <f t="shared" si="82"/>
        <v>1</v>
      </c>
      <c r="T266" s="176">
        <f t="shared" si="83"/>
        <v>7</v>
      </c>
      <c r="U266" s="251">
        <f t="shared" si="84"/>
        <v>1.4859298718010416</v>
      </c>
      <c r="V266" s="383">
        <f t="shared" si="85"/>
        <v>48.040152282194612</v>
      </c>
      <c r="W266" s="402">
        <f t="shared" si="86"/>
        <v>21.488685734386447</v>
      </c>
      <c r="X266" s="157">
        <f t="shared" si="87"/>
        <v>45543</v>
      </c>
      <c r="Y266" s="385">
        <f t="shared" si="88"/>
        <v>20.120473707684422</v>
      </c>
      <c r="Z266" s="385">
        <f t="shared" si="89"/>
        <v>21.152622618010177</v>
      </c>
      <c r="AA266" s="386">
        <f t="shared" si="90"/>
        <v>22.996522075128699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8.018166621433355E-2</v>
      </c>
      <c r="AD266" s="231">
        <f>(INDEX(Models!$BJ266:$BT266,,AH266)*(1-AF266)+INDEX(Models!$BJ266:$BT266,,AH266+1)*AF266-ERP_i)*AE266*Ramure*Pc/MaxiM</f>
        <v>2.0678856016611857E-5</v>
      </c>
      <c r="AE266" s="305">
        <f t="shared" si="92"/>
        <v>0.5</v>
      </c>
      <c r="AF266" s="177">
        <f t="shared" si="93"/>
        <v>0.48592987180104164</v>
      </c>
      <c r="AG266" s="811">
        <f t="shared" si="99"/>
        <v>1</v>
      </c>
      <c r="AH266" s="176">
        <f t="shared" si="94"/>
        <v>7</v>
      </c>
      <c r="AI266" s="225">
        <f t="shared" si="95"/>
        <v>1.4859298718010416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'2023'!Wh/'2023'!Env_an*'2024'!Env_an</f>
        <v>45.394983651013014</v>
      </c>
      <c r="C267" s="841"/>
      <c r="D267" s="393">
        <f t="shared" si="77"/>
        <v>47.724720783370991</v>
      </c>
      <c r="E267" s="385">
        <f t="shared" si="100"/>
        <v>48.585629142551753</v>
      </c>
      <c r="F267" s="385">
        <f t="shared" si="78"/>
        <v>48.586704443907237</v>
      </c>
      <c r="G267" s="110">
        <f t="shared" si="101"/>
        <v>0.95011609729642499</v>
      </c>
      <c r="H267" s="414" t="b">
        <f>Wh_hp&gt;='2023'!Maxi_hp</f>
        <v>0</v>
      </c>
      <c r="I267" s="390">
        <f>IF(H267,Wh_hp,'2023'!Maxi_hp)</f>
        <v>48.586768341384165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4.8816150081484433E-2</v>
      </c>
      <c r="M267" s="845"/>
      <c r="N267" s="845"/>
      <c r="O267" s="48">
        <f>IF(t&lt;Tnet,'2023'!Resal+('2023'!Salim-'2023'!Resal)*(1-EXP(('2023'!Tnet-t)/('2023'!Tau_j))),Resal+(Salim-Resal)*(1-EXP((Tnet-t)/(Tau_j))))*Salcycl</f>
        <v>1.771940333745264E-2</v>
      </c>
      <c r="P267" s="169">
        <f>(INDEX(Models!$BJ267:$BT267,,T267)*(1-R267)+INDEX(Models!$BJ267:$BT267,,T267+1)*R267-ERP_i)*Q267*Ramure*Pc/MaxiM</f>
        <v>2.3829711982443016E-5</v>
      </c>
      <c r="Q267" s="305">
        <f t="shared" si="80"/>
        <v>0.5</v>
      </c>
      <c r="R267" s="177">
        <f t="shared" si="81"/>
        <v>0.48638747580870656</v>
      </c>
      <c r="S267" s="811">
        <f t="shared" si="82"/>
        <v>1</v>
      </c>
      <c r="T267" s="176">
        <f t="shared" si="83"/>
        <v>7</v>
      </c>
      <c r="U267" s="251">
        <f t="shared" si="84"/>
        <v>1.4863874758087066</v>
      </c>
      <c r="V267" s="383">
        <f t="shared" si="85"/>
        <v>47.778273300042848</v>
      </c>
      <c r="W267" s="402">
        <f t="shared" si="86"/>
        <v>45.394983651013014</v>
      </c>
      <c r="X267" s="157">
        <f t="shared" si="87"/>
        <v>45544</v>
      </c>
      <c r="Y267" s="385">
        <f t="shared" si="88"/>
        <v>42.507461364847295</v>
      </c>
      <c r="Z267" s="385">
        <f t="shared" si="89"/>
        <v>44.68900661895043</v>
      </c>
      <c r="AA267" s="386">
        <f t="shared" si="90"/>
        <v>48.585629142551753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8.0201133387992382E-2</v>
      </c>
      <c r="AD267" s="231">
        <f>(INDEX(Models!$BJ267:$BT267,,AH267)*(1-AF267)+INDEX(Models!$BJ267:$BT267,,AH267+1)*AF267-ERP_i)*AE267*Ramure*Pc/MaxiM</f>
        <v>2.3829711982443016E-5</v>
      </c>
      <c r="AE267" s="305">
        <f t="shared" si="92"/>
        <v>0.5</v>
      </c>
      <c r="AF267" s="177">
        <f t="shared" si="93"/>
        <v>0.48638747580870656</v>
      </c>
      <c r="AG267" s="811">
        <f t="shared" si="99"/>
        <v>1</v>
      </c>
      <c r="AH267" s="176">
        <f t="shared" si="94"/>
        <v>7</v>
      </c>
      <c r="AI267" s="225">
        <f t="shared" si="95"/>
        <v>1.4863874758087066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'2023'!Wh/'2023'!Env_an*'2024'!Env_an</f>
        <v>45.927900682059082</v>
      </c>
      <c r="C268" s="841"/>
      <c r="D268" s="393">
        <f t="shared" si="77"/>
        <v>48.286045486288018</v>
      </c>
      <c r="E268" s="385">
        <f t="shared" si="100"/>
        <v>49.161386689115957</v>
      </c>
      <c r="F268" s="385">
        <f t="shared" si="78"/>
        <v>49.1627101828253</v>
      </c>
      <c r="G268" s="110">
        <f t="shared" si="101"/>
        <v>0.96666331882990364</v>
      </c>
      <c r="H268" s="414" t="b">
        <f>Wh_hp&gt;='2023'!Maxi_hp</f>
        <v>0</v>
      </c>
      <c r="I268" s="390">
        <f>IF(H268,Wh_hp,'2023'!Maxi_hp)</f>
        <v>49.162761814775862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4.8836983448946714E-2</v>
      </c>
      <c r="M268" s="845"/>
      <c r="N268" s="845"/>
      <c r="O268" s="48">
        <f>IF(t&lt;Tnet,'2023'!Resal+('2023'!Salim-'2023'!Resal)*(1-EXP(('2023'!Tnet-t)/('2023'!Tau_j))),Resal+(Salim-Resal)*(1-EXP((Tnet-t)/(Tau_j))))*Salcycl</f>
        <v>1.7805462005442894E-2</v>
      </c>
      <c r="P268" s="169">
        <f>(INDEX(Models!$BJ268:$BT268,,T268)*(1-R268)+INDEX(Models!$BJ268:$BT268,,T268+1)*R268-ERP_i)*Q268*Ramure*Pc/MaxiM</f>
        <v>2.8266803349493519E-5</v>
      </c>
      <c r="Q268" s="305">
        <f t="shared" si="80"/>
        <v>0.5</v>
      </c>
      <c r="R268" s="177">
        <f t="shared" si="81"/>
        <v>0.48682746110004338</v>
      </c>
      <c r="S268" s="811">
        <f t="shared" si="82"/>
        <v>1</v>
      </c>
      <c r="T268" s="176">
        <f t="shared" si="83"/>
        <v>7</v>
      </c>
      <c r="U268" s="251">
        <f t="shared" si="84"/>
        <v>1.4868274611000434</v>
      </c>
      <c r="V268" s="383">
        <f t="shared" si="85"/>
        <v>47.511721983493814</v>
      </c>
      <c r="W268" s="402">
        <f t="shared" si="86"/>
        <v>45.927900682059082</v>
      </c>
      <c r="X268" s="157">
        <f t="shared" si="87"/>
        <v>45545</v>
      </c>
      <c r="Y268" s="385">
        <f t="shared" si="88"/>
        <v>43.009365573207262</v>
      </c>
      <c r="Z268" s="385">
        <f t="shared" si="89"/>
        <v>45.217659670116866</v>
      </c>
      <c r="AA268" s="386">
        <f t="shared" si="90"/>
        <v>49.161386689115957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8.0220011773431341E-2</v>
      </c>
      <c r="AD268" s="231">
        <f>(INDEX(Models!$BJ268:$BT268,,AH268)*(1-AF268)+INDEX(Models!$BJ268:$BT268,,AH268+1)*AF268-ERP_i)*AE268*Ramure*Pc/MaxiM</f>
        <v>2.8266803349493519E-5</v>
      </c>
      <c r="AE268" s="305">
        <f t="shared" si="92"/>
        <v>0.5</v>
      </c>
      <c r="AF268" s="177">
        <f t="shared" si="93"/>
        <v>0.48682746110004338</v>
      </c>
      <c r="AG268" s="811">
        <f t="shared" si="99"/>
        <v>1</v>
      </c>
      <c r="AH268" s="176">
        <f t="shared" si="94"/>
        <v>7</v>
      </c>
      <c r="AI268" s="225">
        <f t="shared" si="95"/>
        <v>1.4868274611000434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'2023'!Wh/'2023'!Env_an*'2024'!Env_an</f>
        <v>32.164973932043686</v>
      </c>
      <c r="C269" s="841"/>
      <c r="D269" s="393">
        <f t="shared" si="77"/>
        <v>33.817208915025283</v>
      </c>
      <c r="E269" s="385">
        <f t="shared" si="100"/>
        <v>34.433264195048274</v>
      </c>
      <c r="F269" s="385">
        <f t="shared" si="78"/>
        <v>34.433897246442363</v>
      </c>
      <c r="G269" s="110">
        <f t="shared" si="101"/>
        <v>0.68086066208851659</v>
      </c>
      <c r="H269" s="414" t="b">
        <f>Wh_hp&gt;='2023'!Maxi_hp</f>
        <v>0</v>
      </c>
      <c r="I269" s="390">
        <f>IF(H269,Wh_hp,'2023'!Maxi_hp)</f>
        <v>50.761032411385656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4.8857816360104667E-2</v>
      </c>
      <c r="M269" s="845"/>
      <c r="N269" s="845"/>
      <c r="O269" s="48">
        <f>IF(t&lt;Tnet,'2023'!Resal+('2023'!Salim-'2023'!Resal)*(1-EXP(('2023'!Tnet-t)/('2023'!Tau_j))),Resal+(Salim-Resal)*(1-EXP((Tnet-t)/(Tau_j))))*Salcycl</f>
        <v>1.7891283165410259E-2</v>
      </c>
      <c r="P269" s="169">
        <f>(INDEX(Models!$BJ269:$BT269,,T269)*(1-R269)+INDEX(Models!$BJ269:$BT269,,T269+1)*R269-ERP_i)*Q269*Ramure*Pc/MaxiM</f>
        <v>3.3788798775461691E-5</v>
      </c>
      <c r="Q269" s="305">
        <f t="shared" si="80"/>
        <v>0.5</v>
      </c>
      <c r="R269" s="177">
        <f t="shared" si="81"/>
        <v>0.48725047548163025</v>
      </c>
      <c r="S269" s="811">
        <f t="shared" si="82"/>
        <v>1</v>
      </c>
      <c r="T269" s="176">
        <f t="shared" si="83"/>
        <v>7</v>
      </c>
      <c r="U269" s="251">
        <f t="shared" si="84"/>
        <v>1.4872504754816303</v>
      </c>
      <c r="V269" s="383">
        <f t="shared" si="85"/>
        <v>47.240911740619069</v>
      </c>
      <c r="W269" s="402">
        <f t="shared" si="86"/>
        <v>32.164973932043686</v>
      </c>
      <c r="X269" s="157">
        <f t="shared" si="87"/>
        <v>45546</v>
      </c>
      <c r="Y269" s="385">
        <f t="shared" si="88"/>
        <v>30.123051823257541</v>
      </c>
      <c r="Z269" s="385">
        <f t="shared" si="89"/>
        <v>31.670398328860365</v>
      </c>
      <c r="AA269" s="386">
        <f t="shared" si="90"/>
        <v>34.433264195048274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8.0238279198207058E-2</v>
      </c>
      <c r="AD269" s="231">
        <f>(INDEX(Models!$BJ269:$BT269,,AH269)*(1-AF269)+INDEX(Models!$BJ269:$BT269,,AH269+1)*AF269-ERP_i)*AE269*Ramure*Pc/MaxiM</f>
        <v>3.3788798775461691E-5</v>
      </c>
      <c r="AE269" s="305">
        <f t="shared" si="92"/>
        <v>0.5</v>
      </c>
      <c r="AF269" s="177">
        <f t="shared" si="93"/>
        <v>0.48725047548163025</v>
      </c>
      <c r="AG269" s="811">
        <f t="shared" si="99"/>
        <v>1</v>
      </c>
      <c r="AH269" s="176">
        <f t="shared" si="94"/>
        <v>7</v>
      </c>
      <c r="AI269" s="225">
        <f t="shared" si="95"/>
        <v>1.4872504754816303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'2023'!Wh/'2023'!Env_an*'2024'!Env_an</f>
        <v>11.404922381458512</v>
      </c>
      <c r="C270" s="841"/>
      <c r="D270" s="393">
        <f t="shared" si="77"/>
        <v>11.99102760888373</v>
      </c>
      <c r="E270" s="385">
        <f t="shared" si="100"/>
        <v>12.210534681737</v>
      </c>
      <c r="F270" s="385">
        <f t="shared" si="78"/>
        <v>12.210534681737</v>
      </c>
      <c r="G270" s="110">
        <f t="shared" si="101"/>
        <v>0.24282250779791251</v>
      </c>
      <c r="H270" s="414" t="b">
        <f>Wh_hp&gt;='2023'!Maxi_hp</f>
        <v>0</v>
      </c>
      <c r="I270" s="390">
        <f>IF(H270,Wh_hp,'2023'!Maxi_hp)</f>
        <v>48.245201516580117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4.8878648814968395E-2</v>
      </c>
      <c r="M270" s="845"/>
      <c r="N270" s="845"/>
      <c r="O270" s="48">
        <f>IF(t&lt;Tnet,'2023'!Resal+('2023'!Salim-'2023'!Resal)*(1-EXP(('2023'!Tnet-t)/('2023'!Tau_j))),Resal+(Salim-Resal)*(1-EXP((Tnet-t)/(Tau_j))))*Salcycl</f>
        <v>1.7976860029035542E-2</v>
      </c>
      <c r="P270" s="169">
        <f>(INDEX(Models!$BJ270:$BT270,,T270)*(1-R270)+INDEX(Models!$BJ270:$BT270,,T270+1)*R270-ERP_i)*Q270*Ramure*Pc/MaxiM</f>
        <v>4.041191992307589E-5</v>
      </c>
      <c r="Q270" s="305">
        <f t="shared" si="80"/>
        <v>0.5</v>
      </c>
      <c r="R270" s="177">
        <f t="shared" si="81"/>
        <v>0.48765714530984039</v>
      </c>
      <c r="S270" s="811">
        <f t="shared" si="82"/>
        <v>1</v>
      </c>
      <c r="T270" s="176">
        <f t="shared" si="83"/>
        <v>7</v>
      </c>
      <c r="U270" s="251">
        <f t="shared" si="84"/>
        <v>1.4876571453098404</v>
      </c>
      <c r="V270" s="383">
        <f t="shared" si="85"/>
        <v>46.966245386691227</v>
      </c>
      <c r="W270" s="402">
        <f t="shared" si="86"/>
        <v>11.404922381458512</v>
      </c>
      <c r="X270" s="157">
        <f t="shared" si="87"/>
        <v>45547</v>
      </c>
      <c r="Y270" s="385">
        <f t="shared" si="88"/>
        <v>10.681632132462623</v>
      </c>
      <c r="Z270" s="385">
        <f t="shared" si="89"/>
        <v>11.230567076592326</v>
      </c>
      <c r="AA270" s="386">
        <f t="shared" si="90"/>
        <v>12.210534681737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8.0255912675993538E-2</v>
      </c>
      <c r="AD270" s="231">
        <f>(INDEX(Models!$BJ270:$BT270,,AH270)*(1-AF270)+INDEX(Models!$BJ270:$BT270,,AH270+1)*AF270-ERP_i)*AE270*Ramure*Pc/MaxiM</f>
        <v>4.041191992307589E-5</v>
      </c>
      <c r="AE270" s="305">
        <f t="shared" si="92"/>
        <v>0.5</v>
      </c>
      <c r="AF270" s="177">
        <f t="shared" si="93"/>
        <v>0.48765714530984039</v>
      </c>
      <c r="AG270" s="811">
        <f t="shared" si="99"/>
        <v>1</v>
      </c>
      <c r="AH270" s="176">
        <f t="shared" si="94"/>
        <v>7</v>
      </c>
      <c r="AI270" s="225">
        <f t="shared" si="95"/>
        <v>1.4876571453098404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'2023'!Wh/'2023'!Env_an*'2024'!Env_an</f>
        <v>37.845888117375637</v>
      </c>
      <c r="C271" s="841"/>
      <c r="D271" s="393">
        <f t="shared" ref="D271:D334" si="102">Wh/(1-Ppv)</f>
        <v>39.791680641440593</v>
      </c>
      <c r="E271" s="385">
        <f t="shared" si="100"/>
        <v>40.52362589109827</v>
      </c>
      <c r="F271" s="385">
        <f t="shared" ref="F271:F334" si="103">Wh_sa/(1-Pvg*MEDIAN((-Sdif+Wh/Env_an)/Csdif,0,1))</f>
        <v>40.525049316405585</v>
      </c>
      <c r="G271" s="110">
        <f t="shared" si="101"/>
        <v>0.81060000950691169</v>
      </c>
      <c r="H271" s="414" t="b">
        <f>Wh_hp&gt;='2023'!Maxi_hp</f>
        <v>0</v>
      </c>
      <c r="I271" s="390">
        <f>IF(H271,Wh_hp,'2023'!Maxi_hp)</f>
        <v>47.954871485084247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4.8899480813548002E-2</v>
      </c>
      <c r="M271" s="845"/>
      <c r="N271" s="845"/>
      <c r="O271" s="48">
        <f>IF(t&lt;Tnet,'2023'!Resal+('2023'!Salim-'2023'!Resal)*(1-EXP(('2023'!Tnet-t)/('2023'!Tau_j))),Resal+(Salim-Resal)*(1-EXP((Tnet-t)/(Tau_j))))*Salcycl</f>
        <v>1.8062185541458619E-2</v>
      </c>
      <c r="P271" s="169">
        <f>(INDEX(Models!$BJ271:$BT271,,T271)*(1-R271)+INDEX(Models!$BJ271:$BT271,,T271+1)*R271-ERP_i)*Q271*Ramure*Pc/MaxiM</f>
        <v>4.8152558746013503E-5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0.4880480760142758</v>
      </c>
      <c r="S271" s="811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1.4880480760142758</v>
      </c>
      <c r="V271" s="383">
        <f t="shared" ref="V271:V334" si="110">MaxiM*(1-Ppv)*(1-Pvg)*(1-Psa)</f>
        <v>46.688125586902665</v>
      </c>
      <c r="W271" s="402">
        <f t="shared" ref="W271:W334" si="111">Wh*(A271&gt;Tmaj)</f>
        <v>37.845888117375637</v>
      </c>
      <c r="X271" s="157">
        <f t="shared" ref="X271:X334" si="112">t</f>
        <v>45548</v>
      </c>
      <c r="Y271" s="385">
        <f t="shared" ref="Y271:Y334" si="113">Wh_pvt_s*(1-Ppv)</f>
        <v>35.448160617333201</v>
      </c>
      <c r="Z271" s="385">
        <f t="shared" ref="Z271:Z334" si="114">Wh_sa_s*(1-Psa_s)</f>
        <v>37.270677391338914</v>
      </c>
      <c r="AA271" s="386">
        <f t="shared" ref="AA271:AA334" si="115">Wh_hp*(1-Pvg_s*MEDIAN((-Sdif+Wh/Env_an)/Csdif,0,1))</f>
        <v>40.52362589109827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8.0272888425660924E-2</v>
      </c>
      <c r="AD271" s="231">
        <f>(INDEX(Models!$BJ271:$BT271,,AH271)*(1-AF271)+INDEX(Models!$BJ271:$BT271,,AH271+1)*AF271-ERP_i)*AE271*Ramure*Pc/MaxiM</f>
        <v>4.8152558746013503E-5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0.4880480760142758</v>
      </c>
      <c r="AG271" s="811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1.4880480760142758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'2023'!Wh/'2023'!Env_an*'2024'!Env_an</f>
        <v>41.569975835734482</v>
      </c>
      <c r="C272" s="841"/>
      <c r="D272" s="393">
        <f t="shared" si="102"/>
        <v>43.708194356147565</v>
      </c>
      <c r="E272" s="385">
        <f t="shared" si="100"/>
        <v>44.516038135353135</v>
      </c>
      <c r="F272" s="385">
        <f t="shared" si="103"/>
        <v>44.518198864597082</v>
      </c>
      <c r="G272" s="110">
        <f t="shared" si="101"/>
        <v>0.8957627787291601</v>
      </c>
      <c r="H272" s="414" t="b">
        <f>Wh_hp&gt;='2023'!Maxi_hp</f>
        <v>0</v>
      </c>
      <c r="I272" s="390">
        <f>IF(H272,Wh_hp,'2023'!Maxi_hp)</f>
        <v>48.916978336718785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4.8920312355853368E-2</v>
      </c>
      <c r="M272" s="845"/>
      <c r="N272" s="845"/>
      <c r="O272" s="48">
        <f>IF(t&lt;Tnet,'2023'!Resal+('2023'!Salim-'2023'!Resal)*(1-EXP(('2023'!Tnet-t)/('2023'!Tau_j))),Resal+(Salim-Resal)*(1-EXP((Tnet-t)/(Tau_j))))*Salcycl</f>
        <v>1.8147252384618902E-2</v>
      </c>
      <c r="P272" s="169">
        <f>(INDEX(Models!$BJ272:$BT272,,T272)*(1-R272)+INDEX(Models!$BJ272:$BT272,,T272+1)*R272-ERP_i)*Q272*Ramure*Pc/MaxiM</f>
        <v>5.702717961173327E-5</v>
      </c>
      <c r="Q272" s="305">
        <f t="shared" si="105"/>
        <v>0.5</v>
      </c>
      <c r="R272" s="177">
        <f t="shared" si="106"/>
        <v>0.48842385262417398</v>
      </c>
      <c r="S272" s="811">
        <f t="shared" si="107"/>
        <v>1</v>
      </c>
      <c r="T272" s="176">
        <f t="shared" si="108"/>
        <v>7</v>
      </c>
      <c r="U272" s="251">
        <f t="shared" si="109"/>
        <v>1.488423852624174</v>
      </c>
      <c r="V272" s="383">
        <f t="shared" si="110"/>
        <v>46.406954856720795</v>
      </c>
      <c r="W272" s="402">
        <f t="shared" si="111"/>
        <v>41.569975835734482</v>
      </c>
      <c r="X272" s="157">
        <f t="shared" si="112"/>
        <v>45549</v>
      </c>
      <c r="Y272" s="385">
        <f t="shared" si="113"/>
        <v>38.938992203304487</v>
      </c>
      <c r="Z272" s="385">
        <f t="shared" si="114"/>
        <v>40.941881851937723</v>
      </c>
      <c r="AA272" s="386">
        <f t="shared" si="115"/>
        <v>44.516038135353135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8.0289181902217399E-2</v>
      </c>
      <c r="AD272" s="231">
        <f>(INDEX(Models!$BJ272:$BT272,,AH272)*(1-AF272)+INDEX(Models!$BJ272:$BT272,,AH272+1)*AF272-ERP_i)*AE272*Ramure*Pc/MaxiM</f>
        <v>5.702717961173327E-5</v>
      </c>
      <c r="AE272" s="305">
        <f t="shared" si="117"/>
        <v>0.5</v>
      </c>
      <c r="AF272" s="177">
        <f t="shared" si="118"/>
        <v>0.48842385262417398</v>
      </c>
      <c r="AG272" s="811">
        <f t="shared" ref="AG272:AG335" si="124">INDEX(Echel_vg,AH272)</f>
        <v>1</v>
      </c>
      <c r="AH272" s="176">
        <f t="shared" si="119"/>
        <v>7</v>
      </c>
      <c r="AI272" s="225">
        <f t="shared" si="120"/>
        <v>1.488423852624174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'2023'!Wh/'2023'!Env_an*'2024'!Env_an</f>
        <v>27.676734997652702</v>
      </c>
      <c r="C273" s="841"/>
      <c r="D273" s="393">
        <f t="shared" si="102"/>
        <v>29.100969731584399</v>
      </c>
      <c r="E273" s="385">
        <f t="shared" si="100"/>
        <v>29.641393182599284</v>
      </c>
      <c r="F273" s="385">
        <f t="shared" si="103"/>
        <v>29.642245177483357</v>
      </c>
      <c r="G273" s="110">
        <f t="shared" si="101"/>
        <v>0.60003888165946828</v>
      </c>
      <c r="H273" s="414" t="b">
        <f>Wh_hp&gt;='2023'!Maxi_hp</f>
        <v>0</v>
      </c>
      <c r="I273" s="390">
        <f>IF(H273,Wh_hp,'2023'!Maxi_hp)</f>
        <v>46.225866499783969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4.8941143441894375E-2</v>
      </c>
      <c r="M273" s="845"/>
      <c r="N273" s="845"/>
      <c r="O273" s="48">
        <f>IF(t&lt;Tnet,'2023'!Resal+('2023'!Salim-'2023'!Resal)*(1-EXP(('2023'!Tnet-t)/('2023'!Tau_j))),Resal+(Salim-Resal)*(1-EXP((Tnet-t)/(Tau_j))))*Salcycl</f>
        <v>1.823205298366792E-2</v>
      </c>
      <c r="P273" s="169">
        <f>(INDEX(Models!$BJ273:$BT273,,T273)*(1-R273)+INDEX(Models!$BJ273:$BT273,,T273+1)*R273-ERP_i)*Q273*Ramure*Pc/MaxiM</f>
        <v>6.7052213588767544E-5</v>
      </c>
      <c r="Q273" s="305">
        <f t="shared" si="105"/>
        <v>0.5</v>
      </c>
      <c r="R273" s="177">
        <f t="shared" si="106"/>
        <v>0.48878504029606962</v>
      </c>
      <c r="S273" s="811">
        <f t="shared" si="107"/>
        <v>1</v>
      </c>
      <c r="T273" s="176">
        <f t="shared" si="108"/>
        <v>7</v>
      </c>
      <c r="U273" s="251">
        <f t="shared" si="109"/>
        <v>1.4887850402960696</v>
      </c>
      <c r="V273" s="383">
        <f t="shared" si="110"/>
        <v>46.123135563018813</v>
      </c>
      <c r="W273" s="402">
        <f t="shared" si="111"/>
        <v>27.676734997652702</v>
      </c>
      <c r="X273" s="157">
        <f t="shared" si="112"/>
        <v>45550</v>
      </c>
      <c r="Y273" s="385">
        <f t="shared" si="113"/>
        <v>25.926861124814529</v>
      </c>
      <c r="Z273" s="385">
        <f t="shared" si="114"/>
        <v>27.261047984605472</v>
      </c>
      <c r="AA273" s="386">
        <f t="shared" si="115"/>
        <v>29.641393182599284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8.0304767840371688E-2</v>
      </c>
      <c r="AD273" s="231">
        <f>(INDEX(Models!$BJ273:$BT273,,AH273)*(1-AF273)+INDEX(Models!$BJ273:$BT273,,AH273+1)*AF273-ERP_i)*AE273*Ramure*Pc/MaxiM</f>
        <v>6.7052213588767544E-5</v>
      </c>
      <c r="AE273" s="305">
        <f t="shared" si="117"/>
        <v>0.5</v>
      </c>
      <c r="AF273" s="177">
        <f t="shared" si="118"/>
        <v>0.48878504029606962</v>
      </c>
      <c r="AG273" s="811">
        <f t="shared" si="124"/>
        <v>1</v>
      </c>
      <c r="AH273" s="176">
        <f t="shared" si="119"/>
        <v>7</v>
      </c>
      <c r="AI273" s="225">
        <f t="shared" si="120"/>
        <v>1.4887850402960696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'2023'!Wh/'2023'!Env_an*'2024'!Env_an</f>
        <v>47.861504470774911</v>
      </c>
      <c r="C274" s="841"/>
      <c r="D274" s="393">
        <f t="shared" si="102"/>
        <v>50.325542371512185</v>
      </c>
      <c r="E274" s="385">
        <f t="shared" si="100"/>
        <v>51.264533271566556</v>
      </c>
      <c r="F274" s="385">
        <f t="shared" si="103"/>
        <v>51.268544724739876</v>
      </c>
      <c r="G274" s="110">
        <f t="shared" si="101"/>
        <v>1.0441658803409344</v>
      </c>
      <c r="H274" s="414" t="b">
        <f>Wh_hp&gt;='2023'!Maxi_hp</f>
        <v>1</v>
      </c>
      <c r="I274" s="390">
        <f>IF(H274,Wh_hp,'2023'!Maxi_hp)</f>
        <v>51.268544724739876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4.8961974071681236E-2</v>
      </c>
      <c r="M274" s="845"/>
      <c r="N274" s="845"/>
      <c r="O274" s="48">
        <f>IF(t&lt;Tnet,'2023'!Resal+('2023'!Salim-'2023'!Resal)*(1-EXP(('2023'!Tnet-t)/('2023'!Tau_j))),Resal+(Salim-Resal)*(1-EXP((Tnet-t)/(Tau_j))))*Salcycl</f>
        <v>1.8316579516684476E-2</v>
      </c>
      <c r="P274" s="169">
        <f>(INDEX(Models!$BJ274:$BT274,,T274)*(1-R274)+INDEX(Models!$BJ274:$BT274,,T274+1)*R274-ERP_i)*Q274*Ramure*Pc/MaxiM</f>
        <v>7.8243944603011075E-5</v>
      </c>
      <c r="Q274" s="305">
        <f t="shared" si="105"/>
        <v>0.5</v>
      </c>
      <c r="R274" s="177">
        <f t="shared" si="106"/>
        <v>0.48913218484116783</v>
      </c>
      <c r="S274" s="811">
        <f t="shared" si="107"/>
        <v>1</v>
      </c>
      <c r="T274" s="176">
        <f t="shared" si="108"/>
        <v>7</v>
      </c>
      <c r="U274" s="251">
        <f t="shared" si="109"/>
        <v>1.4891321848411678</v>
      </c>
      <c r="V274" s="383">
        <f t="shared" si="110"/>
        <v>45.837069925276133</v>
      </c>
      <c r="W274" s="402">
        <f t="shared" si="111"/>
        <v>47.861504470774911</v>
      </c>
      <c r="X274" s="157">
        <f t="shared" si="112"/>
        <v>45551</v>
      </c>
      <c r="Y274" s="385">
        <f t="shared" si="113"/>
        <v>44.838575945880308</v>
      </c>
      <c r="Z274" s="385">
        <f t="shared" si="114"/>
        <v>47.146985423756192</v>
      </c>
      <c r="AA274" s="386">
        <f t="shared" si="115"/>
        <v>51.264533271566556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8.0319620311341502E-2</v>
      </c>
      <c r="AD274" s="231">
        <f>(INDEX(Models!$BJ274:$BT274,,AH274)*(1-AF274)+INDEX(Models!$BJ274:$BT274,,AH274+1)*AF274-ERP_i)*AE274*Ramure*Pc/MaxiM</f>
        <v>7.8243944603011075E-5</v>
      </c>
      <c r="AE274" s="305">
        <f t="shared" si="117"/>
        <v>0.5</v>
      </c>
      <c r="AF274" s="177">
        <f t="shared" si="118"/>
        <v>0.48913218484116783</v>
      </c>
      <c r="AG274" s="811">
        <f t="shared" si="124"/>
        <v>1</v>
      </c>
      <c r="AH274" s="176">
        <f t="shared" si="119"/>
        <v>7</v>
      </c>
      <c r="AI274" s="225">
        <f t="shared" si="120"/>
        <v>1.4891321848411678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'2023'!Wh/'2023'!Env_an*'2024'!Env_an</f>
        <v>46.27367642709936</v>
      </c>
      <c r="C275" s="841"/>
      <c r="D275" s="393">
        <f t="shared" si="102"/>
        <v>48.657034419208571</v>
      </c>
      <c r="E275" s="385">
        <f t="shared" si="100"/>
        <v>49.569147576010621</v>
      </c>
      <c r="F275" s="385">
        <f t="shared" si="103"/>
        <v>49.573640129498486</v>
      </c>
      <c r="G275" s="110">
        <f t="shared" si="101"/>
        <v>1.0159673549059567</v>
      </c>
      <c r="H275" s="414" t="b">
        <f>Wh_hp&gt;='2023'!Maxi_hp</f>
        <v>1</v>
      </c>
      <c r="I275" s="390">
        <f>IF(H275,Wh_hp,'2023'!Maxi_hp)</f>
        <v>49.573640129498486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4.8982804245223832E-2</v>
      </c>
      <c r="M275" s="845"/>
      <c r="N275" s="845"/>
      <c r="O275" s="48">
        <f>IF(t&lt;Tnet,'2023'!Resal+('2023'!Salim-'2023'!Resal)*(1-EXP(('2023'!Tnet-t)/('2023'!Tau_j))),Resal+(Salim-Resal)*(1-EXP((Tnet-t)/(Tau_j))))*Salcycl</f>
        <v>1.8400823927895639E-2</v>
      </c>
      <c r="P275" s="169">
        <f>(INDEX(Models!$BJ275:$BT275,,T275)*(1-R275)+INDEX(Models!$BJ275:$BT275,,T275+1)*R275-ERP_i)*Q275*Ramure*Pc/MaxiM</f>
        <v>9.0623837106346334E-5</v>
      </c>
      <c r="Q275" s="305">
        <f t="shared" si="105"/>
        <v>0.5</v>
      </c>
      <c r="R275" s="177">
        <f t="shared" si="106"/>
        <v>0.48946581325102567</v>
      </c>
      <c r="S275" s="811">
        <f t="shared" si="107"/>
        <v>1</v>
      </c>
      <c r="T275" s="176">
        <f t="shared" si="108"/>
        <v>7</v>
      </c>
      <c r="U275" s="251">
        <f t="shared" si="109"/>
        <v>1.4894658132510257</v>
      </c>
      <c r="V275" s="383">
        <f t="shared" si="110"/>
        <v>45.546420565238236</v>
      </c>
      <c r="W275" s="402">
        <f t="shared" si="111"/>
        <v>46.27367642709936</v>
      </c>
      <c r="X275" s="157">
        <f t="shared" si="112"/>
        <v>45552</v>
      </c>
      <c r="Y275" s="385">
        <f t="shared" si="113"/>
        <v>43.354091193719931</v>
      </c>
      <c r="Z275" s="385">
        <f t="shared" si="114"/>
        <v>45.587073911226071</v>
      </c>
      <c r="AA275" s="386">
        <f t="shared" si="115"/>
        <v>49.569147576010621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8.0333712793392908E-2</v>
      </c>
      <c r="AD275" s="231">
        <f>(INDEX(Models!$BJ275:$BT275,,AH275)*(1-AF275)+INDEX(Models!$BJ275:$BT275,,AH275+1)*AF275-ERP_i)*AE275*Ramure*Pc/MaxiM</f>
        <v>9.0623837106346334E-5</v>
      </c>
      <c r="AE275" s="305">
        <f t="shared" si="117"/>
        <v>0.5</v>
      </c>
      <c r="AF275" s="177">
        <f t="shared" si="118"/>
        <v>0.48946581325102567</v>
      </c>
      <c r="AG275" s="811">
        <f t="shared" si="124"/>
        <v>1</v>
      </c>
      <c r="AH275" s="176">
        <f t="shared" si="119"/>
        <v>7</v>
      </c>
      <c r="AI275" s="225">
        <f t="shared" si="120"/>
        <v>1.4894658132510257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'2023'!Wh/'2023'!Env_an*'2024'!Env_an</f>
        <v>45.079911978210191</v>
      </c>
      <c r="C276" s="841"/>
      <c r="D276" s="393">
        <f t="shared" si="102"/>
        <v>47.402822542892984</v>
      </c>
      <c r="E276" s="385">
        <f t="shared" si="100"/>
        <v>48.295555155655229</v>
      </c>
      <c r="F276" s="385">
        <f t="shared" si="103"/>
        <v>48.300630393011403</v>
      </c>
      <c r="G276" s="110">
        <f t="shared" si="101"/>
        <v>0.99626141649421684</v>
      </c>
      <c r="H276" s="414" t="b">
        <f>Wh_hp&gt;='2023'!Maxi_hp</f>
        <v>0</v>
      </c>
      <c r="I276" s="390">
        <f>IF(H276,Wh_hp,'2023'!Maxi_hp)</f>
        <v>48.300652137662098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4.9003633962532156E-2</v>
      </c>
      <c r="M276" s="845"/>
      <c r="N276" s="845"/>
      <c r="O276" s="48">
        <f>IF(t&lt;Tnet,'2023'!Resal+('2023'!Salim-'2023'!Resal)*(1-EXP(('2023'!Tnet-t)/('2023'!Tau_j))),Resal+(Salim-Resal)*(1-EXP((Tnet-t)/(Tau_j))))*Salcycl</f>
        <v>1.8484777944574548E-2</v>
      </c>
      <c r="P276" s="169">
        <f>(INDEX(Models!$BJ276:$BT276,,T276)*(1-R276)+INDEX(Models!$BJ276:$BT276,,T276+1)*R276-ERP_i)*Q276*Ramure*Pc/MaxiM</f>
        <v>1.0564012808169999E-4</v>
      </c>
      <c r="Q276" s="305">
        <f t="shared" si="105"/>
        <v>0.5</v>
      </c>
      <c r="R276" s="177">
        <f t="shared" si="106"/>
        <v>0.48978643422028734</v>
      </c>
      <c r="S276" s="811">
        <f t="shared" si="107"/>
        <v>1</v>
      </c>
      <c r="T276" s="176">
        <f t="shared" si="108"/>
        <v>7</v>
      </c>
      <c r="U276" s="251">
        <f t="shared" si="109"/>
        <v>1.4897864342202873</v>
      </c>
      <c r="V276" s="383">
        <f t="shared" si="110"/>
        <v>45.249053911595546</v>
      </c>
      <c r="W276" s="402">
        <f t="shared" si="111"/>
        <v>45.079911978210191</v>
      </c>
      <c r="X276" s="157">
        <f t="shared" si="112"/>
        <v>45553</v>
      </c>
      <c r="Y276" s="385">
        <f t="shared" si="113"/>
        <v>42.238647486973946</v>
      </c>
      <c r="Z276" s="385">
        <f t="shared" si="114"/>
        <v>44.415151303858721</v>
      </c>
      <c r="AA276" s="386">
        <f t="shared" si="115"/>
        <v>48.295555155655229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8.034701825644365E-2</v>
      </c>
      <c r="AD276" s="231">
        <f>(INDEX(Models!$BJ276:$BT276,,AH276)*(1-AF276)+INDEX(Models!$BJ276:$BT276,,AH276+1)*AF276-ERP_i)*AE276*Ramure*Pc/MaxiM</f>
        <v>1.0564012808169999E-4</v>
      </c>
      <c r="AE276" s="305">
        <f t="shared" si="117"/>
        <v>0.5</v>
      </c>
      <c r="AF276" s="177">
        <f t="shared" si="118"/>
        <v>0.48978643422028734</v>
      </c>
      <c r="AG276" s="811">
        <f t="shared" si="124"/>
        <v>1</v>
      </c>
      <c r="AH276" s="176">
        <f t="shared" si="119"/>
        <v>7</v>
      </c>
      <c r="AI276" s="225">
        <f t="shared" si="120"/>
        <v>1.4897864342202873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'2023'!Wh/'2023'!Env_an*'2024'!Env_an</f>
        <v>46.437727633688148</v>
      </c>
      <c r="C277" s="841"/>
      <c r="D277" s="393">
        <f t="shared" si="102"/>
        <v>48.831674252213389</v>
      </c>
      <c r="E277" s="385">
        <f t="shared" si="100"/>
        <v>49.755556983299165</v>
      </c>
      <c r="F277" s="385">
        <f t="shared" si="103"/>
        <v>49.761676374869339</v>
      </c>
      <c r="G277" s="110">
        <f t="shared" si="101"/>
        <v>1.033194140520195</v>
      </c>
      <c r="H277" s="414" t="b">
        <f>Wh_hp&gt;='2023'!Maxi_hp</f>
        <v>0</v>
      </c>
      <c r="I277" s="390">
        <f>IF(H277,Wh_hp,'2023'!Maxi_hp)</f>
        <v>49.76167637486936</v>
      </c>
      <c r="J277" s="85">
        <f>IF(H277,An,'2023'!An_max)</f>
        <v>2022</v>
      </c>
      <c r="K277" s="197">
        <f t="shared" si="104"/>
        <v>45554</v>
      </c>
      <c r="L277" s="147">
        <f>IF(t&lt;Tvie,1-EXP((T0-t)*PertePVj)+'2023'!Pspv,1-EXP((T0-t)*PertePVj)+Pspv)</f>
        <v>4.9024463223616199E-2</v>
      </c>
      <c r="M277" s="845"/>
      <c r="N277" s="845"/>
      <c r="O277" s="48">
        <f>IF(t&lt;Tnet,'2023'!Resal+('2023'!Salim-'2023'!Resal)*(1-EXP(('2023'!Tnet-t)/('2023'!Tau_j))),Resal+(Salim-Resal)*(1-EXP((Tnet-t)/(Tau_j))))*Salcycl</f>
        <v>1.8568433097751885E-2</v>
      </c>
      <c r="P277" s="169">
        <f>(INDEX(Models!$BJ277:$BT277,,T277)*(1-R277)+INDEX(Models!$BJ277:$BT277,,T277+1)*R277-ERP_i)*Q277*Ramure*Pc/MaxiM</f>
        <v>1.2297398351445433E-4</v>
      </c>
      <c r="Q277" s="305">
        <f t="shared" si="105"/>
        <v>0.5</v>
      </c>
      <c r="R277" s="177">
        <f t="shared" si="106"/>
        <v>0.49009453866534614</v>
      </c>
      <c r="S277" s="811">
        <f t="shared" si="107"/>
        <v>1</v>
      </c>
      <c r="T277" s="176">
        <f t="shared" si="108"/>
        <v>7</v>
      </c>
      <c r="U277" s="251">
        <f t="shared" si="109"/>
        <v>1.4900945386653461</v>
      </c>
      <c r="V277" s="383">
        <f t="shared" si="110"/>
        <v>44.945790740070947</v>
      </c>
      <c r="W277" s="402">
        <f t="shared" si="111"/>
        <v>46.437727633688148</v>
      </c>
      <c r="X277" s="157">
        <f t="shared" si="112"/>
        <v>45554</v>
      </c>
      <c r="Y277" s="385">
        <f t="shared" si="113"/>
        <v>43.51400145468012</v>
      </c>
      <c r="Z277" s="385">
        <f t="shared" si="114"/>
        <v>45.757224841118258</v>
      </c>
      <c r="AA277" s="386">
        <f t="shared" si="115"/>
        <v>49.755556983299165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8.0359509260904904E-2</v>
      </c>
      <c r="AD277" s="231">
        <f>(INDEX(Models!$BJ277:$BT277,,AH277)*(1-AF277)+INDEX(Models!$BJ277:$BT277,,AH277+1)*AF277-ERP_i)*AE277*Ramure*Pc/MaxiM</f>
        <v>1.2297398351445433E-4</v>
      </c>
      <c r="AE277" s="305">
        <f t="shared" si="117"/>
        <v>0.5</v>
      </c>
      <c r="AF277" s="177">
        <f t="shared" si="118"/>
        <v>0.49009453866534614</v>
      </c>
      <c r="AG277" s="811">
        <f t="shared" si="124"/>
        <v>1</v>
      </c>
      <c r="AH277" s="176">
        <f t="shared" si="119"/>
        <v>7</v>
      </c>
      <c r="AI277" s="225">
        <f t="shared" si="120"/>
        <v>1.4900945386653461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'2023'!Wh/'2023'!Env_an*'2024'!Env_an</f>
        <v>45.304674296683274</v>
      </c>
      <c r="C278" s="841"/>
      <c r="D278" s="393">
        <f t="shared" si="102"/>
        <v>47.641253486533429</v>
      </c>
      <c r="E278" s="385">
        <f t="shared" si="100"/>
        <v>48.546736573068912</v>
      </c>
      <c r="F278" s="385">
        <f t="shared" si="103"/>
        <v>48.553663283529346</v>
      </c>
      <c r="G278" s="110">
        <f t="shared" si="101"/>
        <v>1.0149479691071772</v>
      </c>
      <c r="H278" s="414" t="b">
        <f>Wh_hp&gt;='2023'!Maxi_hp</f>
        <v>1</v>
      </c>
      <c r="I278" s="390">
        <f>IF(H278,Wh_hp,'2023'!Maxi_hp)</f>
        <v>48.553663283529346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4.9045292028485954E-2</v>
      </c>
      <c r="M278" s="845"/>
      <c r="N278" s="845"/>
      <c r="O278" s="48">
        <f>IF(t&lt;Tnet,'2023'!Resal+('2023'!Salim-'2023'!Resal)*(1-EXP(('2023'!Tnet-t)/('2023'!Tau_j))),Resal+(Salim-Resal)*(1-EXP((Tnet-t)/(Tau_j))))*Salcycl</f>
        <v>1.8651780746840037E-2</v>
      </c>
      <c r="P278" s="169">
        <f>(INDEX(Models!$BJ278:$BT278,,T278)*(1-R278)+INDEX(Models!$BJ278:$BT278,,T278+1)*R278-ERP_i)*Q278*Ramure*Pc/MaxiM</f>
        <v>1.4266092385209874E-4</v>
      </c>
      <c r="Q278" s="305">
        <f t="shared" si="105"/>
        <v>0.5</v>
      </c>
      <c r="R278" s="177">
        <f t="shared" si="106"/>
        <v>0.49039060023793368</v>
      </c>
      <c r="S278" s="811">
        <f t="shared" si="107"/>
        <v>1</v>
      </c>
      <c r="T278" s="176">
        <f t="shared" si="108"/>
        <v>7</v>
      </c>
      <c r="U278" s="251">
        <f t="shared" si="109"/>
        <v>1.4903906002379337</v>
      </c>
      <c r="V278" s="383">
        <f t="shared" si="110"/>
        <v>44.637435292901372</v>
      </c>
      <c r="W278" s="402">
        <f t="shared" si="111"/>
        <v>45.304674296683274</v>
      </c>
      <c r="X278" s="157">
        <f t="shared" si="112"/>
        <v>45555</v>
      </c>
      <c r="Y278" s="385">
        <f t="shared" si="113"/>
        <v>42.455353094895408</v>
      </c>
      <c r="Z278" s="385">
        <f t="shared" si="114"/>
        <v>44.644979134134708</v>
      </c>
      <c r="AA278" s="386">
        <f t="shared" si="115"/>
        <v>48.546736573068912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8.0371158070771082E-2</v>
      </c>
      <c r="AD278" s="231">
        <f>(INDEX(Models!$BJ278:$BT278,,AH278)*(1-AF278)+INDEX(Models!$BJ278:$BT278,,AH278+1)*AF278-ERP_i)*AE278*Ramure*Pc/MaxiM</f>
        <v>1.4266092385209874E-4</v>
      </c>
      <c r="AE278" s="305">
        <f t="shared" si="117"/>
        <v>0.5</v>
      </c>
      <c r="AF278" s="177">
        <f t="shared" si="118"/>
        <v>0.49039060023793368</v>
      </c>
      <c r="AG278" s="811">
        <f t="shared" si="124"/>
        <v>1</v>
      </c>
      <c r="AH278" s="176">
        <f t="shared" si="119"/>
        <v>7</v>
      </c>
      <c r="AI278" s="225">
        <f t="shared" si="120"/>
        <v>1.4903906002379337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'2023'!Wh/'2023'!Env_an*'2024'!Env_an</f>
        <v>44.123015942583038</v>
      </c>
      <c r="C279" s="841"/>
      <c r="D279" s="393">
        <f t="shared" si="102"/>
        <v>46.399667619459237</v>
      </c>
      <c r="E279" s="385">
        <f t="shared" si="100"/>
        <v>47.285553581237323</v>
      </c>
      <c r="F279" s="385">
        <f t="shared" si="103"/>
        <v>47.293293843663683</v>
      </c>
      <c r="G279" s="110">
        <f t="shared" si="101"/>
        <v>0.99544672761312347</v>
      </c>
      <c r="H279" s="414" t="b">
        <f>Wh_hp&gt;='2023'!Maxi_hp</f>
        <v>0</v>
      </c>
      <c r="I279" s="390">
        <f>IF(H279,Wh_hp,'2023'!Maxi_hp)</f>
        <v>47.293332702379232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4.9066120377151412E-2</v>
      </c>
      <c r="M279" s="845"/>
      <c r="N279" s="845"/>
      <c r="O279" s="48">
        <f>IF(t&lt;Tnet,'2023'!Resal+('2023'!Salim-'2023'!Resal)*(1-EXP(('2023'!Tnet-t)/('2023'!Tau_j))),Resal+(Salim-Resal)*(1-EXP((Tnet-t)/(Tau_j))))*Salcycl</f>
        <v>1.8734812108229297E-2</v>
      </c>
      <c r="P279" s="169">
        <f>(INDEX(Models!$BJ279:$BT279,,T279)*(1-R279)+INDEX(Models!$BJ279:$BT279,,T279+1)*R279-ERP_i)*Q279*Ramure*Pc/MaxiM</f>
        <v>1.6473642191872534E-4</v>
      </c>
      <c r="Q279" s="305">
        <f t="shared" si="105"/>
        <v>0.5</v>
      </c>
      <c r="R279" s="177">
        <f t="shared" si="106"/>
        <v>0.49067507583274406</v>
      </c>
      <c r="S279" s="811">
        <f t="shared" si="107"/>
        <v>1</v>
      </c>
      <c r="T279" s="176">
        <f t="shared" si="108"/>
        <v>7</v>
      </c>
      <c r="U279" s="251">
        <f t="shared" si="109"/>
        <v>1.4906750758327441</v>
      </c>
      <c r="V279" s="383">
        <f t="shared" si="110"/>
        <v>44.324791514859164</v>
      </c>
      <c r="W279" s="402">
        <f t="shared" si="111"/>
        <v>44.123015942583038</v>
      </c>
      <c r="X279" s="157">
        <f t="shared" si="112"/>
        <v>45556</v>
      </c>
      <c r="Y279" s="385">
        <f t="shared" si="113"/>
        <v>41.351026170291028</v>
      </c>
      <c r="Z279" s="385">
        <f t="shared" si="114"/>
        <v>43.484649202625242</v>
      </c>
      <c r="AA279" s="386">
        <f t="shared" si="115"/>
        <v>47.285553581237323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8.0381936780798469E-2</v>
      </c>
      <c r="AD279" s="231">
        <f>(INDEX(Models!$BJ279:$BT279,,AH279)*(1-AF279)+INDEX(Models!$BJ279:$BT279,,AH279+1)*AF279-ERP_i)*AE279*Ramure*Pc/MaxiM</f>
        <v>1.6473642191872534E-4</v>
      </c>
      <c r="AE279" s="305">
        <f t="shared" si="117"/>
        <v>0.5</v>
      </c>
      <c r="AF279" s="177">
        <f t="shared" si="118"/>
        <v>0.49067507583274406</v>
      </c>
      <c r="AG279" s="811">
        <f t="shared" si="124"/>
        <v>1</v>
      </c>
      <c r="AH279" s="176">
        <f t="shared" si="119"/>
        <v>7</v>
      </c>
      <c r="AI279" s="225">
        <f t="shared" si="120"/>
        <v>1.4906750758327441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'2023'!Wh/'2023'!Env_an*'2024'!Env_an</f>
        <v>27.876750615996919</v>
      </c>
      <c r="C280" s="841"/>
      <c r="D280" s="393">
        <f t="shared" si="102"/>
        <v>29.315772420274989</v>
      </c>
      <c r="E280" s="385">
        <f t="shared" si="100"/>
        <v>29.878002274480124</v>
      </c>
      <c r="F280" s="385">
        <f t="shared" si="103"/>
        <v>29.880695745509048</v>
      </c>
      <c r="G280" s="110">
        <f t="shared" si="101"/>
        <v>0.63337502205393836</v>
      </c>
      <c r="H280" s="414" t="b">
        <f>Wh_hp&gt;='2023'!Maxi_hp</f>
        <v>0</v>
      </c>
      <c r="I280" s="390">
        <f>IF(H280,Wh_hp,'2023'!Maxi_hp)</f>
        <v>44.303472000025792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4.9086948269622677E-2</v>
      </c>
      <c r="M280" s="845"/>
      <c r="N280" s="845"/>
      <c r="O280" s="48">
        <f>IF(t&lt;Tnet,'2023'!Resal+('2023'!Salim-'2023'!Resal)*(1-EXP(('2023'!Tnet-t)/('2023'!Tau_j))),Resal+(Salim-Resal)*(1-EXP((Tnet-t)/(Tau_j))))*Salcycl</f>
        <v>1.881751828787278E-2</v>
      </c>
      <c r="P280" s="169">
        <f>(INDEX(Models!$BJ280:$BT280,,T280)*(1-R280)+INDEX(Models!$BJ280:$BT280,,T280+1)*R280-ERP_i)*Q280*Ramure*Pc/MaxiM</f>
        <v>1.8923645910406327E-4</v>
      </c>
      <c r="Q280" s="305">
        <f t="shared" si="105"/>
        <v>0.5</v>
      </c>
      <c r="R280" s="177">
        <f t="shared" si="106"/>
        <v>0.49094840608830914</v>
      </c>
      <c r="S280" s="811">
        <f t="shared" si="107"/>
        <v>1</v>
      </c>
      <c r="T280" s="176">
        <f t="shared" si="108"/>
        <v>7</v>
      </c>
      <c r="U280" s="251">
        <f t="shared" si="109"/>
        <v>1.4909484060883091</v>
      </c>
      <c r="V280" s="383">
        <f t="shared" si="110"/>
        <v>44.008663007779077</v>
      </c>
      <c r="W280" s="402">
        <f t="shared" si="111"/>
        <v>27.876750615996919</v>
      </c>
      <c r="X280" s="157">
        <f t="shared" si="112"/>
        <v>45557</v>
      </c>
      <c r="Y280" s="385">
        <f t="shared" si="113"/>
        <v>26.12733966105446</v>
      </c>
      <c r="Z280" s="385">
        <f t="shared" si="114"/>
        <v>27.476055369637127</v>
      </c>
      <c r="AA280" s="386">
        <f t="shared" si="115"/>
        <v>29.878002274480124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8.0391817457440451E-2</v>
      </c>
      <c r="AD280" s="231">
        <f>(INDEX(Models!$BJ280:$BT280,,AH280)*(1-AF280)+INDEX(Models!$BJ280:$BT280,,AH280+1)*AF280-ERP_i)*AE280*Ramure*Pc/MaxiM</f>
        <v>1.8923645910406327E-4</v>
      </c>
      <c r="AE280" s="305">
        <f t="shared" si="117"/>
        <v>0.5</v>
      </c>
      <c r="AF280" s="177">
        <f t="shared" si="118"/>
        <v>0.49094840608830914</v>
      </c>
      <c r="AG280" s="811">
        <f t="shared" si="124"/>
        <v>1</v>
      </c>
      <c r="AH280" s="176">
        <f t="shared" si="119"/>
        <v>7</v>
      </c>
      <c r="AI280" s="225">
        <f t="shared" si="120"/>
        <v>1.4909484060883091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'2023'!Wh/'2023'!Env_an*'2024'!Env_an</f>
        <v>17.474424728555395</v>
      </c>
      <c r="C281" s="841"/>
      <c r="D281" s="393">
        <f t="shared" si="102"/>
        <v>18.376872038813659</v>
      </c>
      <c r="E281" s="385">
        <f t="shared" si="100"/>
        <v>18.730883686035828</v>
      </c>
      <c r="F281" s="385">
        <f t="shared" si="103"/>
        <v>18.731462009202495</v>
      </c>
      <c r="G281" s="110">
        <f t="shared" si="101"/>
        <v>0.39989116484945036</v>
      </c>
      <c r="H281" s="414" t="b">
        <f>Wh_hp&gt;='2023'!Maxi_hp</f>
        <v>0</v>
      </c>
      <c r="I281" s="390">
        <f>IF(H281,Wh_hp,'2023'!Maxi_hp)</f>
        <v>40.249037915880088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4.9107775705909629E-2</v>
      </c>
      <c r="M281" s="845"/>
      <c r="N281" s="845"/>
      <c r="O281" s="48">
        <f>IF(t&lt;Tnet,'2023'!Resal+('2023'!Salim-'2023'!Resal)*(1-EXP(('2023'!Tnet-t)/('2023'!Tau_j))),Resal+(Salim-Resal)*(1-EXP((Tnet-t)/(Tau_j))))*Salcycl</f>
        <v>1.8899890317833276E-2</v>
      </c>
      <c r="P281" s="169">
        <f>(INDEX(Models!$BJ281:$BT281,,T281)*(1-R281)+INDEX(Models!$BJ281:$BT281,,T281+1)*R281-ERP_i)*Q281*Ramure*Pc/MaxiM</f>
        <v>2.1619603588744283E-4</v>
      </c>
      <c r="Q281" s="305">
        <f t="shared" si="105"/>
        <v>0.5</v>
      </c>
      <c r="R281" s="177">
        <f t="shared" si="106"/>
        <v>0.49121101588044525</v>
      </c>
      <c r="S281" s="811">
        <f t="shared" si="107"/>
        <v>1</v>
      </c>
      <c r="T281" s="176">
        <f t="shared" si="108"/>
        <v>7</v>
      </c>
      <c r="U281" s="251">
        <f t="shared" si="109"/>
        <v>1.4912110158804452</v>
      </c>
      <c r="V281" s="383">
        <f t="shared" si="110"/>
        <v>43.689853079527033</v>
      </c>
      <c r="W281" s="402">
        <f t="shared" si="111"/>
        <v>17.474424728555395</v>
      </c>
      <c r="X281" s="157">
        <f t="shared" si="112"/>
        <v>45558</v>
      </c>
      <c r="Y281" s="385">
        <f t="shared" si="113"/>
        <v>16.379029343100186</v>
      </c>
      <c r="Z281" s="385">
        <f t="shared" si="114"/>
        <v>17.224906171947524</v>
      </c>
      <c r="AA281" s="386">
        <f t="shared" si="115"/>
        <v>18.730883686035828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8.0400772293035785E-2</v>
      </c>
      <c r="AD281" s="231">
        <f>(INDEX(Models!$BJ281:$BT281,,AH281)*(1-AF281)+INDEX(Models!$BJ281:$BT281,,AH281+1)*AF281-ERP_i)*AE281*Ramure*Pc/MaxiM</f>
        <v>2.1619603588744283E-4</v>
      </c>
      <c r="AE281" s="305">
        <f t="shared" si="117"/>
        <v>0.5</v>
      </c>
      <c r="AF281" s="177">
        <f t="shared" si="118"/>
        <v>0.49121101588044525</v>
      </c>
      <c r="AG281" s="811">
        <f t="shared" si="124"/>
        <v>1</v>
      </c>
      <c r="AH281" s="176">
        <f t="shared" si="119"/>
        <v>7</v>
      </c>
      <c r="AI281" s="225">
        <f t="shared" si="120"/>
        <v>1.4912110158804452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'2023'!Wh/'2023'!Env_an*'2024'!Env_an</f>
        <v>30.931934509455608</v>
      </c>
      <c r="C282" s="841"/>
      <c r="D282" s="393">
        <f t="shared" si="102"/>
        <v>32.530092499187752</v>
      </c>
      <c r="E282" s="385">
        <f t="shared" si="100"/>
        <v>33.159523902506841</v>
      </c>
      <c r="F282" s="385">
        <f t="shared" si="103"/>
        <v>33.164319132962234</v>
      </c>
      <c r="G282" s="110">
        <f t="shared" si="101"/>
        <v>0.71315203550781925</v>
      </c>
      <c r="H282" s="414" t="b">
        <f>Wh_hp&gt;='2023'!Maxi_hp</f>
        <v>0</v>
      </c>
      <c r="I282" s="390">
        <f>IF(H282,Wh_hp,'2023'!Maxi_hp)</f>
        <v>46.514117854235721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4.9128602686022149E-2</v>
      </c>
      <c r="M282" s="845"/>
      <c r="N282" s="845"/>
      <c r="O282" s="48">
        <f>IF(t&lt;Tnet,'2023'!Resal+('2023'!Salim-'2023'!Resal)*(1-EXP(('2023'!Tnet-t)/('2023'!Tau_j))),Resal+(Salim-Resal)*(1-EXP((Tnet-t)/(Tau_j))))*Salcycl</f>
        <v>1.8981919196719921E-2</v>
      </c>
      <c r="P282" s="169">
        <f>(INDEX(Models!$BJ282:$BT282,,T282)*(1-R282)+INDEX(Models!$BJ282:$BT282,,T282+1)*R282-ERP_i)*Q282*Ramure*Pc/MaxiM</f>
        <v>2.4493525835001385E-4</v>
      </c>
      <c r="Q282" s="305">
        <f t="shared" si="105"/>
        <v>0.5</v>
      </c>
      <c r="R282" s="177">
        <f t="shared" si="106"/>
        <v>0.49146331480766348</v>
      </c>
      <c r="S282" s="811">
        <f t="shared" si="107"/>
        <v>1</v>
      </c>
      <c r="T282" s="176">
        <f t="shared" si="108"/>
        <v>7</v>
      </c>
      <c r="U282" s="251">
        <f t="shared" si="109"/>
        <v>1.4914633148076635</v>
      </c>
      <c r="V282" s="383">
        <f t="shared" si="110"/>
        <v>43.369195696210767</v>
      </c>
      <c r="W282" s="402">
        <f t="shared" si="111"/>
        <v>30.931934509455608</v>
      </c>
      <c r="X282" s="157">
        <f t="shared" si="112"/>
        <v>45559</v>
      </c>
      <c r="Y282" s="385">
        <f t="shared" si="113"/>
        <v>28.995118583182009</v>
      </c>
      <c r="Z282" s="385">
        <f t="shared" si="114"/>
        <v>30.493207246623928</v>
      </c>
      <c r="AA282" s="386">
        <f t="shared" si="115"/>
        <v>33.159523902506841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8.0408773772573341E-2</v>
      </c>
      <c r="AD282" s="231">
        <f>(INDEX(Models!$BJ282:$BT282,,AH282)*(1-AF282)+INDEX(Models!$BJ282:$BT282,,AH282+1)*AF282-ERP_i)*AE282*Ramure*Pc/MaxiM</f>
        <v>2.4493525835001385E-4</v>
      </c>
      <c r="AE282" s="305">
        <f t="shared" si="117"/>
        <v>0.5</v>
      </c>
      <c r="AF282" s="177">
        <f t="shared" si="118"/>
        <v>0.49146331480766348</v>
      </c>
      <c r="AG282" s="811">
        <f t="shared" si="124"/>
        <v>1</v>
      </c>
      <c r="AH282" s="176">
        <f t="shared" si="119"/>
        <v>7</v>
      </c>
      <c r="AI282" s="225">
        <f t="shared" si="120"/>
        <v>1.4914633148076635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'2023'!Wh/'2023'!Env_an*'2024'!Env_an</f>
        <v>33.357091549577937</v>
      </c>
      <c r="C283" s="841"/>
      <c r="D283" s="393">
        <f t="shared" si="102"/>
        <v>35.081318320987762</v>
      </c>
      <c r="E283" s="385">
        <f t="shared" si="100"/>
        <v>35.763091445654709</v>
      </c>
      <c r="F283" s="385">
        <f t="shared" si="103"/>
        <v>35.769758095498851</v>
      </c>
      <c r="G283" s="110">
        <f t="shared" si="101"/>
        <v>0.77482139687783802</v>
      </c>
      <c r="H283" s="414" t="b">
        <f>Wh_hp&gt;='2023'!Maxi_hp</f>
        <v>0</v>
      </c>
      <c r="I283" s="390">
        <f>IF(H283,Wh_hp,'2023'!Maxi_hp)</f>
        <v>46.475483095151723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4.9149429209970452E-2</v>
      </c>
      <c r="M283" s="845"/>
      <c r="N283" s="845"/>
      <c r="O283" s="48">
        <f>IF(t&lt;Tnet,'2023'!Resal+('2023'!Salim-'2023'!Resal)*(1-EXP(('2023'!Tnet-t)/('2023'!Tau_j))),Resal+(Salim-Resal)*(1-EXP((Tnet-t)/(Tau_j))))*Salcycl</f>
        <v>1.9063595933896414E-2</v>
      </c>
      <c r="P283" s="169">
        <f>(INDEX(Models!$BJ283:$BT283,,T283)*(1-R283)+INDEX(Models!$BJ283:$BT283,,T283+1)*R283-ERP_i)*Q283*Ramure*Pc/MaxiM</f>
        <v>2.747241112668891E-4</v>
      </c>
      <c r="Q283" s="305">
        <f t="shared" si="105"/>
        <v>0.5</v>
      </c>
      <c r="R283" s="177">
        <f t="shared" si="106"/>
        <v>0.4917056976680414</v>
      </c>
      <c r="S283" s="811">
        <f t="shared" si="107"/>
        <v>1</v>
      </c>
      <c r="T283" s="176">
        <f t="shared" si="108"/>
        <v>7</v>
      </c>
      <c r="U283" s="251">
        <f t="shared" si="109"/>
        <v>1.4917056976680414</v>
      </c>
      <c r="V283" s="383">
        <f t="shared" si="110"/>
        <v>43.047525690800668</v>
      </c>
      <c r="W283" s="402">
        <f t="shared" si="111"/>
        <v>33.357091549577937</v>
      </c>
      <c r="X283" s="157">
        <f t="shared" si="112"/>
        <v>45560</v>
      </c>
      <c r="Y283" s="385">
        <f t="shared" si="113"/>
        <v>31.270788189235432</v>
      </c>
      <c r="Z283" s="385">
        <f t="shared" si="114"/>
        <v>32.887174020680867</v>
      </c>
      <c r="AA283" s="386">
        <f t="shared" si="115"/>
        <v>35.763091445654709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8.0415794852188943E-2</v>
      </c>
      <c r="AD283" s="231">
        <f>(INDEX(Models!$BJ283:$BT283,,AH283)*(1-AF283)+INDEX(Models!$BJ283:$BT283,,AH283+1)*AF283-ERP_i)*AE283*Ramure*Pc/MaxiM</f>
        <v>2.747241112668891E-4</v>
      </c>
      <c r="AE283" s="305">
        <f t="shared" si="117"/>
        <v>0.5</v>
      </c>
      <c r="AF283" s="177">
        <f t="shared" si="118"/>
        <v>0.4917056976680414</v>
      </c>
      <c r="AG283" s="811">
        <f t="shared" si="124"/>
        <v>1</v>
      </c>
      <c r="AH283" s="176">
        <f t="shared" si="119"/>
        <v>7</v>
      </c>
      <c r="AI283" s="225">
        <f t="shared" si="120"/>
        <v>1.4917056976680414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'2023'!Wh/'2023'!Env_an*'2024'!Env_an</f>
        <v>15.076363072174201</v>
      </c>
      <c r="C284" s="841"/>
      <c r="D284" s="393">
        <f t="shared" si="102"/>
        <v>15.856006983225409</v>
      </c>
      <c r="E284" s="385">
        <f t="shared" si="100"/>
        <v>16.165493935548117</v>
      </c>
      <c r="F284" s="385">
        <f t="shared" si="103"/>
        <v>16.165866988440602</v>
      </c>
      <c r="G284" s="110">
        <f t="shared" si="101"/>
        <v>0.35276480901508211</v>
      </c>
      <c r="H284" s="414" t="b">
        <f>Wh_hp&gt;='2023'!Maxi_hp</f>
        <v>0</v>
      </c>
      <c r="I284" s="390">
        <f>IF(H284,Wh_hp,'2023'!Maxi_hp)</f>
        <v>45.12039737403196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4.9170255277764419E-2</v>
      </c>
      <c r="M284" s="845"/>
      <c r="N284" s="845"/>
      <c r="O284" s="48">
        <f>IF(t&lt;Tnet,'2023'!Resal+('2023'!Salim-'2023'!Resal)*(1-EXP(('2023'!Tnet-t)/('2023'!Tau_j))),Resal+(Salim-Resal)*(1-EXP((Tnet-t)/(Tau_j))))*Salcycl</f>
        <v>1.9144911597296761E-2</v>
      </c>
      <c r="P284" s="169">
        <f>(INDEX(Models!$BJ284:$BT284,,T284)*(1-R284)+INDEX(Models!$BJ284:$BT284,,T284+1)*R284-ERP_i)*Q284*Ramure*Pc/MaxiM</f>
        <v>3.055662526644124E-4</v>
      </c>
      <c r="Q284" s="305">
        <f t="shared" si="105"/>
        <v>0.5</v>
      </c>
      <c r="R284" s="177">
        <f t="shared" si="106"/>
        <v>0.49193854492711075</v>
      </c>
      <c r="S284" s="811">
        <f t="shared" si="107"/>
        <v>1</v>
      </c>
      <c r="T284" s="176">
        <f t="shared" si="108"/>
        <v>7</v>
      </c>
      <c r="U284" s="251">
        <f t="shared" si="109"/>
        <v>1.4919385449271108</v>
      </c>
      <c r="V284" s="383">
        <f t="shared" si="110"/>
        <v>42.72564516589518</v>
      </c>
      <c r="W284" s="402">
        <f t="shared" si="111"/>
        <v>15.076363072174201</v>
      </c>
      <c r="X284" s="157">
        <f t="shared" si="112"/>
        <v>45561</v>
      </c>
      <c r="Y284" s="385">
        <f t="shared" si="113"/>
        <v>14.134498400889189</v>
      </c>
      <c r="Z284" s="385">
        <f t="shared" si="114"/>
        <v>14.865435667474074</v>
      </c>
      <c r="AA284" s="386">
        <f t="shared" si="115"/>
        <v>16.165493935548117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8.0421809148386009E-2</v>
      </c>
      <c r="AD284" s="231">
        <f>(INDEX(Models!$BJ284:$BT284,,AH284)*(1-AF284)+INDEX(Models!$BJ284:$BT284,,AH284+1)*AF284-ERP_i)*AE284*Ramure*Pc/MaxiM</f>
        <v>3.055662526644124E-4</v>
      </c>
      <c r="AE284" s="305">
        <f t="shared" si="117"/>
        <v>0.5</v>
      </c>
      <c r="AF284" s="177">
        <f t="shared" si="118"/>
        <v>0.49193854492711075</v>
      </c>
      <c r="AG284" s="811">
        <f t="shared" si="124"/>
        <v>1</v>
      </c>
      <c r="AH284" s="176">
        <f t="shared" si="119"/>
        <v>7</v>
      </c>
      <c r="AI284" s="225">
        <f t="shared" si="120"/>
        <v>1.4919385449271108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'2023'!Wh/'2023'!Env_an*'2024'!Env_an</f>
        <v>17.322741797579646</v>
      </c>
      <c r="C285" s="841"/>
      <c r="D285" s="393">
        <f t="shared" si="102"/>
        <v>18.218951725635723</v>
      </c>
      <c r="E285" s="385">
        <f t="shared" si="100"/>
        <v>18.576093040830976</v>
      </c>
      <c r="F285" s="385">
        <f t="shared" si="103"/>
        <v>18.577064864312963</v>
      </c>
      <c r="G285" s="110">
        <f t="shared" si="101"/>
        <v>0.40839676967101995</v>
      </c>
      <c r="H285" s="414" t="b">
        <f>Wh_hp&gt;='2023'!Maxi_hp</f>
        <v>0</v>
      </c>
      <c r="I285" s="390">
        <f>IF(H285,Wh_hp,'2023'!Maxi_hp)</f>
        <v>42.169880552957594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4.9191080889414041E-2</v>
      </c>
      <c r="M285" s="845"/>
      <c r="N285" s="845"/>
      <c r="O285" s="48">
        <f>IF(t&lt;Tnet,'2023'!Resal+('2023'!Salim-'2023'!Resal)*(1-EXP(('2023'!Tnet-t)/('2023'!Tau_j))),Resal+(Salim-Resal)*(1-EXP((Tnet-t)/(Tau_j))))*Salcycl</f>
        <v>1.9225857364637545E-2</v>
      </c>
      <c r="P285" s="169">
        <f>(INDEX(Models!$BJ285:$BT285,,T285)*(1-R285)+INDEX(Models!$BJ285:$BT285,,T285+1)*R285-ERP_i)*Q285*Ramure*Pc/MaxiM</f>
        <v>3.3746249093809537E-4</v>
      </c>
      <c r="Q285" s="305">
        <f t="shared" si="105"/>
        <v>0.5</v>
      </c>
      <c r="R285" s="177">
        <f t="shared" si="106"/>
        <v>0.49216222317639735</v>
      </c>
      <c r="S285" s="811">
        <f t="shared" si="107"/>
        <v>1</v>
      </c>
      <c r="T285" s="176">
        <f t="shared" si="108"/>
        <v>7</v>
      </c>
      <c r="U285" s="251">
        <f t="shared" si="109"/>
        <v>1.4921622231763974</v>
      </c>
      <c r="V285" s="383">
        <f t="shared" si="110"/>
        <v>42.404355900009371</v>
      </c>
      <c r="W285" s="402">
        <f t="shared" si="111"/>
        <v>17.322741797579646</v>
      </c>
      <c r="X285" s="157">
        <f t="shared" si="112"/>
        <v>45562</v>
      </c>
      <c r="Y285" s="385">
        <f t="shared" si="113"/>
        <v>16.241791630339844</v>
      </c>
      <c r="Z285" s="385">
        <f t="shared" si="114"/>
        <v>17.082077485698054</v>
      </c>
      <c r="AA285" s="386">
        <f t="shared" si="115"/>
        <v>18.576093040830976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8.0426791136813322E-2</v>
      </c>
      <c r="AD285" s="231">
        <f>(INDEX(Models!$BJ285:$BT285,,AH285)*(1-AF285)+INDEX(Models!$BJ285:$BT285,,AH285+1)*AF285-ERP_i)*AE285*Ramure*Pc/MaxiM</f>
        <v>3.3746249093809537E-4</v>
      </c>
      <c r="AE285" s="305">
        <f t="shared" si="117"/>
        <v>0.5</v>
      </c>
      <c r="AF285" s="177">
        <f t="shared" si="118"/>
        <v>0.49216222317639735</v>
      </c>
      <c r="AG285" s="811">
        <f t="shared" si="124"/>
        <v>1</v>
      </c>
      <c r="AH285" s="176">
        <f t="shared" si="119"/>
        <v>7</v>
      </c>
      <c r="AI285" s="225">
        <f t="shared" si="120"/>
        <v>1.4921622231763974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'2023'!Wh/'2023'!Env_an*'2024'!Env_an</f>
        <v>23.756937198872333</v>
      </c>
      <c r="C286" s="841"/>
      <c r="D286" s="393">
        <f t="shared" si="102"/>
        <v>24.986574137722599</v>
      </c>
      <c r="E286" s="385">
        <f t="shared" si="100"/>
        <v>25.478472342357147</v>
      </c>
      <c r="F286" s="385">
        <f t="shared" si="103"/>
        <v>25.482038948832027</v>
      </c>
      <c r="G286" s="110">
        <f t="shared" si="101"/>
        <v>0.56437606976685262</v>
      </c>
      <c r="H286" s="414" t="b">
        <f>Wh_hp&gt;='2023'!Maxi_hp</f>
        <v>0</v>
      </c>
      <c r="I286" s="390">
        <f>IF(H286,Wh_hp,'2023'!Maxi_hp)</f>
        <v>44.457549596928516</v>
      </c>
      <c r="J286" s="85">
        <f>IF(H286,An,'2023'!An_max)</f>
        <v>2019</v>
      </c>
      <c r="K286" s="197">
        <f t="shared" si="104"/>
        <v>45563</v>
      </c>
      <c r="L286" s="147">
        <f>IF(t&lt;Tvie,1-EXP((T0-t)*PertePVj)+'2023'!Pspv,1-EXP((T0-t)*PertePVj)+Pspv)</f>
        <v>4.921190604492931E-2</v>
      </c>
      <c r="M286" s="845"/>
      <c r="N286" s="845"/>
      <c r="O286" s="48">
        <f>IF(t&lt;Tnet,'2023'!Resal+('2023'!Salim-'2023'!Resal)*(1-EXP(('2023'!Tnet-t)/('2023'!Tau_j))),Resal+(Salim-Resal)*(1-EXP((Tnet-t)/(Tau_j))))*Salcycl</f>
        <v>1.9306424577771243E-2</v>
      </c>
      <c r="P286" s="169">
        <f>(INDEX(Models!$BJ286:$BT286,,T286)*(1-R286)+INDEX(Models!$BJ286:$BT286,,T286+1)*R286-ERP_i)*Q286*Ramure*Pc/MaxiM</f>
        <v>3.7041046006744784E-4</v>
      </c>
      <c r="Q286" s="305">
        <f t="shared" si="105"/>
        <v>0.5</v>
      </c>
      <c r="R286" s="177">
        <f t="shared" si="106"/>
        <v>0.49237708558230753</v>
      </c>
      <c r="S286" s="811">
        <f t="shared" si="107"/>
        <v>1</v>
      </c>
      <c r="T286" s="176">
        <f t="shared" si="108"/>
        <v>7</v>
      </c>
      <c r="U286" s="251">
        <f t="shared" si="109"/>
        <v>1.4923770855823075</v>
      </c>
      <c r="V286" s="383">
        <f t="shared" si="110"/>
        <v>42.084459349969364</v>
      </c>
      <c r="W286" s="402">
        <f t="shared" si="111"/>
        <v>23.756937198872333</v>
      </c>
      <c r="X286" s="157">
        <f t="shared" si="112"/>
        <v>45563</v>
      </c>
      <c r="Y286" s="385">
        <f t="shared" si="113"/>
        <v>22.276223959210501</v>
      </c>
      <c r="Z286" s="385">
        <f t="shared" si="114"/>
        <v>23.429220560121106</v>
      </c>
      <c r="AA286" s="386">
        <f t="shared" si="115"/>
        <v>25.478472342357147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8.0430716359286017E-2</v>
      </c>
      <c r="AD286" s="231">
        <f>(INDEX(Models!$BJ286:$BT286,,AH286)*(1-AF286)+INDEX(Models!$BJ286:$BT286,,AH286+1)*AF286-ERP_i)*AE286*Ramure*Pc/MaxiM</f>
        <v>3.7041046006744784E-4</v>
      </c>
      <c r="AE286" s="305">
        <f t="shared" si="117"/>
        <v>0.5</v>
      </c>
      <c r="AF286" s="177">
        <f t="shared" si="118"/>
        <v>0.49237708558230753</v>
      </c>
      <c r="AG286" s="811">
        <f t="shared" si="124"/>
        <v>1</v>
      </c>
      <c r="AH286" s="176">
        <f t="shared" si="119"/>
        <v>7</v>
      </c>
      <c r="AI286" s="225">
        <f t="shared" si="120"/>
        <v>1.4923770855823075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'2023'!Wh/'2023'!Env_an*'2024'!Env_an</f>
        <v>29.029252551023689</v>
      </c>
      <c r="C287" s="841"/>
      <c r="D287" s="393">
        <f t="shared" si="102"/>
        <v>30.532448360101426</v>
      </c>
      <c r="E287" s="385">
        <f t="shared" si="100"/>
        <v>31.136071064856782</v>
      </c>
      <c r="F287" s="385">
        <f t="shared" si="103"/>
        <v>31.143178508984423</v>
      </c>
      <c r="G287" s="110">
        <f t="shared" si="101"/>
        <v>0.69490999932268716</v>
      </c>
      <c r="H287" s="414" t="b">
        <f>Wh_hp&gt;='2023'!Maxi_hp</f>
        <v>0</v>
      </c>
      <c r="I287" s="390">
        <f>IF(H287,Wh_hp,'2023'!Maxi_hp)</f>
        <v>41.406216750872005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4.923273074432033E-2</v>
      </c>
      <c r="M287" s="845"/>
      <c r="N287" s="845"/>
      <c r="O287" s="48">
        <f>IF(t&lt;Tnet,'2023'!Resal+('2023'!Salim-'2023'!Resal)*(1-EXP(('2023'!Tnet-t)/('2023'!Tau_j))),Resal+(Salim-Resal)*(1-EXP((Tnet-t)/(Tau_j))))*Salcycl</f>
        <v>1.9386604799880022E-2</v>
      </c>
      <c r="P287" s="169">
        <f>(INDEX(Models!$BJ287:$BT287,,T287)*(1-R287)+INDEX(Models!$BJ287:$BT287,,T287+1)*R287-ERP_i)*Q287*Ramure*Pc/MaxiM</f>
        <v>4.0440428768671698E-4</v>
      </c>
      <c r="Q287" s="305">
        <f t="shared" si="105"/>
        <v>0.5</v>
      </c>
      <c r="R287" s="177">
        <f t="shared" si="106"/>
        <v>0.49258347232511657</v>
      </c>
      <c r="S287" s="811">
        <f t="shared" si="107"/>
        <v>1</v>
      </c>
      <c r="T287" s="176">
        <f t="shared" si="108"/>
        <v>7</v>
      </c>
      <c r="U287" s="251">
        <f t="shared" si="109"/>
        <v>1.4925834723251166</v>
      </c>
      <c r="V287" s="383">
        <f t="shared" si="110"/>
        <v>41.766756652074577</v>
      </c>
      <c r="W287" s="402">
        <f t="shared" si="111"/>
        <v>29.029252551023689</v>
      </c>
      <c r="X287" s="157">
        <f t="shared" si="112"/>
        <v>45564</v>
      </c>
      <c r="Y287" s="385">
        <f t="shared" si="113"/>
        <v>27.222069887409528</v>
      </c>
      <c r="Z287" s="385">
        <f t="shared" si="114"/>
        <v>28.631685973709079</v>
      </c>
      <c r="AA287" s="386">
        <f t="shared" si="115"/>
        <v>31.136071064856782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8.0433561637595297E-2</v>
      </c>
      <c r="AD287" s="231">
        <f>(INDEX(Models!$BJ287:$BT287,,AH287)*(1-AF287)+INDEX(Models!$BJ287:$BT287,,AH287+1)*AF287-ERP_i)*AE287*Ramure*Pc/MaxiM</f>
        <v>4.0440428768671698E-4</v>
      </c>
      <c r="AE287" s="305">
        <f t="shared" si="117"/>
        <v>0.5</v>
      </c>
      <c r="AF287" s="177">
        <f t="shared" si="118"/>
        <v>0.49258347232511657</v>
      </c>
      <c r="AG287" s="811">
        <f t="shared" si="124"/>
        <v>1</v>
      </c>
      <c r="AH287" s="176">
        <f t="shared" si="119"/>
        <v>7</v>
      </c>
      <c r="AI287" s="225">
        <f t="shared" si="120"/>
        <v>1.4925834723251166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'2023'!Wh/'2023'!Env_an*'2024'!Env_an</f>
        <v>34.812464953103749</v>
      </c>
      <c r="C288" s="841"/>
      <c r="D288" s="393">
        <f t="shared" si="102"/>
        <v>36.615929657932718</v>
      </c>
      <c r="E288" s="385">
        <f t="shared" si="100"/>
        <v>37.342860336292915</v>
      </c>
      <c r="F288" s="385">
        <f t="shared" si="103"/>
        <v>37.355519459028073</v>
      </c>
      <c r="G288" s="110">
        <f t="shared" si="101"/>
        <v>0.8397404823023894</v>
      </c>
      <c r="H288" s="414" t="b">
        <f>Wh_hp&gt;='2023'!Maxi_hp</f>
        <v>0</v>
      </c>
      <c r="I288" s="390">
        <f>IF(H288,Wh_hp,'2023'!Maxi_hp)</f>
        <v>43.530133856028712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4.925355498759687E-2</v>
      </c>
      <c r="M288" s="845"/>
      <c r="N288" s="845"/>
      <c r="O288" s="48">
        <f>IF(t&lt;Tnet,'2023'!Resal+('2023'!Salim-'2023'!Resal)*(1-EXP(('2023'!Tnet-t)/('2023'!Tau_j))),Resal+(Salim-Resal)*(1-EXP((Tnet-t)/(Tau_j))))*Salcycl</f>
        <v>1.9466389875167321E-2</v>
      </c>
      <c r="P288" s="169">
        <f>(INDEX(Models!$BJ288:$BT288,,T288)*(1-R288)+INDEX(Models!$BJ288:$BT288,,T288+1)*R288-ERP_i)*Q288*Ramure*Pc/MaxiM</f>
        <v>4.3943425849867233E-4</v>
      </c>
      <c r="Q288" s="305">
        <f t="shared" si="105"/>
        <v>0.5</v>
      </c>
      <c r="R288" s="177">
        <f t="shared" si="106"/>
        <v>0.49278171102786494</v>
      </c>
      <c r="S288" s="811">
        <f t="shared" si="107"/>
        <v>1</v>
      </c>
      <c r="T288" s="176">
        <f t="shared" si="108"/>
        <v>7</v>
      </c>
      <c r="U288" s="251">
        <f t="shared" si="109"/>
        <v>1.4927817110278649</v>
      </c>
      <c r="V288" s="383">
        <f t="shared" si="110"/>
        <v>41.452048623379568</v>
      </c>
      <c r="W288" s="402">
        <f t="shared" si="111"/>
        <v>34.812464953103749</v>
      </c>
      <c r="X288" s="157">
        <f t="shared" si="112"/>
        <v>45565</v>
      </c>
      <c r="Y288" s="385">
        <f t="shared" si="113"/>
        <v>32.647849473043507</v>
      </c>
      <c r="Z288" s="385">
        <f t="shared" si="114"/>
        <v>34.339175964647012</v>
      </c>
      <c r="AA288" s="386">
        <f t="shared" si="115"/>
        <v>37.342860336292915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8.0435305292526516E-2</v>
      </c>
      <c r="AD288" s="231">
        <f>(INDEX(Models!$BJ288:$BT288,,AH288)*(1-AF288)+INDEX(Models!$BJ288:$BT288,,AH288+1)*AF288-ERP_i)*AE288*Ramure*Pc/MaxiM</f>
        <v>4.3943425849867233E-4</v>
      </c>
      <c r="AE288" s="305">
        <f t="shared" si="117"/>
        <v>0.5</v>
      </c>
      <c r="AF288" s="177">
        <f t="shared" si="118"/>
        <v>0.49278171102786494</v>
      </c>
      <c r="AG288" s="811">
        <f t="shared" si="124"/>
        <v>1</v>
      </c>
      <c r="AH288" s="176">
        <f t="shared" si="119"/>
        <v>7</v>
      </c>
      <c r="AI288" s="225">
        <f t="shared" si="120"/>
        <v>1.4927817110278649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'2023'!Wh/'2023'!Env_an*'2024'!Env_an</f>
        <v>38.80420488842816</v>
      </c>
      <c r="C289" s="841"/>
      <c r="D289" s="393">
        <f t="shared" si="102"/>
        <v>40.815356210154434</v>
      </c>
      <c r="E289" s="385">
        <f t="shared" si="100"/>
        <v>41.629027693647508</v>
      </c>
      <c r="F289" s="385">
        <f t="shared" si="103"/>
        <v>41.647225643606504</v>
      </c>
      <c r="G289" s="110">
        <f t="shared" si="101"/>
        <v>0.94320672665645844</v>
      </c>
      <c r="H289" s="414" t="b">
        <f>Wh_hp&gt;='2023'!Maxi_hp</f>
        <v>0</v>
      </c>
      <c r="I289" s="390">
        <f>IF(H289,Wh_hp,'2023'!Maxi_hp)</f>
        <v>44.550821163435508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4.9274378774769034E-2</v>
      </c>
      <c r="M289" s="845"/>
      <c r="N289" s="845"/>
      <c r="O289" s="48">
        <f>IF(t&lt;Tnet,'2023'!Resal+('2023'!Salim-'2023'!Resal)*(1-EXP(('2023'!Tnet-t)/('2023'!Tau_j))),Resal+(Salim-Resal)*(1-EXP((Tnet-t)/(Tau_j))))*Salcycl</f>
        <v>1.9545771990664144E-2</v>
      </c>
      <c r="P289" s="169">
        <f>(INDEX(Models!$BJ289:$BT289,,T289)*(1-R289)+INDEX(Models!$BJ289:$BT289,,T289+1)*R289-ERP_i)*Q289*Ramure*Pc/MaxiM</f>
        <v>4.755095986858917E-4</v>
      </c>
      <c r="Q289" s="305">
        <f t="shared" si="105"/>
        <v>0.5</v>
      </c>
      <c r="R289" s="177">
        <f t="shared" si="106"/>
        <v>0.49297211717502121</v>
      </c>
      <c r="S289" s="811">
        <f t="shared" si="107"/>
        <v>1</v>
      </c>
      <c r="T289" s="176">
        <f t="shared" si="108"/>
        <v>7</v>
      </c>
      <c r="U289" s="251">
        <f t="shared" si="109"/>
        <v>1.4929721171750212</v>
      </c>
      <c r="V289" s="383">
        <f t="shared" si="110"/>
        <v>41.139134237116899</v>
      </c>
      <c r="W289" s="402">
        <f t="shared" si="111"/>
        <v>38.80420488842816</v>
      </c>
      <c r="X289" s="157">
        <f t="shared" si="112"/>
        <v>45566</v>
      </c>
      <c r="Y289" s="385">
        <f t="shared" si="113"/>
        <v>36.394307519037213</v>
      </c>
      <c r="Z289" s="385">
        <f t="shared" si="114"/>
        <v>38.280558245747798</v>
      </c>
      <c r="AA289" s="386">
        <f t="shared" si="115"/>
        <v>41.629027693647508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8.0435927366391061E-2</v>
      </c>
      <c r="AD289" s="231">
        <f>(INDEX(Models!$BJ289:$BT289,,AH289)*(1-AF289)+INDEX(Models!$BJ289:$BT289,,AH289+1)*AF289-ERP_i)*AE289*Ramure*Pc/MaxiM</f>
        <v>4.755095986858917E-4</v>
      </c>
      <c r="AE289" s="305">
        <f t="shared" si="117"/>
        <v>0.5</v>
      </c>
      <c r="AF289" s="177">
        <f t="shared" si="118"/>
        <v>0.49297211717502121</v>
      </c>
      <c r="AG289" s="811">
        <f t="shared" si="124"/>
        <v>1</v>
      </c>
      <c r="AH289" s="176">
        <f t="shared" si="119"/>
        <v>7</v>
      </c>
      <c r="AI289" s="225">
        <f t="shared" si="120"/>
        <v>1.4929721171750212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'2023'!Wh/'2023'!Env_an*'2024'!Env_an</f>
        <v>35.292714552110553</v>
      </c>
      <c r="C290" s="841"/>
      <c r="D290" s="393">
        <f t="shared" si="102"/>
        <v>37.122684802143887</v>
      </c>
      <c r="E290" s="385">
        <f t="shared" si="100"/>
        <v>37.865791251965781</v>
      </c>
      <c r="F290" s="385">
        <f t="shared" si="103"/>
        <v>37.881350851412577</v>
      </c>
      <c r="G290" s="110">
        <f t="shared" si="101"/>
        <v>0.86437258606221068</v>
      </c>
      <c r="H290" s="414" t="b">
        <f>Wh_hp&gt;='2023'!Maxi_hp</f>
        <v>0</v>
      </c>
      <c r="I290" s="390">
        <f>IF(H290,Wh_hp,'2023'!Maxi_hp)</f>
        <v>42.516161138689995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4.9295202105846925E-2</v>
      </c>
      <c r="M290" s="845"/>
      <c r="N290" s="845"/>
      <c r="O290" s="48">
        <f>IF(t&lt;Tnet,'2023'!Resal+('2023'!Salim-'2023'!Resal)*(1-EXP(('2023'!Tnet-t)/('2023'!Tau_j))),Resal+(Salim-Resal)*(1-EXP((Tnet-t)/(Tau_j))))*Salcycl</f>
        <v>1.9624743739728823E-2</v>
      </c>
      <c r="P290" s="169">
        <f>(INDEX(Models!$BJ290:$BT290,,T290)*(1-R290)+INDEX(Models!$BJ290:$BT290,,T290+1)*R290-ERP_i)*Q290*Ramure*Pc/MaxiM</f>
        <v>5.0937714139462061E-4</v>
      </c>
      <c r="Q290" s="305">
        <f t="shared" si="105"/>
        <v>0.5</v>
      </c>
      <c r="R290" s="177">
        <f t="shared" si="106"/>
        <v>0.49315499452080935</v>
      </c>
      <c r="S290" s="811">
        <f t="shared" si="107"/>
        <v>1</v>
      </c>
      <c r="T290" s="176">
        <f t="shared" si="108"/>
        <v>7</v>
      </c>
      <c r="U290" s="251">
        <f t="shared" si="109"/>
        <v>1.4931549945208094</v>
      </c>
      <c r="V290" s="383">
        <f t="shared" si="110"/>
        <v>40.826412957905198</v>
      </c>
      <c r="W290" s="402">
        <f t="shared" si="111"/>
        <v>35.292714552110553</v>
      </c>
      <c r="X290" s="157">
        <f t="shared" si="112"/>
        <v>45567</v>
      </c>
      <c r="Y290" s="385">
        <f t="shared" si="113"/>
        <v>33.103579864190955</v>
      </c>
      <c r="Z290" s="385">
        <f t="shared" si="114"/>
        <v>34.820040813422452</v>
      </c>
      <c r="AA290" s="386">
        <f t="shared" si="115"/>
        <v>37.865791251965781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8.0435409847277747E-2</v>
      </c>
      <c r="AD290" s="231">
        <f>(INDEX(Models!$BJ290:$BT290,,AH290)*(1-AF290)+INDEX(Models!$BJ290:$BT290,,AH290+1)*AF290-ERP_i)*AE290*Ramure*Pc/MaxiM</f>
        <v>5.0937714139462061E-4</v>
      </c>
      <c r="AE290" s="305">
        <f t="shared" si="117"/>
        <v>0.5</v>
      </c>
      <c r="AF290" s="177">
        <f t="shared" si="118"/>
        <v>0.49315499452080935</v>
      </c>
      <c r="AG290" s="811">
        <f t="shared" si="124"/>
        <v>1</v>
      </c>
      <c r="AH290" s="176">
        <f t="shared" si="119"/>
        <v>7</v>
      </c>
      <c r="AI290" s="225">
        <f t="shared" si="120"/>
        <v>1.4931549945208094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'2023'!Wh/'2023'!Env_an*'2024'!Env_an</f>
        <v>39.710499470019776</v>
      </c>
      <c r="C291" s="841"/>
      <c r="D291" s="393">
        <f t="shared" si="102"/>
        <v>41.770452130761399</v>
      </c>
      <c r="E291" s="385">
        <f t="shared" si="100"/>
        <v>42.610009860790399</v>
      </c>
      <c r="F291" s="385">
        <f t="shared" si="103"/>
        <v>42.632356864813296</v>
      </c>
      <c r="G291" s="110">
        <f t="shared" si="101"/>
        <v>0.98015364466774513</v>
      </c>
      <c r="H291" s="414" t="b">
        <f>Wh_hp&gt;='2023'!Maxi_hp</f>
        <v>0</v>
      </c>
      <c r="I291" s="390">
        <f>IF(H291,Wh_hp,'2023'!Maxi_hp)</f>
        <v>42.63273161899879</v>
      </c>
      <c r="J291" s="85">
        <f>IF(H291,An,'2023'!An_max)</f>
        <v>2022</v>
      </c>
      <c r="K291" s="197">
        <f t="shared" si="104"/>
        <v>45568</v>
      </c>
      <c r="L291" s="147">
        <f>IF(t&lt;Tvie,1-EXP((T0-t)*PertePVj)+'2023'!Pspv,1-EXP((T0-t)*PertePVj)+Pspv)</f>
        <v>4.9316024980840312E-2</v>
      </c>
      <c r="M291" s="845"/>
      <c r="N291" s="845"/>
      <c r="O291" s="48">
        <f>IF(t&lt;Tnet,'2023'!Resal+('2023'!Salim-'2023'!Resal)*(1-EXP(('2023'!Tnet-t)/('2023'!Tau_j))),Resal+(Salim-Resal)*(1-EXP((Tnet-t)/(Tau_j))))*Salcycl</f>
        <v>1.9703298186785009E-2</v>
      </c>
      <c r="P291" s="169">
        <f>(INDEX(Models!$BJ291:$BT291,,T291)*(1-R291)+INDEX(Models!$BJ291:$BT291,,T291+1)*R291-ERP_i)*Q291*Ramure*Pc/MaxiM</f>
        <v>5.3946267908192187E-4</v>
      </c>
      <c r="Q291" s="305">
        <f t="shared" si="105"/>
        <v>0.5</v>
      </c>
      <c r="R291" s="177">
        <f t="shared" si="106"/>
        <v>0.49333063548713962</v>
      </c>
      <c r="S291" s="811">
        <f t="shared" si="107"/>
        <v>1</v>
      </c>
      <c r="T291" s="176">
        <f t="shared" si="108"/>
        <v>7</v>
      </c>
      <c r="U291" s="251">
        <f t="shared" si="109"/>
        <v>1.4933306354871396</v>
      </c>
      <c r="V291" s="383">
        <f t="shared" si="110"/>
        <v>40.513946422418094</v>
      </c>
      <c r="W291" s="402">
        <f t="shared" si="111"/>
        <v>39.710499470019776</v>
      </c>
      <c r="X291" s="157">
        <f t="shared" si="112"/>
        <v>45568</v>
      </c>
      <c r="Y291" s="385">
        <f t="shared" si="113"/>
        <v>37.250391168520494</v>
      </c>
      <c r="Z291" s="385">
        <f t="shared" si="114"/>
        <v>39.182727538633188</v>
      </c>
      <c r="AA291" s="386">
        <f t="shared" si="115"/>
        <v>42.610009860790399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8.0433736893146868E-2</v>
      </c>
      <c r="AD291" s="231">
        <f>(INDEX(Models!$BJ291:$BT291,,AH291)*(1-AF291)+INDEX(Models!$BJ291:$BT291,,AH291+1)*AF291-ERP_i)*AE291*Ramure*Pc/MaxiM</f>
        <v>5.3946267908192187E-4</v>
      </c>
      <c r="AE291" s="305">
        <f t="shared" si="117"/>
        <v>0.5</v>
      </c>
      <c r="AF291" s="177">
        <f t="shared" si="118"/>
        <v>0.49333063548713962</v>
      </c>
      <c r="AG291" s="811">
        <f t="shared" si="124"/>
        <v>1</v>
      </c>
      <c r="AH291" s="176">
        <f t="shared" si="119"/>
        <v>7</v>
      </c>
      <c r="AI291" s="225">
        <f t="shared" si="120"/>
        <v>1.4933306354871396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'2023'!Wh/'2023'!Env_an*'2024'!Env_an</f>
        <v>40.955390209651874</v>
      </c>
      <c r="C292" s="841"/>
      <c r="D292" s="393">
        <f t="shared" si="102"/>
        <v>43.080864234225608</v>
      </c>
      <c r="E292" s="385">
        <f t="shared" si="100"/>
        <v>43.950263243148278</v>
      </c>
      <c r="F292" s="385">
        <f t="shared" si="103"/>
        <v>43.975140189809309</v>
      </c>
      <c r="G292" s="110">
        <f t="shared" si="101"/>
        <v>1.018746872792742</v>
      </c>
      <c r="H292" s="414" t="b">
        <f>Wh_hp&gt;='2023'!Maxi_hp</f>
        <v>1</v>
      </c>
      <c r="I292" s="390">
        <f>IF(H292,Wh_hp,'2023'!Maxi_hp)</f>
        <v>43.975140189809309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4.9336847399759298E-2</v>
      </c>
      <c r="M292" s="845"/>
      <c r="N292" s="845"/>
      <c r="O292" s="48">
        <f>IF(t&lt;Tnet,'2023'!Resal+('2023'!Salim-'2023'!Resal)*(1-EXP(('2023'!Tnet-t)/('2023'!Tau_j))),Resal+(Salim-Resal)*(1-EXP((Tnet-t)/(Tau_j))))*Salcycl</f>
        <v>1.9781428932810992E-2</v>
      </c>
      <c r="P292" s="169">
        <f>(INDEX(Models!$BJ292:$BT292,,T292)*(1-R292)+INDEX(Models!$BJ292:$BT292,,T292+1)*R292-ERP_i)*Q292*Ramure*Pc/MaxiM</f>
        <v>5.6570477214305326E-4</v>
      </c>
      <c r="Q292" s="305">
        <f t="shared" si="105"/>
        <v>0.5</v>
      </c>
      <c r="R292" s="177">
        <f t="shared" si="106"/>
        <v>0.49349932155112142</v>
      </c>
      <c r="S292" s="811">
        <f t="shared" si="107"/>
        <v>1</v>
      </c>
      <c r="T292" s="176">
        <f t="shared" si="108"/>
        <v>7</v>
      </c>
      <c r="U292" s="251">
        <f t="shared" si="109"/>
        <v>1.4934993215511214</v>
      </c>
      <c r="V292" s="383">
        <f t="shared" si="110"/>
        <v>40.201733427047287</v>
      </c>
      <c r="W292" s="402">
        <f t="shared" si="111"/>
        <v>40.955390209651874</v>
      </c>
      <c r="X292" s="157">
        <f t="shared" si="112"/>
        <v>45569</v>
      </c>
      <c r="Y292" s="385">
        <f t="shared" si="113"/>
        <v>38.421340535109586</v>
      </c>
      <c r="Z292" s="385">
        <f t="shared" si="114"/>
        <v>40.415304232650719</v>
      </c>
      <c r="AA292" s="386">
        <f t="shared" si="115"/>
        <v>43.950263243148278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8.0430895053823212E-2</v>
      </c>
      <c r="AD292" s="231">
        <f>(INDEX(Models!$BJ292:$BT292,,AH292)*(1-AF292)+INDEX(Models!$BJ292:$BT292,,AH292+1)*AF292-ERP_i)*AE292*Ramure*Pc/MaxiM</f>
        <v>5.6570477214305326E-4</v>
      </c>
      <c r="AE292" s="305">
        <f t="shared" si="117"/>
        <v>0.5</v>
      </c>
      <c r="AF292" s="177">
        <f t="shared" si="118"/>
        <v>0.49349932155112142</v>
      </c>
      <c r="AG292" s="811">
        <f t="shared" si="124"/>
        <v>1</v>
      </c>
      <c r="AH292" s="176">
        <f t="shared" si="119"/>
        <v>7</v>
      </c>
      <c r="AI292" s="225">
        <f t="shared" si="120"/>
        <v>1.4934993215511214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'2023'!Wh/'2023'!Env_an*'2024'!Env_an</f>
        <v>11.955418537368905</v>
      </c>
      <c r="C293" s="841"/>
      <c r="D293" s="393">
        <f t="shared" si="102"/>
        <v>12.576147886611619</v>
      </c>
      <c r="E293" s="385">
        <f t="shared" si="100"/>
        <v>12.830959583324875</v>
      </c>
      <c r="F293" s="385">
        <f t="shared" si="103"/>
        <v>12.830959583324875</v>
      </c>
      <c r="G293" s="110">
        <f t="shared" si="101"/>
        <v>0.29953513024276973</v>
      </c>
      <c r="H293" s="414" t="b">
        <f>Wh_hp&gt;='2023'!Maxi_hp</f>
        <v>0</v>
      </c>
      <c r="I293" s="390">
        <f>IF(H293,Wh_hp,'2023'!Maxi_hp)</f>
        <v>39.638043153684698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4.9357669362613987E-2</v>
      </c>
      <c r="M293" s="845"/>
      <c r="N293" s="845"/>
      <c r="O293" s="48">
        <f>IF(t&lt;Tnet,'2023'!Resal+('2023'!Salim-'2023'!Resal)*(1-EXP(('2023'!Tnet-t)/('2023'!Tau_j))),Resal+(Salim-Resal)*(1-EXP((Tnet-t)/(Tau_j))))*Salcycl</f>
        <v>1.9859130181066855E-2</v>
      </c>
      <c r="P293" s="169">
        <f>(INDEX(Models!$BJ293:$BT293,,T293)*(1-R293)+INDEX(Models!$BJ293:$BT293,,T293+1)*R293-ERP_i)*Q293*Ramure*Pc/MaxiM</f>
        <v>5.8804315015316465E-4</v>
      </c>
      <c r="Q293" s="305">
        <f t="shared" si="105"/>
        <v>0.5</v>
      </c>
      <c r="R293" s="177">
        <f t="shared" si="106"/>
        <v>0.49366132362216053</v>
      </c>
      <c r="S293" s="811">
        <f t="shared" si="107"/>
        <v>1</v>
      </c>
      <c r="T293" s="176">
        <f t="shared" si="108"/>
        <v>7</v>
      </c>
      <c r="U293" s="251">
        <f t="shared" si="109"/>
        <v>1.4936613236221605</v>
      </c>
      <c r="V293" s="383">
        <f t="shared" si="110"/>
        <v>39.889772614339968</v>
      </c>
      <c r="W293" s="402">
        <f t="shared" si="111"/>
        <v>11.955418537368905</v>
      </c>
      <c r="X293" s="157">
        <f t="shared" si="112"/>
        <v>45570</v>
      </c>
      <c r="Y293" s="385">
        <f t="shared" si="113"/>
        <v>11.216634201967413</v>
      </c>
      <c r="Z293" s="385">
        <f t="shared" si="114"/>
        <v>11.799005620175667</v>
      </c>
      <c r="AA293" s="386">
        <f t="shared" si="115"/>
        <v>12.830959583324875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8.0426873488896142E-2</v>
      </c>
      <c r="AD293" s="231">
        <f>(INDEX(Models!$BJ293:$BT293,,AH293)*(1-AF293)+INDEX(Models!$BJ293:$BT293,,AH293+1)*AF293-ERP_i)*AE293*Ramure*Pc/MaxiM</f>
        <v>5.8804315015316465E-4</v>
      </c>
      <c r="AE293" s="305">
        <f t="shared" si="117"/>
        <v>0.5</v>
      </c>
      <c r="AF293" s="177">
        <f t="shared" si="118"/>
        <v>0.49366132362216053</v>
      </c>
      <c r="AG293" s="811">
        <f t="shared" si="124"/>
        <v>1</v>
      </c>
      <c r="AH293" s="176">
        <f t="shared" si="119"/>
        <v>7</v>
      </c>
      <c r="AI293" s="225">
        <f t="shared" si="120"/>
        <v>1.4936613236221605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'2023'!Wh/'2023'!Env_an*'2024'!Env_an</f>
        <v>29.220611396316407</v>
      </c>
      <c r="C294" s="841"/>
      <c r="D294" s="393">
        <f t="shared" si="102"/>
        <v>30.738428612919595</v>
      </c>
      <c r="E294" s="385">
        <f t="shared" si="100"/>
        <v>31.36370793960193</v>
      </c>
      <c r="F294" s="385">
        <f t="shared" si="103"/>
        <v>31.375621503466711</v>
      </c>
      <c r="G294" s="110">
        <f t="shared" si="101"/>
        <v>0.73813578580881523</v>
      </c>
      <c r="H294" s="414" t="b">
        <f>Wh_hp&gt;='2023'!Maxi_hp</f>
        <v>0</v>
      </c>
      <c r="I294" s="390">
        <f>IF(H294,Wh_hp,'2023'!Maxi_hp)</f>
        <v>42.817625020301556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4.9378490869414149E-2</v>
      </c>
      <c r="M294" s="845"/>
      <c r="N294" s="845"/>
      <c r="O294" s="48">
        <f>IF(t&lt;Tnet,'2023'!Resal+('2023'!Salim-'2023'!Resal)*(1-EXP(('2023'!Tnet-t)/('2023'!Tau_j))),Resal+(Salim-Resal)*(1-EXP((Tnet-t)/(Tau_j))))*Salcycl</f>
        <v>1.9936396802522703E-2</v>
      </c>
      <c r="P294" s="169">
        <f>(INDEX(Models!$BJ294:$BT294,,T294)*(1-R294)+INDEX(Models!$BJ294:$BT294,,T294+1)*R294-ERP_i)*Q294*Ramure*Pc/MaxiM</f>
        <v>6.0641889937203741E-4</v>
      </c>
      <c r="Q294" s="305">
        <f t="shared" si="105"/>
        <v>0.5</v>
      </c>
      <c r="R294" s="177">
        <f t="shared" si="106"/>
        <v>0.49381690240868337</v>
      </c>
      <c r="S294" s="811">
        <f t="shared" si="107"/>
        <v>1</v>
      </c>
      <c r="T294" s="176">
        <f t="shared" si="108"/>
        <v>7</v>
      </c>
      <c r="U294" s="251">
        <f t="shared" si="109"/>
        <v>1.4938169024086834</v>
      </c>
      <c r="V294" s="383">
        <f t="shared" si="110"/>
        <v>39.578062465752822</v>
      </c>
      <c r="W294" s="402">
        <f t="shared" si="111"/>
        <v>29.220611396316407</v>
      </c>
      <c r="X294" s="157">
        <f t="shared" si="112"/>
        <v>45571</v>
      </c>
      <c r="Y294" s="385">
        <f t="shared" si="113"/>
        <v>27.417242219602901</v>
      </c>
      <c r="Z294" s="385">
        <f t="shared" si="114"/>
        <v>28.841386352259178</v>
      </c>
      <c r="AA294" s="386">
        <f t="shared" si="115"/>
        <v>31.36370793960193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8.0421664179505345E-2</v>
      </c>
      <c r="AD294" s="231">
        <f>(INDEX(Models!$BJ294:$BT294,,AH294)*(1-AF294)+INDEX(Models!$BJ294:$BT294,,AH294+1)*AF294-ERP_i)*AE294*Ramure*Pc/MaxiM</f>
        <v>6.0641889937203741E-4</v>
      </c>
      <c r="AE294" s="305">
        <f t="shared" si="117"/>
        <v>0.5</v>
      </c>
      <c r="AF294" s="177">
        <f t="shared" si="118"/>
        <v>0.49381690240868337</v>
      </c>
      <c r="AG294" s="811">
        <f t="shared" si="124"/>
        <v>1</v>
      </c>
      <c r="AH294" s="176">
        <f t="shared" si="119"/>
        <v>7</v>
      </c>
      <c r="AI294" s="225">
        <f t="shared" si="120"/>
        <v>1.4938169024086834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'2023'!Wh/'2023'!Env_an*'2024'!Env_an</f>
        <v>15.925867526330714</v>
      </c>
      <c r="C295" s="841"/>
      <c r="D295" s="393">
        <f t="shared" si="102"/>
        <v>16.75347780202036</v>
      </c>
      <c r="E295" s="385">
        <f t="shared" si="100"/>
        <v>17.095616205402777</v>
      </c>
      <c r="F295" s="385">
        <f t="shared" si="103"/>
        <v>17.097217073376545</v>
      </c>
      <c r="G295" s="110">
        <f t="shared" si="101"/>
        <v>0.40536922043527462</v>
      </c>
      <c r="H295" s="414" t="b">
        <f>Wh_hp&gt;='2023'!Maxi_hp</f>
        <v>0</v>
      </c>
      <c r="I295" s="390">
        <f>IF(H295,Wh_hp,'2023'!Maxi_hp)</f>
        <v>40.412475476580589</v>
      </c>
      <c r="J295" s="85">
        <f>IF(H295,An,'2023'!An_max)</f>
        <v>2019</v>
      </c>
      <c r="K295" s="197">
        <f t="shared" si="104"/>
        <v>45572</v>
      </c>
      <c r="L295" s="147">
        <f>IF(t&lt;Tvie,1-EXP((T0-t)*PertePVj)+'2023'!Pspv,1-EXP((T0-t)*PertePVj)+Pspv)</f>
        <v>4.9399311920169886E-2</v>
      </c>
      <c r="M295" s="845"/>
      <c r="N295" s="845"/>
      <c r="O295" s="48">
        <f>IF(t&lt;Tnet,'2023'!Resal+('2023'!Salim-'2023'!Resal)*(1-EXP(('2023'!Tnet-t)/('2023'!Tau_j))),Resal+(Salim-Resal)*(1-EXP((Tnet-t)/(Tau_j))))*Salcycl</f>
        <v>2.0013224400433717E-2</v>
      </c>
      <c r="P295" s="169">
        <f>(INDEX(Models!$BJ295:$BT295,,T295)*(1-R295)+INDEX(Models!$BJ295:$BT295,,T295+1)*R295-ERP_i)*Q295*Ramure*Pc/MaxiM</f>
        <v>6.207746420618665E-4</v>
      </c>
      <c r="Q295" s="305">
        <f t="shared" si="105"/>
        <v>0.5</v>
      </c>
      <c r="R295" s="177">
        <f t="shared" si="106"/>
        <v>0.4939663087745445</v>
      </c>
      <c r="S295" s="811">
        <f t="shared" si="107"/>
        <v>1</v>
      </c>
      <c r="T295" s="176">
        <f t="shared" si="108"/>
        <v>7</v>
      </c>
      <c r="U295" s="251">
        <f t="shared" si="109"/>
        <v>1.4939663087745445</v>
      </c>
      <c r="V295" s="383">
        <f t="shared" si="110"/>
        <v>39.266601295220305</v>
      </c>
      <c r="W295" s="402">
        <f t="shared" si="111"/>
        <v>15.925867526330714</v>
      </c>
      <c r="X295" s="157">
        <f t="shared" si="112"/>
        <v>45572</v>
      </c>
      <c r="Y295" s="385">
        <f t="shared" si="113"/>
        <v>14.944267697450877</v>
      </c>
      <c r="Z295" s="385">
        <f t="shared" si="114"/>
        <v>15.720867746937586</v>
      </c>
      <c r="AA295" s="386">
        <f t="shared" si="115"/>
        <v>17.095616205402777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8.0415262131980095E-2</v>
      </c>
      <c r="AD295" s="231">
        <f>(INDEX(Models!$BJ295:$BT295,,AH295)*(1-AF295)+INDEX(Models!$BJ295:$BT295,,AH295+1)*AF295-ERP_i)*AE295*Ramure*Pc/MaxiM</f>
        <v>6.207746420618665E-4</v>
      </c>
      <c r="AE295" s="305">
        <f t="shared" si="117"/>
        <v>0.5</v>
      </c>
      <c r="AF295" s="177">
        <f t="shared" si="118"/>
        <v>0.4939663087745445</v>
      </c>
      <c r="AG295" s="811">
        <f t="shared" si="124"/>
        <v>1</v>
      </c>
      <c r="AH295" s="176">
        <f t="shared" si="119"/>
        <v>7</v>
      </c>
      <c r="AI295" s="225">
        <f t="shared" si="120"/>
        <v>1.4939663087745445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'2023'!Wh/'2023'!Env_an*'2024'!Env_an</f>
        <v>37.455731294407421</v>
      </c>
      <c r="C296" s="841"/>
      <c r="D296" s="393">
        <f t="shared" si="102"/>
        <v>39.40303447989254</v>
      </c>
      <c r="E296" s="385">
        <f t="shared" si="100"/>
        <v>40.210854846329568</v>
      </c>
      <c r="F296" s="385">
        <f t="shared" si="103"/>
        <v>40.234820790349268</v>
      </c>
      <c r="G296" s="110">
        <f t="shared" si="101"/>
        <v>0.96146918598621034</v>
      </c>
      <c r="H296" s="414" t="b">
        <f>Wh_hp&gt;='2023'!Maxi_hp</f>
        <v>0</v>
      </c>
      <c r="I296" s="390">
        <f>IF(H296,Wh_hp,'2023'!Maxi_hp)</f>
        <v>40.235517573950581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4.9420132514891191E-2</v>
      </c>
      <c r="M296" s="845"/>
      <c r="N296" s="845"/>
      <c r="O296" s="48">
        <f>IF(t&lt;Tnet,'2023'!Resal+('2023'!Salim-'2023'!Resal)*(1-EXP(('2023'!Tnet-t)/('2023'!Tau_j))),Resal+(Salim-Resal)*(1-EXP((Tnet-t)/(Tau_j))))*Salcycl</f>
        <v>2.0089609373493932E-2</v>
      </c>
      <c r="P296" s="169">
        <f>(INDEX(Models!$BJ296:$BT296,,T296)*(1-R296)+INDEX(Models!$BJ296:$BT296,,T296+1)*R296-ERP_i)*Q296*Ramure*Pc/MaxiM</f>
        <v>6.3031696377141447E-4</v>
      </c>
      <c r="Q296" s="305">
        <f t="shared" si="105"/>
        <v>0.5</v>
      </c>
      <c r="R296" s="177">
        <f t="shared" si="106"/>
        <v>0.49410978408520712</v>
      </c>
      <c r="S296" s="811">
        <f t="shared" si="107"/>
        <v>1</v>
      </c>
      <c r="T296" s="176">
        <f t="shared" si="108"/>
        <v>7</v>
      </c>
      <c r="U296" s="251">
        <f t="shared" si="109"/>
        <v>1.4941097840852071</v>
      </c>
      <c r="V296" s="383">
        <f t="shared" si="110"/>
        <v>38.955416000796355</v>
      </c>
      <c r="W296" s="402">
        <f t="shared" si="111"/>
        <v>37.455731294407421</v>
      </c>
      <c r="X296" s="157">
        <f t="shared" si="112"/>
        <v>45573</v>
      </c>
      <c r="Y296" s="385">
        <f t="shared" si="113"/>
        <v>35.15015628800105</v>
      </c>
      <c r="Z296" s="385">
        <f t="shared" si="114"/>
        <v>36.977593877509392</v>
      </c>
      <c r="AA296" s="386">
        <f t="shared" si="115"/>
        <v>40.210854846329568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8.0407665571310363E-2</v>
      </c>
      <c r="AD296" s="231">
        <f>(INDEX(Models!$BJ296:$BT296,,AH296)*(1-AF296)+INDEX(Models!$BJ296:$BT296,,AH296+1)*AF296-ERP_i)*AE296*Ramure*Pc/MaxiM</f>
        <v>6.3031696377141447E-4</v>
      </c>
      <c r="AE296" s="305">
        <f t="shared" si="117"/>
        <v>0.5</v>
      </c>
      <c r="AF296" s="177">
        <f t="shared" si="118"/>
        <v>0.49410978408520712</v>
      </c>
      <c r="AG296" s="811">
        <f t="shared" si="124"/>
        <v>1</v>
      </c>
      <c r="AH296" s="176">
        <f t="shared" si="119"/>
        <v>7</v>
      </c>
      <c r="AI296" s="225">
        <f t="shared" si="120"/>
        <v>1.4941097840852071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'2023'!Wh/'2023'!Env_an*'2024'!Env_an</f>
        <v>30.869432103385218</v>
      </c>
      <c r="C297" s="841"/>
      <c r="D297" s="393">
        <f t="shared" si="102"/>
        <v>32.475028447270653</v>
      </c>
      <c r="E297" s="385">
        <f t="shared" ref="E297:E360" si="125">Wh_pvt/(1-Psa)</f>
        <v>33.14338295960583</v>
      </c>
      <c r="F297" s="385">
        <f t="shared" si="103"/>
        <v>33.158404540145192</v>
      </c>
      <c r="G297" s="110">
        <f t="shared" ref="G297:G360" si="126">+Wh_hp/MaxiM</f>
        <v>0.79865981579918954</v>
      </c>
      <c r="H297" s="414" t="b">
        <f>Wh_hp&gt;='2023'!Maxi_hp</f>
        <v>0</v>
      </c>
      <c r="I297" s="390">
        <f>IF(H297,Wh_hp,'2023'!Maxi_hp)</f>
        <v>33.161350482065217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4.9440952653588055E-2</v>
      </c>
      <c r="M297" s="845"/>
      <c r="N297" s="845"/>
      <c r="O297" s="48">
        <f>IF(t&lt;Tnet,'2023'!Resal+('2023'!Salim-'2023'!Resal)*(1-EXP(('2023'!Tnet-t)/('2023'!Tau_j))),Resal+(Salim-Resal)*(1-EXP((Tnet-t)/(Tau_j))))*Salcycl</f>
        <v>2.0165548976993321E-2</v>
      </c>
      <c r="P297" s="169">
        <f>(INDEX(Models!$BJ297:$BT297,,T297)*(1-R297)+INDEX(Models!$BJ297:$BT297,,T297+1)*R297-ERP_i)*Q297*Ramure*Pc/MaxiM</f>
        <v>6.3575313408572155E-4</v>
      </c>
      <c r="Q297" s="305">
        <f t="shared" si="105"/>
        <v>0.5</v>
      </c>
      <c r="R297" s="177">
        <f t="shared" si="106"/>
        <v>0.49424756054379815</v>
      </c>
      <c r="S297" s="811">
        <f t="shared" si="107"/>
        <v>1</v>
      </c>
      <c r="T297" s="176">
        <f t="shared" si="108"/>
        <v>7</v>
      </c>
      <c r="U297" s="251">
        <f t="shared" si="109"/>
        <v>1.4942475605437981</v>
      </c>
      <c r="V297" s="383">
        <f t="shared" si="110"/>
        <v>38.644474427379279</v>
      </c>
      <c r="W297" s="402">
        <f t="shared" si="111"/>
        <v>30.869432103385218</v>
      </c>
      <c r="X297" s="157">
        <f t="shared" si="112"/>
        <v>45574</v>
      </c>
      <c r="Y297" s="385">
        <f t="shared" si="113"/>
        <v>28.971796639826501</v>
      </c>
      <c r="Z297" s="385">
        <f t="shared" si="114"/>
        <v>30.478692218757367</v>
      </c>
      <c r="AA297" s="386">
        <f t="shared" si="115"/>
        <v>33.14338295960583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8.0398876122455901E-2</v>
      </c>
      <c r="AD297" s="231">
        <f>(INDEX(Models!$BJ297:$BT297,,AH297)*(1-AF297)+INDEX(Models!$BJ297:$BT297,,AH297+1)*AF297-ERP_i)*AE297*Ramure*Pc/MaxiM</f>
        <v>6.3575313408572155E-4</v>
      </c>
      <c r="AE297" s="305">
        <f t="shared" si="117"/>
        <v>0.5</v>
      </c>
      <c r="AF297" s="177">
        <f t="shared" si="118"/>
        <v>0.49424756054379815</v>
      </c>
      <c r="AG297" s="811">
        <f t="shared" si="124"/>
        <v>1</v>
      </c>
      <c r="AH297" s="176">
        <f t="shared" si="119"/>
        <v>7</v>
      </c>
      <c r="AI297" s="225">
        <f t="shared" si="120"/>
        <v>1.4942475605437981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'2023'!Wh/'2023'!Env_an*'2024'!Env_an</f>
        <v>22.447340007345289</v>
      </c>
      <c r="C298" s="841"/>
      <c r="D298" s="393">
        <f t="shared" si="102"/>
        <v>23.615399522139416</v>
      </c>
      <c r="E298" s="385">
        <f t="shared" si="125"/>
        <v>24.103274906958422</v>
      </c>
      <c r="F298" s="385">
        <f t="shared" si="103"/>
        <v>24.10954068146162</v>
      </c>
      <c r="G298" s="110">
        <f t="shared" si="126"/>
        <v>0.58535514176927317</v>
      </c>
      <c r="H298" s="414" t="b">
        <f>Wh_hp&gt;='2023'!Maxi_hp</f>
        <v>0</v>
      </c>
      <c r="I298" s="390">
        <f>IF(H298,Wh_hp,'2023'!Maxi_hp)</f>
        <v>42.375150802238252</v>
      </c>
      <c r="J298" s="85">
        <f>IF(H298,An,'2023'!An_max)</f>
        <v>2019</v>
      </c>
      <c r="K298" s="197">
        <f t="shared" si="104"/>
        <v>45575</v>
      </c>
      <c r="L298" s="147">
        <f>IF(t&lt;Tvie,1-EXP((T0-t)*PertePVj)+'2023'!Pspv,1-EXP((T0-t)*PertePVj)+Pspv)</f>
        <v>4.946177233627036E-2</v>
      </c>
      <c r="M298" s="845"/>
      <c r="N298" s="845"/>
      <c r="O298" s="48">
        <f>IF(t&lt;Tnet,'2023'!Resal+('2023'!Salim-'2023'!Resal)*(1-EXP(('2023'!Tnet-t)/('2023'!Tau_j))),Resal+(Salim-Resal)*(1-EXP((Tnet-t)/(Tau_j))))*Salcycl</f>
        <v>2.0241041381399982E-2</v>
      </c>
      <c r="P298" s="169">
        <f>(INDEX(Models!$BJ298:$BT298,,T298)*(1-R298)+INDEX(Models!$BJ298:$BT298,,T298+1)*R298-ERP_i)*Q298*Ramure*Pc/MaxiM</f>
        <v>6.3703323038679217E-4</v>
      </c>
      <c r="Q298" s="305">
        <f t="shared" si="105"/>
        <v>0.5</v>
      </c>
      <c r="R298" s="177">
        <f t="shared" si="106"/>
        <v>0.49437986151716462</v>
      </c>
      <c r="S298" s="811">
        <f t="shared" si="107"/>
        <v>1</v>
      </c>
      <c r="T298" s="176">
        <f t="shared" si="108"/>
        <v>7</v>
      </c>
      <c r="U298" s="251">
        <f t="shared" si="109"/>
        <v>1.4943798615171646</v>
      </c>
      <c r="V298" s="383">
        <f t="shared" si="110"/>
        <v>38.333774306892629</v>
      </c>
      <c r="W298" s="402">
        <f t="shared" si="111"/>
        <v>22.447340007345289</v>
      </c>
      <c r="X298" s="157">
        <f t="shared" si="112"/>
        <v>45575</v>
      </c>
      <c r="Y298" s="385">
        <f t="shared" si="113"/>
        <v>21.069287376851545</v>
      </c>
      <c r="Z298" s="385">
        <f t="shared" si="114"/>
        <v>22.165639175434816</v>
      </c>
      <c r="AA298" s="386">
        <f t="shared" si="115"/>
        <v>24.103274906958422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8.0388898977550388E-2</v>
      </c>
      <c r="AD298" s="231">
        <f>(INDEX(Models!$BJ298:$BT298,,AH298)*(1-AF298)+INDEX(Models!$BJ298:$BT298,,AH298+1)*AF298-ERP_i)*AE298*Ramure*Pc/MaxiM</f>
        <v>6.3703323038679217E-4</v>
      </c>
      <c r="AE298" s="305">
        <f t="shared" si="117"/>
        <v>0.5</v>
      </c>
      <c r="AF298" s="177">
        <f t="shared" si="118"/>
        <v>0.49437986151716462</v>
      </c>
      <c r="AG298" s="811">
        <f t="shared" si="124"/>
        <v>1</v>
      </c>
      <c r="AH298" s="176">
        <f t="shared" si="119"/>
        <v>7</v>
      </c>
      <c r="AI298" s="225">
        <f t="shared" si="120"/>
        <v>1.4943798615171646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'2023'!Wh/'2023'!Env_an*'2024'!Env_an</f>
        <v>28.036070715372094</v>
      </c>
      <c r="C299" s="841"/>
      <c r="D299" s="393">
        <f t="shared" si="102"/>
        <v>29.495588893497676</v>
      </c>
      <c r="E299" s="385">
        <f t="shared" si="125"/>
        <v>30.107250373105785</v>
      </c>
      <c r="F299" s="385">
        <f t="shared" si="103"/>
        <v>30.119182764132603</v>
      </c>
      <c r="G299" s="110">
        <f t="shared" si="126"/>
        <v>0.73716346371662156</v>
      </c>
      <c r="H299" s="414" t="b">
        <f>Wh_hp&gt;='2023'!Maxi_hp</f>
        <v>0</v>
      </c>
      <c r="I299" s="390">
        <f>IF(H299,Wh_hp,'2023'!Maxi_hp)</f>
        <v>39.768274465309958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4.9482591562948319E-2</v>
      </c>
      <c r="M299" s="845"/>
      <c r="N299" s="845"/>
      <c r="O299" s="48">
        <f>IF(t&lt;Tnet,'2023'!Resal+('2023'!Salim-'2023'!Resal)*(1-EXP(('2023'!Tnet-t)/('2023'!Tau_j))),Resal+(Salim-Resal)*(1-EXP((Tnet-t)/(Tau_j))))*Salcycl</f>
        <v>2.0316085727791897E-2</v>
      </c>
      <c r="P299" s="169">
        <f>(INDEX(Models!$BJ299:$BT299,,T299)*(1-R299)+INDEX(Models!$BJ299:$BT299,,T299+1)*R299-ERP_i)*Q299*Ramure*Pc/MaxiM</f>
        <v>6.3410934265193178E-4</v>
      </c>
      <c r="Q299" s="305">
        <f t="shared" si="105"/>
        <v>0.5</v>
      </c>
      <c r="R299" s="177">
        <f t="shared" si="106"/>
        <v>0.49450690185206603</v>
      </c>
      <c r="S299" s="811">
        <f t="shared" si="107"/>
        <v>1</v>
      </c>
      <c r="T299" s="176">
        <f t="shared" si="108"/>
        <v>7</v>
      </c>
      <c r="U299" s="251">
        <f t="shared" si="109"/>
        <v>1.494506901852066</v>
      </c>
      <c r="V299" s="383">
        <f t="shared" si="110"/>
        <v>38.023313194637574</v>
      </c>
      <c r="W299" s="402">
        <f t="shared" si="111"/>
        <v>28.036070715372094</v>
      </c>
      <c r="X299" s="157">
        <f t="shared" si="112"/>
        <v>45576</v>
      </c>
      <c r="Y299" s="385">
        <f t="shared" si="113"/>
        <v>26.317258303168479</v>
      </c>
      <c r="Z299" s="385">
        <f t="shared" si="114"/>
        <v>27.687297538760806</v>
      </c>
      <c r="AA299" s="386">
        <f t="shared" si="115"/>
        <v>30.107250373105785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8.0377743047125791E-2</v>
      </c>
      <c r="AD299" s="231">
        <f>(INDEX(Models!$BJ299:$BT299,,AH299)*(1-AF299)+INDEX(Models!$BJ299:$BT299,,AH299+1)*AF299-ERP_i)*AE299*Ramure*Pc/MaxiM</f>
        <v>6.3410934265193178E-4</v>
      </c>
      <c r="AE299" s="305">
        <f t="shared" si="117"/>
        <v>0.5</v>
      </c>
      <c r="AF299" s="177">
        <f t="shared" si="118"/>
        <v>0.49450690185206603</v>
      </c>
      <c r="AG299" s="811">
        <f t="shared" si="124"/>
        <v>1</v>
      </c>
      <c r="AH299" s="176">
        <f t="shared" si="119"/>
        <v>7</v>
      </c>
      <c r="AI299" s="225">
        <f t="shared" si="120"/>
        <v>1.494506901852066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'2023'!Wh/'2023'!Env_an*'2024'!Env_an</f>
        <v>23.136713001202132</v>
      </c>
      <c r="C300" s="841"/>
      <c r="D300" s="393">
        <f t="shared" si="102"/>
        <v>24.341710693905064</v>
      </c>
      <c r="E300" s="385">
        <f t="shared" si="125"/>
        <v>24.848386240408487</v>
      </c>
      <c r="F300" s="385">
        <f t="shared" si="103"/>
        <v>24.855364913079541</v>
      </c>
      <c r="G300" s="110">
        <f t="shared" si="126"/>
        <v>0.61328049717186006</v>
      </c>
      <c r="H300" s="414" t="b">
        <f>Wh_hp&gt;='2023'!Maxi_hp</f>
        <v>0</v>
      </c>
      <c r="I300" s="390">
        <f>IF(H300,Wh_hp,'2023'!Maxi_hp)</f>
        <v>39.855056795061437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4.9503410333631703E-2</v>
      </c>
      <c r="M300" s="845"/>
      <c r="N300" s="845"/>
      <c r="O300" s="48">
        <f>IF(t&lt;Tnet,'2023'!Resal+('2023'!Salim-'2023'!Resal)*(1-EXP(('2023'!Tnet-t)/('2023'!Tau_j))),Resal+(Salim-Resal)*(1-EXP((Tnet-t)/(Tau_j))))*Salcycl</f>
        <v>2.039068217957217E-2</v>
      </c>
      <c r="P300" s="169">
        <f>(INDEX(Models!$BJ300:$BT300,,T300)*(1-R300)+INDEX(Models!$BJ300:$BT300,,T300+1)*R300-ERP_i)*Q300*Ramure*Pc/MaxiM</f>
        <v>6.2693566890299052E-4</v>
      </c>
      <c r="Q300" s="305">
        <f t="shared" si="105"/>
        <v>0.5</v>
      </c>
      <c r="R300" s="177">
        <f t="shared" si="106"/>
        <v>0.49462888818166029</v>
      </c>
      <c r="S300" s="811">
        <f t="shared" si="107"/>
        <v>1</v>
      </c>
      <c r="T300" s="176">
        <f t="shared" si="108"/>
        <v>7</v>
      </c>
      <c r="U300" s="251">
        <f t="shared" si="109"/>
        <v>1.4946288881816603</v>
      </c>
      <c r="V300" s="383">
        <f t="shared" si="110"/>
        <v>37.713088468376732</v>
      </c>
      <c r="W300" s="402">
        <f t="shared" si="111"/>
        <v>23.136713001202132</v>
      </c>
      <c r="X300" s="157">
        <f t="shared" si="112"/>
        <v>45577</v>
      </c>
      <c r="Y300" s="385">
        <f t="shared" si="113"/>
        <v>21.720211242457552</v>
      </c>
      <c r="Z300" s="385">
        <f t="shared" si="114"/>
        <v>22.85143521670237</v>
      </c>
      <c r="AA300" s="386">
        <f t="shared" si="115"/>
        <v>24.848386240408487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8.0365421093570699E-2</v>
      </c>
      <c r="AD300" s="231">
        <f>(INDEX(Models!$BJ300:$BT300,,AH300)*(1-AF300)+INDEX(Models!$BJ300:$BT300,,AH300+1)*AF300-ERP_i)*AE300*Ramure*Pc/MaxiM</f>
        <v>6.2693566890299052E-4</v>
      </c>
      <c r="AE300" s="305">
        <f t="shared" si="117"/>
        <v>0.5</v>
      </c>
      <c r="AF300" s="177">
        <f t="shared" si="118"/>
        <v>0.49462888818166029</v>
      </c>
      <c r="AG300" s="811">
        <f t="shared" si="124"/>
        <v>1</v>
      </c>
      <c r="AH300" s="176">
        <f t="shared" si="119"/>
        <v>7</v>
      </c>
      <c r="AI300" s="225">
        <f t="shared" si="120"/>
        <v>1.4946288881816603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'2023'!Wh/'2023'!Env_an*'2024'!Env_an</f>
        <v>19.638354961424543</v>
      </c>
      <c r="C301" s="841"/>
      <c r="D301" s="393">
        <f t="shared" si="102"/>
        <v>20.661605012294931</v>
      </c>
      <c r="E301" s="385">
        <f t="shared" si="125"/>
        <v>21.093275347986626</v>
      </c>
      <c r="F301" s="385">
        <f t="shared" si="103"/>
        <v>21.097449896778045</v>
      </c>
      <c r="G301" s="110">
        <f t="shared" si="126"/>
        <v>0.52482692043399448</v>
      </c>
      <c r="H301" s="414" t="b">
        <f>Wh_hp&gt;='2023'!Maxi_hp</f>
        <v>0</v>
      </c>
      <c r="I301" s="390">
        <f>IF(H301,Wh_hp,'2023'!Maxi_hp)</f>
        <v>41.909965007378638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4.9524228648330615E-2</v>
      </c>
      <c r="M301" s="845"/>
      <c r="N301" s="845"/>
      <c r="O301" s="48">
        <f>IF(t&lt;Tnet,'2023'!Resal+('2023'!Salim-'2023'!Resal)*(1-EXP(('2023'!Tnet-t)/('2023'!Tau_j))),Resal+(Salim-Resal)*(1-EXP((Tnet-t)/(Tau_j))))*Salcycl</f>
        <v>2.0464831969914898E-2</v>
      </c>
      <c r="P301" s="169">
        <f>(INDEX(Models!$BJ301:$BT301,,T301)*(1-R301)+INDEX(Models!$BJ301:$BT301,,T301+1)*R301-ERP_i)*Q301*Ramure*Pc/MaxiM</f>
        <v>6.1546858408849305E-4</v>
      </c>
      <c r="Q301" s="305">
        <f t="shared" si="105"/>
        <v>0.5</v>
      </c>
      <c r="R301" s="177">
        <f t="shared" si="106"/>
        <v>0.4947460192224411</v>
      </c>
      <c r="S301" s="811">
        <f t="shared" si="107"/>
        <v>1</v>
      </c>
      <c r="T301" s="176">
        <f t="shared" si="108"/>
        <v>7</v>
      </c>
      <c r="U301" s="251">
        <f t="shared" si="109"/>
        <v>1.4947460192224411</v>
      </c>
      <c r="V301" s="383">
        <f t="shared" si="110"/>
        <v>37.403097328838498</v>
      </c>
      <c r="W301" s="402">
        <f t="shared" si="111"/>
        <v>19.638354961424543</v>
      </c>
      <c r="X301" s="157">
        <f t="shared" si="112"/>
        <v>45578</v>
      </c>
      <c r="Y301" s="385">
        <f t="shared" si="113"/>
        <v>18.437699265911728</v>
      </c>
      <c r="Z301" s="385">
        <f t="shared" si="114"/>
        <v>19.398389545155389</v>
      </c>
      <c r="AA301" s="386">
        <f t="shared" si="115"/>
        <v>21.093275347986626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8.0351949845144113E-2</v>
      </c>
      <c r="AD301" s="231">
        <f>(INDEX(Models!$BJ301:$BT301,,AH301)*(1-AF301)+INDEX(Models!$BJ301:$BT301,,AH301+1)*AF301-ERP_i)*AE301*Ramure*Pc/MaxiM</f>
        <v>6.1546858408849305E-4</v>
      </c>
      <c r="AE301" s="305">
        <f t="shared" si="117"/>
        <v>0.5</v>
      </c>
      <c r="AF301" s="177">
        <f t="shared" si="118"/>
        <v>0.4947460192224411</v>
      </c>
      <c r="AG301" s="811">
        <f t="shared" si="124"/>
        <v>1</v>
      </c>
      <c r="AH301" s="176">
        <f t="shared" si="119"/>
        <v>7</v>
      </c>
      <c r="AI301" s="225">
        <f t="shared" si="120"/>
        <v>1.4947460192224411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'2023'!Wh/'2023'!Env_an*'2024'!Env_an</f>
        <v>36.367196718356404</v>
      </c>
      <c r="C302" s="841"/>
      <c r="D302" s="393">
        <f t="shared" si="102"/>
        <v>38.262935644352289</v>
      </c>
      <c r="E302" s="385">
        <f t="shared" si="125"/>
        <v>39.065279346996903</v>
      </c>
      <c r="F302" s="385">
        <f t="shared" si="103"/>
        <v>39.088063644486702</v>
      </c>
      <c r="G302" s="110">
        <f t="shared" si="126"/>
        <v>0.9804075237147617</v>
      </c>
      <c r="H302" s="414" t="b">
        <f>Wh_hp&gt;='2023'!Maxi_hp</f>
        <v>0</v>
      </c>
      <c r="I302" s="390">
        <f>IF(H302,Wh_hp,'2023'!Maxi_hp)</f>
        <v>39.088348583693467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4.9545046507054935E-2</v>
      </c>
      <c r="M302" s="845"/>
      <c r="N302" s="845"/>
      <c r="O302" s="48">
        <f>IF(t&lt;Tnet,'2023'!Resal+('2023'!Salim-'2023'!Resal)*(1-EXP(('2023'!Tnet-t)/('2023'!Tau_j))),Resal+(Salim-Resal)*(1-EXP((Tnet-t)/(Tau_j))))*Salcycl</f>
        <v>2.0538537444409598E-2</v>
      </c>
      <c r="P302" s="169">
        <f>(INDEX(Models!$BJ302:$BT302,,T302)*(1-R302)+INDEX(Models!$BJ302:$BT302,,T302+1)*R302-ERP_i)*Q302*Ramure*Pc/MaxiM</f>
        <v>5.9966667947928382E-4</v>
      </c>
      <c r="Q302" s="305">
        <f t="shared" si="105"/>
        <v>0.5</v>
      </c>
      <c r="R302" s="177">
        <f t="shared" si="106"/>
        <v>0.49485848606180705</v>
      </c>
      <c r="S302" s="811">
        <f t="shared" si="107"/>
        <v>1</v>
      </c>
      <c r="T302" s="176">
        <f t="shared" si="108"/>
        <v>7</v>
      </c>
      <c r="U302" s="251">
        <f t="shared" si="109"/>
        <v>1.494858486061807</v>
      </c>
      <c r="V302" s="383">
        <f t="shared" si="110"/>
        <v>37.093336801723069</v>
      </c>
      <c r="W302" s="402">
        <f t="shared" si="111"/>
        <v>36.367196718356404</v>
      </c>
      <c r="X302" s="157">
        <f t="shared" si="112"/>
        <v>45579</v>
      </c>
      <c r="Y302" s="385">
        <f t="shared" si="113"/>
        <v>34.146879466368361</v>
      </c>
      <c r="Z302" s="385">
        <f t="shared" si="114"/>
        <v>35.926878323772996</v>
      </c>
      <c r="AA302" s="386">
        <f t="shared" si="115"/>
        <v>39.065279346996903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8.0337350088990636E-2</v>
      </c>
      <c r="AD302" s="231">
        <f>(INDEX(Models!$BJ302:$BT302,,AH302)*(1-AF302)+INDEX(Models!$BJ302:$BT302,,AH302+1)*AF302-ERP_i)*AE302*Ramure*Pc/MaxiM</f>
        <v>5.9966667947928382E-4</v>
      </c>
      <c r="AE302" s="305">
        <f t="shared" si="117"/>
        <v>0.5</v>
      </c>
      <c r="AF302" s="177">
        <f t="shared" si="118"/>
        <v>0.49485848606180705</v>
      </c>
      <c r="AG302" s="811">
        <f t="shared" si="124"/>
        <v>1</v>
      </c>
      <c r="AH302" s="176">
        <f t="shared" si="119"/>
        <v>7</v>
      </c>
      <c r="AI302" s="225">
        <f t="shared" si="120"/>
        <v>1.494858486061807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'2023'!Wh/'2023'!Env_an*'2024'!Env_an</f>
        <v>32.660290356870057</v>
      </c>
      <c r="C303" s="841"/>
      <c r="D303" s="393">
        <f t="shared" si="102"/>
        <v>34.363549368318324</v>
      </c>
      <c r="E303" s="385">
        <f t="shared" si="125"/>
        <v>35.086750526445236</v>
      </c>
      <c r="F303" s="385">
        <f t="shared" si="103"/>
        <v>35.103836164531664</v>
      </c>
      <c r="G303" s="110">
        <f t="shared" si="126"/>
        <v>0.8878371476746606</v>
      </c>
      <c r="H303" s="414" t="b">
        <f>Wh_hp&gt;='2023'!Maxi_hp</f>
        <v>0</v>
      </c>
      <c r="I303" s="390">
        <f>IF(H303,Wh_hp,'2023'!Maxi_hp)</f>
        <v>38.517225515333379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4.9565863909814767E-2</v>
      </c>
      <c r="M303" s="845"/>
      <c r="N303" s="845"/>
      <c r="O303" s="48">
        <f>IF(t&lt;Tnet,'2023'!Resal+('2023'!Salim-'2023'!Resal)*(1-EXP(('2023'!Tnet-t)/('2023'!Tau_j))),Resal+(Salim-Resal)*(1-EXP((Tnet-t)/(Tau_j))))*Salcycl</f>
        <v>2.061180209839697E-2</v>
      </c>
      <c r="P303" s="169">
        <f>(INDEX(Models!$BJ303:$BT303,,T303)*(1-R303)+INDEX(Models!$BJ303:$BT303,,T303+1)*R303-ERP_i)*Q303*Ramure*Pc/MaxiM</f>
        <v>5.795044070290937E-4</v>
      </c>
      <c r="Q303" s="305">
        <f t="shared" si="105"/>
        <v>0.5</v>
      </c>
      <c r="R303" s="177">
        <f t="shared" si="106"/>
        <v>0.49496647243643999</v>
      </c>
      <c r="S303" s="811">
        <f t="shared" si="107"/>
        <v>1</v>
      </c>
      <c r="T303" s="176">
        <f t="shared" si="108"/>
        <v>7</v>
      </c>
      <c r="U303" s="251">
        <f t="shared" si="109"/>
        <v>1.49496647243644</v>
      </c>
      <c r="V303" s="383">
        <f t="shared" si="110"/>
        <v>36.782937622081228</v>
      </c>
      <c r="W303" s="402">
        <f t="shared" si="111"/>
        <v>32.660290356870057</v>
      </c>
      <c r="X303" s="157">
        <f t="shared" si="112"/>
        <v>45580</v>
      </c>
      <c r="Y303" s="385">
        <f t="shared" si="113"/>
        <v>30.669107629332938</v>
      </c>
      <c r="Z303" s="385">
        <f t="shared" si="114"/>
        <v>32.268524945344339</v>
      </c>
      <c r="AA303" s="386">
        <f t="shared" si="115"/>
        <v>35.086750526445236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8.0321646741745731E-2</v>
      </c>
      <c r="AD303" s="231">
        <f>(INDEX(Models!$BJ303:$BT303,,AH303)*(1-AF303)+INDEX(Models!$BJ303:$BT303,,AH303+1)*AF303-ERP_i)*AE303*Ramure*Pc/MaxiM</f>
        <v>5.795044070290937E-4</v>
      </c>
      <c r="AE303" s="305">
        <f t="shared" si="117"/>
        <v>0.5</v>
      </c>
      <c r="AF303" s="177">
        <f t="shared" si="118"/>
        <v>0.49496647243643999</v>
      </c>
      <c r="AG303" s="811">
        <f t="shared" si="124"/>
        <v>1</v>
      </c>
      <c r="AH303" s="176">
        <f t="shared" si="119"/>
        <v>7</v>
      </c>
      <c r="AI303" s="225">
        <f t="shared" si="120"/>
        <v>1.49496647243644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'2023'!Wh/'2023'!Env_an*'2024'!Env_an</f>
        <v>19.818501546025146</v>
      </c>
      <c r="C304" s="841"/>
      <c r="D304" s="393">
        <f t="shared" si="102"/>
        <v>20.85250821599157</v>
      </c>
      <c r="E304" s="385">
        <f t="shared" si="125"/>
        <v>21.292944916149693</v>
      </c>
      <c r="F304" s="385">
        <f t="shared" si="103"/>
        <v>21.297066189691233</v>
      </c>
      <c r="G304" s="110">
        <f t="shared" si="126"/>
        <v>0.54320351958971025</v>
      </c>
      <c r="H304" s="414" t="b">
        <f>Wh_hp&gt;='2023'!Maxi_hp</f>
        <v>0</v>
      </c>
      <c r="I304" s="390">
        <f>IF(H304,Wh_hp,'2023'!Maxi_hp)</f>
        <v>36.170374756257267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4.9586680856620102E-2</v>
      </c>
      <c r="M304" s="845"/>
      <c r="N304" s="845"/>
      <c r="O304" s="48">
        <f>IF(t&lt;Tnet,'2023'!Resal+('2023'!Salim-'2023'!Resal)*(1-EXP(('2023'!Tnet-t)/('2023'!Tau_j))),Resal+(Salim-Resal)*(1-EXP((Tnet-t)/(Tau_j))))*Salcycl</f>
        <v>2.0684630608520081E-2</v>
      </c>
      <c r="P304" s="169">
        <f>(INDEX(Models!$BJ304:$BT304,,T304)*(1-R304)+INDEX(Models!$BJ304:$BT304,,T304+1)*R304-ERP_i)*Q304*Ramure*Pc/MaxiM</f>
        <v>5.5652882395873797E-4</v>
      </c>
      <c r="Q304" s="305">
        <f t="shared" si="105"/>
        <v>0.5</v>
      </c>
      <c r="R304" s="177">
        <f t="shared" si="106"/>
        <v>0.49507015500168494</v>
      </c>
      <c r="S304" s="811">
        <f t="shared" si="107"/>
        <v>1</v>
      </c>
      <c r="T304" s="176">
        <f t="shared" si="108"/>
        <v>7</v>
      </c>
      <c r="U304" s="251">
        <f t="shared" si="109"/>
        <v>1.4950701550016849</v>
      </c>
      <c r="V304" s="383">
        <f t="shared" si="110"/>
        <v>36.471239641833243</v>
      </c>
      <c r="W304" s="402">
        <f t="shared" si="111"/>
        <v>19.818501546025146</v>
      </c>
      <c r="X304" s="157">
        <f t="shared" si="112"/>
        <v>45581</v>
      </c>
      <c r="Y304" s="385">
        <f t="shared" si="113"/>
        <v>18.611960914054382</v>
      </c>
      <c r="Z304" s="385">
        <f t="shared" si="114"/>
        <v>19.583017766238367</v>
      </c>
      <c r="AA304" s="386">
        <f t="shared" si="115"/>
        <v>21.292944916149693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8.0304868896477893E-2</v>
      </c>
      <c r="AD304" s="231">
        <f>(INDEX(Models!$BJ304:$BT304,,AH304)*(1-AF304)+INDEX(Models!$BJ304:$BT304,,AH304+1)*AF304-ERP_i)*AE304*Ramure*Pc/MaxiM</f>
        <v>5.5652882395873797E-4</v>
      </c>
      <c r="AE304" s="305">
        <f t="shared" si="117"/>
        <v>0.5</v>
      </c>
      <c r="AF304" s="177">
        <f t="shared" si="118"/>
        <v>0.49507015500168494</v>
      </c>
      <c r="AG304" s="811">
        <f t="shared" si="124"/>
        <v>1</v>
      </c>
      <c r="AH304" s="176">
        <f t="shared" si="119"/>
        <v>7</v>
      </c>
      <c r="AI304" s="225">
        <f t="shared" si="120"/>
        <v>1.4950701550016849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'2023'!Wh/'2023'!Env_an*'2024'!Env_an</f>
        <v>33.640840498439999</v>
      </c>
      <c r="C305" s="841"/>
      <c r="D305" s="393">
        <f t="shared" si="102"/>
        <v>35.396786490370395</v>
      </c>
      <c r="E305" s="385">
        <f t="shared" si="125"/>
        <v>36.147092737456404</v>
      </c>
      <c r="F305" s="385">
        <f t="shared" si="103"/>
        <v>36.164489498953309</v>
      </c>
      <c r="G305" s="110">
        <f t="shared" si="126"/>
        <v>0.93032172979548877</v>
      </c>
      <c r="H305" s="414" t="b">
        <f>Wh_hp&gt;='2023'!Maxi_hp</f>
        <v>0</v>
      </c>
      <c r="I305" s="390">
        <f>IF(H305,Wh_hp,'2023'!Maxi_hp)</f>
        <v>37.794322636082605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4.9607497347480822E-2</v>
      </c>
      <c r="M305" s="845"/>
      <c r="N305" s="845"/>
      <c r="O305" s="48">
        <f>IF(t&lt;Tnet,'2023'!Resal+('2023'!Salim-'2023'!Resal)*(1-EXP(('2023'!Tnet-t)/('2023'!Tau_j))),Resal+(Salim-Resal)*(1-EXP((Tnet-t)/(Tau_j))))*Salcycl</f>
        <v>2.0757028858050475E-2</v>
      </c>
      <c r="P305" s="169">
        <f>(INDEX(Models!$BJ305:$BT305,,T305)*(1-R305)+INDEX(Models!$BJ305:$BT305,,T305+1)*R305-ERP_i)*Q305*Ramure*Pc/MaxiM</f>
        <v>5.3418016171592829E-4</v>
      </c>
      <c r="Q305" s="305">
        <f t="shared" si="105"/>
        <v>0.5</v>
      </c>
      <c r="R305" s="177">
        <f t="shared" si="106"/>
        <v>0.4951697035921252</v>
      </c>
      <c r="S305" s="811">
        <f t="shared" si="107"/>
        <v>1</v>
      </c>
      <c r="T305" s="176">
        <f t="shared" si="108"/>
        <v>7</v>
      </c>
      <c r="U305" s="251">
        <f t="shared" si="109"/>
        <v>1.4951697035921252</v>
      </c>
      <c r="V305" s="383">
        <f t="shared" si="110"/>
        <v>36.158514912552945</v>
      </c>
      <c r="W305" s="402">
        <f t="shared" si="111"/>
        <v>33.640840498439999</v>
      </c>
      <c r="X305" s="157">
        <f t="shared" si="112"/>
        <v>45582</v>
      </c>
      <c r="Y305" s="385">
        <f t="shared" si="113"/>
        <v>31.595750566825224</v>
      </c>
      <c r="Z305" s="385">
        <f t="shared" si="114"/>
        <v>33.244949301096504</v>
      </c>
      <c r="AA305" s="386">
        <f t="shared" si="115"/>
        <v>36.147092737456404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8.0287049844886507E-2</v>
      </c>
      <c r="AD305" s="231">
        <f>(INDEX(Models!$BJ305:$BT305,,AH305)*(1-AF305)+INDEX(Models!$BJ305:$BT305,,AH305+1)*AF305-ERP_i)*AE305*Ramure*Pc/MaxiM</f>
        <v>5.3418016171592829E-4</v>
      </c>
      <c r="AE305" s="305">
        <f t="shared" si="117"/>
        <v>0.5</v>
      </c>
      <c r="AF305" s="177">
        <f t="shared" si="118"/>
        <v>0.4951697035921252</v>
      </c>
      <c r="AG305" s="811">
        <f t="shared" si="124"/>
        <v>1</v>
      </c>
      <c r="AH305" s="176">
        <f t="shared" si="119"/>
        <v>7</v>
      </c>
      <c r="AI305" s="225">
        <f t="shared" si="120"/>
        <v>1.4951697035921252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'2023'!Wh/'2023'!Env_an*'2024'!Env_an</f>
        <v>15.49532877918336</v>
      </c>
      <c r="C306" s="841"/>
      <c r="D306" s="393">
        <f t="shared" si="102"/>
        <v>16.304493281288494</v>
      </c>
      <c r="E306" s="385">
        <f t="shared" si="125"/>
        <v>16.651323769958783</v>
      </c>
      <c r="F306" s="385">
        <f t="shared" si="103"/>
        <v>16.652936526244627</v>
      </c>
      <c r="G306" s="110">
        <f t="shared" si="126"/>
        <v>0.43210538848558916</v>
      </c>
      <c r="H306" s="414" t="b">
        <f>Wh_hp&gt;='2023'!Maxi_hp</f>
        <v>0</v>
      </c>
      <c r="I306" s="390">
        <f>IF(H306,Wh_hp,'2023'!Maxi_hp)</f>
        <v>37.715287299843339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4.9628313382406919E-2</v>
      </c>
      <c r="M306" s="845"/>
      <c r="N306" s="845"/>
      <c r="O306" s="48">
        <f>IF(t&lt;Tnet,'2023'!Resal+('2023'!Salim-'2023'!Resal)*(1-EXP(('2023'!Tnet-t)/('2023'!Tau_j))),Resal+(Salim-Resal)*(1-EXP((Tnet-t)/(Tau_j))))*Salcycl</f>
        <v>2.0829003955590491E-2</v>
      </c>
      <c r="P306" s="169">
        <f>(INDEX(Models!$BJ306:$BT306,,T306)*(1-R306)+INDEX(Models!$BJ306:$BT306,,T306+1)*R306-ERP_i)*Q306*Ramure*Pc/MaxiM</f>
        <v>5.1246607022312359E-4</v>
      </c>
      <c r="Q306" s="305">
        <f t="shared" si="105"/>
        <v>0.5</v>
      </c>
      <c r="R306" s="177">
        <f t="shared" si="106"/>
        <v>0.49526528147355542</v>
      </c>
      <c r="S306" s="811">
        <f t="shared" si="107"/>
        <v>1</v>
      </c>
      <c r="T306" s="176">
        <f t="shared" si="108"/>
        <v>7</v>
      </c>
      <c r="U306" s="251">
        <f t="shared" si="109"/>
        <v>1.4952652814735554</v>
      </c>
      <c r="V306" s="383">
        <f t="shared" si="110"/>
        <v>35.845162743838877</v>
      </c>
      <c r="W306" s="402">
        <f t="shared" si="111"/>
        <v>15.49532877918336</v>
      </c>
      <c r="X306" s="157">
        <f t="shared" si="112"/>
        <v>45583</v>
      </c>
      <c r="Y306" s="385">
        <f t="shared" si="113"/>
        <v>14.554706244082185</v>
      </c>
      <c r="Z306" s="385">
        <f t="shared" si="114"/>
        <v>15.314751532511355</v>
      </c>
      <c r="AA306" s="386">
        <f t="shared" si="115"/>
        <v>16.651323769958783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8.026822707386079E-2</v>
      </c>
      <c r="AD306" s="231">
        <f>(INDEX(Models!$BJ306:$BT306,,AH306)*(1-AF306)+INDEX(Models!$BJ306:$BT306,,AH306+1)*AF306-ERP_i)*AE306*Ramure*Pc/MaxiM</f>
        <v>5.1246607022312359E-4</v>
      </c>
      <c r="AE306" s="305">
        <f t="shared" si="117"/>
        <v>0.5</v>
      </c>
      <c r="AF306" s="177">
        <f t="shared" si="118"/>
        <v>0.49526528147355542</v>
      </c>
      <c r="AG306" s="811">
        <f t="shared" si="124"/>
        <v>1</v>
      </c>
      <c r="AH306" s="176">
        <f t="shared" si="119"/>
        <v>7</v>
      </c>
      <c r="AI306" s="225">
        <f t="shared" si="120"/>
        <v>1.4952652814735554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'2023'!Wh/'2023'!Env_an*'2024'!Env_an</f>
        <v>6.4192269475268029</v>
      </c>
      <c r="C307" s="841"/>
      <c r="D307" s="393">
        <f t="shared" si="102"/>
        <v>6.7545862724485612</v>
      </c>
      <c r="E307" s="385">
        <f t="shared" si="125"/>
        <v>6.8987745532223599</v>
      </c>
      <c r="F307" s="385">
        <f t="shared" si="103"/>
        <v>6.8987745532223599</v>
      </c>
      <c r="G307" s="110">
        <f t="shared" si="126"/>
        <v>0.18057379269382479</v>
      </c>
      <c r="H307" s="414" t="b">
        <f>Wh_hp&gt;='2023'!Maxi_hp</f>
        <v>0</v>
      </c>
      <c r="I307" s="390">
        <f>IF(H307,Wh_hp,'2023'!Maxi_hp)</f>
        <v>31.908942257613869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4.9649128961408495E-2</v>
      </c>
      <c r="M307" s="845"/>
      <c r="N307" s="845"/>
      <c r="O307" s="48">
        <f>IF(t&lt;Tnet,'2023'!Resal+('2023'!Salim-'2023'!Resal)*(1-EXP(('2023'!Tnet-t)/('2023'!Tau_j))),Resal+(Salim-Resal)*(1-EXP((Tnet-t)/(Tau_j))))*Salcycl</f>
        <v>2.090056424679794E-2</v>
      </c>
      <c r="P307" s="169">
        <f>(INDEX(Models!$BJ307:$BT307,,T307)*(1-R307)+INDEX(Models!$BJ307:$BT307,,T307+1)*R307-ERP_i)*Q307*Ramure*Pc/MaxiM</f>
        <v>4.9139475204726672E-4</v>
      </c>
      <c r="Q307" s="305">
        <f t="shared" si="105"/>
        <v>0.5</v>
      </c>
      <c r="R307" s="177">
        <f t="shared" si="106"/>
        <v>0.49535704558654881</v>
      </c>
      <c r="S307" s="811">
        <f t="shared" si="107"/>
        <v>1</v>
      </c>
      <c r="T307" s="176">
        <f t="shared" si="108"/>
        <v>7</v>
      </c>
      <c r="U307" s="251">
        <f t="shared" si="109"/>
        <v>1.4953570455865488</v>
      </c>
      <c r="V307" s="383">
        <f t="shared" si="110"/>
        <v>35.531582282106008</v>
      </c>
      <c r="W307" s="402">
        <f t="shared" si="111"/>
        <v>6.4192269475268029</v>
      </c>
      <c r="X307" s="157">
        <f t="shared" si="112"/>
        <v>45584</v>
      </c>
      <c r="Y307" s="385">
        <f t="shared" si="113"/>
        <v>6.0301270422941622</v>
      </c>
      <c r="Z307" s="385">
        <f t="shared" si="114"/>
        <v>6.3451586419909676</v>
      </c>
      <c r="AA307" s="386">
        <f t="shared" si="115"/>
        <v>6.8987745532223599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8.0248442235701559E-2</v>
      </c>
      <c r="AD307" s="231">
        <f>(INDEX(Models!$BJ307:$BT307,,AH307)*(1-AF307)+INDEX(Models!$BJ307:$BT307,,AH307+1)*AF307-ERP_i)*AE307*Ramure*Pc/MaxiM</f>
        <v>4.9139475204726672E-4</v>
      </c>
      <c r="AE307" s="305">
        <f t="shared" si="117"/>
        <v>0.5</v>
      </c>
      <c r="AF307" s="177">
        <f t="shared" si="118"/>
        <v>0.49535704558654881</v>
      </c>
      <c r="AG307" s="811">
        <f t="shared" si="124"/>
        <v>1</v>
      </c>
      <c r="AH307" s="176">
        <f t="shared" si="119"/>
        <v>7</v>
      </c>
      <c r="AI307" s="225">
        <f t="shared" si="120"/>
        <v>1.4953570455865488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'2023'!Wh/'2023'!Env_an*'2024'!Env_an</f>
        <v>16.257692081784615</v>
      </c>
      <c r="C308" s="841"/>
      <c r="D308" s="393">
        <f t="shared" si="102"/>
        <v>17.107416502914557</v>
      </c>
      <c r="E308" s="385">
        <f t="shared" si="125"/>
        <v>17.473873677083027</v>
      </c>
      <c r="F308" s="385">
        <f t="shared" si="103"/>
        <v>17.475774110000675</v>
      </c>
      <c r="G308" s="110">
        <f t="shared" si="126"/>
        <v>0.46146069730280614</v>
      </c>
      <c r="H308" s="414" t="b">
        <f>Wh_hp&gt;='2023'!Maxi_hp</f>
        <v>0</v>
      </c>
      <c r="I308" s="390">
        <f>IF(H308,Wh_hp,'2023'!Maxi_hp)</f>
        <v>24.59946864863414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4.9669944084495432E-2</v>
      </c>
      <c r="M308" s="845"/>
      <c r="N308" s="845"/>
      <c r="O308" s="48">
        <f>IF(t&lt;Tnet,'2023'!Resal+('2023'!Salim-'2023'!Resal)*(1-EXP(('2023'!Tnet-t)/('2023'!Tau_j))),Resal+(Salim-Resal)*(1-EXP((Tnet-t)/(Tau_j))))*Salcycl</f>
        <v>2.0971719318829702E-2</v>
      </c>
      <c r="P308" s="169">
        <f>(INDEX(Models!$BJ308:$BT308,,T308)*(1-R308)+INDEX(Models!$BJ308:$BT308,,T308+1)*R308-ERP_i)*Q308*Ramure*Pc/MaxiM</f>
        <v>4.7097488704706539E-4</v>
      </c>
      <c r="Q308" s="305">
        <f t="shared" si="105"/>
        <v>0.5</v>
      </c>
      <c r="R308" s="177">
        <f t="shared" si="106"/>
        <v>0.49544514678183416</v>
      </c>
      <c r="S308" s="811">
        <f t="shared" si="107"/>
        <v>1</v>
      </c>
      <c r="T308" s="176">
        <f t="shared" si="108"/>
        <v>7</v>
      </c>
      <c r="U308" s="251">
        <f t="shared" si="109"/>
        <v>1.4954451467818342</v>
      </c>
      <c r="V308" s="383">
        <f t="shared" si="110"/>
        <v>35.218172516339251</v>
      </c>
      <c r="W308" s="402">
        <f t="shared" si="111"/>
        <v>16.257692081784615</v>
      </c>
      <c r="X308" s="157">
        <f t="shared" si="112"/>
        <v>45585</v>
      </c>
      <c r="Y308" s="385">
        <f t="shared" si="113"/>
        <v>15.273689704139741</v>
      </c>
      <c r="Z308" s="385">
        <f t="shared" si="114"/>
        <v>16.071984263852169</v>
      </c>
      <c r="AA308" s="386">
        <f t="shared" si="115"/>
        <v>17.473873677083027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8.0227741091515051E-2</v>
      </c>
      <c r="AD308" s="231">
        <f>(INDEX(Models!$BJ308:$BT308,,AH308)*(1-AF308)+INDEX(Models!$BJ308:$BT308,,AH308+1)*AF308-ERP_i)*AE308*Ramure*Pc/MaxiM</f>
        <v>4.7097488704706539E-4</v>
      </c>
      <c r="AE308" s="305">
        <f t="shared" si="117"/>
        <v>0.5</v>
      </c>
      <c r="AF308" s="177">
        <f t="shared" si="118"/>
        <v>0.49544514678183416</v>
      </c>
      <c r="AG308" s="811">
        <f t="shared" si="124"/>
        <v>1</v>
      </c>
      <c r="AH308" s="176">
        <f t="shared" si="119"/>
        <v>7</v>
      </c>
      <c r="AI308" s="225">
        <f t="shared" si="120"/>
        <v>1.4954451467818342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'2023'!Wh/'2023'!Env_an*'2024'!Env_an</f>
        <v>32.4548928040725</v>
      </c>
      <c r="C309" s="841"/>
      <c r="D309" s="393">
        <f t="shared" si="102"/>
        <v>34.151928020230436</v>
      </c>
      <c r="E309" s="385">
        <f t="shared" si="125"/>
        <v>34.886016320845719</v>
      </c>
      <c r="F309" s="385">
        <f t="shared" si="103"/>
        <v>34.900184522254314</v>
      </c>
      <c r="G309" s="110">
        <f t="shared" si="126"/>
        <v>0.92975546820335098</v>
      </c>
      <c r="H309" s="414" t="b">
        <f>Wh_hp&gt;='2023'!Maxi_hp</f>
        <v>0</v>
      </c>
      <c r="I309" s="390">
        <f>IF(H309,Wh_hp,'2023'!Maxi_hp)</f>
        <v>34.900812371408961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4.9690758751677833E-2</v>
      </c>
      <c r="M309" s="845"/>
      <c r="N309" s="845"/>
      <c r="O309" s="48">
        <f>IF(t&lt;Tnet,'2023'!Resal+('2023'!Salim-'2023'!Resal)*(1-EXP(('2023'!Tnet-t)/('2023'!Tau_j))),Resal+(Salim-Resal)*(1-EXP((Tnet-t)/(Tau_j))))*Salcycl</f>
        <v>2.1042479997254313E-2</v>
      </c>
      <c r="P309" s="169">
        <f>(INDEX(Models!$BJ309:$BT309,,T309)*(1-R309)+INDEX(Models!$BJ309:$BT309,,T309+1)*R309-ERP_i)*Q309*Ramure*Pc/MaxiM</f>
        <v>4.5121555689231198E-4</v>
      </c>
      <c r="Q309" s="305">
        <f t="shared" si="105"/>
        <v>0.5</v>
      </c>
      <c r="R309" s="177">
        <f t="shared" si="106"/>
        <v>0.49552973004767997</v>
      </c>
      <c r="S309" s="811">
        <f t="shared" si="107"/>
        <v>1</v>
      </c>
      <c r="T309" s="176">
        <f t="shared" si="108"/>
        <v>7</v>
      </c>
      <c r="U309" s="251">
        <f t="shared" si="109"/>
        <v>1.49552973004768</v>
      </c>
      <c r="V309" s="383">
        <f t="shared" si="110"/>
        <v>34.905332280533685</v>
      </c>
      <c r="W309" s="402">
        <f t="shared" si="111"/>
        <v>32.4548928040725</v>
      </c>
      <c r="X309" s="157">
        <f t="shared" si="112"/>
        <v>45586</v>
      </c>
      <c r="Y309" s="385">
        <f t="shared" si="113"/>
        <v>30.493468238718204</v>
      </c>
      <c r="Z309" s="385">
        <f t="shared" si="114"/>
        <v>32.087942445621294</v>
      </c>
      <c r="AA309" s="386">
        <f t="shared" si="115"/>
        <v>34.886016320845719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8.020617342750222E-2</v>
      </c>
      <c r="AD309" s="231">
        <f>(INDEX(Models!$BJ309:$BT309,,AH309)*(1-AF309)+INDEX(Models!$BJ309:$BT309,,AH309+1)*AF309-ERP_i)*AE309*Ramure*Pc/MaxiM</f>
        <v>4.5121555689231198E-4</v>
      </c>
      <c r="AE309" s="305">
        <f t="shared" si="117"/>
        <v>0.5</v>
      </c>
      <c r="AF309" s="177">
        <f t="shared" si="118"/>
        <v>0.49552973004767997</v>
      </c>
      <c r="AG309" s="811">
        <f t="shared" si="124"/>
        <v>1</v>
      </c>
      <c r="AH309" s="176">
        <f t="shared" si="119"/>
        <v>7</v>
      </c>
      <c r="AI309" s="225">
        <f t="shared" si="120"/>
        <v>1.49552973004768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'2023'!Wh/'2023'!Env_an*'2024'!Env_an</f>
        <v>16.912617794125921</v>
      </c>
      <c r="C310" s="841"/>
      <c r="D310" s="393">
        <f t="shared" si="102"/>
        <v>17.797352164814697</v>
      </c>
      <c r="E310" s="385">
        <f t="shared" si="125"/>
        <v>18.181209464604226</v>
      </c>
      <c r="F310" s="385">
        <f t="shared" si="103"/>
        <v>18.183334485059273</v>
      </c>
      <c r="G310" s="110">
        <f t="shared" si="126"/>
        <v>0.48874224132360322</v>
      </c>
      <c r="H310" s="414" t="b">
        <f>Wh_hp&gt;='2023'!Maxi_hp</f>
        <v>0</v>
      </c>
      <c r="I310" s="390">
        <f>IF(H310,Wh_hp,'2023'!Maxi_hp)</f>
        <v>37.419724893736571</v>
      </c>
      <c r="J310" s="85">
        <f>IF(H310,An,'2023'!An_max)</f>
        <v>2018</v>
      </c>
      <c r="K310" s="197">
        <f t="shared" si="104"/>
        <v>45587</v>
      </c>
      <c r="L310" s="147">
        <f>IF(t&lt;Tvie,1-EXP((T0-t)*PertePVj)+'2023'!Pspv,1-EXP((T0-t)*PertePVj)+Pspv)</f>
        <v>4.9711572962965467E-2</v>
      </c>
      <c r="M310" s="845"/>
      <c r="N310" s="845"/>
      <c r="O310" s="48">
        <f>IF(t&lt;Tnet,'2023'!Resal+('2023'!Salim-'2023'!Resal)*(1-EXP(('2023'!Tnet-t)/('2023'!Tau_j))),Resal+(Salim-Resal)*(1-EXP((Tnet-t)/(Tau_j))))*Salcycl</f>
        <v>2.1112858335240781E-2</v>
      </c>
      <c r="P310" s="169">
        <f>(INDEX(Models!$BJ310:$BT310,,T310)*(1-R310)+INDEX(Models!$BJ310:$BT310,,T310+1)*R310-ERP_i)*Q310*Ramure*Pc/MaxiM</f>
        <v>4.3307479170099408E-4</v>
      </c>
      <c r="Q310" s="305">
        <f t="shared" si="105"/>
        <v>0.5</v>
      </c>
      <c r="R310" s="177">
        <f t="shared" si="106"/>
        <v>0.49561093472950191</v>
      </c>
      <c r="S310" s="811">
        <f t="shared" si="107"/>
        <v>1</v>
      </c>
      <c r="T310" s="176">
        <f t="shared" si="108"/>
        <v>7</v>
      </c>
      <c r="U310" s="251">
        <f t="shared" si="109"/>
        <v>1.4956109347295019</v>
      </c>
      <c r="V310" s="383">
        <f t="shared" si="110"/>
        <v>34.593427429645587</v>
      </c>
      <c r="W310" s="402">
        <f t="shared" si="111"/>
        <v>16.912617794125921</v>
      </c>
      <c r="X310" s="157">
        <f t="shared" si="112"/>
        <v>45587</v>
      </c>
      <c r="Y310" s="385">
        <f t="shared" si="113"/>
        <v>15.892026045334328</v>
      </c>
      <c r="Z310" s="385">
        <f t="shared" si="114"/>
        <v>16.723371129421306</v>
      </c>
      <c r="AA310" s="386">
        <f t="shared" si="115"/>
        <v>18.181209464604226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8.0183792944088159E-2</v>
      </c>
      <c r="AD310" s="231">
        <f>(INDEX(Models!$BJ310:$BT310,,AH310)*(1-AF310)+INDEX(Models!$BJ310:$BT310,,AH310+1)*AF310-ERP_i)*AE310*Ramure*Pc/MaxiM</f>
        <v>4.3307479170099408E-4</v>
      </c>
      <c r="AE310" s="305">
        <f t="shared" si="117"/>
        <v>0.5</v>
      </c>
      <c r="AF310" s="177">
        <f t="shared" si="118"/>
        <v>0.49561093472950191</v>
      </c>
      <c r="AG310" s="811">
        <f t="shared" si="124"/>
        <v>1</v>
      </c>
      <c r="AH310" s="176">
        <f t="shared" si="119"/>
        <v>7</v>
      </c>
      <c r="AI310" s="225">
        <f t="shared" si="120"/>
        <v>1.4956109347295019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'2023'!Wh/'2023'!Env_an*'2024'!Env_an</f>
        <v>25.068200611808926</v>
      </c>
      <c r="C311" s="841"/>
      <c r="D311" s="393">
        <f t="shared" si="102"/>
        <v>26.380148351303905</v>
      </c>
      <c r="E311" s="385">
        <f t="shared" si="125"/>
        <v>26.951048850650686</v>
      </c>
      <c r="F311" s="385">
        <f t="shared" si="103"/>
        <v>26.957979682054248</v>
      </c>
      <c r="G311" s="110">
        <f t="shared" si="126"/>
        <v>0.73110014742539731</v>
      </c>
      <c r="H311" s="414" t="b">
        <f>Wh_hp&gt;='2023'!Maxi_hp</f>
        <v>0</v>
      </c>
      <c r="I311" s="390">
        <f>IF(H311,Wh_hp,'2023'!Maxi_hp)</f>
        <v>38.572719008292552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4.9732386718368549E-2</v>
      </c>
      <c r="M311" s="845"/>
      <c r="N311" s="845"/>
      <c r="O311" s="48">
        <f>IF(t&lt;Tnet,'2023'!Resal+('2023'!Salim-'2023'!Resal)*(1-EXP(('2023'!Tnet-t)/('2023'!Tau_j))),Resal+(Salim-Resal)*(1-EXP((Tnet-t)/(Tau_j))))*Salcycl</f>
        <v>2.1182867594891241E-2</v>
      </c>
      <c r="P311" s="169">
        <f>(INDEX(Models!$BJ311:$BT311,,T311)*(1-R311)+INDEX(Models!$BJ311:$BT311,,T311+1)*R311-ERP_i)*Q311*Ramure*Pc/MaxiM</f>
        <v>4.173494062836117E-4</v>
      </c>
      <c r="Q311" s="305">
        <f t="shared" si="105"/>
        <v>0.5</v>
      </c>
      <c r="R311" s="177">
        <f t="shared" si="106"/>
        <v>0.49568889474189448</v>
      </c>
      <c r="S311" s="811">
        <f t="shared" si="107"/>
        <v>1</v>
      </c>
      <c r="T311" s="176">
        <f t="shared" si="108"/>
        <v>7</v>
      </c>
      <c r="U311" s="251">
        <f t="shared" si="109"/>
        <v>1.4956888947418945</v>
      </c>
      <c r="V311" s="383">
        <f t="shared" si="110"/>
        <v>34.282830392143296</v>
      </c>
      <c r="W311" s="402">
        <f t="shared" si="111"/>
        <v>25.068200611808926</v>
      </c>
      <c r="X311" s="157">
        <f t="shared" si="112"/>
        <v>45588</v>
      </c>
      <c r="Y311" s="385">
        <f t="shared" si="113"/>
        <v>23.557737614726914</v>
      </c>
      <c r="Z311" s="385">
        <f t="shared" si="114"/>
        <v>24.790635064761585</v>
      </c>
      <c r="AA311" s="386">
        <f t="shared" si="115"/>
        <v>26.951048850650686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8.0160657118060155E-2</v>
      </c>
      <c r="AD311" s="231">
        <f>(INDEX(Models!$BJ311:$BT311,,AH311)*(1-AF311)+INDEX(Models!$BJ311:$BT311,,AH311+1)*AF311-ERP_i)*AE311*Ramure*Pc/MaxiM</f>
        <v>4.173494062836117E-4</v>
      </c>
      <c r="AE311" s="305">
        <f t="shared" si="117"/>
        <v>0.5</v>
      </c>
      <c r="AF311" s="177">
        <f t="shared" si="118"/>
        <v>0.49568889474189448</v>
      </c>
      <c r="AG311" s="811">
        <f t="shared" si="124"/>
        <v>1</v>
      </c>
      <c r="AH311" s="176">
        <f t="shared" si="119"/>
        <v>7</v>
      </c>
      <c r="AI311" s="225">
        <f t="shared" si="120"/>
        <v>1.4956888947418945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'2023'!Wh/'2023'!Env_an*'2024'!Env_an</f>
        <v>21.6189696587013</v>
      </c>
      <c r="C312" s="841"/>
      <c r="D312" s="393">
        <f t="shared" si="102"/>
        <v>22.750899723217664</v>
      </c>
      <c r="E312" s="385">
        <f t="shared" si="125"/>
        <v>23.24491274790962</v>
      </c>
      <c r="F312" s="385">
        <f t="shared" si="103"/>
        <v>23.24942656982682</v>
      </c>
      <c r="G312" s="110">
        <f t="shared" si="126"/>
        <v>0.63620616785886508</v>
      </c>
      <c r="H312" s="414" t="b">
        <f>Wh_hp&gt;='2023'!Maxi_hp</f>
        <v>0</v>
      </c>
      <c r="I312" s="390">
        <f>IF(H312,Wh_hp,'2023'!Maxi_hp)</f>
        <v>35.926796289859503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4.9753200017896959E-2</v>
      </c>
      <c r="M312" s="845"/>
      <c r="N312" s="845"/>
      <c r="O312" s="48">
        <f>IF(t&lt;Tnet,'2023'!Resal+('2023'!Salim-'2023'!Resal)*(1-EXP(('2023'!Tnet-t)/('2023'!Tau_j))),Resal+(Salim-Resal)*(1-EXP((Tnet-t)/(Tau_j))))*Salcycl</f>
        <v>2.1252522220647177E-2</v>
      </c>
      <c r="P312" s="169">
        <f>(INDEX(Models!$BJ312:$BT312,,T312)*(1-R312)+INDEX(Models!$BJ312:$BT312,,T312+1)*R312-ERP_i)*Q312*Ramure*Pc/MaxiM</f>
        <v>4.040657023010848E-4</v>
      </c>
      <c r="Q312" s="305">
        <f t="shared" si="105"/>
        <v>0.5</v>
      </c>
      <c r="R312" s="177">
        <f t="shared" si="106"/>
        <v>0.49576373877330271</v>
      </c>
      <c r="S312" s="811">
        <f t="shared" si="107"/>
        <v>1</v>
      </c>
      <c r="T312" s="176">
        <f t="shared" si="108"/>
        <v>7</v>
      </c>
      <c r="U312" s="251">
        <f t="shared" si="109"/>
        <v>1.4957637387733027</v>
      </c>
      <c r="V312" s="383">
        <f t="shared" si="110"/>
        <v>33.973940615106137</v>
      </c>
      <c r="W312" s="402">
        <f t="shared" si="111"/>
        <v>21.6189696587013</v>
      </c>
      <c r="X312" s="157">
        <f t="shared" si="112"/>
        <v>45589</v>
      </c>
      <c r="Y312" s="385">
        <f t="shared" si="113"/>
        <v>20.318309347309484</v>
      </c>
      <c r="Z312" s="385">
        <f t="shared" si="114"/>
        <v>21.382139195514426</v>
      </c>
      <c r="AA312" s="386">
        <f t="shared" si="115"/>
        <v>23.24491274790962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8.0136827038110092E-2</v>
      </c>
      <c r="AD312" s="231">
        <f>(INDEX(Models!$BJ312:$BT312,,AH312)*(1-AF312)+INDEX(Models!$BJ312:$BT312,,AH312+1)*AF312-ERP_i)*AE312*Ramure*Pc/MaxiM</f>
        <v>4.040657023010848E-4</v>
      </c>
      <c r="AE312" s="305">
        <f t="shared" si="117"/>
        <v>0.5</v>
      </c>
      <c r="AF312" s="177">
        <f t="shared" si="118"/>
        <v>0.49576373877330271</v>
      </c>
      <c r="AG312" s="811">
        <f t="shared" si="124"/>
        <v>1</v>
      </c>
      <c r="AH312" s="176">
        <f t="shared" si="119"/>
        <v>7</v>
      </c>
      <c r="AI312" s="225">
        <f t="shared" si="120"/>
        <v>1.4957637387733027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'2023'!Wh/'2023'!Env_an*'2024'!Env_an</f>
        <v>13.550785657139109</v>
      </c>
      <c r="C313" s="841"/>
      <c r="D313" s="393">
        <f t="shared" si="102"/>
        <v>14.260592575400574</v>
      </c>
      <c r="E313" s="385">
        <f t="shared" si="125"/>
        <v>14.571279023344271</v>
      </c>
      <c r="F313" s="385">
        <f t="shared" si="103"/>
        <v>14.572118060969142</v>
      </c>
      <c r="G313" s="110">
        <f t="shared" si="126"/>
        <v>0.40235760376554192</v>
      </c>
      <c r="H313" s="414" t="b">
        <f>Wh_hp&gt;='2023'!Maxi_hp</f>
        <v>0</v>
      </c>
      <c r="I313" s="390">
        <f>IF(H313,Wh_hp,'2023'!Maxi_hp)</f>
        <v>37.208706699200022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4.977401286156069E-2</v>
      </c>
      <c r="M313" s="845"/>
      <c r="N313" s="845"/>
      <c r="O313" s="48">
        <f>IF(t&lt;Tnet,'2023'!Resal+('2023'!Salim-'2023'!Resal)*(1-EXP(('2023'!Tnet-t)/('2023'!Tau_j))),Resal+(Salim-Resal)*(1-EXP((Tnet-t)/(Tau_j))))*Salcycl</f>
        <v>2.1321837804763429E-2</v>
      </c>
      <c r="P313" s="169">
        <f>(INDEX(Models!$BJ313:$BT313,,T313)*(1-R313)+INDEX(Models!$BJ313:$BT313,,T313+1)*R313-ERP_i)*Q313*Ramure*Pc/MaxiM</f>
        <v>3.932455319010252E-4</v>
      </c>
      <c r="Q313" s="305">
        <f t="shared" si="105"/>
        <v>0.5</v>
      </c>
      <c r="R313" s="177">
        <f t="shared" si="106"/>
        <v>0.49583559048353232</v>
      </c>
      <c r="S313" s="811">
        <f t="shared" si="107"/>
        <v>1</v>
      </c>
      <c r="T313" s="176">
        <f t="shared" si="108"/>
        <v>7</v>
      </c>
      <c r="U313" s="251">
        <f t="shared" si="109"/>
        <v>1.4958355904835323</v>
      </c>
      <c r="V313" s="383">
        <f t="shared" si="110"/>
        <v>33.667157557332281</v>
      </c>
      <c r="W313" s="402">
        <f t="shared" si="111"/>
        <v>13.550785657139109</v>
      </c>
      <c r="X313" s="157">
        <f t="shared" si="112"/>
        <v>45590</v>
      </c>
      <c r="Y313" s="385">
        <f t="shared" si="113"/>
        <v>12.736771516971936</v>
      </c>
      <c r="Z313" s="385">
        <f t="shared" si="114"/>
        <v>13.403939367442604</v>
      </c>
      <c r="AA313" s="386">
        <f t="shared" si="115"/>
        <v>14.571279023344271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8.0112367214401806E-2</v>
      </c>
      <c r="AD313" s="231">
        <f>(INDEX(Models!$BJ313:$BT313,,AH313)*(1-AF313)+INDEX(Models!$BJ313:$BT313,,AH313+1)*AF313-ERP_i)*AE313*Ramure*Pc/MaxiM</f>
        <v>3.932455319010252E-4</v>
      </c>
      <c r="AE313" s="305">
        <f t="shared" si="117"/>
        <v>0.5</v>
      </c>
      <c r="AF313" s="177">
        <f t="shared" si="118"/>
        <v>0.49583559048353232</v>
      </c>
      <c r="AG313" s="811">
        <f t="shared" si="124"/>
        <v>1</v>
      </c>
      <c r="AH313" s="176">
        <f t="shared" si="119"/>
        <v>7</v>
      </c>
      <c r="AI313" s="225">
        <f t="shared" si="120"/>
        <v>1.4958355904835323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'2023'!Wh/'2023'!Env_an*'2024'!Env_an</f>
        <v>14.473144156106233</v>
      </c>
      <c r="C314" s="841"/>
      <c r="D314" s="393">
        <f t="shared" si="102"/>
        <v>15.231598964828342</v>
      </c>
      <c r="E314" s="385">
        <f t="shared" si="125"/>
        <v>15.564537353652513</v>
      </c>
      <c r="F314" s="385">
        <f t="shared" si="103"/>
        <v>15.565682647750485</v>
      </c>
      <c r="G314" s="110">
        <f t="shared" si="126"/>
        <v>0.43367471972702715</v>
      </c>
      <c r="H314" s="414" t="b">
        <f>Wh_hp&gt;='2023'!Maxi_hp</f>
        <v>0</v>
      </c>
      <c r="I314" s="390">
        <f>IF(H314,Wh_hp,'2023'!Maxi_hp)</f>
        <v>29.570719829876996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4.9794825249369734E-2</v>
      </c>
      <c r="M314" s="845"/>
      <c r="N314" s="845"/>
      <c r="O314" s="48">
        <f>IF(t&lt;Tnet,'2023'!Resal+('2023'!Salim-'2023'!Resal)*(1-EXP(('2023'!Tnet-t)/('2023'!Tau_j))),Resal+(Salim-Resal)*(1-EXP((Tnet-t)/(Tau_j))))*Salcycl</f>
        <v>2.1390831044910057E-2</v>
      </c>
      <c r="P314" s="169">
        <f>(INDEX(Models!$BJ314:$BT314,,T314)*(1-R314)+INDEX(Models!$BJ314:$BT314,,T314+1)*R314-ERP_i)*Q314*Ramure*Pc/MaxiM</f>
        <v>3.8490983398549152E-4</v>
      </c>
      <c r="Q314" s="305">
        <f t="shared" si="105"/>
        <v>0.5</v>
      </c>
      <c r="R314" s="177">
        <f t="shared" si="106"/>
        <v>0.49590456869430954</v>
      </c>
      <c r="S314" s="811">
        <f t="shared" si="107"/>
        <v>1</v>
      </c>
      <c r="T314" s="176">
        <f t="shared" si="108"/>
        <v>7</v>
      </c>
      <c r="U314" s="251">
        <f t="shared" si="109"/>
        <v>1.4959045686943095</v>
      </c>
      <c r="V314" s="383">
        <f t="shared" si="110"/>
        <v>33.362880560053576</v>
      </c>
      <c r="W314" s="402">
        <f t="shared" si="111"/>
        <v>14.473144156106233</v>
      </c>
      <c r="X314" s="157">
        <f t="shared" si="112"/>
        <v>45591</v>
      </c>
      <c r="Y314" s="385">
        <f t="shared" si="113"/>
        <v>13.60505182656687</v>
      </c>
      <c r="Z314" s="385">
        <f t="shared" si="114"/>
        <v>14.318014875195086</v>
      </c>
      <c r="AA314" s="386">
        <f t="shared" si="115"/>
        <v>15.564537353652513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8.0087345363009266E-2</v>
      </c>
      <c r="AD314" s="231">
        <f>(INDEX(Models!$BJ314:$BT314,,AH314)*(1-AF314)+INDEX(Models!$BJ314:$BT314,,AH314+1)*AF314-ERP_i)*AE314*Ramure*Pc/MaxiM</f>
        <v>3.8490983398549152E-4</v>
      </c>
      <c r="AE314" s="305">
        <f t="shared" si="117"/>
        <v>0.5</v>
      </c>
      <c r="AF314" s="177">
        <f t="shared" si="118"/>
        <v>0.49590456869430954</v>
      </c>
      <c r="AG314" s="811">
        <f t="shared" si="124"/>
        <v>1</v>
      </c>
      <c r="AH314" s="176">
        <f t="shared" si="119"/>
        <v>7</v>
      </c>
      <c r="AI314" s="225">
        <f t="shared" si="120"/>
        <v>1.4959045686943095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'2023'!Wh/'2023'!Env_an*'2024'!Env_an</f>
        <v>17.090175314164703</v>
      </c>
      <c r="C315" s="841"/>
      <c r="D315" s="393">
        <f t="shared" si="102"/>
        <v>17.986167719565184</v>
      </c>
      <c r="E315" s="385">
        <f t="shared" si="125"/>
        <v>18.380606711273945</v>
      </c>
      <c r="F315" s="385">
        <f t="shared" si="103"/>
        <v>18.382766159135837</v>
      </c>
      <c r="G315" s="110">
        <f t="shared" si="126"/>
        <v>0.51678536381612172</v>
      </c>
      <c r="H315" s="414" t="b">
        <f>Wh_hp&gt;='2023'!Maxi_hp</f>
        <v>0</v>
      </c>
      <c r="I315" s="390">
        <f>IF(H315,Wh_hp,'2023'!Maxi_hp)</f>
        <v>24.903019933810778</v>
      </c>
      <c r="J315" s="85">
        <f>IF(H315,An,'2023'!An_max)</f>
        <v>2020</v>
      </c>
      <c r="K315" s="197">
        <f t="shared" si="104"/>
        <v>45592</v>
      </c>
      <c r="L315" s="147">
        <f>IF(t&lt;Tvie,1-EXP((T0-t)*PertePVj)+'2023'!Pspv,1-EXP((T0-t)*PertePVj)+Pspv)</f>
        <v>4.9815637181334083E-2</v>
      </c>
      <c r="M315" s="845"/>
      <c r="N315" s="845"/>
      <c r="O315" s="48">
        <f>IF(t&lt;Tnet,'2023'!Resal+('2023'!Salim-'2023'!Resal)*(1-EXP(('2023'!Tnet-t)/('2023'!Tau_j))),Resal+(Salim-Resal)*(1-EXP((Tnet-t)/(Tau_j))))*Salcycl</f>
        <v>2.1459519694027752E-2</v>
      </c>
      <c r="P315" s="169">
        <f>(INDEX(Models!$BJ315:$BT315,,T315)*(1-R315)+INDEX(Models!$BJ315:$BT315,,T315+1)*R315-ERP_i)*Q315*Ramure*Pc/MaxiM</f>
        <v>3.7907843888322184E-4</v>
      </c>
      <c r="Q315" s="305">
        <f t="shared" si="105"/>
        <v>0.5</v>
      </c>
      <c r="R315" s="177">
        <f t="shared" si="106"/>
        <v>0.49597078757309165</v>
      </c>
      <c r="S315" s="811">
        <f t="shared" si="107"/>
        <v>1</v>
      </c>
      <c r="T315" s="176">
        <f t="shared" si="108"/>
        <v>7</v>
      </c>
      <c r="U315" s="251">
        <f t="shared" si="109"/>
        <v>1.4959707875730917</v>
      </c>
      <c r="V315" s="383">
        <f t="shared" si="110"/>
        <v>33.06150884626301</v>
      </c>
      <c r="W315" s="402">
        <f t="shared" si="111"/>
        <v>17.090175314164703</v>
      </c>
      <c r="X315" s="157">
        <f t="shared" si="112"/>
        <v>45592</v>
      </c>
      <c r="Y315" s="385">
        <f t="shared" si="113"/>
        <v>16.066687973453721</v>
      </c>
      <c r="Z315" s="385">
        <f t="shared" si="114"/>
        <v>16.909021661641365</v>
      </c>
      <c r="AA315" s="386">
        <f t="shared" si="115"/>
        <v>18.380606711273945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8.0061832166288927E-2</v>
      </c>
      <c r="AD315" s="231">
        <f>(INDEX(Models!$BJ315:$BT315,,AH315)*(1-AF315)+INDEX(Models!$BJ315:$BT315,,AH315+1)*AF315-ERP_i)*AE315*Ramure*Pc/MaxiM</f>
        <v>3.7907843888322184E-4</v>
      </c>
      <c r="AE315" s="305">
        <f t="shared" si="117"/>
        <v>0.5</v>
      </c>
      <c r="AF315" s="177">
        <f t="shared" si="118"/>
        <v>0.49597078757309165</v>
      </c>
      <c r="AG315" s="811">
        <f t="shared" si="124"/>
        <v>1</v>
      </c>
      <c r="AH315" s="176">
        <f t="shared" si="119"/>
        <v>7</v>
      </c>
      <c r="AI315" s="225">
        <f t="shared" si="120"/>
        <v>1.4959707875730917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'2023'!Wh/'2023'!Env_an*'2024'!Env_an</f>
        <v>26.835850944389655</v>
      </c>
      <c r="C316" s="841"/>
      <c r="D316" s="393">
        <f t="shared" si="102"/>
        <v>28.243401787483705</v>
      </c>
      <c r="E316" s="385">
        <f t="shared" si="125"/>
        <v>28.864800986167744</v>
      </c>
      <c r="F316" s="385">
        <f t="shared" si="103"/>
        <v>28.872846375820231</v>
      </c>
      <c r="G316" s="110">
        <f t="shared" si="126"/>
        <v>0.81899955113832557</v>
      </c>
      <c r="H316" s="414" t="b">
        <f>Wh_hp&gt;='2023'!Maxi_hp</f>
        <v>0</v>
      </c>
      <c r="I316" s="390">
        <f>IF(H316,Wh_hp,'2023'!Maxi_hp)</f>
        <v>29.923980500554308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4.9836448657463728E-2</v>
      </c>
      <c r="M316" s="845"/>
      <c r="N316" s="845"/>
      <c r="O316" s="48">
        <f>IF(t&lt;Tnet,'2023'!Resal+('2023'!Salim-'2023'!Resal)*(1-EXP(('2023'!Tnet-t)/('2023'!Tau_j))),Resal+(Salim-Resal)*(1-EXP((Tnet-t)/(Tau_j))))*Salcycl</f>
        <v>2.1527922502629374E-2</v>
      </c>
      <c r="P316" s="169">
        <f>(INDEX(Models!$BJ316:$BT316,,T316)*(1-R316)+INDEX(Models!$BJ316:$BT316,,T316+1)*R316-ERP_i)*Q316*Ramure*Pc/MaxiM</f>
        <v>3.7576987498718392E-4</v>
      </c>
      <c r="Q316" s="305">
        <f t="shared" si="105"/>
        <v>0.5</v>
      </c>
      <c r="R316" s="177">
        <f t="shared" si="106"/>
        <v>0.49603435681032781</v>
      </c>
      <c r="S316" s="811">
        <f t="shared" si="107"/>
        <v>1</v>
      </c>
      <c r="T316" s="176">
        <f t="shared" si="108"/>
        <v>7</v>
      </c>
      <c r="U316" s="251">
        <f t="shared" si="109"/>
        <v>1.4960343568103278</v>
      </c>
      <c r="V316" s="383">
        <f t="shared" si="110"/>
        <v>32.763441517408836</v>
      </c>
      <c r="W316" s="402">
        <f t="shared" si="111"/>
        <v>26.835850944389655</v>
      </c>
      <c r="X316" s="157">
        <f t="shared" si="112"/>
        <v>45593</v>
      </c>
      <c r="Y316" s="385">
        <f t="shared" si="113"/>
        <v>25.231194637477298</v>
      </c>
      <c r="Z316" s="385">
        <f t="shared" si="114"/>
        <v>26.554580631752092</v>
      </c>
      <c r="AA316" s="386">
        <f t="shared" si="115"/>
        <v>28.864800986167744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8.0035901010463581E-2</v>
      </c>
      <c r="AD316" s="231">
        <f>(INDEX(Models!$BJ316:$BT316,,AH316)*(1-AF316)+INDEX(Models!$BJ316:$BT316,,AH316+1)*AF316-ERP_i)*AE316*Ramure*Pc/MaxiM</f>
        <v>3.7576987498718392E-4</v>
      </c>
      <c r="AE316" s="305">
        <f t="shared" si="117"/>
        <v>0.5</v>
      </c>
      <c r="AF316" s="177">
        <f t="shared" si="118"/>
        <v>0.49603435681032781</v>
      </c>
      <c r="AG316" s="811">
        <f t="shared" si="124"/>
        <v>1</v>
      </c>
      <c r="AH316" s="176">
        <f t="shared" si="119"/>
        <v>7</v>
      </c>
      <c r="AI316" s="225">
        <f t="shared" si="120"/>
        <v>1.4960343568103278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'2023'!Wh/'2023'!Env_an*'2024'!Env_an</f>
        <v>22.198181401662431</v>
      </c>
      <c r="C317" s="841"/>
      <c r="D317" s="393">
        <f t="shared" si="102"/>
        <v>23.362996378980004</v>
      </c>
      <c r="E317" s="385">
        <f t="shared" si="125"/>
        <v>23.878681803728213</v>
      </c>
      <c r="F317" s="385">
        <f t="shared" si="103"/>
        <v>23.88359159498183</v>
      </c>
      <c r="G317" s="110">
        <f t="shared" si="126"/>
        <v>0.68359480350794055</v>
      </c>
      <c r="H317" s="414" t="b">
        <f>Wh_hp&gt;='2023'!Maxi_hp</f>
        <v>0</v>
      </c>
      <c r="I317" s="390">
        <f>IF(H317,Wh_hp,'2023'!Maxi_hp)</f>
        <v>33.09982659368044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4.9857259677768551E-2</v>
      </c>
      <c r="M317" s="845"/>
      <c r="N317" s="845"/>
      <c r="O317" s="48">
        <f>IF(t&lt;Tnet,'2023'!Resal+('2023'!Salim-'2023'!Resal)*(1-EXP(('2023'!Tnet-t)/('2023'!Tau_j))),Resal+(Salim-Resal)*(1-EXP((Tnet-t)/(Tau_j))))*Salcycl</f>
        <v>2.1596059153805382E-2</v>
      </c>
      <c r="P317" s="169">
        <f>(INDEX(Models!$BJ317:$BT317,,T317)*(1-R317)+INDEX(Models!$BJ317:$BT317,,T317+1)*R317-ERP_i)*Q317*Ramure*Pc/MaxiM</f>
        <v>3.7502268710007223E-4</v>
      </c>
      <c r="Q317" s="305">
        <f t="shared" si="105"/>
        <v>0.5</v>
      </c>
      <c r="R317" s="177">
        <f t="shared" si="106"/>
        <v>0.49609538179037038</v>
      </c>
      <c r="S317" s="811">
        <f t="shared" si="107"/>
        <v>1</v>
      </c>
      <c r="T317" s="176">
        <f t="shared" si="108"/>
        <v>7</v>
      </c>
      <c r="U317" s="251">
        <f t="shared" si="109"/>
        <v>1.4960953817903704</v>
      </c>
      <c r="V317" s="383">
        <f t="shared" si="110"/>
        <v>32.467214512569946</v>
      </c>
      <c r="W317" s="402">
        <f t="shared" si="111"/>
        <v>22.198181401662431</v>
      </c>
      <c r="X317" s="157">
        <f t="shared" si="112"/>
        <v>45594</v>
      </c>
      <c r="Y317" s="385">
        <f t="shared" si="113"/>
        <v>20.872885236330614</v>
      </c>
      <c r="Z317" s="385">
        <f t="shared" si="114"/>
        <v>21.968157362599836</v>
      </c>
      <c r="AA317" s="386">
        <f t="shared" si="115"/>
        <v>23.878681803728213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8.0009627701897915E-2</v>
      </c>
      <c r="AD317" s="231">
        <f>(INDEX(Models!$BJ317:$BT317,,AH317)*(1-AF317)+INDEX(Models!$BJ317:$BT317,,AH317+1)*AF317-ERP_i)*AE317*Ramure*Pc/MaxiM</f>
        <v>3.7502268710007223E-4</v>
      </c>
      <c r="AE317" s="305">
        <f t="shared" si="117"/>
        <v>0.5</v>
      </c>
      <c r="AF317" s="177">
        <f t="shared" si="118"/>
        <v>0.49609538179037038</v>
      </c>
      <c r="AG317" s="811">
        <f t="shared" si="124"/>
        <v>1</v>
      </c>
      <c r="AH317" s="176">
        <f t="shared" si="119"/>
        <v>7</v>
      </c>
      <c r="AI317" s="225">
        <f t="shared" si="120"/>
        <v>1.4960953817903704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'2023'!Wh/'2023'!Env_an*'2024'!Env_an</f>
        <v>21.670275438447376</v>
      </c>
      <c r="C318" s="841"/>
      <c r="D318" s="393">
        <f t="shared" si="102"/>
        <v>22.807888924290786</v>
      </c>
      <c r="E318" s="385">
        <f t="shared" si="125"/>
        <v>23.312939279657041</v>
      </c>
      <c r="F318" s="385">
        <f t="shared" si="103"/>
        <v>23.317635651410907</v>
      </c>
      <c r="G318" s="110">
        <f t="shared" si="126"/>
        <v>0.6734707315913615</v>
      </c>
      <c r="H318" s="414" t="b">
        <f>Wh_hp&gt;='2023'!Maxi_hp</f>
        <v>0</v>
      </c>
      <c r="I318" s="390">
        <f>IF(H318,Wh_hp,'2023'!Maxi_hp)</f>
        <v>33.51042975379562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4.9878070242258654E-2</v>
      </c>
      <c r="M318" s="845"/>
      <c r="N318" s="845"/>
      <c r="O318" s="48">
        <f>IF(t&lt;Tnet,'2023'!Resal+('2023'!Salim-'2023'!Resal)*(1-EXP(('2023'!Tnet-t)/('2023'!Tau_j))),Resal+(Salim-Resal)*(1-EXP((Tnet-t)/(Tau_j))))*Salcycl</f>
        <v>2.1663950191255537E-2</v>
      </c>
      <c r="P318" s="169">
        <f>(INDEX(Models!$BJ318:$BT318,,T318)*(1-R318)+INDEX(Models!$BJ318:$BT318,,T318+1)*R318-ERP_i)*Q318*Ramure*Pc/MaxiM</f>
        <v>3.7738234474106181E-4</v>
      </c>
      <c r="Q318" s="305">
        <f t="shared" si="105"/>
        <v>0.5</v>
      </c>
      <c r="R318" s="177">
        <f t="shared" si="106"/>
        <v>0.49615396375623133</v>
      </c>
      <c r="S318" s="811">
        <f t="shared" si="107"/>
        <v>1</v>
      </c>
      <c r="T318" s="176">
        <f t="shared" si="108"/>
        <v>7</v>
      </c>
      <c r="U318" s="251">
        <f t="shared" si="109"/>
        <v>1.4961539637562313</v>
      </c>
      <c r="V318" s="383">
        <f t="shared" si="110"/>
        <v>32.171347994545677</v>
      </c>
      <c r="W318" s="402">
        <f t="shared" si="111"/>
        <v>21.670275438447376</v>
      </c>
      <c r="X318" s="157">
        <f t="shared" si="112"/>
        <v>45595</v>
      </c>
      <c r="Y318" s="385">
        <f t="shared" si="113"/>
        <v>20.378498623329339</v>
      </c>
      <c r="Z318" s="385">
        <f t="shared" si="114"/>
        <v>21.448298355270438</v>
      </c>
      <c r="AA318" s="386">
        <f t="shared" si="115"/>
        <v>23.312939279657041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7.9983090163739945E-2</v>
      </c>
      <c r="AD318" s="231">
        <f>(INDEX(Models!$BJ318:$BT318,,AH318)*(1-AF318)+INDEX(Models!$BJ318:$BT318,,AH318+1)*AF318-ERP_i)*AE318*Ramure*Pc/MaxiM</f>
        <v>3.7738234474106181E-4</v>
      </c>
      <c r="AE318" s="305">
        <f t="shared" si="117"/>
        <v>0.5</v>
      </c>
      <c r="AF318" s="177">
        <f t="shared" si="118"/>
        <v>0.49615396375623133</v>
      </c>
      <c r="AG318" s="811">
        <f t="shared" si="124"/>
        <v>1</v>
      </c>
      <c r="AH318" s="176">
        <f t="shared" si="119"/>
        <v>7</v>
      </c>
      <c r="AI318" s="225">
        <f t="shared" si="120"/>
        <v>1.4961539637562313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'2023'!Wh/'2023'!Env_an*'2024'!Env_an</f>
        <v>23.050362112603324</v>
      </c>
      <c r="C319" s="841"/>
      <c r="D319" s="393">
        <f t="shared" si="102"/>
        <v>24.260956687555069</v>
      </c>
      <c r="E319" s="385">
        <f t="shared" si="125"/>
        <v>24.799898583746039</v>
      </c>
      <c r="F319" s="385">
        <f t="shared" si="103"/>
        <v>24.805614643183983</v>
      </c>
      <c r="G319" s="110">
        <f t="shared" si="126"/>
        <v>0.72301018390555105</v>
      </c>
      <c r="H319" s="414" t="b">
        <f>Wh_hp&gt;='2023'!Maxi_hp</f>
        <v>0</v>
      </c>
      <c r="I319" s="390">
        <f>IF(H319,Wh_hp,'2023'!Maxi_hp)</f>
        <v>32.377451552901285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4.989888035094403E-2</v>
      </c>
      <c r="M319" s="845"/>
      <c r="N319" s="845"/>
      <c r="O319" s="48">
        <f>IF(t&lt;Tnet,'2023'!Resal+('2023'!Salim-'2023'!Resal)*(1-EXP(('2023'!Tnet-t)/('2023'!Tau_j))),Resal+(Salim-Resal)*(1-EXP((Tnet-t)/(Tau_j))))*Salcycl</f>
        <v>2.1731616940732012E-2</v>
      </c>
      <c r="P319" s="169">
        <f>(INDEX(Models!$BJ319:$BT319,,T319)*(1-R319)+INDEX(Models!$BJ319:$BT319,,T319+1)*R319-ERP_i)*Q319*Ramure*Pc/MaxiM</f>
        <v>3.8122555037370799E-4</v>
      </c>
      <c r="Q319" s="305">
        <f t="shared" si="105"/>
        <v>0.5</v>
      </c>
      <c r="R319" s="177">
        <f t="shared" si="106"/>
        <v>0.49621019996837301</v>
      </c>
      <c r="S319" s="811">
        <f t="shared" si="107"/>
        <v>1</v>
      </c>
      <c r="T319" s="176">
        <f t="shared" si="108"/>
        <v>7</v>
      </c>
      <c r="U319" s="251">
        <f t="shared" si="109"/>
        <v>1.496210199968373</v>
      </c>
      <c r="V319" s="383">
        <f t="shared" si="110"/>
        <v>31.876294451902993</v>
      </c>
      <c r="W319" s="402">
        <f t="shared" si="111"/>
        <v>23.050362112603324</v>
      </c>
      <c r="X319" s="157">
        <f t="shared" si="112"/>
        <v>45596</v>
      </c>
      <c r="Y319" s="385">
        <f t="shared" si="113"/>
        <v>21.678446571102285</v>
      </c>
      <c r="Z319" s="385">
        <f t="shared" si="114"/>
        <v>22.816988763374756</v>
      </c>
      <c r="AA319" s="386">
        <f t="shared" si="115"/>
        <v>24.799898583746039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7.9956368114783016E-2</v>
      </c>
      <c r="AD319" s="231">
        <f>(INDEX(Models!$BJ319:$BT319,,AH319)*(1-AF319)+INDEX(Models!$BJ319:$BT319,,AH319+1)*AF319-ERP_i)*AE319*Ramure*Pc/MaxiM</f>
        <v>3.8122555037370799E-4</v>
      </c>
      <c r="AE319" s="305">
        <f t="shared" si="117"/>
        <v>0.5</v>
      </c>
      <c r="AF319" s="177">
        <f t="shared" si="118"/>
        <v>0.49621019996837301</v>
      </c>
      <c r="AG319" s="811">
        <f t="shared" si="124"/>
        <v>1</v>
      </c>
      <c r="AH319" s="176">
        <f t="shared" si="119"/>
        <v>7</v>
      </c>
      <c r="AI319" s="225">
        <f t="shared" si="120"/>
        <v>1.496210199968373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'2023'!Wh/'2023'!Env_an*'2024'!Env_an</f>
        <v>27.701873379780807</v>
      </c>
      <c r="C320" s="841"/>
      <c r="D320" s="393">
        <f t="shared" si="102"/>
        <v>29.157401841000802</v>
      </c>
      <c r="E320" s="385">
        <f t="shared" si="125"/>
        <v>29.80717078397975</v>
      </c>
      <c r="F320" s="385">
        <f t="shared" si="103"/>
        <v>29.816673590099423</v>
      </c>
      <c r="G320" s="110">
        <f t="shared" si="126"/>
        <v>0.87706909110197018</v>
      </c>
      <c r="H320" s="414" t="b">
        <f>Wh_hp&gt;='2023'!Maxi_hp</f>
        <v>0</v>
      </c>
      <c r="I320" s="390">
        <f>IF(H320,Wh_hp,'2023'!Maxi_hp)</f>
        <v>29.817559501833507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4.991969000383456E-2</v>
      </c>
      <c r="M320" s="845"/>
      <c r="N320" s="845"/>
      <c r="O320" s="48">
        <f>IF(t&lt;Tnet,'2023'!Resal+('2023'!Salim-'2023'!Resal)*(1-EXP(('2023'!Tnet-t)/('2023'!Tau_j))),Resal+(Salim-Resal)*(1-EXP((Tnet-t)/(Tau_j))))*Salcycl</f>
        <v>2.1799081425338554E-2</v>
      </c>
      <c r="P320" s="169">
        <f>(INDEX(Models!$BJ320:$BT320,,T320)*(1-R320)+INDEX(Models!$BJ320:$BT320,,T320+1)*R320-ERP_i)*Q320*Ramure*Pc/MaxiM</f>
        <v>3.865610581539471E-4</v>
      </c>
      <c r="Q320" s="305">
        <f t="shared" si="105"/>
        <v>0.5</v>
      </c>
      <c r="R320" s="177">
        <f t="shared" si="106"/>
        <v>0.49626418385772708</v>
      </c>
      <c r="S320" s="811">
        <f t="shared" si="107"/>
        <v>1</v>
      </c>
      <c r="T320" s="176">
        <f t="shared" si="108"/>
        <v>7</v>
      </c>
      <c r="U320" s="251">
        <f t="shared" si="109"/>
        <v>1.4962641838577271</v>
      </c>
      <c r="V320" s="383">
        <f t="shared" si="110"/>
        <v>31.58245273819578</v>
      </c>
      <c r="W320" s="402">
        <f t="shared" si="111"/>
        <v>27.701873379780807</v>
      </c>
      <c r="X320" s="157">
        <f t="shared" si="112"/>
        <v>45597</v>
      </c>
      <c r="Y320" s="385">
        <f t="shared" si="113"/>
        <v>26.055664867742632</v>
      </c>
      <c r="Z320" s="385">
        <f t="shared" si="114"/>
        <v>27.424697253064632</v>
      </c>
      <c r="AA320" s="386">
        <f t="shared" si="115"/>
        <v>29.80717078397975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7.9929542732569955E-2</v>
      </c>
      <c r="AD320" s="231">
        <f>(INDEX(Models!$BJ320:$BT320,,AH320)*(1-AF320)+INDEX(Models!$BJ320:$BT320,,AH320+1)*AF320-ERP_i)*AE320*Ramure*Pc/MaxiM</f>
        <v>3.865610581539471E-4</v>
      </c>
      <c r="AE320" s="305">
        <f t="shared" si="117"/>
        <v>0.5</v>
      </c>
      <c r="AF320" s="177">
        <f t="shared" si="118"/>
        <v>0.49626418385772708</v>
      </c>
      <c r="AG320" s="811">
        <f t="shared" si="124"/>
        <v>1</v>
      </c>
      <c r="AH320" s="176">
        <f t="shared" si="119"/>
        <v>7</v>
      </c>
      <c r="AI320" s="225">
        <f t="shared" si="120"/>
        <v>1.4962641838577271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'2023'!Wh/'2023'!Env_an*'2024'!Env_an</f>
        <v>9.5117847878560813</v>
      </c>
      <c r="C321" s="841"/>
      <c r="D321" s="393">
        <f t="shared" si="102"/>
        <v>10.011777977964615</v>
      </c>
      <c r="E321" s="385">
        <f t="shared" si="125"/>
        <v>10.235593208096686</v>
      </c>
      <c r="F321" s="385">
        <f t="shared" si="103"/>
        <v>10.235616136252391</v>
      </c>
      <c r="G321" s="110">
        <f t="shared" si="126"/>
        <v>0.30386694944253118</v>
      </c>
      <c r="H321" s="414" t="b">
        <f>Wh_hp&gt;='2023'!Maxi_hp</f>
        <v>0</v>
      </c>
      <c r="I321" s="390">
        <f>IF(H321,Wh_hp,'2023'!Maxi_hp)</f>
        <v>30.00122544451607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4.9940499200940347E-2</v>
      </c>
      <c r="M321" s="845"/>
      <c r="N321" s="845"/>
      <c r="O321" s="48">
        <f>IF(t&lt;Tnet,'2023'!Resal+('2023'!Salim-'2023'!Resal)*(1-EXP(('2023'!Tnet-t)/('2023'!Tau_j))),Resal+(Salim-Resal)*(1-EXP((Tnet-t)/(Tau_j))))*Salcycl</f>
        <v>2.1866366275188197E-2</v>
      </c>
      <c r="P321" s="169">
        <f>(INDEX(Models!$BJ321:$BT321,,T321)*(1-R321)+INDEX(Models!$BJ321:$BT321,,T321+1)*R321-ERP_i)*Q321*Ramure*Pc/MaxiM</f>
        <v>3.933974708730461E-4</v>
      </c>
      <c r="Q321" s="305">
        <f t="shared" si="105"/>
        <v>0.5</v>
      </c>
      <c r="R321" s="177">
        <f t="shared" si="106"/>
        <v>0.49631600517312036</v>
      </c>
      <c r="S321" s="811">
        <f t="shared" si="107"/>
        <v>1</v>
      </c>
      <c r="T321" s="176">
        <f t="shared" si="108"/>
        <v>7</v>
      </c>
      <c r="U321" s="251">
        <f t="shared" si="109"/>
        <v>1.4963160051731204</v>
      </c>
      <c r="V321" s="383">
        <f t="shared" si="110"/>
        <v>31.290221564513633</v>
      </c>
      <c r="W321" s="402">
        <f t="shared" si="111"/>
        <v>9.5117847878560813</v>
      </c>
      <c r="X321" s="157">
        <f t="shared" si="112"/>
        <v>45598</v>
      </c>
      <c r="Y321" s="385">
        <f t="shared" si="113"/>
        <v>8.9474149900417306</v>
      </c>
      <c r="Z321" s="385">
        <f t="shared" si="114"/>
        <v>9.4177417125099989</v>
      </c>
      <c r="AA321" s="386">
        <f t="shared" si="115"/>
        <v>10.235593208096686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7.9902696302910942E-2</v>
      </c>
      <c r="AD321" s="231">
        <f>(INDEX(Models!$BJ321:$BT321,,AH321)*(1-AF321)+INDEX(Models!$BJ321:$BT321,,AH321+1)*AF321-ERP_i)*AE321*Ramure*Pc/MaxiM</f>
        <v>3.933974708730461E-4</v>
      </c>
      <c r="AE321" s="305">
        <f t="shared" si="117"/>
        <v>0.5</v>
      </c>
      <c r="AF321" s="177">
        <f t="shared" si="118"/>
        <v>0.49631600517312036</v>
      </c>
      <c r="AG321" s="811">
        <f t="shared" si="124"/>
        <v>1</v>
      </c>
      <c r="AH321" s="176">
        <f t="shared" si="119"/>
        <v>7</v>
      </c>
      <c r="AI321" s="225">
        <f t="shared" si="120"/>
        <v>1.4963160051731204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'2023'!Wh/'2023'!Env_an*'2024'!Env_an</f>
        <v>16.681138940719315</v>
      </c>
      <c r="C322" s="841"/>
      <c r="D322" s="393">
        <f t="shared" si="102"/>
        <v>17.55837849571046</v>
      </c>
      <c r="E322" s="385">
        <f t="shared" si="125"/>
        <v>17.952131475050997</v>
      </c>
      <c r="F322" s="385">
        <f t="shared" si="103"/>
        <v>17.954584983379398</v>
      </c>
      <c r="G322" s="110">
        <f t="shared" si="126"/>
        <v>0.53795859869763574</v>
      </c>
      <c r="H322" s="414" t="b">
        <f>Wh_hp&gt;='2023'!Maxi_hp</f>
        <v>0</v>
      </c>
      <c r="I322" s="390">
        <f>IF(H322,Wh_hp,'2023'!Maxi_hp)</f>
        <v>23.180990079496752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4.9961307942271271E-2</v>
      </c>
      <c r="M322" s="845"/>
      <c r="N322" s="845"/>
      <c r="O322" s="48">
        <f>IF(t&lt;Tnet,'2023'!Resal+('2023'!Salim-'2023'!Resal)*(1-EXP(('2023'!Tnet-t)/('2023'!Tau_j))),Resal+(Salim-Resal)*(1-EXP((Tnet-t)/(Tau_j))))*Salcycl</f>
        <v>2.1933494631974831E-2</v>
      </c>
      <c r="P322" s="169">
        <f>(INDEX(Models!$BJ322:$BT322,,T322)*(1-R322)+INDEX(Models!$BJ322:$BT322,,T322+1)*R322-ERP_i)*Q322*Ramure*Pc/MaxiM</f>
        <v>4.017431711274664E-4</v>
      </c>
      <c r="Q322" s="305">
        <f t="shared" si="105"/>
        <v>0.5</v>
      </c>
      <c r="R322" s="177">
        <f t="shared" si="106"/>
        <v>0.49636575012329276</v>
      </c>
      <c r="S322" s="811">
        <f t="shared" si="107"/>
        <v>1</v>
      </c>
      <c r="T322" s="176">
        <f t="shared" si="108"/>
        <v>7</v>
      </c>
      <c r="U322" s="251">
        <f t="shared" si="109"/>
        <v>1.4963657501232928</v>
      </c>
      <c r="V322" s="383">
        <f t="shared" si="110"/>
        <v>30.999999505522183</v>
      </c>
      <c r="W322" s="402">
        <f t="shared" si="111"/>
        <v>16.681138940719315</v>
      </c>
      <c r="X322" s="157">
        <f t="shared" si="112"/>
        <v>45599</v>
      </c>
      <c r="Y322" s="385">
        <f t="shared" si="113"/>
        <v>15.692918296207225</v>
      </c>
      <c r="Z322" s="385">
        <f t="shared" si="114"/>
        <v>16.518188603684418</v>
      </c>
      <c r="AA322" s="386">
        <f t="shared" si="115"/>
        <v>17.952131475050997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7.987591185812129E-2</v>
      </c>
      <c r="AD322" s="231">
        <f>(INDEX(Models!$BJ322:$BT322,,AH322)*(1-AF322)+INDEX(Models!$BJ322:$BT322,,AH322+1)*AF322-ERP_i)*AE322*Ramure*Pc/MaxiM</f>
        <v>4.017431711274664E-4</v>
      </c>
      <c r="AE322" s="305">
        <f t="shared" si="117"/>
        <v>0.5</v>
      </c>
      <c r="AF322" s="177">
        <f t="shared" si="118"/>
        <v>0.49636575012329276</v>
      </c>
      <c r="AG322" s="811">
        <f t="shared" si="124"/>
        <v>1</v>
      </c>
      <c r="AH322" s="176">
        <f t="shared" si="119"/>
        <v>7</v>
      </c>
      <c r="AI322" s="225">
        <f t="shared" si="120"/>
        <v>1.4963657501232928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'2023'!Wh/'2023'!Env_an*'2024'!Env_an</f>
        <v>29.045950724342784</v>
      </c>
      <c r="C323" s="841"/>
      <c r="D323" s="393">
        <f t="shared" si="102"/>
        <v>30.574109414669408</v>
      </c>
      <c r="E323" s="385">
        <f t="shared" si="125"/>
        <v>31.261886231623183</v>
      </c>
      <c r="F323" s="385">
        <f t="shared" si="103"/>
        <v>31.273761031385611</v>
      </c>
      <c r="G323" s="110">
        <f t="shared" si="126"/>
        <v>0.94571661947417496</v>
      </c>
      <c r="H323" s="414" t="b">
        <f>Wh_hp&gt;='2023'!Maxi_hp</f>
        <v>0</v>
      </c>
      <c r="I323" s="390">
        <f>IF(H323,Wh_hp,'2023'!Maxi_hp)</f>
        <v>31.274208966337646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4.9982116227837436E-2</v>
      </c>
      <c r="M323" s="845"/>
      <c r="N323" s="845"/>
      <c r="O323" s="48">
        <f>IF(t&lt;Tnet,'2023'!Resal+('2023'!Salim-'2023'!Resal)*(1-EXP(('2023'!Tnet-t)/('2023'!Tau_j))),Resal+(Salim-Resal)*(1-EXP((Tnet-t)/(Tau_j))))*Salcycl</f>
        <v>2.20004900490633E-2</v>
      </c>
      <c r="P323" s="169">
        <f>(INDEX(Models!$BJ323:$BT323,,T323)*(1-R323)+INDEX(Models!$BJ323:$BT323,,T323+1)*R323-ERP_i)*Q323*Ramure*Pc/MaxiM</f>
        <v>4.1160624755284342E-4</v>
      </c>
      <c r="Q323" s="305">
        <f t="shared" si="105"/>
        <v>0.5</v>
      </c>
      <c r="R323" s="177">
        <f t="shared" si="106"/>
        <v>0.49641350151368213</v>
      </c>
      <c r="S323" s="811">
        <f t="shared" si="107"/>
        <v>1</v>
      </c>
      <c r="T323" s="176">
        <f t="shared" si="108"/>
        <v>7</v>
      </c>
      <c r="U323" s="251">
        <f t="shared" si="109"/>
        <v>1.4964135015136821</v>
      </c>
      <c r="V323" s="383">
        <f t="shared" si="110"/>
        <v>30.712184991576787</v>
      </c>
      <c r="W323" s="402">
        <f t="shared" si="111"/>
        <v>29.045950724342784</v>
      </c>
      <c r="X323" s="157">
        <f t="shared" si="112"/>
        <v>45600</v>
      </c>
      <c r="Y323" s="385">
        <f t="shared" si="113"/>
        <v>27.327879420281445</v>
      </c>
      <c r="Z323" s="385">
        <f t="shared" si="114"/>
        <v>28.765647349471724</v>
      </c>
      <c r="AA323" s="386">
        <f t="shared" si="115"/>
        <v>31.261886231623183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7.9849272806398086E-2</v>
      </c>
      <c r="AD323" s="231">
        <f>(INDEX(Models!$BJ323:$BT323,,AH323)*(1-AF323)+INDEX(Models!$BJ323:$BT323,,AH323+1)*AF323-ERP_i)*AE323*Ramure*Pc/MaxiM</f>
        <v>4.1160624755284342E-4</v>
      </c>
      <c r="AE323" s="305">
        <f t="shared" si="117"/>
        <v>0.5</v>
      </c>
      <c r="AF323" s="177">
        <f t="shared" si="118"/>
        <v>0.49641350151368213</v>
      </c>
      <c r="AG323" s="811">
        <f t="shared" si="124"/>
        <v>1</v>
      </c>
      <c r="AH323" s="176">
        <f t="shared" si="119"/>
        <v>7</v>
      </c>
      <c r="AI323" s="225">
        <f t="shared" si="120"/>
        <v>1.4964135015136821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'2023'!Wh/'2023'!Env_an*'2024'!Env_an</f>
        <v>29.922739901172566</v>
      </c>
      <c r="C324" s="841"/>
      <c r="D324" s="393">
        <f t="shared" si="102"/>
        <v>31.497717897174208</v>
      </c>
      <c r="E324" s="385">
        <f t="shared" si="125"/>
        <v>32.208474425190019</v>
      </c>
      <c r="F324" s="385">
        <f t="shared" si="103"/>
        <v>32.22178862336974</v>
      </c>
      <c r="G324" s="110">
        <f t="shared" si="126"/>
        <v>0.98341188603132312</v>
      </c>
      <c r="H324" s="414" t="b">
        <f>Wh_hp&gt;='2023'!Maxi_hp</f>
        <v>0</v>
      </c>
      <c r="I324" s="390">
        <f>IF(H324,Wh_hp,'2023'!Maxi_hp)</f>
        <v>32.221934339382955</v>
      </c>
      <c r="J324" s="85">
        <f>IF(H324,An,'2023'!An_max)</f>
        <v>2022</v>
      </c>
      <c r="K324" s="197">
        <f t="shared" si="104"/>
        <v>45601</v>
      </c>
      <c r="L324" s="147">
        <f>IF(t&lt;Tvie,1-EXP((T0-t)*PertePVj)+'2023'!Pspv,1-EXP((T0-t)*PertePVj)+Pspv)</f>
        <v>5.0002924057648612E-2</v>
      </c>
      <c r="M324" s="845"/>
      <c r="N324" s="845"/>
      <c r="O324" s="48">
        <f>IF(t&lt;Tnet,'2023'!Resal+('2023'!Salim-'2023'!Resal)*(1-EXP(('2023'!Tnet-t)/('2023'!Tau_j))),Resal+(Salim-Resal)*(1-EXP((Tnet-t)/(Tau_j))))*Salcycl</f>
        <v>2.2067376387747639E-2</v>
      </c>
      <c r="P324" s="169">
        <f>(INDEX(Models!$BJ324:$BT324,,T324)*(1-R324)+INDEX(Models!$BJ324:$BT324,,T324+1)*R324-ERP_i)*Q324*Ramure*Pc/MaxiM</f>
        <v>4.2322822039326071E-4</v>
      </c>
      <c r="Q324" s="305">
        <f t="shared" si="105"/>
        <v>0.5</v>
      </c>
      <c r="R324" s="177">
        <f t="shared" si="106"/>
        <v>0.4964593388781513</v>
      </c>
      <c r="S324" s="811">
        <f t="shared" si="107"/>
        <v>1</v>
      </c>
      <c r="T324" s="176">
        <f t="shared" si="108"/>
        <v>7</v>
      </c>
      <c r="U324" s="251">
        <f t="shared" si="109"/>
        <v>1.4964593388781513</v>
      </c>
      <c r="V324" s="383">
        <f t="shared" si="110"/>
        <v>30.427169199843021</v>
      </c>
      <c r="W324" s="402">
        <f t="shared" si="111"/>
        <v>29.922739901172566</v>
      </c>
      <c r="X324" s="157">
        <f t="shared" si="112"/>
        <v>45601</v>
      </c>
      <c r="Y324" s="385">
        <f t="shared" si="113"/>
        <v>28.155540046380484</v>
      </c>
      <c r="Z324" s="385">
        <f t="shared" si="114"/>
        <v>29.637501798046635</v>
      </c>
      <c r="AA324" s="386">
        <f t="shared" si="115"/>
        <v>32.208474425190019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7.9822862554851312E-2</v>
      </c>
      <c r="AD324" s="231">
        <f>(INDEX(Models!$BJ324:$BT324,,AH324)*(1-AF324)+INDEX(Models!$BJ324:$BT324,,AH324+1)*AF324-ERP_i)*AE324*Ramure*Pc/MaxiM</f>
        <v>4.2322822039326071E-4</v>
      </c>
      <c r="AE324" s="305">
        <f t="shared" si="117"/>
        <v>0.5</v>
      </c>
      <c r="AF324" s="177">
        <f t="shared" si="118"/>
        <v>0.4964593388781513</v>
      </c>
      <c r="AG324" s="811">
        <f t="shared" si="124"/>
        <v>1</v>
      </c>
      <c r="AH324" s="176">
        <f t="shared" si="119"/>
        <v>7</v>
      </c>
      <c r="AI324" s="225">
        <f t="shared" si="120"/>
        <v>1.4964593388781513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'2023'!Wh/'2023'!Env_an*'2024'!Env_an</f>
        <v>27.651953167670051</v>
      </c>
      <c r="C325" s="841"/>
      <c r="D325" s="393">
        <f t="shared" si="102"/>
        <v>29.108046256086457</v>
      </c>
      <c r="E325" s="385">
        <f t="shared" si="125"/>
        <v>29.766912384698262</v>
      </c>
      <c r="F325" s="385">
        <f t="shared" si="103"/>
        <v>29.778352013667689</v>
      </c>
      <c r="G325" s="110">
        <f t="shared" si="126"/>
        <v>0.91723936301024334</v>
      </c>
      <c r="H325" s="414" t="b">
        <f>Wh_hp&gt;='2023'!Maxi_hp</f>
        <v>0</v>
      </c>
      <c r="I325" s="390">
        <f>IF(H325,Wh_hp,'2023'!Maxi_hp)</f>
        <v>29.779045864368641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5.0023731431715013E-2</v>
      </c>
      <c r="M325" s="845"/>
      <c r="N325" s="845"/>
      <c r="O325" s="48">
        <f>IF(t&lt;Tnet,'2023'!Resal+('2023'!Salim-'2023'!Resal)*(1-EXP(('2023'!Tnet-t)/('2023'!Tau_j))),Resal+(Salim-Resal)*(1-EXP((Tnet-t)/(Tau_j))))*Salcycl</f>
        <v>2.2134177710365927E-2</v>
      </c>
      <c r="P325" s="169">
        <f>(INDEX(Models!$BJ325:$BT325,,T325)*(1-R325)+INDEX(Models!$BJ325:$BT325,,T325+1)*R325-ERP_i)*Q325*Ramure*Pc/MaxiM</f>
        <v>4.3563470504681001E-4</v>
      </c>
      <c r="Q325" s="305">
        <f t="shared" si="105"/>
        <v>0.5</v>
      </c>
      <c r="R325" s="177">
        <f t="shared" si="106"/>
        <v>0.49650333860582241</v>
      </c>
      <c r="S325" s="811">
        <f t="shared" si="107"/>
        <v>1</v>
      </c>
      <c r="T325" s="176">
        <f t="shared" si="108"/>
        <v>7</v>
      </c>
      <c r="U325" s="251">
        <f t="shared" si="109"/>
        <v>1.4965033386058224</v>
      </c>
      <c r="V325" s="383">
        <f t="shared" si="110"/>
        <v>30.14538008121912</v>
      </c>
      <c r="W325" s="402">
        <f t="shared" si="111"/>
        <v>27.651953167670051</v>
      </c>
      <c r="X325" s="157">
        <f t="shared" si="112"/>
        <v>45602</v>
      </c>
      <c r="Y325" s="385">
        <f t="shared" si="113"/>
        <v>26.021378601278919</v>
      </c>
      <c r="Z325" s="385">
        <f t="shared" si="114"/>
        <v>27.391609098294527</v>
      </c>
      <c r="AA325" s="386">
        <f t="shared" si="115"/>
        <v>29.766912384698262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7.979676412877687E-2</v>
      </c>
      <c r="AD325" s="231">
        <f>(INDEX(Models!$BJ325:$BT325,,AH325)*(1-AF325)+INDEX(Models!$BJ325:$BT325,,AH325+1)*AF325-ERP_i)*AE325*Ramure*Pc/MaxiM</f>
        <v>4.3563470504681001E-4</v>
      </c>
      <c r="AE325" s="305">
        <f t="shared" si="117"/>
        <v>0.5</v>
      </c>
      <c r="AF325" s="177">
        <f t="shared" si="118"/>
        <v>0.49650333860582241</v>
      </c>
      <c r="AG325" s="811">
        <f t="shared" si="124"/>
        <v>1</v>
      </c>
      <c r="AH325" s="176">
        <f t="shared" si="119"/>
        <v>7</v>
      </c>
      <c r="AI325" s="225">
        <f t="shared" si="120"/>
        <v>1.4965033386058224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'2023'!Wh/'2023'!Env_an*'2024'!Env_an</f>
        <v>20.818045522993618</v>
      </c>
      <c r="C326" s="841"/>
      <c r="D326" s="393">
        <f t="shared" si="102"/>
        <v>21.914759547605822</v>
      </c>
      <c r="E326" s="385">
        <f t="shared" si="125"/>
        <v>22.412333939415795</v>
      </c>
      <c r="F326" s="385">
        <f t="shared" si="103"/>
        <v>22.418040724505712</v>
      </c>
      <c r="G326" s="110">
        <f t="shared" si="126"/>
        <v>0.69688453215199875</v>
      </c>
      <c r="H326" s="414" t="b">
        <f>Wh_hp&gt;='2023'!Maxi_hp</f>
        <v>0</v>
      </c>
      <c r="I326" s="390">
        <f>IF(H326,Wh_hp,'2023'!Maxi_hp)</f>
        <v>27.215230575971084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5.0044538350046408E-2</v>
      </c>
      <c r="M326" s="845"/>
      <c r="N326" s="845"/>
      <c r="O326" s="48">
        <f>IF(t&lt;Tnet,'2023'!Resal+('2023'!Salim-'2023'!Resal)*(1-EXP(('2023'!Tnet-t)/('2023'!Tau_j))),Resal+(Salim-Resal)*(1-EXP((Tnet-t)/(Tau_j))))*Salcycl</f>
        <v>2.2200918170994552E-2</v>
      </c>
      <c r="P326" s="169">
        <f>(INDEX(Models!$BJ326:$BT326,,T326)*(1-R326)+INDEX(Models!$BJ326:$BT326,,T326+1)*R326-ERP_i)*Q326*Ramure*Pc/MaxiM</f>
        <v>4.4882759247039735E-4</v>
      </c>
      <c r="Q326" s="305">
        <f t="shared" si="105"/>
        <v>0.5</v>
      </c>
      <c r="R326" s="177">
        <f t="shared" si="106"/>
        <v>0.49654557406318833</v>
      </c>
      <c r="S326" s="811">
        <f t="shared" si="107"/>
        <v>1</v>
      </c>
      <c r="T326" s="176">
        <f t="shared" si="108"/>
        <v>7</v>
      </c>
      <c r="U326" s="251">
        <f t="shared" si="109"/>
        <v>1.4965455740631883</v>
      </c>
      <c r="V326" s="383">
        <f t="shared" si="110"/>
        <v>29.867215164810602</v>
      </c>
      <c r="W326" s="402">
        <f t="shared" si="111"/>
        <v>20.818045522993618</v>
      </c>
      <c r="X326" s="157">
        <f t="shared" si="112"/>
        <v>45603</v>
      </c>
      <c r="Y326" s="385">
        <f t="shared" si="113"/>
        <v>19.592335813035703</v>
      </c>
      <c r="Z326" s="385">
        <f t="shared" si="114"/>
        <v>20.624478308705413</v>
      </c>
      <c r="AA326" s="386">
        <f t="shared" si="115"/>
        <v>22.412333939415795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7.9771059789812568E-2</v>
      </c>
      <c r="AD326" s="231">
        <f>(INDEX(Models!$BJ326:$BT326,,AH326)*(1-AF326)+INDEX(Models!$BJ326:$BT326,,AH326+1)*AF326-ERP_i)*AE326*Ramure*Pc/MaxiM</f>
        <v>4.4882759247039735E-4</v>
      </c>
      <c r="AE326" s="305">
        <f t="shared" si="117"/>
        <v>0.5</v>
      </c>
      <c r="AF326" s="177">
        <f t="shared" si="118"/>
        <v>0.49654557406318833</v>
      </c>
      <c r="AG326" s="811">
        <f t="shared" si="124"/>
        <v>1</v>
      </c>
      <c r="AH326" s="176">
        <f t="shared" si="119"/>
        <v>7</v>
      </c>
      <c r="AI326" s="225">
        <f t="shared" si="120"/>
        <v>1.4965455740631883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'2023'!Wh/'2023'!Env_an*'2024'!Env_an</f>
        <v>9.7340562028217672</v>
      </c>
      <c r="C327" s="841"/>
      <c r="D327" s="393">
        <f t="shared" si="102"/>
        <v>10.247079785611156</v>
      </c>
      <c r="E327" s="385">
        <f t="shared" si="125"/>
        <v>10.480454585712801</v>
      </c>
      <c r="F327" s="385">
        <f t="shared" si="103"/>
        <v>10.480655053000781</v>
      </c>
      <c r="G327" s="110">
        <f t="shared" si="126"/>
        <v>0.32878429645521989</v>
      </c>
      <c r="H327" s="414" t="b">
        <f>Wh_hp&gt;='2023'!Maxi_hp</f>
        <v>0</v>
      </c>
      <c r="I327" s="390">
        <f>IF(H327,Wh_hp,'2023'!Maxi_hp)</f>
        <v>21.819080346731017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5.0065344812653012E-2</v>
      </c>
      <c r="M327" s="845"/>
      <c r="N327" s="845"/>
      <c r="O327" s="48">
        <f>IF(t&lt;Tnet,'2023'!Resal+('2023'!Salim-'2023'!Resal)*(1-EXP(('2023'!Tnet-t)/('2023'!Tau_j))),Resal+(Salim-Resal)*(1-EXP((Tnet-t)/(Tau_j))))*Salcycl</f>
        <v>2.2267621904472311E-2</v>
      </c>
      <c r="P327" s="169">
        <f>(INDEX(Models!$BJ327:$BT327,,T327)*(1-R327)+INDEX(Models!$BJ327:$BT327,,T327+1)*R327-ERP_i)*Q327*Ramure*Pc/MaxiM</f>
        <v>4.6280826009756793E-4</v>
      </c>
      <c r="Q327" s="305">
        <f t="shared" si="105"/>
        <v>0.5</v>
      </c>
      <c r="R327" s="177">
        <f t="shared" si="106"/>
        <v>0.496586115711658</v>
      </c>
      <c r="S327" s="811">
        <f t="shared" si="107"/>
        <v>1</v>
      </c>
      <c r="T327" s="176">
        <f t="shared" si="108"/>
        <v>7</v>
      </c>
      <c r="U327" s="251">
        <f t="shared" si="109"/>
        <v>1.496586115711658</v>
      </c>
      <c r="V327" s="383">
        <f t="shared" si="110"/>
        <v>29.593071841690207</v>
      </c>
      <c r="W327" s="402">
        <f t="shared" si="111"/>
        <v>9.7340562028217672</v>
      </c>
      <c r="X327" s="157">
        <f t="shared" si="112"/>
        <v>45604</v>
      </c>
      <c r="Y327" s="385">
        <f t="shared" si="113"/>
        <v>9.1618176977297416</v>
      </c>
      <c r="Z327" s="385">
        <f t="shared" si="114"/>
        <v>9.6446820291263506</v>
      </c>
      <c r="AA327" s="386">
        <f t="shared" si="115"/>
        <v>10.480454585712801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7.9745830655646929E-2</v>
      </c>
      <c r="AD327" s="231">
        <f>(INDEX(Models!$BJ327:$BT327,,AH327)*(1-AF327)+INDEX(Models!$BJ327:$BT327,,AH327+1)*AF327-ERP_i)*AE327*Ramure*Pc/MaxiM</f>
        <v>4.6280826009756793E-4</v>
      </c>
      <c r="AE327" s="305">
        <f t="shared" si="117"/>
        <v>0.5</v>
      </c>
      <c r="AF327" s="177">
        <f t="shared" si="118"/>
        <v>0.496586115711658</v>
      </c>
      <c r="AG327" s="811">
        <f t="shared" si="124"/>
        <v>1</v>
      </c>
      <c r="AH327" s="176">
        <f t="shared" si="119"/>
        <v>7</v>
      </c>
      <c r="AI327" s="225">
        <f t="shared" si="120"/>
        <v>1.496586115711658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'2023'!Wh/'2023'!Env_an*'2024'!Env_an</f>
        <v>20.213682863457024</v>
      </c>
      <c r="C328" s="841"/>
      <c r="D328" s="393">
        <f t="shared" si="102"/>
        <v>21.279490641068676</v>
      </c>
      <c r="E328" s="385">
        <f t="shared" si="125"/>
        <v>21.765610598961626</v>
      </c>
      <c r="F328" s="385">
        <f t="shared" si="103"/>
        <v>21.771393666522801</v>
      </c>
      <c r="G328" s="110">
        <f t="shared" si="126"/>
        <v>0.68919135209928006</v>
      </c>
      <c r="H328" s="414" t="b">
        <f>Wh_hp&gt;='2023'!Maxi_hp</f>
        <v>0</v>
      </c>
      <c r="I328" s="390">
        <f>IF(H328,Wh_hp,'2023'!Maxi_hp)</f>
        <v>21.789231727925742</v>
      </c>
      <c r="J328" s="85">
        <f>IF(H328,An,'2023'!An_max)</f>
        <v>2018</v>
      </c>
      <c r="K328" s="197">
        <f t="shared" si="104"/>
        <v>45605</v>
      </c>
      <c r="L328" s="147">
        <f>IF(t&lt;Tvie,1-EXP((T0-t)*PertePVj)+'2023'!Pspv,1-EXP((T0-t)*PertePVj)+Pspv)</f>
        <v>5.0086150819544595E-2</v>
      </c>
      <c r="M328" s="845"/>
      <c r="N328" s="845"/>
      <c r="O328" s="48">
        <f>IF(t&lt;Tnet,'2023'!Resal+('2023'!Salim-'2023'!Resal)*(1-EXP(('2023'!Tnet-t)/('2023'!Tau_j))),Resal+(Salim-Resal)*(1-EXP((Tnet-t)/(Tau_j))))*Salcycl</f>
        <v>2.2334312914526741E-2</v>
      </c>
      <c r="P328" s="169">
        <f>(INDEX(Models!$BJ328:$BT328,,T328)*(1-R328)+INDEX(Models!$BJ328:$BT328,,T328+1)*R328-ERP_i)*Q328*Ramure*Pc/MaxiM</f>
        <v>4.7757748423227973E-4</v>
      </c>
      <c r="Q328" s="305">
        <f t="shared" si="105"/>
        <v>0.5</v>
      </c>
      <c r="R328" s="177">
        <f t="shared" si="106"/>
        <v>0.49662503122069301</v>
      </c>
      <c r="S328" s="811">
        <f t="shared" si="107"/>
        <v>1</v>
      </c>
      <c r="T328" s="176">
        <f t="shared" si="108"/>
        <v>7</v>
      </c>
      <c r="U328" s="251">
        <f t="shared" si="109"/>
        <v>1.496625031220693</v>
      </c>
      <c r="V328" s="383">
        <f t="shared" si="110"/>
        <v>29.323347371450669</v>
      </c>
      <c r="W328" s="402">
        <f t="shared" si="111"/>
        <v>20.213682863457024</v>
      </c>
      <c r="X328" s="157">
        <f t="shared" si="112"/>
        <v>45605</v>
      </c>
      <c r="Y328" s="385">
        <f t="shared" si="113"/>
        <v>19.027183768177125</v>
      </c>
      <c r="Z328" s="385">
        <f t="shared" si="114"/>
        <v>20.030430953915406</v>
      </c>
      <c r="AA328" s="386">
        <f t="shared" si="115"/>
        <v>21.765610598961626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7.9721156323958056E-2</v>
      </c>
      <c r="AD328" s="231">
        <f>(INDEX(Models!$BJ328:$BT328,,AH328)*(1-AF328)+INDEX(Models!$BJ328:$BT328,,AH328+1)*AF328-ERP_i)*AE328*Ramure*Pc/MaxiM</f>
        <v>4.7757748423227973E-4</v>
      </c>
      <c r="AE328" s="305">
        <f t="shared" si="117"/>
        <v>0.5</v>
      </c>
      <c r="AF328" s="177">
        <f t="shared" si="118"/>
        <v>0.49662503122069301</v>
      </c>
      <c r="AG328" s="811">
        <f t="shared" si="124"/>
        <v>1</v>
      </c>
      <c r="AH328" s="176">
        <f t="shared" si="119"/>
        <v>7</v>
      </c>
      <c r="AI328" s="225">
        <f t="shared" si="120"/>
        <v>1.496625031220693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'2023'!Wh/'2023'!Env_an*'2024'!Env_an</f>
        <v>27.375589432297321</v>
      </c>
      <c r="C329" s="841"/>
      <c r="D329" s="393">
        <f t="shared" si="102"/>
        <v>28.819654608378912</v>
      </c>
      <c r="E329" s="385">
        <f t="shared" si="125"/>
        <v>29.480037366500003</v>
      </c>
      <c r="F329" s="385">
        <f t="shared" si="103"/>
        <v>29.493378316776944</v>
      </c>
      <c r="G329" s="110">
        <f t="shared" si="126"/>
        <v>0.94204895744168116</v>
      </c>
      <c r="H329" s="414" t="b">
        <f>Wh_hp&gt;='2023'!Maxi_hp</f>
        <v>0</v>
      </c>
      <c r="I329" s="390">
        <f>IF(H329,Wh_hp,'2023'!Maxi_hp)</f>
        <v>29.49392290371604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5.010695637073137E-2</v>
      </c>
      <c r="M329" s="845"/>
      <c r="N329" s="845"/>
      <c r="O329" s="48">
        <f>IF(t&lt;Tnet,'2023'!Resal+('2023'!Salim-'2023'!Resal)*(1-EXP(('2023'!Tnet-t)/('2023'!Tau_j))),Resal+(Salim-Resal)*(1-EXP((Tnet-t)/(Tau_j))))*Salcycl</f>
        <v>2.2401014961789881E-2</v>
      </c>
      <c r="P329" s="169">
        <f>(INDEX(Models!$BJ329:$BT329,,T329)*(1-R329)+INDEX(Models!$BJ329:$BT329,,T329+1)*R329-ERP_i)*Q329*Ramure*Pc/MaxiM</f>
        <v>4.9313534274479643E-4</v>
      </c>
      <c r="Q329" s="305">
        <f t="shared" si="105"/>
        <v>0.5</v>
      </c>
      <c r="R329" s="177">
        <f t="shared" si="106"/>
        <v>0.49666238557669029</v>
      </c>
      <c r="S329" s="811">
        <f t="shared" si="107"/>
        <v>1</v>
      </c>
      <c r="T329" s="176">
        <f t="shared" si="108"/>
        <v>7</v>
      </c>
      <c r="U329" s="251">
        <f t="shared" si="109"/>
        <v>1.4966623855766903</v>
      </c>
      <c r="V329" s="383">
        <f t="shared" si="110"/>
        <v>29.058438880126044</v>
      </c>
      <c r="W329" s="402">
        <f t="shared" si="111"/>
        <v>27.375589432297321</v>
      </c>
      <c r="X329" s="157">
        <f t="shared" si="112"/>
        <v>45606</v>
      </c>
      <c r="Y329" s="385">
        <f t="shared" si="113"/>
        <v>25.771133493692208</v>
      </c>
      <c r="Z329" s="385">
        <f t="shared" si="114"/>
        <v>27.130563452942138</v>
      </c>
      <c r="AA329" s="386">
        <f t="shared" si="115"/>
        <v>29.480037366500003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7.9697114503244168E-2</v>
      </c>
      <c r="AD329" s="231">
        <f>(INDEX(Models!$BJ329:$BT329,,AH329)*(1-AF329)+INDEX(Models!$BJ329:$BT329,,AH329+1)*AF329-ERP_i)*AE329*Ramure*Pc/MaxiM</f>
        <v>4.9313534274479643E-4</v>
      </c>
      <c r="AE329" s="305">
        <f t="shared" si="117"/>
        <v>0.5</v>
      </c>
      <c r="AF329" s="177">
        <f t="shared" si="118"/>
        <v>0.49666238557669029</v>
      </c>
      <c r="AG329" s="811">
        <f t="shared" si="124"/>
        <v>1</v>
      </c>
      <c r="AH329" s="176">
        <f t="shared" si="119"/>
        <v>7</v>
      </c>
      <c r="AI329" s="225">
        <f t="shared" si="120"/>
        <v>1.4966623855766903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'2023'!Wh/'2023'!Env_an*'2024'!Env_an</f>
        <v>27.420032676048084</v>
      </c>
      <c r="C330" s="841"/>
      <c r="D330" s="393">
        <f t="shared" si="102"/>
        <v>28.867074500854613</v>
      </c>
      <c r="E330" s="385">
        <f t="shared" si="125"/>
        <v>29.530559778204488</v>
      </c>
      <c r="F330" s="385">
        <f t="shared" si="103"/>
        <v>29.544582729588651</v>
      </c>
      <c r="G330" s="110">
        <f t="shared" si="126"/>
        <v>0.95209282041866772</v>
      </c>
      <c r="H330" s="414" t="b">
        <f>Wh_hp&gt;='2023'!Maxi_hp</f>
        <v>0</v>
      </c>
      <c r="I330" s="390">
        <f>IF(H330,Wh_hp,'2023'!Maxi_hp)</f>
        <v>29.545047326085392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5.0127761466222998E-2</v>
      </c>
      <c r="M330" s="845"/>
      <c r="N330" s="845"/>
      <c r="O330" s="48">
        <f>IF(t&lt;Tnet,'2023'!Resal+('2023'!Salim-'2023'!Resal)*(1-EXP(('2023'!Tnet-t)/('2023'!Tau_j))),Resal+(Salim-Resal)*(1-EXP((Tnet-t)/(Tau_j))))*Salcycl</f>
        <v>2.2467751452499379E-2</v>
      </c>
      <c r="P330" s="169">
        <f>(INDEX(Models!$BJ330:$BT330,,T330)*(1-R330)+INDEX(Models!$BJ330:$BT330,,T330+1)*R330-ERP_i)*Q330*Ramure*Pc/MaxiM</f>
        <v>5.0948110722018954E-4</v>
      </c>
      <c r="Q330" s="305">
        <f t="shared" si="105"/>
        <v>0.5</v>
      </c>
      <c r="R330" s="177">
        <f t="shared" si="106"/>
        <v>0.49669824118775341</v>
      </c>
      <c r="S330" s="811">
        <f t="shared" si="107"/>
        <v>1</v>
      </c>
      <c r="T330" s="176">
        <f t="shared" si="108"/>
        <v>7</v>
      </c>
      <c r="U330" s="251">
        <f t="shared" si="109"/>
        <v>1.4966982411877534</v>
      </c>
      <c r="V330" s="383">
        <f t="shared" si="110"/>
        <v>28.798743365231505</v>
      </c>
      <c r="W330" s="402">
        <f t="shared" si="111"/>
        <v>27.420032676048084</v>
      </c>
      <c r="X330" s="157">
        <f t="shared" si="112"/>
        <v>45607</v>
      </c>
      <c r="Y330" s="385">
        <f t="shared" si="113"/>
        <v>25.815388745088207</v>
      </c>
      <c r="Z330" s="385">
        <f t="shared" si="114"/>
        <v>27.177748435870541</v>
      </c>
      <c r="AA330" s="386">
        <f t="shared" si="115"/>
        <v>29.530559778204488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7.9673780653168533E-2</v>
      </c>
      <c r="AD330" s="231">
        <f>(INDEX(Models!$BJ330:$BT330,,AH330)*(1-AF330)+INDEX(Models!$BJ330:$BT330,,AH330+1)*AF330-ERP_i)*AE330*Ramure*Pc/MaxiM</f>
        <v>5.0948110722018954E-4</v>
      </c>
      <c r="AE330" s="305">
        <f t="shared" si="117"/>
        <v>0.5</v>
      </c>
      <c r="AF330" s="177">
        <f t="shared" si="118"/>
        <v>0.49669824118775341</v>
      </c>
      <c r="AG330" s="811">
        <f t="shared" si="124"/>
        <v>1</v>
      </c>
      <c r="AH330" s="176">
        <f t="shared" si="119"/>
        <v>7</v>
      </c>
      <c r="AI330" s="225">
        <f t="shared" si="120"/>
        <v>1.4966982411877534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'2023'!Wh/'2023'!Env_an*'2024'!Env_an</f>
        <v>26.485662801144272</v>
      </c>
      <c r="C331" s="841"/>
      <c r="D331" s="393">
        <f t="shared" si="102"/>
        <v>27.884005704518216</v>
      </c>
      <c r="E331" s="385">
        <f t="shared" si="125"/>
        <v>28.526845190548951</v>
      </c>
      <c r="F331" s="385">
        <f t="shared" si="103"/>
        <v>28.540327564538135</v>
      </c>
      <c r="G331" s="110">
        <f t="shared" si="126"/>
        <v>0.92785666418347179</v>
      </c>
      <c r="H331" s="414" t="b">
        <f>Wh_hp&gt;='2023'!Maxi_hp</f>
        <v>0</v>
      </c>
      <c r="I331" s="390">
        <f>IF(H331,Wh_hp,'2023'!Maxi_hp)</f>
        <v>29.179515996539571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5.0148566106029802E-2</v>
      </c>
      <c r="M331" s="845"/>
      <c r="N331" s="845"/>
      <c r="O331" s="48">
        <f>IF(t&lt;Tnet,'2023'!Resal+('2023'!Salim-'2023'!Resal)*(1-EXP(('2023'!Tnet-t)/('2023'!Tau_j))),Resal+(Salim-Resal)*(1-EXP((Tnet-t)/(Tau_j))))*Salcycl</f>
        <v>2.253454532868248E-2</v>
      </c>
      <c r="P331" s="169">
        <f>(INDEX(Models!$BJ331:$BT331,,T331)*(1-R331)+INDEX(Models!$BJ331:$BT331,,T331+1)*R331-ERP_i)*Q331*Ramure*Pc/MaxiM</f>
        <v>5.2663548760771279E-4</v>
      </c>
      <c r="Q331" s="305">
        <f t="shared" si="105"/>
        <v>0.5</v>
      </c>
      <c r="R331" s="177">
        <f t="shared" si="106"/>
        <v>0.49673265798450417</v>
      </c>
      <c r="S331" s="811">
        <f t="shared" si="107"/>
        <v>1</v>
      </c>
      <c r="T331" s="176">
        <f t="shared" si="108"/>
        <v>7</v>
      </c>
      <c r="U331" s="251">
        <f t="shared" si="109"/>
        <v>1.4967326579845042</v>
      </c>
      <c r="V331" s="383">
        <f t="shared" si="110"/>
        <v>28.543444920398166</v>
      </c>
      <c r="W331" s="402">
        <f t="shared" si="111"/>
        <v>26.485662801144272</v>
      </c>
      <c r="X331" s="157">
        <f t="shared" si="112"/>
        <v>45608</v>
      </c>
      <c r="Y331" s="385">
        <f t="shared" si="113"/>
        <v>24.938014052323428</v>
      </c>
      <c r="Z331" s="385">
        <f t="shared" si="114"/>
        <v>26.254646950511635</v>
      </c>
      <c r="AA331" s="386">
        <f t="shared" si="115"/>
        <v>28.526845190548951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7.9651227636980529E-2</v>
      </c>
      <c r="AD331" s="231">
        <f>(INDEX(Models!$BJ331:$BT331,,AH331)*(1-AF331)+INDEX(Models!$BJ331:$BT331,,AH331+1)*AF331-ERP_i)*AE331*Ramure*Pc/MaxiM</f>
        <v>5.2663548760771279E-4</v>
      </c>
      <c r="AE331" s="305">
        <f t="shared" si="117"/>
        <v>0.5</v>
      </c>
      <c r="AF331" s="177">
        <f t="shared" si="118"/>
        <v>0.49673265798450417</v>
      </c>
      <c r="AG331" s="811">
        <f t="shared" si="124"/>
        <v>1</v>
      </c>
      <c r="AH331" s="176">
        <f t="shared" si="119"/>
        <v>7</v>
      </c>
      <c r="AI331" s="225">
        <f t="shared" si="120"/>
        <v>1.4967326579845042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'2023'!Wh/'2023'!Env_an*'2024'!Env_an</f>
        <v>9.3256972124042701</v>
      </c>
      <c r="C332" s="841"/>
      <c r="D332" s="393">
        <f t="shared" si="102"/>
        <v>9.8182738276751031</v>
      </c>
      <c r="E332" s="385">
        <f t="shared" si="125"/>
        <v>10.045312135847542</v>
      </c>
      <c r="F332" s="385">
        <f t="shared" si="103"/>
        <v>10.04554356475192</v>
      </c>
      <c r="G332" s="110">
        <f t="shared" si="126"/>
        <v>0.32945667435371773</v>
      </c>
      <c r="H332" s="414" t="b">
        <f>Wh_hp&gt;='2023'!Maxi_hp</f>
        <v>0</v>
      </c>
      <c r="I332" s="390">
        <f>IF(H332,Wh_hp,'2023'!Maxi_hp)</f>
        <v>19.900379192311398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5.0169370290161441E-2</v>
      </c>
      <c r="M332" s="845"/>
      <c r="N332" s="845"/>
      <c r="O332" s="48">
        <f>IF(t&lt;Tnet,'2023'!Resal+('2023'!Salim-'2023'!Resal)*(1-EXP(('2023'!Tnet-t)/('2023'!Tau_j))),Resal+(Salim-Resal)*(1-EXP((Tnet-t)/(Tau_j))))*Salcycl</f>
        <v>2.2601418960614864E-2</v>
      </c>
      <c r="P332" s="169">
        <f>(INDEX(Models!$BJ332:$BT332,,T332)*(1-R332)+INDEX(Models!$BJ332:$BT332,,T332+1)*R332-ERP_i)*Q332*Ramure*Pc/MaxiM</f>
        <v>5.4429275221141245E-4</v>
      </c>
      <c r="Q332" s="305">
        <f t="shared" si="105"/>
        <v>0.5</v>
      </c>
      <c r="R332" s="177">
        <f t="shared" si="106"/>
        <v>0.4967656935170659</v>
      </c>
      <c r="S332" s="811">
        <f t="shared" si="107"/>
        <v>1</v>
      </c>
      <c r="T332" s="176">
        <f t="shared" si="108"/>
        <v>7</v>
      </c>
      <c r="U332" s="251">
        <f t="shared" si="109"/>
        <v>1.4967656935170659</v>
      </c>
      <c r="V332" s="383">
        <f t="shared" si="110"/>
        <v>28.291538043363591</v>
      </c>
      <c r="W332" s="402">
        <f t="shared" si="111"/>
        <v>9.3256972124042701</v>
      </c>
      <c r="X332" s="157">
        <f t="shared" si="112"/>
        <v>45609</v>
      </c>
      <c r="Y332" s="385">
        <f t="shared" si="113"/>
        <v>8.7815723656323534</v>
      </c>
      <c r="Z332" s="385">
        <f t="shared" si="114"/>
        <v>9.2454086980907473</v>
      </c>
      <c r="AA332" s="386">
        <f t="shared" si="115"/>
        <v>10.045312135847542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7.9629525388491496E-2</v>
      </c>
      <c r="AD332" s="231">
        <f>(INDEX(Models!$BJ332:$BT332,,AH332)*(1-AF332)+INDEX(Models!$BJ332:$BT332,,AH332+1)*AF332-ERP_i)*AE332*Ramure*Pc/MaxiM</f>
        <v>5.4429275221141245E-4</v>
      </c>
      <c r="AE332" s="305">
        <f t="shared" si="117"/>
        <v>0.5</v>
      </c>
      <c r="AF332" s="177">
        <f t="shared" si="118"/>
        <v>0.4967656935170659</v>
      </c>
      <c r="AG332" s="811">
        <f t="shared" si="124"/>
        <v>1</v>
      </c>
      <c r="AH332" s="176">
        <f t="shared" si="119"/>
        <v>7</v>
      </c>
      <c r="AI332" s="225">
        <f t="shared" si="120"/>
        <v>1.4967656935170659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'2023'!Wh/'2023'!Env_an*'2024'!Env_an</f>
        <v>12.126089331691702</v>
      </c>
      <c r="C333" s="841"/>
      <c r="D333" s="393">
        <f t="shared" si="102"/>
        <v>12.766860270331131</v>
      </c>
      <c r="E333" s="385">
        <f t="shared" si="125"/>
        <v>13.062976979876925</v>
      </c>
      <c r="F333" s="385">
        <f t="shared" si="103"/>
        <v>13.064365630738228</v>
      </c>
      <c r="G333" s="110">
        <f t="shared" si="126"/>
        <v>0.43221142472453561</v>
      </c>
      <c r="H333" s="414" t="b">
        <f>Wh_hp&gt;='2023'!Maxi_hp</f>
        <v>0</v>
      </c>
      <c r="I333" s="390">
        <f>IF(H333,Wh_hp,'2023'!Maxi_hp)</f>
        <v>27.219183293094108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5.0190174018628131E-2</v>
      </c>
      <c r="M333" s="845"/>
      <c r="N333" s="845"/>
      <c r="O333" s="48">
        <f>IF(t&lt;Tnet,'2023'!Resal+('2023'!Salim-'2023'!Resal)*(1-EXP(('2023'!Tnet-t)/('2023'!Tau_j))),Resal+(Salim-Resal)*(1-EXP((Tnet-t)/(Tau_j))))*Salcycl</f>
        <v>2.2668394042334426E-2</v>
      </c>
      <c r="P333" s="169">
        <f>(INDEX(Models!$BJ333:$BT333,,T333)*(1-R333)+INDEX(Models!$BJ333:$BT333,,T333+1)*R333-ERP_i)*Q333*Ramure*Pc/MaxiM</f>
        <v>5.6193620653580416E-4</v>
      </c>
      <c r="Q333" s="305">
        <f t="shared" si="105"/>
        <v>0.5</v>
      </c>
      <c r="R333" s="177">
        <f t="shared" si="106"/>
        <v>0.49679740304836084</v>
      </c>
      <c r="S333" s="811">
        <f t="shared" si="107"/>
        <v>1</v>
      </c>
      <c r="T333" s="176">
        <f t="shared" si="108"/>
        <v>7</v>
      </c>
      <c r="U333" s="251">
        <f t="shared" si="109"/>
        <v>1.4967974030483608</v>
      </c>
      <c r="V333" s="383">
        <f t="shared" si="110"/>
        <v>28.04313556049339</v>
      </c>
      <c r="W333" s="402">
        <f t="shared" si="111"/>
        <v>12.126089331691702</v>
      </c>
      <c r="X333" s="157">
        <f t="shared" si="112"/>
        <v>45610</v>
      </c>
      <c r="Y333" s="385">
        <f t="shared" si="113"/>
        <v>11.419610870667814</v>
      </c>
      <c r="Z333" s="385">
        <f t="shared" si="114"/>
        <v>12.023049834074659</v>
      </c>
      <c r="AA333" s="386">
        <f t="shared" si="115"/>
        <v>13.062976979876925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7.9608740595978861E-2</v>
      </c>
      <c r="AD333" s="231">
        <f>(INDEX(Models!$BJ333:$BT333,,AH333)*(1-AF333)+INDEX(Models!$BJ333:$BT333,,AH333+1)*AF333-ERP_i)*AE333*Ramure*Pc/MaxiM</f>
        <v>5.6193620653580416E-4</v>
      </c>
      <c r="AE333" s="305">
        <f t="shared" si="117"/>
        <v>0.5</v>
      </c>
      <c r="AF333" s="177">
        <f t="shared" si="118"/>
        <v>0.49679740304836084</v>
      </c>
      <c r="AG333" s="811">
        <f t="shared" si="124"/>
        <v>1</v>
      </c>
      <c r="AH333" s="176">
        <f t="shared" si="119"/>
        <v>7</v>
      </c>
      <c r="AI333" s="225">
        <f t="shared" si="120"/>
        <v>1.4967974030483608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'2023'!Wh/'2023'!Env_an*'2024'!Env_an</f>
        <v>26.920493860999493</v>
      </c>
      <c r="C334" s="841"/>
      <c r="D334" s="393">
        <f t="shared" si="102"/>
        <v>28.343656556725612</v>
      </c>
      <c r="E334" s="385">
        <f t="shared" si="125"/>
        <v>29.003055273099317</v>
      </c>
      <c r="F334" s="385">
        <f t="shared" si="103"/>
        <v>29.019115143509307</v>
      </c>
      <c r="G334" s="110">
        <f t="shared" si="126"/>
        <v>0.96839574431627029</v>
      </c>
      <c r="H334" s="414" t="b">
        <f>Wh_hp&gt;='2023'!Maxi_hp</f>
        <v>0</v>
      </c>
      <c r="I334" s="390">
        <f>IF(H334,Wh_hp,'2023'!Maxi_hp)</f>
        <v>29.019449729492948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5.0210977291439862E-2</v>
      </c>
      <c r="M334" s="845"/>
      <c r="N334" s="845"/>
      <c r="O334" s="48">
        <f>IF(t&lt;Tnet,'2023'!Resal+('2023'!Salim-'2023'!Resal)*(1-EXP(('2023'!Tnet-t)/('2023'!Tau_j))),Resal+(Salim-Resal)*(1-EXP((Tnet-t)/(Tau_j))))*Salcycl</f>
        <v>2.2735491490970709E-2</v>
      </c>
      <c r="P334" s="169">
        <f>(INDEX(Models!$BJ334:$BT334,,T334)*(1-R334)+INDEX(Models!$BJ334:$BT334,,T334+1)*R334-ERP_i)*Q334*Ramure*Pc/MaxiM</f>
        <v>5.7956983550290454E-4</v>
      </c>
      <c r="Q334" s="305">
        <f t="shared" si="105"/>
        <v>0.5</v>
      </c>
      <c r="R334" s="177">
        <f t="shared" si="106"/>
        <v>0.49682783964385058</v>
      </c>
      <c r="S334" s="811">
        <f t="shared" si="107"/>
        <v>1</v>
      </c>
      <c r="T334" s="176">
        <f t="shared" si="108"/>
        <v>7</v>
      </c>
      <c r="U334" s="251">
        <f t="shared" si="109"/>
        <v>1.4968278396438506</v>
      </c>
      <c r="V334" s="383">
        <f t="shared" si="110"/>
        <v>27.798335304951681</v>
      </c>
      <c r="W334" s="402">
        <f t="shared" si="111"/>
        <v>26.920493860999493</v>
      </c>
      <c r="X334" s="157">
        <f t="shared" si="112"/>
        <v>45611</v>
      </c>
      <c r="Y334" s="385">
        <f t="shared" si="113"/>
        <v>25.354364321385848</v>
      </c>
      <c r="Z334" s="385">
        <f t="shared" si="114"/>
        <v>26.694732951410156</v>
      </c>
      <c r="AA334" s="386">
        <f t="shared" si="115"/>
        <v>29.003055273099317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7.9588936405267596E-2</v>
      </c>
      <c r="AD334" s="231">
        <f>(INDEX(Models!$BJ334:$BT334,,AH334)*(1-AF334)+INDEX(Models!$BJ334:$BT334,,AH334+1)*AF334-ERP_i)*AE334*Ramure*Pc/MaxiM</f>
        <v>5.7956983550290454E-4</v>
      </c>
      <c r="AE334" s="305">
        <f t="shared" si="117"/>
        <v>0.5</v>
      </c>
      <c r="AF334" s="177">
        <f t="shared" si="118"/>
        <v>0.49682783964385058</v>
      </c>
      <c r="AG334" s="811">
        <f t="shared" si="124"/>
        <v>1</v>
      </c>
      <c r="AH334" s="176">
        <f t="shared" si="119"/>
        <v>7</v>
      </c>
      <c r="AI334" s="225">
        <f t="shared" si="120"/>
        <v>1.4968278396438506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'2023'!Wh/'2023'!Env_an*'2024'!Env_an</f>
        <v>12.600396245403765</v>
      </c>
      <c r="C335" s="841"/>
      <c r="D335" s="393">
        <f t="shared" ref="D335:D380" si="127">Wh/(1-Ppv)</f>
        <v>13.2668118194612</v>
      </c>
      <c r="E335" s="385">
        <f t="shared" si="125"/>
        <v>13.576390607188058</v>
      </c>
      <c r="F335" s="385">
        <f t="shared" ref="F335:F380" si="128">Wh_sa/(1-Pvg*MEDIAN((-Sdif+Wh/Env_an)/Csdif,0,1))</f>
        <v>13.578212145634934</v>
      </c>
      <c r="G335" s="110">
        <f t="shared" si="126"/>
        <v>0.45703282091909159</v>
      </c>
      <c r="H335" s="414" t="b">
        <f>Wh_hp&gt;='2023'!Maxi_hp</f>
        <v>0</v>
      </c>
      <c r="I335" s="390">
        <f>IF(H335,Wh_hp,'2023'!Maxi_hp)</f>
        <v>28.670073792979203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5.0231780108606405E-2</v>
      </c>
      <c r="M335" s="845"/>
      <c r="N335" s="845"/>
      <c r="O335" s="48">
        <f>IF(t&lt;Tnet,'2023'!Resal+('2023'!Salim-'2023'!Resal)*(1-EXP(('2023'!Tnet-t)/('2023'!Tau_j))),Resal+(Salim-Resal)*(1-EXP((Tnet-t)/(Tau_j))))*Salcycl</f>
        <v>2.2802731350625063E-2</v>
      </c>
      <c r="P335" s="169">
        <f>(INDEX(Models!$BJ335:$BT335,,T335)*(1-R335)+INDEX(Models!$BJ335:$BT335,,T335+1)*R335-ERP_i)*Q335*Ramure*Pc/MaxiM</f>
        <v>5.9719769439500129E-4</v>
      </c>
      <c r="Q335" s="305">
        <f t="shared" ref="Q335:Q380" si="130">IF(OR(t&lt;Ttai,Notai),Dd+PousD*Croivg,Dens+PousD*(Croivg-Croi_tai))</f>
        <v>0.5</v>
      </c>
      <c r="R335" s="177">
        <f t="shared" ref="R335:R379" si="131">(Hp_vg-S335)/(INDEX(Echel_vg,T335+1)-S335)</f>
        <v>0.49685705425784477</v>
      </c>
      <c r="S335" s="811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1.4968570542578448</v>
      </c>
      <c r="V335" s="383">
        <f t="shared" ref="V335:V380" si="135">MaxiM*(1-Ppv)*(1-Pvg)*(1-Psa)</f>
        <v>27.557235107491348</v>
      </c>
      <c r="W335" s="402">
        <f t="shared" ref="W335:W380" si="136">Wh*(A335&gt;Tmaj)</f>
        <v>12.600396245403765</v>
      </c>
      <c r="X335" s="157">
        <f t="shared" ref="X335:X380" si="137">t</f>
        <v>45612</v>
      </c>
      <c r="Y335" s="385">
        <f t="shared" ref="Y335:Y380" si="138">Wh_pvt_s*(1-Ppv)</f>
        <v>11.868412775143124</v>
      </c>
      <c r="Z335" s="385">
        <f t="shared" ref="Z335:Z380" si="139">Wh_sa_s*(1-Psa_s)</f>
        <v>12.496114869478664</v>
      </c>
      <c r="AA335" s="386">
        <f t="shared" ref="AA335:AA380" si="140">Wh_hp*(1-Pvg_s*MEDIAN((-Sdif+Wh/Env_an)/Csdif,0,1))</f>
        <v>13.576390607188058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7.9570172144092594E-2</v>
      </c>
      <c r="AD335" s="231">
        <f>(INDEX(Models!$BJ335:$BT335,,AH335)*(1-AF335)+INDEX(Models!$BJ335:$BT335,,AH335+1)*AF335-ERP_i)*AE335*Ramure*Pc/MaxiM</f>
        <v>5.9719769439500129E-4</v>
      </c>
      <c r="AE335" s="305">
        <f t="shared" ref="AE335:AE380" si="142">IF(OR(t&lt;Ttai,Notai),Dd_s+PousD*Croivg,Dens_s+PousD*(Croivg-Croi_tai))</f>
        <v>0.5</v>
      </c>
      <c r="AF335" s="177">
        <f t="shared" ref="AF335:AF379" si="143">(Hp_vg_s-AG335)/(INDEX(Echel_vg,AH335+1)-AG335)</f>
        <v>0.49685705425784477</v>
      </c>
      <c r="AG335" s="811">
        <f t="shared" si="124"/>
        <v>1</v>
      </c>
      <c r="AH335" s="176">
        <f t="shared" ref="AH335:AH380" si="144">MIN(MATCH(Hp_vg_s,Echel_vg),10)</f>
        <v>7</v>
      </c>
      <c r="AI335" s="225">
        <f t="shared" ref="AI335:AI380" si="145">IF(OR(t&lt;Ttai,Notai),Hdd_s+PousH*Croivg,Hdtai_s+PousH*(Croivg-Croi_tai))</f>
        <v>1.4968570542578448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'2023'!Wh/'2023'!Env_an*'2024'!Env_an</f>
        <v>14.955561828657077</v>
      </c>
      <c r="C336" s="841"/>
      <c r="D336" s="393">
        <f t="shared" si="127"/>
        <v>15.746883384588768</v>
      </c>
      <c r="E336" s="385">
        <f t="shared" si="125"/>
        <v>16.115445767843237</v>
      </c>
      <c r="F336" s="385">
        <f t="shared" si="128"/>
        <v>16.118948682661745</v>
      </c>
      <c r="G336" s="110">
        <f t="shared" si="126"/>
        <v>0.5472054304484909</v>
      </c>
      <c r="H336" s="414" t="b">
        <f>Wh_hp&gt;='2023'!Maxi_hp</f>
        <v>0</v>
      </c>
      <c r="I336" s="390">
        <f>IF(H336,Wh_hp,'2023'!Maxi_hp)</f>
        <v>27.452705708144066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5.0252582470137974E-2</v>
      </c>
      <c r="M336" s="845"/>
      <c r="N336" s="845"/>
      <c r="O336" s="48">
        <f>IF(t&lt;Tnet,'2023'!Resal+('2023'!Salim-'2023'!Resal)*(1-EXP(('2023'!Tnet-t)/('2023'!Tau_j))),Resal+(Salim-Resal)*(1-EXP((Tnet-t)/(Tau_j))))*Salcycl</f>
        <v>2.2870132701504245E-2</v>
      </c>
      <c r="P336" s="169">
        <f>(INDEX(Models!$BJ336:$BT336,,T336)*(1-R336)+INDEX(Models!$BJ336:$BT336,,T336+1)*R336-ERP_i)*Q336*Ramure*Pc/MaxiM</f>
        <v>6.1482382845756331E-4</v>
      </c>
      <c r="Q336" s="305">
        <f t="shared" si="130"/>
        <v>0.5</v>
      </c>
      <c r="R336" s="177">
        <f t="shared" si="131"/>
        <v>0.49688509581650808</v>
      </c>
      <c r="S336" s="811">
        <f t="shared" si="132"/>
        <v>1</v>
      </c>
      <c r="T336" s="176">
        <f t="shared" si="133"/>
        <v>7</v>
      </c>
      <c r="U336" s="251">
        <f t="shared" si="134"/>
        <v>1.4968850958165081</v>
      </c>
      <c r="V336" s="383">
        <f t="shared" si="135"/>
        <v>27.319932808366396</v>
      </c>
      <c r="W336" s="402">
        <f t="shared" si="136"/>
        <v>14.955561828657077</v>
      </c>
      <c r="X336" s="157">
        <f t="shared" si="137"/>
        <v>45613</v>
      </c>
      <c r="Y336" s="385">
        <f t="shared" si="138"/>
        <v>14.088003970682829</v>
      </c>
      <c r="Z336" s="385">
        <f t="shared" si="139"/>
        <v>14.833421718927573</v>
      </c>
      <c r="AA336" s="386">
        <f t="shared" si="140"/>
        <v>16.115445767843237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7.9552503069683339E-2</v>
      </c>
      <c r="AD336" s="231">
        <f>(INDEX(Models!$BJ336:$BT336,,AH336)*(1-AF336)+INDEX(Models!$BJ336:$BT336,,AH336+1)*AF336-ERP_i)*AE336*Ramure*Pc/MaxiM</f>
        <v>6.1482382845756331E-4</v>
      </c>
      <c r="AE336" s="305">
        <f t="shared" si="142"/>
        <v>0.5</v>
      </c>
      <c r="AF336" s="177">
        <f t="shared" si="143"/>
        <v>0.49688509581650808</v>
      </c>
      <c r="AG336" s="811">
        <f t="shared" ref="AG336:AG379" si="149">INDEX(Echel_vg,AH336)</f>
        <v>1</v>
      </c>
      <c r="AH336" s="176">
        <f t="shared" si="144"/>
        <v>7</v>
      </c>
      <c r="AI336" s="225">
        <f t="shared" si="145"/>
        <v>1.4968850958165081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'2023'!Wh/'2023'!Env_an*'2024'!Env_an</f>
        <v>7.6589929943122952</v>
      </c>
      <c r="C337" s="841"/>
      <c r="D337" s="393">
        <f t="shared" si="127"/>
        <v>8.0644186109077882</v>
      </c>
      <c r="E337" s="385">
        <f t="shared" si="125"/>
        <v>8.25374054750867</v>
      </c>
      <c r="F337" s="385">
        <f t="shared" si="128"/>
        <v>8.25374054750867</v>
      </c>
      <c r="G337" s="110">
        <f t="shared" si="126"/>
        <v>0.28258141987983004</v>
      </c>
      <c r="H337" s="414" t="b">
        <f>Wh_hp&gt;='2023'!Maxi_hp</f>
        <v>0</v>
      </c>
      <c r="I337" s="390">
        <f>IF(H337,Wh_hp,'2023'!Maxi_hp)</f>
        <v>29.080430360791048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5.0273384376044339E-2</v>
      </c>
      <c r="M337" s="845"/>
      <c r="N337" s="845"/>
      <c r="O337" s="48">
        <f>IF(t&lt;Tnet,'2023'!Resal+('2023'!Salim-'2023'!Resal)*(1-EXP(('2023'!Tnet-t)/('2023'!Tau_j))),Resal+(Salim-Resal)*(1-EXP((Tnet-t)/(Tau_j))))*Salcycl</f>
        <v>2.2937713574971378E-2</v>
      </c>
      <c r="P337" s="169">
        <f>(INDEX(Models!$BJ337:$BT337,,T337)*(1-R337)+INDEX(Models!$BJ337:$BT337,,T337+1)*R337-ERP_i)*Q337*Ramure*Pc/MaxiM</f>
        <v>6.3245218760768778E-4</v>
      </c>
      <c r="Q337" s="305">
        <f t="shared" si="130"/>
        <v>0.5</v>
      </c>
      <c r="R337" s="177">
        <f t="shared" si="131"/>
        <v>0.49691201129767859</v>
      </c>
      <c r="S337" s="811">
        <f t="shared" si="132"/>
        <v>1</v>
      </c>
      <c r="T337" s="176">
        <f t="shared" si="133"/>
        <v>7</v>
      </c>
      <c r="U337" s="251">
        <f t="shared" si="134"/>
        <v>1.4969120112976786</v>
      </c>
      <c r="V337" s="383">
        <f t="shared" si="135"/>
        <v>27.086526250357007</v>
      </c>
      <c r="W337" s="402">
        <f t="shared" si="136"/>
        <v>7.6589929943122952</v>
      </c>
      <c r="X337" s="157">
        <f t="shared" si="137"/>
        <v>45614</v>
      </c>
      <c r="Y337" s="385">
        <f t="shared" si="138"/>
        <v>7.2153306678212603</v>
      </c>
      <c r="Z337" s="385">
        <f t="shared" si="139"/>
        <v>7.5972712032303109</v>
      </c>
      <c r="AA337" s="386">
        <f t="shared" si="140"/>
        <v>8.25374054750867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7.9535980141332355E-2</v>
      </c>
      <c r="AD337" s="231">
        <f>(INDEX(Models!$BJ337:$BT337,,AH337)*(1-AF337)+INDEX(Models!$BJ337:$BT337,,AH337+1)*AF337-ERP_i)*AE337*Ramure*Pc/MaxiM</f>
        <v>6.3245218760768778E-4</v>
      </c>
      <c r="AE337" s="305">
        <f t="shared" si="142"/>
        <v>0.5</v>
      </c>
      <c r="AF337" s="177">
        <f t="shared" si="143"/>
        <v>0.49691201129767859</v>
      </c>
      <c r="AG337" s="811">
        <f t="shared" si="149"/>
        <v>1</v>
      </c>
      <c r="AH337" s="176">
        <f t="shared" si="144"/>
        <v>7</v>
      </c>
      <c r="AI337" s="225">
        <f t="shared" si="145"/>
        <v>1.4969120112976786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'2023'!Wh/'2023'!Env_an*'2024'!Env_an</f>
        <v>15.307370118435763</v>
      </c>
      <c r="C338" s="841"/>
      <c r="D338" s="393">
        <f t="shared" si="127"/>
        <v>16.118012430780631</v>
      </c>
      <c r="E338" s="385">
        <f t="shared" si="125"/>
        <v>16.497546588279388</v>
      </c>
      <c r="F338" s="385">
        <f t="shared" si="128"/>
        <v>16.501679688134598</v>
      </c>
      <c r="G338" s="110">
        <f t="shared" si="126"/>
        <v>0.56972807435717443</v>
      </c>
      <c r="H338" s="414" t="b">
        <f>Wh_hp&gt;='2023'!Maxi_hp</f>
        <v>0</v>
      </c>
      <c r="I338" s="390">
        <f>IF(H338,Wh_hp,'2023'!Maxi_hp)</f>
        <v>30.110087627610774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5.0294185826335602E-2</v>
      </c>
      <c r="M338" s="845"/>
      <c r="N338" s="845"/>
      <c r="O338" s="48">
        <f>IF(t&lt;Tnet,'2023'!Resal+('2023'!Salim-'2023'!Resal)*(1-EXP(('2023'!Tnet-t)/('2023'!Tau_j))),Resal+(Salim-Resal)*(1-EXP((Tnet-t)/(Tau_j))))*Salcycl</f>
        <v>2.3005490875133913E-2</v>
      </c>
      <c r="P338" s="169">
        <f>(INDEX(Models!$BJ338:$BT338,,T338)*(1-R338)+INDEX(Models!$BJ338:$BT338,,T338+1)*R338-ERP_i)*Q338*Ramure*Pc/MaxiM</f>
        <v>6.49461689968528E-4</v>
      </c>
      <c r="Q338" s="305">
        <f t="shared" si="130"/>
        <v>0.5</v>
      </c>
      <c r="R338" s="177">
        <f t="shared" si="131"/>
        <v>0.49693784580761768</v>
      </c>
      <c r="S338" s="811">
        <f t="shared" si="132"/>
        <v>1</v>
      </c>
      <c r="T338" s="176">
        <f t="shared" si="133"/>
        <v>7</v>
      </c>
      <c r="U338" s="251">
        <f t="shared" si="134"/>
        <v>1.4969378458076177</v>
      </c>
      <c r="V338" s="383">
        <f t="shared" si="135"/>
        <v>26.857130082170897</v>
      </c>
      <c r="W338" s="402">
        <f t="shared" si="136"/>
        <v>15.307370118435763</v>
      </c>
      <c r="X338" s="157">
        <f t="shared" si="137"/>
        <v>45615</v>
      </c>
      <c r="Y338" s="385">
        <f t="shared" si="138"/>
        <v>14.421901011717086</v>
      </c>
      <c r="Z338" s="385">
        <f t="shared" si="139"/>
        <v>15.18565096315171</v>
      </c>
      <c r="AA338" s="386">
        <f t="shared" si="140"/>
        <v>16.497546588279388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7.9520649819513692E-2</v>
      </c>
      <c r="AD338" s="231">
        <f>(INDEX(Models!$BJ338:$BT338,,AH338)*(1-AF338)+INDEX(Models!$BJ338:$BT338,,AH338+1)*AF338-ERP_i)*AE338*Ramure*Pc/MaxiM</f>
        <v>6.49461689968528E-4</v>
      </c>
      <c r="AE338" s="305">
        <f t="shared" si="142"/>
        <v>0.5</v>
      </c>
      <c r="AF338" s="177">
        <f t="shared" si="143"/>
        <v>0.49693784580761768</v>
      </c>
      <c r="AG338" s="811">
        <f t="shared" si="149"/>
        <v>1</v>
      </c>
      <c r="AH338" s="176">
        <f t="shared" si="144"/>
        <v>7</v>
      </c>
      <c r="AI338" s="225">
        <f t="shared" si="145"/>
        <v>1.4969378458076177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'2023'!Wh/'2023'!Env_an*'2024'!Env_an</f>
        <v>3.2348438560347352</v>
      </c>
      <c r="C339" s="841"/>
      <c r="D339" s="393">
        <f t="shared" si="127"/>
        <v>3.4062281821278932</v>
      </c>
      <c r="E339" s="385">
        <f t="shared" si="125"/>
        <v>3.4866779777870893</v>
      </c>
      <c r="F339" s="385">
        <f t="shared" si="128"/>
        <v>3.4866779777870893</v>
      </c>
      <c r="G339" s="110">
        <f t="shared" si="126"/>
        <v>0.12138439193442302</v>
      </c>
      <c r="H339" s="414" t="b">
        <f>Wh_hp&gt;='2023'!Maxi_hp</f>
        <v>0</v>
      </c>
      <c r="I339" s="390">
        <f>IF(H339,Wh_hp,'2023'!Maxi_hp)</f>
        <v>29.084066217541494</v>
      </c>
      <c r="J339" s="85">
        <f>IF(H339,An,'2023'!An_max)</f>
        <v>2019</v>
      </c>
      <c r="K339" s="197">
        <f t="shared" si="129"/>
        <v>45616</v>
      </c>
      <c r="L339" s="147">
        <f>IF(t&lt;Tvie,1-EXP((T0-t)*PertePVj)+'2023'!Pspv,1-EXP((T0-t)*PertePVj)+Pspv)</f>
        <v>5.0314986821021757E-2</v>
      </c>
      <c r="M339" s="845"/>
      <c r="N339" s="845"/>
      <c r="O339" s="48">
        <f>IF(t&lt;Tnet,'2023'!Resal+('2023'!Salim-'2023'!Resal)*(1-EXP(('2023'!Tnet-t)/('2023'!Tau_j))),Resal+(Salim-Resal)*(1-EXP((Tnet-t)/(Tau_j))))*Salcycl</f>
        <v>2.3073480307537732E-2</v>
      </c>
      <c r="P339" s="169">
        <f>(INDEX(Models!$BJ339:$BT339,,T339)*(1-R339)+INDEX(Models!$BJ339:$BT339,,T339+1)*R339-ERP_i)*Q339*Ramure*Pc/MaxiM</f>
        <v>6.6561091176125413E-4</v>
      </c>
      <c r="Q339" s="305">
        <f t="shared" si="130"/>
        <v>0.5</v>
      </c>
      <c r="R339" s="177">
        <f t="shared" si="131"/>
        <v>0.49696264265480283</v>
      </c>
      <c r="S339" s="811">
        <f t="shared" si="132"/>
        <v>1</v>
      </c>
      <c r="T339" s="176">
        <f t="shared" si="133"/>
        <v>7</v>
      </c>
      <c r="U339" s="251">
        <f t="shared" si="134"/>
        <v>1.4969626426548028</v>
      </c>
      <c r="V339" s="383">
        <f t="shared" si="135"/>
        <v>26.631848272657255</v>
      </c>
      <c r="W339" s="402">
        <f t="shared" si="136"/>
        <v>3.2348438560347352</v>
      </c>
      <c r="X339" s="157">
        <f t="shared" si="137"/>
        <v>45616</v>
      </c>
      <c r="Y339" s="385">
        <f t="shared" si="138"/>
        <v>3.0479800769428675</v>
      </c>
      <c r="Z339" s="385">
        <f t="shared" si="139"/>
        <v>3.2094642272389353</v>
      </c>
      <c r="AA339" s="386">
        <f t="shared" si="140"/>
        <v>3.4866779777870893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7.9506553892910586E-2</v>
      </c>
      <c r="AD339" s="231">
        <f>(INDEX(Models!$BJ339:$BT339,,AH339)*(1-AF339)+INDEX(Models!$BJ339:$BT339,,AH339+1)*AF339-ERP_i)*AE339*Ramure*Pc/MaxiM</f>
        <v>6.6561091176125413E-4</v>
      </c>
      <c r="AE339" s="305">
        <f t="shared" si="142"/>
        <v>0.5</v>
      </c>
      <c r="AF339" s="177">
        <f t="shared" si="143"/>
        <v>0.49696264265480283</v>
      </c>
      <c r="AG339" s="811">
        <f t="shared" si="149"/>
        <v>1</v>
      </c>
      <c r="AH339" s="176">
        <f t="shared" si="144"/>
        <v>7</v>
      </c>
      <c r="AI339" s="225">
        <f t="shared" si="145"/>
        <v>1.4969626426548028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'2023'!Wh/'2023'!Env_an*'2024'!Env_an</f>
        <v>8.0413673887286823</v>
      </c>
      <c r="C340" s="841"/>
      <c r="D340" s="393">
        <f t="shared" si="127"/>
        <v>8.4675902089383772</v>
      </c>
      <c r="E340" s="385">
        <f t="shared" si="125"/>
        <v>8.6681867544149256</v>
      </c>
      <c r="F340" s="385">
        <f t="shared" si="128"/>
        <v>8.6682244687863506</v>
      </c>
      <c r="G340" s="110">
        <f t="shared" si="126"/>
        <v>0.30426695193830622</v>
      </c>
      <c r="H340" s="414" t="b">
        <f>Wh_hp&gt;='2023'!Maxi_hp</f>
        <v>0</v>
      </c>
      <c r="I340" s="390">
        <f>IF(H340,Wh_hp,'2023'!Maxi_hp)</f>
        <v>29.591035421411469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5.0335787360112683E-2</v>
      </c>
      <c r="M340" s="845"/>
      <c r="N340" s="845"/>
      <c r="O340" s="48">
        <f>IF(t&lt;Tnet,'2023'!Resal+('2023'!Salim-'2023'!Resal)*(1-EXP(('2023'!Tnet-t)/('2023'!Tau_j))),Resal+(Salim-Resal)*(1-EXP((Tnet-t)/(Tau_j))))*Salcycl</f>
        <v>2.3141696315481484E-2</v>
      </c>
      <c r="P340" s="169">
        <f>(INDEX(Models!$BJ340:$BT340,,T340)*(1-R340)+INDEX(Models!$BJ340:$BT340,,T340+1)*R340-ERP_i)*Q340*Ramure*Pc/MaxiM</f>
        <v>6.808969959551924E-4</v>
      </c>
      <c r="Q340" s="305">
        <f t="shared" si="130"/>
        <v>0.5</v>
      </c>
      <c r="R340" s="177">
        <f t="shared" si="131"/>
        <v>0.49698644342087128</v>
      </c>
      <c r="S340" s="811">
        <f t="shared" si="132"/>
        <v>1</v>
      </c>
      <c r="T340" s="176">
        <f t="shared" si="133"/>
        <v>7</v>
      </c>
      <c r="U340" s="251">
        <f t="shared" si="134"/>
        <v>1.4969864434208713</v>
      </c>
      <c r="V340" s="383">
        <f t="shared" si="135"/>
        <v>26.410778291765222</v>
      </c>
      <c r="W340" s="402">
        <f t="shared" si="136"/>
        <v>8.0413673887286823</v>
      </c>
      <c r="X340" s="157">
        <f t="shared" si="137"/>
        <v>45617</v>
      </c>
      <c r="Y340" s="385">
        <f t="shared" si="138"/>
        <v>7.5774849618726741</v>
      </c>
      <c r="Z340" s="385">
        <f t="shared" si="139"/>
        <v>7.979120262738653</v>
      </c>
      <c r="AA340" s="386">
        <f t="shared" si="140"/>
        <v>8.6681867544149256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7.9493729334490185E-2</v>
      </c>
      <c r="AD340" s="231">
        <f>(INDEX(Models!$BJ340:$BT340,,AH340)*(1-AF340)+INDEX(Models!$BJ340:$BT340,,AH340+1)*AF340-ERP_i)*AE340*Ramure*Pc/MaxiM</f>
        <v>6.808969959551924E-4</v>
      </c>
      <c r="AE340" s="305">
        <f t="shared" si="142"/>
        <v>0.5</v>
      </c>
      <c r="AF340" s="177">
        <f t="shared" si="143"/>
        <v>0.49698644342087128</v>
      </c>
      <c r="AG340" s="811">
        <f t="shared" si="149"/>
        <v>1</v>
      </c>
      <c r="AH340" s="176">
        <f t="shared" si="144"/>
        <v>7</v>
      </c>
      <c r="AI340" s="225">
        <f t="shared" si="145"/>
        <v>1.4969864434208713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'2023'!Wh/'2023'!Env_an*'2024'!Env_an</f>
        <v>12.051069573152345</v>
      </c>
      <c r="C341" s="841"/>
      <c r="D341" s="393">
        <f t="shared" si="127"/>
        <v>12.690099687746592</v>
      </c>
      <c r="E341" s="385">
        <f t="shared" si="125"/>
        <v>12.99163757081109</v>
      </c>
      <c r="F341" s="385">
        <f t="shared" si="128"/>
        <v>12.993703537455453</v>
      </c>
      <c r="G341" s="110">
        <f t="shared" si="126"/>
        <v>0.45982275390913641</v>
      </c>
      <c r="H341" s="414" t="b">
        <f>Wh_hp&gt;='2023'!Maxi_hp</f>
        <v>0</v>
      </c>
      <c r="I341" s="390">
        <f>IF(H341,Wh_hp,'2023'!Maxi_hp)</f>
        <v>29.56301535081597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5.0356587443618483E-2</v>
      </c>
      <c r="M341" s="845"/>
      <c r="N341" s="845"/>
      <c r="O341" s="48">
        <f>IF(t&lt;Tnet,'2023'!Resal+('2023'!Salim-'2023'!Resal)*(1-EXP(('2023'!Tnet-t)/('2023'!Tau_j))),Resal+(Salim-Resal)*(1-EXP((Tnet-t)/(Tau_j))))*Salcycl</f>
        <v>2.3210152024405063E-2</v>
      </c>
      <c r="P341" s="169">
        <f>(INDEX(Models!$BJ341:$BT341,,T341)*(1-R341)+INDEX(Models!$BJ341:$BT341,,T341+1)*R341-ERP_i)*Q341*Ramure*Pc/MaxiM</f>
        <v>6.953119734987573E-4</v>
      </c>
      <c r="Q341" s="305">
        <f t="shared" si="130"/>
        <v>0.5</v>
      </c>
      <c r="R341" s="177">
        <f t="shared" si="131"/>
        <v>0.49700928802882105</v>
      </c>
      <c r="S341" s="811">
        <f t="shared" si="132"/>
        <v>1</v>
      </c>
      <c r="T341" s="176">
        <f t="shared" si="133"/>
        <v>7</v>
      </c>
      <c r="U341" s="251">
        <f t="shared" si="134"/>
        <v>1.4970092880288211</v>
      </c>
      <c r="V341" s="383">
        <f t="shared" si="135"/>
        <v>26.194017760495147</v>
      </c>
      <c r="W341" s="402">
        <f t="shared" si="136"/>
        <v>12.051069573152345</v>
      </c>
      <c r="X341" s="157">
        <f t="shared" si="137"/>
        <v>45618</v>
      </c>
      <c r="Y341" s="385">
        <f t="shared" si="138"/>
        <v>11.356817411081193</v>
      </c>
      <c r="Z341" s="385">
        <f t="shared" si="139"/>
        <v>11.959033528710888</v>
      </c>
      <c r="AA341" s="386">
        <f t="shared" si="140"/>
        <v>12.99163757081109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7.9482208187534487E-2</v>
      </c>
      <c r="AD341" s="231">
        <f>(INDEX(Models!$BJ341:$BT341,,AH341)*(1-AF341)+INDEX(Models!$BJ341:$BT341,,AH341+1)*AF341-ERP_i)*AE341*Ramure*Pc/MaxiM</f>
        <v>6.953119734987573E-4</v>
      </c>
      <c r="AE341" s="305">
        <f t="shared" si="142"/>
        <v>0.5</v>
      </c>
      <c r="AF341" s="177">
        <f t="shared" si="143"/>
        <v>0.49700928802882105</v>
      </c>
      <c r="AG341" s="811">
        <f t="shared" si="149"/>
        <v>1</v>
      </c>
      <c r="AH341" s="176">
        <f t="shared" si="144"/>
        <v>7</v>
      </c>
      <c r="AI341" s="225">
        <f t="shared" si="145"/>
        <v>1.4970092880288211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'2023'!Wh/'2023'!Env_an*'2024'!Env_an</f>
        <v>13.26366822701711</v>
      </c>
      <c r="C342" s="841"/>
      <c r="D342" s="393">
        <f t="shared" si="127"/>
        <v>13.967304533865873</v>
      </c>
      <c r="E342" s="385">
        <f t="shared" si="125"/>
        <v>14.30019680166903</v>
      </c>
      <c r="F342" s="385">
        <f t="shared" si="128"/>
        <v>14.303245714633077</v>
      </c>
      <c r="G342" s="110">
        <f t="shared" si="126"/>
        <v>0.51024799858647452</v>
      </c>
      <c r="H342" s="414" t="b">
        <f>Wh_hp&gt;='2023'!Maxi_hp</f>
        <v>0</v>
      </c>
      <c r="I342" s="390">
        <f>IF(H342,Wh_hp,'2023'!Maxi_hp)</f>
        <v>27.223770958160259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5.037738707154904E-2</v>
      </c>
      <c r="M342" s="845"/>
      <c r="N342" s="845"/>
      <c r="O342" s="48">
        <f>IF(t&lt;Tnet,'2023'!Resal+('2023'!Salim-'2023'!Resal)*(1-EXP(('2023'!Tnet-t)/('2023'!Tau_j))),Resal+(Salim-Resal)*(1-EXP((Tnet-t)/(Tau_j))))*Salcycl</f>
        <v>2.3278859194742256E-2</v>
      </c>
      <c r="P342" s="169">
        <f>(INDEX(Models!$BJ342:$BT342,,T342)*(1-R342)+INDEX(Models!$BJ342:$BT342,,T342+1)*R342-ERP_i)*Q342*Ramure*Pc/MaxiM</f>
        <v>7.08849593939693E-4</v>
      </c>
      <c r="Q342" s="305">
        <f t="shared" si="130"/>
        <v>0.5</v>
      </c>
      <c r="R342" s="177">
        <f t="shared" si="131"/>
        <v>0.49703121480856916</v>
      </c>
      <c r="S342" s="811">
        <f t="shared" si="132"/>
        <v>1</v>
      </c>
      <c r="T342" s="176">
        <f t="shared" si="133"/>
        <v>7</v>
      </c>
      <c r="U342" s="251">
        <f t="shared" si="134"/>
        <v>1.4970312148085692</v>
      </c>
      <c r="V342" s="383">
        <f t="shared" si="135"/>
        <v>25.981664269853049</v>
      </c>
      <c r="W342" s="402">
        <f t="shared" si="136"/>
        <v>13.26366822701711</v>
      </c>
      <c r="X342" s="157">
        <f t="shared" si="137"/>
        <v>45619</v>
      </c>
      <c r="Y342" s="385">
        <f t="shared" si="138"/>
        <v>12.500576923863852</v>
      </c>
      <c r="Z342" s="385">
        <f t="shared" si="139"/>
        <v>13.16373131144646</v>
      </c>
      <c r="AA342" s="386">
        <f t="shared" si="140"/>
        <v>14.30019680166903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7.9472017482299817E-2</v>
      </c>
      <c r="AD342" s="231">
        <f>(INDEX(Models!$BJ342:$BT342,,AH342)*(1-AF342)+INDEX(Models!$BJ342:$BT342,,AH342+1)*AF342-ERP_i)*AE342*Ramure*Pc/MaxiM</f>
        <v>7.08849593939693E-4</v>
      </c>
      <c r="AE342" s="305">
        <f t="shared" si="142"/>
        <v>0.5</v>
      </c>
      <c r="AF342" s="177">
        <f t="shared" si="143"/>
        <v>0.49703121480856916</v>
      </c>
      <c r="AG342" s="811">
        <f t="shared" si="149"/>
        <v>1</v>
      </c>
      <c r="AH342" s="176">
        <f t="shared" si="144"/>
        <v>7</v>
      </c>
      <c r="AI342" s="225">
        <f t="shared" si="145"/>
        <v>1.4970312148085692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'2023'!Wh/'2023'!Env_an*'2024'!Env_an</f>
        <v>5.1357082002201606</v>
      </c>
      <c r="C343" s="841"/>
      <c r="D343" s="393">
        <f t="shared" si="127"/>
        <v>5.4082754748605781</v>
      </c>
      <c r="E343" s="385">
        <f t="shared" si="125"/>
        <v>5.5375656051651641</v>
      </c>
      <c r="F343" s="385">
        <f t="shared" si="128"/>
        <v>5.5375656051651641</v>
      </c>
      <c r="G343" s="110">
        <f t="shared" si="126"/>
        <v>0.19911692091669383</v>
      </c>
      <c r="H343" s="414" t="b">
        <f>Wh_hp&gt;='2023'!Maxi_hp</f>
        <v>0</v>
      </c>
      <c r="I343" s="390">
        <f>IF(H343,Wh_hp,'2023'!Maxi_hp)</f>
        <v>26.38503248912658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5.0398186243914345E-2</v>
      </c>
      <c r="M343" s="845"/>
      <c r="N343" s="845"/>
      <c r="O343" s="48">
        <f>IF(t&lt;Tnet,'2023'!Resal+('2023'!Salim-'2023'!Resal)*(1-EXP(('2023'!Tnet-t)/('2023'!Tau_j))),Resal+(Salim-Resal)*(1-EXP((Tnet-t)/(Tau_j))))*Salcycl</f>
        <v>2.3347828183559627E-2</v>
      </c>
      <c r="P343" s="169">
        <f>(INDEX(Models!$BJ343:$BT343,,T343)*(1-R343)+INDEX(Models!$BJ343:$BT343,,T343+1)*R343-ERP_i)*Q343*Ramure*Pc/MaxiM</f>
        <v>7.2150626203224932E-4</v>
      </c>
      <c r="Q343" s="305">
        <f t="shared" si="130"/>
        <v>0.5</v>
      </c>
      <c r="R343" s="177">
        <f t="shared" si="131"/>
        <v>0.49705226055996654</v>
      </c>
      <c r="S343" s="811">
        <f t="shared" si="132"/>
        <v>1</v>
      </c>
      <c r="T343" s="176">
        <f t="shared" si="133"/>
        <v>7</v>
      </c>
      <c r="U343" s="251">
        <f t="shared" si="134"/>
        <v>1.4970522605599665</v>
      </c>
      <c r="V343" s="383">
        <f t="shared" si="135"/>
        <v>25.773815359172058</v>
      </c>
      <c r="W343" s="402">
        <f t="shared" si="136"/>
        <v>5.1357082002201606</v>
      </c>
      <c r="X343" s="157">
        <f t="shared" si="137"/>
        <v>45620</v>
      </c>
      <c r="Y343" s="385">
        <f t="shared" si="138"/>
        <v>4.8406266178449027</v>
      </c>
      <c r="Z343" s="385">
        <f t="shared" si="139"/>
        <v>5.0975330372402423</v>
      </c>
      <c r="AA343" s="386">
        <f t="shared" si="140"/>
        <v>5.5375656051651641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7.9463179183733898E-2</v>
      </c>
      <c r="AD343" s="231">
        <f>(INDEX(Models!$BJ343:$BT343,,AH343)*(1-AF343)+INDEX(Models!$BJ343:$BT343,,AH343+1)*AF343-ERP_i)*AE343*Ramure*Pc/MaxiM</f>
        <v>7.2150626203224932E-4</v>
      </c>
      <c r="AE343" s="305">
        <f t="shared" si="142"/>
        <v>0.5</v>
      </c>
      <c r="AF343" s="177">
        <f t="shared" si="143"/>
        <v>0.49705226055996654</v>
      </c>
      <c r="AG343" s="811">
        <f t="shared" si="149"/>
        <v>1</v>
      </c>
      <c r="AH343" s="176">
        <f t="shared" si="144"/>
        <v>7</v>
      </c>
      <c r="AI343" s="225">
        <f t="shared" si="145"/>
        <v>1.4970522605599665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'2023'!Wh/'2023'!Env_an*'2024'!Env_an</f>
        <v>10.294377696126654</v>
      </c>
      <c r="C344" s="841"/>
      <c r="D344" s="393">
        <f t="shared" si="127"/>
        <v>10.840968314536983</v>
      </c>
      <c r="E344" s="385">
        <f t="shared" si="125"/>
        <v>11.10091929560366</v>
      </c>
      <c r="F344" s="385">
        <f t="shared" si="128"/>
        <v>11.102112371708083</v>
      </c>
      <c r="G344" s="110">
        <f t="shared" si="126"/>
        <v>0.40233499689576696</v>
      </c>
      <c r="H344" s="414" t="b">
        <f>Wh_hp&gt;='2023'!Maxi_hp</f>
        <v>0</v>
      </c>
      <c r="I344" s="390">
        <f>IF(H344,Wh_hp,'2023'!Maxi_hp)</f>
        <v>26.793324525882319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5.0418984960724389E-2</v>
      </c>
      <c r="M344" s="845"/>
      <c r="N344" s="845"/>
      <c r="O344" s="48">
        <f>IF(t&lt;Tnet,'2023'!Resal+('2023'!Salim-'2023'!Resal)*(1-EXP(('2023'!Tnet-t)/('2023'!Tau_j))),Resal+(Salim-Resal)*(1-EXP((Tnet-t)/(Tau_j))))*Salcycl</f>
        <v>2.341706791523342E-2</v>
      </c>
      <c r="P344" s="169">
        <f>(INDEX(Models!$BJ344:$BT344,,T344)*(1-R344)+INDEX(Models!$BJ344:$BT344,,T344+1)*R344-ERP_i)*Q344*Ramure*Pc/MaxiM</f>
        <v>7.3327752293055872E-4</v>
      </c>
      <c r="Q344" s="305">
        <f t="shared" si="130"/>
        <v>0.5</v>
      </c>
      <c r="R344" s="177">
        <f t="shared" si="131"/>
        <v>0.49707246061336474</v>
      </c>
      <c r="S344" s="811">
        <f t="shared" si="132"/>
        <v>1</v>
      </c>
      <c r="T344" s="176">
        <f t="shared" si="133"/>
        <v>7</v>
      </c>
      <c r="U344" s="251">
        <f t="shared" si="134"/>
        <v>1.4970724606133647</v>
      </c>
      <c r="V344" s="383">
        <f t="shared" si="135"/>
        <v>25.570568608574149</v>
      </c>
      <c r="W344" s="402">
        <f t="shared" si="136"/>
        <v>10.294377696126654</v>
      </c>
      <c r="X344" s="157">
        <f t="shared" si="137"/>
        <v>45621</v>
      </c>
      <c r="Y344" s="385">
        <f t="shared" si="138"/>
        <v>9.703661915622833</v>
      </c>
      <c r="Z344" s="385">
        <f t="shared" si="139"/>
        <v>10.218887869426791</v>
      </c>
      <c r="AA344" s="386">
        <f t="shared" si="140"/>
        <v>11.10091929560366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7.9455710170434596E-2</v>
      </c>
      <c r="AD344" s="231">
        <f>(INDEX(Models!$BJ344:$BT344,,AH344)*(1-AF344)+INDEX(Models!$BJ344:$BT344,,AH344+1)*AF344-ERP_i)*AE344*Ramure*Pc/MaxiM</f>
        <v>7.3327752293055872E-4</v>
      </c>
      <c r="AE344" s="305">
        <f t="shared" si="142"/>
        <v>0.5</v>
      </c>
      <c r="AF344" s="177">
        <f t="shared" si="143"/>
        <v>0.49707246061336474</v>
      </c>
      <c r="AG344" s="811">
        <f t="shared" si="149"/>
        <v>1</v>
      </c>
      <c r="AH344" s="176">
        <f t="shared" si="144"/>
        <v>7</v>
      </c>
      <c r="AI344" s="225">
        <f t="shared" si="145"/>
        <v>1.4970724606133647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'2023'!Wh/'2023'!Env_an*'2024'!Env_an</f>
        <v>14.643193426497689</v>
      </c>
      <c r="C345" s="841"/>
      <c r="D345" s="393">
        <f t="shared" si="127"/>
        <v>15.421026668728887</v>
      </c>
      <c r="E345" s="385">
        <f t="shared" si="125"/>
        <v>15.791925072868713</v>
      </c>
      <c r="F345" s="385">
        <f t="shared" si="128"/>
        <v>15.796580943454826</v>
      </c>
      <c r="G345" s="110">
        <f t="shared" si="126"/>
        <v>0.57695422184852851</v>
      </c>
      <c r="H345" s="414" t="b">
        <f>Wh_hp&gt;='2023'!Maxi_hp</f>
        <v>0</v>
      </c>
      <c r="I345" s="390">
        <f>IF(H345,Wh_hp,'2023'!Maxi_hp)</f>
        <v>25.130362962848679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5.0439783221989165E-2</v>
      </c>
      <c r="M345" s="845"/>
      <c r="N345" s="845"/>
      <c r="O345" s="48">
        <f>IF(t&lt;Tnet,'2023'!Resal+('2023'!Salim-'2023'!Resal)*(1-EXP(('2023'!Tnet-t)/('2023'!Tau_j))),Resal+(Salim-Resal)*(1-EXP((Tnet-t)/(Tau_j))))*Salcycl</f>
        <v>2.3486585861342984E-2</v>
      </c>
      <c r="P345" s="169">
        <f>(INDEX(Models!$BJ345:$BT345,,T345)*(1-R345)+INDEX(Models!$BJ345:$BT345,,T345+1)*R345-ERP_i)*Q345*Ramure*Pc/MaxiM</f>
        <v>7.4425378622549666E-4</v>
      </c>
      <c r="Q345" s="305">
        <f t="shared" si="130"/>
        <v>0.5</v>
      </c>
      <c r="R345" s="177">
        <f t="shared" si="131"/>
        <v>0.49709184888782532</v>
      </c>
      <c r="S345" s="811">
        <f t="shared" si="132"/>
        <v>1</v>
      </c>
      <c r="T345" s="176">
        <f t="shared" si="133"/>
        <v>7</v>
      </c>
      <c r="U345" s="251">
        <f t="shared" si="134"/>
        <v>1.4970918488878253</v>
      </c>
      <c r="V345" s="383">
        <f t="shared" si="135"/>
        <v>25.368753016415742</v>
      </c>
      <c r="W345" s="402">
        <f t="shared" si="136"/>
        <v>14.643193426497689</v>
      </c>
      <c r="X345" s="157">
        <f t="shared" si="137"/>
        <v>45622</v>
      </c>
      <c r="Y345" s="385">
        <f t="shared" si="138"/>
        <v>13.80400621756444</v>
      </c>
      <c r="Z345" s="385">
        <f t="shared" si="139"/>
        <v>14.537262591311316</v>
      </c>
      <c r="AA345" s="386">
        <f t="shared" si="140"/>
        <v>15.791925072868713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7.9449622244786813E-2</v>
      </c>
      <c r="AD345" s="231">
        <f>(INDEX(Models!$BJ345:$BT345,,AH345)*(1-AF345)+INDEX(Models!$BJ345:$BT345,,AH345+1)*AF345-ERP_i)*AE345*Ramure*Pc/MaxiM</f>
        <v>7.4425378622549666E-4</v>
      </c>
      <c r="AE345" s="305">
        <f t="shared" si="142"/>
        <v>0.5</v>
      </c>
      <c r="AF345" s="177">
        <f t="shared" si="143"/>
        <v>0.49709184888782532</v>
      </c>
      <c r="AG345" s="811">
        <f t="shared" si="149"/>
        <v>1</v>
      </c>
      <c r="AH345" s="176">
        <f t="shared" si="144"/>
        <v>7</v>
      </c>
      <c r="AI345" s="225">
        <f t="shared" si="145"/>
        <v>1.4970918488878253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'2023'!Wh/'2023'!Env_an*'2024'!Env_an</f>
        <v>10.614218630132362</v>
      </c>
      <c r="C346" s="841"/>
      <c r="D346" s="393">
        <f t="shared" si="127"/>
        <v>11.178281194076693</v>
      </c>
      <c r="E346" s="385">
        <f t="shared" si="125"/>
        <v>11.44795363197974</v>
      </c>
      <c r="F346" s="385">
        <f t="shared" si="128"/>
        <v>11.449455561344067</v>
      </c>
      <c r="G346" s="110">
        <f t="shared" si="126"/>
        <v>0.42150423913294144</v>
      </c>
      <c r="H346" s="414" t="b">
        <f>Wh_hp&gt;='2023'!Maxi_hp</f>
        <v>0</v>
      </c>
      <c r="I346" s="390">
        <f>IF(H346,Wh_hp,'2023'!Maxi_hp)</f>
        <v>18.630206084198146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5.0460581027718665E-2</v>
      </c>
      <c r="M346" s="845"/>
      <c r="N346" s="845"/>
      <c r="O346" s="48">
        <f>IF(t&lt;Tnet,'2023'!Resal+('2023'!Salim-'2023'!Resal)*(1-EXP(('2023'!Tnet-t)/('2023'!Tau_j))),Resal+(Salim-Resal)*(1-EXP((Tnet-t)/(Tau_j))))*Salcycl</f>
        <v>2.3556388029884988E-2</v>
      </c>
      <c r="P346" s="169">
        <f>(INDEX(Models!$BJ346:$BT346,,T346)*(1-R346)+INDEX(Models!$BJ346:$BT346,,T346+1)*R346-ERP_i)*Q346*Ramure*Pc/MaxiM</f>
        <v>7.5410720713454601E-4</v>
      </c>
      <c r="Q346" s="305">
        <f t="shared" si="130"/>
        <v>0.5</v>
      </c>
      <c r="R346" s="177">
        <f t="shared" si="131"/>
        <v>0.49711045794705999</v>
      </c>
      <c r="S346" s="811">
        <f t="shared" si="132"/>
        <v>1</v>
      </c>
      <c r="T346" s="176">
        <f t="shared" si="133"/>
        <v>7</v>
      </c>
      <c r="U346" s="251">
        <f t="shared" si="134"/>
        <v>1.49711045794706</v>
      </c>
      <c r="V346" s="383">
        <f t="shared" si="135"/>
        <v>25.166071614032671</v>
      </c>
      <c r="W346" s="402">
        <f t="shared" si="136"/>
        <v>10.614218630132362</v>
      </c>
      <c r="X346" s="157">
        <f t="shared" si="137"/>
        <v>45623</v>
      </c>
      <c r="Y346" s="385">
        <f t="shared" si="138"/>
        <v>10.006694434110395</v>
      </c>
      <c r="Z346" s="385">
        <f t="shared" si="139"/>
        <v>10.538471846635899</v>
      </c>
      <c r="AA346" s="386">
        <f t="shared" si="140"/>
        <v>11.44795363197974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7.944492217396952E-2</v>
      </c>
      <c r="AD346" s="231">
        <f>(INDEX(Models!$BJ346:$BT346,,AH346)*(1-AF346)+INDEX(Models!$BJ346:$BT346,,AH346+1)*AF346-ERP_i)*AE346*Ramure*Pc/MaxiM</f>
        <v>7.5410720713454601E-4</v>
      </c>
      <c r="AE346" s="305">
        <f t="shared" si="142"/>
        <v>0.5</v>
      </c>
      <c r="AF346" s="177">
        <f t="shared" si="143"/>
        <v>0.49711045794705999</v>
      </c>
      <c r="AG346" s="811">
        <f t="shared" si="149"/>
        <v>1</v>
      </c>
      <c r="AH346" s="176">
        <f t="shared" si="144"/>
        <v>7</v>
      </c>
      <c r="AI346" s="225">
        <f t="shared" si="145"/>
        <v>1.49711045794706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'2023'!Wh/'2023'!Env_an*'2024'!Env_an</f>
        <v>14.767757537995593</v>
      </c>
      <c r="C347" s="841"/>
      <c r="D347" s="393">
        <f t="shared" si="127"/>
        <v>15.552888802504587</v>
      </c>
      <c r="E347" s="385">
        <f t="shared" si="125"/>
        <v>15.929240672155155</v>
      </c>
      <c r="F347" s="385">
        <f t="shared" si="128"/>
        <v>15.934305618496046</v>
      </c>
      <c r="G347" s="110">
        <f t="shared" si="126"/>
        <v>0.59130081645722266</v>
      </c>
      <c r="H347" s="414" t="b">
        <f>Wh_hp&gt;='2023'!Maxi_hp</f>
        <v>0</v>
      </c>
      <c r="I347" s="390">
        <f>IF(H347,Wh_hp,'2023'!Maxi_hp)</f>
        <v>26.41641779115476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5.0481378377922881E-2</v>
      </c>
      <c r="M347" s="845"/>
      <c r="N347" s="845"/>
      <c r="O347" s="48">
        <f>IF(t&lt;Tnet,'2023'!Resal+('2023'!Salim-'2023'!Resal)*(1-EXP(('2023'!Tnet-t)/('2023'!Tau_j))),Resal+(Salim-Resal)*(1-EXP((Tnet-t)/(Tau_j))))*Salcycl</f>
        <v>2.3626478963836895E-2</v>
      </c>
      <c r="P347" s="169">
        <f>(INDEX(Models!$BJ347:$BT347,,T347)*(1-R347)+INDEX(Models!$BJ347:$BT347,,T347+1)*R347-ERP_i)*Q347*Ramure*Pc/MaxiM</f>
        <v>7.631420487442909E-4</v>
      </c>
      <c r="Q347" s="305">
        <f t="shared" si="130"/>
        <v>0.5</v>
      </c>
      <c r="R347" s="177">
        <f t="shared" si="131"/>
        <v>0.49712831905318922</v>
      </c>
      <c r="S347" s="811">
        <f t="shared" si="132"/>
        <v>1</v>
      </c>
      <c r="T347" s="176">
        <f t="shared" si="133"/>
        <v>7</v>
      </c>
      <c r="U347" s="251">
        <f t="shared" si="134"/>
        <v>1.4971283190531892</v>
      </c>
      <c r="V347" s="383">
        <f t="shared" si="135"/>
        <v>24.963908863216574</v>
      </c>
      <c r="W347" s="402">
        <f t="shared" si="136"/>
        <v>14.767757537995593</v>
      </c>
      <c r="X347" s="157">
        <f t="shared" si="137"/>
        <v>45624</v>
      </c>
      <c r="Y347" s="385">
        <f t="shared" si="138"/>
        <v>13.923547478684538</v>
      </c>
      <c r="Z347" s="385">
        <f t="shared" si="139"/>
        <v>14.663796119025797</v>
      </c>
      <c r="AA347" s="386">
        <f t="shared" si="140"/>
        <v>15.929240672155155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7.9441611761281047E-2</v>
      </c>
      <c r="AD347" s="231">
        <f>(INDEX(Models!$BJ347:$BT347,,AH347)*(1-AF347)+INDEX(Models!$BJ347:$BT347,,AH347+1)*AF347-ERP_i)*AE347*Ramure*Pc/MaxiM</f>
        <v>7.631420487442909E-4</v>
      </c>
      <c r="AE347" s="305">
        <f t="shared" si="142"/>
        <v>0.5</v>
      </c>
      <c r="AF347" s="177">
        <f t="shared" si="143"/>
        <v>0.49712831905318922</v>
      </c>
      <c r="AG347" s="811">
        <f t="shared" si="149"/>
        <v>1</v>
      </c>
      <c r="AH347" s="176">
        <f t="shared" si="144"/>
        <v>7</v>
      </c>
      <c r="AI347" s="225">
        <f t="shared" si="145"/>
        <v>1.4971283190531892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'2023'!Wh/'2023'!Env_an*'2024'!Env_an</f>
        <v>4.1142918381855251</v>
      </c>
      <c r="C348" s="841"/>
      <c r="D348" s="393">
        <f t="shared" si="127"/>
        <v>4.3331240272896734</v>
      </c>
      <c r="E348" s="385">
        <f t="shared" si="125"/>
        <v>4.4382977556052481</v>
      </c>
      <c r="F348" s="385">
        <f t="shared" si="128"/>
        <v>4.4382977556052481</v>
      </c>
      <c r="G348" s="110">
        <f t="shared" si="126"/>
        <v>0.16601418488561062</v>
      </c>
      <c r="H348" s="414" t="b">
        <f>Wh_hp&gt;='2023'!Maxi_hp</f>
        <v>0</v>
      </c>
      <c r="I348" s="390">
        <f>IF(H348,Wh_hp,'2023'!Maxi_hp)</f>
        <v>25.687652657075112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5.0502175272611693E-2</v>
      </c>
      <c r="M348" s="845"/>
      <c r="N348" s="845"/>
      <c r="O348" s="48">
        <f>IF(t&lt;Tnet,'2023'!Resal+('2023'!Salim-'2023'!Resal)*(1-EXP(('2023'!Tnet-t)/('2023'!Tau_j))),Resal+(Salim-Resal)*(1-EXP((Tnet-t)/(Tau_j))))*Salcycl</f>
        <v>2.3696861749022524E-2</v>
      </c>
      <c r="P348" s="169">
        <f>(INDEX(Models!$BJ348:$BT348,,T348)*(1-R348)+INDEX(Models!$BJ348:$BT348,,T348+1)*R348-ERP_i)*Q348*Ramure*Pc/MaxiM</f>
        <v>7.7131545543521044E-4</v>
      </c>
      <c r="Q348" s="305">
        <f t="shared" si="130"/>
        <v>0.5</v>
      </c>
      <c r="R348" s="177">
        <f t="shared" si="131"/>
        <v>0.49714546221839839</v>
      </c>
      <c r="S348" s="811">
        <f t="shared" si="132"/>
        <v>1</v>
      </c>
      <c r="T348" s="176">
        <f t="shared" si="133"/>
        <v>7</v>
      </c>
      <c r="U348" s="251">
        <f t="shared" si="134"/>
        <v>1.4971454622183984</v>
      </c>
      <c r="V348" s="383">
        <f t="shared" si="135"/>
        <v>24.763657540078647</v>
      </c>
      <c r="W348" s="402">
        <f t="shared" si="136"/>
        <v>4.1142918381855251</v>
      </c>
      <c r="X348" s="157">
        <f t="shared" si="137"/>
        <v>45625</v>
      </c>
      <c r="Y348" s="385">
        <f t="shared" si="138"/>
        <v>3.8793829805999835</v>
      </c>
      <c r="Z348" s="385">
        <f t="shared" si="139"/>
        <v>4.0857207668841147</v>
      </c>
      <c r="AA348" s="386">
        <f t="shared" si="140"/>
        <v>4.4382977556052481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7.943968794699599E-2</v>
      </c>
      <c r="AD348" s="231">
        <f>(INDEX(Models!$BJ348:$BT348,,AH348)*(1-AF348)+INDEX(Models!$BJ348:$BT348,,AH348+1)*AF348-ERP_i)*AE348*Ramure*Pc/MaxiM</f>
        <v>7.7131545543521044E-4</v>
      </c>
      <c r="AE348" s="305">
        <f t="shared" si="142"/>
        <v>0.5</v>
      </c>
      <c r="AF348" s="177">
        <f t="shared" si="143"/>
        <v>0.49714546221839839</v>
      </c>
      <c r="AG348" s="811">
        <f t="shared" si="149"/>
        <v>1</v>
      </c>
      <c r="AH348" s="176">
        <f t="shared" si="144"/>
        <v>7</v>
      </c>
      <c r="AI348" s="225">
        <f t="shared" si="145"/>
        <v>1.4971454622183984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'2023'!Wh/'2023'!Env_an*'2024'!Env_an</f>
        <v>3.5401646685580026</v>
      </c>
      <c r="C349" s="841"/>
      <c r="D349" s="393">
        <f t="shared" si="127"/>
        <v>3.7285416740839974</v>
      </c>
      <c r="E349" s="385">
        <f t="shared" si="125"/>
        <v>3.8193174467527546</v>
      </c>
      <c r="F349" s="385">
        <f t="shared" si="128"/>
        <v>3.8193174467527546</v>
      </c>
      <c r="G349" s="110">
        <f t="shared" si="126"/>
        <v>0.14399194560375506</v>
      </c>
      <c r="H349" s="414" t="b">
        <f>Wh_hp&gt;='2023'!Maxi_hp</f>
        <v>0</v>
      </c>
      <c r="I349" s="390">
        <f>IF(H349,Wh_hp,'2023'!Maxi_hp)</f>
        <v>26.512351889003813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5.0522971711795095E-2</v>
      </c>
      <c r="M349" s="845"/>
      <c r="N349" s="845"/>
      <c r="O349" s="48">
        <f>IF(t&lt;Tnet,'2023'!Resal+('2023'!Salim-'2023'!Resal)*(1-EXP(('2023'!Tnet-t)/('2023'!Tau_j))),Resal+(Salim-Resal)*(1-EXP((Tnet-t)/(Tau_j))))*Salcycl</f>
        <v>2.3767538031156946E-2</v>
      </c>
      <c r="P349" s="169">
        <f>(INDEX(Models!$BJ349:$BT349,,T349)*(1-R349)+INDEX(Models!$BJ349:$BT349,,T349+1)*R349-ERP_i)*Q349*Ramure*Pc/MaxiM</f>
        <v>7.7857973333898497E-4</v>
      </c>
      <c r="Q349" s="305">
        <f t="shared" si="130"/>
        <v>0.5</v>
      </c>
      <c r="R349" s="177">
        <f t="shared" si="131"/>
        <v>0.49716191625457373</v>
      </c>
      <c r="S349" s="811">
        <f t="shared" si="132"/>
        <v>1</v>
      </c>
      <c r="T349" s="176">
        <f t="shared" si="133"/>
        <v>7</v>
      </c>
      <c r="U349" s="251">
        <f t="shared" si="134"/>
        <v>1.4971619162545737</v>
      </c>
      <c r="V349" s="383">
        <f t="shared" si="135"/>
        <v>24.566709986882287</v>
      </c>
      <c r="W349" s="402">
        <f t="shared" si="136"/>
        <v>3.5401646685580026</v>
      </c>
      <c r="X349" s="157">
        <f t="shared" si="137"/>
        <v>45626</v>
      </c>
      <c r="Y349" s="385">
        <f t="shared" si="138"/>
        <v>3.3382797114293381</v>
      </c>
      <c r="Z349" s="385">
        <f t="shared" si="139"/>
        <v>3.5159141421755749</v>
      </c>
      <c r="AA349" s="386">
        <f t="shared" si="140"/>
        <v>3.8193174467527546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7.9439142937735685E-2</v>
      </c>
      <c r="AD349" s="231">
        <f>(INDEX(Models!$BJ349:$BT349,,AH349)*(1-AF349)+INDEX(Models!$BJ349:$BT349,,AH349+1)*AF349-ERP_i)*AE349*Ramure*Pc/MaxiM</f>
        <v>7.7857973333898497E-4</v>
      </c>
      <c r="AE349" s="305">
        <f t="shared" si="142"/>
        <v>0.5</v>
      </c>
      <c r="AF349" s="177">
        <f t="shared" si="143"/>
        <v>0.49716191625457373</v>
      </c>
      <c r="AG349" s="811">
        <f t="shared" si="149"/>
        <v>1</v>
      </c>
      <c r="AH349" s="176">
        <f t="shared" si="144"/>
        <v>7</v>
      </c>
      <c r="AI349" s="225">
        <f t="shared" si="145"/>
        <v>1.4971619162545737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'2023'!Wh/'2023'!Env_an*'2024'!Env_an</f>
        <v>5.8704889411362071</v>
      </c>
      <c r="C350" s="841"/>
      <c r="D350" s="393">
        <f t="shared" si="127"/>
        <v>6.1830011130553926</v>
      </c>
      <c r="E350" s="385">
        <f t="shared" si="125"/>
        <v>6.3339940819142893</v>
      </c>
      <c r="F350" s="385">
        <f t="shared" si="128"/>
        <v>6.3339940819142893</v>
      </c>
      <c r="G350" s="110">
        <f t="shared" si="126"/>
        <v>0.24065689066542492</v>
      </c>
      <c r="H350" s="414" t="b">
        <f>Wh_hp&gt;='2023'!Maxi_hp</f>
        <v>0</v>
      </c>
      <c r="I350" s="390">
        <f>IF(H350,Wh_hp,'2023'!Maxi_hp)</f>
        <v>10.56169638849005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5.0543767695483188E-2</v>
      </c>
      <c r="M350" s="845"/>
      <c r="N350" s="845"/>
      <c r="O350" s="48">
        <f>IF(t&lt;Tnet,'2023'!Resal+('2023'!Salim-'2023'!Resal)*(1-EXP(('2023'!Tnet-t)/('2023'!Tau_j))),Resal+(Salim-Resal)*(1-EXP((Tnet-t)/(Tau_j))))*Salcycl</f>
        <v>2.3838508041874006E-2</v>
      </c>
      <c r="P350" s="169">
        <f>(INDEX(Models!$BJ350:$BT350,,T350)*(1-R350)+INDEX(Models!$BJ350:$BT350,,T350+1)*R350-ERP_i)*Q350*Ramure*Pc/MaxiM</f>
        <v>7.8488270321226032E-4</v>
      </c>
      <c r="Q350" s="305">
        <f t="shared" si="130"/>
        <v>0.5</v>
      </c>
      <c r="R350" s="177">
        <f t="shared" si="131"/>
        <v>0.49717770882099588</v>
      </c>
      <c r="S350" s="811">
        <f t="shared" si="132"/>
        <v>1</v>
      </c>
      <c r="T350" s="176">
        <f t="shared" si="133"/>
        <v>7</v>
      </c>
      <c r="U350" s="251">
        <f t="shared" si="134"/>
        <v>1.4971777088209959</v>
      </c>
      <c r="V350" s="383">
        <f t="shared" si="135"/>
        <v>24.374458091299768</v>
      </c>
      <c r="W350" s="402">
        <f t="shared" si="136"/>
        <v>5.8704889411362071</v>
      </c>
      <c r="X350" s="157">
        <f t="shared" si="137"/>
        <v>45627</v>
      </c>
      <c r="Y350" s="385">
        <f t="shared" si="138"/>
        <v>5.5361101143396594</v>
      </c>
      <c r="Z350" s="385">
        <f t="shared" si="139"/>
        <v>5.8308218177708229</v>
      </c>
      <c r="AA350" s="386">
        <f t="shared" si="140"/>
        <v>6.3339940819142893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7.9439964363117205E-2</v>
      </c>
      <c r="AD350" s="231">
        <f>(INDEX(Models!$BJ350:$BT350,,AH350)*(1-AF350)+INDEX(Models!$BJ350:$BT350,,AH350+1)*AF350-ERP_i)*AE350*Ramure*Pc/MaxiM</f>
        <v>7.8488270321226032E-4</v>
      </c>
      <c r="AE350" s="305">
        <f t="shared" si="142"/>
        <v>0.5</v>
      </c>
      <c r="AF350" s="177">
        <f t="shared" si="143"/>
        <v>0.49717770882099588</v>
      </c>
      <c r="AG350" s="811">
        <f t="shared" si="149"/>
        <v>1</v>
      </c>
      <c r="AH350" s="176">
        <f t="shared" si="144"/>
        <v>7</v>
      </c>
      <c r="AI350" s="225">
        <f t="shared" si="145"/>
        <v>1.4971777088209959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'2023'!Wh/'2023'!Env_an*'2024'!Env_an</f>
        <v>8.7686413884867278</v>
      </c>
      <c r="C351" s="841"/>
      <c r="D351" s="393">
        <f t="shared" si="127"/>
        <v>9.2356373575643236</v>
      </c>
      <c r="E351" s="385">
        <f t="shared" si="125"/>
        <v>9.4618684622610179</v>
      </c>
      <c r="F351" s="385">
        <f t="shared" si="128"/>
        <v>9.4625362211242958</v>
      </c>
      <c r="G351" s="110">
        <f t="shared" si="126"/>
        <v>0.36225503503208245</v>
      </c>
      <c r="H351" s="414" t="b">
        <f>Wh_hp&gt;='2023'!Maxi_hp</f>
        <v>0</v>
      </c>
      <c r="I351" s="390">
        <f>IF(H351,Wh_hp,'2023'!Maxi_hp)</f>
        <v>17.22212353344614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5.0564563223685854E-2</v>
      </c>
      <c r="M351" s="845"/>
      <c r="N351" s="845"/>
      <c r="O351" s="48">
        <f>IF(t&lt;Tnet,'2023'!Resal+('2023'!Salim-'2023'!Resal)*(1-EXP(('2023'!Tnet-t)/('2023'!Tau_j))),Resal+(Salim-Resal)*(1-EXP((Tnet-t)/(Tau_j))))*Salcycl</f>
        <v>2.3909770633466939E-2</v>
      </c>
      <c r="P351" s="169">
        <f>(INDEX(Models!$BJ351:$BT351,,T351)*(1-R351)+INDEX(Models!$BJ351:$BT351,,T351+1)*R351-ERP_i)*Q351*Ramure*Pc/MaxiM</f>
        <v>7.9016815256867856E-4</v>
      </c>
      <c r="Q351" s="305">
        <f t="shared" si="130"/>
        <v>0.5</v>
      </c>
      <c r="R351" s="177">
        <f t="shared" si="131"/>
        <v>0.49719286647015837</v>
      </c>
      <c r="S351" s="811">
        <f t="shared" si="132"/>
        <v>1</v>
      </c>
      <c r="T351" s="176">
        <f t="shared" si="133"/>
        <v>7</v>
      </c>
      <c r="U351" s="251">
        <f t="shared" si="134"/>
        <v>1.4971928664701584</v>
      </c>
      <c r="V351" s="383">
        <f t="shared" si="135"/>
        <v>24.188293291324204</v>
      </c>
      <c r="W351" s="402">
        <f t="shared" si="136"/>
        <v>8.7686413884867278</v>
      </c>
      <c r="X351" s="157">
        <f t="shared" si="137"/>
        <v>45628</v>
      </c>
      <c r="Y351" s="385">
        <f t="shared" si="138"/>
        <v>8.2697700977464894</v>
      </c>
      <c r="Z351" s="385">
        <f t="shared" si="139"/>
        <v>8.7101974261940658</v>
      </c>
      <c r="AA351" s="386">
        <f t="shared" si="140"/>
        <v>9.4618684622610179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7.9442135458236043E-2</v>
      </c>
      <c r="AD351" s="231">
        <f>(INDEX(Models!$BJ351:$BT351,,AH351)*(1-AF351)+INDEX(Models!$BJ351:$BT351,,AH351+1)*AF351-ERP_i)*AE351*Ramure*Pc/MaxiM</f>
        <v>7.9016815256867856E-4</v>
      </c>
      <c r="AE351" s="305">
        <f t="shared" si="142"/>
        <v>0.5</v>
      </c>
      <c r="AF351" s="177">
        <f t="shared" si="143"/>
        <v>0.49719286647015837</v>
      </c>
      <c r="AG351" s="811">
        <f t="shared" si="149"/>
        <v>1</v>
      </c>
      <c r="AH351" s="176">
        <f t="shared" si="144"/>
        <v>7</v>
      </c>
      <c r="AI351" s="225">
        <f t="shared" si="145"/>
        <v>1.4971928664701584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'2023'!Wh/'2023'!Env_an*'2024'!Env_an</f>
        <v>17.409553629850173</v>
      </c>
      <c r="C352" s="841"/>
      <c r="D352" s="393">
        <f t="shared" si="127"/>
        <v>18.337144662748461</v>
      </c>
      <c r="E352" s="385">
        <f t="shared" si="125"/>
        <v>18.78769853581209</v>
      </c>
      <c r="F352" s="385">
        <f t="shared" si="128"/>
        <v>18.796768529878737</v>
      </c>
      <c r="G352" s="110">
        <f t="shared" si="126"/>
        <v>0.7248815945765692</v>
      </c>
      <c r="H352" s="414" t="b">
        <f>Wh_hp&gt;='2023'!Maxi_hp</f>
        <v>0</v>
      </c>
      <c r="I352" s="390">
        <f>IF(H352,Wh_hp,'2023'!Maxi_hp)</f>
        <v>18.799014130815127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5.0585358296413085E-2</v>
      </c>
      <c r="M352" s="845"/>
      <c r="N352" s="845"/>
      <c r="O352" s="48">
        <f>IF(t&lt;Tnet,'2023'!Resal+('2023'!Salim-'2023'!Resal)*(1-EXP(('2023'!Tnet-t)/('2023'!Tau_j))),Resal+(Salim-Resal)*(1-EXP((Tnet-t)/(Tau_j))))*Salcycl</f>
        <v>2.3981323322002857E-2</v>
      </c>
      <c r="P352" s="169">
        <f>(INDEX(Models!$BJ352:$BT352,,T352)*(1-R352)+INDEX(Models!$BJ352:$BT352,,T352+1)*R352-ERP_i)*Q352*Ramure*Pc/MaxiM</f>
        <v>7.945525364709495E-4</v>
      </c>
      <c r="Q352" s="305">
        <f t="shared" si="130"/>
        <v>0.5</v>
      </c>
      <c r="R352" s="177">
        <f t="shared" si="131"/>
        <v>0.4972074146917933</v>
      </c>
      <c r="S352" s="811">
        <f t="shared" si="132"/>
        <v>1</v>
      </c>
      <c r="T352" s="176">
        <f t="shared" si="133"/>
        <v>7</v>
      </c>
      <c r="U352" s="251">
        <f t="shared" si="134"/>
        <v>1.4972074146917933</v>
      </c>
      <c r="V352" s="383">
        <f t="shared" si="135"/>
        <v>24.009602333212289</v>
      </c>
      <c r="W352" s="402">
        <f t="shared" si="136"/>
        <v>17.409553629850173</v>
      </c>
      <c r="X352" s="157">
        <f t="shared" si="137"/>
        <v>45629</v>
      </c>
      <c r="Y352" s="385">
        <f t="shared" si="138"/>
        <v>16.420219166811034</v>
      </c>
      <c r="Z352" s="385">
        <f t="shared" si="139"/>
        <v>17.295097890366776</v>
      </c>
      <c r="AA352" s="386">
        <f t="shared" si="140"/>
        <v>18.78769853581209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7.9445635270344678E-2</v>
      </c>
      <c r="AD352" s="231">
        <f>(INDEX(Models!$BJ352:$BT352,,AH352)*(1-AF352)+INDEX(Models!$BJ352:$BT352,,AH352+1)*AF352-ERP_i)*AE352*Ramure*Pc/MaxiM</f>
        <v>7.945525364709495E-4</v>
      </c>
      <c r="AE352" s="305">
        <f t="shared" si="142"/>
        <v>0.5</v>
      </c>
      <c r="AF352" s="177">
        <f t="shared" si="143"/>
        <v>0.4972074146917933</v>
      </c>
      <c r="AG352" s="811">
        <f t="shared" si="149"/>
        <v>1</v>
      </c>
      <c r="AH352" s="176">
        <f t="shared" si="144"/>
        <v>7</v>
      </c>
      <c r="AI352" s="225">
        <f t="shared" si="145"/>
        <v>1.4972074146917933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'2023'!Wh/'2023'!Env_an*'2024'!Env_an</f>
        <v>23.695581898276675</v>
      </c>
      <c r="C353" s="841"/>
      <c r="D353" s="393">
        <f t="shared" si="127"/>
        <v>24.958642791922493</v>
      </c>
      <c r="E353" s="385">
        <f t="shared" si="125"/>
        <v>25.573772903167889</v>
      </c>
      <c r="F353" s="385">
        <f t="shared" si="128"/>
        <v>25.594036400221228</v>
      </c>
      <c r="G353" s="110">
        <f t="shared" si="126"/>
        <v>0.99394532751286491</v>
      </c>
      <c r="H353" s="414" t="b">
        <f>Wh_hp&gt;='2023'!Maxi_hp</f>
        <v>0</v>
      </c>
      <c r="I353" s="390">
        <f>IF(H353,Wh_hp,'2023'!Maxi_hp)</f>
        <v>25.594103955041181</v>
      </c>
      <c r="J353" s="85">
        <f>IF(H353,An,'2023'!An_max)</f>
        <v>2022</v>
      </c>
      <c r="K353" s="197">
        <f t="shared" si="129"/>
        <v>45630</v>
      </c>
      <c r="L353" s="147">
        <f>IF(t&lt;Tvie,1-EXP((T0-t)*PertePVj)+'2023'!Pspv,1-EXP((T0-t)*PertePVj)+Pspv)</f>
        <v>5.0606152913674873E-2</v>
      </c>
      <c r="M353" s="845"/>
      <c r="N353" s="845"/>
      <c r="O353" s="48">
        <f>IF(t&lt;Tnet,'2023'!Resal+('2023'!Salim-'2023'!Resal)*(1-EXP(('2023'!Tnet-t)/('2023'!Tau_j))),Resal+(Salim-Resal)*(1-EXP((Tnet-t)/(Tau_j))))*Salcycl</f>
        <v>2.4053162338404765E-2</v>
      </c>
      <c r="P353" s="169">
        <f>(INDEX(Models!$BJ353:$BT353,,T353)*(1-R353)+INDEX(Models!$BJ353:$BT353,,T353+1)*R353-ERP_i)*Q353*Ramure*Pc/MaxiM</f>
        <v>7.9862721001058888E-4</v>
      </c>
      <c r="Q353" s="305">
        <f t="shared" si="130"/>
        <v>0.5</v>
      </c>
      <c r="R353" s="177">
        <f t="shared" si="131"/>
        <v>0.49722137795516241</v>
      </c>
      <c r="S353" s="811">
        <f t="shared" si="132"/>
        <v>1</v>
      </c>
      <c r="T353" s="176">
        <f t="shared" si="133"/>
        <v>7</v>
      </c>
      <c r="U353" s="251">
        <f t="shared" si="134"/>
        <v>1.4972213779551624</v>
      </c>
      <c r="V353" s="383">
        <f t="shared" si="135"/>
        <v>23.839760211336291</v>
      </c>
      <c r="W353" s="402">
        <f t="shared" si="136"/>
        <v>23.695581898276675</v>
      </c>
      <c r="X353" s="157">
        <f t="shared" si="137"/>
        <v>45630</v>
      </c>
      <c r="Y353" s="385">
        <f t="shared" si="138"/>
        <v>22.350559144203856</v>
      </c>
      <c r="Z353" s="385">
        <f t="shared" si="139"/>
        <v>23.541925421991486</v>
      </c>
      <c r="AA353" s="386">
        <f t="shared" si="140"/>
        <v>25.573772903167889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7.9450438887908967E-2</v>
      </c>
      <c r="AD353" s="231">
        <f>(INDEX(Models!$BJ353:$BT353,,AH353)*(1-AF353)+INDEX(Models!$BJ353:$BT353,,AH353+1)*AF353-ERP_i)*AE353*Ramure*Pc/MaxiM</f>
        <v>7.9862721001058888E-4</v>
      </c>
      <c r="AE353" s="305">
        <f t="shared" si="142"/>
        <v>0.5</v>
      </c>
      <c r="AF353" s="177">
        <f t="shared" si="143"/>
        <v>0.49722137795516241</v>
      </c>
      <c r="AG353" s="811">
        <f t="shared" si="149"/>
        <v>1</v>
      </c>
      <c r="AH353" s="176">
        <f t="shared" si="144"/>
        <v>7</v>
      </c>
      <c r="AI353" s="225">
        <f t="shared" si="145"/>
        <v>1.4972213779551624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'2023'!Wh/'2023'!Env_an*'2024'!Env_an</f>
        <v>10.973960089318574</v>
      </c>
      <c r="C354" s="841"/>
      <c r="D354" s="393">
        <f t="shared" si="127"/>
        <v>11.559165341288734</v>
      </c>
      <c r="E354" s="385">
        <f t="shared" si="125"/>
        <v>11.844927567256207</v>
      </c>
      <c r="F354" s="385">
        <f t="shared" si="128"/>
        <v>11.847146725428347</v>
      </c>
      <c r="G354" s="110">
        <f t="shared" si="126"/>
        <v>0.46313922427023779</v>
      </c>
      <c r="H354" s="414" t="b">
        <f>Wh_hp&gt;='2023'!Maxi_hp</f>
        <v>0</v>
      </c>
      <c r="I354" s="390">
        <f>IF(H354,Wh_hp,'2023'!Maxi_hp)</f>
        <v>20.632916228723204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5.0626947075481099E-2</v>
      </c>
      <c r="M354" s="845"/>
      <c r="N354" s="845"/>
      <c r="O354" s="48">
        <f>IF(t&lt;Tnet,'2023'!Resal+('2023'!Salim-'2023'!Resal)*(1-EXP(('2023'!Tnet-t)/('2023'!Tau_j))),Resal+(Salim-Resal)*(1-EXP((Tnet-t)/(Tau_j))))*Salcycl</f>
        <v>2.4125282687031825E-2</v>
      </c>
      <c r="P354" s="169">
        <f>(INDEX(Models!$BJ354:$BT354,,T354)*(1-R354)+INDEX(Models!$BJ354:$BT354,,T354+1)*R354-ERP_i)*Q354*Ramure*Pc/MaxiM</f>
        <v>8.023353311883614E-4</v>
      </c>
      <c r="Q354" s="305">
        <f t="shared" si="130"/>
        <v>0.5</v>
      </c>
      <c r="R354" s="177">
        <f t="shared" si="131"/>
        <v>0.49723477974968522</v>
      </c>
      <c r="S354" s="811">
        <f t="shared" si="132"/>
        <v>1</v>
      </c>
      <c r="T354" s="176">
        <f t="shared" si="133"/>
        <v>7</v>
      </c>
      <c r="U354" s="251">
        <f t="shared" si="134"/>
        <v>1.4972347797496852</v>
      </c>
      <c r="V354" s="383">
        <f t="shared" si="135"/>
        <v>23.680157176747294</v>
      </c>
      <c r="W354" s="402">
        <f t="shared" si="136"/>
        <v>10.973960089318574</v>
      </c>
      <c r="X354" s="157">
        <f t="shared" si="137"/>
        <v>45631</v>
      </c>
      <c r="Y354" s="385">
        <f t="shared" si="138"/>
        <v>10.351746239688492</v>
      </c>
      <c r="Z354" s="385">
        <f t="shared" si="139"/>
        <v>10.903770870471</v>
      </c>
      <c r="AA354" s="386">
        <f t="shared" si="140"/>
        <v>11.844927567256207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7.9456517690062928E-2</v>
      </c>
      <c r="AD354" s="231">
        <f>(INDEX(Models!$BJ354:$BT354,,AH354)*(1-AF354)+INDEX(Models!$BJ354:$BT354,,AH354+1)*AF354-ERP_i)*AE354*Ramure*Pc/MaxiM</f>
        <v>8.023353311883614E-4</v>
      </c>
      <c r="AE354" s="305">
        <f t="shared" si="142"/>
        <v>0.5</v>
      </c>
      <c r="AF354" s="177">
        <f t="shared" si="143"/>
        <v>0.49723477974968522</v>
      </c>
      <c r="AG354" s="811">
        <f t="shared" si="149"/>
        <v>1</v>
      </c>
      <c r="AH354" s="176">
        <f t="shared" si="144"/>
        <v>7</v>
      </c>
      <c r="AI354" s="225">
        <f t="shared" si="145"/>
        <v>1.4972347797496852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'2023'!Wh/'2023'!Env_an*'2024'!Env_an</f>
        <v>19.91135038947559</v>
      </c>
      <c r="C355" s="841"/>
      <c r="D355" s="393">
        <f t="shared" si="127"/>
        <v>20.973616690893685</v>
      </c>
      <c r="E355" s="385">
        <f t="shared" si="125"/>
        <v>21.493714682340954</v>
      </c>
      <c r="F355" s="385">
        <f t="shared" si="128"/>
        <v>21.507232722546895</v>
      </c>
      <c r="G355" s="110">
        <f t="shared" si="126"/>
        <v>0.84598280732181552</v>
      </c>
      <c r="H355" s="414" t="b">
        <f>Wh_hp&gt;='2023'!Maxi_hp</f>
        <v>0</v>
      </c>
      <c r="I355" s="390">
        <f>IF(H355,Wh_hp,'2023'!Maxi_hp)</f>
        <v>21.50868791118263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5.0647740781841866E-2</v>
      </c>
      <c r="M355" s="845"/>
      <c r="N355" s="845"/>
      <c r="O355" s="48">
        <f>IF(t&lt;Tnet,'2023'!Resal+('2023'!Salim-'2023'!Resal)*(1-EXP(('2023'!Tnet-t)/('2023'!Tau_j))),Resal+(Salim-Resal)*(1-EXP((Tnet-t)/(Tau_j))))*Salcycl</f>
        <v>2.4197678211229645E-2</v>
      </c>
      <c r="P355" s="169">
        <f>(INDEX(Models!$BJ355:$BT355,,T355)*(1-R355)+INDEX(Models!$BJ355:$BT355,,T355+1)*R355-ERP_i)*Q355*Ramure*Pc/MaxiM</f>
        <v>8.0561775424538241E-4</v>
      </c>
      <c r="Q355" s="305">
        <f t="shared" si="130"/>
        <v>0.5</v>
      </c>
      <c r="R355" s="177">
        <f t="shared" si="131"/>
        <v>0.49724764262397025</v>
      </c>
      <c r="S355" s="811">
        <f t="shared" si="132"/>
        <v>1</v>
      </c>
      <c r="T355" s="176">
        <f t="shared" si="133"/>
        <v>7</v>
      </c>
      <c r="U355" s="251">
        <f t="shared" si="134"/>
        <v>1.4972476426239703</v>
      </c>
      <c r="V355" s="383">
        <f t="shared" si="135"/>
        <v>23.532182965337565</v>
      </c>
      <c r="W355" s="402">
        <f t="shared" si="136"/>
        <v>19.91135038947559</v>
      </c>
      <c r="X355" s="157">
        <f t="shared" si="137"/>
        <v>45632</v>
      </c>
      <c r="Y355" s="385">
        <f t="shared" si="138"/>
        <v>18.783638475077435</v>
      </c>
      <c r="Z355" s="385">
        <f t="shared" si="139"/>
        <v>19.785741586107097</v>
      </c>
      <c r="AA355" s="386">
        <f t="shared" si="140"/>
        <v>21.493714682340954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7.946383961433677E-2</v>
      </c>
      <c r="AD355" s="231">
        <f>(INDEX(Models!$BJ355:$BT355,,AH355)*(1-AF355)+INDEX(Models!$BJ355:$BT355,,AH355+1)*AF355-ERP_i)*AE355*Ramure*Pc/MaxiM</f>
        <v>8.0561775424538241E-4</v>
      </c>
      <c r="AE355" s="305">
        <f t="shared" si="142"/>
        <v>0.5</v>
      </c>
      <c r="AF355" s="177">
        <f t="shared" si="143"/>
        <v>0.49724764262397025</v>
      </c>
      <c r="AG355" s="811">
        <f t="shared" si="149"/>
        <v>1</v>
      </c>
      <c r="AH355" s="176">
        <f t="shared" si="144"/>
        <v>7</v>
      </c>
      <c r="AI355" s="225">
        <f t="shared" si="145"/>
        <v>1.4972476426239703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'2023'!Wh/'2023'!Env_an*'2024'!Env_an</f>
        <v>4.1105143949056879</v>
      </c>
      <c r="C356" s="841"/>
      <c r="D356" s="393">
        <f t="shared" si="127"/>
        <v>4.3299042981975342</v>
      </c>
      <c r="E356" s="385">
        <f t="shared" si="125"/>
        <v>4.4376065247287251</v>
      </c>
      <c r="F356" s="385">
        <f t="shared" si="128"/>
        <v>4.4376065247287251</v>
      </c>
      <c r="G356" s="110">
        <f t="shared" si="126"/>
        <v>0.17554180392532961</v>
      </c>
      <c r="H356" s="414" t="b">
        <f>Wh_hp&gt;='2023'!Maxi_hp</f>
        <v>0</v>
      </c>
      <c r="I356" s="390">
        <f>IF(H356,Wh_hp,'2023'!Maxi_hp)</f>
        <v>16.757981515209075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5.0668534032767054E-2</v>
      </c>
      <c r="M356" s="845"/>
      <c r="N356" s="845"/>
      <c r="O356" s="48">
        <f>IF(t&lt;Tnet,'2023'!Resal+('2023'!Salim-'2023'!Resal)*(1-EXP(('2023'!Tnet-t)/('2023'!Tau_j))),Resal+(Salim-Resal)*(1-EXP((Tnet-t)/(Tau_j))))*Salcycl</f>
        <v>2.427034166526847E-2</v>
      </c>
      <c r="P356" s="169">
        <f>(INDEX(Models!$BJ356:$BT356,,T356)*(1-R356)+INDEX(Models!$BJ356:$BT356,,T356+1)*R356-ERP_i)*Q356*Ramure*Pc/MaxiM</f>
        <v>8.0841350903756916E-4</v>
      </c>
      <c r="Q356" s="305">
        <f t="shared" si="130"/>
        <v>0.5</v>
      </c>
      <c r="R356" s="177">
        <f t="shared" si="131"/>
        <v>0.49725998822330442</v>
      </c>
      <c r="S356" s="811">
        <f t="shared" si="132"/>
        <v>1</v>
      </c>
      <c r="T356" s="176">
        <f t="shared" si="133"/>
        <v>7</v>
      </c>
      <c r="U356" s="251">
        <f t="shared" si="134"/>
        <v>1.4972599882233044</v>
      </c>
      <c r="V356" s="383">
        <f t="shared" si="135"/>
        <v>23.39722680124008</v>
      </c>
      <c r="W356" s="402">
        <f t="shared" si="136"/>
        <v>4.1105143949056879</v>
      </c>
      <c r="X356" s="157">
        <f t="shared" si="137"/>
        <v>45633</v>
      </c>
      <c r="Y356" s="385">
        <f t="shared" si="138"/>
        <v>3.8779615275623263</v>
      </c>
      <c r="Z356" s="385">
        <f t="shared" si="139"/>
        <v>4.0849394195643125</v>
      </c>
      <c r="AA356" s="386">
        <f t="shared" si="140"/>
        <v>4.4376065247287251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7.9472369440409349E-2</v>
      </c>
      <c r="AD356" s="231">
        <f>(INDEX(Models!$BJ356:$BT356,,AH356)*(1-AF356)+INDEX(Models!$BJ356:$BT356,,AH356+1)*AF356-ERP_i)*AE356*Ramure*Pc/MaxiM</f>
        <v>8.0841350903756916E-4</v>
      </c>
      <c r="AE356" s="305">
        <f t="shared" si="142"/>
        <v>0.5</v>
      </c>
      <c r="AF356" s="177">
        <f t="shared" si="143"/>
        <v>0.49725998822330442</v>
      </c>
      <c r="AG356" s="811">
        <f t="shared" si="149"/>
        <v>1</v>
      </c>
      <c r="AH356" s="176">
        <f t="shared" si="144"/>
        <v>7</v>
      </c>
      <c r="AI356" s="225">
        <f t="shared" si="145"/>
        <v>1.4972599882233044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'2023'!Wh/'2023'!Env_an*'2024'!Env_an</f>
        <v>4.9733385579623857</v>
      </c>
      <c r="C357" s="841"/>
      <c r="D357" s="393">
        <f t="shared" si="127"/>
        <v>5.2388945984837711</v>
      </c>
      <c r="E357" s="385">
        <f t="shared" si="125"/>
        <v>5.3696083975345061</v>
      </c>
      <c r="F357" s="385">
        <f t="shared" si="128"/>
        <v>5.3696083975345061</v>
      </c>
      <c r="G357" s="110">
        <f t="shared" si="126"/>
        <v>0.21348866880273076</v>
      </c>
      <c r="H357" s="414" t="b">
        <f>Wh_hp&gt;='2023'!Maxi_hp</f>
        <v>0</v>
      </c>
      <c r="I357" s="390">
        <f>IF(H357,Wh_hp,'2023'!Maxi_hp)</f>
        <v>11.880379374635188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5.0689326828266767E-2</v>
      </c>
      <c r="M357" s="845"/>
      <c r="N357" s="845"/>
      <c r="O357" s="48">
        <f>IF(t&lt;Tnet,'2023'!Resal+('2023'!Salim-'2023'!Resal)*(1-EXP(('2023'!Tnet-t)/('2023'!Tau_j))),Resal+(Salim-Resal)*(1-EXP((Tnet-t)/(Tau_j))))*Salcycl</f>
        <v>2.4343264792038261E-2</v>
      </c>
      <c r="P357" s="169">
        <f>(INDEX(Models!$BJ357:$BT357,,T357)*(1-R357)+INDEX(Models!$BJ357:$BT357,,T357+1)*R357-ERP_i)*Q357*Ramure*Pc/MaxiM</f>
        <v>8.1066038853586987E-4</v>
      </c>
      <c r="Q357" s="305">
        <f t="shared" si="130"/>
        <v>0.5</v>
      </c>
      <c r="R357" s="177">
        <f t="shared" si="131"/>
        <v>0.49727183732566438</v>
      </c>
      <c r="S357" s="811">
        <f t="shared" si="132"/>
        <v>1</v>
      </c>
      <c r="T357" s="176">
        <f t="shared" si="133"/>
        <v>7</v>
      </c>
      <c r="U357" s="251">
        <f t="shared" si="134"/>
        <v>1.4972718373256644</v>
      </c>
      <c r="V357" s="383">
        <f t="shared" si="135"/>
        <v>23.276677386500733</v>
      </c>
      <c r="W357" s="402">
        <f t="shared" si="136"/>
        <v>4.9733385579623857</v>
      </c>
      <c r="X357" s="157">
        <f t="shared" si="137"/>
        <v>45634</v>
      </c>
      <c r="Y357" s="385">
        <f t="shared" si="138"/>
        <v>4.6922725523202908</v>
      </c>
      <c r="Z357" s="385">
        <f t="shared" si="139"/>
        <v>4.9428208119086889</v>
      </c>
      <c r="AA357" s="386">
        <f t="shared" si="140"/>
        <v>5.3696083975345061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7.9482069087529805E-2</v>
      </c>
      <c r="AD357" s="231">
        <f>(INDEX(Models!$BJ357:$BT357,,AH357)*(1-AF357)+INDEX(Models!$BJ357:$BT357,,AH357+1)*AF357-ERP_i)*AE357*Ramure*Pc/MaxiM</f>
        <v>8.1066038853586987E-4</v>
      </c>
      <c r="AE357" s="305">
        <f t="shared" si="142"/>
        <v>0.5</v>
      </c>
      <c r="AF357" s="177">
        <f t="shared" si="143"/>
        <v>0.49727183732566438</v>
      </c>
      <c r="AG357" s="811">
        <f t="shared" si="149"/>
        <v>1</v>
      </c>
      <c r="AH357" s="176">
        <f t="shared" si="144"/>
        <v>7</v>
      </c>
      <c r="AI357" s="225">
        <f t="shared" si="145"/>
        <v>1.4972718373256644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'2023'!Wh/'2023'!Env_an*'2024'!Env_an</f>
        <v>11.706615701171302</v>
      </c>
      <c r="C358" s="841"/>
      <c r="D358" s="393">
        <f t="shared" si="127"/>
        <v>12.33197144260658</v>
      </c>
      <c r="E358" s="385">
        <f t="shared" si="125"/>
        <v>12.640610121039009</v>
      </c>
      <c r="F358" s="385">
        <f t="shared" si="128"/>
        <v>12.643620904653149</v>
      </c>
      <c r="G358" s="110">
        <f t="shared" si="126"/>
        <v>0.50491677268614354</v>
      </c>
      <c r="H358" s="414" t="b">
        <f>Wh_hp&gt;='2023'!Maxi_hp</f>
        <v>0</v>
      </c>
      <c r="I358" s="390">
        <f>IF(H358,Wh_hp,'2023'!Maxi_hp)</f>
        <v>21.95872257479607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5.0710119168350776E-2</v>
      </c>
      <c r="M358" s="845"/>
      <c r="N358" s="845"/>
      <c r="O358" s="48">
        <f>IF(t&lt;Tnet,'2023'!Resal+('2023'!Salim-'2023'!Resal)*(1-EXP(('2023'!Tnet-t)/('2023'!Tau_j))),Resal+(Salim-Resal)*(1-EXP((Tnet-t)/(Tau_j))))*Salcycl</f>
        <v>2.4416438405827485E-2</v>
      </c>
      <c r="P358" s="169">
        <f>(INDEX(Models!$BJ358:$BT358,,T358)*(1-R358)+INDEX(Models!$BJ358:$BT358,,T358+1)*R358-ERP_i)*Q358*Ramure*Pc/MaxiM</f>
        <v>8.1229564457326389E-4</v>
      </c>
      <c r="Q358" s="305">
        <f t="shared" si="130"/>
        <v>0.5</v>
      </c>
      <c r="R358" s="177">
        <f t="shared" si="131"/>
        <v>0.49728320987630892</v>
      </c>
      <c r="S358" s="811">
        <f t="shared" si="132"/>
        <v>1</v>
      </c>
      <c r="T358" s="176">
        <f t="shared" si="133"/>
        <v>7</v>
      </c>
      <c r="U358" s="251">
        <f t="shared" si="134"/>
        <v>1.4972832098763089</v>
      </c>
      <c r="V358" s="383">
        <f t="shared" si="135"/>
        <v>23.171922894695832</v>
      </c>
      <c r="W358" s="402">
        <f t="shared" si="136"/>
        <v>11.706615701171302</v>
      </c>
      <c r="X358" s="157">
        <f t="shared" si="137"/>
        <v>45635</v>
      </c>
      <c r="Y358" s="385">
        <f t="shared" si="138"/>
        <v>11.045720037147321</v>
      </c>
      <c r="Z358" s="385">
        <f t="shared" si="139"/>
        <v>11.635771391000651</v>
      </c>
      <c r="AA358" s="386">
        <f t="shared" si="140"/>
        <v>12.640610121039009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7.9492897923171116E-2</v>
      </c>
      <c r="AD358" s="231">
        <f>(INDEX(Models!$BJ358:$BT358,,AH358)*(1-AF358)+INDEX(Models!$BJ358:$BT358,,AH358+1)*AF358-ERP_i)*AE358*Ramure*Pc/MaxiM</f>
        <v>8.1229564457326389E-4</v>
      </c>
      <c r="AE358" s="305">
        <f t="shared" si="142"/>
        <v>0.5</v>
      </c>
      <c r="AF358" s="177">
        <f t="shared" si="143"/>
        <v>0.49728320987630892</v>
      </c>
      <c r="AG358" s="811">
        <f t="shared" si="149"/>
        <v>1</v>
      </c>
      <c r="AH358" s="176">
        <f t="shared" si="144"/>
        <v>7</v>
      </c>
      <c r="AI358" s="225">
        <f t="shared" si="145"/>
        <v>1.4972832098763089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'2023'!Wh/'2023'!Env_an*'2024'!Env_an</f>
        <v>16.354188990898876</v>
      </c>
      <c r="C359" s="841"/>
      <c r="D359" s="393">
        <f t="shared" si="127"/>
        <v>17.228190806297786</v>
      </c>
      <c r="E359" s="385">
        <f t="shared" si="125"/>
        <v>17.660698712450138</v>
      </c>
      <c r="F359" s="385">
        <f t="shared" si="128"/>
        <v>17.669087365271213</v>
      </c>
      <c r="G359" s="110">
        <f t="shared" si="126"/>
        <v>0.70833627232653917</v>
      </c>
      <c r="H359" s="414" t="b">
        <f>Wh_hp&gt;='2023'!Maxi_hp</f>
        <v>0</v>
      </c>
      <c r="I359" s="390">
        <f>IF(H359,Wh_hp,'2023'!Maxi_hp)</f>
        <v>18.260406248134906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5.0730911053029293E-2</v>
      </c>
      <c r="M359" s="845"/>
      <c r="N359" s="845"/>
      <c r="O359" s="48">
        <f>IF(t&lt;Tnet,'2023'!Resal+('2023'!Salim-'2023'!Resal)*(1-EXP(('2023'!Tnet-t)/('2023'!Tau_j))),Resal+(Salim-Resal)*(1-EXP((Tnet-t)/(Tau_j))))*Salcycl</f>
        <v>2.4489852479474727E-2</v>
      </c>
      <c r="P359" s="169">
        <f>(INDEX(Models!$BJ359:$BT359,,T359)*(1-R359)+INDEX(Models!$BJ359:$BT359,,T359+1)*R359-ERP_i)*Q359*Ramure*Pc/MaxiM</f>
        <v>8.1339769133675975E-4</v>
      </c>
      <c r="Q359" s="305">
        <f t="shared" si="130"/>
        <v>0.5</v>
      </c>
      <c r="R359" s="177">
        <f t="shared" si="131"/>
        <v>0.49729412502100034</v>
      </c>
      <c r="S359" s="811">
        <f t="shared" si="132"/>
        <v>1</v>
      </c>
      <c r="T359" s="176">
        <f t="shared" si="133"/>
        <v>7</v>
      </c>
      <c r="U359" s="251">
        <f t="shared" si="134"/>
        <v>1.4972941250210003</v>
      </c>
      <c r="V359" s="383">
        <f t="shared" si="135"/>
        <v>23.080348875894334</v>
      </c>
      <c r="W359" s="402">
        <f t="shared" si="136"/>
        <v>16.354188990898876</v>
      </c>
      <c r="X359" s="157">
        <f t="shared" si="137"/>
        <v>45636</v>
      </c>
      <c r="Y359" s="385">
        <f t="shared" si="138"/>
        <v>15.431876634352424</v>
      </c>
      <c r="Z359" s="385">
        <f t="shared" si="139"/>
        <v>16.256588162447265</v>
      </c>
      <c r="AA359" s="386">
        <f t="shared" si="140"/>
        <v>17.660698712450138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7.9504813080415029E-2</v>
      </c>
      <c r="AD359" s="231">
        <f>(INDEX(Models!$BJ359:$BT359,,AH359)*(1-AF359)+INDEX(Models!$BJ359:$BT359,,AH359+1)*AF359-ERP_i)*AE359*Ramure*Pc/MaxiM</f>
        <v>8.1339769133675975E-4</v>
      </c>
      <c r="AE359" s="305">
        <f t="shared" si="142"/>
        <v>0.5</v>
      </c>
      <c r="AF359" s="177">
        <f t="shared" si="143"/>
        <v>0.49729412502100034</v>
      </c>
      <c r="AG359" s="811">
        <f t="shared" si="149"/>
        <v>1</v>
      </c>
      <c r="AH359" s="176">
        <f t="shared" si="144"/>
        <v>7</v>
      </c>
      <c r="AI359" s="225">
        <f t="shared" si="145"/>
        <v>1.4972941250210003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'2023'!Wh/'2023'!Env_an*'2024'!Env_an</f>
        <v>5.6954670063724739</v>
      </c>
      <c r="C360" s="841"/>
      <c r="D360" s="393">
        <f t="shared" si="127"/>
        <v>5.9999760033979381</v>
      </c>
      <c r="E360" s="385">
        <f t="shared" si="125"/>
        <v>6.1510677324870562</v>
      </c>
      <c r="F360" s="385">
        <f t="shared" si="128"/>
        <v>6.1510677324870562</v>
      </c>
      <c r="G360" s="110">
        <f t="shared" si="126"/>
        <v>0.24744274437377334</v>
      </c>
      <c r="H360" s="414" t="b">
        <f>Wh_hp&gt;='2023'!Maxi_hp</f>
        <v>0</v>
      </c>
      <c r="I360" s="390">
        <f>IF(H360,Wh_hp,'2023'!Maxi_hp)</f>
        <v>23.792403120855759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5.0751702482312089E-2</v>
      </c>
      <c r="M360" s="845"/>
      <c r="N360" s="845"/>
      <c r="O360" s="48">
        <f>IF(t&lt;Tnet,'2023'!Resal+('2023'!Salim-'2023'!Resal)*(1-EXP(('2023'!Tnet-t)/('2023'!Tau_j))),Resal+(Salim-Resal)*(1-EXP((Tnet-t)/(Tau_j))))*Salcycl</f>
        <v>2.4563496235153224E-2</v>
      </c>
      <c r="P360" s="169">
        <f>(INDEX(Models!$BJ360:$BT360,,T360)*(1-R360)+INDEX(Models!$BJ360:$BT360,,T360+1)*R360-ERP_i)*Q360*Ramure*Pc/MaxiM</f>
        <v>8.1407531760355634E-4</v>
      </c>
      <c r="Q360" s="305">
        <f t="shared" si="130"/>
        <v>0.5</v>
      </c>
      <c r="R360" s="177">
        <f t="shared" si="131"/>
        <v>0.49730460113791497</v>
      </c>
      <c r="S360" s="811">
        <f t="shared" si="132"/>
        <v>1</v>
      </c>
      <c r="T360" s="176">
        <f t="shared" si="133"/>
        <v>7</v>
      </c>
      <c r="U360" s="251">
        <f t="shared" si="134"/>
        <v>1.497304601137915</v>
      </c>
      <c r="V360" s="383">
        <f t="shared" si="135"/>
        <v>22.998574808336699</v>
      </c>
      <c r="W360" s="402">
        <f t="shared" si="136"/>
        <v>5.6954670063724739</v>
      </c>
      <c r="X360" s="157">
        <f t="shared" si="137"/>
        <v>45637</v>
      </c>
      <c r="Y360" s="385">
        <f t="shared" si="138"/>
        <v>5.3745950166176124</v>
      </c>
      <c r="Z360" s="385">
        <f t="shared" si="139"/>
        <v>5.6619485446245577</v>
      </c>
      <c r="AA360" s="386">
        <f t="shared" si="140"/>
        <v>6.1510677324870562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7.9517769781529191E-2</v>
      </c>
      <c r="AD360" s="231">
        <f>(INDEX(Models!$BJ360:$BT360,,AH360)*(1-AF360)+INDEX(Models!$BJ360:$BT360,,AH360+1)*AF360-ERP_i)*AE360*Ramure*Pc/MaxiM</f>
        <v>8.1407531760355634E-4</v>
      </c>
      <c r="AE360" s="305">
        <f t="shared" si="142"/>
        <v>0.5</v>
      </c>
      <c r="AF360" s="177">
        <f t="shared" si="143"/>
        <v>0.49730460113791497</v>
      </c>
      <c r="AG360" s="811">
        <f t="shared" si="149"/>
        <v>1</v>
      </c>
      <c r="AH360" s="176">
        <f t="shared" si="144"/>
        <v>7</v>
      </c>
      <c r="AI360" s="225">
        <f t="shared" si="145"/>
        <v>1.497304601137915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'2023'!Wh/'2023'!Env_an*'2024'!Env_an</f>
        <v>5.406401478154879</v>
      </c>
      <c r="C361" s="841"/>
      <c r="D361" s="393">
        <f t="shared" si="127"/>
        <v>5.6955802912201694</v>
      </c>
      <c r="E361" s="385">
        <f t="shared" ref="E361:E380" si="150">Wh_pvt/(1-Psa)</f>
        <v>5.8394488853204392</v>
      </c>
      <c r="F361" s="385">
        <f t="shared" si="128"/>
        <v>5.8394488853204392</v>
      </c>
      <c r="G361" s="110">
        <f t="shared" ref="G361:G380" si="151">+Wh_hp/MaxiM</f>
        <v>0.23561900150698958</v>
      </c>
      <c r="H361" s="414" t="b">
        <f>Wh_hp&gt;='2023'!Maxi_hp</f>
        <v>0</v>
      </c>
      <c r="I361" s="390">
        <f>IF(H361,Wh_hp,'2023'!Maxi_hp)</f>
        <v>25.480851358483925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5.0772493456209267E-2</v>
      </c>
      <c r="M361" s="845"/>
      <c r="N361" s="845"/>
      <c r="O361" s="48">
        <f>IF(t&lt;Tnet,'2023'!Resal+('2023'!Salim-'2023'!Resal)*(1-EXP(('2023'!Tnet-t)/('2023'!Tau_j))),Resal+(Salim-Resal)*(1-EXP((Tnet-t)/(Tau_j))))*Salcycl</f>
        <v>2.4637358238024015E-2</v>
      </c>
      <c r="P361" s="169">
        <f>(INDEX(Models!$BJ361:$BT361,,T361)*(1-R361)+INDEX(Models!$BJ361:$BT361,,T361+1)*R361-ERP_i)*Q361*Ramure*Pc/MaxiM</f>
        <v>8.1466634219650076E-4</v>
      </c>
      <c r="Q361" s="305">
        <f t="shared" si="130"/>
        <v>0.5</v>
      </c>
      <c r="R361" s="177">
        <f t="shared" si="131"/>
        <v>0.49731465586829104</v>
      </c>
      <c r="S361" s="811">
        <f t="shared" si="132"/>
        <v>1</v>
      </c>
      <c r="T361" s="176">
        <f t="shared" si="133"/>
        <v>7</v>
      </c>
      <c r="U361" s="251">
        <f t="shared" si="134"/>
        <v>1.497314655868291</v>
      </c>
      <c r="V361" s="383">
        <f t="shared" si="135"/>
        <v>22.926831156603367</v>
      </c>
      <c r="W361" s="402">
        <f t="shared" si="136"/>
        <v>5.406401478154879</v>
      </c>
      <c r="X361" s="157">
        <f t="shared" si="137"/>
        <v>45638</v>
      </c>
      <c r="Y361" s="385">
        <f t="shared" si="138"/>
        <v>5.1021239152590789</v>
      </c>
      <c r="Z361" s="385">
        <f t="shared" si="139"/>
        <v>5.3750274618950922</v>
      </c>
      <c r="AA361" s="386">
        <f t="shared" si="140"/>
        <v>5.8394488853204392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7.9531721665179356E-2</v>
      </c>
      <c r="AD361" s="231">
        <f>(INDEX(Models!$BJ361:$BT361,,AH361)*(1-AF361)+INDEX(Models!$BJ361:$BT361,,AH361+1)*AF361-ERP_i)*AE361*Ramure*Pc/MaxiM</f>
        <v>8.1466634219650076E-4</v>
      </c>
      <c r="AE361" s="305">
        <f t="shared" si="142"/>
        <v>0.5</v>
      </c>
      <c r="AF361" s="177">
        <f t="shared" si="143"/>
        <v>0.49731465586829104</v>
      </c>
      <c r="AG361" s="811">
        <f t="shared" si="149"/>
        <v>1</v>
      </c>
      <c r="AH361" s="176">
        <f t="shared" si="144"/>
        <v>7</v>
      </c>
      <c r="AI361" s="225">
        <f t="shared" si="145"/>
        <v>1.497314655868291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'2023'!Wh/'2023'!Env_an*'2024'!Env_an</f>
        <v>17.154485207532378</v>
      </c>
      <c r="C362" s="841"/>
      <c r="D362" s="393">
        <f t="shared" si="127"/>
        <v>18.072443987085848</v>
      </c>
      <c r="E362" s="385">
        <f t="shared" si="150"/>
        <v>18.530355505018324</v>
      </c>
      <c r="F362" s="385">
        <f t="shared" si="128"/>
        <v>18.540076190388383</v>
      </c>
      <c r="G362" s="110">
        <f t="shared" si="151"/>
        <v>0.75002081167404056</v>
      </c>
      <c r="H362" s="414" t="b">
        <f>Wh_hp&gt;='2023'!Maxi_hp</f>
        <v>0</v>
      </c>
      <c r="I362" s="390">
        <f>IF(H362,Wh_hp,'2023'!Maxi_hp)</f>
        <v>22.845836803064749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5.0793283974730818E-2</v>
      </c>
      <c r="M362" s="845"/>
      <c r="N362" s="845"/>
      <c r="O362" s="48">
        <f>IF(t&lt;Tnet,'2023'!Resal+('2023'!Salim-'2023'!Resal)*(1-EXP(('2023'!Tnet-t)/('2023'!Tau_j))),Resal+(Salim-Resal)*(1-EXP((Tnet-t)/(Tau_j))))*Salcycl</f>
        <v>2.4711426491977731E-2</v>
      </c>
      <c r="P362" s="169">
        <f>(INDEX(Models!$BJ362:$BT362,,T362)*(1-R362)+INDEX(Models!$BJ362:$BT362,,T362+1)*R362-ERP_i)*Q362*Ramure*Pc/MaxiM</f>
        <v>8.1515495647615946E-4</v>
      </c>
      <c r="Q362" s="305">
        <f t="shared" si="130"/>
        <v>0.5</v>
      </c>
      <c r="R362" s="177">
        <f t="shared" si="131"/>
        <v>0.49732430614586032</v>
      </c>
      <c r="S362" s="811">
        <f t="shared" si="132"/>
        <v>1</v>
      </c>
      <c r="T362" s="176">
        <f t="shared" si="133"/>
        <v>7</v>
      </c>
      <c r="U362" s="251">
        <f t="shared" si="134"/>
        <v>1.4973243061458603</v>
      </c>
      <c r="V362" s="383">
        <f t="shared" si="135"/>
        <v>22.865356494685322</v>
      </c>
      <c r="W362" s="402">
        <f t="shared" si="136"/>
        <v>17.154485207532378</v>
      </c>
      <c r="X362" s="157">
        <f t="shared" si="137"/>
        <v>45639</v>
      </c>
      <c r="Y362" s="385">
        <f t="shared" si="138"/>
        <v>16.189981407775367</v>
      </c>
      <c r="Z362" s="385">
        <f t="shared" si="139"/>
        <v>17.056328336539465</v>
      </c>
      <c r="AA362" s="386">
        <f t="shared" si="140"/>
        <v>18.530355505018324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7.9546621114725283E-2</v>
      </c>
      <c r="AD362" s="231">
        <f>(INDEX(Models!$BJ362:$BT362,,AH362)*(1-AF362)+INDEX(Models!$BJ362:$BT362,,AH362+1)*AF362-ERP_i)*AE362*Ramure*Pc/MaxiM</f>
        <v>8.1515495647615946E-4</v>
      </c>
      <c r="AE362" s="305">
        <f t="shared" si="142"/>
        <v>0.5</v>
      </c>
      <c r="AF362" s="177">
        <f t="shared" si="143"/>
        <v>0.49732430614586032</v>
      </c>
      <c r="AG362" s="811">
        <f t="shared" si="149"/>
        <v>1</v>
      </c>
      <c r="AH362" s="176">
        <f t="shared" si="144"/>
        <v>7</v>
      </c>
      <c r="AI362" s="225">
        <f t="shared" si="145"/>
        <v>1.4973243061458603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'2023'!Wh/'2023'!Env_an*'2024'!Env_an</f>
        <v>5.6901100301554912</v>
      </c>
      <c r="C363" s="841"/>
      <c r="D363" s="393">
        <f t="shared" si="127"/>
        <v>5.9947265067040307</v>
      </c>
      <c r="E363" s="385">
        <f t="shared" si="150"/>
        <v>6.1470862724613289</v>
      </c>
      <c r="F363" s="385">
        <f t="shared" si="128"/>
        <v>6.1470862724613289</v>
      </c>
      <c r="G363" s="110">
        <f t="shared" si="151"/>
        <v>0.24920542593574227</v>
      </c>
      <c r="H363" s="414" t="b">
        <f>Wh_hp&gt;='2023'!Maxi_hp</f>
        <v>0</v>
      </c>
      <c r="I363" s="390">
        <f>IF(H363,Wh_hp,'2023'!Maxi_hp)</f>
        <v>25.557265904120406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5.0814074037886514E-2</v>
      </c>
      <c r="M363" s="845"/>
      <c r="N363" s="845"/>
      <c r="O363" s="48">
        <f>IF(t&lt;Tnet,'2023'!Resal+('2023'!Salim-'2023'!Resal)*(1-EXP(('2023'!Tnet-t)/('2023'!Tau_j))),Resal+(Salim-Resal)*(1-EXP((Tnet-t)/(Tau_j))))*Salcycl</f>
        <v>2.4785688536675173E-2</v>
      </c>
      <c r="P363" s="169">
        <f>(INDEX(Models!$BJ363:$BT363,,T363)*(1-R363)+INDEX(Models!$BJ363:$BT363,,T363+1)*R363-ERP_i)*Q363*Ramure*Pc/MaxiM</f>
        <v>8.1552542902571501E-4</v>
      </c>
      <c r="Q363" s="305">
        <f t="shared" si="130"/>
        <v>0.5</v>
      </c>
      <c r="R363" s="177">
        <f t="shared" si="131"/>
        <v>0.49733356822511676</v>
      </c>
      <c r="S363" s="811">
        <f t="shared" si="132"/>
        <v>1</v>
      </c>
      <c r="T363" s="176">
        <f t="shared" si="133"/>
        <v>7</v>
      </c>
      <c r="U363" s="251">
        <f t="shared" si="134"/>
        <v>1.4973335682251168</v>
      </c>
      <c r="V363" s="383">
        <f t="shared" si="135"/>
        <v>22.814389291017868</v>
      </c>
      <c r="W363" s="402">
        <f t="shared" si="136"/>
        <v>5.6901100301554912</v>
      </c>
      <c r="X363" s="157">
        <f t="shared" si="137"/>
        <v>45640</v>
      </c>
      <c r="Y363" s="385">
        <f t="shared" si="138"/>
        <v>5.3705027160565582</v>
      </c>
      <c r="Z363" s="385">
        <f t="shared" si="139"/>
        <v>5.6580092152261017</v>
      </c>
      <c r="AA363" s="386">
        <f t="shared" si="140"/>
        <v>6.1470862724613289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7.9562419585075733E-2</v>
      </c>
      <c r="AD363" s="231">
        <f>(INDEX(Models!$BJ363:$BT363,,AH363)*(1-AF363)+INDEX(Models!$BJ363:$BT363,,AH363+1)*AF363-ERP_i)*AE363*Ramure*Pc/MaxiM</f>
        <v>8.1552542902571501E-4</v>
      </c>
      <c r="AE363" s="305">
        <f t="shared" si="142"/>
        <v>0.5</v>
      </c>
      <c r="AF363" s="177">
        <f t="shared" si="143"/>
        <v>0.49733356822511676</v>
      </c>
      <c r="AG363" s="811">
        <f t="shared" si="149"/>
        <v>1</v>
      </c>
      <c r="AH363" s="176">
        <f t="shared" si="144"/>
        <v>7</v>
      </c>
      <c r="AI363" s="225">
        <f t="shared" si="145"/>
        <v>1.4973335682251168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'2023'!Wh/'2023'!Env_an*'2024'!Env_an</f>
        <v>4.8484329922082301</v>
      </c>
      <c r="C364" s="841"/>
      <c r="D364" s="393">
        <f t="shared" si="127"/>
        <v>5.1081026962608123</v>
      </c>
      <c r="E364" s="385">
        <f t="shared" si="150"/>
        <v>5.2383282250109682</v>
      </c>
      <c r="F364" s="385">
        <f t="shared" si="128"/>
        <v>5.2383282250109682</v>
      </c>
      <c r="G364" s="110">
        <f t="shared" si="151"/>
        <v>0.21271810416658399</v>
      </c>
      <c r="H364" s="414" t="b">
        <f>Wh_hp&gt;='2023'!Maxi_hp</f>
        <v>0</v>
      </c>
      <c r="I364" s="390">
        <f>IF(H364,Wh_hp,'2023'!Maxi_hp)</f>
        <v>25.18523938599883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5.0834863645686568E-2</v>
      </c>
      <c r="M364" s="845"/>
      <c r="N364" s="845"/>
      <c r="O364" s="48">
        <f>IF(t&lt;Tnet,'2023'!Resal+('2023'!Salim-'2023'!Resal)*(1-EXP(('2023'!Tnet-t)/('2023'!Tau_j))),Resal+(Salim-Resal)*(1-EXP((Tnet-t)/(Tau_j))))*Salcycl</f>
        <v>2.4860131545094848E-2</v>
      </c>
      <c r="P364" s="169">
        <f>(INDEX(Models!$BJ364:$BT364,,T364)*(1-R364)+INDEX(Models!$BJ364:$BT364,,T364+1)*R364-ERP_i)*Q364*Ramure*Pc/MaxiM</f>
        <v>8.1576222729594816E-4</v>
      </c>
      <c r="Q364" s="305">
        <f t="shared" si="130"/>
        <v>0.5</v>
      </c>
      <c r="R364" s="177">
        <f t="shared" si="131"/>
        <v>0.49734245770846197</v>
      </c>
      <c r="S364" s="811">
        <f t="shared" si="132"/>
        <v>1</v>
      </c>
      <c r="T364" s="176">
        <f t="shared" si="133"/>
        <v>7</v>
      </c>
      <c r="U364" s="251">
        <f t="shared" si="134"/>
        <v>1.497342457708462</v>
      </c>
      <c r="V364" s="383">
        <f t="shared" si="135"/>
        <v>22.774167919049329</v>
      </c>
      <c r="W364" s="402">
        <f t="shared" si="136"/>
        <v>4.8484329922082301</v>
      </c>
      <c r="X364" s="157">
        <f t="shared" si="137"/>
        <v>45641</v>
      </c>
      <c r="Y364" s="385">
        <f t="shared" si="138"/>
        <v>4.576368332534039</v>
      </c>
      <c r="Z364" s="385">
        <f t="shared" si="139"/>
        <v>4.8214669473760869</v>
      </c>
      <c r="AA364" s="386">
        <f t="shared" si="140"/>
        <v>5.2383282250109682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7.9579067925627744E-2</v>
      </c>
      <c r="AD364" s="231">
        <f>(INDEX(Models!$BJ364:$BT364,,AH364)*(1-AF364)+INDEX(Models!$BJ364:$BT364,,AH364+1)*AF364-ERP_i)*AE364*Ramure*Pc/MaxiM</f>
        <v>8.1576222729594816E-4</v>
      </c>
      <c r="AE364" s="305">
        <f t="shared" si="142"/>
        <v>0.5</v>
      </c>
      <c r="AF364" s="177">
        <f t="shared" si="143"/>
        <v>0.49734245770846197</v>
      </c>
      <c r="AG364" s="811">
        <f t="shared" si="149"/>
        <v>1</v>
      </c>
      <c r="AH364" s="176">
        <f t="shared" si="144"/>
        <v>7</v>
      </c>
      <c r="AI364" s="225">
        <f t="shared" si="145"/>
        <v>1.497342457708462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'2023'!Wh/'2023'!Env_an*'2024'!Env_an</f>
        <v>3.5430659053052693</v>
      </c>
      <c r="C365" s="841"/>
      <c r="D365" s="393">
        <f t="shared" si="127"/>
        <v>3.7329052380182888</v>
      </c>
      <c r="E365" s="385">
        <f t="shared" si="150"/>
        <v>3.8283645212485533</v>
      </c>
      <c r="F365" s="385">
        <f t="shared" si="128"/>
        <v>3.8283645212485533</v>
      </c>
      <c r="G365" s="110">
        <f t="shared" si="151"/>
        <v>0.15564678344471214</v>
      </c>
      <c r="H365" s="414" t="b">
        <f>Wh_hp&gt;='2023'!Maxi_hp</f>
        <v>0</v>
      </c>
      <c r="I365" s="390">
        <f>IF(H365,Wh_hp,'2023'!Maxi_hp)</f>
        <v>25.601732712427946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5.085565279814086E-2</v>
      </c>
      <c r="M365" s="845"/>
      <c r="N365" s="845"/>
      <c r="O365" s="48">
        <f>IF(t&lt;Tnet,'2023'!Resal+('2023'!Salim-'2023'!Resal)*(1-EXP(('2023'!Tnet-t)/('2023'!Tau_j))),Resal+(Salim-Resal)*(1-EXP((Tnet-t)/(Tau_j))))*Salcycl</f>
        <v>2.4934742420800658E-2</v>
      </c>
      <c r="P365" s="169">
        <f>(INDEX(Models!$BJ365:$BT365,,T365)*(1-R365)+INDEX(Models!$BJ365:$BT365,,T365+1)*R365-ERP_i)*Q365*Ramure*Pc/MaxiM</f>
        <v>8.1585014243207863E-4</v>
      </c>
      <c r="Q365" s="305">
        <f t="shared" si="130"/>
        <v>0.5</v>
      </c>
      <c r="R365" s="177">
        <f t="shared" si="131"/>
        <v>0.4973509895722743</v>
      </c>
      <c r="S365" s="811">
        <f t="shared" si="132"/>
        <v>1</v>
      </c>
      <c r="T365" s="176">
        <f t="shared" si="133"/>
        <v>7</v>
      </c>
      <c r="U365" s="251">
        <f t="shared" si="134"/>
        <v>1.4973509895722743</v>
      </c>
      <c r="V365" s="383">
        <f t="shared" si="135"/>
        <v>22.744930644450474</v>
      </c>
      <c r="W365" s="402">
        <f t="shared" si="136"/>
        <v>3.5430659053052693</v>
      </c>
      <c r="X365" s="157">
        <f t="shared" si="137"/>
        <v>45642</v>
      </c>
      <c r="Y365" s="385">
        <f t="shared" si="138"/>
        <v>3.3444430262151927</v>
      </c>
      <c r="Z365" s="385">
        <f t="shared" si="139"/>
        <v>3.5236400407112298</v>
      </c>
      <c r="AA365" s="386">
        <f t="shared" si="140"/>
        <v>3.8283645212485533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7.959651669688525E-2</v>
      </c>
      <c r="AD365" s="231">
        <f>(INDEX(Models!$BJ365:$BT365,,AH365)*(1-AF365)+INDEX(Models!$BJ365:$BT365,,AH365+1)*AF365-ERP_i)*AE365*Ramure*Pc/MaxiM</f>
        <v>8.1585014243207863E-4</v>
      </c>
      <c r="AE365" s="305">
        <f t="shared" si="142"/>
        <v>0.5</v>
      </c>
      <c r="AF365" s="177">
        <f t="shared" si="143"/>
        <v>0.4973509895722743</v>
      </c>
      <c r="AG365" s="811">
        <f t="shared" si="149"/>
        <v>1</v>
      </c>
      <c r="AH365" s="176">
        <f t="shared" si="144"/>
        <v>7</v>
      </c>
      <c r="AI365" s="225">
        <f t="shared" si="145"/>
        <v>1.4973509895722743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'2023'!Wh/'2023'!Env_an*'2024'!Env_an</f>
        <v>21.275227831163942</v>
      </c>
      <c r="C366" s="841"/>
      <c r="D366" s="393">
        <f t="shared" si="127"/>
        <v>22.41565667665142</v>
      </c>
      <c r="E366" s="385">
        <f t="shared" si="150"/>
        <v>22.990641301779966</v>
      </c>
      <c r="F366" s="385">
        <f t="shared" si="128"/>
        <v>23.007696436087105</v>
      </c>
      <c r="G366" s="110">
        <f t="shared" si="151"/>
        <v>0.93605494525021871</v>
      </c>
      <c r="H366" s="414" t="b">
        <f>Wh_hp&gt;='2023'!Maxi_hp</f>
        <v>0</v>
      </c>
      <c r="I366" s="390">
        <f>IF(H366,Wh_hp,'2023'!Maxi_hp)</f>
        <v>25.724211482819697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5.0876441495259384E-2</v>
      </c>
      <c r="M366" s="845"/>
      <c r="N366" s="845"/>
      <c r="O366" s="48">
        <f>IF(t&lt;Tnet,'2023'!Resal+('2023'!Salim-'2023'!Resal)*(1-EXP(('2023'!Tnet-t)/('2023'!Tau_j))),Resal+(Salim-Resal)*(1-EXP((Tnet-t)/(Tau_j))))*Salcycl</f>
        <v>2.5009507894154782E-2</v>
      </c>
      <c r="P366" s="169">
        <f>(INDEX(Models!$BJ366:$BT366,,T366)*(1-R366)+INDEX(Models!$BJ366:$BT366,,T366+1)*R366-ERP_i)*Q366*Ramure*Pc/MaxiM</f>
        <v>8.1571378563774727E-4</v>
      </c>
      <c r="Q366" s="305">
        <f t="shared" si="130"/>
        <v>0.5</v>
      </c>
      <c r="R366" s="177">
        <f t="shared" si="131"/>
        <v>0.49735917819194375</v>
      </c>
      <c r="S366" s="811">
        <f t="shared" si="132"/>
        <v>1</v>
      </c>
      <c r="T366" s="176">
        <f t="shared" si="133"/>
        <v>7</v>
      </c>
      <c r="U366" s="251">
        <f t="shared" si="134"/>
        <v>1.4973591781919438</v>
      </c>
      <c r="V366" s="383">
        <f t="shared" si="135"/>
        <v>22.726917002589353</v>
      </c>
      <c r="W366" s="402">
        <f t="shared" si="136"/>
        <v>21.275227831163942</v>
      </c>
      <c r="X366" s="157">
        <f t="shared" si="137"/>
        <v>45643</v>
      </c>
      <c r="Y366" s="385">
        <f t="shared" si="138"/>
        <v>20.083689797916289</v>
      </c>
      <c r="Z366" s="385">
        <f t="shared" si="139"/>
        <v>21.160247912881172</v>
      </c>
      <c r="AA366" s="386">
        <f t="shared" si="140"/>
        <v>22.990641301779966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7.9614716478443079E-2</v>
      </c>
      <c r="AD366" s="231">
        <f>(INDEX(Models!$BJ366:$BT366,,AH366)*(1-AF366)+INDEX(Models!$BJ366:$BT366,,AH366+1)*AF366-ERP_i)*AE366*Ramure*Pc/MaxiM</f>
        <v>8.1571378563774727E-4</v>
      </c>
      <c r="AE366" s="305">
        <f t="shared" si="142"/>
        <v>0.5</v>
      </c>
      <c r="AF366" s="177">
        <f t="shared" si="143"/>
        <v>0.49735917819194375</v>
      </c>
      <c r="AG366" s="811">
        <f t="shared" si="149"/>
        <v>1</v>
      </c>
      <c r="AH366" s="176">
        <f t="shared" si="144"/>
        <v>7</v>
      </c>
      <c r="AI366" s="225">
        <f t="shared" si="145"/>
        <v>1.4973591781919438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'2023'!Wh/'2023'!Env_an*'2024'!Env_an</f>
        <v>17.216712713804633</v>
      </c>
      <c r="C367" s="841"/>
      <c r="D367" s="393">
        <f t="shared" si="127"/>
        <v>18.139987842449095</v>
      </c>
      <c r="E367" s="385">
        <f t="shared" si="150"/>
        <v>18.606726689385628</v>
      </c>
      <c r="F367" s="385">
        <f t="shared" si="128"/>
        <v>18.616650751992641</v>
      </c>
      <c r="G367" s="110">
        <f t="shared" si="151"/>
        <v>0.75755166867486701</v>
      </c>
      <c r="H367" s="414" t="b">
        <f>Wh_hp&gt;='2023'!Maxi_hp</f>
        <v>0</v>
      </c>
      <c r="I367" s="390">
        <f>IF(H367,Wh_hp,'2023'!Maxi_hp)</f>
        <v>25.408167099175618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5.0897229737052019E-2</v>
      </c>
      <c r="M367" s="845"/>
      <c r="N367" s="845"/>
      <c r="O367" s="48">
        <f>IF(t&lt;Tnet,'2023'!Resal+('2023'!Salim-'2023'!Resal)*(1-EXP(('2023'!Tnet-t)/('2023'!Tau_j))),Resal+(Salim-Resal)*(1-EXP((Tnet-t)/(Tau_j))))*Salcycl</f>
        <v>2.5084414616719741E-2</v>
      </c>
      <c r="P367" s="169">
        <f>(INDEX(Models!$BJ367:$BT367,,T367)*(1-R367)+INDEX(Models!$BJ367:$BT367,,T367+1)*R367-ERP_i)*Q367*Ramure*Pc/MaxiM</f>
        <v>8.1516005512810412E-4</v>
      </c>
      <c r="Q367" s="305">
        <f t="shared" si="130"/>
        <v>0.5</v>
      </c>
      <c r="R367" s="177">
        <f t="shared" si="131"/>
        <v>0.49736703736591004</v>
      </c>
      <c r="S367" s="811">
        <f t="shared" si="132"/>
        <v>1</v>
      </c>
      <c r="T367" s="176">
        <f t="shared" si="133"/>
        <v>7</v>
      </c>
      <c r="U367" s="251">
        <f t="shared" si="134"/>
        <v>1.49736703736591</v>
      </c>
      <c r="V367" s="383">
        <f t="shared" si="135"/>
        <v>22.720369118056855</v>
      </c>
      <c r="W367" s="402">
        <f t="shared" si="136"/>
        <v>17.216712713804633</v>
      </c>
      <c r="X367" s="157">
        <f t="shared" si="137"/>
        <v>45644</v>
      </c>
      <c r="Y367" s="385">
        <f t="shared" si="138"/>
        <v>16.253390370457474</v>
      </c>
      <c r="Z367" s="385">
        <f t="shared" si="139"/>
        <v>17.125005720881511</v>
      </c>
      <c r="AA367" s="386">
        <f t="shared" si="140"/>
        <v>18.606726689385628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7.9633618166132222E-2</v>
      </c>
      <c r="AD367" s="231">
        <f>(INDEX(Models!$BJ367:$BT367,,AH367)*(1-AF367)+INDEX(Models!$BJ367:$BT367,,AH367+1)*AF367-ERP_i)*AE367*Ramure*Pc/MaxiM</f>
        <v>8.1516005512810412E-4</v>
      </c>
      <c r="AE367" s="305">
        <f t="shared" si="142"/>
        <v>0.5</v>
      </c>
      <c r="AF367" s="177">
        <f t="shared" si="143"/>
        <v>0.49736703736591004</v>
      </c>
      <c r="AG367" s="811">
        <f t="shared" si="149"/>
        <v>1</v>
      </c>
      <c r="AH367" s="176">
        <f t="shared" si="144"/>
        <v>7</v>
      </c>
      <c r="AI367" s="225">
        <f t="shared" si="145"/>
        <v>1.49736703736591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'2023'!Wh/'2023'!Env_an*'2024'!Env_an</f>
        <v>4.525859459247644</v>
      </c>
      <c r="C368" s="841"/>
      <c r="D368" s="393">
        <f t="shared" si="127"/>
        <v>4.768670718453814</v>
      </c>
      <c r="E368" s="385">
        <f t="shared" si="150"/>
        <v>4.891744311210962</v>
      </c>
      <c r="F368" s="385">
        <f t="shared" si="128"/>
        <v>4.891744311210962</v>
      </c>
      <c r="G368" s="110">
        <f t="shared" si="151"/>
        <v>0.19899098609273508</v>
      </c>
      <c r="H368" s="414" t="b">
        <f>Wh_hp&gt;='2023'!Maxi_hp</f>
        <v>0</v>
      </c>
      <c r="I368" s="390">
        <f>IF(H368,Wh_hp,'2023'!Maxi_hp)</f>
        <v>22.549218247197125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5.0918017523528758E-2</v>
      </c>
      <c r="M368" s="845"/>
      <c r="N368" s="845"/>
      <c r="O368" s="48">
        <f>IF(t&lt;Tnet,'2023'!Resal+('2023'!Salim-'2023'!Resal)*(1-EXP(('2023'!Tnet-t)/('2023'!Tau_j))),Resal+(Salim-Resal)*(1-EXP((Tnet-t)/(Tau_j))))*Salcycl</f>
        <v>2.5159449253119401E-2</v>
      </c>
      <c r="P368" s="169">
        <f>(INDEX(Models!$BJ368:$BT368,,T368)*(1-R368)+INDEX(Models!$BJ368:$BT368,,T368+1)*R368-ERP_i)*Q368*Ramure*Pc/MaxiM</f>
        <v>8.1417661301308908E-4</v>
      </c>
      <c r="Q368" s="305">
        <f t="shared" si="130"/>
        <v>0.5</v>
      </c>
      <c r="R368" s="177">
        <f t="shared" si="131"/>
        <v>0.49737458033874837</v>
      </c>
      <c r="S368" s="811">
        <f t="shared" si="132"/>
        <v>1</v>
      </c>
      <c r="T368" s="176">
        <f t="shared" si="133"/>
        <v>7</v>
      </c>
      <c r="U368" s="251">
        <f t="shared" si="134"/>
        <v>1.4973745803387484</v>
      </c>
      <c r="V368" s="383">
        <f t="shared" si="135"/>
        <v>22.725524905005937</v>
      </c>
      <c r="W368" s="402">
        <f t="shared" si="136"/>
        <v>4.525859459247644</v>
      </c>
      <c r="X368" s="157">
        <f t="shared" si="137"/>
        <v>45645</v>
      </c>
      <c r="Y368" s="385">
        <f t="shared" si="138"/>
        <v>4.2728632784258229</v>
      </c>
      <c r="Z368" s="385">
        <f t="shared" si="139"/>
        <v>4.5021013540647967</v>
      </c>
      <c r="AA368" s="386">
        <f t="shared" si="140"/>
        <v>4.891744311210962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7.9653173256250626E-2</v>
      </c>
      <c r="AD368" s="231">
        <f>(INDEX(Models!$BJ368:$BT368,,AH368)*(1-AF368)+INDEX(Models!$BJ368:$BT368,,AH368+1)*AF368-ERP_i)*AE368*Ramure*Pc/MaxiM</f>
        <v>8.1417661301308908E-4</v>
      </c>
      <c r="AE368" s="305">
        <f t="shared" si="142"/>
        <v>0.5</v>
      </c>
      <c r="AF368" s="177">
        <f t="shared" si="143"/>
        <v>0.49737458033874837</v>
      </c>
      <c r="AG368" s="811">
        <f t="shared" si="149"/>
        <v>1</v>
      </c>
      <c r="AH368" s="176">
        <f t="shared" si="144"/>
        <v>7</v>
      </c>
      <c r="AI368" s="225">
        <f t="shared" si="145"/>
        <v>1.4973745803387484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'2023'!Wh/'2023'!Env_an*'2024'!Env_an</f>
        <v>20.411525237367947</v>
      </c>
      <c r="C369" s="841"/>
      <c r="D369" s="393">
        <f t="shared" si="127"/>
        <v>21.507069661870396</v>
      </c>
      <c r="E369" s="385">
        <f t="shared" si="150"/>
        <v>22.063841853959545</v>
      </c>
      <c r="F369" s="385">
        <f t="shared" si="128"/>
        <v>22.079159125498492</v>
      </c>
      <c r="G369" s="110">
        <f t="shared" si="151"/>
        <v>0.89739407491329137</v>
      </c>
      <c r="H369" s="414" t="b">
        <f>Wh_hp&gt;='2023'!Maxi_hp</f>
        <v>0</v>
      </c>
      <c r="I369" s="390">
        <f>IF(H369,Wh_hp,'2023'!Maxi_hp)</f>
        <v>22.080170505451491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5.0938804854699704E-2</v>
      </c>
      <c r="M369" s="845"/>
      <c r="N369" s="845"/>
      <c r="O369" s="48">
        <f>IF(t&lt;Tnet,'2023'!Resal+('2023'!Salim-'2023'!Resal)*(1-EXP(('2023'!Tnet-t)/('2023'!Tau_j))),Resal+(Salim-Resal)*(1-EXP((Tnet-t)/(Tau_j))))*Salcycl</f>
        <v>2.5234598569660656E-2</v>
      </c>
      <c r="P369" s="169">
        <f>(INDEX(Models!$BJ369:$BT369,,T369)*(1-R369)+INDEX(Models!$BJ369:$BT369,,T369+1)*R369-ERP_i)*Q369*Ramure*Pc/MaxiM</f>
        <v>8.1275250125268294E-4</v>
      </c>
      <c r="Q369" s="305">
        <f t="shared" si="130"/>
        <v>0.5</v>
      </c>
      <c r="R369" s="177">
        <f t="shared" si="131"/>
        <v>0.49738181982333529</v>
      </c>
      <c r="S369" s="811">
        <f t="shared" si="132"/>
        <v>1</v>
      </c>
      <c r="T369" s="176">
        <f t="shared" si="133"/>
        <v>7</v>
      </c>
      <c r="U369" s="251">
        <f t="shared" si="134"/>
        <v>1.4973818198233353</v>
      </c>
      <c r="V369" s="383">
        <f t="shared" si="135"/>
        <v>22.74262218218481</v>
      </c>
      <c r="W369" s="402">
        <f t="shared" si="136"/>
        <v>20.411525237367947</v>
      </c>
      <c r="X369" s="157">
        <f t="shared" si="137"/>
        <v>45646</v>
      </c>
      <c r="Y369" s="385">
        <f t="shared" si="138"/>
        <v>19.271581592627847</v>
      </c>
      <c r="Z369" s="385">
        <f t="shared" si="139"/>
        <v>20.305942010069632</v>
      </c>
      <c r="AA369" s="386">
        <f t="shared" si="140"/>
        <v>22.063841853959545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7.9673334114948868E-2</v>
      </c>
      <c r="AD369" s="231">
        <f>(INDEX(Models!$BJ369:$BT369,,AH369)*(1-AF369)+INDEX(Models!$BJ369:$BT369,,AH369+1)*AF369-ERP_i)*AE369*Ramure*Pc/MaxiM</f>
        <v>8.1275250125268294E-4</v>
      </c>
      <c r="AE369" s="305">
        <f t="shared" si="142"/>
        <v>0.5</v>
      </c>
      <c r="AF369" s="177">
        <f t="shared" si="143"/>
        <v>0.49738181982333529</v>
      </c>
      <c r="AG369" s="811">
        <f t="shared" si="149"/>
        <v>1</v>
      </c>
      <c r="AH369" s="176">
        <f t="shared" si="144"/>
        <v>7</v>
      </c>
      <c r="AI369" s="225">
        <f t="shared" si="145"/>
        <v>1.4973818198233353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'2023'!Wh/'2023'!Env_an*'2024'!Env_an</f>
        <v>16.868434692180482</v>
      </c>
      <c r="C370" s="841"/>
      <c r="D370" s="393">
        <f t="shared" si="127"/>
        <v>17.774200703361057</v>
      </c>
      <c r="E370" s="385">
        <f t="shared" si="150"/>
        <v>18.235744656484609</v>
      </c>
      <c r="F370" s="385">
        <f t="shared" si="128"/>
        <v>18.245060062134527</v>
      </c>
      <c r="G370" s="110">
        <f t="shared" si="151"/>
        <v>0.74053405251172078</v>
      </c>
      <c r="H370" s="414" t="b">
        <f>Wh_hp&gt;='2023'!Maxi_hp</f>
        <v>0</v>
      </c>
      <c r="I370" s="390">
        <f>IF(H370,Wh_hp,'2023'!Maxi_hp)</f>
        <v>25.041754314682116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5.0959591730574738E-2</v>
      </c>
      <c r="M370" s="845"/>
      <c r="N370" s="845"/>
      <c r="O370" s="48">
        <f>IF(t&lt;Tnet,'2023'!Resal+('2023'!Salim-'2023'!Resal)*(1-EXP(('2023'!Tnet-t)/('2023'!Tau_j))),Resal+(Salim-Resal)*(1-EXP((Tnet-t)/(Tau_j))))*Salcycl</f>
        <v>2.5309849519055742E-2</v>
      </c>
      <c r="P370" s="169">
        <f>(INDEX(Models!$BJ370:$BT370,,T370)*(1-R370)+INDEX(Models!$BJ370:$BT370,,T370+1)*R370-ERP_i)*Q370*Ramure*Pc/MaxiM</f>
        <v>8.1087828379578224E-4</v>
      </c>
      <c r="Q370" s="305">
        <f t="shared" si="130"/>
        <v>0.5</v>
      </c>
      <c r="R370" s="177">
        <f t="shared" si="131"/>
        <v>0.4973887680221325</v>
      </c>
      <c r="S370" s="811">
        <f t="shared" si="132"/>
        <v>1</v>
      </c>
      <c r="T370" s="176">
        <f t="shared" si="133"/>
        <v>7</v>
      </c>
      <c r="U370" s="251">
        <f t="shared" si="134"/>
        <v>1.4973887680221325</v>
      </c>
      <c r="V370" s="383">
        <f t="shared" si="135"/>
        <v>22.771898658822227</v>
      </c>
      <c r="W370" s="402">
        <f t="shared" si="136"/>
        <v>16.868434692180482</v>
      </c>
      <c r="X370" s="157">
        <f t="shared" si="137"/>
        <v>45647</v>
      </c>
      <c r="Y370" s="385">
        <f t="shared" si="138"/>
        <v>15.927236707347111</v>
      </c>
      <c r="Z370" s="385">
        <f t="shared" si="139"/>
        <v>16.78246423288806</v>
      </c>
      <c r="AA370" s="386">
        <f t="shared" si="140"/>
        <v>18.235744656484609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7.9694054230999886E-2</v>
      </c>
      <c r="AD370" s="231">
        <f>(INDEX(Models!$BJ370:$BT370,,AH370)*(1-AF370)+INDEX(Models!$BJ370:$BT370,,AH370+1)*AF370-ERP_i)*AE370*Ramure*Pc/MaxiM</f>
        <v>8.1087828379578224E-4</v>
      </c>
      <c r="AE370" s="305">
        <f t="shared" si="142"/>
        <v>0.5</v>
      </c>
      <c r="AF370" s="177">
        <f t="shared" si="143"/>
        <v>0.4973887680221325</v>
      </c>
      <c r="AG370" s="811">
        <f t="shared" si="149"/>
        <v>1</v>
      </c>
      <c r="AH370" s="176">
        <f t="shared" si="144"/>
        <v>7</v>
      </c>
      <c r="AI370" s="225">
        <f t="shared" si="145"/>
        <v>1.4973887680221325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'2023'!Wh/'2023'!Env_an*'2024'!Env_an</f>
        <v>17.419762511025695</v>
      </c>
      <c r="C371" s="841"/>
      <c r="D371" s="393">
        <f t="shared" si="127"/>
        <v>18.355534606428179</v>
      </c>
      <c r="E371" s="385">
        <f t="shared" si="150"/>
        <v>18.833629866175698</v>
      </c>
      <c r="F371" s="385">
        <f t="shared" si="128"/>
        <v>18.843719777347733</v>
      </c>
      <c r="G371" s="110">
        <f t="shared" si="151"/>
        <v>0.76336084158635498</v>
      </c>
      <c r="H371" s="414" t="b">
        <f>Wh_hp&gt;='2023'!Maxi_hp</f>
        <v>0</v>
      </c>
      <c r="I371" s="390">
        <f>IF(H371,Wh_hp,'2023'!Maxi_hp)</f>
        <v>19.829576058520093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5.0980378151163852E-2</v>
      </c>
      <c r="M371" s="845"/>
      <c r="N371" s="845"/>
      <c r="O371" s="48">
        <f>IF(t&lt;Tnet,'2023'!Resal+('2023'!Salim-'2023'!Resal)*(1-EXP(('2023'!Tnet-t)/('2023'!Tau_j))),Resal+(Salim-Resal)*(1-EXP((Tnet-t)/(Tau_j))))*Salcycl</f>
        <v>2.5385189320628863E-2</v>
      </c>
      <c r="P371" s="169">
        <f>(INDEX(Models!$BJ371:$BT371,,T371)*(1-R371)+INDEX(Models!$BJ371:$BT371,,T371+1)*R371-ERP_i)*Q371*Ramure*Pc/MaxiM</f>
        <v>8.085444710215872E-4</v>
      </c>
      <c r="Q371" s="305">
        <f t="shared" si="130"/>
        <v>0.5</v>
      </c>
      <c r="R371" s="177">
        <f t="shared" si="131"/>
        <v>0.4973887680221325</v>
      </c>
      <c r="S371" s="811">
        <f t="shared" si="132"/>
        <v>1</v>
      </c>
      <c r="T371" s="176">
        <f t="shared" si="133"/>
        <v>7</v>
      </c>
      <c r="U371" s="251">
        <f t="shared" si="134"/>
        <v>1.4973887680221325</v>
      </c>
      <c r="V371" s="383">
        <f t="shared" si="135"/>
        <v>22.813591962190824</v>
      </c>
      <c r="W371" s="402">
        <f t="shared" si="136"/>
        <v>17.419762511025695</v>
      </c>
      <c r="X371" s="157">
        <f t="shared" si="137"/>
        <v>45648</v>
      </c>
      <c r="Y371" s="385">
        <f t="shared" si="138"/>
        <v>16.448694337558646</v>
      </c>
      <c r="Z371" s="385">
        <f t="shared" si="139"/>
        <v>17.33230162882624</v>
      </c>
      <c r="AA371" s="386">
        <f t="shared" si="140"/>
        <v>18.833629866175698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7.9715288450357163E-2</v>
      </c>
      <c r="AD371" s="231">
        <f>(INDEX(Models!$BJ371:$BT371,,AH371)*(1-AF371)+INDEX(Models!$BJ371:$BT371,,AH371+1)*AF371-ERP_i)*AE371*Ramure*Pc/MaxiM</f>
        <v>8.085444710215872E-4</v>
      </c>
      <c r="AE371" s="305">
        <f t="shared" si="142"/>
        <v>0.5</v>
      </c>
      <c r="AF371" s="177">
        <f t="shared" si="143"/>
        <v>0.4973887680221325</v>
      </c>
      <c r="AG371" s="811">
        <f t="shared" si="149"/>
        <v>1</v>
      </c>
      <c r="AH371" s="176">
        <f t="shared" si="144"/>
        <v>7</v>
      </c>
      <c r="AI371" s="225">
        <f t="shared" si="145"/>
        <v>1.4973887680221325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'2023'!Wh/'2023'!Env_an*'2024'!Env_an</f>
        <v>20.933935891853672</v>
      </c>
      <c r="C372" s="841"/>
      <c r="D372" s="393">
        <f t="shared" si="127"/>
        <v>22.058968989528914</v>
      </c>
      <c r="E372" s="385">
        <f t="shared" si="150"/>
        <v>22.635276844450964</v>
      </c>
      <c r="F372" s="385">
        <f t="shared" si="128"/>
        <v>22.651322971564387</v>
      </c>
      <c r="G372" s="110">
        <f t="shared" si="151"/>
        <v>0.91533810868597032</v>
      </c>
      <c r="H372" s="414" t="b">
        <f>Wh_hp&gt;='2023'!Maxi_hp</f>
        <v>0</v>
      </c>
      <c r="I372" s="390">
        <f>IF(H372,Wh_hp,'2023'!Maxi_hp)</f>
        <v>22.652171690590645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5.1001164116477038E-2</v>
      </c>
      <c r="M372" s="845"/>
      <c r="N372" s="845"/>
      <c r="O372" s="48">
        <f>IF(t&lt;Tnet,'2023'!Resal+('2023'!Salim-'2023'!Resal)*(1-EXP(('2023'!Tnet-t)/('2023'!Tau_j))),Resal+(Salim-Resal)*(1-EXP((Tnet-t)/(Tau_j))))*Salcycl</f>
        <v>2.5460605535440255E-2</v>
      </c>
      <c r="P372" s="169">
        <f>(INDEX(Models!$BJ372:$BT372,,T372)*(1-R372)+INDEX(Models!$BJ372:$BT372,,T372+1)*R372-ERP_i)*Q372*Ramure*Pc/MaxiM</f>
        <v>8.057456085664498E-4</v>
      </c>
      <c r="Q372" s="305">
        <f t="shared" si="130"/>
        <v>0.5</v>
      </c>
      <c r="R372" s="177">
        <f t="shared" si="131"/>
        <v>0.4973887680221325</v>
      </c>
      <c r="S372" s="811">
        <f t="shared" si="132"/>
        <v>1</v>
      </c>
      <c r="T372" s="176">
        <f t="shared" si="133"/>
        <v>7</v>
      </c>
      <c r="U372" s="251">
        <f t="shared" si="134"/>
        <v>1.4973887680221325</v>
      </c>
      <c r="V372" s="383">
        <f t="shared" si="135"/>
        <v>22.86793957016387</v>
      </c>
      <c r="W372" s="402">
        <f t="shared" si="136"/>
        <v>20.933935891853672</v>
      </c>
      <c r="X372" s="157">
        <f t="shared" si="137"/>
        <v>45649</v>
      </c>
      <c r="Y372" s="385">
        <f t="shared" si="138"/>
        <v>19.768032875435289</v>
      </c>
      <c r="Z372" s="385">
        <f t="shared" si="139"/>
        <v>20.830407928826535</v>
      </c>
      <c r="AA372" s="386">
        <f t="shared" si="140"/>
        <v>22.635276844450964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7.9736993191090233E-2</v>
      </c>
      <c r="AD372" s="231">
        <f>(INDEX(Models!$BJ372:$BT372,,AH372)*(1-AF372)+INDEX(Models!$BJ372:$BT372,,AH372+1)*AF372-ERP_i)*AE372*Ramure*Pc/MaxiM</f>
        <v>8.057456085664498E-4</v>
      </c>
      <c r="AE372" s="305">
        <f t="shared" si="142"/>
        <v>0.5</v>
      </c>
      <c r="AF372" s="177">
        <f t="shared" si="143"/>
        <v>0.4973887680221325</v>
      </c>
      <c r="AG372" s="811">
        <f t="shared" si="149"/>
        <v>1</v>
      </c>
      <c r="AH372" s="176">
        <f t="shared" si="144"/>
        <v>7</v>
      </c>
      <c r="AI372" s="225">
        <f t="shared" si="145"/>
        <v>1.4973887680221325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'2023'!Wh/'2023'!Env_an*'2024'!Env_an</f>
        <v>12.455338999729005</v>
      </c>
      <c r="C373" s="841"/>
      <c r="D373" s="393">
        <f t="shared" si="127"/>
        <v>13.125002200869803</v>
      </c>
      <c r="E373" s="385">
        <f t="shared" si="150"/>
        <v>13.468946375677774</v>
      </c>
      <c r="F373" s="385">
        <f t="shared" si="128"/>
        <v>13.472699460932537</v>
      </c>
      <c r="G373" s="110">
        <f t="shared" si="151"/>
        <v>0.54273412343316418</v>
      </c>
      <c r="H373" s="414" t="b">
        <f>Wh_hp&gt;='2023'!Maxi_hp</f>
        <v>0</v>
      </c>
      <c r="I373" s="390">
        <f>IF(H373,Wh_hp,'2023'!Maxi_hp)</f>
        <v>16.332134440633631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5.1021949626524177E-2</v>
      </c>
      <c r="M373" s="845"/>
      <c r="N373" s="845"/>
      <c r="O373" s="48">
        <f>IF(t&lt;Tnet,'2023'!Resal+('2023'!Salim-'2023'!Resal)*(1-EXP(('2023'!Tnet-t)/('2023'!Tau_j))),Resal+(Salim-Resal)*(1-EXP((Tnet-t)/(Tau_j))))*Salcycl</f>
        <v>2.5536086135814224E-2</v>
      </c>
      <c r="P373" s="169">
        <f>(INDEX(Models!$BJ373:$BT373,,T373)*(1-R373)+INDEX(Models!$BJ373:$BT373,,T373+1)*R373-ERP_i)*Q373*Ramure*Pc/MaxiM</f>
        <v>8.0240243408309891E-4</v>
      </c>
      <c r="Q373" s="305">
        <f t="shared" si="130"/>
        <v>0.5</v>
      </c>
      <c r="R373" s="177">
        <f t="shared" si="131"/>
        <v>0.4973887680221325</v>
      </c>
      <c r="S373" s="811">
        <f t="shared" si="132"/>
        <v>1</v>
      </c>
      <c r="T373" s="176">
        <f t="shared" si="133"/>
        <v>7</v>
      </c>
      <c r="U373" s="251">
        <f t="shared" si="134"/>
        <v>1.4973887680221325</v>
      </c>
      <c r="V373" s="383">
        <f t="shared" si="135"/>
        <v>22.937221245853788</v>
      </c>
      <c r="W373" s="402">
        <f t="shared" si="136"/>
        <v>12.455338999729005</v>
      </c>
      <c r="X373" s="157">
        <f t="shared" si="137"/>
        <v>45650</v>
      </c>
      <c r="Y373" s="385">
        <f t="shared" si="138"/>
        <v>11.762274493762638</v>
      </c>
      <c r="Z373" s="385">
        <f t="shared" si="139"/>
        <v>12.394674976026607</v>
      </c>
      <c r="AA373" s="386">
        <f t="shared" si="140"/>
        <v>13.468946375677774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7.9759126637484176E-2</v>
      </c>
      <c r="AD373" s="231">
        <f>(INDEX(Models!$BJ373:$BT373,,AH373)*(1-AF373)+INDEX(Models!$BJ373:$BT373,,AH373+1)*AF373-ERP_i)*AE373*Ramure*Pc/MaxiM</f>
        <v>8.0240243408309891E-4</v>
      </c>
      <c r="AE373" s="305">
        <f t="shared" si="142"/>
        <v>0.5</v>
      </c>
      <c r="AF373" s="177">
        <f t="shared" si="143"/>
        <v>0.4973887680221325</v>
      </c>
      <c r="AG373" s="811">
        <f t="shared" si="149"/>
        <v>1</v>
      </c>
      <c r="AH373" s="176">
        <f t="shared" si="144"/>
        <v>7</v>
      </c>
      <c r="AI373" s="225">
        <f t="shared" si="145"/>
        <v>1.4973887680221325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'2023'!Wh/'2023'!Env_an*'2024'!Env_an</f>
        <v>21.224309893564552</v>
      </c>
      <c r="C374" s="841"/>
      <c r="D374" s="393">
        <f t="shared" si="127"/>
        <v>22.365928023573193</v>
      </c>
      <c r="E374" s="385">
        <f t="shared" si="150"/>
        <v>22.953812332692106</v>
      </c>
      <c r="F374" s="385">
        <f t="shared" si="128"/>
        <v>22.970106520982529</v>
      </c>
      <c r="G374" s="110">
        <f t="shared" si="151"/>
        <v>0.92180001667627809</v>
      </c>
      <c r="H374" s="414" t="b">
        <f>Wh_hp&gt;='2023'!Maxi_hp</f>
        <v>0</v>
      </c>
      <c r="I374" s="390">
        <f>IF(H374,Wh_hp,'2023'!Maxi_hp)</f>
        <v>24.2954595694269</v>
      </c>
      <c r="J374" s="85">
        <f>IF(H374,An,'2023'!An_max)</f>
        <v>2018</v>
      </c>
      <c r="K374" s="197">
        <f t="shared" si="129"/>
        <v>45651</v>
      </c>
      <c r="L374" s="147">
        <f>IF(t&lt;Tvie,1-EXP((T0-t)*PertePVj)+'2023'!Pspv,1-EXP((T0-t)*PertePVj)+Pspv)</f>
        <v>5.104273468131526E-2</v>
      </c>
      <c r="M374" s="845"/>
      <c r="N374" s="845"/>
      <c r="O374" s="48">
        <f>IF(t&lt;Tnet,'2023'!Resal+('2023'!Salim-'2023'!Resal)*(1-EXP(('2023'!Tnet-t)/('2023'!Tau_j))),Resal+(Salim-Resal)*(1-EXP((Tnet-t)/(Tau_j))))*Salcycl</f>
        <v>2.5611619568816264E-2</v>
      </c>
      <c r="P374" s="169">
        <f>(INDEX(Models!$BJ374:$BT374,,T374)*(1-R374)+INDEX(Models!$BJ374:$BT374,,T374+1)*R374-ERP_i)*Q374*Ramure*Pc/MaxiM</f>
        <v>7.9847186956839389E-4</v>
      </c>
      <c r="Q374" s="305">
        <f t="shared" si="130"/>
        <v>0.5</v>
      </c>
      <c r="R374" s="177">
        <f t="shared" si="131"/>
        <v>0.4973887680221325</v>
      </c>
      <c r="S374" s="811">
        <f t="shared" si="132"/>
        <v>1</v>
      </c>
      <c r="T374" s="176">
        <f t="shared" si="133"/>
        <v>7</v>
      </c>
      <c r="U374" s="251">
        <f t="shared" si="134"/>
        <v>1.4973887680221325</v>
      </c>
      <c r="V374" s="383">
        <f t="shared" si="135"/>
        <v>23.022799885081852</v>
      </c>
      <c r="W374" s="402">
        <f t="shared" si="136"/>
        <v>21.224309893564552</v>
      </c>
      <c r="X374" s="157">
        <f t="shared" si="137"/>
        <v>45651</v>
      </c>
      <c r="Y374" s="385">
        <f t="shared" si="138"/>
        <v>20.04436818569992</v>
      </c>
      <c r="Z374" s="385">
        <f t="shared" si="139"/>
        <v>21.122519335966615</v>
      </c>
      <c r="AA374" s="386">
        <f t="shared" si="140"/>
        <v>22.953812332692106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7.9781648912292488E-2</v>
      </c>
      <c r="AD374" s="231">
        <f>(INDEX(Models!$BJ374:$BT374,,AH374)*(1-AF374)+INDEX(Models!$BJ374:$BT374,,AH374+1)*AF374-ERP_i)*AE374*Ramure*Pc/MaxiM</f>
        <v>7.9847186956839389E-4</v>
      </c>
      <c r="AE374" s="305">
        <f t="shared" si="142"/>
        <v>0.5</v>
      </c>
      <c r="AF374" s="177">
        <f t="shared" si="143"/>
        <v>0.4973887680221325</v>
      </c>
      <c r="AG374" s="811">
        <f t="shared" si="149"/>
        <v>1</v>
      </c>
      <c r="AH374" s="176">
        <f t="shared" si="144"/>
        <v>7</v>
      </c>
      <c r="AI374" s="225">
        <f t="shared" si="145"/>
        <v>1.4973887680221325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'2023'!Wh/'2023'!Env_an*'2024'!Env_an</f>
        <v>7.6487769100135257</v>
      </c>
      <c r="C375" s="841"/>
      <c r="D375" s="393">
        <f t="shared" si="127"/>
        <v>8.0603676488620142</v>
      </c>
      <c r="E375" s="385">
        <f t="shared" si="150"/>
        <v>8.2728745901244203</v>
      </c>
      <c r="F375" s="385">
        <f t="shared" si="128"/>
        <v>8.2731634871332318</v>
      </c>
      <c r="G375" s="110">
        <f t="shared" si="151"/>
        <v>0.33052773614006986</v>
      </c>
      <c r="H375" s="414" t="b">
        <f>Wh_hp&gt;='2023'!Maxi_hp</f>
        <v>0</v>
      </c>
      <c r="I375" s="390">
        <f>IF(H375,Wh_hp,'2023'!Maxi_hp)</f>
        <v>24.678488393426758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5.1063519280860392E-2</v>
      </c>
      <c r="M375" s="845"/>
      <c r="N375" s="845"/>
      <c r="O375" s="48">
        <f>IF(t&lt;Tnet,'2023'!Resal+('2023'!Salim-'2023'!Resal)*(1-EXP(('2023'!Tnet-t)/('2023'!Tau_j))),Resal+(Salim-Resal)*(1-EXP((Tnet-t)/(Tau_j))))*Salcycl</f>
        <v>2.568719481328555E-2</v>
      </c>
      <c r="P375" s="169">
        <f>(INDEX(Models!$BJ375:$BT375,,T375)*(1-R375)+INDEX(Models!$BJ375:$BT375,,T375+1)*R375-ERP_i)*Q375*Ramure*Pc/MaxiM</f>
        <v>7.9417555532861517E-4</v>
      </c>
      <c r="Q375" s="305">
        <f t="shared" si="130"/>
        <v>0.5</v>
      </c>
      <c r="R375" s="177">
        <f t="shared" si="131"/>
        <v>0.4973887680221325</v>
      </c>
      <c r="S375" s="811">
        <f t="shared" si="132"/>
        <v>1</v>
      </c>
      <c r="T375" s="176">
        <f t="shared" si="133"/>
        <v>7</v>
      </c>
      <c r="U375" s="251">
        <f t="shared" si="134"/>
        <v>1.4973887680221325</v>
      </c>
      <c r="V375" s="383">
        <f t="shared" si="135"/>
        <v>23.123533953274741</v>
      </c>
      <c r="W375" s="402">
        <f t="shared" si="136"/>
        <v>7.6487769100135257</v>
      </c>
      <c r="X375" s="157">
        <f t="shared" si="137"/>
        <v>45652</v>
      </c>
      <c r="Y375" s="385">
        <f t="shared" si="138"/>
        <v>7.2239324841319164</v>
      </c>
      <c r="Z375" s="385">
        <f t="shared" si="139"/>
        <v>7.6126617860210724</v>
      </c>
      <c r="AA375" s="386">
        <f t="shared" si="140"/>
        <v>8.2728745901244203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7.9804522226344821E-2</v>
      </c>
      <c r="AD375" s="231">
        <f>(INDEX(Models!$BJ375:$BT375,,AH375)*(1-AF375)+INDEX(Models!$BJ375:$BT375,,AH375+1)*AF375-ERP_i)*AE375*Ramure*Pc/MaxiM</f>
        <v>7.9417555532861517E-4</v>
      </c>
      <c r="AE375" s="305">
        <f t="shared" si="142"/>
        <v>0.5</v>
      </c>
      <c r="AF375" s="177">
        <f t="shared" si="143"/>
        <v>0.4973887680221325</v>
      </c>
      <c r="AG375" s="811">
        <f t="shared" si="149"/>
        <v>1</v>
      </c>
      <c r="AH375" s="176">
        <f t="shared" si="144"/>
        <v>7</v>
      </c>
      <c r="AI375" s="225">
        <f t="shared" si="145"/>
        <v>1.4973887680221325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'2023'!Wh/'2023'!Env_an*'2024'!Env_an</f>
        <v>20.386386528727247</v>
      </c>
      <c r="C376" s="841"/>
      <c r="D376" s="393">
        <f t="shared" si="127"/>
        <v>21.483875335093686</v>
      </c>
      <c r="E376" s="385">
        <f t="shared" si="150"/>
        <v>22.051996543172567</v>
      </c>
      <c r="F376" s="385">
        <f t="shared" si="128"/>
        <v>22.066365747531339</v>
      </c>
      <c r="G376" s="110">
        <f t="shared" si="151"/>
        <v>0.87715433621259409</v>
      </c>
      <c r="H376" s="414" t="b">
        <f>Wh_hp&gt;='2023'!Maxi_hp</f>
        <v>0</v>
      </c>
      <c r="I376" s="390">
        <f>IF(H376,Wh_hp,'2023'!Maxi_hp)</f>
        <v>22.067540465651089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5.1084303425169453E-2</v>
      </c>
      <c r="M376" s="845"/>
      <c r="N376" s="845"/>
      <c r="O376" s="48">
        <f>IF(t&lt;Tnet,'2023'!Resal+('2023'!Salim-'2023'!Resal)*(1-EXP(('2023'!Tnet-t)/('2023'!Tau_j))),Resal+(Salim-Resal)*(1-EXP((Tnet-t)/(Tau_j))))*Salcycl</f>
        <v>2.5762801430094327E-2</v>
      </c>
      <c r="P376" s="169">
        <f>(INDEX(Models!$BJ376:$BT376,,T376)*(1-R376)+INDEX(Models!$BJ376:$BT376,,T376+1)*R376-ERP_i)*Q376*Ramure*Pc/MaxiM</f>
        <v>7.8961711081522348E-4</v>
      </c>
      <c r="Q376" s="305">
        <f t="shared" si="130"/>
        <v>0.5</v>
      </c>
      <c r="R376" s="177">
        <f t="shared" si="131"/>
        <v>0.4973887680221325</v>
      </c>
      <c r="S376" s="811">
        <f t="shared" si="132"/>
        <v>1</v>
      </c>
      <c r="T376" s="176">
        <f t="shared" si="133"/>
        <v>7</v>
      </c>
      <c r="U376" s="251">
        <f t="shared" si="134"/>
        <v>1.4973887680221325</v>
      </c>
      <c r="V376" s="383">
        <f t="shared" si="135"/>
        <v>23.238285033714266</v>
      </c>
      <c r="W376" s="402">
        <f t="shared" si="136"/>
        <v>20.386386528727247</v>
      </c>
      <c r="X376" s="157">
        <f t="shared" si="137"/>
        <v>45653</v>
      </c>
      <c r="Y376" s="385">
        <f t="shared" si="138"/>
        <v>19.255052038675863</v>
      </c>
      <c r="Z376" s="385">
        <f t="shared" si="139"/>
        <v>20.291636136042598</v>
      </c>
      <c r="AA376" s="386">
        <f t="shared" si="140"/>
        <v>22.051996543172567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7.982771100492432E-2</v>
      </c>
      <c r="AD376" s="231">
        <f>(INDEX(Models!$BJ376:$BT376,,AH376)*(1-AF376)+INDEX(Models!$BJ376:$BT376,,AH376+1)*AF376-ERP_i)*AE376*Ramure*Pc/MaxiM</f>
        <v>7.8961711081522348E-4</v>
      </c>
      <c r="AE376" s="305">
        <f t="shared" si="142"/>
        <v>0.5</v>
      </c>
      <c r="AF376" s="177">
        <f t="shared" si="143"/>
        <v>0.4973887680221325</v>
      </c>
      <c r="AG376" s="811">
        <f t="shared" si="149"/>
        <v>1</v>
      </c>
      <c r="AH376" s="176">
        <f t="shared" si="144"/>
        <v>7</v>
      </c>
      <c r="AI376" s="225">
        <f t="shared" si="145"/>
        <v>1.4973887680221325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'2023'!Wh/'2023'!Env_an*'2024'!Env_an</f>
        <v>10.021351207677094</v>
      </c>
      <c r="C377" s="841"/>
      <c r="D377" s="393">
        <f t="shared" si="127"/>
        <v>10.561075912189786</v>
      </c>
      <c r="E377" s="385">
        <f t="shared" si="150"/>
        <v>10.841195375744034</v>
      </c>
      <c r="F377" s="385">
        <f t="shared" si="128"/>
        <v>10.842762250037493</v>
      </c>
      <c r="G377" s="110">
        <f t="shared" si="151"/>
        <v>0.42861290269443558</v>
      </c>
      <c r="H377" s="414" t="b">
        <f>Wh_hp&gt;='2023'!Maxi_hp</f>
        <v>0</v>
      </c>
      <c r="I377" s="390">
        <f>IF(H377,Wh_hp,'2023'!Maxi_hp)</f>
        <v>24.70046719987749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5.1105087114252323E-2</v>
      </c>
      <c r="M377" s="845"/>
      <c r="N377" s="845"/>
      <c r="O377" s="48">
        <f>IF(t&lt;Tnet,'2023'!Resal+('2023'!Salim-'2023'!Resal)*(1-EXP(('2023'!Tnet-t)/('2023'!Tau_j))),Resal+(Salim-Resal)*(1-EXP((Tnet-t)/(Tau_j))))*Salcycl</f>
        <v>2.5838429605372228E-2</v>
      </c>
      <c r="P377" s="169">
        <f>(INDEX(Models!$BJ377:$BT377,,T377)*(1-R377)+INDEX(Models!$BJ377:$BT377,,T377+1)*R377-ERP_i)*Q377*Ramure*Pc/MaxiM</f>
        <v>7.8484015713367139E-4</v>
      </c>
      <c r="Q377" s="305">
        <f t="shared" si="130"/>
        <v>0.5</v>
      </c>
      <c r="R377" s="177">
        <f t="shared" si="131"/>
        <v>0.4973887680221325</v>
      </c>
      <c r="S377" s="811">
        <f t="shared" si="132"/>
        <v>1</v>
      </c>
      <c r="T377" s="176">
        <f t="shared" si="133"/>
        <v>7</v>
      </c>
      <c r="U377" s="251">
        <f t="shared" si="134"/>
        <v>1.4973887680221325</v>
      </c>
      <c r="V377" s="383">
        <f t="shared" si="135"/>
        <v>23.365916498564484</v>
      </c>
      <c r="W377" s="402">
        <f t="shared" si="136"/>
        <v>10.021351207677094</v>
      </c>
      <c r="X377" s="157">
        <f t="shared" si="137"/>
        <v>45654</v>
      </c>
      <c r="Y377" s="385">
        <f t="shared" si="138"/>
        <v>9.4657136442635981</v>
      </c>
      <c r="Z377" s="385">
        <f t="shared" si="139"/>
        <v>9.9755131108004189</v>
      </c>
      <c r="AA377" s="386">
        <f t="shared" si="140"/>
        <v>10.841195375744034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7.9851181990547151E-2</v>
      </c>
      <c r="AD377" s="231">
        <f>(INDEX(Models!$BJ377:$BT377,,AH377)*(1-AF377)+INDEX(Models!$BJ377:$BT377,,AH377+1)*AF377-ERP_i)*AE377*Ramure*Pc/MaxiM</f>
        <v>7.8484015713367139E-4</v>
      </c>
      <c r="AE377" s="305">
        <f t="shared" si="142"/>
        <v>0.5</v>
      </c>
      <c r="AF377" s="177">
        <f t="shared" si="143"/>
        <v>0.4973887680221325</v>
      </c>
      <c r="AG377" s="811">
        <f t="shared" si="149"/>
        <v>1</v>
      </c>
      <c r="AH377" s="176">
        <f t="shared" si="144"/>
        <v>7</v>
      </c>
      <c r="AI377" s="225">
        <f t="shared" si="145"/>
        <v>1.4973887680221325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'2023'!Wh/'2023'!Env_an*'2024'!Env_an</f>
        <v>13.194977228194016</v>
      </c>
      <c r="C378" s="841"/>
      <c r="D378" s="393">
        <f t="shared" si="127"/>
        <v>13.905930002575722</v>
      </c>
      <c r="E378" s="385">
        <f t="shared" si="150"/>
        <v>14.275876056682405</v>
      </c>
      <c r="F378" s="385">
        <f t="shared" si="128"/>
        <v>14.280034259097039</v>
      </c>
      <c r="G378" s="110">
        <f t="shared" si="151"/>
        <v>0.56108755871862215</v>
      </c>
      <c r="H378" s="414" t="b">
        <f>Wh_hp&gt;='2023'!Maxi_hp</f>
        <v>0</v>
      </c>
      <c r="I378" s="390">
        <f>IF(H378,Wh_hp,'2023'!Maxi_hp)</f>
        <v>26.021620495154139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5.1125870348119107E-2</v>
      </c>
      <c r="M378" s="845"/>
      <c r="N378" s="845"/>
      <c r="O378" s="48">
        <f>IF(t&lt;Tnet,'2023'!Resal+('2023'!Salim-'2023'!Resal)*(1-EXP(('2023'!Tnet-t)/('2023'!Tau_j))),Resal+(Salim-Resal)*(1-EXP((Tnet-t)/(Tau_j))))*Salcycl</f>
        <v>2.5914070186502828E-2</v>
      </c>
      <c r="P378" s="169">
        <f>(INDEX(Models!$BJ378:$BT378,,T378)*(1-R378)+INDEX(Models!$BJ378:$BT378,,T378+1)*R378-ERP_i)*Q378*Ramure*Pc/MaxiM</f>
        <v>7.7988759748828969E-4</v>
      </c>
      <c r="Q378" s="305">
        <f t="shared" si="130"/>
        <v>0.5</v>
      </c>
      <c r="R378" s="177">
        <f t="shared" si="131"/>
        <v>0.4973887680221325</v>
      </c>
      <c r="S378" s="811">
        <f t="shared" si="132"/>
        <v>1</v>
      </c>
      <c r="T378" s="176">
        <f t="shared" si="133"/>
        <v>7</v>
      </c>
      <c r="U378" s="251">
        <f t="shared" si="134"/>
        <v>1.4973887680221325</v>
      </c>
      <c r="V378" s="383">
        <f t="shared" si="135"/>
        <v>23.505292160989146</v>
      </c>
      <c r="W378" s="402">
        <f t="shared" si="136"/>
        <v>13.194977228194016</v>
      </c>
      <c r="X378" s="157">
        <f t="shared" si="137"/>
        <v>45655</v>
      </c>
      <c r="Y378" s="385">
        <f t="shared" si="138"/>
        <v>12.464023258077153</v>
      </c>
      <c r="Z378" s="385">
        <f t="shared" si="139"/>
        <v>13.135591822542263</v>
      </c>
      <c r="AA378" s="386">
        <f t="shared" si="140"/>
        <v>14.275876056682405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7.9874904321993248E-2</v>
      </c>
      <c r="AD378" s="231">
        <f>(INDEX(Models!$BJ378:$BT378,,AH378)*(1-AF378)+INDEX(Models!$BJ378:$BT378,,AH378+1)*AF378-ERP_i)*AE378*Ramure*Pc/MaxiM</f>
        <v>7.7988759748828969E-4</v>
      </c>
      <c r="AE378" s="305">
        <f t="shared" si="142"/>
        <v>0.5</v>
      </c>
      <c r="AF378" s="177">
        <f t="shared" si="143"/>
        <v>0.4973887680221325</v>
      </c>
      <c r="AG378" s="811">
        <f t="shared" si="149"/>
        <v>1</v>
      </c>
      <c r="AH378" s="176">
        <f t="shared" si="144"/>
        <v>7</v>
      </c>
      <c r="AI378" s="225">
        <f t="shared" si="145"/>
        <v>1.4973887680221325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'2023'!Wh/'2023'!Env_an*'2024'!Env_an</f>
        <v>12.244328583143044</v>
      </c>
      <c r="C379" s="841"/>
      <c r="D379" s="393">
        <f t="shared" si="127"/>
        <v>12.904342513510736</v>
      </c>
      <c r="E379" s="385">
        <f t="shared" si="150"/>
        <v>13.248671711591641</v>
      </c>
      <c r="F379" s="385">
        <f t="shared" si="128"/>
        <v>13.251863678131251</v>
      </c>
      <c r="G379" s="110">
        <f t="shared" si="151"/>
        <v>0.51733867897643926</v>
      </c>
      <c r="H379" s="414" t="b">
        <f>Wh_hp&gt;='2023'!Maxi_hp</f>
        <v>0</v>
      </c>
      <c r="I379" s="390">
        <f>IF(H379,Wh_hp,'2023'!Maxi_hp)</f>
        <v>25.489311551615195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5.1146653126779795E-2</v>
      </c>
      <c r="M379" s="845"/>
      <c r="N379" s="845"/>
      <c r="O379" s="48">
        <f>IF(t&lt;Tnet,'2023'!Resal+('2023'!Salim-'2023'!Resal)*(1-EXP(('2023'!Tnet-t)/('2023'!Tau_j))),Resal+(Salim-Resal)*(1-EXP((Tnet-t)/(Tau_j))))*Salcycl</f>
        <v>2.5989714710769145E-2</v>
      </c>
      <c r="P379" s="169">
        <f>(INDEX(Models!$BJ379:$BT379,,T379)*(1-R379)+INDEX(Models!$BJ379:$BT379,,T379+1)*R379-ERP_i)*Q379*Ramure*Pc/MaxiM</f>
        <v>7.7480131598705476E-4</v>
      </c>
      <c r="Q379" s="306">
        <f t="shared" si="130"/>
        <v>0.5</v>
      </c>
      <c r="R379" s="177">
        <f t="shared" si="131"/>
        <v>0.4973887680221325</v>
      </c>
      <c r="S379" s="811">
        <f t="shared" si="132"/>
        <v>1</v>
      </c>
      <c r="T379" s="176">
        <f t="shared" si="133"/>
        <v>7</v>
      </c>
      <c r="U379" s="307">
        <f t="shared" si="134"/>
        <v>1.4973887680221325</v>
      </c>
      <c r="V379" s="383">
        <f t="shared" si="135"/>
        <v>23.655276254757453</v>
      </c>
      <c r="W379" s="402">
        <f t="shared" si="136"/>
        <v>12.244328583143044</v>
      </c>
      <c r="X379" s="157">
        <f t="shared" si="137"/>
        <v>45656</v>
      </c>
      <c r="Y379" s="385">
        <f t="shared" si="138"/>
        <v>11.56663434206631</v>
      </c>
      <c r="Z379" s="385">
        <f t="shared" si="139"/>
        <v>12.190118083244503</v>
      </c>
      <c r="AA379" s="386">
        <f t="shared" si="140"/>
        <v>13.248671711591641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7.9898849589651988E-2</v>
      </c>
      <c r="AD379" s="231">
        <f>(INDEX(Models!$BJ379:$BT379,,AH379)*(1-AF379)+INDEX(Models!$BJ379:$BT379,,AH379+1)*AF379-ERP_i)*AE379*Ramure*Pc/MaxiM</f>
        <v>7.7480131598705476E-4</v>
      </c>
      <c r="AE379" s="306">
        <f t="shared" si="142"/>
        <v>0.5</v>
      </c>
      <c r="AF379" s="177">
        <f t="shared" si="143"/>
        <v>0.4973887680221325</v>
      </c>
      <c r="AG379" s="811">
        <f t="shared" si="149"/>
        <v>1</v>
      </c>
      <c r="AH379" s="176">
        <f t="shared" si="144"/>
        <v>7</v>
      </c>
      <c r="AI379" s="222">
        <f t="shared" si="145"/>
        <v>1.4973887680221325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6">
        <f>A379+1</f>
        <v>45657</v>
      </c>
      <c r="B380" s="803">
        <f>AVERAGE(B366:B379)</f>
        <v>15.416209120549466</v>
      </c>
      <c r="C380" s="851"/>
      <c r="D380" s="605">
        <f t="shared" si="127"/>
        <v>16.247554833728579</v>
      </c>
      <c r="E380" s="601">
        <f t="shared" si="150"/>
        <v>16.682387185071548</v>
      </c>
      <c r="F380" s="601">
        <f t="shared" si="128"/>
        <v>16.688760379988651</v>
      </c>
      <c r="G380" s="110">
        <f t="shared" si="151"/>
        <v>0.64708804915045459</v>
      </c>
      <c r="H380" s="602" t="b">
        <f>Wh_hp&gt;='2023'!Maxi_hp</f>
        <v>1</v>
      </c>
      <c r="I380" s="603">
        <f>IF(H380,Wh_hp,'2023'!Maxi_hp)</f>
        <v>16.688760379988651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5.116743545024427E-2</v>
      </c>
      <c r="M380" s="845"/>
      <c r="N380" s="845"/>
      <c r="O380" s="48">
        <f>IF(t&lt;Tnet,'2023'!Resal+('2023'!Salim-'2023'!Resal)*(1-EXP(('2023'!Tnet-t)/('2023'!Tau_j))),Resal+(Salim-Resal)*(1-EXP((Tnet-t)/(Tau_j))))*Salcycl</f>
        <v>2.6065355426595289E-2</v>
      </c>
      <c r="P380" s="231">
        <f>(INDEX(Models!$BJ380:$BT380,,T380)*(1-R380)+INDEX(Models!$BJ380:$BT380,,T380+1)*R380-ERP_i)*Q380*Ramure*Pc/MaxiM</f>
        <v>7.6962193118437262E-4</v>
      </c>
      <c r="Q380" s="328">
        <f t="shared" si="130"/>
        <v>0.5</v>
      </c>
      <c r="R380" s="314">
        <f>(Hp_vg-S380)/(INDEX(Echel_vg,T380+1)-S380)</f>
        <v>0.4973887680221325</v>
      </c>
      <c r="S380" s="812">
        <f>INDEX(Echel_vg,T380)</f>
        <v>1</v>
      </c>
      <c r="T380" s="233">
        <f t="shared" si="133"/>
        <v>7</v>
      </c>
      <c r="U380" s="301">
        <f t="shared" si="134"/>
        <v>1.4973887680221325</v>
      </c>
      <c r="V380" s="383">
        <f t="shared" si="135"/>
        <v>23.814733451927101</v>
      </c>
      <c r="W380" s="402">
        <f t="shared" si="136"/>
        <v>15.416209120549466</v>
      </c>
      <c r="X380" s="326">
        <f t="shared" si="137"/>
        <v>45657</v>
      </c>
      <c r="Y380" s="601">
        <f t="shared" si="138"/>
        <v>14.56370778410246</v>
      </c>
      <c r="Z380" s="601">
        <f t="shared" si="139"/>
        <v>15.349080889749285</v>
      </c>
      <c r="AA380" s="604">
        <f t="shared" si="140"/>
        <v>16.682387185071548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7.992299186745816E-2</v>
      </c>
      <c r="AD380" s="231">
        <f>(INDEX(Models!$BJ380:$BT380,,AH380)*(1-AF380)+INDEX(Models!$BJ380:$BT380,,AH380+1)*AF380-ERP_i)*AE380*Ramure*Pc/MaxiM</f>
        <v>7.6962193118437262E-4</v>
      </c>
      <c r="AE380" s="328">
        <f t="shared" si="142"/>
        <v>0.5</v>
      </c>
      <c r="AF380" s="314">
        <f>(Hp_vg_s-AG380)/(INDEX(Echel_vg,AH380+1)-AG380)</f>
        <v>0.4973887680221325</v>
      </c>
      <c r="AG380" s="812">
        <f>INDEX(Echel_vg,AH380)</f>
        <v>1</v>
      </c>
      <c r="AH380" s="233">
        <f t="shared" si="144"/>
        <v>7</v>
      </c>
      <c r="AI380" s="225">
        <f t="shared" si="145"/>
        <v>1.4973887680221325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1.6863587557380197</v>
      </c>
      <c r="C381" s="375"/>
      <c r="D381" s="373">
        <f>MIN(D15:D380)</f>
        <v>1.7634941484415692</v>
      </c>
      <c r="E381" s="373">
        <f>MIN(E15:E380)</f>
        <v>1.8928179245635017</v>
      </c>
      <c r="F381" s="374">
        <f>MIN(F15:F380)</f>
        <v>1.8928179245635017</v>
      </c>
      <c r="G381" s="125">
        <f>+MIN(G15:G380)</f>
        <v>6.8473657862532622E-2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4.3551568403062957E-2</v>
      </c>
      <c r="M381" s="847"/>
      <c r="N381" s="847"/>
      <c r="O381" s="47">
        <f t="shared" si="152"/>
        <v>5.0579156912699428E-3</v>
      </c>
      <c r="P381" s="168">
        <f t="shared" si="152"/>
        <v>4.2506911306536033E-6</v>
      </c>
      <c r="Q381" s="310">
        <f t="shared" si="152"/>
        <v>0.5</v>
      </c>
      <c r="R381" s="311">
        <f t="shared" si="152"/>
        <v>1.3731123094107289E-4</v>
      </c>
      <c r="S381" s="811">
        <f t="shared" si="152"/>
        <v>0</v>
      </c>
      <c r="T381" s="176">
        <f t="shared" si="152"/>
        <v>6</v>
      </c>
      <c r="U381" s="252">
        <f>+MIN(U15:U380)</f>
        <v>0.99739004105830353</v>
      </c>
      <c r="V381" s="373">
        <f>MIN(V15:V380)</f>
        <v>22.720369118056855</v>
      </c>
      <c r="W381" s="804" t="s">
        <v>40</v>
      </c>
      <c r="X381" s="112" t="s">
        <v>7</v>
      </c>
      <c r="Y381" s="373">
        <f>MIN(Y15:Y380)</f>
        <v>1.6487725923549272</v>
      </c>
      <c r="Z381" s="373">
        <f>MIN(Z15:Z380)</f>
        <v>1.7241887640072562</v>
      </c>
      <c r="AA381" s="373">
        <f>MIN(AA15:AA380)</f>
        <v>1.8928179245635017</v>
      </c>
      <c r="AB381" s="200" t="s">
        <v>7</v>
      </c>
      <c r="AC381" s="47">
        <f t="shared" ref="AC381:AH381" si="153">MIN(AC15:AC380)</f>
        <v>7.3161710714772094E-2</v>
      </c>
      <c r="AD381" s="168">
        <f t="shared" si="153"/>
        <v>4.2506911306536033E-6</v>
      </c>
      <c r="AE381" s="310">
        <f t="shared" si="153"/>
        <v>0.5</v>
      </c>
      <c r="AF381" s="311">
        <f t="shared" si="153"/>
        <v>1.3731123094107289E-4</v>
      </c>
      <c r="AG381" s="811">
        <f t="shared" si="153"/>
        <v>0</v>
      </c>
      <c r="AH381" s="176">
        <f t="shared" si="153"/>
        <v>6</v>
      </c>
      <c r="AI381" s="226">
        <f>MIN(AI15:AI380)</f>
        <v>0.99739004105830353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30.104765520181481</v>
      </c>
      <c r="C382" s="375"/>
      <c r="D382" s="375">
        <f>AVERAGE(D15:D380)</f>
        <v>31.598957638541027</v>
      </c>
      <c r="E382" s="375">
        <f>AVERAGE(E15:E380)</f>
        <v>32.556714508804774</v>
      </c>
      <c r="F382" s="376">
        <f>AVERAGE(F15:F380)</f>
        <v>32.562053965397794</v>
      </c>
      <c r="G382" s="126">
        <f>AVERAGE(G15:G380)</f>
        <v>0.67218005193799157</v>
      </c>
      <c r="H382" s="94"/>
      <c r="I382" s="376">
        <f>AVERAGE(I15:I380)</f>
        <v>43.922021729408087</v>
      </c>
      <c r="J382" s="59">
        <f>AVERAGE(J15:J380)</f>
        <v>2020.1420765027322</v>
      </c>
      <c r="K382" s="200" t="s">
        <v>8</v>
      </c>
      <c r="L382" s="147">
        <f t="shared" ref="L382:V382" si="154">AVERAGE(L15:L380)</f>
        <v>4.7364561790038867E-2</v>
      </c>
      <c r="M382" s="845"/>
      <c r="N382" s="845"/>
      <c r="O382" s="48">
        <f t="shared" si="154"/>
        <v>3.4047267352775967E-2</v>
      </c>
      <c r="P382" s="169">
        <f t="shared" si="154"/>
        <v>3.0502269762292553E-4</v>
      </c>
      <c r="Q382" s="312">
        <f t="shared" si="154"/>
        <v>0.5</v>
      </c>
      <c r="R382" s="177">
        <f t="shared" si="154"/>
        <v>0.38443242256554738</v>
      </c>
      <c r="S382" s="811">
        <f t="shared" si="154"/>
        <v>0.89344262295081966</v>
      </c>
      <c r="T382" s="176">
        <f t="shared" si="154"/>
        <v>6.8934426229508201</v>
      </c>
      <c r="U382" s="251">
        <f t="shared" si="154"/>
        <v>1.2778750455163665</v>
      </c>
      <c r="V382" s="375">
        <f t="shared" si="154"/>
        <v>43.315460661828851</v>
      </c>
      <c r="X382" s="112" t="s">
        <v>8</v>
      </c>
      <c r="Y382" s="375">
        <f>AVERAGE(Y15:Y380)</f>
        <v>28.489838993487826</v>
      </c>
      <c r="Z382" s="375">
        <f>AVERAGE(Z15:Z380)</f>
        <v>29.903131014588375</v>
      </c>
      <c r="AA382" s="375">
        <f>AVERAGE(AA15:AA380)</f>
        <v>32.556714508804774</v>
      </c>
      <c r="AB382" s="200" t="s">
        <v>8</v>
      </c>
      <c r="AC382" s="48">
        <f t="shared" ref="AC382:AH382" si="155">AVERAGE(AC15:AC380)</f>
        <v>8.2416626433974904E-2</v>
      </c>
      <c r="AD382" s="169">
        <f t="shared" si="155"/>
        <v>3.0502269762292553E-4</v>
      </c>
      <c r="AE382" s="312">
        <f t="shared" si="155"/>
        <v>0.5</v>
      </c>
      <c r="AF382" s="177">
        <f t="shared" si="155"/>
        <v>0.38443242256554738</v>
      </c>
      <c r="AG382" s="811">
        <f t="shared" si="155"/>
        <v>0.89344262295081966</v>
      </c>
      <c r="AH382" s="176">
        <f t="shared" si="155"/>
        <v>6.8934426229508201</v>
      </c>
      <c r="AI382" s="225">
        <f>AVERAGE(AI15:AI380)</f>
        <v>1.2778750455163665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59.00256710029074</v>
      </c>
      <c r="C383" s="377"/>
      <c r="D383" s="377">
        <f>MAX(D15:D380)</f>
        <v>61.889527033241421</v>
      </c>
      <c r="E383" s="377">
        <f>MAX(E15:E380)</f>
        <v>62.381141964152206</v>
      </c>
      <c r="F383" s="378">
        <f>MAX(F15:F380)</f>
        <v>62.395664022643864</v>
      </c>
      <c r="G383" s="127">
        <f>+MAX(G15:G380)</f>
        <v>1.0441658803409344</v>
      </c>
      <c r="H383" s="94"/>
      <c r="I383" s="378">
        <f>MAX(I15:I380)</f>
        <v>66.115436428019962</v>
      </c>
      <c r="J383" s="60">
        <f>MAX(J15:J380)</f>
        <v>2024</v>
      </c>
      <c r="K383" s="200" t="s">
        <v>9</v>
      </c>
      <c r="L383" s="148">
        <f t="shared" ref="L383:T383" si="156">MAX(L15:L380)</f>
        <v>5.116743545024427E-2</v>
      </c>
      <c r="M383" s="848"/>
      <c r="N383" s="848"/>
      <c r="O383" s="49">
        <f t="shared" si="156"/>
        <v>7.3089344687619559E-2</v>
      </c>
      <c r="P383" s="170">
        <f t="shared" si="156"/>
        <v>8.1585014243207863E-4</v>
      </c>
      <c r="Q383" s="313">
        <f t="shared" si="156"/>
        <v>0.5</v>
      </c>
      <c r="R383" s="314">
        <f t="shared" si="156"/>
        <v>0.99999953477234993</v>
      </c>
      <c r="S383" s="812">
        <f t="shared" si="156"/>
        <v>1</v>
      </c>
      <c r="T383" s="233">
        <f t="shared" si="156"/>
        <v>7</v>
      </c>
      <c r="U383" s="253">
        <f>+MAX(U15:U380)</f>
        <v>1.4973887680221325</v>
      </c>
      <c r="V383" s="377">
        <f>MAX(V15:V380)</f>
        <v>60.288721184457096</v>
      </c>
      <c r="X383" s="112" t="s">
        <v>9</v>
      </c>
      <c r="Y383" s="377">
        <f>MAX(Y15:Y380)</f>
        <v>54.982520497163847</v>
      </c>
      <c r="Z383" s="377">
        <f>MAX(Z15:Z380)</f>
        <v>57.672781980501405</v>
      </c>
      <c r="AA383" s="377">
        <f>MAX(AA15:AA380)</f>
        <v>62.381141964152206</v>
      </c>
      <c r="AB383" s="200" t="s">
        <v>9</v>
      </c>
      <c r="AC383" s="49">
        <f t="shared" ref="AC383:AH383" si="157">MAX(AC15:AC380)</f>
        <v>9.207272740925615E-2</v>
      </c>
      <c r="AD383" s="170">
        <f t="shared" si="157"/>
        <v>8.1585014243207863E-4</v>
      </c>
      <c r="AE383" s="313">
        <f t="shared" si="157"/>
        <v>0.5</v>
      </c>
      <c r="AF383" s="314">
        <f t="shared" si="157"/>
        <v>0.99999953477234993</v>
      </c>
      <c r="AG383" s="812">
        <f t="shared" si="157"/>
        <v>1</v>
      </c>
      <c r="AH383" s="233">
        <f t="shared" si="157"/>
        <v>7</v>
      </c>
      <c r="AI383" s="227">
        <f>MAX(AI15:AI380)</f>
        <v>1.4973887680221325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'2024'!An+1</f>
        <v>2025</v>
      </c>
      <c r="K1" s="1271"/>
      <c r="L1" s="113" t="str">
        <f>"Calcul pertes et enveloppes en "&amp;TEXT(An,0)</f>
        <v>Calcul pertes et enveloppes en 2025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2025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-2.3034411796860277E-2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529.83868230005851</v>
      </c>
      <c r="AK4" s="834">
        <f>AM12-AK12</f>
        <v>1.7056591851939638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529.83868230005851</v>
      </c>
      <c r="AA5" s="237">
        <f>Wh_Pvg_s-Wh_Pvg</f>
        <v>1.6877102058504887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1928.5470026550643</v>
      </c>
      <c r="AL5" s="516">
        <f>SUMIF(AJ15:AJ380,"VRAI",Wh_s)</f>
        <v>0</v>
      </c>
      <c r="AM5" s="516">
        <f>SUMIF(AK15:AK380,"VRAI",Wh_s)</f>
        <v>1826.334467364162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10803.451919006833</v>
      </c>
      <c r="AK6" s="516">
        <f>SUMIF(AK15:AK380,"FAUX",Wh)</f>
        <v>8874.9049163517757</v>
      </c>
      <c r="AL6" s="516">
        <f>SUMIF(AJ15:AJ380,"FAUX",Wh_s)</f>
        <v>10271.673487317983</v>
      </c>
      <c r="AM6" s="516">
        <f>SUMIF(AK15:AK380,"FAUX",Wh_s)</f>
        <v>8445.339019953828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AND(YEAR(Tnet)=An,Resal_2025="I")</f>
        <v>0</v>
      </c>
      <c r="F7" s="320" t="b">
        <f>YEAR(Tnet)=An</f>
        <v>0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2097.443104751118</v>
      </c>
      <c r="AL7" s="516">
        <f>SUMIF(AJ15:AJ380,"VRAI",Wh_pvt_s)</f>
        <v>0</v>
      </c>
      <c r="AM7" s="516">
        <f>SUMIF(AK15:AK380,"VRAI",Wh_sa_s)</f>
        <v>2097.443104751118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AND(YEAR(Tnet)=An,Resal_2025&lt;&gt;"I")</f>
        <v>0</v>
      </c>
      <c r="F8" s="321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11430.372211939421</v>
      </c>
      <c r="AK8" s="516">
        <f>SUMIF(AK15:AK380,"FAUX",Wh_sa)</f>
        <v>9803.6235310037755</v>
      </c>
      <c r="AL8" s="516">
        <f>SUMIF(AJ15:AJ380,"FAUX",Wh_pvt_s)</f>
        <v>10867.796875165268</v>
      </c>
      <c r="AM8" s="516">
        <f>SUMIF(AK15:AK380,"FAUX",Wh_sa_s)</f>
        <v>9801.6391013598131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11430.372211939421</v>
      </c>
      <c r="E9" s="184">
        <f>SUM(E$15:E$380)</f>
        <v>11901.066635754894</v>
      </c>
      <c r="F9" s="184">
        <f>SUM(F$15:F$380)</f>
        <v>11901.634982813273</v>
      </c>
      <c r="H9" s="1272">
        <f>+SUM(Wh)</f>
        <v>10803.451919006833</v>
      </c>
      <c r="I9" s="1273"/>
      <c r="J9" s="1274"/>
      <c r="K9" s="191"/>
      <c r="L9" s="232"/>
      <c r="M9" s="232"/>
      <c r="N9" s="232"/>
      <c r="O9" s="223">
        <f>Tnet_2025</f>
        <v>45412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10271.673487317983</v>
      </c>
      <c r="Y9" s="1267"/>
      <c r="Z9" s="516">
        <f>SUM(Z$15:Z$380)</f>
        <v>10867.796875165268</v>
      </c>
      <c r="AA9" s="516">
        <f>SUM(AA$15:AA$380)</f>
        <v>11899.082206110937</v>
      </c>
      <c r="AB9" s="516">
        <f>F9</f>
        <v>11901.634982813273</v>
      </c>
      <c r="AC9" s="325">
        <f>IF(An_Tnet,Tnet,'2024'!Tnet_s)</f>
        <v>45412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2097.9157803193134</v>
      </c>
      <c r="AL9" s="516">
        <f>SUMIF(AJ15:AJ380,"VRAI",Wh_sa_s)</f>
        <v>0</v>
      </c>
      <c r="AM9" s="516">
        <f>SUMIF(AK15:AK380,"VRAI",Wh_hp)</f>
        <v>2097.9157803193134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5.0000000000000001E-3</v>
      </c>
      <c r="P10" s="421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IF(OR(Inflex,GainD),'2024'!Resal_s+('2024'!Salim-'2024'!Resal_s)*(1-EXP(('2024'!Tnet_s-Tnet)/('2024'!Tau_j))),IF(Acti_net,'2024'!Resal+('2024'!Salim-'2024'!Resal)*(1-EXP(('2024'!Tnet-Tnet)/'2024'!Tau_j)),'2024'!Resal_s))</f>
        <v>7.2323972146323606E-2</v>
      </c>
      <c r="AD10" s="428"/>
      <c r="AE10" s="428"/>
      <c r="AF10" s="260"/>
      <c r="AG10" s="261"/>
      <c r="AH10" s="262"/>
      <c r="AI10" s="473"/>
      <c r="AJ10" s="516">
        <f>SUMIF(AJ15:AJ380,"FAUX",Wh_sa)</f>
        <v>11901.066635754894</v>
      </c>
      <c r="AK10" s="516">
        <f>SUMIF(AK15:AK380,"FAUX",Wh_hp)</f>
        <v>9803.7192024939541</v>
      </c>
      <c r="AL10" s="516">
        <f>SUMIF(AJ15:AJ380,"FAUX",Wh_sa_s)</f>
        <v>11899.082206110937</v>
      </c>
      <c r="AM10" s="516">
        <f>SUMIF(AK15:AK380,"FAUX",Wh_hp)</f>
        <v>9803.7192024939541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626.92029293258747</v>
      </c>
      <c r="E11" s="51">
        <f>(E$9-D$9)*Prod_an/D$9</f>
        <v>444.87830159402046</v>
      </c>
      <c r="F11" s="186">
        <f>(F$9-E$9)*Prod_an/E$9</f>
        <v>0.5159293957786556</v>
      </c>
      <c r="G11" s="185" t="s">
        <v>6</v>
      </c>
      <c r="K11" s="194"/>
      <c r="L11" s="211">
        <f>Tvie_2025</f>
        <v>43259</v>
      </c>
      <c r="M11" s="844"/>
      <c r="N11" s="844"/>
      <c r="O11" s="202">
        <f>IF(An_Tnet,Salim_2025,'2024'!Salim)</f>
        <v>0.11</v>
      </c>
      <c r="P11" s="256">
        <f>Ttai_2025</f>
        <v>45747</v>
      </c>
      <c r="Q11" s="272">
        <f>Dens_2025</f>
        <v>0.5</v>
      </c>
      <c r="R11" s="277"/>
      <c r="S11" s="230"/>
      <c r="T11" s="230"/>
      <c r="U11" s="266">
        <f>Htf_2025</f>
        <v>-2.0026106892122759</v>
      </c>
      <c r="V11" s="428"/>
      <c r="W11" s="519"/>
      <c r="X11" s="526" t="s">
        <v>43</v>
      </c>
      <c r="Y11" s="50">
        <f>Z$9-Prod_an_s</f>
        <v>596.1233878472849</v>
      </c>
      <c r="Z11" s="51">
        <f>(AA$9-Z$9)*Prod_an_s/Z$9</f>
        <v>974.71698389407891</v>
      </c>
      <c r="AA11" s="186">
        <f>(AB$9-AA$9)*Prod_an_s/AA$9</f>
        <v>2.2036396016291442</v>
      </c>
      <c r="AB11" s="527" t="s">
        <v>6</v>
      </c>
      <c r="AC11" s="325"/>
      <c r="AD11" s="428"/>
      <c r="AE11" s="272">
        <f>IF(Acti_tai,IF(GainD,Dd_s,Dd)+PousD*Croi_tai,"NA")</f>
        <v>0.5</v>
      </c>
      <c r="AF11" s="247"/>
      <c r="AG11" s="247"/>
      <c r="AH11" s="247"/>
      <c r="AI11" s="266">
        <f>IF(Acti_tai,IF(GainD,Hdd_s,Hdd)+PousH*Croi_tai,"NA")</f>
        <v>1.522376877161703</v>
      </c>
      <c r="AJ11" s="833">
        <f>IF($AJ7=0,0,($AJ9-$AJ7)*$AJ5/$AJ7)</f>
        <v>0</v>
      </c>
      <c r="AK11" s="834">
        <f>IF($AK7=0,0,($AK9-$AK7)*$AK5/$AK7)</f>
        <v>0.43461348162754493</v>
      </c>
      <c r="AL11" s="833">
        <f>IF($AL7=0,0,($AL9-$AL7)*$AL5/$AL7)</f>
        <v>0</v>
      </c>
      <c r="AM11" s="834">
        <f>IF($AM7=0,0,($AM9-$AM7)*$AM5/$AM7)</f>
        <v>0.41157906983068465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4.4165880340934383E-2</v>
      </c>
      <c r="K12" s="191"/>
      <c r="L12" s="212">
        <f>Pspv_2025</f>
        <v>0</v>
      </c>
      <c r="M12" s="212"/>
      <c r="N12" s="212"/>
      <c r="O12" s="205">
        <f>IF(An_Tnet,Tau_2025*365,'2024'!Tau_j)</f>
        <v>1095</v>
      </c>
      <c r="P12" s="281">
        <f>INDEX(Croivg,MIN(MAX(Ttai-$A$15,0)+1,366))</f>
        <v>4.9976218279140845E-2</v>
      </c>
      <c r="Q12" s="280">
        <f>'2024'!Df</f>
        <v>0.5</v>
      </c>
      <c r="R12" s="278"/>
      <c r="S12" s="279"/>
      <c r="T12" s="279"/>
      <c r="U12" s="267">
        <f>'2024'!Hdf</f>
        <v>1.4973887680221325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'2024'!Df_s</f>
        <v>0.5</v>
      </c>
      <c r="AF12" s="203"/>
      <c r="AG12" s="203"/>
      <c r="AH12" s="203"/>
      <c r="AI12" s="297">
        <f>'2024'!Hdf_s</f>
        <v>1.4973887680221325</v>
      </c>
      <c r="AJ12" s="833">
        <f>IF($AJ8=0,0,($AJ10-$AJ8)*$AJ6/$AJ8)</f>
        <v>444.87830159402046</v>
      </c>
      <c r="AK12" s="834">
        <f>IF($AK8=0,0,($AK10-$AK8)*$AK6/$AK8)</f>
        <v>8.6608321490043577E-2</v>
      </c>
      <c r="AL12" s="833">
        <f>IF($AL8=0,0,($AL10-$AL8)*$AL6/$AL8)</f>
        <v>974.71698389407891</v>
      </c>
      <c r="AM12" s="834">
        <f>IF($AM8=0,0,($AM10-$AM8)*$AM6/$AM8)</f>
        <v>1.7922675066840072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444.87830159402046</v>
      </c>
      <c r="AK13" s="73">
        <f>+AK11+AK12</f>
        <v>0.52122180311758848</v>
      </c>
      <c r="AL13" s="73">
        <f>+AL11+AL12</f>
        <v>974.71698389407891</v>
      </c>
      <c r="AM13" s="73">
        <f>+AM11+AM12</f>
        <v>2.203846576514692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2025</v>
      </c>
      <c r="W14" s="838" t="s">
        <v>116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'2024'!Wh/'2024'!Env_an*'2025'!Env_an</f>
        <v>22.647648717006014</v>
      </c>
      <c r="C15" s="841"/>
      <c r="D15" s="393">
        <f t="shared" ref="D15:D78" si="0">Wh/(1-Ppv)</f>
        <v>23.869485107995313</v>
      </c>
      <c r="E15" s="400">
        <f t="shared" ref="E15:E79" si="1">Wh_pvt/(1-Psa)</f>
        <v>24.510232350731638</v>
      </c>
      <c r="F15" s="400">
        <f t="shared" ref="F15:F78" si="2">Wh_sa/(1-Pvg*MEDIAN((-Sdif+Wh/Env_an)/Csdif,0,1))</f>
        <v>24.527790482784717</v>
      </c>
      <c r="G15" s="123">
        <f>+Wh_hp/MaxiM</f>
        <v>0.95103768834022295</v>
      </c>
      <c r="H15" s="414" t="b">
        <f>Wh_hp&gt;='2024'!Maxi_hp</f>
        <v>0</v>
      </c>
      <c r="I15" s="396">
        <f>IF(H15,Wh_hp,'2024'!Maxi_hp)</f>
        <v>24.528525019852513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5.1188217318522411E-2</v>
      </c>
      <c r="M15" s="845"/>
      <c r="N15" s="845"/>
      <c r="O15" s="48">
        <f>IF(t&lt;Tnet,'2024'!Resal+('2024'!Salim-'2024'!Resal)*(1-EXP(('2024'!Tnet-t)/('2024'!Tau_j))),Resal+(Salim-Resal)*(1-EXP((Tnet-t)/(Tau_j))))*Salcycl</f>
        <v>2.6142030543304832E-2</v>
      </c>
      <c r="P15" s="302">
        <f>(INDEX(Models!$BJ15:$BT15,,T15)*(1-R15)+INDEX(Models!$BJ15:$BT15,,T15+1)*R15-ERP_i)*Q15*Ramure*Pc/MaxiM</f>
        <v>7.6962231496880795E-4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0.4973899635203618</v>
      </c>
      <c r="S15" s="810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1.4973899635203618</v>
      </c>
      <c r="V15" s="382">
        <f t="shared" ref="V15:V78" si="9">MaxiM*(1-Ppv)*(1-Pvg)*(1-Psa)</f>
        <v>23.812337014176897</v>
      </c>
      <c r="W15" s="402">
        <f t="shared" ref="W15:W78" si="10">Wh*(A15&gt;Tmaj)</f>
        <v>22.647648717006014</v>
      </c>
      <c r="X15" s="156">
        <f t="shared" ref="X15:X78" si="11">t</f>
        <v>45658</v>
      </c>
      <c r="Y15" s="385">
        <f t="shared" ref="Y15:Y78" si="12">Wh_pvt_s*(1-Ppv)</f>
        <v>21.396300520784976</v>
      </c>
      <c r="Z15" s="385">
        <f>Wh_sa_s*(1-Psa_s)</f>
        <v>22.550626911815929</v>
      </c>
      <c r="AA15" s="386">
        <f t="shared" ref="AA15:AA78" si="13">Wh_hp*(1-Pvg_s*MEDIAN((-Sdif+Wh/Env_an)/Csdif,0,1))</f>
        <v>24.510232350731638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7.9950504380151804E-2</v>
      </c>
      <c r="AD15" s="231">
        <f>(INDEX(Models!$BJ15:$BT15,,AH15)*(1-AF15)+INDEX(Models!$BJ15:$BT15,,AH15+1)*AF15-ERP_i)*AE15*Ramure*Pc/MaxiM</f>
        <v>7.6962231496880795E-4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0.4973899635203618</v>
      </c>
      <c r="AG15" s="810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1.4973899635203618</v>
      </c>
      <c r="AJ15" s="265" t="b">
        <f t="shared" ref="AJ15:AJ78" si="18">t&lt;Tnet</f>
        <v>0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'2024'!Wh/'2024'!Env_an*'2025'!Env_an</f>
        <v>16.284286867696299</v>
      </c>
      <c r="C16" s="841"/>
      <c r="D16" s="393">
        <f t="shared" si="0"/>
        <v>17.163197001159286</v>
      </c>
      <c r="E16" s="385">
        <f t="shared" si="1"/>
        <v>17.625289570396891</v>
      </c>
      <c r="F16" s="385">
        <f t="shared" si="2"/>
        <v>17.632585372269531</v>
      </c>
      <c r="G16" s="110">
        <f t="shared" ref="G16:G79" si="21">+Wh_hp/MaxiM</f>
        <v>0.67883633648088226</v>
      </c>
      <c r="H16" s="414" t="b">
        <f>Wh_hp&gt;='2024'!Maxi_hp</f>
        <v>0</v>
      </c>
      <c r="I16" s="390">
        <f>IF(H16,Wh_hp,'2024'!Maxi_hp)</f>
        <v>24.297474136240545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5.1208998731624433E-2</v>
      </c>
      <c r="M16" s="845"/>
      <c r="N16" s="845"/>
      <c r="O16" s="48">
        <f>IF(t&lt;Tnet,'2024'!Resal+('2024'!Salim-'2024'!Resal)*(1-EXP(('2024'!Tnet-t)/('2024'!Tau_j))),Resal+(Salim-Resal)*(1-EXP((Tnet-t)/(Tau_j))))*Salcycl</f>
        <v>2.6217587370236894E-2</v>
      </c>
      <c r="P16" s="169">
        <f>(INDEX(Models!$BJ16:$BT16,,T16)*(1-R16)+INDEX(Models!$BJ16:$BT16,,T16+1)*R16-ERP_i)*Q16*Ramure*Pc/MaxiM</f>
        <v>7.6406572768105373E-4</v>
      </c>
      <c r="Q16" s="305">
        <f t="shared" si="4"/>
        <v>0.5</v>
      </c>
      <c r="R16" s="177">
        <f t="shared" si="5"/>
        <v>0.49741917813435621</v>
      </c>
      <c r="S16" s="811">
        <f t="shared" si="6"/>
        <v>1</v>
      </c>
      <c r="T16" s="176">
        <f t="shared" si="7"/>
        <v>7</v>
      </c>
      <c r="U16" s="251">
        <f t="shared" si="8"/>
        <v>1.4974191781343562</v>
      </c>
      <c r="V16" s="383">
        <f t="shared" si="9"/>
        <v>23.980124935942655</v>
      </c>
      <c r="W16" s="402">
        <f t="shared" si="10"/>
        <v>16.284286867696299</v>
      </c>
      <c r="X16" s="157">
        <f t="shared" si="11"/>
        <v>45659</v>
      </c>
      <c r="Y16" s="385">
        <f t="shared" si="12"/>
        <v>15.385320360434861</v>
      </c>
      <c r="Z16" s="385">
        <f t="shared" ref="Z16:Z78" si="22">Wh_sa_s*(1-Psa_s)</f>
        <v>16.215710667435978</v>
      </c>
      <c r="AA16" s="386">
        <f t="shared" si="13"/>
        <v>17.625289570396891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7.9974794021450538E-2</v>
      </c>
      <c r="AD16" s="231">
        <f>(INDEX(Models!$BJ16:$BT16,,AH16)*(1-AF16)+INDEX(Models!$BJ16:$BT16,,AH16+1)*AF16-ERP_i)*AE16*Ramure*Pc/MaxiM</f>
        <v>7.6406572768105373E-4</v>
      </c>
      <c r="AE16" s="305">
        <f t="shared" si="15"/>
        <v>0.5</v>
      </c>
      <c r="AF16" s="177">
        <f t="shared" ref="AF16:AF78" si="23">(Hp_vg_s-AG16)/(INDEX(Echel_vg,AH16+1)-AG16)</f>
        <v>0.49741917813435621</v>
      </c>
      <c r="AG16" s="811">
        <f t="shared" ref="AG16:AG79" si="24">INDEX(Echel_vg,AH16)</f>
        <v>1</v>
      </c>
      <c r="AH16" s="176">
        <f t="shared" si="16"/>
        <v>7</v>
      </c>
      <c r="AI16" s="225">
        <f t="shared" si="17"/>
        <v>1.4974191781343562</v>
      </c>
      <c r="AJ16" s="265" t="b">
        <f t="shared" si="18"/>
        <v>0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'2024'!Wh/'2024'!Env_an*'2025'!Env_an</f>
        <v>17.523726883193831</v>
      </c>
      <c r="C17" s="841"/>
      <c r="D17" s="393">
        <f t="shared" si="0"/>
        <v>18.469937723656656</v>
      </c>
      <c r="E17" s="385">
        <f t="shared" si="1"/>
        <v>18.96868374011563</v>
      </c>
      <c r="F17" s="385">
        <f t="shared" si="2"/>
        <v>18.977428940442191</v>
      </c>
      <c r="G17" s="110">
        <f t="shared" si="21"/>
        <v>0.72525042602572876</v>
      </c>
      <c r="H17" s="414" t="b">
        <f>Wh_hp&gt;='2024'!Maxi_hp</f>
        <v>0</v>
      </c>
      <c r="I17" s="390">
        <f>IF(H17,Wh_hp,'2024'!Maxi_hp)</f>
        <v>27.383515682442006</v>
      </c>
      <c r="J17" s="85">
        <f>IF(H17,An,'2024'!An_max)</f>
        <v>2019</v>
      </c>
      <c r="K17" s="197">
        <f t="shared" si="3"/>
        <v>45660</v>
      </c>
      <c r="L17" s="147">
        <f>IF(t&lt;Tvie,1-EXP((T0-t)*PertePVj)+'2024'!Pspv,1-EXP((T0-t)*PertePVj)+Pspv)</f>
        <v>5.1229779689560107E-2</v>
      </c>
      <c r="M17" s="845"/>
      <c r="N17" s="845"/>
      <c r="O17" s="48">
        <f>IF(t&lt;Tnet,'2024'!Resal+('2024'!Salim-'2024'!Resal)*(1-EXP(('2024'!Tnet-t)/('2024'!Tau_j))),Resal+(Salim-Resal)*(1-EXP((Tnet-t)/(Tau_j))))*Salcycl</f>
        <v>2.629312730878677E-2</v>
      </c>
      <c r="P17" s="169">
        <f>(INDEX(Models!$BJ17:$BT17,,T17)*(1-R17)+INDEX(Models!$BJ17:$BT17,,T17+1)*R17-ERP_i)*Q17*Ramure*Pc/MaxiM</f>
        <v>7.5816777740587006E-4</v>
      </c>
      <c r="Q17" s="305">
        <f t="shared" si="4"/>
        <v>0.5</v>
      </c>
      <c r="R17" s="177">
        <f t="shared" si="5"/>
        <v>0.49744961472984572</v>
      </c>
      <c r="S17" s="811">
        <f t="shared" si="6"/>
        <v>1</v>
      </c>
      <c r="T17" s="176">
        <f t="shared" si="7"/>
        <v>7</v>
      </c>
      <c r="U17" s="251">
        <f t="shared" si="8"/>
        <v>1.4974496147298457</v>
      </c>
      <c r="V17" s="383">
        <f t="shared" si="9"/>
        <v>24.155123845365225</v>
      </c>
      <c r="W17" s="402">
        <f t="shared" si="10"/>
        <v>17.523726883193831</v>
      </c>
      <c r="X17" s="157">
        <f t="shared" si="11"/>
        <v>45660</v>
      </c>
      <c r="Y17" s="385">
        <f t="shared" si="12"/>
        <v>16.557182213975633</v>
      </c>
      <c r="Z17" s="385">
        <f t="shared" si="22"/>
        <v>17.451203525926523</v>
      </c>
      <c r="AA17" s="386">
        <f t="shared" si="13"/>
        <v>18.96868374011563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7.9999236371888285E-2</v>
      </c>
      <c r="AD17" s="231">
        <f>(INDEX(Models!$BJ17:$BT17,,AH17)*(1-AF17)+INDEX(Models!$BJ17:$BT17,,AH17+1)*AF17-ERP_i)*AE17*Ramure*Pc/MaxiM</f>
        <v>7.5816777740587006E-4</v>
      </c>
      <c r="AE17" s="305">
        <f t="shared" si="15"/>
        <v>0.5</v>
      </c>
      <c r="AF17" s="177">
        <f>(Hp_vg_s-AG17)/(INDEX(Echel_vg,AH17+1)-AG17)</f>
        <v>0.49744961472984572</v>
      </c>
      <c r="AG17" s="811">
        <f>INDEX(Echel_vg,AH17)</f>
        <v>1</v>
      </c>
      <c r="AH17" s="176">
        <f t="shared" si="16"/>
        <v>7</v>
      </c>
      <c r="AI17" s="225">
        <f t="shared" si="17"/>
        <v>1.4974496147298457</v>
      </c>
      <c r="AJ17" s="265" t="b">
        <f t="shared" si="18"/>
        <v>0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'2024'!Wh/'2024'!Env_an*'2025'!Env_an</f>
        <v>18.515644648594709</v>
      </c>
      <c r="C18" s="841"/>
      <c r="D18" s="393">
        <f t="shared" si="0"/>
        <v>19.515842509849996</v>
      </c>
      <c r="E18" s="385">
        <f t="shared" si="1"/>
        <v>20.044385798738968</v>
      </c>
      <c r="F18" s="385">
        <f t="shared" si="2"/>
        <v>20.054313519624877</v>
      </c>
      <c r="G18" s="110">
        <f t="shared" si="21"/>
        <v>0.76063170097452193</v>
      </c>
      <c r="H18" s="414" t="b">
        <f>Wh_hp&gt;='2024'!Maxi_hp</f>
        <v>0</v>
      </c>
      <c r="I18" s="390">
        <f>IF(H18,Wh_hp,'2024'!Maxi_hp)</f>
        <v>24.454097030053351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5.1250560192339534E-2</v>
      </c>
      <c r="M18" s="845"/>
      <c r="N18" s="845"/>
      <c r="O18" s="48">
        <f>IF(t&lt;Tnet,'2024'!Resal+('2024'!Salim-'2024'!Resal)*(1-EXP(('2024'!Tnet-t)/('2024'!Tau_j))),Resal+(Salim-Resal)*(1-EXP((Tnet-t)/(Tau_j))))*Salcycl</f>
        <v>2.636864477644528E-2</v>
      </c>
      <c r="P18" s="169">
        <f>(INDEX(Models!$BJ18:$BT18,,T18)*(1-R18)+INDEX(Models!$BJ18:$BT18,,T18+1)*R18-ERP_i)*Q18*Ramure*Pc/MaxiM</f>
        <v>7.519719146627257E-4</v>
      </c>
      <c r="Q18" s="305">
        <f t="shared" si="4"/>
        <v>0.5</v>
      </c>
      <c r="R18" s="177">
        <f t="shared" si="5"/>
        <v>0.49748132426114089</v>
      </c>
      <c r="S18" s="811">
        <f t="shared" si="6"/>
        <v>1</v>
      </c>
      <c r="T18" s="176">
        <f t="shared" si="7"/>
        <v>7</v>
      </c>
      <c r="U18" s="251">
        <f t="shared" si="8"/>
        <v>1.4974813242611409</v>
      </c>
      <c r="V18" s="383">
        <f t="shared" si="9"/>
        <v>24.336199818655945</v>
      </c>
      <c r="W18" s="402">
        <f t="shared" si="10"/>
        <v>18.515644648594709</v>
      </c>
      <c r="X18" s="157">
        <f t="shared" si="11"/>
        <v>45661</v>
      </c>
      <c r="Y18" s="385">
        <f t="shared" si="12"/>
        <v>17.495278961427903</v>
      </c>
      <c r="Z18" s="385">
        <f>Wh_sa_s*(1-Psa_s)</f>
        <v>18.440357619578371</v>
      </c>
      <c r="AA18" s="386">
        <f t="shared" si="13"/>
        <v>20.044385798738968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8.0023812915310522E-2</v>
      </c>
      <c r="AD18" s="231">
        <f>(INDEX(Models!$BJ18:$BT18,,AH18)*(1-AF18)+INDEX(Models!$BJ18:$BT18,,AH18+1)*AF18-ERP_i)*AE18*Ramure*Pc/MaxiM</f>
        <v>7.519719146627257E-4</v>
      </c>
      <c r="AE18" s="305">
        <f t="shared" si="15"/>
        <v>0.5</v>
      </c>
      <c r="AF18" s="177">
        <f t="shared" si="23"/>
        <v>0.49748132426114089</v>
      </c>
      <c r="AG18" s="811">
        <f t="shared" si="24"/>
        <v>1</v>
      </c>
      <c r="AH18" s="176">
        <f t="shared" si="16"/>
        <v>7</v>
      </c>
      <c r="AI18" s="225">
        <f t="shared" si="17"/>
        <v>1.4974813242611409</v>
      </c>
      <c r="AJ18" s="265" t="b">
        <f t="shared" si="18"/>
        <v>0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'2024'!Wh/'2024'!Env_an*'2025'!Env_an</f>
        <v>14.741509454396654</v>
      </c>
      <c r="C19" s="841"/>
      <c r="D19" s="393">
        <f t="shared" si="0"/>
        <v>15.538172377047605</v>
      </c>
      <c r="E19" s="385">
        <f t="shared" si="1"/>
        <v>15.960226766971351</v>
      </c>
      <c r="F19" s="385">
        <f t="shared" si="2"/>
        <v>15.965347370055364</v>
      </c>
      <c r="G19" s="110">
        <f t="shared" si="21"/>
        <v>0.60089363124247941</v>
      </c>
      <c r="H19" s="414" t="b">
        <f>Wh_hp&gt;='2024'!Maxi_hp</f>
        <v>0</v>
      </c>
      <c r="I19" s="390">
        <f>IF(H19,Wh_hp,'2024'!Maxi_hp)</f>
        <v>27.046839831733369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5.1271340239972596E-2</v>
      </c>
      <c r="M19" s="845"/>
      <c r="N19" s="845"/>
      <c r="O19" s="48">
        <f>IF(t&lt;Tnet,'2024'!Resal+('2024'!Salim-'2024'!Resal)*(1-EXP(('2024'!Tnet-t)/('2024'!Tau_j))),Resal+(Salim-Resal)*(1-EXP((Tnet-t)/(Tau_j))))*Salcycl</f>
        <v>2.6444134916501279E-2</v>
      </c>
      <c r="P19" s="169">
        <f>(INDEX(Models!$BJ19:$BT19,,T19)*(1-R19)+INDEX(Models!$BJ19:$BT19,,T19+1)*R19-ERP_i)*Q19*Ramure*Pc/MaxiM</f>
        <v>7.455199152352637E-4</v>
      </c>
      <c r="Q19" s="305">
        <f t="shared" si="4"/>
        <v>0.5</v>
      </c>
      <c r="R19" s="177">
        <f t="shared" si="5"/>
        <v>0.4975143597937024</v>
      </c>
      <c r="S19" s="811">
        <f t="shared" si="6"/>
        <v>1</v>
      </c>
      <c r="T19" s="176">
        <f t="shared" si="7"/>
        <v>7</v>
      </c>
      <c r="U19" s="251">
        <f t="shared" si="8"/>
        <v>1.4975143597937024</v>
      </c>
      <c r="V19" s="383">
        <f t="shared" si="9"/>
        <v>24.522219356314281</v>
      </c>
      <c r="W19" s="402">
        <f t="shared" si="10"/>
        <v>14.741509454396654</v>
      </c>
      <c r="X19" s="157">
        <f t="shared" si="11"/>
        <v>45662</v>
      </c>
      <c r="Y19" s="385">
        <f t="shared" si="12"/>
        <v>13.92983608878693</v>
      </c>
      <c r="Z19" s="385">
        <f t="shared" si="22"/>
        <v>14.682634434497173</v>
      </c>
      <c r="AA19" s="386">
        <f t="shared" si="13"/>
        <v>15.960226766971351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8.0048507526100654E-2</v>
      </c>
      <c r="AD19" s="231">
        <f>(INDEX(Models!$BJ19:$BT19,,AH19)*(1-AF19)+INDEX(Models!$BJ19:$BT19,,AH19+1)*AF19-ERP_i)*AE19*Ramure*Pc/MaxiM</f>
        <v>7.455199152352637E-4</v>
      </c>
      <c r="AE19" s="305">
        <f t="shared" si="15"/>
        <v>0.5</v>
      </c>
      <c r="AF19" s="177">
        <f t="shared" si="23"/>
        <v>0.4975143597937024</v>
      </c>
      <c r="AG19" s="811">
        <f t="shared" si="24"/>
        <v>1</v>
      </c>
      <c r="AH19" s="176">
        <f t="shared" si="16"/>
        <v>7</v>
      </c>
      <c r="AI19" s="225">
        <f t="shared" si="17"/>
        <v>1.4975143597937024</v>
      </c>
      <c r="AJ19" s="265" t="b">
        <f t="shared" si="18"/>
        <v>0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'2024'!Wh/'2024'!Env_an*'2025'!Env_an</f>
        <v>21.257575052312177</v>
      </c>
      <c r="C20" s="841"/>
      <c r="D20" s="393">
        <f t="shared" si="0"/>
        <v>22.406870962807155</v>
      </c>
      <c r="E20" s="385">
        <f t="shared" si="1"/>
        <v>23.017279870373532</v>
      </c>
      <c r="F20" s="385">
        <f t="shared" si="2"/>
        <v>23.030898132965838</v>
      </c>
      <c r="G20" s="110">
        <f t="shared" si="21"/>
        <v>0.8600839352749905</v>
      </c>
      <c r="H20" s="414" t="b">
        <f>Wh_hp&gt;='2024'!Maxi_hp</f>
        <v>0</v>
      </c>
      <c r="I20" s="390">
        <f>IF(H20,Wh_hp,'2024'!Maxi_hp)</f>
        <v>26.739364860323523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5.1292119832469174E-2</v>
      </c>
      <c r="M20" s="845"/>
      <c r="N20" s="845"/>
      <c r="O20" s="48">
        <f>IF(t&lt;Tnet,'2024'!Resal+('2024'!Salim-'2024'!Resal)*(1-EXP(('2024'!Tnet-t)/('2024'!Tau_j))),Resal+(Salim-Resal)*(1-EXP((Tnet-t)/(Tau_j))))*Salcycl</f>
        <v>2.6519593583777826E-2</v>
      </c>
      <c r="P20" s="169">
        <f>(INDEX(Models!$BJ20:$BT20,,T20)*(1-R20)+INDEX(Models!$BJ20:$BT20,,T20+1)*R20-ERP_i)*Q20*Ramure*Pc/MaxiM</f>
        <v>7.3885172211689298E-4</v>
      </c>
      <c r="Q20" s="305">
        <f t="shared" si="4"/>
        <v>0.5</v>
      </c>
      <c r="R20" s="177">
        <f t="shared" si="5"/>
        <v>0.49754877659045316</v>
      </c>
      <c r="S20" s="811">
        <f t="shared" si="6"/>
        <v>1</v>
      </c>
      <c r="T20" s="176">
        <f t="shared" si="7"/>
        <v>7</v>
      </c>
      <c r="U20" s="251">
        <f t="shared" si="8"/>
        <v>1.4975487765904532</v>
      </c>
      <c r="V20" s="383">
        <f t="shared" si="9"/>
        <v>24.712049392464756</v>
      </c>
      <c r="W20" s="402">
        <f t="shared" si="10"/>
        <v>21.257575052312177</v>
      </c>
      <c r="X20" s="157">
        <f t="shared" si="11"/>
        <v>45663</v>
      </c>
      <c r="Y20" s="385">
        <f t="shared" si="12"/>
        <v>20.088140041692832</v>
      </c>
      <c r="Z20" s="385">
        <f t="shared" si="22"/>
        <v>21.174210166933047</v>
      </c>
      <c r="AA20" s="386">
        <f t="shared" si="13"/>
        <v>23.017279870373532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8.007330639502612E-2</v>
      </c>
      <c r="AD20" s="231">
        <f>(INDEX(Models!$BJ20:$BT20,,AH20)*(1-AF20)+INDEX(Models!$BJ20:$BT20,,AH20+1)*AF20-ERP_i)*AE20*Ramure*Pc/MaxiM</f>
        <v>7.3885172211689298E-4</v>
      </c>
      <c r="AE20" s="305">
        <f t="shared" si="15"/>
        <v>0.5</v>
      </c>
      <c r="AF20" s="177">
        <f t="shared" si="23"/>
        <v>0.49754877659045316</v>
      </c>
      <c r="AG20" s="811">
        <f t="shared" si="24"/>
        <v>1</v>
      </c>
      <c r="AH20" s="176">
        <f t="shared" si="16"/>
        <v>7</v>
      </c>
      <c r="AI20" s="225">
        <f t="shared" si="17"/>
        <v>1.4975487765904532</v>
      </c>
      <c r="AJ20" s="265" t="b">
        <f t="shared" si="18"/>
        <v>0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'2024'!Wh/'2024'!Env_an*'2025'!Env_an</f>
        <v>10.870889212206277</v>
      </c>
      <c r="C21" s="841"/>
      <c r="D21" s="393">
        <f t="shared" si="0"/>
        <v>11.458877432192125</v>
      </c>
      <c r="E21" s="385">
        <f t="shared" si="1"/>
        <v>11.771952718683266</v>
      </c>
      <c r="F21" s="385">
        <f t="shared" si="2"/>
        <v>11.773633324047337</v>
      </c>
      <c r="G21" s="110">
        <f t="shared" si="21"/>
        <v>0.43624475505006988</v>
      </c>
      <c r="H21" s="414" t="b">
        <f>Wh_hp&gt;='2024'!Maxi_hp</f>
        <v>0</v>
      </c>
      <c r="I21" s="390">
        <f>IF(H21,Wh_hp,'2024'!Maxi_hp)</f>
        <v>14.932480243717823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5.1312898969839482E-2</v>
      </c>
      <c r="M21" s="845"/>
      <c r="N21" s="845"/>
      <c r="O21" s="48">
        <f>IF(t&lt;Tnet,'2024'!Resal+('2024'!Salim-'2024'!Resal)*(1-EXP(('2024'!Tnet-t)/('2024'!Tau_j))),Resal+(Salim-Resal)*(1-EXP((Tnet-t)/(Tau_j))))*Salcycl</f>
        <v>2.6595017324038343E-2</v>
      </c>
      <c r="P21" s="169">
        <f>(INDEX(Models!$BJ21:$BT21,,T21)*(1-R21)+INDEX(Models!$BJ21:$BT21,,T21+1)*R21-ERP_i)*Q21*Ramure*Pc/MaxiM</f>
        <v>7.3200533431952983E-4</v>
      </c>
      <c r="Q21" s="305">
        <f t="shared" si="4"/>
        <v>0.5</v>
      </c>
      <c r="R21" s="177">
        <f t="shared" si="5"/>
        <v>0.49758463220151627</v>
      </c>
      <c r="S21" s="811">
        <f t="shared" si="6"/>
        <v>1</v>
      </c>
      <c r="T21" s="176">
        <f t="shared" si="7"/>
        <v>7</v>
      </c>
      <c r="U21" s="251">
        <f t="shared" si="8"/>
        <v>1.4975846322015163</v>
      </c>
      <c r="V21" s="383">
        <f t="shared" si="9"/>
        <v>24.904557287775241</v>
      </c>
      <c r="W21" s="402">
        <f t="shared" si="10"/>
        <v>10.870889212206277</v>
      </c>
      <c r="X21" s="157">
        <f t="shared" si="11"/>
        <v>45664</v>
      </c>
      <c r="Y21" s="385">
        <f t="shared" si="12"/>
        <v>10.273371057585367</v>
      </c>
      <c r="Z21" s="385">
        <f t="shared" si="22"/>
        <v>10.829040519713736</v>
      </c>
      <c r="AA21" s="386">
        <f t="shared" si="13"/>
        <v>11.771952718683266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8.009819793729156E-2</v>
      </c>
      <c r="AD21" s="231">
        <f>(INDEX(Models!$BJ21:$BT21,,AH21)*(1-AF21)+INDEX(Models!$BJ21:$BT21,,AH21+1)*AF21-ERP_i)*AE21*Ramure*Pc/MaxiM</f>
        <v>7.3200533431952983E-4</v>
      </c>
      <c r="AE21" s="305">
        <f t="shared" si="15"/>
        <v>0.5</v>
      </c>
      <c r="AF21" s="177">
        <f t="shared" si="23"/>
        <v>0.49758463220151627</v>
      </c>
      <c r="AG21" s="811">
        <f t="shared" si="24"/>
        <v>1</v>
      </c>
      <c r="AH21" s="176">
        <f t="shared" si="16"/>
        <v>7</v>
      </c>
      <c r="AI21" s="225">
        <f t="shared" si="17"/>
        <v>1.4975846322015163</v>
      </c>
      <c r="AJ21" s="265" t="b">
        <f t="shared" si="18"/>
        <v>0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'2024'!Wh/'2024'!Env_an*'2025'!Env_an</f>
        <v>7.6259588382633341</v>
      </c>
      <c r="C22" s="841"/>
      <c r="D22" s="393">
        <f t="shared" si="0"/>
        <v>8.0386102664521992</v>
      </c>
      <c r="E22" s="385">
        <f t="shared" si="1"/>
        <v>8.258877870454608</v>
      </c>
      <c r="F22" s="385">
        <f t="shared" si="2"/>
        <v>8.2589107170314513</v>
      </c>
      <c r="G22" s="110">
        <f t="shared" si="21"/>
        <v>0.30362079588090629</v>
      </c>
      <c r="H22" s="414" t="b">
        <f>Wh_hp&gt;='2024'!Maxi_hp</f>
        <v>0</v>
      </c>
      <c r="I22" s="390">
        <f>IF(H22,Wh_hp,'2024'!Maxi_hp)</f>
        <v>20.323342747491672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5.133367765209329E-2</v>
      </c>
      <c r="M22" s="845"/>
      <c r="N22" s="845"/>
      <c r="O22" s="48">
        <f>IF(t&lt;Tnet,'2024'!Resal+('2024'!Salim-'2024'!Resal)*(1-EXP(('2024'!Tnet-t)/('2024'!Tau_j))),Resal+(Salim-Resal)*(1-EXP((Tnet-t)/(Tau_j))))*Salcycl</f>
        <v>2.6670403347456795E-2</v>
      </c>
      <c r="P22" s="169">
        <f>(INDEX(Models!$BJ22:$BT22,,T22)*(1-R22)+INDEX(Models!$BJ22:$BT22,,T22+1)*R22-ERP_i)*Q22*Ramure*Pc/MaxiM</f>
        <v>7.2501673682820922E-4</v>
      </c>
      <c r="Q22" s="305">
        <f t="shared" si="4"/>
        <v>0.5</v>
      </c>
      <c r="R22" s="177">
        <f t="shared" si="5"/>
        <v>0.49762198655751355</v>
      </c>
      <c r="S22" s="811">
        <f t="shared" si="6"/>
        <v>1</v>
      </c>
      <c r="T22" s="176">
        <f t="shared" si="7"/>
        <v>7</v>
      </c>
      <c r="U22" s="251">
        <f t="shared" si="8"/>
        <v>1.4976219865575136</v>
      </c>
      <c r="V22" s="383">
        <f t="shared" si="9"/>
        <v>25.098610837087481</v>
      </c>
      <c r="W22" s="402">
        <f t="shared" si="10"/>
        <v>7.6259588382633341</v>
      </c>
      <c r="X22" s="157">
        <f t="shared" si="11"/>
        <v>45665</v>
      </c>
      <c r="Y22" s="385">
        <f t="shared" si="12"/>
        <v>7.2071607043570198</v>
      </c>
      <c r="Z22" s="385">
        <f t="shared" si="22"/>
        <v>7.5971503726617167</v>
      </c>
      <c r="AA22" s="386">
        <f t="shared" si="13"/>
        <v>8.258877870454608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8.0123172684289493E-2</v>
      </c>
      <c r="AD22" s="231">
        <f>(INDEX(Models!$BJ22:$BT22,,AH22)*(1-AF22)+INDEX(Models!$BJ22:$BT22,,AH22+1)*AF22-ERP_i)*AE22*Ramure*Pc/MaxiM</f>
        <v>7.2501673682820922E-4</v>
      </c>
      <c r="AE22" s="305">
        <f t="shared" si="15"/>
        <v>0.5</v>
      </c>
      <c r="AF22" s="177">
        <f t="shared" si="23"/>
        <v>0.49762198655751355</v>
      </c>
      <c r="AG22" s="811">
        <f t="shared" si="24"/>
        <v>1</v>
      </c>
      <c r="AH22" s="176">
        <f t="shared" si="16"/>
        <v>7</v>
      </c>
      <c r="AI22" s="225">
        <f t="shared" si="17"/>
        <v>1.4976219865575136</v>
      </c>
      <c r="AJ22" s="265" t="b">
        <f t="shared" si="18"/>
        <v>0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'2024'!Wh/'2024'!Env_an*'2025'!Env_an</f>
        <v>2.2509437779799324</v>
      </c>
      <c r="C23" s="841"/>
      <c r="D23" s="393">
        <f t="shared" si="0"/>
        <v>2.3727975026396106</v>
      </c>
      <c r="E23" s="385">
        <f t="shared" si="1"/>
        <v>2.4380037399398038</v>
      </c>
      <c r="F23" s="385">
        <f t="shared" si="2"/>
        <v>2.4380037399398038</v>
      </c>
      <c r="G23" s="110">
        <f t="shared" si="21"/>
        <v>8.8918310725262364E-2</v>
      </c>
      <c r="H23" s="414" t="b">
        <f>Wh_hp&gt;='2024'!Maxi_hp</f>
        <v>0</v>
      </c>
      <c r="I23" s="390">
        <f>IF(H23,Wh_hp,'2024'!Maxi_hp)</f>
        <v>26.033603222307448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5.1354455879240701E-2</v>
      </c>
      <c r="M23" s="845"/>
      <c r="N23" s="845"/>
      <c r="O23" s="48">
        <f>IF(t&lt;Tnet,'2024'!Resal+('2024'!Salim-'2024'!Resal)*(1-EXP(('2024'!Tnet-t)/('2024'!Tau_j))),Resal+(Salim-Resal)*(1-EXP((Tnet-t)/(Tau_j))))*Salcycl</f>
        <v>2.6745749496595562E-2</v>
      </c>
      <c r="P23" s="169">
        <f>(INDEX(Models!$BJ23:$BT23,,T23)*(1-R23)+INDEX(Models!$BJ23:$BT23,,T23+1)*R23-ERP_i)*Q23*Ramure*Pc/MaxiM</f>
        <v>7.1782092846354409E-4</v>
      </c>
      <c r="Q23" s="305">
        <f t="shared" si="4"/>
        <v>0.5</v>
      </c>
      <c r="R23" s="177">
        <f t="shared" si="5"/>
        <v>0.49766090206654856</v>
      </c>
      <c r="S23" s="811">
        <f t="shared" si="6"/>
        <v>1</v>
      </c>
      <c r="T23" s="176">
        <f t="shared" si="7"/>
        <v>7</v>
      </c>
      <c r="U23" s="251">
        <f t="shared" si="8"/>
        <v>1.4976609020665486</v>
      </c>
      <c r="V23" s="383">
        <f t="shared" si="9"/>
        <v>25.296566984692529</v>
      </c>
      <c r="W23" s="402">
        <f t="shared" si="10"/>
        <v>2.2509437779799324</v>
      </c>
      <c r="X23" s="157">
        <f t="shared" si="11"/>
        <v>45666</v>
      </c>
      <c r="Y23" s="385">
        <f t="shared" si="12"/>
        <v>2.1274344629569795</v>
      </c>
      <c r="Z23" s="385">
        <f t="shared" si="22"/>
        <v>2.2426020721245958</v>
      </c>
      <c r="AA23" s="386">
        <f t="shared" si="13"/>
        <v>2.4380037399398038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8.0148223160655507E-2</v>
      </c>
      <c r="AD23" s="231">
        <f>(INDEX(Models!$BJ23:$BT23,,AH23)*(1-AF23)+INDEX(Models!$BJ23:$BT23,,AH23+1)*AF23-ERP_i)*AE23*Ramure*Pc/MaxiM</f>
        <v>7.1782092846354409E-4</v>
      </c>
      <c r="AE23" s="305">
        <f t="shared" si="15"/>
        <v>0.5</v>
      </c>
      <c r="AF23" s="177">
        <f t="shared" si="23"/>
        <v>0.49766090206654856</v>
      </c>
      <c r="AG23" s="811">
        <f t="shared" si="24"/>
        <v>1</v>
      </c>
      <c r="AH23" s="176">
        <f t="shared" si="16"/>
        <v>7</v>
      </c>
      <c r="AI23" s="225">
        <f t="shared" si="17"/>
        <v>1.4976609020665486</v>
      </c>
      <c r="AJ23" s="265" t="b">
        <f t="shared" si="18"/>
        <v>0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'2024'!Wh/'2024'!Env_an*'2025'!Env_an</f>
        <v>1.7471537348696724</v>
      </c>
      <c r="C24" s="841"/>
      <c r="D24" s="393">
        <f t="shared" si="0"/>
        <v>1.8417753750985557</v>
      </c>
      <c r="E24" s="385">
        <f t="shared" si="1"/>
        <v>1.8925351633067642</v>
      </c>
      <c r="F24" s="385">
        <f t="shared" si="2"/>
        <v>1.8925351633067642</v>
      </c>
      <c r="G24" s="110">
        <f t="shared" si="21"/>
        <v>6.8463428829248774E-2</v>
      </c>
      <c r="H24" s="414" t="b">
        <f>Wh_hp&gt;='2024'!Maxi_hp</f>
        <v>0</v>
      </c>
      <c r="I24" s="390">
        <f>IF(H24,Wh_hp,'2024'!Maxi_hp)</f>
        <v>13.230713123965954</v>
      </c>
      <c r="J24" s="85">
        <f>IF(H24,An,'2024'!An_max)</f>
        <v>2019</v>
      </c>
      <c r="K24" s="197">
        <f t="shared" si="3"/>
        <v>45667</v>
      </c>
      <c r="L24" s="147">
        <f>IF(t&lt;Tvie,1-EXP((T0-t)*PertePVj)+'2024'!Pspv,1-EXP((T0-t)*PertePVj)+Pspv)</f>
        <v>5.1375233651291485E-2</v>
      </c>
      <c r="M24" s="845"/>
      <c r="N24" s="845"/>
      <c r="O24" s="48">
        <f>IF(t&lt;Tnet,'2024'!Resal+('2024'!Salim-'2024'!Resal)*(1-EXP(('2024'!Tnet-t)/('2024'!Tau_j))),Resal+(Salim-Resal)*(1-EXP((Tnet-t)/(Tau_j))))*Salcycl</f>
        <v>2.682105420937993E-2</v>
      </c>
      <c r="P24" s="169">
        <f>(INDEX(Models!$BJ24:$BT24,,T24)*(1-R24)+INDEX(Models!$BJ24:$BT24,,T24+1)*R24-ERP_i)*Q24*Ramure*Pc/MaxiM</f>
        <v>7.0975747975297399E-4</v>
      </c>
      <c r="Q24" s="305">
        <f t="shared" si="4"/>
        <v>0.5</v>
      </c>
      <c r="R24" s="177">
        <f t="shared" si="5"/>
        <v>0.49770144371501823</v>
      </c>
      <c r="S24" s="811">
        <f t="shared" si="6"/>
        <v>1</v>
      </c>
      <c r="T24" s="176">
        <f t="shared" si="7"/>
        <v>7</v>
      </c>
      <c r="U24" s="251">
        <f t="shared" si="8"/>
        <v>1.4977014437150182</v>
      </c>
      <c r="V24" s="383">
        <f t="shared" si="9"/>
        <v>25.501405776687967</v>
      </c>
      <c r="W24" s="402">
        <f t="shared" si="10"/>
        <v>1.7471537348696724</v>
      </c>
      <c r="X24" s="157">
        <f t="shared" si="11"/>
        <v>45667</v>
      </c>
      <c r="Y24" s="385">
        <f t="shared" si="12"/>
        <v>1.6513700639065614</v>
      </c>
      <c r="Z24" s="385">
        <f t="shared" si="22"/>
        <v>1.7408042911031569</v>
      </c>
      <c r="AA24" s="386">
        <f t="shared" si="13"/>
        <v>1.8925351633067642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8.0173343748336387E-2</v>
      </c>
      <c r="AD24" s="231">
        <f>(INDEX(Models!$BJ24:$BT24,,AH24)*(1-AF24)+INDEX(Models!$BJ24:$BT24,,AH24+1)*AF24-ERP_i)*AE24*Ramure*Pc/MaxiM</f>
        <v>7.0975747975297399E-4</v>
      </c>
      <c r="AE24" s="305">
        <f t="shared" si="15"/>
        <v>0.5</v>
      </c>
      <c r="AF24" s="177">
        <f t="shared" si="23"/>
        <v>0.49770144371501823</v>
      </c>
      <c r="AG24" s="811">
        <f t="shared" si="24"/>
        <v>1</v>
      </c>
      <c r="AH24" s="176">
        <f t="shared" si="16"/>
        <v>7</v>
      </c>
      <c r="AI24" s="225">
        <f t="shared" si="17"/>
        <v>1.4977014437150182</v>
      </c>
      <c r="AJ24" s="265" t="b">
        <f t="shared" si="18"/>
        <v>0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'2024'!Wh/'2024'!Env_an*'2025'!Env_an</f>
        <v>25.178207551989605</v>
      </c>
      <c r="C25" s="841"/>
      <c r="D25" s="393">
        <f t="shared" si="0"/>
        <v>26.542380005896263</v>
      </c>
      <c r="E25" s="385">
        <f t="shared" si="1"/>
        <v>27.276004042877741</v>
      </c>
      <c r="F25" s="385">
        <f t="shared" si="2"/>
        <v>27.29456119339093</v>
      </c>
      <c r="G25" s="110">
        <f t="shared" si="21"/>
        <v>0.97918444048597431</v>
      </c>
      <c r="H25" s="414" t="b">
        <f>Wh_hp&gt;='2024'!Maxi_hp</f>
        <v>0</v>
      </c>
      <c r="I25" s="390">
        <f>IF(H25,Wh_hp,'2024'!Maxi_hp)</f>
        <v>27.813177241518638</v>
      </c>
      <c r="J25" s="85">
        <f>IF(H25,An,'2024'!An_max)</f>
        <v>2020</v>
      </c>
      <c r="K25" s="197">
        <f t="shared" si="3"/>
        <v>45668</v>
      </c>
      <c r="L25" s="147">
        <f>IF(t&lt;Tvie,1-EXP((T0-t)*PertePVj)+'2024'!Pspv,1-EXP((T0-t)*PertePVj)+Pspv)</f>
        <v>5.1396010968255856E-2</v>
      </c>
      <c r="M25" s="845"/>
      <c r="N25" s="845"/>
      <c r="O25" s="48">
        <f>IF(t&lt;Tnet,'2024'!Resal+('2024'!Salim-'2024'!Resal)*(1-EXP(('2024'!Tnet-t)/('2024'!Tau_j))),Resal+(Salim-Resal)*(1-EXP((Tnet-t)/(Tau_j))))*Salcycl</f>
        <v>2.6896316477597826E-2</v>
      </c>
      <c r="P25" s="169">
        <f>(INDEX(Models!$BJ25:$BT25,,T25)*(1-R25)+INDEX(Models!$BJ25:$BT25,,T25+1)*R25-ERP_i)*Q25*Ramure*Pc/MaxiM</f>
        <v>7.0070052547087608E-4</v>
      </c>
      <c r="Q25" s="305">
        <f t="shared" si="4"/>
        <v>0.5</v>
      </c>
      <c r="R25" s="177">
        <f t="shared" si="5"/>
        <v>0.49774367917238416</v>
      </c>
      <c r="S25" s="811">
        <f t="shared" si="6"/>
        <v>1</v>
      </c>
      <c r="T25" s="176">
        <f t="shared" si="7"/>
        <v>7</v>
      </c>
      <c r="U25" s="251">
        <f t="shared" si="8"/>
        <v>1.4977436791723842</v>
      </c>
      <c r="V25" s="383">
        <f t="shared" si="9"/>
        <v>25.712911730931129</v>
      </c>
      <c r="W25" s="402">
        <f t="shared" si="10"/>
        <v>25.178207551989605</v>
      </c>
      <c r="X25" s="157">
        <f t="shared" si="11"/>
        <v>45668</v>
      </c>
      <c r="Y25" s="385">
        <f t="shared" si="12"/>
        <v>23.799059336485698</v>
      </c>
      <c r="Z25" s="385">
        <f t="shared" si="22"/>
        <v>25.088508599650517</v>
      </c>
      <c r="AA25" s="386">
        <f t="shared" si="13"/>
        <v>27.276004042877741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8.019853053946209E-2</v>
      </c>
      <c r="AD25" s="231">
        <f>(INDEX(Models!$BJ25:$BT25,,AH25)*(1-AF25)+INDEX(Models!$BJ25:$BT25,,AH25+1)*AF25-ERP_i)*AE25*Ramure*Pc/MaxiM</f>
        <v>7.0070052547087608E-4</v>
      </c>
      <c r="AE25" s="305">
        <f t="shared" si="15"/>
        <v>0.5</v>
      </c>
      <c r="AF25" s="177">
        <f t="shared" si="23"/>
        <v>0.49774367917238416</v>
      </c>
      <c r="AG25" s="811">
        <f t="shared" si="24"/>
        <v>1</v>
      </c>
      <c r="AH25" s="176">
        <f t="shared" si="16"/>
        <v>7</v>
      </c>
      <c r="AI25" s="225">
        <f t="shared" si="17"/>
        <v>1.4977436791723842</v>
      </c>
      <c r="AJ25" s="265" t="b">
        <f t="shared" si="18"/>
        <v>0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'2024'!Wh/'2024'!Env_an*'2025'!Env_an</f>
        <v>21.482127689474041</v>
      </c>
      <c r="C26" s="841"/>
      <c r="D26" s="393">
        <f t="shared" si="0"/>
        <v>22.646540033461378</v>
      </c>
      <c r="E26" s="385">
        <f t="shared" si="1"/>
        <v>23.274283195934466</v>
      </c>
      <c r="F26" s="385">
        <f t="shared" si="2"/>
        <v>23.286424893119221</v>
      </c>
      <c r="G26" s="110">
        <f t="shared" si="21"/>
        <v>0.82829820742547222</v>
      </c>
      <c r="H26" s="414" t="b">
        <f>Wh_hp&gt;='2024'!Maxi_hp</f>
        <v>0</v>
      </c>
      <c r="I26" s="390">
        <f>IF(H26,Wh_hp,'2024'!Maxi_hp)</f>
        <v>27.969146072299974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5.1416787830143584E-2</v>
      </c>
      <c r="M26" s="845"/>
      <c r="N26" s="845"/>
      <c r="O26" s="48">
        <f>IF(t&lt;Tnet,'2024'!Resal+('2024'!Salim-'2024'!Resal)*(1-EXP(('2024'!Tnet-t)/('2024'!Tau_j))),Resal+(Salim-Resal)*(1-EXP((Tnet-t)/(Tau_j))))*Salcycl</f>
        <v>2.6971535801486753E-2</v>
      </c>
      <c r="P26" s="169">
        <f>(INDEX(Models!$BJ26:$BT26,,T26)*(1-R26)+INDEX(Models!$BJ26:$BT26,,T26+1)*R26-ERP_i)*Q26*Ramure*Pc/MaxiM</f>
        <v>6.9068520688047804E-4</v>
      </c>
      <c r="Q26" s="305">
        <f t="shared" si="4"/>
        <v>0.5</v>
      </c>
      <c r="R26" s="177">
        <f t="shared" si="5"/>
        <v>0.49778767890005526</v>
      </c>
      <c r="S26" s="811">
        <f t="shared" si="6"/>
        <v>1</v>
      </c>
      <c r="T26" s="176">
        <f t="shared" si="7"/>
        <v>7</v>
      </c>
      <c r="U26" s="251">
        <f t="shared" si="8"/>
        <v>1.4977876789000553</v>
      </c>
      <c r="V26" s="383">
        <f t="shared" si="9"/>
        <v>25.930865401670925</v>
      </c>
      <c r="W26" s="402">
        <f t="shared" si="10"/>
        <v>21.482127689474041</v>
      </c>
      <c r="X26" s="157">
        <f t="shared" si="11"/>
        <v>45669</v>
      </c>
      <c r="Y26" s="385">
        <f t="shared" si="12"/>
        <v>20.306446219649771</v>
      </c>
      <c r="Z26" s="385">
        <f t="shared" si="22"/>
        <v>21.407132193705355</v>
      </c>
      <c r="AA26" s="386">
        <f t="shared" si="13"/>
        <v>23.274283195934466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8.0223781179875928E-2</v>
      </c>
      <c r="AD26" s="231">
        <f>(INDEX(Models!$BJ26:$BT26,,AH26)*(1-AF26)+INDEX(Models!$BJ26:$BT26,,AH26+1)*AF26-ERP_i)*AE26*Ramure*Pc/MaxiM</f>
        <v>6.9068520688047804E-4</v>
      </c>
      <c r="AE26" s="305">
        <f t="shared" si="15"/>
        <v>0.5</v>
      </c>
      <c r="AF26" s="177">
        <f t="shared" si="23"/>
        <v>0.49778767890005526</v>
      </c>
      <c r="AG26" s="811">
        <f t="shared" si="24"/>
        <v>1</v>
      </c>
      <c r="AH26" s="176">
        <f t="shared" si="16"/>
        <v>7</v>
      </c>
      <c r="AI26" s="225">
        <f t="shared" si="17"/>
        <v>1.4977876789000553</v>
      </c>
      <c r="AJ26" s="265" t="b">
        <f t="shared" si="18"/>
        <v>0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'2024'!Wh/'2024'!Env_an*'2025'!Env_an</f>
        <v>5.1731932423743281</v>
      </c>
      <c r="C27" s="841"/>
      <c r="D27" s="393">
        <f t="shared" si="0"/>
        <v>5.4537192780704498</v>
      </c>
      <c r="E27" s="385">
        <f t="shared" si="1"/>
        <v>5.6053248867388508</v>
      </c>
      <c r="F27" s="385">
        <f t="shared" si="2"/>
        <v>5.6053248867388508</v>
      </c>
      <c r="G27" s="110">
        <f t="shared" si="21"/>
        <v>0.1976550338417683</v>
      </c>
      <c r="H27" s="414" t="b">
        <f>Wh_hp&gt;='2024'!Maxi_hp</f>
        <v>0</v>
      </c>
      <c r="I27" s="390">
        <f>IF(H27,Wh_hp,'2024'!Maxi_hp)</f>
        <v>16.029400800100351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5.1437564236964772E-2</v>
      </c>
      <c r="M27" s="845"/>
      <c r="N27" s="845"/>
      <c r="O27" s="48">
        <f>IF(t&lt;Tnet,'2024'!Resal+('2024'!Salim-'2024'!Resal)*(1-EXP(('2024'!Tnet-t)/('2024'!Tau_j))),Resal+(Salim-Resal)*(1-EXP((Tnet-t)/(Tau_j))))*Salcycl</f>
        <v>2.7046712140998491E-2</v>
      </c>
      <c r="P27" s="169">
        <f>(INDEX(Models!$BJ27:$BT27,,T27)*(1-R27)+INDEX(Models!$BJ27:$BT27,,T27+1)*R27-ERP_i)*Q27*Ramure*Pc/MaxiM</f>
        <v>6.7974681884201888E-4</v>
      </c>
      <c r="Q27" s="305">
        <f t="shared" si="4"/>
        <v>0.5</v>
      </c>
      <c r="R27" s="177">
        <f t="shared" si="5"/>
        <v>0.49783351626452443</v>
      </c>
      <c r="S27" s="811">
        <f t="shared" si="6"/>
        <v>1</v>
      </c>
      <c r="T27" s="176">
        <f t="shared" si="7"/>
        <v>7</v>
      </c>
      <c r="U27" s="251">
        <f t="shared" si="8"/>
        <v>1.4978335162645244</v>
      </c>
      <c r="V27" s="383">
        <f t="shared" si="9"/>
        <v>26.155047408826057</v>
      </c>
      <c r="W27" s="402">
        <f t="shared" si="10"/>
        <v>5.1731932423743281</v>
      </c>
      <c r="X27" s="157">
        <f t="shared" si="11"/>
        <v>45670</v>
      </c>
      <c r="Y27" s="385">
        <f t="shared" si="12"/>
        <v>4.8903161408794569</v>
      </c>
      <c r="Z27" s="385">
        <f t="shared" si="22"/>
        <v>5.1555026390494021</v>
      </c>
      <c r="AA27" s="386">
        <f t="shared" si="13"/>
        <v>5.6053248867388508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8.0249094705222929E-2</v>
      </c>
      <c r="AD27" s="231">
        <f>(INDEX(Models!$BJ27:$BT27,,AH27)*(1-AF27)+INDEX(Models!$BJ27:$BT27,,AH27+1)*AF27-ERP_i)*AE27*Ramure*Pc/MaxiM</f>
        <v>6.7974681884201888E-4</v>
      </c>
      <c r="AE27" s="305">
        <f t="shared" si="15"/>
        <v>0.5</v>
      </c>
      <c r="AF27" s="177">
        <f t="shared" si="23"/>
        <v>0.49783351626452443</v>
      </c>
      <c r="AG27" s="811">
        <f t="shared" si="24"/>
        <v>1</v>
      </c>
      <c r="AH27" s="176">
        <f t="shared" si="16"/>
        <v>7</v>
      </c>
      <c r="AI27" s="225">
        <f t="shared" si="17"/>
        <v>1.4978335162645244</v>
      </c>
      <c r="AJ27" s="265" t="b">
        <f t="shared" si="18"/>
        <v>0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'2024'!Wh/'2024'!Env_an*'2025'!Env_an</f>
        <v>25.575505745640857</v>
      </c>
      <c r="C28" s="841"/>
      <c r="D28" s="393">
        <f t="shared" si="0"/>
        <v>26.96297572288977</v>
      </c>
      <c r="E28" s="385">
        <f t="shared" si="1"/>
        <v>27.714648137869862</v>
      </c>
      <c r="F28" s="385">
        <f t="shared" si="2"/>
        <v>27.732359081397785</v>
      </c>
      <c r="G28" s="110">
        <f t="shared" si="21"/>
        <v>0.96928274510981305</v>
      </c>
      <c r="H28" s="414" t="b">
        <f>Wh_hp&gt;='2024'!Maxi_hp</f>
        <v>0</v>
      </c>
      <c r="I28" s="390">
        <f>IF(H28,Wh_hp,'2024'!Maxi_hp)</f>
        <v>27.813666688911876</v>
      </c>
      <c r="J28" s="85">
        <f>IF(H28,An,'2024'!An_max)</f>
        <v>2020</v>
      </c>
      <c r="K28" s="197">
        <f t="shared" si="3"/>
        <v>45671</v>
      </c>
      <c r="L28" s="147">
        <f>IF(t&lt;Tvie,1-EXP((T0-t)*PertePVj)+'2024'!Pspv,1-EXP((T0-t)*PertePVj)+Pspv)</f>
        <v>5.1458340188729301E-2</v>
      </c>
      <c r="M28" s="845"/>
      <c r="N28" s="845"/>
      <c r="O28" s="48">
        <f>IF(t&lt;Tnet,'2024'!Resal+('2024'!Salim-'2024'!Resal)*(1-EXP(('2024'!Tnet-t)/('2024'!Tau_j))),Resal+(Salim-Resal)*(1-EXP((Tnet-t)/(Tau_j))))*Salcycl</f>
        <v>2.7121845864353244E-2</v>
      </c>
      <c r="P28" s="169">
        <f>(INDEX(Models!$BJ28:$BT28,,T28)*(1-R28)+INDEX(Models!$BJ28:$BT28,,T28+1)*R28-ERP_i)*Q28*Ramure*Pc/MaxiM</f>
        <v>6.6792064190063347E-4</v>
      </c>
      <c r="Q28" s="305">
        <f t="shared" si="4"/>
        <v>0.5</v>
      </c>
      <c r="R28" s="177">
        <f t="shared" si="5"/>
        <v>0.49788126765491403</v>
      </c>
      <c r="S28" s="811">
        <f t="shared" si="6"/>
        <v>1</v>
      </c>
      <c r="T28" s="176">
        <f t="shared" si="7"/>
        <v>7</v>
      </c>
      <c r="U28" s="251">
        <f t="shared" si="8"/>
        <v>1.497881267654914</v>
      </c>
      <c r="V28" s="383">
        <f t="shared" si="9"/>
        <v>26.385238448211631</v>
      </c>
      <c r="W28" s="402">
        <f t="shared" si="10"/>
        <v>25.575505745640857</v>
      </c>
      <c r="X28" s="157">
        <f t="shared" si="11"/>
        <v>45671</v>
      </c>
      <c r="Y28" s="385">
        <f t="shared" si="12"/>
        <v>24.178203037921772</v>
      </c>
      <c r="Z28" s="385">
        <f t="shared" si="22"/>
        <v>25.489869409354629</v>
      </c>
      <c r="AA28" s="386">
        <f t="shared" si="13"/>
        <v>27.714648137869862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8.0274471371521786E-2</v>
      </c>
      <c r="AD28" s="231">
        <f>(INDEX(Models!$BJ28:$BT28,,AH28)*(1-AF28)+INDEX(Models!$BJ28:$BT28,,AH28+1)*AF28-ERP_i)*AE28*Ramure*Pc/MaxiM</f>
        <v>6.6792064190063347E-4</v>
      </c>
      <c r="AE28" s="305">
        <f t="shared" si="15"/>
        <v>0.5</v>
      </c>
      <c r="AF28" s="177">
        <f t="shared" si="23"/>
        <v>0.49788126765491403</v>
      </c>
      <c r="AG28" s="811">
        <f t="shared" si="24"/>
        <v>1</v>
      </c>
      <c r="AH28" s="176">
        <f t="shared" si="16"/>
        <v>7</v>
      </c>
      <c r="AI28" s="225">
        <f t="shared" si="17"/>
        <v>1.497881267654914</v>
      </c>
      <c r="AJ28" s="265" t="b">
        <f t="shared" si="18"/>
        <v>0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'2024'!Wh/'2024'!Env_an*'2025'!Env_an</f>
        <v>27.17736332006363</v>
      </c>
      <c r="C29" s="841"/>
      <c r="D29" s="393">
        <f t="shared" si="0"/>
        <v>28.652361555226388</v>
      </c>
      <c r="E29" s="385">
        <f t="shared" si="1"/>
        <v>29.453403947271585</v>
      </c>
      <c r="F29" s="385">
        <f t="shared" si="2"/>
        <v>29.472715702164706</v>
      </c>
      <c r="G29" s="110">
        <f t="shared" si="21"/>
        <v>1.0208910053719744</v>
      </c>
      <c r="H29" s="414" t="b">
        <f>Wh_hp&gt;='2024'!Maxi_hp</f>
        <v>1</v>
      </c>
      <c r="I29" s="390">
        <f>IF(H29,Wh_hp,'2024'!Maxi_hp)</f>
        <v>29.472715702164706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5.1479115685447163E-2</v>
      </c>
      <c r="M29" s="845"/>
      <c r="N29" s="845"/>
      <c r="O29" s="48">
        <f>IF(t&lt;Tnet,'2024'!Resal+('2024'!Salim-'2024'!Resal)*(1-EXP(('2024'!Tnet-t)/('2024'!Tau_j))),Resal+(Salim-Resal)*(1-EXP((Tnet-t)/(Tau_j))))*Salcycl</f>
        <v>2.719693769451062E-2</v>
      </c>
      <c r="P29" s="169">
        <f>(INDEX(Models!$BJ29:$BT29,,T29)*(1-R29)+INDEX(Models!$BJ29:$BT29,,T29+1)*R29-ERP_i)*Q29*Ramure*Pc/MaxiM</f>
        <v>6.5524178661623697E-4</v>
      </c>
      <c r="Q29" s="305">
        <f t="shared" si="4"/>
        <v>0.5</v>
      </c>
      <c r="R29" s="177">
        <f t="shared" si="5"/>
        <v>0.49793101260508621</v>
      </c>
      <c r="S29" s="811">
        <f t="shared" si="6"/>
        <v>1</v>
      </c>
      <c r="T29" s="176">
        <f t="shared" si="7"/>
        <v>7</v>
      </c>
      <c r="U29" s="251">
        <f t="shared" si="8"/>
        <v>1.4979310126050862</v>
      </c>
      <c r="V29" s="383">
        <f t="shared" si="9"/>
        <v>26.62121928497276</v>
      </c>
      <c r="W29" s="402">
        <f t="shared" si="10"/>
        <v>27.17736332006363</v>
      </c>
      <c r="X29" s="157">
        <f t="shared" si="11"/>
        <v>45672</v>
      </c>
      <c r="Y29" s="385">
        <f t="shared" si="12"/>
        <v>25.693816551862017</v>
      </c>
      <c r="Z29" s="385">
        <f t="shared" si="22"/>
        <v>27.088298188004174</v>
      </c>
      <c r="AA29" s="386">
        <f t="shared" si="13"/>
        <v>29.453403947271585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8.0299912482153027E-2</v>
      </c>
      <c r="AD29" s="231">
        <f>(INDEX(Models!$BJ29:$BT29,,AH29)*(1-AF29)+INDEX(Models!$BJ29:$BT29,,AH29+1)*AF29-ERP_i)*AE29*Ramure*Pc/MaxiM</f>
        <v>6.5524178661623697E-4</v>
      </c>
      <c r="AE29" s="305">
        <f t="shared" si="15"/>
        <v>0.5</v>
      </c>
      <c r="AF29" s="177">
        <f t="shared" si="23"/>
        <v>0.49793101260508621</v>
      </c>
      <c r="AG29" s="811">
        <f t="shared" si="24"/>
        <v>1</v>
      </c>
      <c r="AH29" s="176">
        <f t="shared" si="16"/>
        <v>7</v>
      </c>
      <c r="AI29" s="225">
        <f t="shared" si="17"/>
        <v>1.4979310126050862</v>
      </c>
      <c r="AJ29" s="265" t="b">
        <f t="shared" si="18"/>
        <v>0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'2024'!Wh/'2024'!Env_an*'2025'!Env_an</f>
        <v>26.692039142023255</v>
      </c>
      <c r="C30" s="841"/>
      <c r="D30" s="393">
        <f t="shared" si="0"/>
        <v>28.141313723712273</v>
      </c>
      <c r="E30" s="385">
        <f t="shared" si="1"/>
        <v>28.930300552132433</v>
      </c>
      <c r="F30" s="385">
        <f t="shared" si="2"/>
        <v>28.948700963150813</v>
      </c>
      <c r="G30" s="110">
        <f t="shared" si="21"/>
        <v>0.9936382148579378</v>
      </c>
      <c r="H30" s="414" t="b">
        <f>Wh_hp&gt;='2024'!Maxi_hp</f>
        <v>0</v>
      </c>
      <c r="I30" s="390">
        <f>IF(H30,Wh_hp,'2024'!Maxi_hp)</f>
        <v>29.178076379468706</v>
      </c>
      <c r="J30" s="85">
        <f>IF(H30,An,'2024'!An_max)</f>
        <v>2019</v>
      </c>
      <c r="K30" s="197">
        <f t="shared" si="3"/>
        <v>45673</v>
      </c>
      <c r="L30" s="147">
        <f>IF(t&lt;Tvie,1-EXP((T0-t)*PertePVj)+'2024'!Pspv,1-EXP((T0-t)*PertePVj)+Pspv)</f>
        <v>5.149989072712835E-2</v>
      </c>
      <c r="M30" s="845"/>
      <c r="N30" s="845"/>
      <c r="O30" s="48">
        <f>IF(t&lt;Tnet,'2024'!Resal+('2024'!Salim-'2024'!Resal)*(1-EXP(('2024'!Tnet-t)/('2024'!Tau_j))),Resal+(Salim-Resal)*(1-EXP((Tnet-t)/(Tau_j))))*Salcycl</f>
        <v>2.7271988654193387E-2</v>
      </c>
      <c r="P30" s="169">
        <f>(INDEX(Models!$BJ30:$BT30,,T30)*(1-R30)+INDEX(Models!$BJ30:$BT30,,T30+1)*R30-ERP_i)*Q30*Ramure*Pc/MaxiM</f>
        <v>6.4144562363529557E-4</v>
      </c>
      <c r="Q30" s="305">
        <f t="shared" si="4"/>
        <v>0.5</v>
      </c>
      <c r="R30" s="177">
        <f t="shared" si="5"/>
        <v>0.49798283392047948</v>
      </c>
      <c r="S30" s="811">
        <f t="shared" si="6"/>
        <v>1</v>
      </c>
      <c r="T30" s="176">
        <f t="shared" si="7"/>
        <v>7</v>
      </c>
      <c r="U30" s="251">
        <f t="shared" si="8"/>
        <v>1.4979828339204795</v>
      </c>
      <c r="V30" s="383">
        <f t="shared" si="9"/>
        <v>26.862778807233443</v>
      </c>
      <c r="W30" s="402">
        <f t="shared" si="10"/>
        <v>26.692039142023255</v>
      </c>
      <c r="X30" s="157">
        <f t="shared" si="11"/>
        <v>45673</v>
      </c>
      <c r="Y30" s="385">
        <f t="shared" si="12"/>
        <v>25.236232117578677</v>
      </c>
      <c r="Z30" s="385">
        <f t="shared" si="22"/>
        <v>26.606462003388685</v>
      </c>
      <c r="AA30" s="386">
        <f t="shared" si="13"/>
        <v>28.930300552132433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8.0325420213184021E-2</v>
      </c>
      <c r="AD30" s="231">
        <f>(INDEX(Models!$BJ30:$BT30,,AH30)*(1-AF30)+INDEX(Models!$BJ30:$BT30,,AH30+1)*AF30-ERP_i)*AE30*Ramure*Pc/MaxiM</f>
        <v>6.4144562363529557E-4</v>
      </c>
      <c r="AE30" s="305">
        <f t="shared" si="15"/>
        <v>0.5</v>
      </c>
      <c r="AF30" s="177">
        <f t="shared" si="23"/>
        <v>0.49798283392047948</v>
      </c>
      <c r="AG30" s="811">
        <f t="shared" si="24"/>
        <v>1</v>
      </c>
      <c r="AH30" s="176">
        <f t="shared" si="16"/>
        <v>7</v>
      </c>
      <c r="AI30" s="225">
        <f t="shared" si="17"/>
        <v>1.4979828339204795</v>
      </c>
      <c r="AJ30" s="265" t="b">
        <f t="shared" si="18"/>
        <v>0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'2024'!Wh/'2024'!Env_an*'2025'!Env_an</f>
        <v>13.663163521207979</v>
      </c>
      <c r="C31" s="841"/>
      <c r="D31" s="393">
        <f t="shared" si="0"/>
        <v>14.405336016865485</v>
      </c>
      <c r="E31" s="385">
        <f t="shared" si="1"/>
        <v>14.810354789441982</v>
      </c>
      <c r="F31" s="385">
        <f t="shared" si="2"/>
        <v>14.813061108022206</v>
      </c>
      <c r="G31" s="110">
        <f t="shared" si="21"/>
        <v>0.50377166467966328</v>
      </c>
      <c r="H31" s="414" t="b">
        <f>Wh_hp&gt;='2024'!Maxi_hp</f>
        <v>0</v>
      </c>
      <c r="I31" s="390">
        <f>IF(H31,Wh_hp,'2024'!Maxi_hp)</f>
        <v>14.816853446814875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5.1520665313782743E-2</v>
      </c>
      <c r="M31" s="845"/>
      <c r="N31" s="845"/>
      <c r="O31" s="48">
        <f>IF(t&lt;Tnet,'2024'!Resal+('2024'!Salim-'2024'!Resal)*(1-EXP(('2024'!Tnet-t)/('2024'!Tau_j))),Resal+(Salim-Resal)*(1-EXP((Tnet-t)/(Tau_j))))*Salcycl</f>
        <v>2.7347000010102877E-2</v>
      </c>
      <c r="P31" s="169">
        <f>(INDEX(Models!$BJ31:$BT31,,T31)*(1-R31)+INDEX(Models!$BJ31:$BT31,,T31+1)*R31-ERP_i)*Q31*Ramure*Pc/MaxiM</f>
        <v>6.2691890153941058E-4</v>
      </c>
      <c r="Q31" s="305">
        <f t="shared" si="4"/>
        <v>0.5</v>
      </c>
      <c r="R31" s="177">
        <f t="shared" si="5"/>
        <v>0.49803681780983355</v>
      </c>
      <c r="S31" s="811">
        <f t="shared" si="6"/>
        <v>1</v>
      </c>
      <c r="T31" s="176">
        <f t="shared" si="7"/>
        <v>7</v>
      </c>
      <c r="U31" s="251">
        <f t="shared" si="8"/>
        <v>1.4980368178098336</v>
      </c>
      <c r="V31" s="383">
        <f t="shared" si="9"/>
        <v>27.109688592319475</v>
      </c>
      <c r="W31" s="402">
        <f t="shared" si="10"/>
        <v>13.663163521207979</v>
      </c>
      <c r="X31" s="157">
        <f t="shared" si="11"/>
        <v>45674</v>
      </c>
      <c r="Y31" s="385">
        <f t="shared" si="12"/>
        <v>12.918599648835048</v>
      </c>
      <c r="Z31" s="385">
        <f t="shared" si="22"/>
        <v>13.620328009686023</v>
      </c>
      <c r="AA31" s="386">
        <f t="shared" si="13"/>
        <v>14.810354789441982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8.0350997438920713E-2</v>
      </c>
      <c r="AD31" s="231">
        <f>(INDEX(Models!$BJ31:$BT31,,AH31)*(1-AF31)+INDEX(Models!$BJ31:$BT31,,AH31+1)*AF31-ERP_i)*AE31*Ramure*Pc/MaxiM</f>
        <v>6.2691890153941058E-4</v>
      </c>
      <c r="AE31" s="305">
        <f t="shared" si="15"/>
        <v>0.5</v>
      </c>
      <c r="AF31" s="177">
        <f t="shared" si="23"/>
        <v>0.49803681780983355</v>
      </c>
      <c r="AG31" s="811">
        <f t="shared" si="24"/>
        <v>1</v>
      </c>
      <c r="AH31" s="176">
        <f t="shared" si="16"/>
        <v>7</v>
      </c>
      <c r="AI31" s="225">
        <f t="shared" si="17"/>
        <v>1.4980368178098336</v>
      </c>
      <c r="AJ31" s="265" t="b">
        <f t="shared" si="18"/>
        <v>0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'2024'!Wh/'2024'!Env_an*'2025'!Env_an</f>
        <v>3.6072569880355565</v>
      </c>
      <c r="C32" s="841"/>
      <c r="D32" s="393">
        <f t="shared" si="0"/>
        <v>3.8032837048002741</v>
      </c>
      <c r="E32" s="385">
        <f t="shared" si="1"/>
        <v>3.9105178197169996</v>
      </c>
      <c r="F32" s="385">
        <f t="shared" si="2"/>
        <v>3.9105178197169996</v>
      </c>
      <c r="G32" s="110">
        <f t="shared" si="21"/>
        <v>0.13175521062207918</v>
      </c>
      <c r="H32" s="414" t="b">
        <f>Wh_hp&gt;='2024'!Maxi_hp</f>
        <v>0</v>
      </c>
      <c r="I32" s="390">
        <f>IF(H32,Wh_hp,'2024'!Maxi_hp)</f>
        <v>28.469265740450702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5.1541439445420445E-2</v>
      </c>
      <c r="M32" s="845"/>
      <c r="N32" s="845"/>
      <c r="O32" s="48">
        <f>IF(t&lt;Tnet,'2024'!Resal+('2024'!Salim-'2024'!Resal)*(1-EXP(('2024'!Tnet-t)/('2024'!Tau_j))),Resal+(Salim-Resal)*(1-EXP((Tnet-t)/(Tau_j))))*Salcycl</f>
        <v>2.7421973216960289E-2</v>
      </c>
      <c r="P32" s="169">
        <f>(INDEX(Models!$BJ32:$BT32,,T32)*(1-R32)+INDEX(Models!$BJ32:$BT32,,T32+1)*R32-ERP_i)*Q32*Ramure*Pc/MaxiM</f>
        <v>6.1169403383844754E-4</v>
      </c>
      <c r="Q32" s="305">
        <f t="shared" si="4"/>
        <v>0.5</v>
      </c>
      <c r="R32" s="177">
        <f t="shared" si="5"/>
        <v>0.49809305402197523</v>
      </c>
      <c r="S32" s="811">
        <f t="shared" si="6"/>
        <v>1</v>
      </c>
      <c r="T32" s="176">
        <f t="shared" si="7"/>
        <v>7</v>
      </c>
      <c r="U32" s="251">
        <f t="shared" si="8"/>
        <v>1.4980930540219752</v>
      </c>
      <c r="V32" s="383">
        <f t="shared" si="9"/>
        <v>27.361729630549647</v>
      </c>
      <c r="W32" s="402">
        <f t="shared" si="10"/>
        <v>3.6072569880355565</v>
      </c>
      <c r="X32" s="157">
        <f t="shared" si="11"/>
        <v>45675</v>
      </c>
      <c r="Y32" s="385">
        <f t="shared" si="12"/>
        <v>3.4108500018493588</v>
      </c>
      <c r="Z32" s="385">
        <f t="shared" si="22"/>
        <v>3.5962035071463512</v>
      </c>
      <c r="AA32" s="386">
        <f t="shared" si="13"/>
        <v>3.9105178197169996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8.0376647559528364E-2</v>
      </c>
      <c r="AD32" s="231">
        <f>(INDEX(Models!$BJ32:$BT32,,AH32)*(1-AF32)+INDEX(Models!$BJ32:$BT32,,AH32+1)*AF32-ERP_i)*AE32*Ramure*Pc/MaxiM</f>
        <v>6.1169403383844754E-4</v>
      </c>
      <c r="AE32" s="305">
        <f t="shared" si="15"/>
        <v>0.5</v>
      </c>
      <c r="AF32" s="177">
        <f t="shared" si="23"/>
        <v>0.49809305402197523</v>
      </c>
      <c r="AG32" s="811">
        <f t="shared" si="24"/>
        <v>1</v>
      </c>
      <c r="AH32" s="176">
        <f t="shared" si="16"/>
        <v>7</v>
      </c>
      <c r="AI32" s="225">
        <f t="shared" si="17"/>
        <v>1.4980930540219752</v>
      </c>
      <c r="AJ32" s="265" t="b">
        <f t="shared" si="18"/>
        <v>0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'2024'!Wh/'2024'!Env_an*'2025'!Env_an</f>
        <v>10.433946528027468</v>
      </c>
      <c r="C33" s="841"/>
      <c r="D33" s="393">
        <f t="shared" si="0"/>
        <v>11.001192352714831</v>
      </c>
      <c r="E33" s="385">
        <f t="shared" si="1"/>
        <v>11.312244109325892</v>
      </c>
      <c r="F33" s="385">
        <f t="shared" si="2"/>
        <v>11.312993110265795</v>
      </c>
      <c r="G33" s="110">
        <f t="shared" si="21"/>
        <v>0.37758572312704491</v>
      </c>
      <c r="H33" s="414" t="b">
        <f>Wh_hp&gt;='2024'!Maxi_hp</f>
        <v>0</v>
      </c>
      <c r="I33" s="390">
        <f>IF(H33,Wh_hp,'2024'!Maxi_hp)</f>
        <v>30.474199442688686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5.1562213122051337E-2</v>
      </c>
      <c r="M33" s="845"/>
      <c r="N33" s="845"/>
      <c r="O33" s="48">
        <f>IF(t&lt;Tnet,'2024'!Resal+('2024'!Salim-'2024'!Resal)*(1-EXP(('2024'!Tnet-t)/('2024'!Tau_j))),Resal+(Salim-Resal)*(1-EXP((Tnet-t)/(Tau_j))))*Salcycl</f>
        <v>2.7496909861998799E-2</v>
      </c>
      <c r="P33" s="169">
        <f>(INDEX(Models!$BJ33:$BT33,,T33)*(1-R33)+INDEX(Models!$BJ33:$BT33,,T33+1)*R33-ERP_i)*Q33*Ramure*Pc/MaxiM</f>
        <v>5.958027468868038E-4</v>
      </c>
      <c r="Q33" s="305">
        <f t="shared" si="4"/>
        <v>0.5</v>
      </c>
      <c r="R33" s="177">
        <f t="shared" si="5"/>
        <v>0.49815163598783618</v>
      </c>
      <c r="S33" s="811">
        <f t="shared" si="6"/>
        <v>1</v>
      </c>
      <c r="T33" s="176">
        <f t="shared" si="7"/>
        <v>7</v>
      </c>
      <c r="U33" s="251">
        <f t="shared" si="8"/>
        <v>1.4981516359878362</v>
      </c>
      <c r="V33" s="383">
        <f t="shared" si="9"/>
        <v>27.618682993542883</v>
      </c>
      <c r="W33" s="402">
        <f t="shared" si="10"/>
        <v>10.433946528027468</v>
      </c>
      <c r="X33" s="157">
        <f t="shared" si="11"/>
        <v>45676</v>
      </c>
      <c r="Y33" s="385">
        <f t="shared" si="12"/>
        <v>9.8663259282334721</v>
      </c>
      <c r="Z33" s="385">
        <f t="shared" si="22"/>
        <v>10.402712823907276</v>
      </c>
      <c r="AA33" s="386">
        <f t="shared" si="13"/>
        <v>11.312244109325892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8.0402374332498097E-2</v>
      </c>
      <c r="AD33" s="231">
        <f>(INDEX(Models!$BJ33:$BT33,,AH33)*(1-AF33)+INDEX(Models!$BJ33:$BT33,,AH33+1)*AF33-ERP_i)*AE33*Ramure*Pc/MaxiM</f>
        <v>5.958027468868038E-4</v>
      </c>
      <c r="AE33" s="305">
        <f t="shared" si="15"/>
        <v>0.5</v>
      </c>
      <c r="AF33" s="177">
        <f t="shared" si="23"/>
        <v>0.49815163598783618</v>
      </c>
      <c r="AG33" s="811">
        <f t="shared" si="24"/>
        <v>1</v>
      </c>
      <c r="AH33" s="176">
        <f t="shared" si="16"/>
        <v>7</v>
      </c>
      <c r="AI33" s="225">
        <f t="shared" si="17"/>
        <v>1.4981516359878362</v>
      </c>
      <c r="AJ33" s="265" t="b">
        <f t="shared" si="18"/>
        <v>0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'2024'!Wh/'2024'!Env_an*'2025'!Env_an</f>
        <v>6.5635998753658269</v>
      </c>
      <c r="C34" s="841"/>
      <c r="D34" s="393">
        <f t="shared" si="0"/>
        <v>6.9205842797589563</v>
      </c>
      <c r="E34" s="385">
        <f t="shared" si="1"/>
        <v>7.116807556988527</v>
      </c>
      <c r="F34" s="385">
        <f t="shared" si="2"/>
        <v>7.116807556988527</v>
      </c>
      <c r="G34" s="110">
        <f t="shared" si="21"/>
        <v>0.23528407949346103</v>
      </c>
      <c r="H34" s="414" t="b">
        <f>Wh_hp&gt;='2024'!Maxi_hp</f>
        <v>0</v>
      </c>
      <c r="I34" s="390">
        <f>IF(H34,Wh_hp,'2024'!Maxi_hp)</f>
        <v>12.344744575403277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5.15829863436853E-2</v>
      </c>
      <c r="M34" s="845"/>
      <c r="N34" s="845"/>
      <c r="O34" s="48">
        <f>IF(t&lt;Tnet,'2024'!Resal+('2024'!Salim-'2024'!Resal)*(1-EXP(('2024'!Tnet-t)/('2024'!Tau_j))),Resal+(Salim-Resal)*(1-EXP((Tnet-t)/(Tau_j))))*Salcycl</f>
        <v>2.7571811610514127E-2</v>
      </c>
      <c r="P34" s="169">
        <f>(INDEX(Models!$BJ34:$BT34,,T34)*(1-R34)+INDEX(Models!$BJ34:$BT34,,T34+1)*R34-ERP_i)*Q34*Ramure*Pc/MaxiM</f>
        <v>5.7927922860473349E-4</v>
      </c>
      <c r="Q34" s="305">
        <f t="shared" si="4"/>
        <v>0.5</v>
      </c>
      <c r="R34" s="177">
        <f t="shared" si="5"/>
        <v>0.49821266096787897</v>
      </c>
      <c r="S34" s="811">
        <f t="shared" si="6"/>
        <v>1</v>
      </c>
      <c r="T34" s="176">
        <f t="shared" si="7"/>
        <v>7</v>
      </c>
      <c r="U34" s="251">
        <f t="shared" si="8"/>
        <v>1.498212660967879</v>
      </c>
      <c r="V34" s="383">
        <f t="shared" si="9"/>
        <v>27.88032973763303</v>
      </c>
      <c r="W34" s="402">
        <f t="shared" si="10"/>
        <v>6.5635998753658269</v>
      </c>
      <c r="X34" s="157">
        <f t="shared" si="11"/>
        <v>45677</v>
      </c>
      <c r="Y34" s="385">
        <f t="shared" si="12"/>
        <v>6.2068351616962438</v>
      </c>
      <c r="Z34" s="385">
        <f t="shared" si="22"/>
        <v>6.5444156656024131</v>
      </c>
      <c r="AA34" s="386">
        <f t="shared" si="13"/>
        <v>7.116807556988527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8.0428181709654226E-2</v>
      </c>
      <c r="AD34" s="231">
        <f>(INDEX(Models!$BJ34:$BT34,,AH34)*(1-AF34)+INDEX(Models!$BJ34:$BT34,,AH34+1)*AF34-ERP_i)*AE34*Ramure*Pc/MaxiM</f>
        <v>5.7927922860473349E-4</v>
      </c>
      <c r="AE34" s="305">
        <f t="shared" si="15"/>
        <v>0.5</v>
      </c>
      <c r="AF34" s="177">
        <f t="shared" si="23"/>
        <v>0.49821266096787897</v>
      </c>
      <c r="AG34" s="811">
        <f t="shared" si="24"/>
        <v>1</v>
      </c>
      <c r="AH34" s="176">
        <f t="shared" si="16"/>
        <v>7</v>
      </c>
      <c r="AI34" s="225">
        <f t="shared" si="17"/>
        <v>1.498212660967879</v>
      </c>
      <c r="AJ34" s="265" t="b">
        <f t="shared" si="18"/>
        <v>0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'2024'!Wh/'2024'!Env_an*'2025'!Env_an</f>
        <v>20.965321248364383</v>
      </c>
      <c r="C35" s="841"/>
      <c r="D35" s="393">
        <f t="shared" si="0"/>
        <v>22.106077970846158</v>
      </c>
      <c r="E35" s="385">
        <f t="shared" si="1"/>
        <v>22.734614588785394</v>
      </c>
      <c r="F35" s="385">
        <f t="shared" si="2"/>
        <v>22.742739746343201</v>
      </c>
      <c r="G35" s="110">
        <f t="shared" si="21"/>
        <v>0.74471286161418337</v>
      </c>
      <c r="H35" s="414" t="b">
        <f>Wh_hp&gt;='2024'!Maxi_hp</f>
        <v>0</v>
      </c>
      <c r="I35" s="390">
        <f>IF(H35,Wh_hp,'2024'!Maxi_hp)</f>
        <v>22.745493436016041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5.1603759110332548E-2</v>
      </c>
      <c r="M35" s="845"/>
      <c r="N35" s="845"/>
      <c r="O35" s="48">
        <f>IF(t&lt;Tnet,'2024'!Resal+('2024'!Salim-'2024'!Resal)*(1-EXP(('2024'!Tnet-t)/('2024'!Tau_j))),Resal+(Salim-Resal)*(1-EXP((Tnet-t)/(Tau_j))))*Salcycl</f>
        <v>2.7646680153059714E-2</v>
      </c>
      <c r="P35" s="169">
        <f>(INDEX(Models!$BJ35:$BT35,,T35)*(1-R35)+INDEX(Models!$BJ35:$BT35,,T35+1)*R35-ERP_i)*Q35*Ramure*Pc/MaxiM</f>
        <v>5.6215786222512428E-4</v>
      </c>
      <c r="Q35" s="305">
        <f t="shared" si="4"/>
        <v>0.5</v>
      </c>
      <c r="R35" s="177">
        <f t="shared" si="5"/>
        <v>0.49827623020511513</v>
      </c>
      <c r="S35" s="811">
        <f t="shared" si="6"/>
        <v>1</v>
      </c>
      <c r="T35" s="176">
        <f t="shared" si="7"/>
        <v>7</v>
      </c>
      <c r="U35" s="251">
        <f t="shared" si="8"/>
        <v>1.4982762302051151</v>
      </c>
      <c r="V35" s="383">
        <f t="shared" si="9"/>
        <v>28.146450966077587</v>
      </c>
      <c r="W35" s="402">
        <f t="shared" si="10"/>
        <v>20.965321248364383</v>
      </c>
      <c r="X35" s="157">
        <f t="shared" si="11"/>
        <v>45678</v>
      </c>
      <c r="Y35" s="385">
        <f t="shared" si="12"/>
        <v>19.826718698230998</v>
      </c>
      <c r="Z35" s="385">
        <f t="shared" si="22"/>
        <v>20.905522231543259</v>
      </c>
      <c r="AA35" s="386">
        <f t="shared" si="13"/>
        <v>22.734614588785394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8.0454073681301627E-2</v>
      </c>
      <c r="AD35" s="231">
        <f>(INDEX(Models!$BJ35:$BT35,,AH35)*(1-AF35)+INDEX(Models!$BJ35:$BT35,,AH35+1)*AF35-ERP_i)*AE35*Ramure*Pc/MaxiM</f>
        <v>5.6215786222512428E-4</v>
      </c>
      <c r="AE35" s="305">
        <f t="shared" si="15"/>
        <v>0.5</v>
      </c>
      <c r="AF35" s="177">
        <f t="shared" si="23"/>
        <v>0.49827623020511513</v>
      </c>
      <c r="AG35" s="811">
        <f t="shared" si="24"/>
        <v>1</v>
      </c>
      <c r="AH35" s="176">
        <f t="shared" si="16"/>
        <v>7</v>
      </c>
      <c r="AI35" s="225">
        <f t="shared" si="17"/>
        <v>1.4982762302051151</v>
      </c>
      <c r="AJ35" s="265" t="b">
        <f t="shared" si="18"/>
        <v>0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'2024'!Wh/'2024'!Env_an*'2025'!Env_an</f>
        <v>28.287992625697342</v>
      </c>
      <c r="C36" s="841"/>
      <c r="D36" s="393">
        <f t="shared" si="0"/>
        <v>29.827840937421772</v>
      </c>
      <c r="E36" s="385">
        <f t="shared" si="1"/>
        <v>30.678289670812489</v>
      </c>
      <c r="F36" s="385">
        <f t="shared" si="2"/>
        <v>30.694893851640227</v>
      </c>
      <c r="G36" s="110">
        <f t="shared" si="21"/>
        <v>0.99546271913212869</v>
      </c>
      <c r="H36" s="414" t="b">
        <f>Wh_hp&gt;='2024'!Maxi_hp</f>
        <v>0</v>
      </c>
      <c r="I36" s="390">
        <f>IF(H36,Wh_hp,'2024'!Maxi_hp)</f>
        <v>30.694958235093285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5.162453142200274E-2</v>
      </c>
      <c r="M36" s="845"/>
      <c r="N36" s="845"/>
      <c r="O36" s="48">
        <f>IF(t&lt;Tnet,'2024'!Resal+('2024'!Salim-'2024'!Resal)*(1-EXP(('2024'!Tnet-t)/('2024'!Tau_j))),Resal+(Salim-Resal)*(1-EXP((Tnet-t)/(Tau_j))))*Salcycl</f>
        <v>2.7721517154844465E-2</v>
      </c>
      <c r="P36" s="169">
        <f>(INDEX(Models!$BJ36:$BT36,,T36)*(1-R36)+INDEX(Models!$BJ36:$BT36,,T36+1)*R36-ERP_i)*Q36*Ramure*Pc/MaxiM</f>
        <v>5.4446919218374083E-4</v>
      </c>
      <c r="Q36" s="305">
        <f t="shared" si="4"/>
        <v>0.5</v>
      </c>
      <c r="R36" s="177">
        <f t="shared" si="5"/>
        <v>0.49834244908389724</v>
      </c>
      <c r="S36" s="811">
        <f t="shared" si="6"/>
        <v>1</v>
      </c>
      <c r="T36" s="176">
        <f t="shared" si="7"/>
        <v>7</v>
      </c>
      <c r="U36" s="251">
        <f t="shared" si="8"/>
        <v>1.4983424490838972</v>
      </c>
      <c r="V36" s="383">
        <f t="shared" si="9"/>
        <v>28.416827945995188</v>
      </c>
      <c r="W36" s="402">
        <f t="shared" si="10"/>
        <v>28.287992625697342</v>
      </c>
      <c r="X36" s="157">
        <f t="shared" si="11"/>
        <v>45679</v>
      </c>
      <c r="Y36" s="385">
        <f t="shared" si="12"/>
        <v>26.753007401607785</v>
      </c>
      <c r="Z36" s="385">
        <f t="shared" si="22"/>
        <v>28.209299257520321</v>
      </c>
      <c r="AA36" s="386">
        <f t="shared" si="13"/>
        <v>30.678289670812489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8.0480054129001222E-2</v>
      </c>
      <c r="AD36" s="231">
        <f>(INDEX(Models!$BJ36:$BT36,,AH36)*(1-AF36)+INDEX(Models!$BJ36:$BT36,,AH36+1)*AF36-ERP_i)*AE36*Ramure*Pc/MaxiM</f>
        <v>5.4446919218374083E-4</v>
      </c>
      <c r="AE36" s="305">
        <f t="shared" si="15"/>
        <v>0.5</v>
      </c>
      <c r="AF36" s="177">
        <f t="shared" si="23"/>
        <v>0.49834244908389724</v>
      </c>
      <c r="AG36" s="811">
        <f t="shared" si="24"/>
        <v>1</v>
      </c>
      <c r="AH36" s="176">
        <f t="shared" si="16"/>
        <v>7</v>
      </c>
      <c r="AI36" s="225">
        <f t="shared" si="17"/>
        <v>1.4983424490838972</v>
      </c>
      <c r="AJ36" s="265" t="b">
        <f t="shared" si="18"/>
        <v>0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'2024'!Wh/'2024'!Env_an*'2025'!Env_an</f>
        <v>28.353299758862285</v>
      </c>
      <c r="C37" s="841"/>
      <c r="D37" s="393">
        <f t="shared" si="0"/>
        <v>29.897357873469634</v>
      </c>
      <c r="E37" s="385">
        <f t="shared" si="1"/>
        <v>30.752154736618916</v>
      </c>
      <c r="F37" s="385">
        <f t="shared" si="2"/>
        <v>30.768070124751048</v>
      </c>
      <c r="G37" s="110">
        <f t="shared" si="21"/>
        <v>0.98812001645261593</v>
      </c>
      <c r="H37" s="414" t="b">
        <f>Wh_hp&gt;='2024'!Maxi_hp</f>
        <v>0</v>
      </c>
      <c r="I37" s="390">
        <f>IF(H37,Wh_hp,'2024'!Maxi_hp)</f>
        <v>30.768234513818296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5.164530327870609E-2</v>
      </c>
      <c r="M37" s="845"/>
      <c r="N37" s="845"/>
      <c r="O37" s="48">
        <f>IF(t&lt;Tnet,'2024'!Resal+('2024'!Salim-'2024'!Resal)*(1-EXP(('2024'!Tnet-t)/('2024'!Tau_j))),Resal+(Salim-Resal)*(1-EXP((Tnet-t)/(Tau_j))))*Salcycl</f>
        <v>2.779632420785827E-2</v>
      </c>
      <c r="P37" s="169">
        <f>(INDEX(Models!$BJ37:$BT37,,T37)*(1-R37)+INDEX(Models!$BJ37:$BT37,,T37+1)*R37-ERP_i)*Q37*Ramure*Pc/MaxiM</f>
        <v>5.2619323297840002E-4</v>
      </c>
      <c r="Q37" s="305">
        <f t="shared" si="4"/>
        <v>0.5</v>
      </c>
      <c r="R37" s="177">
        <f t="shared" si="5"/>
        <v>0.49841142729467447</v>
      </c>
      <c r="S37" s="811">
        <f t="shared" si="6"/>
        <v>1</v>
      </c>
      <c r="T37" s="176">
        <f t="shared" si="7"/>
        <v>7</v>
      </c>
      <c r="U37" s="251">
        <f t="shared" si="8"/>
        <v>1.4984114272946745</v>
      </c>
      <c r="V37" s="383">
        <f t="shared" si="9"/>
        <v>28.693930030896997</v>
      </c>
      <c r="W37" s="402">
        <f t="shared" si="10"/>
        <v>28.353299758862285</v>
      </c>
      <c r="X37" s="157">
        <f t="shared" si="11"/>
        <v>45680</v>
      </c>
      <c r="Y37" s="385">
        <f t="shared" si="12"/>
        <v>26.816073694846622</v>
      </c>
      <c r="Z37" s="385">
        <f t="shared" si="22"/>
        <v>28.276417871453251</v>
      </c>
      <c r="AA37" s="386">
        <f t="shared" si="13"/>
        <v>30.752154736618916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8.0506126688339535E-2</v>
      </c>
      <c r="AD37" s="231">
        <f>(INDEX(Models!$BJ37:$BT37,,AH37)*(1-AF37)+INDEX(Models!$BJ37:$BT37,,AH37+1)*AF37-ERP_i)*AE37*Ramure*Pc/MaxiM</f>
        <v>5.2619323297840002E-4</v>
      </c>
      <c r="AE37" s="305">
        <f t="shared" si="15"/>
        <v>0.5</v>
      </c>
      <c r="AF37" s="177">
        <f t="shared" si="23"/>
        <v>0.49841142729467447</v>
      </c>
      <c r="AG37" s="811">
        <f t="shared" si="24"/>
        <v>1</v>
      </c>
      <c r="AH37" s="176">
        <f t="shared" si="16"/>
        <v>7</v>
      </c>
      <c r="AI37" s="225">
        <f t="shared" si="17"/>
        <v>1.4984114272946745</v>
      </c>
      <c r="AJ37" s="265" t="b">
        <f t="shared" si="18"/>
        <v>0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'2024'!Wh/'2024'!Env_an*'2025'!Env_an</f>
        <v>28.990597334320753</v>
      </c>
      <c r="C38" s="841"/>
      <c r="D38" s="393">
        <f t="shared" si="0"/>
        <v>30.570030830176382</v>
      </c>
      <c r="E38" s="385">
        <f t="shared" si="1"/>
        <v>31.446478875170733</v>
      </c>
      <c r="F38" s="385">
        <f t="shared" si="2"/>
        <v>31.462446805790826</v>
      </c>
      <c r="G38" s="110">
        <f t="shared" si="21"/>
        <v>1.0003758637461393</v>
      </c>
      <c r="H38" s="414" t="b">
        <f>Wh_hp&gt;='2024'!Maxi_hp</f>
        <v>1</v>
      </c>
      <c r="I38" s="390">
        <f>IF(H38,Wh_hp,'2024'!Maxi_hp)</f>
        <v>31.462446805790826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5.1666074680452478E-2</v>
      </c>
      <c r="M38" s="845"/>
      <c r="N38" s="845"/>
      <c r="O38" s="48">
        <f>IF(t&lt;Tnet,'2024'!Resal+('2024'!Salim-'2024'!Resal)*(1-EXP(('2024'!Tnet-t)/('2024'!Tau_j))),Resal+(Salim-Resal)*(1-EXP((Tnet-t)/(Tau_j))))*Salcycl</f>
        <v>2.7871102786212756E-2</v>
      </c>
      <c r="P38" s="169">
        <f>(INDEX(Models!$BJ38:$BT38,,T38)*(1-R38)+INDEX(Models!$BJ38:$BT38,,T38+1)*R38-ERP_i)*Q38*Ramure*Pc/MaxiM</f>
        <v>5.0752348406525594E-4</v>
      </c>
      <c r="Q38" s="305">
        <f t="shared" si="4"/>
        <v>0.5</v>
      </c>
      <c r="R38" s="177">
        <f t="shared" si="5"/>
        <v>0.49848327900490386</v>
      </c>
      <c r="S38" s="811">
        <f t="shared" si="6"/>
        <v>1</v>
      </c>
      <c r="T38" s="176">
        <f t="shared" si="7"/>
        <v>7</v>
      </c>
      <c r="U38" s="251">
        <f t="shared" si="8"/>
        <v>1.4984832790049039</v>
      </c>
      <c r="V38" s="383">
        <f t="shared" si="9"/>
        <v>28.97970491386981</v>
      </c>
      <c r="W38" s="402">
        <f t="shared" si="10"/>
        <v>28.990597334320753</v>
      </c>
      <c r="X38" s="157">
        <f t="shared" si="11"/>
        <v>45681</v>
      </c>
      <c r="Y38" s="385">
        <f t="shared" si="12"/>
        <v>27.420147765277893</v>
      </c>
      <c r="Z38" s="385">
        <f t="shared" si="22"/>
        <v>28.91402177354194</v>
      </c>
      <c r="AA38" s="386">
        <f t="shared" si="13"/>
        <v>31.446478875170733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8.053229462292362E-2</v>
      </c>
      <c r="AD38" s="231">
        <f>(INDEX(Models!$BJ38:$BT38,,AH38)*(1-AF38)+INDEX(Models!$BJ38:$BT38,,AH38+1)*AF38-ERP_i)*AE38*Ramure*Pc/MaxiM</f>
        <v>5.0752348406525594E-4</v>
      </c>
      <c r="AE38" s="305">
        <f t="shared" si="15"/>
        <v>0.5</v>
      </c>
      <c r="AF38" s="177">
        <f t="shared" si="23"/>
        <v>0.49848327900490386</v>
      </c>
      <c r="AG38" s="811">
        <f t="shared" si="24"/>
        <v>1</v>
      </c>
      <c r="AH38" s="176">
        <f t="shared" si="16"/>
        <v>7</v>
      </c>
      <c r="AI38" s="225">
        <f t="shared" si="17"/>
        <v>1.4984832790049039</v>
      </c>
      <c r="AJ38" s="265" t="b">
        <f t="shared" si="18"/>
        <v>0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'2024'!Wh/'2024'!Env_an*'2025'!Env_an</f>
        <v>27.609901083659423</v>
      </c>
      <c r="C39" s="841"/>
      <c r="D39" s="393">
        <f t="shared" si="0"/>
        <v>29.114750709033139</v>
      </c>
      <c r="E39" s="385">
        <f t="shared" si="1"/>
        <v>29.951778751198813</v>
      </c>
      <c r="F39" s="385">
        <f t="shared" si="2"/>
        <v>29.965242759669671</v>
      </c>
      <c r="G39" s="110">
        <f t="shared" si="21"/>
        <v>0.94314445135125491</v>
      </c>
      <c r="H39" s="414" t="b">
        <f>Wh_hp&gt;='2024'!Maxi_hp</f>
        <v>0</v>
      </c>
      <c r="I39" s="390">
        <f>IF(H39,Wh_hp,'2024'!Maxi_hp)</f>
        <v>29.965963471414504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5.1686845627251787E-2</v>
      </c>
      <c r="M39" s="845"/>
      <c r="N39" s="845"/>
      <c r="O39" s="48">
        <f>IF(t&lt;Tnet,'2024'!Resal+('2024'!Salim-'2024'!Resal)*(1-EXP(('2024'!Tnet-t)/('2024'!Tau_j))),Resal+(Salim-Resal)*(1-EXP((Tnet-t)/(Tau_j))))*Salcycl</f>
        <v>2.7945854205142021E-2</v>
      </c>
      <c r="P39" s="169">
        <f>(INDEX(Models!$BJ39:$BT39,,T39)*(1-R39)+INDEX(Models!$BJ39:$BT39,,T39+1)*R39-ERP_i)*Q39*Ramure*Pc/MaxiM</f>
        <v>4.8901344268682627E-4</v>
      </c>
      <c r="Q39" s="305">
        <f t="shared" si="4"/>
        <v>0.5</v>
      </c>
      <c r="R39" s="177">
        <f t="shared" si="5"/>
        <v>0.49855812303631208</v>
      </c>
      <c r="S39" s="811">
        <f t="shared" si="6"/>
        <v>1</v>
      </c>
      <c r="T39" s="176">
        <f t="shared" si="7"/>
        <v>7</v>
      </c>
      <c r="U39" s="251">
        <f t="shared" si="8"/>
        <v>1.4985581230363121</v>
      </c>
      <c r="V39" s="383">
        <f t="shared" si="9"/>
        <v>29.273145426476447</v>
      </c>
      <c r="W39" s="402">
        <f t="shared" si="10"/>
        <v>27.609901083659423</v>
      </c>
      <c r="X39" s="157">
        <f t="shared" si="11"/>
        <v>45682</v>
      </c>
      <c r="Y39" s="385">
        <f t="shared" si="12"/>
        <v>26.115507351946125</v>
      </c>
      <c r="Z39" s="385">
        <f t="shared" si="22"/>
        <v>27.538906564277234</v>
      </c>
      <c r="AA39" s="386">
        <f t="shared" si="13"/>
        <v>29.951778751198813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8.0558560710689106E-2</v>
      </c>
      <c r="AD39" s="231">
        <f>(INDEX(Models!$BJ39:$BT39,,AH39)*(1-AF39)+INDEX(Models!$BJ39:$BT39,,AH39+1)*AF39-ERP_i)*AE39*Ramure*Pc/MaxiM</f>
        <v>4.8901344268682627E-4</v>
      </c>
      <c r="AE39" s="305">
        <f t="shared" si="15"/>
        <v>0.5</v>
      </c>
      <c r="AF39" s="177">
        <f t="shared" si="23"/>
        <v>0.49855812303631208</v>
      </c>
      <c r="AG39" s="811">
        <f t="shared" si="24"/>
        <v>1</v>
      </c>
      <c r="AH39" s="176">
        <f t="shared" si="16"/>
        <v>7</v>
      </c>
      <c r="AI39" s="225">
        <f t="shared" si="17"/>
        <v>1.4985581230363121</v>
      </c>
      <c r="AJ39" s="265" t="b">
        <f t="shared" si="18"/>
        <v>0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'2024'!Wh/'2024'!Env_an*'2025'!Env_an</f>
        <v>28.595077511726426</v>
      </c>
      <c r="C40" s="841"/>
      <c r="D40" s="393">
        <f t="shared" si="0"/>
        <v>30.15428363423219</v>
      </c>
      <c r="E40" s="385">
        <f t="shared" si="1"/>
        <v>31.023582393676946</v>
      </c>
      <c r="F40" s="385">
        <f t="shared" si="2"/>
        <v>31.037501101116099</v>
      </c>
      <c r="G40" s="110">
        <f t="shared" si="21"/>
        <v>0.96690190900959549</v>
      </c>
      <c r="H40" s="414" t="b">
        <f>Wh_hp&gt;='2024'!Maxi_hp</f>
        <v>0</v>
      </c>
      <c r="I40" s="390">
        <f>IF(H40,Wh_hp,'2024'!Maxi_hp)</f>
        <v>31.037921449908918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5.1707616119114119E-2</v>
      </c>
      <c r="M40" s="845"/>
      <c r="N40" s="845"/>
      <c r="O40" s="48">
        <f>IF(t&lt;Tnet,'2024'!Resal+('2024'!Salim-'2024'!Resal)*(1-EXP(('2024'!Tnet-t)/('2024'!Tau_j))),Resal+(Salim-Resal)*(1-EXP((Tnet-t)/(Tau_j))))*Salcycl</f>
        <v>2.8020579584062896E-2</v>
      </c>
      <c r="P40" s="169">
        <f>(INDEX(Models!$BJ40:$BT40,,T40)*(1-R40)+INDEX(Models!$BJ40:$BT40,,T40+1)*R40-ERP_i)*Q40*Ramure*Pc/MaxiM</f>
        <v>4.7068919313846745E-4</v>
      </c>
      <c r="Q40" s="305">
        <f t="shared" si="4"/>
        <v>0.5</v>
      </c>
      <c r="R40" s="177">
        <f t="shared" si="5"/>
        <v>0.49863608304870488</v>
      </c>
      <c r="S40" s="811">
        <f t="shared" si="6"/>
        <v>1</v>
      </c>
      <c r="T40" s="176">
        <f t="shared" si="7"/>
        <v>7</v>
      </c>
      <c r="U40" s="251">
        <f t="shared" si="8"/>
        <v>1.4986360830487049</v>
      </c>
      <c r="V40" s="383">
        <f t="shared" si="9"/>
        <v>29.573259679480572</v>
      </c>
      <c r="W40" s="402">
        <f t="shared" si="10"/>
        <v>28.595077511726426</v>
      </c>
      <c r="X40" s="157">
        <f t="shared" si="11"/>
        <v>45683</v>
      </c>
      <c r="Y40" s="385">
        <f t="shared" si="12"/>
        <v>27.048664530913495</v>
      </c>
      <c r="Z40" s="385">
        <f t="shared" si="22"/>
        <v>28.52354926675342</v>
      </c>
      <c r="AA40" s="386">
        <f t="shared" si="13"/>
        <v>31.023582393676946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8.0584927143458107E-2</v>
      </c>
      <c r="AD40" s="231">
        <f>(INDEX(Models!$BJ40:$BT40,,AH40)*(1-AF40)+INDEX(Models!$BJ40:$BT40,,AH40+1)*AF40-ERP_i)*AE40*Ramure*Pc/MaxiM</f>
        <v>4.7068919313846745E-4</v>
      </c>
      <c r="AE40" s="305">
        <f t="shared" si="15"/>
        <v>0.5</v>
      </c>
      <c r="AF40" s="177">
        <f t="shared" si="23"/>
        <v>0.49863608304870488</v>
      </c>
      <c r="AG40" s="811">
        <f t="shared" si="24"/>
        <v>1</v>
      </c>
      <c r="AH40" s="176">
        <f t="shared" si="16"/>
        <v>7</v>
      </c>
      <c r="AI40" s="225">
        <f t="shared" si="17"/>
        <v>1.4986360830487049</v>
      </c>
      <c r="AJ40" s="265" t="b">
        <f t="shared" si="18"/>
        <v>0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'2024'!Wh/'2024'!Env_an*'2025'!Env_an</f>
        <v>26.642407161353372</v>
      </c>
      <c r="C41" s="841"/>
      <c r="D41" s="393">
        <f t="shared" si="0"/>
        <v>28.095755237631415</v>
      </c>
      <c r="E41" s="385">
        <f t="shared" si="1"/>
        <v>28.907931666651251</v>
      </c>
      <c r="F41" s="385">
        <f t="shared" si="2"/>
        <v>28.918994259792715</v>
      </c>
      <c r="G41" s="110">
        <f t="shared" si="21"/>
        <v>0.89161251806492281</v>
      </c>
      <c r="H41" s="414" t="b">
        <f>Wh_hp&gt;='2024'!Maxi_hp</f>
        <v>0</v>
      </c>
      <c r="I41" s="390">
        <f>IF(H41,Wh_hp,'2024'!Maxi_hp)</f>
        <v>28.920232617261767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5.1728386156049355E-2</v>
      </c>
      <c r="M41" s="845"/>
      <c r="N41" s="845"/>
      <c r="O41" s="48">
        <f>IF(t&lt;Tnet,'2024'!Resal+('2024'!Salim-'2024'!Resal)*(1-EXP(('2024'!Tnet-t)/('2024'!Tau_j))),Resal+(Salim-Resal)*(1-EXP((Tnet-t)/(Tau_j))))*Salcycl</f>
        <v>2.8095279814044184E-2</v>
      </c>
      <c r="P41" s="169">
        <f>(INDEX(Models!$BJ41:$BT41,,T41)*(1-R41)+INDEX(Models!$BJ41:$BT41,,T41+1)*R41-ERP_i)*Q41*Ramure*Pc/MaxiM</f>
        <v>4.5257293902759081E-4</v>
      </c>
      <c r="Q41" s="305">
        <f t="shared" si="4"/>
        <v>0.5</v>
      </c>
      <c r="R41" s="177">
        <f t="shared" si="5"/>
        <v>0.49871728773052659</v>
      </c>
      <c r="S41" s="811">
        <f t="shared" si="6"/>
        <v>1</v>
      </c>
      <c r="T41" s="176">
        <f t="shared" si="7"/>
        <v>7</v>
      </c>
      <c r="U41" s="251">
        <f t="shared" si="8"/>
        <v>1.4987172877305266</v>
      </c>
      <c r="V41" s="383">
        <f t="shared" si="9"/>
        <v>29.879056191728989</v>
      </c>
      <c r="W41" s="402">
        <f t="shared" si="10"/>
        <v>26.642407161353372</v>
      </c>
      <c r="X41" s="157">
        <f t="shared" si="11"/>
        <v>45684</v>
      </c>
      <c r="Y41" s="385">
        <f t="shared" si="12"/>
        <v>25.202805412340656</v>
      </c>
      <c r="Z41" s="385">
        <f t="shared" si="22"/>
        <v>26.577622955703148</v>
      </c>
      <c r="AA41" s="386">
        <f t="shared" si="13"/>
        <v>28.907931666651251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8.0611395440525049E-2</v>
      </c>
      <c r="AD41" s="231">
        <f>(INDEX(Models!$BJ41:$BT41,,AH41)*(1-AF41)+INDEX(Models!$BJ41:$BT41,,AH41+1)*AF41-ERP_i)*AE41*Ramure*Pc/MaxiM</f>
        <v>4.5257293902759081E-4</v>
      </c>
      <c r="AE41" s="305">
        <f t="shared" si="15"/>
        <v>0.5</v>
      </c>
      <c r="AF41" s="177">
        <f t="shared" si="23"/>
        <v>0.49871728773052659</v>
      </c>
      <c r="AG41" s="811">
        <f t="shared" si="24"/>
        <v>1</v>
      </c>
      <c r="AH41" s="176">
        <f t="shared" si="16"/>
        <v>7</v>
      </c>
      <c r="AI41" s="225">
        <f t="shared" si="17"/>
        <v>1.4987172877305266</v>
      </c>
      <c r="AJ41" s="265" t="b">
        <f t="shared" si="18"/>
        <v>0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'2024'!Wh/'2024'!Env_an*'2025'!Env_an</f>
        <v>4.3517385492645611</v>
      </c>
      <c r="C42" s="841"/>
      <c r="D42" s="393">
        <f t="shared" si="0"/>
        <v>4.5892271813917764</v>
      </c>
      <c r="E42" s="385">
        <f t="shared" si="1"/>
        <v>4.7222528337189722</v>
      </c>
      <c r="F42" s="385">
        <f t="shared" si="2"/>
        <v>4.7222528337189722</v>
      </c>
      <c r="G42" s="110">
        <f t="shared" si="21"/>
        <v>0.14408455255486646</v>
      </c>
      <c r="H42" s="414" t="b">
        <f>Wh_hp&gt;='2024'!Maxi_hp</f>
        <v>0</v>
      </c>
      <c r="I42" s="390">
        <f>IF(H42,Wh_hp,'2024'!Maxi_hp)</f>
        <v>18.517028420857695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5.1749155738067487E-2</v>
      </c>
      <c r="M42" s="845"/>
      <c r="N42" s="845"/>
      <c r="O42" s="48">
        <f>IF(t&lt;Tnet,'2024'!Resal+('2024'!Salim-'2024'!Resal)*(1-EXP(('2024'!Tnet-t)/('2024'!Tau_j))),Resal+(Salim-Resal)*(1-EXP((Tnet-t)/(Tau_j))))*Salcycl</f>
        <v>2.8169955529982277E-2</v>
      </c>
      <c r="P42" s="169">
        <f>(INDEX(Models!$BJ42:$BT42,,T42)*(1-R42)+INDEX(Models!$BJ42:$BT42,,T42+1)*R42-ERP_i)*Q42*Ramure*Pc/MaxiM</f>
        <v>4.3468321634078367E-4</v>
      </c>
      <c r="Q42" s="305">
        <f t="shared" si="4"/>
        <v>0.5</v>
      </c>
      <c r="R42" s="177">
        <f t="shared" si="5"/>
        <v>0.49880187099637263</v>
      </c>
      <c r="S42" s="811">
        <f t="shared" si="6"/>
        <v>1</v>
      </c>
      <c r="T42" s="176">
        <f t="shared" si="7"/>
        <v>7</v>
      </c>
      <c r="U42" s="251">
        <f t="shared" si="8"/>
        <v>1.4988018709963726</v>
      </c>
      <c r="V42" s="383">
        <f t="shared" si="9"/>
        <v>30.189543878403612</v>
      </c>
      <c r="W42" s="402">
        <f t="shared" si="10"/>
        <v>4.3517385492645611</v>
      </c>
      <c r="X42" s="157">
        <f t="shared" si="11"/>
        <v>45685</v>
      </c>
      <c r="Y42" s="385">
        <f t="shared" si="12"/>
        <v>4.1167930804503916</v>
      </c>
      <c r="Z42" s="385">
        <f t="shared" si="22"/>
        <v>4.3414599684903861</v>
      </c>
      <c r="AA42" s="386">
        <f t="shared" si="13"/>
        <v>4.7222528337189722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8.0637966376886291E-2</v>
      </c>
      <c r="AD42" s="231">
        <f>(INDEX(Models!$BJ42:$BT42,,AH42)*(1-AF42)+INDEX(Models!$BJ42:$BT42,,AH42+1)*AF42-ERP_i)*AE42*Ramure*Pc/MaxiM</f>
        <v>4.3468321634078367E-4</v>
      </c>
      <c r="AE42" s="305">
        <f t="shared" si="15"/>
        <v>0.5</v>
      </c>
      <c r="AF42" s="177">
        <f t="shared" si="23"/>
        <v>0.49880187099637263</v>
      </c>
      <c r="AG42" s="811">
        <f t="shared" si="24"/>
        <v>1</v>
      </c>
      <c r="AH42" s="176">
        <f t="shared" si="16"/>
        <v>7</v>
      </c>
      <c r="AI42" s="225">
        <f t="shared" si="17"/>
        <v>1.4988018709963726</v>
      </c>
      <c r="AJ42" s="265" t="b">
        <f t="shared" si="18"/>
        <v>0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'2024'!Wh/'2024'!Env_an*'2025'!Env_an</f>
        <v>9.5424698066427851</v>
      </c>
      <c r="C43" s="841"/>
      <c r="D43" s="393">
        <f t="shared" si="0"/>
        <v>10.063454067606973</v>
      </c>
      <c r="E43" s="385">
        <f t="shared" si="1"/>
        <v>10.355953917011565</v>
      </c>
      <c r="F43" s="385">
        <f t="shared" si="2"/>
        <v>10.356033072418521</v>
      </c>
      <c r="G43" s="110">
        <f t="shared" si="21"/>
        <v>0.31270151300135457</v>
      </c>
      <c r="H43" s="414" t="b">
        <f>Wh_hp&gt;='2024'!Maxi_hp</f>
        <v>0</v>
      </c>
      <c r="I43" s="390">
        <f>IF(H43,Wh_hp,'2024'!Maxi_hp)</f>
        <v>20.355528257182332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5.1769924865178507E-2</v>
      </c>
      <c r="M43" s="845"/>
      <c r="N43" s="845"/>
      <c r="O43" s="48">
        <f>IF(t&lt;Tnet,'2024'!Resal+('2024'!Salim-'2024'!Resal)*(1-EXP(('2024'!Tnet-t)/('2024'!Tau_j))),Resal+(Salim-Resal)*(1-EXP((Tnet-t)/(Tau_j))))*Salcycl</f>
        <v>2.8244607087726383E-2</v>
      </c>
      <c r="P43" s="169">
        <f>(INDEX(Models!$BJ43:$BT43,,T43)*(1-R43)+INDEX(Models!$BJ43:$BT43,,T43+1)*R43-ERP_i)*Q43*Ramure*Pc/MaxiM</f>
        <v>4.170351189868062E-4</v>
      </c>
      <c r="Q43" s="305">
        <f t="shared" si="4"/>
        <v>0.5</v>
      </c>
      <c r="R43" s="177">
        <f t="shared" si="5"/>
        <v>0.49888997219165776</v>
      </c>
      <c r="S43" s="811">
        <f t="shared" si="6"/>
        <v>1</v>
      </c>
      <c r="T43" s="176">
        <f t="shared" si="7"/>
        <v>7</v>
      </c>
      <c r="U43" s="251">
        <f t="shared" si="8"/>
        <v>1.4988899721916578</v>
      </c>
      <c r="V43" s="383">
        <f t="shared" si="9"/>
        <v>30.50373206451204</v>
      </c>
      <c r="W43" s="402">
        <f t="shared" si="10"/>
        <v>9.5424698066427851</v>
      </c>
      <c r="X43" s="157">
        <f t="shared" si="11"/>
        <v>45686</v>
      </c>
      <c r="Y43" s="385">
        <f t="shared" si="12"/>
        <v>9.0277141548848636</v>
      </c>
      <c r="Z43" s="385">
        <f t="shared" si="22"/>
        <v>9.5205946231997363</v>
      </c>
      <c r="AA43" s="386">
        <f t="shared" si="13"/>
        <v>10.355953917011565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8.06646399265641E-2</v>
      </c>
      <c r="AD43" s="231">
        <f>(INDEX(Models!$BJ43:$BT43,,AH43)*(1-AF43)+INDEX(Models!$BJ43:$BT43,,AH43+1)*AF43-ERP_i)*AE43*Ramure*Pc/MaxiM</f>
        <v>4.170351189868062E-4</v>
      </c>
      <c r="AE43" s="305">
        <f t="shared" si="15"/>
        <v>0.5</v>
      </c>
      <c r="AF43" s="177">
        <f t="shared" si="23"/>
        <v>0.49888997219165776</v>
      </c>
      <c r="AG43" s="811">
        <f t="shared" si="24"/>
        <v>1</v>
      </c>
      <c r="AH43" s="176">
        <f t="shared" si="16"/>
        <v>7</v>
      </c>
      <c r="AI43" s="225">
        <f t="shared" si="17"/>
        <v>1.4988899721916578</v>
      </c>
      <c r="AJ43" s="265" t="b">
        <f t="shared" si="18"/>
        <v>0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'2024'!Wh/'2024'!Env_an*'2025'!Env_an</f>
        <v>4.5388461310027282</v>
      </c>
      <c r="C44" s="841"/>
      <c r="D44" s="393">
        <f t="shared" si="0"/>
        <v>4.7867555191325426</v>
      </c>
      <c r="E44" s="385">
        <f t="shared" si="1"/>
        <v>4.9262635315187016</v>
      </c>
      <c r="F44" s="385">
        <f t="shared" si="2"/>
        <v>4.9262635315187016</v>
      </c>
      <c r="G44" s="110">
        <f t="shared" si="21"/>
        <v>0.1472076383261961</v>
      </c>
      <c r="H44" s="414" t="b">
        <f>Wh_hp&gt;='2024'!Maxi_hp</f>
        <v>0</v>
      </c>
      <c r="I44" s="390">
        <f>IF(H44,Wh_hp,'2024'!Maxi_hp)</f>
        <v>12.271638358981564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5.1790693537392296E-2</v>
      </c>
      <c r="M44" s="845"/>
      <c r="N44" s="845"/>
      <c r="O44" s="48">
        <f>IF(t&lt;Tnet,'2024'!Resal+('2024'!Salim-'2024'!Resal)*(1-EXP(('2024'!Tnet-t)/('2024'!Tau_j))),Resal+(Salim-Resal)*(1-EXP((Tnet-t)/(Tau_j))))*Salcycl</f>
        <v>2.8319234546340048E-2</v>
      </c>
      <c r="P44" s="169">
        <f>(INDEX(Models!$BJ44:$BT44,,T44)*(1-R44)+INDEX(Models!$BJ44:$BT44,,T44+1)*R44-ERP_i)*Q44*Ramure*Pc/MaxiM</f>
        <v>4.0004908204692099E-4</v>
      </c>
      <c r="Q44" s="305">
        <f t="shared" si="4"/>
        <v>0.5</v>
      </c>
      <c r="R44" s="177">
        <f t="shared" si="5"/>
        <v>0.49898173630465137</v>
      </c>
      <c r="S44" s="811">
        <f t="shared" si="6"/>
        <v>1</v>
      </c>
      <c r="T44" s="176">
        <f t="shared" si="7"/>
        <v>7</v>
      </c>
      <c r="U44" s="251">
        <f t="shared" si="8"/>
        <v>1.4989817363046514</v>
      </c>
      <c r="V44" s="383">
        <f t="shared" si="9"/>
        <v>30.820617879358288</v>
      </c>
      <c r="W44" s="402">
        <f t="shared" si="10"/>
        <v>4.5388461310027282</v>
      </c>
      <c r="X44" s="157">
        <f t="shared" si="11"/>
        <v>45687</v>
      </c>
      <c r="Y44" s="385">
        <f t="shared" si="12"/>
        <v>4.2942089228989158</v>
      </c>
      <c r="Z44" s="385">
        <f t="shared" si="22"/>
        <v>4.5287563554073342</v>
      </c>
      <c r="AA44" s="386">
        <f t="shared" si="13"/>
        <v>4.9262635315187016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8.0691415221308932E-2</v>
      </c>
      <c r="AD44" s="231">
        <f>(INDEX(Models!$BJ44:$BT44,,AH44)*(1-AF44)+INDEX(Models!$BJ44:$BT44,,AH44+1)*AF44-ERP_i)*AE44*Ramure*Pc/MaxiM</f>
        <v>4.0004908204692099E-4</v>
      </c>
      <c r="AE44" s="305">
        <f t="shared" si="15"/>
        <v>0.5</v>
      </c>
      <c r="AF44" s="177">
        <f t="shared" si="23"/>
        <v>0.49898173630465137</v>
      </c>
      <c r="AG44" s="811">
        <f t="shared" si="24"/>
        <v>1</v>
      </c>
      <c r="AH44" s="176">
        <f t="shared" si="16"/>
        <v>7</v>
      </c>
      <c r="AI44" s="225">
        <f t="shared" si="17"/>
        <v>1.4989817363046514</v>
      </c>
      <c r="AJ44" s="265" t="b">
        <f t="shared" si="18"/>
        <v>0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'2024'!Wh/'2024'!Env_an*'2025'!Env_an</f>
        <v>9.2833112157212767</v>
      </c>
      <c r="C45" s="841"/>
      <c r="D45" s="393">
        <f t="shared" si="0"/>
        <v>9.7905752297965805</v>
      </c>
      <c r="E45" s="385">
        <f t="shared" si="1"/>
        <v>10.076691162778422</v>
      </c>
      <c r="F45" s="385">
        <f t="shared" si="2"/>
        <v>10.076691162778422</v>
      </c>
      <c r="G45" s="110">
        <f t="shared" si="21"/>
        <v>0.29800847794243551</v>
      </c>
      <c r="H45" s="414" t="b">
        <f>Wh_hp&gt;='2024'!Maxi_hp</f>
        <v>0</v>
      </c>
      <c r="I45" s="390">
        <f>IF(H45,Wh_hp,'2024'!Maxi_hp)</f>
        <v>23.585730416186674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5.1811461754718846E-2</v>
      </c>
      <c r="M45" s="845"/>
      <c r="N45" s="845"/>
      <c r="O45" s="48">
        <f>IF(t&lt;Tnet,'2024'!Resal+('2024'!Salim-'2024'!Resal)*(1-EXP(('2024'!Tnet-t)/('2024'!Tau_j))),Resal+(Salim-Resal)*(1-EXP((Tnet-t)/(Tau_j))))*Salcycl</f>
        <v>2.839383765562899E-2</v>
      </c>
      <c r="P45" s="169">
        <f>(INDEX(Models!$BJ45:$BT45,,T45)*(1-R45)+INDEX(Models!$BJ45:$BT45,,T45+1)*R45-ERP_i)*Q45*Ramure*Pc/MaxiM</f>
        <v>3.8397974204636452E-4</v>
      </c>
      <c r="Q45" s="305">
        <f t="shared" si="4"/>
        <v>0.5</v>
      </c>
      <c r="R45" s="177">
        <f t="shared" si="5"/>
        <v>0.49907731418608137</v>
      </c>
      <c r="S45" s="811">
        <f t="shared" si="6"/>
        <v>1</v>
      </c>
      <c r="T45" s="176">
        <f t="shared" si="7"/>
        <v>7</v>
      </c>
      <c r="U45" s="251">
        <f t="shared" si="8"/>
        <v>1.4990773141860814</v>
      </c>
      <c r="V45" s="383">
        <f t="shared" si="9"/>
        <v>31.139203409064891</v>
      </c>
      <c r="W45" s="402">
        <f t="shared" si="10"/>
        <v>9.2833112157212767</v>
      </c>
      <c r="X45" s="157">
        <f t="shared" si="11"/>
        <v>45688</v>
      </c>
      <c r="Y45" s="385">
        <f t="shared" si="12"/>
        <v>8.7833718380162331</v>
      </c>
      <c r="Z45" s="385">
        <f t="shared" si="22"/>
        <v>9.2633178779726144</v>
      </c>
      <c r="AA45" s="386">
        <f t="shared" si="13"/>
        <v>10.076691162778422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8.0718290524797426E-2</v>
      </c>
      <c r="AD45" s="231">
        <f>(INDEX(Models!$BJ45:$BT45,,AH45)*(1-AF45)+INDEX(Models!$BJ45:$BT45,,AH45+1)*AF45-ERP_i)*AE45*Ramure*Pc/MaxiM</f>
        <v>3.8397974204636452E-4</v>
      </c>
      <c r="AE45" s="305">
        <f t="shared" si="15"/>
        <v>0.5</v>
      </c>
      <c r="AF45" s="177">
        <f t="shared" si="23"/>
        <v>0.49907731418608137</v>
      </c>
      <c r="AG45" s="811">
        <f t="shared" si="24"/>
        <v>1</v>
      </c>
      <c r="AH45" s="176">
        <f t="shared" si="16"/>
        <v>7</v>
      </c>
      <c r="AI45" s="225">
        <f t="shared" si="17"/>
        <v>1.4990773141860814</v>
      </c>
      <c r="AJ45" s="265" t="b">
        <f t="shared" si="18"/>
        <v>0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'2024'!Wh/'2024'!Env_an*'2025'!Env_an</f>
        <v>13.477238975116505</v>
      </c>
      <c r="C46" s="841"/>
      <c r="D46" s="393">
        <f t="shared" si="0"/>
        <v>14.213981317097018</v>
      </c>
      <c r="E46" s="385">
        <f t="shared" si="1"/>
        <v>14.630488137468436</v>
      </c>
      <c r="F46" s="385">
        <f t="shared" si="2"/>
        <v>14.631478072546654</v>
      </c>
      <c r="G46" s="110">
        <f t="shared" si="21"/>
        <v>0.42828425711661833</v>
      </c>
      <c r="H46" s="414" t="b">
        <f>Wh_hp&gt;='2024'!Maxi_hp</f>
        <v>0</v>
      </c>
      <c r="I46" s="390">
        <f>IF(H46,Wh_hp,'2024'!Maxi_hp)</f>
        <v>27.944973498874095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5.1832229517168149E-2</v>
      </c>
      <c r="M46" s="845"/>
      <c r="N46" s="845"/>
      <c r="O46" s="48">
        <f>IF(t&lt;Tnet,'2024'!Resal+('2024'!Salim-'2024'!Resal)*(1-EXP(('2024'!Tnet-t)/('2024'!Tau_j))),Resal+(Salim-Resal)*(1-EXP((Tnet-t)/(Tau_j))))*Salcycl</f>
        <v>2.8468415849007271E-2</v>
      </c>
      <c r="P46" s="169">
        <f>(INDEX(Models!$BJ46:$BT46,,T46)*(1-R46)+INDEX(Models!$BJ46:$BT46,,T46+1)*R46-ERP_i)*Q46*Ramure*Pc/MaxiM</f>
        <v>3.688133199311919E-4</v>
      </c>
      <c r="Q46" s="305">
        <f t="shared" si="4"/>
        <v>0.5</v>
      </c>
      <c r="R46" s="177">
        <f t="shared" si="5"/>
        <v>0.49917686277652185</v>
      </c>
      <c r="S46" s="811">
        <f t="shared" si="6"/>
        <v>1</v>
      </c>
      <c r="T46" s="176">
        <f t="shared" si="7"/>
        <v>7</v>
      </c>
      <c r="U46" s="251">
        <f t="shared" si="8"/>
        <v>1.4991768627765218</v>
      </c>
      <c r="V46" s="383">
        <f t="shared" si="9"/>
        <v>31.458499193114758</v>
      </c>
      <c r="W46" s="402">
        <f t="shared" si="10"/>
        <v>13.477238975116505</v>
      </c>
      <c r="X46" s="157">
        <f t="shared" si="11"/>
        <v>45689</v>
      </c>
      <c r="Y46" s="385">
        <f t="shared" si="12"/>
        <v>12.752046324245569</v>
      </c>
      <c r="Z46" s="385">
        <f t="shared" si="22"/>
        <v>13.449145521738092</v>
      </c>
      <c r="AA46" s="386">
        <f t="shared" si="13"/>
        <v>14.630488137468436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8.0745263222280664E-2</v>
      </c>
      <c r="AD46" s="231">
        <f>(INDEX(Models!$BJ46:$BT46,,AH46)*(1-AF46)+INDEX(Models!$BJ46:$BT46,,AH46+1)*AF46-ERP_i)*AE46*Ramure*Pc/MaxiM</f>
        <v>3.688133199311919E-4</v>
      </c>
      <c r="AE46" s="305">
        <f t="shared" si="15"/>
        <v>0.5</v>
      </c>
      <c r="AF46" s="177">
        <f t="shared" si="23"/>
        <v>0.49917686277652185</v>
      </c>
      <c r="AG46" s="811">
        <f t="shared" si="24"/>
        <v>1</v>
      </c>
      <c r="AH46" s="176">
        <f t="shared" si="16"/>
        <v>7</v>
      </c>
      <c r="AI46" s="225">
        <f t="shared" si="17"/>
        <v>1.4991768627765218</v>
      </c>
      <c r="AJ46" s="265" t="b">
        <f t="shared" si="18"/>
        <v>0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'2024'!Wh/'2024'!Env_an*'2025'!Env_an</f>
        <v>5.4139990124919599</v>
      </c>
      <c r="C47" s="841"/>
      <c r="D47" s="393">
        <f t="shared" si="0"/>
        <v>5.7100839789199531</v>
      </c>
      <c r="E47" s="385">
        <f t="shared" si="1"/>
        <v>5.8778554194877977</v>
      </c>
      <c r="F47" s="385">
        <f t="shared" si="2"/>
        <v>5.8778554194877977</v>
      </c>
      <c r="G47" s="110">
        <f t="shared" si="21"/>
        <v>0.17031159810979132</v>
      </c>
      <c r="H47" s="414" t="b">
        <f>Wh_hp&gt;='2024'!Maxi_hp</f>
        <v>0</v>
      </c>
      <c r="I47" s="390">
        <f>IF(H47,Wh_hp,'2024'!Maxi_hp)</f>
        <v>29.540538398179784</v>
      </c>
      <c r="J47" s="85">
        <f>IF(H47,An,'2024'!An_max)</f>
        <v>2020</v>
      </c>
      <c r="K47" s="197">
        <f t="shared" si="3"/>
        <v>45690</v>
      </c>
      <c r="L47" s="147">
        <f>IF(t&lt;Tvie,1-EXP((T0-t)*PertePVj)+'2024'!Pspv,1-EXP((T0-t)*PertePVj)+Pspv)</f>
        <v>5.1852996824750197E-2</v>
      </c>
      <c r="M47" s="845"/>
      <c r="N47" s="845"/>
      <c r="O47" s="48">
        <f>IF(t&lt;Tnet,'2024'!Resal+('2024'!Salim-'2024'!Resal)*(1-EXP(('2024'!Tnet-t)/('2024'!Tau_j))),Resal+(Salim-Resal)*(1-EXP((Tnet-t)/(Tau_j))))*Salcycl</f>
        <v>2.8542968241717016E-2</v>
      </c>
      <c r="P47" s="169">
        <f>(INDEX(Models!$BJ47:$BT47,,T47)*(1-R47)+INDEX(Models!$BJ47:$BT47,,T47+1)*R47-ERP_i)*Q47*Ramure*Pc/MaxiM</f>
        <v>3.5453445006261748E-4</v>
      </c>
      <c r="Q47" s="305">
        <f t="shared" si="4"/>
        <v>0.5</v>
      </c>
      <c r="R47" s="177">
        <f t="shared" si="5"/>
        <v>0.49928054534176658</v>
      </c>
      <c r="S47" s="811">
        <f t="shared" si="6"/>
        <v>1</v>
      </c>
      <c r="T47" s="176">
        <f t="shared" si="7"/>
        <v>7</v>
      </c>
      <c r="U47" s="251">
        <f t="shared" si="8"/>
        <v>1.4992805453417666</v>
      </c>
      <c r="V47" s="383">
        <f t="shared" si="9"/>
        <v>31.777516172683271</v>
      </c>
      <c r="W47" s="402">
        <f t="shared" si="10"/>
        <v>5.4139990124919599</v>
      </c>
      <c r="X47" s="157">
        <f t="shared" si="11"/>
        <v>45690</v>
      </c>
      <c r="Y47" s="385">
        <f t="shared" si="12"/>
        <v>5.1229210720443401</v>
      </c>
      <c r="Z47" s="385">
        <f t="shared" si="22"/>
        <v>5.4030873428784654</v>
      </c>
      <c r="AA47" s="386">
        <f t="shared" si="13"/>
        <v>5.8778554194877977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8.0772329825476372E-2</v>
      </c>
      <c r="AD47" s="231">
        <f>(INDEX(Models!$BJ47:$BT47,,AH47)*(1-AF47)+INDEX(Models!$BJ47:$BT47,,AH47+1)*AF47-ERP_i)*AE47*Ramure*Pc/MaxiM</f>
        <v>3.5453445006261748E-4</v>
      </c>
      <c r="AE47" s="305">
        <f t="shared" si="15"/>
        <v>0.5</v>
      </c>
      <c r="AF47" s="177">
        <f t="shared" si="23"/>
        <v>0.49928054534176658</v>
      </c>
      <c r="AG47" s="811">
        <f t="shared" si="24"/>
        <v>1</v>
      </c>
      <c r="AH47" s="176">
        <f t="shared" si="16"/>
        <v>7</v>
      </c>
      <c r="AI47" s="225">
        <f t="shared" si="17"/>
        <v>1.4992805453417666</v>
      </c>
      <c r="AJ47" s="265" t="b">
        <f t="shared" si="18"/>
        <v>0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'2024'!Wh/'2024'!Env_an*'2025'!Env_an</f>
        <v>10.204553063072376</v>
      </c>
      <c r="C48" s="841"/>
      <c r="D48" s="393">
        <f t="shared" si="0"/>
        <v>10.762863289863738</v>
      </c>
      <c r="E48" s="385">
        <f t="shared" si="1"/>
        <v>11.079943502516056</v>
      </c>
      <c r="F48" s="385">
        <f t="shared" si="2"/>
        <v>11.080040401727539</v>
      </c>
      <c r="G48" s="110">
        <f t="shared" si="21"/>
        <v>0.3178400618248266</v>
      </c>
      <c r="H48" s="414" t="b">
        <f>Wh_hp&gt;='2024'!Maxi_hp</f>
        <v>0</v>
      </c>
      <c r="I48" s="390">
        <f>IF(H48,Wh_hp,'2024'!Maxi_hp)</f>
        <v>27.40840746637317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5.1873763677474871E-2</v>
      </c>
      <c r="M48" s="845"/>
      <c r="N48" s="845"/>
      <c r="O48" s="48">
        <f>IF(t&lt;Tnet,'2024'!Resal+('2024'!Salim-'2024'!Resal)*(1-EXP(('2024'!Tnet-t)/('2024'!Tau_j))),Resal+(Salim-Resal)*(1-EXP((Tnet-t)/(Tau_j))))*Salcycl</f>
        <v>2.8617493634359604E-2</v>
      </c>
      <c r="P48" s="169">
        <f>(INDEX(Models!$BJ48:$BT48,,T48)*(1-R48)+INDEX(Models!$BJ48:$BT48,,T48+1)*R48-ERP_i)*Q48*Ramure*Pc/MaxiM</f>
        <v>3.41126549266721E-4</v>
      </c>
      <c r="Q48" s="305">
        <f t="shared" si="4"/>
        <v>0.5</v>
      </c>
      <c r="R48" s="177">
        <f t="shared" si="5"/>
        <v>0.49938853171639974</v>
      </c>
      <c r="S48" s="811">
        <f t="shared" si="6"/>
        <v>1</v>
      </c>
      <c r="T48" s="176">
        <f t="shared" si="7"/>
        <v>7</v>
      </c>
      <c r="U48" s="251">
        <f t="shared" si="8"/>
        <v>1.4993885317163997</v>
      </c>
      <c r="V48" s="383">
        <f t="shared" si="9"/>
        <v>32.095265693085537</v>
      </c>
      <c r="W48" s="402">
        <f t="shared" si="10"/>
        <v>10.204553063072376</v>
      </c>
      <c r="X48" s="157">
        <f t="shared" si="11"/>
        <v>45691</v>
      </c>
      <c r="Y48" s="385">
        <f t="shared" si="12"/>
        <v>9.656371572810432</v>
      </c>
      <c r="Z48" s="385">
        <f t="shared" si="22"/>
        <v>10.184689762688535</v>
      </c>
      <c r="AA48" s="386">
        <f t="shared" si="13"/>
        <v>11.079943502516056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8.079948599234496E-2</v>
      </c>
      <c r="AD48" s="231">
        <f>(INDEX(Models!$BJ48:$BT48,,AH48)*(1-AF48)+INDEX(Models!$BJ48:$BT48,,AH48+1)*AF48-ERP_i)*AE48*Ramure*Pc/MaxiM</f>
        <v>3.41126549266721E-4</v>
      </c>
      <c r="AE48" s="305">
        <f t="shared" si="15"/>
        <v>0.5</v>
      </c>
      <c r="AF48" s="177">
        <f t="shared" si="23"/>
        <v>0.49938853171639974</v>
      </c>
      <c r="AG48" s="811">
        <f t="shared" si="24"/>
        <v>1</v>
      </c>
      <c r="AH48" s="176">
        <f t="shared" si="16"/>
        <v>7</v>
      </c>
      <c r="AI48" s="225">
        <f t="shared" si="17"/>
        <v>1.4993885317163997</v>
      </c>
      <c r="AJ48" s="265" t="b">
        <f t="shared" si="18"/>
        <v>0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'2024'!Wh/'2024'!Env_an*'2025'!Env_an</f>
        <v>10.104375660256625</v>
      </c>
      <c r="C49" s="841"/>
      <c r="D49" s="393">
        <f t="shared" si="0"/>
        <v>10.657438418807653</v>
      </c>
      <c r="E49" s="385">
        <f t="shared" si="1"/>
        <v>10.972254233269668</v>
      </c>
      <c r="F49" s="385">
        <f t="shared" si="2"/>
        <v>10.972314800148432</v>
      </c>
      <c r="G49" s="110">
        <f t="shared" si="21"/>
        <v>0.31165920073490344</v>
      </c>
      <c r="H49" s="414" t="b">
        <f>Wh_hp&gt;='2024'!Maxi_hp</f>
        <v>0</v>
      </c>
      <c r="I49" s="390">
        <f>IF(H49,Wh_hp,'2024'!Maxi_hp)</f>
        <v>27.911356460515268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5.1894530075352163E-2</v>
      </c>
      <c r="M49" s="845"/>
      <c r="N49" s="845"/>
      <c r="O49" s="48">
        <f>IF(t&lt;Tnet,'2024'!Resal+('2024'!Salim-'2024'!Resal)*(1-EXP(('2024'!Tnet-t)/('2024'!Tau_j))),Resal+(Salim-Resal)*(1-EXP((Tnet-t)/(Tau_j))))*Salcycl</f>
        <v>2.8691990521641668E-2</v>
      </c>
      <c r="P49" s="169">
        <f>(INDEX(Models!$BJ49:$BT49,,T49)*(1-R49)+INDEX(Models!$BJ49:$BT49,,T49+1)*R49-ERP_i)*Q49*Ramure*Pc/MaxiM</f>
        <v>3.2857215351068703E-4</v>
      </c>
      <c r="Q49" s="305">
        <f t="shared" si="4"/>
        <v>0.5</v>
      </c>
      <c r="R49" s="177">
        <f t="shared" si="5"/>
        <v>0.49950099855576569</v>
      </c>
      <c r="S49" s="811">
        <f t="shared" si="6"/>
        <v>1</v>
      </c>
      <c r="T49" s="176">
        <f t="shared" si="7"/>
        <v>7</v>
      </c>
      <c r="U49" s="251">
        <f t="shared" si="8"/>
        <v>1.4995009985557657</v>
      </c>
      <c r="V49" s="383">
        <f t="shared" si="9"/>
        <v>32.410759502132507</v>
      </c>
      <c r="W49" s="402">
        <f t="shared" si="10"/>
        <v>10.104375660256625</v>
      </c>
      <c r="X49" s="157">
        <f t="shared" si="11"/>
        <v>45692</v>
      </c>
      <c r="Y49" s="385">
        <f t="shared" si="12"/>
        <v>9.5620255995633716</v>
      </c>
      <c r="Z49" s="385">
        <f t="shared" si="22"/>
        <v>10.085402840596762</v>
      </c>
      <c r="AA49" s="386">
        <f t="shared" si="13"/>
        <v>10.972254233269668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8.0826726561241069E-2</v>
      </c>
      <c r="AD49" s="231">
        <f>(INDEX(Models!$BJ49:$BT49,,AH49)*(1-AF49)+INDEX(Models!$BJ49:$BT49,,AH49+1)*AF49-ERP_i)*AE49*Ramure*Pc/MaxiM</f>
        <v>3.2857215351068703E-4</v>
      </c>
      <c r="AE49" s="305">
        <f t="shared" si="15"/>
        <v>0.5</v>
      </c>
      <c r="AF49" s="177">
        <f t="shared" si="23"/>
        <v>0.49950099855576569</v>
      </c>
      <c r="AG49" s="811">
        <f t="shared" si="24"/>
        <v>1</v>
      </c>
      <c r="AH49" s="176">
        <f t="shared" si="16"/>
        <v>7</v>
      </c>
      <c r="AI49" s="225">
        <f t="shared" si="17"/>
        <v>1.4995009985557657</v>
      </c>
      <c r="AJ49" s="265" t="b">
        <f t="shared" si="18"/>
        <v>0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'2024'!Wh/'2024'!Env_an*'2025'!Env_an</f>
        <v>9.7761583171636932</v>
      </c>
      <c r="C50" s="841"/>
      <c r="D50" s="393">
        <f t="shared" si="0"/>
        <v>10.311481955259287</v>
      </c>
      <c r="E50" s="385">
        <f t="shared" si="1"/>
        <v>10.616892333162188</v>
      </c>
      <c r="F50" s="385">
        <f t="shared" si="2"/>
        <v>10.616892333162188</v>
      </c>
      <c r="G50" s="110">
        <f t="shared" si="21"/>
        <v>0.29866020223652501</v>
      </c>
      <c r="H50" s="414" t="b">
        <f>Wh_hp&gt;='2024'!Maxi_hp</f>
        <v>0</v>
      </c>
      <c r="I50" s="390">
        <f>IF(H50,Wh_hp,'2024'!Maxi_hp)</f>
        <v>35.533389786711119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5.1915296018392065E-2</v>
      </c>
      <c r="M50" s="845"/>
      <c r="N50" s="845"/>
      <c r="O50" s="48">
        <f>IF(t&lt;Tnet,'2024'!Resal+('2024'!Salim-'2024'!Resal)*(1-EXP(('2024'!Tnet-t)/('2024'!Tau_j))),Resal+(Salim-Resal)*(1-EXP((Tnet-t)/(Tau_j))))*Salcycl</f>
        <v>2.876645710618558E-2</v>
      </c>
      <c r="P50" s="169">
        <f>(INDEX(Models!$BJ50:$BT50,,T50)*(1-R50)+INDEX(Models!$BJ50:$BT50,,T50+1)*R50-ERP_i)*Q50*Ramure*Pc/MaxiM</f>
        <v>3.1685322325048003E-4</v>
      </c>
      <c r="Q50" s="305">
        <f t="shared" si="4"/>
        <v>0.5</v>
      </c>
      <c r="R50" s="177">
        <f t="shared" si="5"/>
        <v>0.4996181295965465</v>
      </c>
      <c r="S50" s="811">
        <f t="shared" si="6"/>
        <v>1</v>
      </c>
      <c r="T50" s="176">
        <f t="shared" si="7"/>
        <v>7</v>
      </c>
      <c r="U50" s="251">
        <f t="shared" si="8"/>
        <v>1.4996181295965465</v>
      </c>
      <c r="V50" s="383">
        <f t="shared" si="9"/>
        <v>32.723009750559548</v>
      </c>
      <c r="W50" s="402">
        <f t="shared" si="10"/>
        <v>9.7761583171636932</v>
      </c>
      <c r="X50" s="157">
        <f t="shared" si="11"/>
        <v>45693</v>
      </c>
      <c r="Y50" s="385">
        <f t="shared" si="12"/>
        <v>9.2518595888209809</v>
      </c>
      <c r="Z50" s="385">
        <f t="shared" si="22"/>
        <v>9.7584736363392057</v>
      </c>
      <c r="AA50" s="386">
        <f t="shared" si="13"/>
        <v>10.616892333162188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8.0854045598794E-2</v>
      </c>
      <c r="AD50" s="231">
        <f>(INDEX(Models!$BJ50:$BT50,,AH50)*(1-AF50)+INDEX(Models!$BJ50:$BT50,,AH50+1)*AF50-ERP_i)*AE50*Ramure*Pc/MaxiM</f>
        <v>3.1685322325048003E-4</v>
      </c>
      <c r="AE50" s="305">
        <f t="shared" si="15"/>
        <v>0.5</v>
      </c>
      <c r="AF50" s="177">
        <f t="shared" si="23"/>
        <v>0.4996181295965465</v>
      </c>
      <c r="AG50" s="811">
        <f t="shared" si="24"/>
        <v>1</v>
      </c>
      <c r="AH50" s="176">
        <f t="shared" si="16"/>
        <v>7</v>
      </c>
      <c r="AI50" s="225">
        <f t="shared" si="17"/>
        <v>1.4996181295965465</v>
      </c>
      <c r="AJ50" s="265" t="b">
        <f t="shared" si="18"/>
        <v>0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'2024'!Wh/'2024'!Env_an*'2025'!Env_an</f>
        <v>22.366099618373077</v>
      </c>
      <c r="C51" s="841"/>
      <c r="D51" s="393">
        <f t="shared" si="0"/>
        <v>23.591340953138559</v>
      </c>
      <c r="E51" s="385">
        <f t="shared" si="1"/>
        <v>24.291942218547469</v>
      </c>
      <c r="F51" s="385">
        <f t="shared" si="2"/>
        <v>24.295946247819561</v>
      </c>
      <c r="G51" s="110">
        <f t="shared" si="21"/>
        <v>0.67698646500626547</v>
      </c>
      <c r="H51" s="414" t="b">
        <f>Wh_hp&gt;='2024'!Maxi_hp</f>
        <v>0</v>
      </c>
      <c r="I51" s="390">
        <f>IF(H51,Wh_hp,'2024'!Maxi_hp)</f>
        <v>37.103452774243969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5.1936061506604458E-2</v>
      </c>
      <c r="M51" s="845"/>
      <c r="N51" s="845"/>
      <c r="O51" s="48">
        <f>IF(t&lt;Tnet,'2024'!Resal+('2024'!Salim-'2024'!Resal)*(1-EXP(('2024'!Tnet-t)/('2024'!Tau_j))),Resal+(Salim-Resal)*(1-EXP((Tnet-t)/(Tau_j))))*Salcycl</f>
        <v>2.8840891317203219E-2</v>
      </c>
      <c r="P51" s="169">
        <f>(INDEX(Models!$BJ51:$BT51,,T51)*(1-R51)+INDEX(Models!$BJ51:$BT51,,T51+1)*R51-ERP_i)*Q51*Ramure*Pc/MaxiM</f>
        <v>3.0593250358057023E-4</v>
      </c>
      <c r="Q51" s="305">
        <f t="shared" si="4"/>
        <v>0.5</v>
      </c>
      <c r="R51" s="177">
        <f t="shared" si="5"/>
        <v>0.49974011592614054</v>
      </c>
      <c r="S51" s="811">
        <f t="shared" si="6"/>
        <v>1</v>
      </c>
      <c r="T51" s="176">
        <f t="shared" si="7"/>
        <v>7</v>
      </c>
      <c r="U51" s="251">
        <f t="shared" si="8"/>
        <v>1.4997401159261405</v>
      </c>
      <c r="V51" s="383">
        <f t="shared" si="9"/>
        <v>33.033071890172586</v>
      </c>
      <c r="W51" s="402">
        <f t="shared" si="10"/>
        <v>22.366099618373077</v>
      </c>
      <c r="X51" s="157">
        <f t="shared" si="11"/>
        <v>45694</v>
      </c>
      <c r="Y51" s="385">
        <f t="shared" si="12"/>
        <v>21.167589501474261</v>
      </c>
      <c r="Z51" s="385">
        <f t="shared" si="22"/>
        <v>22.327175037490068</v>
      </c>
      <c r="AA51" s="386">
        <f t="shared" si="13"/>
        <v>24.291942218547469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8.0881436460739392E-2</v>
      </c>
      <c r="AD51" s="231">
        <f>(INDEX(Models!$BJ51:$BT51,,AH51)*(1-AF51)+INDEX(Models!$BJ51:$BT51,,AH51+1)*AF51-ERP_i)*AE51*Ramure*Pc/MaxiM</f>
        <v>3.0593250358057023E-4</v>
      </c>
      <c r="AE51" s="305">
        <f t="shared" si="15"/>
        <v>0.5</v>
      </c>
      <c r="AF51" s="177">
        <f t="shared" si="23"/>
        <v>0.49974011592614054</v>
      </c>
      <c r="AG51" s="811">
        <f t="shared" si="24"/>
        <v>1</v>
      </c>
      <c r="AH51" s="176">
        <f t="shared" si="16"/>
        <v>7</v>
      </c>
      <c r="AI51" s="225">
        <f t="shared" si="17"/>
        <v>1.4997401159261405</v>
      </c>
      <c r="AJ51" s="265" t="b">
        <f t="shared" si="18"/>
        <v>0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'2024'!Wh/'2024'!Env_an*'2025'!Env_an</f>
        <v>9.5971950447401593</v>
      </c>
      <c r="C52" s="841"/>
      <c r="D52" s="393">
        <f t="shared" si="0"/>
        <v>10.123162439653472</v>
      </c>
      <c r="E52" s="385">
        <f t="shared" si="1"/>
        <v>10.424592565508863</v>
      </c>
      <c r="F52" s="385">
        <f t="shared" si="2"/>
        <v>10.424592565508863</v>
      </c>
      <c r="G52" s="110">
        <f t="shared" si="21"/>
        <v>0.28774904580599925</v>
      </c>
      <c r="H52" s="414" t="b">
        <f>Wh_hp&gt;='2024'!Maxi_hp</f>
        <v>0</v>
      </c>
      <c r="I52" s="390">
        <f>IF(H52,Wh_hp,'2024'!Maxi_hp)</f>
        <v>25.358898167859724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5.1956826539999446E-2</v>
      </c>
      <c r="M52" s="845"/>
      <c r="N52" s="845"/>
      <c r="O52" s="48">
        <f>IF(t&lt;Tnet,'2024'!Resal+('2024'!Salim-'2024'!Resal)*(1-EXP(('2024'!Tnet-t)/('2024'!Tau_j))),Resal+(Salim-Resal)*(1-EXP((Tnet-t)/(Tau_j))))*Salcycl</f>
        <v>2.8915290833783958E-2</v>
      </c>
      <c r="P52" s="169">
        <f>(INDEX(Models!$BJ52:$BT52,,T52)*(1-R52)+INDEX(Models!$BJ52:$BT52,,T52+1)*R52-ERP_i)*Q52*Ramure*Pc/MaxiM</f>
        <v>2.9648915174136235E-4</v>
      </c>
      <c r="Q52" s="305">
        <f t="shared" si="4"/>
        <v>0.5</v>
      </c>
      <c r="R52" s="177">
        <f t="shared" si="5"/>
        <v>0.49986715626104217</v>
      </c>
      <c r="S52" s="811">
        <f t="shared" si="6"/>
        <v>1</v>
      </c>
      <c r="T52" s="176">
        <f t="shared" si="7"/>
        <v>7</v>
      </c>
      <c r="U52" s="251">
        <f t="shared" si="8"/>
        <v>1.4998671562610422</v>
      </c>
      <c r="V52" s="383">
        <f t="shared" si="9"/>
        <v>33.342767666346219</v>
      </c>
      <c r="W52" s="402">
        <f t="shared" si="10"/>
        <v>9.5971950447401593</v>
      </c>
      <c r="X52" s="157">
        <f t="shared" si="11"/>
        <v>45695</v>
      </c>
      <c r="Y52" s="385">
        <f t="shared" si="12"/>
        <v>9.0833441669917363</v>
      </c>
      <c r="Z52" s="385">
        <f t="shared" si="22"/>
        <v>9.5811503328914345</v>
      </c>
      <c r="AA52" s="386">
        <f t="shared" si="13"/>
        <v>10.424592565508863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8.0908891864807167E-2</v>
      </c>
      <c r="AD52" s="231">
        <f>(INDEX(Models!$BJ52:$BT52,,AH52)*(1-AF52)+INDEX(Models!$BJ52:$BT52,,AH52+1)*AF52-ERP_i)*AE52*Ramure*Pc/MaxiM</f>
        <v>2.9648915174136235E-4</v>
      </c>
      <c r="AE52" s="305">
        <f t="shared" si="15"/>
        <v>0.5</v>
      </c>
      <c r="AF52" s="177">
        <f t="shared" si="23"/>
        <v>0.49986715626104217</v>
      </c>
      <c r="AG52" s="811">
        <f t="shared" si="24"/>
        <v>1</v>
      </c>
      <c r="AH52" s="176">
        <f t="shared" si="16"/>
        <v>7</v>
      </c>
      <c r="AI52" s="225">
        <f t="shared" si="17"/>
        <v>1.4998671562610422</v>
      </c>
      <c r="AJ52" s="265" t="b">
        <f t="shared" si="18"/>
        <v>0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'2024'!Wh/'2024'!Env_an*'2025'!Env_an</f>
        <v>33.638503490009832</v>
      </c>
      <c r="C53" s="841"/>
      <c r="D53" s="393">
        <f t="shared" si="0"/>
        <v>35.482814725551101</v>
      </c>
      <c r="E53" s="385">
        <f t="shared" si="1"/>
        <v>36.542159246076729</v>
      </c>
      <c r="F53" s="385">
        <f t="shared" si="2"/>
        <v>36.552691622421939</v>
      </c>
      <c r="G53" s="110">
        <f t="shared" si="21"/>
        <v>0.99958983980858485</v>
      </c>
      <c r="H53" s="414" t="b">
        <f>Wh_hp&gt;='2024'!Maxi_hp</f>
        <v>0</v>
      </c>
      <c r="I53" s="390">
        <f>IF(H53,Wh_hp,'2024'!Maxi_hp)</f>
        <v>36.552695320269571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5.1977591118586908E-2</v>
      </c>
      <c r="M53" s="845"/>
      <c r="N53" s="845"/>
      <c r="O53" s="48">
        <f>IF(t&lt;Tnet,'2024'!Resal+('2024'!Salim-'2024'!Resal)*(1-EXP(('2024'!Tnet-t)/('2024'!Tau_j))),Resal+(Salim-Resal)*(1-EXP((Tnet-t)/(Tau_j))))*Salcycl</f>
        <v>2.8989653112503459E-2</v>
      </c>
      <c r="P53" s="169">
        <f>(INDEX(Models!$BJ53:$BT53,,T53)*(1-R53)+INDEX(Models!$BJ53:$BT53,,T53+1)*R53-ERP_i)*Q53*Ramure*Pc/MaxiM</f>
        <v>2.8831115646375913E-4</v>
      </c>
      <c r="Q53" s="305">
        <f t="shared" si="4"/>
        <v>0.5</v>
      </c>
      <c r="R53" s="177">
        <f t="shared" si="5"/>
        <v>0.49999945723440842</v>
      </c>
      <c r="S53" s="811">
        <f t="shared" si="6"/>
        <v>1</v>
      </c>
      <c r="T53" s="176">
        <f t="shared" si="7"/>
        <v>7</v>
      </c>
      <c r="U53" s="251">
        <f t="shared" si="8"/>
        <v>1.4999994572344084</v>
      </c>
      <c r="V53" s="383">
        <f t="shared" si="9"/>
        <v>33.652300642099846</v>
      </c>
      <c r="W53" s="402">
        <f t="shared" si="10"/>
        <v>33.638503490009832</v>
      </c>
      <c r="X53" s="157">
        <f t="shared" si="11"/>
        <v>45696</v>
      </c>
      <c r="Y53" s="385">
        <f t="shared" si="12"/>
        <v>31.838923325109839</v>
      </c>
      <c r="Z53" s="385">
        <f t="shared" si="22"/>
        <v>33.584568283229821</v>
      </c>
      <c r="AA53" s="386">
        <f t="shared" si="13"/>
        <v>36.542159246076729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8.0936403974662258E-2</v>
      </c>
      <c r="AD53" s="231">
        <f>(INDEX(Models!$BJ53:$BT53,,AH53)*(1-AF53)+INDEX(Models!$BJ53:$BT53,,AH53+1)*AF53-ERP_i)*AE53*Ramure*Pc/MaxiM</f>
        <v>2.8831115646375913E-4</v>
      </c>
      <c r="AE53" s="305">
        <f t="shared" si="15"/>
        <v>0.5</v>
      </c>
      <c r="AF53" s="177">
        <f t="shared" si="23"/>
        <v>0.49999945723440842</v>
      </c>
      <c r="AG53" s="811">
        <f t="shared" si="24"/>
        <v>1</v>
      </c>
      <c r="AH53" s="176">
        <f t="shared" si="16"/>
        <v>7</v>
      </c>
      <c r="AI53" s="225">
        <f t="shared" si="17"/>
        <v>1.4999994572344084</v>
      </c>
      <c r="AJ53" s="265" t="b">
        <f t="shared" si="18"/>
        <v>0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'2024'!Wh/'2024'!Env_an*'2025'!Env_an</f>
        <v>33.859301672158594</v>
      </c>
      <c r="C54" s="841"/>
      <c r="D54" s="393">
        <f t="shared" si="0"/>
        <v>35.716500978028833</v>
      </c>
      <c r="E54" s="385">
        <f t="shared" si="1"/>
        <v>36.785637852342226</v>
      </c>
      <c r="F54" s="385">
        <f t="shared" si="2"/>
        <v>36.795946168590056</v>
      </c>
      <c r="G54" s="110">
        <f t="shared" si="21"/>
        <v>0.99697872747187588</v>
      </c>
      <c r="H54" s="414" t="b">
        <f>Wh_hp&gt;='2024'!Maxi_hp</f>
        <v>0</v>
      </c>
      <c r="I54" s="390">
        <f>IF(H54,Wh_hp,'2024'!Maxi_hp)</f>
        <v>36.795972708739512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5.1998355242376726E-2</v>
      </c>
      <c r="M54" s="845"/>
      <c r="N54" s="845"/>
      <c r="O54" s="48">
        <f>IF(t&lt;Tnet,'2024'!Resal+('2024'!Salim-'2024'!Resal)*(1-EXP(('2024'!Tnet-t)/('2024'!Tau_j))),Resal+(Salim-Resal)*(1-EXP((Tnet-t)/(Tau_j))))*Salcycl</f>
        <v>2.9063975419018652E-2</v>
      </c>
      <c r="P54" s="169">
        <f>(INDEX(Models!$BJ54:$BT54,,T54)*(1-R54)+INDEX(Models!$BJ54:$BT54,,T54+1)*R54-ERP_i)*Q54*Ramure*Pc/MaxiM</f>
        <v>2.8136205121274732E-4</v>
      </c>
      <c r="Q54" s="305">
        <f t="shared" si="4"/>
        <v>0.5</v>
      </c>
      <c r="R54" s="177">
        <f t="shared" si="5"/>
        <v>0.50013723369299945</v>
      </c>
      <c r="S54" s="811">
        <f t="shared" si="6"/>
        <v>1</v>
      </c>
      <c r="T54" s="176">
        <f t="shared" si="7"/>
        <v>7</v>
      </c>
      <c r="U54" s="251">
        <f t="shared" si="8"/>
        <v>1.5001372336929994</v>
      </c>
      <c r="V54" s="383">
        <f t="shared" si="9"/>
        <v>33.96186861945823</v>
      </c>
      <c r="W54" s="402">
        <f t="shared" si="10"/>
        <v>33.859301672158594</v>
      </c>
      <c r="X54" s="157">
        <f t="shared" si="11"/>
        <v>45697</v>
      </c>
      <c r="Y54" s="385">
        <f t="shared" si="12"/>
        <v>32.049401387921861</v>
      </c>
      <c r="Z54" s="385">
        <f t="shared" si="22"/>
        <v>33.807326775383359</v>
      </c>
      <c r="AA54" s="386">
        <f t="shared" si="13"/>
        <v>36.785637852342226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8.0963964493801319E-2</v>
      </c>
      <c r="AD54" s="231">
        <f>(INDEX(Models!$BJ54:$BT54,,AH54)*(1-AF54)+INDEX(Models!$BJ54:$BT54,,AH54+1)*AF54-ERP_i)*AE54*Ramure*Pc/MaxiM</f>
        <v>2.8136205121274732E-4</v>
      </c>
      <c r="AE54" s="305">
        <f t="shared" si="15"/>
        <v>0.5</v>
      </c>
      <c r="AF54" s="177">
        <f t="shared" si="23"/>
        <v>0.50013723369299945</v>
      </c>
      <c r="AG54" s="811">
        <f t="shared" si="24"/>
        <v>1</v>
      </c>
      <c r="AH54" s="176">
        <f t="shared" si="16"/>
        <v>7</v>
      </c>
      <c r="AI54" s="225">
        <f t="shared" si="17"/>
        <v>1.5001372336929994</v>
      </c>
      <c r="AJ54" s="265" t="b">
        <f t="shared" si="18"/>
        <v>0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'2024'!Wh/'2024'!Env_an*'2025'!Env_an</f>
        <v>31.476007550661265</v>
      </c>
      <c r="C55" s="841"/>
      <c r="D55" s="393">
        <f t="shared" si="0"/>
        <v>33.20320924037577</v>
      </c>
      <c r="E55" s="385">
        <f t="shared" si="1"/>
        <v>34.19972968004825</v>
      </c>
      <c r="F55" s="385">
        <f t="shared" si="2"/>
        <v>34.208058980772279</v>
      </c>
      <c r="G55" s="110">
        <f t="shared" si="21"/>
        <v>0.91839694390135473</v>
      </c>
      <c r="H55" s="414" t="b">
        <f>Wh_hp&gt;='2024'!Maxi_hp</f>
        <v>0</v>
      </c>
      <c r="I55" s="390">
        <f>IF(H55,Wh_hp,'2024'!Maxi_hp)</f>
        <v>34.208705851140202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5.2019118911379003E-2</v>
      </c>
      <c r="M55" s="845"/>
      <c r="N55" s="845"/>
      <c r="O55" s="48">
        <f>IF(t&lt;Tnet,'2024'!Resal+('2024'!Salim-'2024'!Resal)*(1-EXP(('2024'!Tnet-t)/('2024'!Tau_j))),Resal+(Salim-Resal)*(1-EXP((Tnet-t)/(Tau_j))))*Salcycl</f>
        <v>2.9138254863278631E-2</v>
      </c>
      <c r="P55" s="169">
        <f>(INDEX(Models!$BJ55:$BT55,,T55)*(1-R55)+INDEX(Models!$BJ55:$BT55,,T55+1)*R55-ERP_i)*Q55*Ramure*Pc/MaxiM</f>
        <v>2.7560690552519028E-4</v>
      </c>
      <c r="Q55" s="305">
        <f t="shared" si="4"/>
        <v>0.5</v>
      </c>
      <c r="R55" s="177">
        <f t="shared" si="5"/>
        <v>0.50028070900366206</v>
      </c>
      <c r="S55" s="811">
        <f t="shared" si="6"/>
        <v>1</v>
      </c>
      <c r="T55" s="176">
        <f t="shared" si="7"/>
        <v>7</v>
      </c>
      <c r="U55" s="251">
        <f t="shared" si="8"/>
        <v>1.5002807090036621</v>
      </c>
      <c r="V55" s="383">
        <f t="shared" si="9"/>
        <v>34.271669329373587</v>
      </c>
      <c r="W55" s="402">
        <f t="shared" si="10"/>
        <v>31.476007550661265</v>
      </c>
      <c r="X55" s="157">
        <f t="shared" si="11"/>
        <v>45698</v>
      </c>
      <c r="Y55" s="385">
        <f t="shared" si="12"/>
        <v>29.794887471236279</v>
      </c>
      <c r="Z55" s="385">
        <f t="shared" si="22"/>
        <v>31.429840058610775</v>
      </c>
      <c r="AA55" s="386">
        <f t="shared" si="13"/>
        <v>34.19972968004825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8.0991564768226817E-2</v>
      </c>
      <c r="AD55" s="231">
        <f>(INDEX(Models!$BJ55:$BT55,,AH55)*(1-AF55)+INDEX(Models!$BJ55:$BT55,,AH55+1)*AF55-ERP_i)*AE55*Ramure*Pc/MaxiM</f>
        <v>2.7560690552519028E-4</v>
      </c>
      <c r="AE55" s="305">
        <f t="shared" si="15"/>
        <v>0.5</v>
      </c>
      <c r="AF55" s="177">
        <f t="shared" si="23"/>
        <v>0.50028070900366206</v>
      </c>
      <c r="AG55" s="811">
        <f t="shared" si="24"/>
        <v>1</v>
      </c>
      <c r="AH55" s="176">
        <f t="shared" si="16"/>
        <v>7</v>
      </c>
      <c r="AI55" s="225">
        <f t="shared" si="17"/>
        <v>1.5002807090036621</v>
      </c>
      <c r="AJ55" s="265" t="b">
        <f t="shared" si="18"/>
        <v>0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'2024'!Wh/'2024'!Env_an*'2025'!Env_an</f>
        <v>17.570964498538007</v>
      </c>
      <c r="C56" s="841"/>
      <c r="D56" s="393">
        <f t="shared" si="0"/>
        <v>18.535552463891886</v>
      </c>
      <c r="E56" s="385">
        <f t="shared" si="1"/>
        <v>19.093315728863402</v>
      </c>
      <c r="F56" s="385">
        <f t="shared" si="2"/>
        <v>19.094854142906989</v>
      </c>
      <c r="G56" s="110">
        <f t="shared" si="21"/>
        <v>0.50800036155309569</v>
      </c>
      <c r="H56" s="414" t="b">
        <f>Wh_hp&gt;='2024'!Maxi_hp</f>
        <v>0</v>
      </c>
      <c r="I56" s="390">
        <f>IF(H56,Wh_hp,'2024'!Maxi_hp)</f>
        <v>30.625815125737557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5.2039882125603731E-2</v>
      </c>
      <c r="M56" s="845"/>
      <c r="N56" s="845"/>
      <c r="O56" s="48">
        <f>IF(t&lt;Tnet,'2024'!Resal+('2024'!Salim-'2024'!Resal)*(1-EXP(('2024'!Tnet-t)/('2024'!Tau_j))),Resal+(Salim-Resal)*(1-EXP((Tnet-t)/(Tau_j))))*Salcycl</f>
        <v>2.9212488437948148E-2</v>
      </c>
      <c r="P56" s="169">
        <f>(INDEX(Models!$BJ56:$BT56,,T56)*(1-R56)+INDEX(Models!$BJ56:$BT56,,T56+1)*R56-ERP_i)*Q56*Ramure*Pc/MaxiM</f>
        <v>2.710121935646186E-4</v>
      </c>
      <c r="Q56" s="305">
        <f t="shared" si="4"/>
        <v>0.5</v>
      </c>
      <c r="R56" s="177">
        <f t="shared" si="5"/>
        <v>0.5004301153695232</v>
      </c>
      <c r="S56" s="811">
        <f t="shared" si="6"/>
        <v>1</v>
      </c>
      <c r="T56" s="176">
        <f t="shared" si="7"/>
        <v>7</v>
      </c>
      <c r="U56" s="251">
        <f t="shared" si="8"/>
        <v>1.5004301153695232</v>
      </c>
      <c r="V56" s="383">
        <f t="shared" si="9"/>
        <v>34.581900431105595</v>
      </c>
      <c r="W56" s="402">
        <f t="shared" si="10"/>
        <v>17.570964498538007</v>
      </c>
      <c r="X56" s="157">
        <f t="shared" si="11"/>
        <v>45699</v>
      </c>
      <c r="Y56" s="385">
        <f t="shared" si="12"/>
        <v>16.633278540795988</v>
      </c>
      <c r="Z56" s="385">
        <f t="shared" si="22"/>
        <v>17.546390641509962</v>
      </c>
      <c r="AA56" s="386">
        <f t="shared" si="13"/>
        <v>19.093315728863402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8.1019195896653531E-2</v>
      </c>
      <c r="AD56" s="231">
        <f>(INDEX(Models!$BJ56:$BT56,,AH56)*(1-AF56)+INDEX(Models!$BJ56:$BT56,,AH56+1)*AF56-ERP_i)*AE56*Ramure*Pc/MaxiM</f>
        <v>2.710121935646186E-4</v>
      </c>
      <c r="AE56" s="305">
        <f t="shared" si="15"/>
        <v>0.5</v>
      </c>
      <c r="AF56" s="177">
        <f t="shared" si="23"/>
        <v>0.5004301153695232</v>
      </c>
      <c r="AG56" s="811">
        <f t="shared" si="24"/>
        <v>1</v>
      </c>
      <c r="AH56" s="176">
        <f t="shared" si="16"/>
        <v>7</v>
      </c>
      <c r="AI56" s="225">
        <f t="shared" si="17"/>
        <v>1.5004301153695232</v>
      </c>
      <c r="AJ56" s="265" t="b">
        <f t="shared" si="18"/>
        <v>0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'2024'!Wh/'2024'!Env_an*'2025'!Env_an</f>
        <v>26.694527369482458</v>
      </c>
      <c r="C57" s="841"/>
      <c r="D57" s="393">
        <f t="shared" si="0"/>
        <v>28.160585617046884</v>
      </c>
      <c r="E57" s="385">
        <f t="shared" si="1"/>
        <v>29.01019779527175</v>
      </c>
      <c r="F57" s="385">
        <f t="shared" si="2"/>
        <v>29.015355098393417</v>
      </c>
      <c r="G57" s="110">
        <f t="shared" si="21"/>
        <v>0.7649761756530068</v>
      </c>
      <c r="H57" s="414" t="b">
        <f>Wh_hp&gt;='2024'!Maxi_hp</f>
        <v>0</v>
      </c>
      <c r="I57" s="390">
        <f>IF(H57,Wh_hp,'2024'!Maxi_hp)</f>
        <v>38.463815462769276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5.2060644885060681E-2</v>
      </c>
      <c r="M57" s="845"/>
      <c r="N57" s="845"/>
      <c r="O57" s="48">
        <f>IF(t&lt;Tnet,'2024'!Resal+('2024'!Salim-'2024'!Resal)*(1-EXP(('2024'!Tnet-t)/('2024'!Tau_j))),Resal+(Salim-Resal)*(1-EXP((Tnet-t)/(Tau_j))))*Salcycl</f>
        <v>2.9286673059614257E-2</v>
      </c>
      <c r="P57" s="169">
        <f>(INDEX(Models!$BJ57:$BT57,,T57)*(1-R57)+INDEX(Models!$BJ57:$BT57,,T57+1)*R57-ERP_i)*Q57*Ramure*Pc/MaxiM</f>
        <v>2.6754567273936704E-4</v>
      </c>
      <c r="Q57" s="305">
        <f t="shared" si="4"/>
        <v>0.5</v>
      </c>
      <c r="R57" s="177">
        <f t="shared" si="5"/>
        <v>0.50058569415604603</v>
      </c>
      <c r="S57" s="811">
        <f t="shared" si="6"/>
        <v>1</v>
      </c>
      <c r="T57" s="176">
        <f t="shared" si="7"/>
        <v>7</v>
      </c>
      <c r="U57" s="251">
        <f t="shared" si="8"/>
        <v>1.500585694156046</v>
      </c>
      <c r="V57" s="383">
        <f t="shared" si="9"/>
        <v>34.892759510239287</v>
      </c>
      <c r="W57" s="402">
        <f t="shared" si="10"/>
        <v>26.694527369482458</v>
      </c>
      <c r="X57" s="157">
        <f t="shared" si="11"/>
        <v>45700</v>
      </c>
      <c r="Y57" s="385">
        <f t="shared" si="12"/>
        <v>25.271127287442489</v>
      </c>
      <c r="Z57" s="385">
        <f t="shared" si="22"/>
        <v>26.659012679538261</v>
      </c>
      <c r="AA57" s="386">
        <f t="shared" si="13"/>
        <v>29.01019779527175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8.1046848846949279E-2</v>
      </c>
      <c r="AD57" s="231">
        <f>(INDEX(Models!$BJ57:$BT57,,AH57)*(1-AF57)+INDEX(Models!$BJ57:$BT57,,AH57+1)*AF57-ERP_i)*AE57*Ramure*Pc/MaxiM</f>
        <v>2.6754567273936704E-4</v>
      </c>
      <c r="AE57" s="305">
        <f t="shared" si="15"/>
        <v>0.5</v>
      </c>
      <c r="AF57" s="177">
        <f t="shared" si="23"/>
        <v>0.50058569415604603</v>
      </c>
      <c r="AG57" s="811">
        <f t="shared" si="24"/>
        <v>1</v>
      </c>
      <c r="AH57" s="176">
        <f t="shared" si="16"/>
        <v>7</v>
      </c>
      <c r="AI57" s="225">
        <f t="shared" si="17"/>
        <v>1.500585694156046</v>
      </c>
      <c r="AJ57" s="265" t="b">
        <f t="shared" si="18"/>
        <v>0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'2024'!Wh/'2024'!Env_an*'2025'!Env_an</f>
        <v>31.555305489114012</v>
      </c>
      <c r="C58" s="841"/>
      <c r="D58" s="393">
        <f t="shared" si="0"/>
        <v>33.28904584049122</v>
      </c>
      <c r="E58" s="385">
        <f t="shared" si="1"/>
        <v>34.296004151667788</v>
      </c>
      <c r="F58" s="385">
        <f t="shared" si="2"/>
        <v>34.303787526536766</v>
      </c>
      <c r="G58" s="110">
        <f t="shared" si="21"/>
        <v>0.89631005629987248</v>
      </c>
      <c r="H58" s="414" t="b">
        <f>Wh_hp&gt;='2024'!Maxi_hp</f>
        <v>0</v>
      </c>
      <c r="I58" s="390">
        <f>IF(H58,Wh_hp,'2024'!Maxi_hp)</f>
        <v>39.79279391744533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5.2081407189759843E-2</v>
      </c>
      <c r="M58" s="845"/>
      <c r="N58" s="845"/>
      <c r="O58" s="48">
        <f>IF(t&lt;Tnet,'2024'!Resal+('2024'!Salim-'2024'!Resal)*(1-EXP(('2024'!Tnet-t)/('2024'!Tau_j))),Resal+(Salim-Resal)*(1-EXP((Tnet-t)/(Tau_j))))*Salcycl</f>
        <v>2.9360805612323827E-2</v>
      </c>
      <c r="P58" s="169">
        <f>(INDEX(Models!$BJ58:$BT58,,T58)*(1-R58)+INDEX(Models!$BJ58:$BT58,,T58+1)*R58-ERP_i)*Q58*Ramure*Pc/MaxiM</f>
        <v>2.6633364321079317E-4</v>
      </c>
      <c r="Q58" s="305">
        <f t="shared" si="4"/>
        <v>0.5</v>
      </c>
      <c r="R58" s="177">
        <f t="shared" si="5"/>
        <v>0.50074769622708515</v>
      </c>
      <c r="S58" s="811">
        <f t="shared" si="6"/>
        <v>1</v>
      </c>
      <c r="T58" s="176">
        <f t="shared" si="7"/>
        <v>7</v>
      </c>
      <c r="U58" s="251">
        <f t="shared" si="8"/>
        <v>1.5007476962270851</v>
      </c>
      <c r="V58" s="383">
        <f t="shared" si="9"/>
        <v>35.204403322377971</v>
      </c>
      <c r="W58" s="402">
        <f t="shared" si="10"/>
        <v>31.555305489114012</v>
      </c>
      <c r="X58" s="157">
        <f t="shared" si="11"/>
        <v>45701</v>
      </c>
      <c r="Y58" s="385">
        <f t="shared" si="12"/>
        <v>29.874102119410907</v>
      </c>
      <c r="Z58" s="385">
        <f t="shared" si="22"/>
        <v>31.515472263124263</v>
      </c>
      <c r="AA58" s="386">
        <f t="shared" si="13"/>
        <v>34.296004151667788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8.1074514577474666E-2</v>
      </c>
      <c r="AD58" s="231">
        <f>(INDEX(Models!$BJ58:$BT58,,AH58)*(1-AF58)+INDEX(Models!$BJ58:$BT58,,AH58+1)*AF58-ERP_i)*AE58*Ramure*Pc/MaxiM</f>
        <v>2.6633364321079317E-4</v>
      </c>
      <c r="AE58" s="305">
        <f t="shared" si="15"/>
        <v>0.5</v>
      </c>
      <c r="AF58" s="177">
        <f t="shared" si="23"/>
        <v>0.50074769622708515</v>
      </c>
      <c r="AG58" s="811">
        <f t="shared" si="24"/>
        <v>1</v>
      </c>
      <c r="AH58" s="176">
        <f t="shared" si="16"/>
        <v>7</v>
      </c>
      <c r="AI58" s="225">
        <f t="shared" si="17"/>
        <v>1.5007476962270851</v>
      </c>
      <c r="AJ58" s="265" t="b">
        <f t="shared" si="18"/>
        <v>0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'2024'!Wh/'2024'!Env_an*'2025'!Env_an</f>
        <v>15.454744291272096</v>
      </c>
      <c r="C59" s="841"/>
      <c r="D59" s="393">
        <f t="shared" si="0"/>
        <v>16.304230040926804</v>
      </c>
      <c r="E59" s="385">
        <f t="shared" si="1"/>
        <v>16.798697743439426</v>
      </c>
      <c r="F59" s="385">
        <f t="shared" si="2"/>
        <v>16.799563547243984</v>
      </c>
      <c r="G59" s="110">
        <f t="shared" si="21"/>
        <v>0.43504227761393466</v>
      </c>
      <c r="H59" s="414" t="b">
        <f>Wh_hp&gt;='2024'!Maxi_hp</f>
        <v>0</v>
      </c>
      <c r="I59" s="390">
        <f>IF(H59,Wh_hp,'2024'!Maxi_hp)</f>
        <v>40.073233720515397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5.2102169039711321E-2</v>
      </c>
      <c r="M59" s="845"/>
      <c r="N59" s="845"/>
      <c r="O59" s="48">
        <f>IF(t&lt;Tnet,'2024'!Resal+('2024'!Salim-'2024'!Resal)*(1-EXP(('2024'!Tnet-t)/('2024'!Tau_j))),Resal+(Salim-Resal)*(1-EXP((Tnet-t)/(Tau_j))))*Salcycl</f>
        <v>2.9434882992982712E-2</v>
      </c>
      <c r="P59" s="169">
        <f>(INDEX(Models!$BJ59:$BT59,,T59)*(1-R59)+INDEX(Models!$BJ59:$BT59,,T59+1)*R59-ERP_i)*Q59*Ramure*Pc/MaxiM</f>
        <v>2.6696135811802587E-4</v>
      </c>
      <c r="Q59" s="305">
        <f t="shared" si="4"/>
        <v>0.5</v>
      </c>
      <c r="R59" s="177">
        <f t="shared" si="5"/>
        <v>0.50091638229106694</v>
      </c>
      <c r="S59" s="811">
        <f t="shared" si="6"/>
        <v>1</v>
      </c>
      <c r="T59" s="176">
        <f t="shared" si="7"/>
        <v>7</v>
      </c>
      <c r="U59" s="251">
        <f t="shared" si="8"/>
        <v>1.5009163822910669</v>
      </c>
      <c r="V59" s="383">
        <f t="shared" si="9"/>
        <v>35.517041884706124</v>
      </c>
      <c r="W59" s="402">
        <f t="shared" si="10"/>
        <v>15.454744291272096</v>
      </c>
      <c r="X59" s="157">
        <f t="shared" si="11"/>
        <v>45702</v>
      </c>
      <c r="Y59" s="385">
        <f t="shared" si="12"/>
        <v>14.632022648185316</v>
      </c>
      <c r="Z59" s="385">
        <f t="shared" si="22"/>
        <v>15.436286665369858</v>
      </c>
      <c r="AA59" s="386">
        <f t="shared" si="13"/>
        <v>16.798697743439426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8.1102184161962507E-2</v>
      </c>
      <c r="AD59" s="231">
        <f>(INDEX(Models!$BJ59:$BT59,,AH59)*(1-AF59)+INDEX(Models!$BJ59:$BT59,,AH59+1)*AF59-ERP_i)*AE59*Ramure*Pc/MaxiM</f>
        <v>2.6696135811802587E-4</v>
      </c>
      <c r="AE59" s="305">
        <f t="shared" si="15"/>
        <v>0.5</v>
      </c>
      <c r="AF59" s="177">
        <f t="shared" si="23"/>
        <v>0.50091638229106694</v>
      </c>
      <c r="AG59" s="811">
        <f t="shared" si="24"/>
        <v>1</v>
      </c>
      <c r="AH59" s="176">
        <f t="shared" si="16"/>
        <v>7</v>
      </c>
      <c r="AI59" s="225">
        <f t="shared" si="17"/>
        <v>1.5009163822910669</v>
      </c>
      <c r="AJ59" s="265" t="b">
        <f t="shared" si="18"/>
        <v>0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'2024'!Wh/'2024'!Env_an*'2025'!Env_an</f>
        <v>19.430469089665433</v>
      </c>
      <c r="C60" s="841"/>
      <c r="D60" s="393">
        <f t="shared" si="0"/>
        <v>20.498933578571464</v>
      </c>
      <c r="E60" s="385">
        <f t="shared" si="1"/>
        <v>21.122227317855984</v>
      </c>
      <c r="F60" s="385">
        <f t="shared" si="2"/>
        <v>21.124196881078216</v>
      </c>
      <c r="G60" s="110">
        <f t="shared" si="21"/>
        <v>0.54218736143758273</v>
      </c>
      <c r="H60" s="414" t="b">
        <f>Wh_hp&gt;='2024'!Maxi_hp</f>
        <v>0</v>
      </c>
      <c r="I60" s="390">
        <f>IF(H60,Wh_hp,'2024'!Maxi_hp)</f>
        <v>40.326165520091415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5.2122930434925108E-2</v>
      </c>
      <c r="M60" s="845"/>
      <c r="N60" s="845"/>
      <c r="O60" s="48">
        <f>IF(t&lt;Tnet,'2024'!Resal+('2024'!Salim-'2024'!Resal)*(1-EXP(('2024'!Tnet-t)/('2024'!Tau_j))),Resal+(Salim-Resal)*(1-EXP((Tnet-t)/(Tau_j))))*Salcycl</f>
        <v>2.9508902158135952E-2</v>
      </c>
      <c r="P60" s="169">
        <f>(INDEX(Models!$BJ60:$BT60,,T60)*(1-R60)+INDEX(Models!$BJ60:$BT60,,T60+1)*R60-ERP_i)*Q60*Ramure*Pc/MaxiM</f>
        <v>2.6937979323633272E-4</v>
      </c>
      <c r="Q60" s="305">
        <f t="shared" si="4"/>
        <v>0.5</v>
      </c>
      <c r="R60" s="177">
        <f t="shared" si="5"/>
        <v>0.50109202325739743</v>
      </c>
      <c r="S60" s="811">
        <f t="shared" si="6"/>
        <v>1</v>
      </c>
      <c r="T60" s="176">
        <f t="shared" si="7"/>
        <v>7</v>
      </c>
      <c r="U60" s="251">
        <f t="shared" si="8"/>
        <v>1.5010920232573974</v>
      </c>
      <c r="V60" s="383">
        <f t="shared" si="9"/>
        <v>35.830872538004499</v>
      </c>
      <c r="W60" s="402">
        <f t="shared" si="10"/>
        <v>19.430469089665433</v>
      </c>
      <c r="X60" s="157">
        <f t="shared" si="11"/>
        <v>45703</v>
      </c>
      <c r="Y60" s="385">
        <f t="shared" si="12"/>
        <v>18.396951922326654</v>
      </c>
      <c r="Z60" s="385">
        <f t="shared" si="22"/>
        <v>19.408584206776872</v>
      </c>
      <c r="AA60" s="386">
        <f t="shared" si="13"/>
        <v>21.122227317855984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8.1129848916570435E-2</v>
      </c>
      <c r="AD60" s="231">
        <f>(INDEX(Models!$BJ60:$BT60,,AH60)*(1-AF60)+INDEX(Models!$BJ60:$BT60,,AH60+1)*AF60-ERP_i)*AE60*Ramure*Pc/MaxiM</f>
        <v>2.6937979323633272E-4</v>
      </c>
      <c r="AE60" s="305">
        <f t="shared" si="15"/>
        <v>0.5</v>
      </c>
      <c r="AF60" s="177">
        <f t="shared" si="23"/>
        <v>0.50109202325739743</v>
      </c>
      <c r="AG60" s="811">
        <f t="shared" si="24"/>
        <v>1</v>
      </c>
      <c r="AH60" s="176">
        <f t="shared" si="16"/>
        <v>7</v>
      </c>
      <c r="AI60" s="225">
        <f t="shared" si="17"/>
        <v>1.5010920232573974</v>
      </c>
      <c r="AJ60" s="265" t="b">
        <f t="shared" si="18"/>
        <v>0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'2024'!Wh/'2024'!Env_an*'2025'!Env_an</f>
        <v>10.178281664505105</v>
      </c>
      <c r="C61" s="841"/>
      <c r="D61" s="393">
        <f t="shared" si="0"/>
        <v>10.738211659185513</v>
      </c>
      <c r="E61" s="385">
        <f t="shared" si="1"/>
        <v>11.065562651835295</v>
      </c>
      <c r="F61" s="385">
        <f t="shared" si="2"/>
        <v>11.065562651835295</v>
      </c>
      <c r="G61" s="110">
        <f t="shared" si="21"/>
        <v>0.28151030355849077</v>
      </c>
      <c r="H61" s="414" t="b">
        <f>Wh_hp&gt;='2024'!Maxi_hp</f>
        <v>0</v>
      </c>
      <c r="I61" s="390">
        <f>IF(H61,Wh_hp,'2024'!Maxi_hp)</f>
        <v>40.772992464506032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5.2143691375410861E-2</v>
      </c>
      <c r="M61" s="845"/>
      <c r="N61" s="845"/>
      <c r="O61" s="48">
        <f>IF(t&lt;Tnet,'2024'!Resal+('2024'!Salim-'2024'!Resal)*(1-EXP(('2024'!Tnet-t)/('2024'!Tau_j))),Resal+(Salim-Resal)*(1-EXP((Tnet-t)/(Tau_j))))*Salcycl</f>
        <v>2.9582860171641519E-2</v>
      </c>
      <c r="P61" s="169">
        <f>(INDEX(Models!$BJ61:$BT61,,T61)*(1-R61)+INDEX(Models!$BJ61:$BT61,,T61+1)*R61-ERP_i)*Q61*Ramure*Pc/MaxiM</f>
        <v>2.7354136353427124E-4</v>
      </c>
      <c r="Q61" s="305">
        <f t="shared" si="4"/>
        <v>0.5</v>
      </c>
      <c r="R61" s="177">
        <f t="shared" si="5"/>
        <v>0.50127490060318536</v>
      </c>
      <c r="S61" s="811">
        <f t="shared" si="6"/>
        <v>1</v>
      </c>
      <c r="T61" s="176">
        <f t="shared" si="7"/>
        <v>7</v>
      </c>
      <c r="U61" s="251">
        <f t="shared" si="8"/>
        <v>1.5012749006031854</v>
      </c>
      <c r="V61" s="383">
        <f t="shared" si="9"/>
        <v>36.146092540253846</v>
      </c>
      <c r="W61" s="402">
        <f t="shared" si="10"/>
        <v>10.178281664505105</v>
      </c>
      <c r="X61" s="157">
        <f t="shared" si="11"/>
        <v>45704</v>
      </c>
      <c r="Y61" s="385">
        <f t="shared" si="12"/>
        <v>9.6373377809471279</v>
      </c>
      <c r="Z61" s="385">
        <f t="shared" si="22"/>
        <v>10.167509245079174</v>
      </c>
      <c r="AA61" s="386">
        <f t="shared" si="13"/>
        <v>11.065562651835295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8.1157500527745244E-2</v>
      </c>
      <c r="AD61" s="231">
        <f>(INDEX(Models!$BJ61:$BT61,,AH61)*(1-AF61)+INDEX(Models!$BJ61:$BT61,,AH61+1)*AF61-ERP_i)*AE61*Ramure*Pc/MaxiM</f>
        <v>2.7354136353427124E-4</v>
      </c>
      <c r="AE61" s="305">
        <f t="shared" si="15"/>
        <v>0.5</v>
      </c>
      <c r="AF61" s="177">
        <f t="shared" si="23"/>
        <v>0.50127490060318536</v>
      </c>
      <c r="AG61" s="811">
        <f t="shared" si="24"/>
        <v>1</v>
      </c>
      <c r="AH61" s="176">
        <f t="shared" si="16"/>
        <v>7</v>
      </c>
      <c r="AI61" s="225">
        <f t="shared" si="17"/>
        <v>1.5012749006031854</v>
      </c>
      <c r="AJ61" s="265" t="b">
        <f t="shared" si="18"/>
        <v>0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'2024'!Wh/'2024'!Env_an*'2025'!Env_an</f>
        <v>11.01169469110023</v>
      </c>
      <c r="C62" s="841"/>
      <c r="D62" s="393">
        <f t="shared" si="0"/>
        <v>11.617727054785925</v>
      </c>
      <c r="E62" s="385">
        <f t="shared" si="1"/>
        <v>11.972801486178469</v>
      </c>
      <c r="F62" s="385">
        <f t="shared" si="2"/>
        <v>11.972811030680891</v>
      </c>
      <c r="G62" s="110">
        <f t="shared" si="21"/>
        <v>0.30191309752661472</v>
      </c>
      <c r="H62" s="414" t="b">
        <f>Wh_hp&gt;='2024'!Maxi_hp</f>
        <v>0</v>
      </c>
      <c r="I62" s="390">
        <f>IF(H62,Wh_hp,'2024'!Maxi_hp)</f>
        <v>41.216821259374889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5.2164451861178907E-2</v>
      </c>
      <c r="M62" s="845"/>
      <c r="N62" s="845"/>
      <c r="O62" s="48">
        <f>IF(t&lt;Tnet,'2024'!Resal+('2024'!Salim-'2024'!Resal)*(1-EXP(('2024'!Tnet-t)/('2024'!Tau_j))),Resal+(Salim-Resal)*(1-EXP((Tnet-t)/(Tau_j))))*Salcycl</f>
        <v>2.96567542527491E-2</v>
      </c>
      <c r="P62" s="169">
        <f>(INDEX(Models!$BJ62:$BT62,,T62)*(1-R62)+INDEX(Models!$BJ62:$BT62,,T62+1)*R62-ERP_i)*Q62*Ramure*Pc/MaxiM</f>
        <v>2.7939979130863418E-4</v>
      </c>
      <c r="Q62" s="305">
        <f t="shared" si="4"/>
        <v>0.5</v>
      </c>
      <c r="R62" s="177">
        <f t="shared" si="5"/>
        <v>0.50146530675034184</v>
      </c>
      <c r="S62" s="811">
        <f t="shared" si="6"/>
        <v>1</v>
      </c>
      <c r="T62" s="176">
        <f t="shared" si="7"/>
        <v>7</v>
      </c>
      <c r="U62" s="251">
        <f t="shared" si="8"/>
        <v>1.5014653067503418</v>
      </c>
      <c r="V62" s="383">
        <f t="shared" si="9"/>
        <v>36.462899065860526</v>
      </c>
      <c r="W62" s="402">
        <f t="shared" si="10"/>
        <v>11.01169469110023</v>
      </c>
      <c r="X62" s="157">
        <f t="shared" si="11"/>
        <v>45705</v>
      </c>
      <c r="Y62" s="385">
        <f t="shared" si="12"/>
        <v>10.426937949470107</v>
      </c>
      <c r="Z62" s="385">
        <f t="shared" si="22"/>
        <v>11.000788026936256</v>
      </c>
      <c r="AA62" s="386">
        <f t="shared" si="13"/>
        <v>11.972801486178469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8.1185131179558612E-2</v>
      </c>
      <c r="AD62" s="231">
        <f>(INDEX(Models!$BJ62:$BT62,,AH62)*(1-AF62)+INDEX(Models!$BJ62:$BT62,,AH62+1)*AF62-ERP_i)*AE62*Ramure*Pc/MaxiM</f>
        <v>2.7939979130863418E-4</v>
      </c>
      <c r="AE62" s="305">
        <f t="shared" si="15"/>
        <v>0.5</v>
      </c>
      <c r="AF62" s="177">
        <f t="shared" si="23"/>
        <v>0.50146530675034184</v>
      </c>
      <c r="AG62" s="811">
        <f t="shared" si="24"/>
        <v>1</v>
      </c>
      <c r="AH62" s="176">
        <f t="shared" si="16"/>
        <v>7</v>
      </c>
      <c r="AI62" s="225">
        <f t="shared" si="17"/>
        <v>1.5014653067503418</v>
      </c>
      <c r="AJ62" s="265" t="b">
        <f t="shared" si="18"/>
        <v>0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'2024'!Wh/'2024'!Env_an*'2025'!Env_an</f>
        <v>28.0420942269139</v>
      </c>
      <c r="C63" s="841"/>
      <c r="D63" s="393">
        <f t="shared" si="0"/>
        <v>29.586048433468495</v>
      </c>
      <c r="E63" s="385">
        <f t="shared" si="1"/>
        <v>30.492611515150145</v>
      </c>
      <c r="F63" s="385">
        <f t="shared" si="2"/>
        <v>30.4983916703783</v>
      </c>
      <c r="G63" s="110">
        <f t="shared" si="21"/>
        <v>0.76232266257831582</v>
      </c>
      <c r="H63" s="414" t="b">
        <f>Wh_hp&gt;='2024'!Maxi_hp</f>
        <v>0</v>
      </c>
      <c r="I63" s="390">
        <f>IF(H63,Wh_hp,'2024'!Maxi_hp)</f>
        <v>40.739227562492772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5.2185211892238903E-2</v>
      </c>
      <c r="M63" s="845"/>
      <c r="N63" s="845"/>
      <c r="O63" s="48">
        <f>IF(t&lt;Tnet,'2024'!Resal+('2024'!Salim-'2024'!Resal)*(1-EXP(('2024'!Tnet-t)/('2024'!Tau_j))),Resal+(Salim-Resal)*(1-EXP((Tnet-t)/(Tau_j))))*Salcycl</f>
        <v>2.9730581824099534E-2</v>
      </c>
      <c r="P63" s="169">
        <f>(INDEX(Models!$BJ63:$BT63,,T63)*(1-R63)+INDEX(Models!$BJ63:$BT63,,T63+1)*R63-ERP_i)*Q63*Ramure*Pc/MaxiM</f>
        <v>2.8690998839580087E-4</v>
      </c>
      <c r="Q63" s="305">
        <f t="shared" si="4"/>
        <v>0.5</v>
      </c>
      <c r="R63" s="177">
        <f t="shared" si="5"/>
        <v>0.50166354545309</v>
      </c>
      <c r="S63" s="811">
        <f t="shared" si="6"/>
        <v>1</v>
      </c>
      <c r="T63" s="176">
        <f t="shared" si="7"/>
        <v>7</v>
      </c>
      <c r="U63" s="251">
        <f t="shared" si="8"/>
        <v>1.50166354545309</v>
      </c>
      <c r="V63" s="383">
        <f t="shared" si="9"/>
        <v>36.781489201905202</v>
      </c>
      <c r="W63" s="402">
        <f t="shared" si="10"/>
        <v>28.0420942269139</v>
      </c>
      <c r="X63" s="157">
        <f t="shared" si="11"/>
        <v>45706</v>
      </c>
      <c r="Y63" s="385">
        <f t="shared" si="12"/>
        <v>26.554190634075407</v>
      </c>
      <c r="Z63" s="385">
        <f t="shared" si="22"/>
        <v>28.016223176986713</v>
      </c>
      <c r="AA63" s="386">
        <f t="shared" si="13"/>
        <v>30.492611515150145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8.1212733679207796E-2</v>
      </c>
      <c r="AD63" s="231">
        <f>(INDEX(Models!$BJ63:$BT63,,AH63)*(1-AF63)+INDEX(Models!$BJ63:$BT63,,AH63+1)*AF63-ERP_i)*AE63*Ramure*Pc/MaxiM</f>
        <v>2.8690998839580087E-4</v>
      </c>
      <c r="AE63" s="305">
        <f t="shared" si="15"/>
        <v>0.5</v>
      </c>
      <c r="AF63" s="177">
        <f t="shared" si="23"/>
        <v>0.50166354545309</v>
      </c>
      <c r="AG63" s="811">
        <f t="shared" si="24"/>
        <v>1</v>
      </c>
      <c r="AH63" s="176">
        <f t="shared" si="16"/>
        <v>7</v>
      </c>
      <c r="AI63" s="225">
        <f t="shared" si="17"/>
        <v>1.50166354545309</v>
      </c>
      <c r="AJ63" s="265" t="b">
        <f t="shared" si="18"/>
        <v>0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'2024'!Wh/'2024'!Env_an*'2025'!Env_an</f>
        <v>20.321883048657376</v>
      </c>
      <c r="C64" s="841"/>
      <c r="D64" s="393">
        <f t="shared" si="0"/>
        <v>21.441244022338914</v>
      </c>
      <c r="E64" s="385">
        <f t="shared" si="1"/>
        <v>22.099917489526298</v>
      </c>
      <c r="F64" s="385">
        <f t="shared" si="2"/>
        <v>22.102233007208945</v>
      </c>
      <c r="G64" s="110">
        <f t="shared" si="21"/>
        <v>0.54762446685624433</v>
      </c>
      <c r="H64" s="414" t="b">
        <f>Wh_hp&gt;='2024'!Maxi_hp</f>
        <v>0</v>
      </c>
      <c r="I64" s="390">
        <f>IF(H64,Wh_hp,'2024'!Maxi_hp)</f>
        <v>38.479174675338513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5.2205971468600954E-2</v>
      </c>
      <c r="M64" s="845"/>
      <c r="N64" s="845"/>
      <c r="O64" s="48">
        <f>IF(t&lt;Tnet,'2024'!Resal+('2024'!Salim-'2024'!Resal)*(1-EXP(('2024'!Tnet-t)/('2024'!Tau_j))),Resal+(Salim-Resal)*(1-EXP((Tnet-t)/(Tau_j))))*Salcycl</f>
        <v>2.9804340559169213E-2</v>
      </c>
      <c r="P64" s="169">
        <f>(INDEX(Models!$BJ64:$BT64,,T64)*(1-R64)+INDEX(Models!$BJ64:$BT64,,T64+1)*R64-ERP_i)*Q64*Ramure*Pc/MaxiM</f>
        <v>2.9602795214036642E-4</v>
      </c>
      <c r="Q64" s="305">
        <f t="shared" si="4"/>
        <v>0.5</v>
      </c>
      <c r="R64" s="177">
        <f t="shared" si="5"/>
        <v>0.50186993219589904</v>
      </c>
      <c r="S64" s="811">
        <f t="shared" si="6"/>
        <v>1</v>
      </c>
      <c r="T64" s="176">
        <f t="shared" si="7"/>
        <v>7</v>
      </c>
      <c r="U64" s="251">
        <f t="shared" si="8"/>
        <v>1.501869932195899</v>
      </c>
      <c r="V64" s="383">
        <f t="shared" si="9"/>
        <v>37.102059945902703</v>
      </c>
      <c r="W64" s="402">
        <f t="shared" si="10"/>
        <v>20.321883048657376</v>
      </c>
      <c r="X64" s="157">
        <f t="shared" si="11"/>
        <v>45707</v>
      </c>
      <c r="Y64" s="385">
        <f t="shared" si="12"/>
        <v>19.244496673880874</v>
      </c>
      <c r="Z64" s="385">
        <f t="shared" si="22"/>
        <v>20.30451352779686</v>
      </c>
      <c r="AA64" s="386">
        <f t="shared" si="13"/>
        <v>22.099917489526298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8.1240301579421123E-2</v>
      </c>
      <c r="AD64" s="231">
        <f>(INDEX(Models!$BJ64:$BT64,,AH64)*(1-AF64)+INDEX(Models!$BJ64:$BT64,,AH64+1)*AF64-ERP_i)*AE64*Ramure*Pc/MaxiM</f>
        <v>2.9602795214036642E-4</v>
      </c>
      <c r="AE64" s="305">
        <f t="shared" si="15"/>
        <v>0.5</v>
      </c>
      <c r="AF64" s="177">
        <f t="shared" si="23"/>
        <v>0.50186993219589904</v>
      </c>
      <c r="AG64" s="811">
        <f t="shared" si="24"/>
        <v>1</v>
      </c>
      <c r="AH64" s="176">
        <f t="shared" si="16"/>
        <v>7</v>
      </c>
      <c r="AI64" s="225">
        <f t="shared" si="17"/>
        <v>1.501869932195899</v>
      </c>
      <c r="AJ64" s="265" t="b">
        <f t="shared" si="18"/>
        <v>0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'2024'!Wh/'2024'!Env_an*'2025'!Env_an</f>
        <v>19.383360893981969</v>
      </c>
      <c r="C65" s="841"/>
      <c r="D65" s="393">
        <f t="shared" si="0"/>
        <v>20.451474545229541</v>
      </c>
      <c r="E65" s="385">
        <f t="shared" si="1"/>
        <v>21.08134352642729</v>
      </c>
      <c r="F65" s="385">
        <f t="shared" si="2"/>
        <v>21.083356685518599</v>
      </c>
      <c r="G65" s="110">
        <f t="shared" si="21"/>
        <v>0.51781667115809837</v>
      </c>
      <c r="H65" s="414" t="b">
        <f>Wh_hp&gt;='2024'!Maxi_hp</f>
        <v>0</v>
      </c>
      <c r="I65" s="390">
        <f>IF(H65,Wh_hp,'2024'!Maxi_hp)</f>
        <v>40.655100676030095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5.222673059027505E-2</v>
      </c>
      <c r="M65" s="845"/>
      <c r="N65" s="845"/>
      <c r="O65" s="48">
        <f>IF(t&lt;Tnet,'2024'!Resal+('2024'!Salim-'2024'!Resal)*(1-EXP(('2024'!Tnet-t)/('2024'!Tau_j))),Resal+(Salim-Resal)*(1-EXP((Tnet-t)/(Tau_j))))*Salcycl</f>
        <v>2.9878028428698366E-2</v>
      </c>
      <c r="P65" s="169">
        <f>(INDEX(Models!$BJ65:$BT65,,T65)*(1-R65)+INDEX(Models!$BJ65:$BT65,,T65+1)*R65-ERP_i)*Q65*Ramure*Pc/MaxiM</f>
        <v>3.0670946171089289E-4</v>
      </c>
      <c r="Q65" s="305">
        <f t="shared" si="4"/>
        <v>0.5</v>
      </c>
      <c r="R65" s="177">
        <f t="shared" si="5"/>
        <v>0.50208479460180921</v>
      </c>
      <c r="S65" s="811">
        <f t="shared" si="6"/>
        <v>1</v>
      </c>
      <c r="T65" s="176">
        <f t="shared" si="7"/>
        <v>7</v>
      </c>
      <c r="U65" s="251">
        <f t="shared" si="8"/>
        <v>1.5020847946018092</v>
      </c>
      <c r="V65" s="383">
        <f t="shared" si="9"/>
        <v>37.424956275120294</v>
      </c>
      <c r="W65" s="402">
        <f t="shared" si="10"/>
        <v>19.383360893981969</v>
      </c>
      <c r="X65" s="157">
        <f t="shared" si="11"/>
        <v>45708</v>
      </c>
      <c r="Y65" s="385">
        <f t="shared" si="12"/>
        <v>18.356575514738985</v>
      </c>
      <c r="Z65" s="385">
        <f t="shared" si="22"/>
        <v>19.368108499379282</v>
      </c>
      <c r="AA65" s="386">
        <f t="shared" si="13"/>
        <v>21.08134352642729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8.1267829296568256E-2</v>
      </c>
      <c r="AD65" s="231">
        <f>(INDEX(Models!$BJ65:$BT65,,AH65)*(1-AF65)+INDEX(Models!$BJ65:$BT65,,AH65+1)*AF65-ERP_i)*AE65*Ramure*Pc/MaxiM</f>
        <v>3.0670946171089289E-4</v>
      </c>
      <c r="AE65" s="305">
        <f t="shared" si="15"/>
        <v>0.5</v>
      </c>
      <c r="AF65" s="177">
        <f t="shared" si="23"/>
        <v>0.50208479460180921</v>
      </c>
      <c r="AG65" s="811">
        <f t="shared" si="24"/>
        <v>1</v>
      </c>
      <c r="AH65" s="176">
        <f t="shared" si="16"/>
        <v>7</v>
      </c>
      <c r="AI65" s="225">
        <f t="shared" si="17"/>
        <v>1.5020847946018092</v>
      </c>
      <c r="AJ65" s="265" t="b">
        <f t="shared" si="18"/>
        <v>0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'2024'!Wh/'2024'!Env_an*'2025'!Env_an</f>
        <v>21.427322904722232</v>
      </c>
      <c r="C66" s="841"/>
      <c r="D66" s="393">
        <f t="shared" si="0"/>
        <v>22.608563587903554</v>
      </c>
      <c r="E66" s="385">
        <f t="shared" si="1"/>
        <v>23.306635635363872</v>
      </c>
      <c r="F66" s="385">
        <f t="shared" si="2"/>
        <v>23.309472958465442</v>
      </c>
      <c r="G66" s="110">
        <f t="shared" si="21"/>
        <v>0.56749634560887741</v>
      </c>
      <c r="H66" s="414" t="b">
        <f>Wh_hp&gt;='2024'!Maxi_hp</f>
        <v>0</v>
      </c>
      <c r="I66" s="390">
        <f>IF(H66,Wh_hp,'2024'!Maxi_hp)</f>
        <v>38.737384022485628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5.2247489257271185E-2</v>
      </c>
      <c r="M66" s="845"/>
      <c r="N66" s="845"/>
      <c r="O66" s="48">
        <f>IF(t&lt;Tnet,'2024'!Resal+('2024'!Salim-'2024'!Resal)*(1-EXP(('2024'!Tnet-t)/('2024'!Tau_j))),Resal+(Salim-Resal)*(1-EXP((Tnet-t)/(Tau_j))))*Salcycl</f>
        <v>2.9951643745659676E-2</v>
      </c>
      <c r="P66" s="169">
        <f>(INDEX(Models!$BJ66:$BT66,,T66)*(1-R66)+INDEX(Models!$BJ66:$BT66,,T66+1)*R66-ERP_i)*Q66*Ramure*Pc/MaxiM</f>
        <v>3.1840164000518232E-4</v>
      </c>
      <c r="Q66" s="305">
        <f t="shared" si="4"/>
        <v>0.5</v>
      </c>
      <c r="R66" s="177">
        <f t="shared" si="5"/>
        <v>0.50230847285109603</v>
      </c>
      <c r="S66" s="811">
        <f t="shared" si="6"/>
        <v>1</v>
      </c>
      <c r="T66" s="176">
        <f t="shared" si="7"/>
        <v>7</v>
      </c>
      <c r="U66" s="251">
        <f t="shared" si="8"/>
        <v>1.502308472851096</v>
      </c>
      <c r="V66" s="383">
        <f t="shared" si="9"/>
        <v>37.750213341276847</v>
      </c>
      <c r="W66" s="402">
        <f t="shared" si="10"/>
        <v>21.427322904722232</v>
      </c>
      <c r="X66" s="157">
        <f t="shared" si="11"/>
        <v>45709</v>
      </c>
      <c r="Y66" s="385">
        <f t="shared" si="12"/>
        <v>20.293196593913958</v>
      </c>
      <c r="Z66" s="385">
        <f t="shared" si="22"/>
        <v>21.411915414511235</v>
      </c>
      <c r="AA66" s="386">
        <f t="shared" si="13"/>
        <v>23.306635635363872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8.1295312223344601E-2</v>
      </c>
      <c r="AD66" s="231">
        <f>(INDEX(Models!$BJ66:$BT66,,AH66)*(1-AF66)+INDEX(Models!$BJ66:$BT66,,AH66+1)*AF66-ERP_i)*AE66*Ramure*Pc/MaxiM</f>
        <v>3.1840164000518232E-4</v>
      </c>
      <c r="AE66" s="305">
        <f t="shared" si="15"/>
        <v>0.5</v>
      </c>
      <c r="AF66" s="177">
        <f t="shared" si="23"/>
        <v>0.50230847285109603</v>
      </c>
      <c r="AG66" s="811">
        <f t="shared" si="24"/>
        <v>1</v>
      </c>
      <c r="AH66" s="176">
        <f t="shared" si="16"/>
        <v>7</v>
      </c>
      <c r="AI66" s="225">
        <f t="shared" si="17"/>
        <v>1.502308472851096</v>
      </c>
      <c r="AJ66" s="265" t="b">
        <f t="shared" si="18"/>
        <v>0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'2024'!Wh/'2024'!Env_an*'2025'!Env_an</f>
        <v>33.117688961722244</v>
      </c>
      <c r="C67" s="841"/>
      <c r="D67" s="393">
        <f t="shared" si="0"/>
        <v>34.9441589070953</v>
      </c>
      <c r="E67" s="385">
        <f t="shared" si="1"/>
        <v>36.025841469503725</v>
      </c>
      <c r="F67" s="385">
        <f t="shared" si="2"/>
        <v>36.035533496532629</v>
      </c>
      <c r="G67" s="110">
        <f t="shared" si="21"/>
        <v>0.86968947850000533</v>
      </c>
      <c r="H67" s="414" t="b">
        <f>Wh_hp&gt;='2024'!Maxi_hp</f>
        <v>0</v>
      </c>
      <c r="I67" s="390">
        <f>IF(H67,Wh_hp,'2024'!Maxi_hp)</f>
        <v>40.196901311599696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5.2268247469599127E-2</v>
      </c>
      <c r="M67" s="845"/>
      <c r="N67" s="845"/>
      <c r="O67" s="48">
        <f>IF(t&lt;Tnet,'2024'!Resal+('2024'!Salim-'2024'!Resal)*(1-EXP(('2024'!Tnet-t)/('2024'!Tau_j))),Resal+(Salim-Resal)*(1-EXP((Tnet-t)/(Tau_j))))*Salcycl</f>
        <v>3.0025185208347783E-2</v>
      </c>
      <c r="P67" s="169">
        <f>(INDEX(Models!$BJ67:$BT67,,T67)*(1-R67)+INDEX(Models!$BJ67:$BT67,,T67+1)*R67-ERP_i)*Q67*Ramure*Pc/MaxiM</f>
        <v>3.3044769184399999E-4</v>
      </c>
      <c r="Q67" s="305">
        <f t="shared" si="4"/>
        <v>0.5</v>
      </c>
      <c r="R67" s="177">
        <f t="shared" si="5"/>
        <v>0.50254132011016517</v>
      </c>
      <c r="S67" s="811">
        <f t="shared" si="6"/>
        <v>1</v>
      </c>
      <c r="T67" s="176">
        <f t="shared" si="7"/>
        <v>7</v>
      </c>
      <c r="U67" s="251">
        <f t="shared" si="8"/>
        <v>1.5025413201101652</v>
      </c>
      <c r="V67" s="383">
        <f t="shared" si="9"/>
        <v>38.07755850738932</v>
      </c>
      <c r="W67" s="402">
        <f t="shared" si="10"/>
        <v>33.117688961722244</v>
      </c>
      <c r="X67" s="157">
        <f t="shared" si="11"/>
        <v>45710</v>
      </c>
      <c r="Y67" s="385">
        <f t="shared" si="12"/>
        <v>31.366244837051319</v>
      </c>
      <c r="Z67" s="385">
        <f t="shared" si="22"/>
        <v>33.096121084162121</v>
      </c>
      <c r="AA67" s="386">
        <f t="shared" si="13"/>
        <v>36.025841469503725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8.1322746834980725E-2</v>
      </c>
      <c r="AD67" s="231">
        <f>(INDEX(Models!$BJ67:$BT67,,AH67)*(1-AF67)+INDEX(Models!$BJ67:$BT67,,AH67+1)*AF67-ERP_i)*AE67*Ramure*Pc/MaxiM</f>
        <v>3.3044769184399999E-4</v>
      </c>
      <c r="AE67" s="305">
        <f t="shared" si="15"/>
        <v>0.5</v>
      </c>
      <c r="AF67" s="177">
        <f t="shared" si="23"/>
        <v>0.50254132011016517</v>
      </c>
      <c r="AG67" s="811">
        <f t="shared" si="24"/>
        <v>1</v>
      </c>
      <c r="AH67" s="176">
        <f t="shared" si="16"/>
        <v>7</v>
      </c>
      <c r="AI67" s="225">
        <f t="shared" si="17"/>
        <v>1.5025413201101652</v>
      </c>
      <c r="AJ67" s="265" t="b">
        <f t="shared" si="18"/>
        <v>0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'2024'!Wh/'2024'!Env_an*'2025'!Env_an</f>
        <v>34.265913113981043</v>
      </c>
      <c r="C68" s="841"/>
      <c r="D68" s="393">
        <f t="shared" si="0"/>
        <v>36.156500560804716</v>
      </c>
      <c r="E68" s="385">
        <f t="shared" si="1"/>
        <v>37.278534186151674</v>
      </c>
      <c r="F68" s="385">
        <f t="shared" si="2"/>
        <v>37.289349394266175</v>
      </c>
      <c r="G68" s="110">
        <f t="shared" si="21"/>
        <v>0.89213880607029461</v>
      </c>
      <c r="H68" s="414" t="b">
        <f>Wh_hp&gt;='2024'!Maxi_hp</f>
        <v>0</v>
      </c>
      <c r="I68" s="390">
        <f>IF(H68,Wh_hp,'2024'!Maxi_hp)</f>
        <v>40.899659056750139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5.2289005227268981E-2</v>
      </c>
      <c r="M68" s="845"/>
      <c r="N68" s="845"/>
      <c r="O68" s="48">
        <f>IF(t&lt;Tnet,'2024'!Resal+('2024'!Salim-'2024'!Resal)*(1-EXP(('2024'!Tnet-t)/('2024'!Tau_j))),Resal+(Salim-Resal)*(1-EXP((Tnet-t)/(Tau_j))))*Salcycl</f>
        <v>3.0098651941196097E-2</v>
      </c>
      <c r="P68" s="169">
        <f>(INDEX(Models!$BJ68:$BT68,,T68)*(1-R68)+INDEX(Models!$BJ68:$BT68,,T68+1)*R68-ERP_i)*Q68*Ramure*Pc/MaxiM</f>
        <v>3.428388499959401E-4</v>
      </c>
      <c r="Q68" s="305">
        <f t="shared" si="4"/>
        <v>0.5</v>
      </c>
      <c r="R68" s="177">
        <f t="shared" si="5"/>
        <v>0.50278370297054309</v>
      </c>
      <c r="S68" s="811">
        <f t="shared" si="6"/>
        <v>1</v>
      </c>
      <c r="T68" s="176">
        <f t="shared" si="7"/>
        <v>7</v>
      </c>
      <c r="U68" s="251">
        <f t="shared" si="8"/>
        <v>1.5027837029705431</v>
      </c>
      <c r="V68" s="383">
        <f t="shared" si="9"/>
        <v>38.40669520943225</v>
      </c>
      <c r="W68" s="402">
        <f t="shared" si="10"/>
        <v>34.265913113981043</v>
      </c>
      <c r="X68" s="157">
        <f t="shared" si="11"/>
        <v>45711</v>
      </c>
      <c r="Y68" s="385">
        <f t="shared" si="12"/>
        <v>32.455235435634599</v>
      </c>
      <c r="Z68" s="385">
        <f t="shared" si="22"/>
        <v>34.245920554522677</v>
      </c>
      <c r="AA68" s="386">
        <f t="shared" si="13"/>
        <v>37.278534186151674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8.1350130788016867E-2</v>
      </c>
      <c r="AD68" s="231">
        <f>(INDEX(Models!$BJ68:$BT68,,AH68)*(1-AF68)+INDEX(Models!$BJ68:$BT68,,AH68+1)*AF68-ERP_i)*AE68*Ramure*Pc/MaxiM</f>
        <v>3.428388499959401E-4</v>
      </c>
      <c r="AE68" s="305">
        <f t="shared" si="15"/>
        <v>0.5</v>
      </c>
      <c r="AF68" s="177">
        <f t="shared" si="23"/>
        <v>0.50278370297054309</v>
      </c>
      <c r="AG68" s="811">
        <f t="shared" si="24"/>
        <v>1</v>
      </c>
      <c r="AH68" s="176">
        <f t="shared" si="16"/>
        <v>7</v>
      </c>
      <c r="AI68" s="225">
        <f t="shared" si="17"/>
        <v>1.5027837029705431</v>
      </c>
      <c r="AJ68" s="265" t="b">
        <f t="shared" si="18"/>
        <v>0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'2024'!Wh/'2024'!Env_an*'2025'!Env_an</f>
        <v>21.065811268290435</v>
      </c>
      <c r="C69" s="841"/>
      <c r="D69" s="393">
        <f t="shared" si="0"/>
        <v>22.22858317559038</v>
      </c>
      <c r="E69" s="385">
        <f t="shared" si="1"/>
        <v>22.92013034617629</v>
      </c>
      <c r="F69" s="385">
        <f t="shared" si="2"/>
        <v>22.922969249798349</v>
      </c>
      <c r="G69" s="110">
        <f t="shared" si="21"/>
        <v>0.54368566191315659</v>
      </c>
      <c r="H69" s="414" t="b">
        <f>Wh_hp&gt;='2024'!Maxi_hp</f>
        <v>0</v>
      </c>
      <c r="I69" s="390">
        <f>IF(H69,Wh_hp,'2024'!Maxi_hp)</f>
        <v>41.03378848015074</v>
      </c>
      <c r="J69" s="85">
        <f>IF(H69,An,'2024'!An_max)</f>
        <v>2019</v>
      </c>
      <c r="K69" s="197">
        <f t="shared" si="3"/>
        <v>45712</v>
      </c>
      <c r="L69" s="147">
        <f>IF(t&lt;Tvie,1-EXP((T0-t)*PertePVj)+'2024'!Pspv,1-EXP((T0-t)*PertePVj)+Pspv)</f>
        <v>5.2309762530290627E-2</v>
      </c>
      <c r="M69" s="845"/>
      <c r="N69" s="845"/>
      <c r="O69" s="48">
        <f>IF(t&lt;Tnet,'2024'!Resal+('2024'!Salim-'2024'!Resal)*(1-EXP(('2024'!Tnet-t)/('2024'!Tau_j))),Resal+(Salim-Resal)*(1-EXP((Tnet-t)/(Tau_j))))*Salcycl</f>
        <v>3.0172043532958298E-2</v>
      </c>
      <c r="P69" s="169">
        <f>(INDEX(Models!$BJ69:$BT69,,T69)*(1-R69)+INDEX(Models!$BJ69:$BT69,,T69+1)*R69-ERP_i)*Q69*Ramure*Pc/MaxiM</f>
        <v>3.5556850850508906E-4</v>
      </c>
      <c r="Q69" s="305">
        <f t="shared" si="4"/>
        <v>0.5</v>
      </c>
      <c r="R69" s="177">
        <f t="shared" si="5"/>
        <v>0.50303600189776132</v>
      </c>
      <c r="S69" s="811">
        <f t="shared" si="6"/>
        <v>1</v>
      </c>
      <c r="T69" s="176">
        <f t="shared" si="7"/>
        <v>7</v>
      </c>
      <c r="U69" s="251">
        <f t="shared" si="8"/>
        <v>1.5030360018977613</v>
      </c>
      <c r="V69" s="383">
        <f t="shared" si="9"/>
        <v>38.737326920986291</v>
      </c>
      <c r="W69" s="402">
        <f t="shared" si="10"/>
        <v>21.065811268290435</v>
      </c>
      <c r="X69" s="157">
        <f t="shared" si="11"/>
        <v>45712</v>
      </c>
      <c r="Y69" s="385">
        <f t="shared" si="12"/>
        <v>19.953568941761766</v>
      </c>
      <c r="Z69" s="385">
        <f t="shared" si="22"/>
        <v>21.05494828672806</v>
      </c>
      <c r="AA69" s="386">
        <f t="shared" si="13"/>
        <v>22.92013034617629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8.1377463010780651E-2</v>
      </c>
      <c r="AD69" s="231">
        <f>(INDEX(Models!$BJ69:$BT69,,AH69)*(1-AF69)+INDEX(Models!$BJ69:$BT69,,AH69+1)*AF69-ERP_i)*AE69*Ramure*Pc/MaxiM</f>
        <v>3.5556850850508906E-4</v>
      </c>
      <c r="AE69" s="305">
        <f t="shared" si="15"/>
        <v>0.5</v>
      </c>
      <c r="AF69" s="177">
        <f t="shared" si="23"/>
        <v>0.50303600189776132</v>
      </c>
      <c r="AG69" s="811">
        <f t="shared" si="24"/>
        <v>1</v>
      </c>
      <c r="AH69" s="176">
        <f t="shared" si="16"/>
        <v>7</v>
      </c>
      <c r="AI69" s="225">
        <f t="shared" si="17"/>
        <v>1.5030360018977613</v>
      </c>
      <c r="AJ69" s="265" t="b">
        <f t="shared" si="18"/>
        <v>0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'2024'!Wh/'2024'!Env_an*'2025'!Env_an</f>
        <v>30.681048435232423</v>
      </c>
      <c r="C70" s="841"/>
      <c r="D70" s="393">
        <f t="shared" si="0"/>
        <v>32.375262749958807</v>
      </c>
      <c r="E70" s="385">
        <f t="shared" si="1"/>
        <v>33.385004223707604</v>
      </c>
      <c r="F70" s="385">
        <f t="shared" si="2"/>
        <v>33.393538508377333</v>
      </c>
      <c r="G70" s="110">
        <f t="shared" si="21"/>
        <v>0.78521219360448302</v>
      </c>
      <c r="H70" s="414" t="b">
        <f>Wh_hp&gt;='2024'!Maxi_hp</f>
        <v>0</v>
      </c>
      <c r="I70" s="390">
        <f>IF(H70,Wh_hp,'2024'!Maxi_hp)</f>
        <v>42.028165575806206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5.2330519378674056E-2</v>
      </c>
      <c r="M70" s="845"/>
      <c r="N70" s="845"/>
      <c r="O70" s="48">
        <f>IF(t&lt;Tnet,'2024'!Resal+('2024'!Salim-'2024'!Resal)*(1-EXP(('2024'!Tnet-t)/('2024'!Tau_j))),Resal+(Salim-Resal)*(1-EXP((Tnet-t)/(Tau_j))))*Salcycl</f>
        <v>3.0245360071925752E-2</v>
      </c>
      <c r="P70" s="169">
        <f>(INDEX(Models!$BJ70:$BT70,,T70)*(1-R70)+INDEX(Models!$BJ70:$BT70,,T70+1)*R70-ERP_i)*Q70*Ramure*Pc/MaxiM</f>
        <v>3.6863072724960906E-4</v>
      </c>
      <c r="Q70" s="305">
        <f t="shared" si="4"/>
        <v>0.5</v>
      </c>
      <c r="R70" s="177">
        <f t="shared" si="5"/>
        <v>0.50329861168989742</v>
      </c>
      <c r="S70" s="811">
        <f t="shared" si="6"/>
        <v>1</v>
      </c>
      <c r="T70" s="176">
        <f t="shared" si="7"/>
        <v>7</v>
      </c>
      <c r="U70" s="251">
        <f t="shared" si="8"/>
        <v>1.5032986116898974</v>
      </c>
      <c r="V70" s="383">
        <f t="shared" si="9"/>
        <v>39.069157207440213</v>
      </c>
      <c r="W70" s="402">
        <f t="shared" si="10"/>
        <v>30.681048435232423</v>
      </c>
      <c r="X70" s="157">
        <f t="shared" si="11"/>
        <v>45713</v>
      </c>
      <c r="Y70" s="385">
        <f t="shared" si="12"/>
        <v>29.062470431080701</v>
      </c>
      <c r="Z70" s="385">
        <f t="shared" si="22"/>
        <v>30.667306508621873</v>
      </c>
      <c r="AA70" s="386">
        <f t="shared" si="13"/>
        <v>33.385004223707604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8.1404743784810427E-2</v>
      </c>
      <c r="AD70" s="231">
        <f>(INDEX(Models!$BJ70:$BT70,,AH70)*(1-AF70)+INDEX(Models!$BJ70:$BT70,,AH70+1)*AF70-ERP_i)*AE70*Ramure*Pc/MaxiM</f>
        <v>3.6863072724960906E-4</v>
      </c>
      <c r="AE70" s="305">
        <f t="shared" si="15"/>
        <v>0.5</v>
      </c>
      <c r="AF70" s="177">
        <f t="shared" si="23"/>
        <v>0.50329861168989742</v>
      </c>
      <c r="AG70" s="811">
        <f t="shared" si="24"/>
        <v>1</v>
      </c>
      <c r="AH70" s="176">
        <f t="shared" si="16"/>
        <v>7</v>
      </c>
      <c r="AI70" s="225">
        <f t="shared" si="17"/>
        <v>1.5032986116898974</v>
      </c>
      <c r="AJ70" s="265" t="b">
        <f t="shared" si="18"/>
        <v>0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'2024'!Wh/'2024'!Env_an*'2025'!Env_an</f>
        <v>39.510170053102826</v>
      </c>
      <c r="C71" s="841"/>
      <c r="D71" s="393">
        <f t="shared" si="0"/>
        <v>41.692843606482562</v>
      </c>
      <c r="E71" s="385">
        <f t="shared" si="1"/>
        <v>42.996435427269191</v>
      </c>
      <c r="F71" s="385">
        <f t="shared" si="2"/>
        <v>43.012867213846981</v>
      </c>
      <c r="G71" s="110">
        <f t="shared" si="21"/>
        <v>1.0027480999671896</v>
      </c>
      <c r="H71" s="414" t="b">
        <f>Wh_hp&gt;='2024'!Maxi_hp</f>
        <v>1</v>
      </c>
      <c r="I71" s="390">
        <f>IF(H71,Wh_hp,'2024'!Maxi_hp)</f>
        <v>43.012867213846981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5.2351275772429262E-2</v>
      </c>
      <c r="M71" s="845"/>
      <c r="N71" s="845"/>
      <c r="O71" s="48">
        <f>IF(t&lt;Tnet,'2024'!Resal+('2024'!Salim-'2024'!Resal)*(1-EXP(('2024'!Tnet-t)/('2024'!Tau_j))),Resal+(Salim-Resal)*(1-EXP((Tnet-t)/(Tau_j))))*Salcycl</f>
        <v>3.0318602177888128E-2</v>
      </c>
      <c r="P71" s="169">
        <f>(INDEX(Models!$BJ71:$BT71,,T71)*(1-R71)+INDEX(Models!$BJ71:$BT71,,T71+1)*R71-ERP_i)*Q71*Ramure*Pc/MaxiM</f>
        <v>3.8202025677805195E-4</v>
      </c>
      <c r="Q71" s="305">
        <f t="shared" si="4"/>
        <v>0.5</v>
      </c>
      <c r="R71" s="177">
        <f t="shared" si="5"/>
        <v>0.50357194194546273</v>
      </c>
      <c r="S71" s="811">
        <f t="shared" si="6"/>
        <v>1</v>
      </c>
      <c r="T71" s="176">
        <f t="shared" si="7"/>
        <v>7</v>
      </c>
      <c r="U71" s="251">
        <f t="shared" si="8"/>
        <v>1.5035719419454627</v>
      </c>
      <c r="V71" s="383">
        <f t="shared" si="9"/>
        <v>39.401889721252637</v>
      </c>
      <c r="W71" s="402">
        <f t="shared" si="10"/>
        <v>39.510170053102826</v>
      </c>
      <c r="X71" s="157">
        <f t="shared" si="11"/>
        <v>45714</v>
      </c>
      <c r="Y71" s="385">
        <f t="shared" si="12"/>
        <v>37.427529250177301</v>
      </c>
      <c r="Z71" s="385">
        <f t="shared" si="22"/>
        <v>39.495150780353249</v>
      </c>
      <c r="AA71" s="386">
        <f t="shared" si="13"/>
        <v>42.996435427269191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8.1431974816576463E-2</v>
      </c>
      <c r="AD71" s="231">
        <f>(INDEX(Models!$BJ71:$BT71,,AH71)*(1-AF71)+INDEX(Models!$BJ71:$BT71,,AH71+1)*AF71-ERP_i)*AE71*Ramure*Pc/MaxiM</f>
        <v>3.8202025677805195E-4</v>
      </c>
      <c r="AE71" s="305">
        <f t="shared" si="15"/>
        <v>0.5</v>
      </c>
      <c r="AF71" s="177">
        <f t="shared" si="23"/>
        <v>0.50357194194546273</v>
      </c>
      <c r="AG71" s="811">
        <f t="shared" si="24"/>
        <v>1</v>
      </c>
      <c r="AH71" s="176">
        <f t="shared" si="16"/>
        <v>7</v>
      </c>
      <c r="AI71" s="225">
        <f t="shared" si="17"/>
        <v>1.5035719419454627</v>
      </c>
      <c r="AJ71" s="265" t="b">
        <f t="shared" si="18"/>
        <v>0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'2024'!Wh/'2024'!Env_an*'2025'!Env_an</f>
        <v>27.533767933997691</v>
      </c>
      <c r="C72" s="841"/>
      <c r="D72" s="393">
        <f t="shared" si="0"/>
        <v>29.055461484244749</v>
      </c>
      <c r="E72" s="385">
        <f t="shared" si="1"/>
        <v>29.966186977525357</v>
      </c>
      <c r="F72" s="385">
        <f t="shared" si="2"/>
        <v>29.972807119702544</v>
      </c>
      <c r="G72" s="110">
        <f t="shared" si="21"/>
        <v>0.69280971915606471</v>
      </c>
      <c r="H72" s="414" t="b">
        <f>Wh_hp&gt;='2024'!Maxi_hp</f>
        <v>0</v>
      </c>
      <c r="I72" s="390">
        <f>IF(H72,Wh_hp,'2024'!Maxi_hp)</f>
        <v>42.246597609719124</v>
      </c>
      <c r="J72" s="85">
        <f>IF(H72,An,'2024'!An_max)</f>
        <v>2019</v>
      </c>
      <c r="K72" s="197">
        <f t="shared" si="3"/>
        <v>45715</v>
      </c>
      <c r="L72" s="147">
        <f>IF(t&lt;Tvie,1-EXP((T0-t)*PertePVj)+'2024'!Pspv,1-EXP((T0-t)*PertePVj)+Pspv)</f>
        <v>5.2372031711566236E-2</v>
      </c>
      <c r="M72" s="845"/>
      <c r="N72" s="845"/>
      <c r="O72" s="48">
        <f>IF(t&lt;Tnet,'2024'!Resal+('2024'!Salim-'2024'!Resal)*(1-EXP(('2024'!Tnet-t)/('2024'!Tau_j))),Resal+(Salim-Resal)*(1-EXP((Tnet-t)/(Tau_j))))*Salcycl</f>
        <v>3.0391771030583638E-2</v>
      </c>
      <c r="P72" s="169">
        <f>(INDEX(Models!$BJ72:$BT72,,T72)*(1-R72)+INDEX(Models!$BJ72:$BT72,,T72+1)*R72-ERP_i)*Q72*Ramure*Pc/MaxiM</f>
        <v>3.9348072802143386E-4</v>
      </c>
      <c r="Q72" s="305">
        <f t="shared" si="4"/>
        <v>0.5</v>
      </c>
      <c r="R72" s="177">
        <f t="shared" si="5"/>
        <v>0.50385641754027288</v>
      </c>
      <c r="S72" s="811">
        <f t="shared" si="6"/>
        <v>1</v>
      </c>
      <c r="T72" s="176">
        <f t="shared" si="7"/>
        <v>7</v>
      </c>
      <c r="U72" s="251">
        <f t="shared" si="8"/>
        <v>1.5038564175402729</v>
      </c>
      <c r="V72" s="383">
        <f t="shared" si="9"/>
        <v>39.735317712058794</v>
      </c>
      <c r="W72" s="402">
        <f t="shared" si="10"/>
        <v>27.533767933997691</v>
      </c>
      <c r="X72" s="157">
        <f t="shared" si="11"/>
        <v>45715</v>
      </c>
      <c r="Y72" s="385">
        <f t="shared" si="12"/>
        <v>26.0836176820021</v>
      </c>
      <c r="Z72" s="385">
        <f t="shared" si="22"/>
        <v>27.525166578940514</v>
      </c>
      <c r="AA72" s="386">
        <f t="shared" si="13"/>
        <v>29.966186977525357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8.1459159298966244E-2</v>
      </c>
      <c r="AD72" s="231">
        <f>(INDEX(Models!$BJ72:$BT72,,AH72)*(1-AF72)+INDEX(Models!$BJ72:$BT72,,AH72+1)*AF72-ERP_i)*AE72*Ramure*Pc/MaxiM</f>
        <v>3.9348072802143386E-4</v>
      </c>
      <c r="AE72" s="305">
        <f t="shared" si="15"/>
        <v>0.5</v>
      </c>
      <c r="AF72" s="177">
        <f t="shared" si="23"/>
        <v>0.50385641754027288</v>
      </c>
      <c r="AG72" s="811">
        <f t="shared" si="24"/>
        <v>1</v>
      </c>
      <c r="AH72" s="176">
        <f t="shared" si="16"/>
        <v>7</v>
      </c>
      <c r="AI72" s="225">
        <f t="shared" si="17"/>
        <v>1.5038564175402729</v>
      </c>
      <c r="AJ72" s="265" t="b">
        <f t="shared" si="18"/>
        <v>0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'2024'!Wh/'2024'!Env_an*'2025'!Env_an</f>
        <v>34.022267201998218</v>
      </c>
      <c r="C73" s="841"/>
      <c r="D73" s="393">
        <f t="shared" si="0"/>
        <v>35.903343434173159</v>
      </c>
      <c r="E73" s="385">
        <f t="shared" si="1"/>
        <v>37.03150330892737</v>
      </c>
      <c r="F73" s="385">
        <f t="shared" si="2"/>
        <v>37.04318552037784</v>
      </c>
      <c r="G73" s="110">
        <f t="shared" si="21"/>
        <v>0.84901443740890914</v>
      </c>
      <c r="H73" s="414" t="b">
        <f>Wh_hp&gt;='2024'!Maxi_hp</f>
        <v>0</v>
      </c>
      <c r="I73" s="390">
        <f>IF(H73,Wh_hp,'2024'!Maxi_hp)</f>
        <v>37.045168016322464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5.2392787196094859E-2</v>
      </c>
      <c r="M73" s="845"/>
      <c r="N73" s="845"/>
      <c r="O73" s="48">
        <f>IF(t&lt;Tnet,'2024'!Resal+('2024'!Salim-'2024'!Resal)*(1-EXP(('2024'!Tnet-t)/('2024'!Tau_j))),Resal+(Salim-Resal)*(1-EXP((Tnet-t)/(Tau_j))))*Salcycl</f>
        <v>3.0464868394425738E-2</v>
      </c>
      <c r="P73" s="169">
        <f>(INDEX(Models!$BJ73:$BT73,,T73)*(1-R73)+INDEX(Models!$BJ73:$BT73,,T73+1)*R73-ERP_i)*Q73*Ramure*Pc/MaxiM</f>
        <v>4.020432538614517E-4</v>
      </c>
      <c r="Q73" s="305">
        <f t="shared" si="4"/>
        <v>0.5</v>
      </c>
      <c r="R73" s="177">
        <f t="shared" si="5"/>
        <v>0.50415247911286043</v>
      </c>
      <c r="S73" s="811">
        <f t="shared" si="6"/>
        <v>1</v>
      </c>
      <c r="T73" s="176">
        <f t="shared" si="7"/>
        <v>7</v>
      </c>
      <c r="U73" s="251">
        <f t="shared" si="8"/>
        <v>1.5041524791128604</v>
      </c>
      <c r="V73" s="383">
        <f t="shared" si="9"/>
        <v>40.069185943360054</v>
      </c>
      <c r="W73" s="402">
        <f t="shared" si="10"/>
        <v>34.022267201998218</v>
      </c>
      <c r="X73" s="157">
        <f t="shared" si="11"/>
        <v>45716</v>
      </c>
      <c r="Y73" s="385">
        <f t="shared" si="12"/>
        <v>32.231857768361365</v>
      </c>
      <c r="Z73" s="385">
        <f t="shared" si="22"/>
        <v>34.013943048185013</v>
      </c>
      <c r="AA73" s="386">
        <f t="shared" si="13"/>
        <v>37.03150330892737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8.1486301962116023E-2</v>
      </c>
      <c r="AD73" s="231">
        <f>(INDEX(Models!$BJ73:$BT73,,AH73)*(1-AF73)+INDEX(Models!$BJ73:$BT73,,AH73+1)*AF73-ERP_i)*AE73*Ramure*Pc/MaxiM</f>
        <v>4.020432538614517E-4</v>
      </c>
      <c r="AE73" s="305">
        <f t="shared" si="15"/>
        <v>0.5</v>
      </c>
      <c r="AF73" s="177">
        <f t="shared" si="23"/>
        <v>0.50415247911286043</v>
      </c>
      <c r="AG73" s="811">
        <f t="shared" si="24"/>
        <v>1</v>
      </c>
      <c r="AH73" s="176">
        <f t="shared" si="16"/>
        <v>7</v>
      </c>
      <c r="AI73" s="225">
        <f t="shared" si="17"/>
        <v>1.5041524791128604</v>
      </c>
      <c r="AJ73" s="265" t="b">
        <f t="shared" si="18"/>
        <v>0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'2024'!Wh/'2024'!Env_an*'2025'!Env_an</f>
        <v>39.493274544982143</v>
      </c>
      <c r="C74" s="841"/>
      <c r="D74" s="393">
        <f t="shared" si="0"/>
        <v>41.677753223445031</v>
      </c>
      <c r="E74" s="385">
        <f t="shared" si="1"/>
        <v>42.990595587974028</v>
      </c>
      <c r="F74" s="385">
        <f t="shared" si="2"/>
        <v>43.00756907241994</v>
      </c>
      <c r="G74" s="110">
        <f t="shared" si="21"/>
        <v>0.97746608595062012</v>
      </c>
      <c r="H74" s="414" t="b">
        <f>Wh_hp&gt;='2024'!Maxi_hp</f>
        <v>0</v>
      </c>
      <c r="I74" s="390">
        <f>IF(H74,Wh_hp,'2024'!Maxi_hp)</f>
        <v>43.00792316495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5.2413542226025012E-2</v>
      </c>
      <c r="M74" s="845"/>
      <c r="N74" s="845"/>
      <c r="O74" s="48">
        <f>IF(t&lt;Tnet,'2024'!Resal+('2024'!Salim-'2024'!Resal)*(1-EXP(('2024'!Tnet-t)/('2024'!Tau_j))),Resal+(Salim-Resal)*(1-EXP((Tnet-t)/(Tau_j))))*Salcycl</f>
        <v>3.0537896639334872E-2</v>
      </c>
      <c r="P74" s="169">
        <f>(INDEX(Models!$BJ74:$BT74,,T74)*(1-R74)+INDEX(Models!$BJ74:$BT74,,T74+1)*R74-ERP_i)*Q74*Ramure*Pc/MaxiM</f>
        <v>4.0778229696735672E-4</v>
      </c>
      <c r="Q74" s="305">
        <f t="shared" si="4"/>
        <v>0.5</v>
      </c>
      <c r="R74" s="177">
        <f t="shared" si="5"/>
        <v>0.50446058355791923</v>
      </c>
      <c r="S74" s="811">
        <f t="shared" si="6"/>
        <v>1</v>
      </c>
      <c r="T74" s="176">
        <f t="shared" si="7"/>
        <v>7</v>
      </c>
      <c r="U74" s="251">
        <f t="shared" si="8"/>
        <v>1.5044605835579192</v>
      </c>
      <c r="V74" s="383">
        <f t="shared" si="9"/>
        <v>40.403198405788245</v>
      </c>
      <c r="W74" s="402">
        <f t="shared" si="10"/>
        <v>39.493274544982143</v>
      </c>
      <c r="X74" s="157">
        <f t="shared" si="11"/>
        <v>45717</v>
      </c>
      <c r="Y74" s="385">
        <f t="shared" si="12"/>
        <v>37.416669485097628</v>
      </c>
      <c r="Z74" s="385">
        <f t="shared" si="22"/>
        <v>39.486285581787534</v>
      </c>
      <c r="AA74" s="386">
        <f t="shared" si="13"/>
        <v>42.990595587974028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8.1513409113289248E-2</v>
      </c>
      <c r="AD74" s="231">
        <f>(INDEX(Models!$BJ74:$BT74,,AH74)*(1-AF74)+INDEX(Models!$BJ74:$BT74,,AH74+1)*AF74-ERP_i)*AE74*Ramure*Pc/MaxiM</f>
        <v>4.0778229696735672E-4</v>
      </c>
      <c r="AE74" s="305">
        <f t="shared" si="15"/>
        <v>0.5</v>
      </c>
      <c r="AF74" s="177">
        <f t="shared" si="23"/>
        <v>0.50446058355791923</v>
      </c>
      <c r="AG74" s="811">
        <f t="shared" si="24"/>
        <v>1</v>
      </c>
      <c r="AH74" s="176">
        <f t="shared" si="16"/>
        <v>7</v>
      </c>
      <c r="AI74" s="225">
        <f t="shared" si="17"/>
        <v>1.5044605835579192</v>
      </c>
      <c r="AJ74" s="265" t="b">
        <f t="shared" si="18"/>
        <v>0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'2024'!Wh/'2024'!Env_an*'2025'!Env_an</f>
        <v>10.875586466961144</v>
      </c>
      <c r="C75" s="841"/>
      <c r="D75" s="393">
        <f t="shared" si="0"/>
        <v>11.477395636259486</v>
      </c>
      <c r="E75" s="385">
        <f t="shared" si="1"/>
        <v>11.839822779063793</v>
      </c>
      <c r="F75" s="385">
        <f t="shared" si="2"/>
        <v>11.839822779063793</v>
      </c>
      <c r="G75" s="110">
        <f t="shared" si="21"/>
        <v>0.26686067480447373</v>
      </c>
      <c r="H75" s="414" t="b">
        <f>Wh_hp&gt;='2024'!Maxi_hp</f>
        <v>0</v>
      </c>
      <c r="I75" s="390">
        <f>IF(H75,Wh_hp,'2024'!Maxi_hp)</f>
        <v>29.154269715170336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5.2434296801366798E-2</v>
      </c>
      <c r="M75" s="845"/>
      <c r="N75" s="845"/>
      <c r="O75" s="48">
        <f>IF(t&lt;Tnet,'2024'!Resal+('2024'!Salim-'2024'!Resal)*(1-EXP(('2024'!Tnet-t)/('2024'!Tau_j))),Resal+(Salim-Resal)*(1-EXP((Tnet-t)/(Tau_j))))*Salcycl</f>
        <v>3.0610858757546898E-2</v>
      </c>
      <c r="P75" s="169">
        <f>(INDEX(Models!$BJ75:$BT75,,T75)*(1-R75)+INDEX(Models!$BJ75:$BT75,,T75+1)*R75-ERP_i)*Q75*Ramure*Pc/MaxiM</f>
        <v>4.1077024756683576E-4</v>
      </c>
      <c r="Q75" s="305">
        <f t="shared" si="4"/>
        <v>0.5</v>
      </c>
      <c r="R75" s="177">
        <f t="shared" si="5"/>
        <v>0.50478120452718089</v>
      </c>
      <c r="S75" s="811">
        <f t="shared" si="6"/>
        <v>1</v>
      </c>
      <c r="T75" s="176">
        <f t="shared" si="7"/>
        <v>7</v>
      </c>
      <c r="U75" s="251">
        <f t="shared" si="8"/>
        <v>1.5047812045271809</v>
      </c>
      <c r="V75" s="383">
        <f t="shared" si="9"/>
        <v>40.737059169848983</v>
      </c>
      <c r="W75" s="402">
        <f t="shared" si="10"/>
        <v>10.875586466961144</v>
      </c>
      <c r="X75" s="157">
        <f t="shared" si="11"/>
        <v>45718</v>
      </c>
      <c r="Y75" s="385">
        <f t="shared" si="12"/>
        <v>10.304206439859065</v>
      </c>
      <c r="Z75" s="385">
        <f t="shared" si="22"/>
        <v>10.8743978439446</v>
      </c>
      <c r="AA75" s="386">
        <f t="shared" si="13"/>
        <v>11.839822779063793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8.1540488665619401E-2</v>
      </c>
      <c r="AD75" s="231">
        <f>(INDEX(Models!$BJ75:$BT75,,AH75)*(1-AF75)+INDEX(Models!$BJ75:$BT75,,AH75+1)*AF75-ERP_i)*AE75*Ramure*Pc/MaxiM</f>
        <v>4.1077024756683576E-4</v>
      </c>
      <c r="AE75" s="305">
        <f t="shared" si="15"/>
        <v>0.5</v>
      </c>
      <c r="AF75" s="177">
        <f t="shared" si="23"/>
        <v>0.50478120452718089</v>
      </c>
      <c r="AG75" s="811">
        <f t="shared" si="24"/>
        <v>1</v>
      </c>
      <c r="AH75" s="176">
        <f t="shared" si="16"/>
        <v>7</v>
      </c>
      <c r="AI75" s="225">
        <f t="shared" si="17"/>
        <v>1.5047812045271809</v>
      </c>
      <c r="AJ75" s="265" t="b">
        <f t="shared" si="18"/>
        <v>0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'2024'!Wh/'2024'!Env_an*'2025'!Env_an</f>
        <v>35.050041850175553</v>
      </c>
      <c r="C76" s="841"/>
      <c r="D76" s="393">
        <f t="shared" si="0"/>
        <v>36.990373791011699</v>
      </c>
      <c r="E76" s="385">
        <f t="shared" si="1"/>
        <v>38.161306086287851</v>
      </c>
      <c r="F76" s="385">
        <f t="shared" si="2"/>
        <v>38.173712280343814</v>
      </c>
      <c r="G76" s="110">
        <f t="shared" si="21"/>
        <v>0.85333870249746069</v>
      </c>
      <c r="H76" s="414" t="b">
        <f>Wh_hp&gt;='2024'!Maxi_hp</f>
        <v>0</v>
      </c>
      <c r="I76" s="390">
        <f>IF(H76,Wh_hp,'2024'!Maxi_hp)</f>
        <v>39.010447727103518</v>
      </c>
      <c r="J76" s="85">
        <f>IF(H76,An,'2024'!An_max)</f>
        <v>2019</v>
      </c>
      <c r="K76" s="197">
        <f t="shared" si="3"/>
        <v>45719</v>
      </c>
      <c r="L76" s="147">
        <f>IF(t&lt;Tvie,1-EXP((T0-t)*PertePVj)+'2024'!Pspv,1-EXP((T0-t)*PertePVj)+Pspv)</f>
        <v>5.2455050922130098E-2</v>
      </c>
      <c r="M76" s="845"/>
      <c r="N76" s="845"/>
      <c r="O76" s="48">
        <f>IF(t&lt;Tnet,'2024'!Resal+('2024'!Salim-'2024'!Resal)*(1-EXP(('2024'!Tnet-t)/('2024'!Tau_j))),Resal+(Salim-Resal)*(1-EXP((Tnet-t)/(Tau_j))))*Salcycl</f>
        <v>3.0683758376312303E-2</v>
      </c>
      <c r="P76" s="169">
        <f>(INDEX(Models!$BJ76:$BT76,,T76)*(1-R76)+INDEX(Models!$BJ76:$BT76,,T76+1)*R76-ERP_i)*Q76*Ramure*Pc/MaxiM</f>
        <v>4.110772966239784E-4</v>
      </c>
      <c r="Q76" s="305">
        <f t="shared" si="4"/>
        <v>0.5</v>
      </c>
      <c r="R76" s="177">
        <f t="shared" si="5"/>
        <v>0.50511483293703874</v>
      </c>
      <c r="S76" s="811">
        <f t="shared" si="6"/>
        <v>1</v>
      </c>
      <c r="T76" s="176">
        <f t="shared" si="7"/>
        <v>7</v>
      </c>
      <c r="U76" s="251">
        <f t="shared" si="8"/>
        <v>1.5051148329370387</v>
      </c>
      <c r="V76" s="383">
        <f t="shared" si="9"/>
        <v>41.070472384398428</v>
      </c>
      <c r="W76" s="402">
        <f t="shared" si="10"/>
        <v>35.050041850175553</v>
      </c>
      <c r="X76" s="157">
        <f t="shared" si="11"/>
        <v>45719</v>
      </c>
      <c r="Y76" s="385">
        <f t="shared" si="12"/>
        <v>33.210106693023988</v>
      </c>
      <c r="Z76" s="385">
        <f t="shared" si="22"/>
        <v>35.048581838089412</v>
      </c>
      <c r="AA76" s="386">
        <f t="shared" si="13"/>
        <v>38.161306086287851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8.1567550155651231E-2</v>
      </c>
      <c r="AD76" s="231">
        <f>(INDEX(Models!$BJ76:$BT76,,AH76)*(1-AF76)+INDEX(Models!$BJ76:$BT76,,AH76+1)*AF76-ERP_i)*AE76*Ramure*Pc/MaxiM</f>
        <v>4.110772966239784E-4</v>
      </c>
      <c r="AE76" s="305">
        <f t="shared" si="15"/>
        <v>0.5</v>
      </c>
      <c r="AF76" s="177">
        <f t="shared" si="23"/>
        <v>0.50511483293703874</v>
      </c>
      <c r="AG76" s="811">
        <f t="shared" si="24"/>
        <v>1</v>
      </c>
      <c r="AH76" s="176">
        <f t="shared" si="16"/>
        <v>7</v>
      </c>
      <c r="AI76" s="225">
        <f t="shared" si="17"/>
        <v>1.5051148329370387</v>
      </c>
      <c r="AJ76" s="265" t="b">
        <f t="shared" si="18"/>
        <v>0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'2024'!Wh/'2024'!Env_an*'2025'!Env_an</f>
        <v>4.0313687671608003</v>
      </c>
      <c r="C77" s="841"/>
      <c r="D77" s="393">
        <f t="shared" si="0"/>
        <v>4.2546341156061702</v>
      </c>
      <c r="E77" s="385">
        <f t="shared" si="1"/>
        <v>4.3896446595158034</v>
      </c>
      <c r="F77" s="385">
        <f t="shared" si="2"/>
        <v>4.3896446595158034</v>
      </c>
      <c r="G77" s="110">
        <f t="shared" si="21"/>
        <v>9.7328865340218659E-2</v>
      </c>
      <c r="H77" s="414" t="b">
        <f>Wh_hp&gt;='2024'!Maxi_hp</f>
        <v>0</v>
      </c>
      <c r="I77" s="390">
        <f>IF(H77,Wh_hp,'2024'!Maxi_hp)</f>
        <v>30.286197485540761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5.2475804588324904E-2</v>
      </c>
      <c r="M77" s="845"/>
      <c r="N77" s="845"/>
      <c r="O77" s="48">
        <f>IF(t&lt;Tnet,'2024'!Resal+('2024'!Salim-'2024'!Resal)*(1-EXP(('2024'!Tnet-t)/('2024'!Tau_j))),Resal+(Salim-Resal)*(1-EXP((Tnet-t)/(Tau_j))))*Salcycl</f>
        <v>3.0756599766443415E-2</v>
      </c>
      <c r="P77" s="169">
        <f>(INDEX(Models!$BJ77:$BT77,,T77)*(1-R77)+INDEX(Models!$BJ77:$BT77,,T77+1)*R77-ERP_i)*Q77*Ramure*Pc/MaxiM</f>
        <v>4.0877131425732101E-4</v>
      </c>
      <c r="Q77" s="305">
        <f t="shared" si="4"/>
        <v>0.5</v>
      </c>
      <c r="R77" s="177">
        <f t="shared" si="5"/>
        <v>0.50546197748213695</v>
      </c>
      <c r="S77" s="811">
        <f t="shared" si="6"/>
        <v>1</v>
      </c>
      <c r="T77" s="176">
        <f t="shared" si="7"/>
        <v>7</v>
      </c>
      <c r="U77" s="251">
        <f t="shared" si="8"/>
        <v>1.5054619774821369</v>
      </c>
      <c r="V77" s="383">
        <f t="shared" si="9"/>
        <v>41.403142276091174</v>
      </c>
      <c r="W77" s="402">
        <f t="shared" si="10"/>
        <v>4.0313687671608003</v>
      </c>
      <c r="X77" s="157">
        <f t="shared" si="11"/>
        <v>45720</v>
      </c>
      <c r="Y77" s="385">
        <f t="shared" si="12"/>
        <v>3.8199185314150697</v>
      </c>
      <c r="Z77" s="385">
        <f t="shared" si="22"/>
        <v>4.0314733385308568</v>
      </c>
      <c r="AA77" s="386">
        <f t="shared" si="13"/>
        <v>4.3896446595158034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8.1594604749728045E-2</v>
      </c>
      <c r="AD77" s="231">
        <f>(INDEX(Models!$BJ77:$BT77,,AH77)*(1-AF77)+INDEX(Models!$BJ77:$BT77,,AH77+1)*AF77-ERP_i)*AE77*Ramure*Pc/MaxiM</f>
        <v>4.0877131425732101E-4</v>
      </c>
      <c r="AE77" s="305">
        <f t="shared" si="15"/>
        <v>0.5</v>
      </c>
      <c r="AF77" s="177">
        <f t="shared" si="23"/>
        <v>0.50546197748213695</v>
      </c>
      <c r="AG77" s="811">
        <f t="shared" si="24"/>
        <v>1</v>
      </c>
      <c r="AH77" s="176">
        <f t="shared" si="16"/>
        <v>7</v>
      </c>
      <c r="AI77" s="225">
        <f t="shared" si="17"/>
        <v>1.5054619774821369</v>
      </c>
      <c r="AJ77" s="265" t="b">
        <f t="shared" si="18"/>
        <v>0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'2024'!Wh/'2024'!Env_an*'2025'!Env_an</f>
        <v>13.345738763264613</v>
      </c>
      <c r="C78" s="841"/>
      <c r="D78" s="393">
        <f t="shared" si="0"/>
        <v>14.08516124466705</v>
      </c>
      <c r="E78" s="385">
        <f t="shared" si="1"/>
        <v>14.533211250981712</v>
      </c>
      <c r="F78" s="385">
        <f t="shared" si="2"/>
        <v>14.533377086975472</v>
      </c>
      <c r="G78" s="110">
        <f t="shared" si="21"/>
        <v>0.31964952485944897</v>
      </c>
      <c r="H78" s="414" t="b">
        <f>Wh_hp&gt;='2024'!Maxi_hp</f>
        <v>0</v>
      </c>
      <c r="I78" s="390">
        <f>IF(H78,Wh_hp,'2024'!Maxi_hp)</f>
        <v>44.531611979407565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5.2496557799961208E-2</v>
      </c>
      <c r="M78" s="845"/>
      <c r="N78" s="845"/>
      <c r="O78" s="48">
        <f>IF(t&lt;Tnet,'2024'!Resal+('2024'!Salim-'2024'!Resal)*(1-EXP(('2024'!Tnet-t)/('2024'!Tau_j))),Resal+(Salim-Resal)*(1-EXP((Tnet-t)/(Tau_j))))*Salcycl</f>
        <v>3.082938784670846E-2</v>
      </c>
      <c r="P78" s="169">
        <f>(INDEX(Models!$BJ78:$BT78,,T78)*(1-R78)+INDEX(Models!$BJ78:$BT78,,T78+1)*R78-ERP_i)*Q78*Ramure*Pc/MaxiM</f>
        <v>4.039177324260772E-4</v>
      </c>
      <c r="Q78" s="305">
        <f t="shared" si="4"/>
        <v>0.5</v>
      </c>
      <c r="R78" s="177">
        <f t="shared" si="5"/>
        <v>0.50582316515403258</v>
      </c>
      <c r="S78" s="811">
        <f t="shared" si="6"/>
        <v>1</v>
      </c>
      <c r="T78" s="176">
        <f t="shared" si="7"/>
        <v>7</v>
      </c>
      <c r="U78" s="251">
        <f t="shared" si="8"/>
        <v>1.5058231651540326</v>
      </c>
      <c r="V78" s="383">
        <f t="shared" si="9"/>
        <v>41.734773148899563</v>
      </c>
      <c r="W78" s="402">
        <f t="shared" si="10"/>
        <v>13.345738763264613</v>
      </c>
      <c r="X78" s="157">
        <f t="shared" si="11"/>
        <v>45721</v>
      </c>
      <c r="Y78" s="385">
        <f t="shared" si="12"/>
        <v>12.646315507159249</v>
      </c>
      <c r="Z78" s="385">
        <f t="shared" si="22"/>
        <v>13.346986347400872</v>
      </c>
      <c r="AA78" s="386">
        <f t="shared" si="13"/>
        <v>14.533211250981712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8.1621665239381275E-2</v>
      </c>
      <c r="AD78" s="231">
        <f>(INDEX(Models!$BJ78:$BT78,,AH78)*(1-AF78)+INDEX(Models!$BJ78:$BT78,,AH78+1)*AF78-ERP_i)*AE78*Ramure*Pc/MaxiM</f>
        <v>4.039177324260772E-4</v>
      </c>
      <c r="AE78" s="305">
        <f t="shared" si="15"/>
        <v>0.5</v>
      </c>
      <c r="AF78" s="177">
        <f t="shared" si="23"/>
        <v>0.50582316515403258</v>
      </c>
      <c r="AG78" s="811">
        <f t="shared" si="24"/>
        <v>1</v>
      </c>
      <c r="AH78" s="176">
        <f t="shared" si="16"/>
        <v>7</v>
      </c>
      <c r="AI78" s="225">
        <f t="shared" si="17"/>
        <v>1.5058231651540326</v>
      </c>
      <c r="AJ78" s="265" t="b">
        <f t="shared" si="18"/>
        <v>0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'2024'!Wh/'2024'!Env_an*'2025'!Env_an</f>
        <v>15.945450530706303</v>
      </c>
      <c r="C79" s="841"/>
      <c r="D79" s="393">
        <f t="shared" ref="D79:D142" si="25">Wh/(1-Ppv)</f>
        <v>16.829279002533582</v>
      </c>
      <c r="E79" s="385">
        <f t="shared" si="1"/>
        <v>17.365922980512813</v>
      </c>
      <c r="F79" s="385">
        <f t="shared" ref="F79:F142" si="26">Wh_sa/(1-Pvg*MEDIAN((-Sdif+Wh/Env_an)/Csdif,0,1))</f>
        <v>17.366700786252046</v>
      </c>
      <c r="G79" s="110">
        <f t="shared" si="21"/>
        <v>0.37892244512815049</v>
      </c>
      <c r="H79" s="414" t="b">
        <f>Wh_hp&gt;='2024'!Maxi_hp</f>
        <v>0</v>
      </c>
      <c r="I79" s="390">
        <f>IF(H79,Wh_hp,'2024'!Maxi_hp)</f>
        <v>23.382336400970807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5.2517310557048891E-2</v>
      </c>
      <c r="M79" s="845"/>
      <c r="N79" s="845"/>
      <c r="O79" s="48">
        <f>IF(t&lt;Tnet,'2024'!Resal+('2024'!Salim-'2024'!Resal)*(1-EXP(('2024'!Tnet-t)/('2024'!Tau_j))),Resal+(Salim-Resal)*(1-EXP((Tnet-t)/(Tau_j))))*Salcycl</f>
        <v>3.0902128184112462E-2</v>
      </c>
      <c r="P79" s="169">
        <f>(INDEX(Models!$BJ79:$BT79,,T79)*(1-R79)+INDEX(Models!$BJ79:$BT79,,T79+1)*R79-ERP_i)*Q79*Ramure*Pc/MaxiM</f>
        <v>3.9656843797160991E-4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0.50619894176393077</v>
      </c>
      <c r="S79" s="811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1.5061989417639308</v>
      </c>
      <c r="V79" s="383">
        <f t="shared" ref="V79:V142" si="33">MaxiM*(1-Ppv)*(1-Pvg)*(1-Psa)</f>
        <v>42.066235911684608</v>
      </c>
      <c r="W79" s="402">
        <f t="shared" ref="W79:W142" si="34">Wh*(A79&gt;Tmaj)</f>
        <v>15.945450530706303</v>
      </c>
      <c r="X79" s="157">
        <f t="shared" ref="X79:X142" si="35">t</f>
        <v>45722</v>
      </c>
      <c r="Y79" s="385">
        <f t="shared" ref="Y79:Y142" si="36">Wh_pvt_s*(1-Ppv)</f>
        <v>15.110470176367082</v>
      </c>
      <c r="Z79" s="385">
        <f t="shared" ref="Z79:Z142" si="37">Wh_sa_s*(1-Psa_s)</f>
        <v>15.948017145570129</v>
      </c>
      <c r="AA79" s="386">
        <f t="shared" ref="AA79:AA142" si="38">Wh_hp*(1-Pvg_s*MEDIAN((-Sdif+Wh/Env_an)/Csdif,0,1))</f>
        <v>17.365922980512813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8.1648746025983668E-2</v>
      </c>
      <c r="AD79" s="231">
        <f>(INDEX(Models!$BJ79:$BT79,,AH79)*(1-AF79)+INDEX(Models!$BJ79:$BT79,,AH79+1)*AF79-ERP_i)*AE79*Ramure*Pc/MaxiM</f>
        <v>3.9656843797160991E-4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0.50619894176393077</v>
      </c>
      <c r="AG79" s="811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1.5061989417639308</v>
      </c>
      <c r="AJ79" s="265" t="b">
        <f t="shared" ref="AJ79:AJ142" si="44">t&lt;Tnet</f>
        <v>0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'2024'!Wh/'2024'!Env_an*'2025'!Env_an</f>
        <v>37.243539969704663</v>
      </c>
      <c r="C80" s="841"/>
      <c r="D80" s="393">
        <f t="shared" si="25"/>
        <v>39.308745301274975</v>
      </c>
      <c r="E80" s="385">
        <f t="shared" ref="E80:E143" si="47">Wh_pvt/(1-Psa)</f>
        <v>40.565246802804324</v>
      </c>
      <c r="F80" s="385">
        <f t="shared" si="26"/>
        <v>40.578198638518273</v>
      </c>
      <c r="G80" s="110">
        <f t="shared" ref="G80:G143" si="48">+Wh_hp/MaxiM</f>
        <v>0.87835774789138765</v>
      </c>
      <c r="H80" s="414" t="b">
        <f>Wh_hp&gt;='2024'!Maxi_hp</f>
        <v>0</v>
      </c>
      <c r="I80" s="390">
        <f>IF(H80,Wh_hp,'2024'!Maxi_hp)</f>
        <v>42.685529835046331</v>
      </c>
      <c r="J80" s="85">
        <f>IF(H80,An,'2024'!An_max)</f>
        <v>2019</v>
      </c>
      <c r="K80" s="197">
        <f t="shared" si="27"/>
        <v>45723</v>
      </c>
      <c r="L80" s="147">
        <f>IF(t&lt;Tvie,1-EXP((T0-t)*PertePVj)+'2024'!Pspv,1-EXP((T0-t)*PertePVj)+Pspv)</f>
        <v>5.2538062859597945E-2</v>
      </c>
      <c r="M80" s="845"/>
      <c r="N80" s="845"/>
      <c r="O80" s="48">
        <f>IF(t&lt;Tnet,'2024'!Resal+('2024'!Salim-'2024'!Resal)*(1-EXP(('2024'!Tnet-t)/('2024'!Tau_j))),Resal+(Salim-Resal)*(1-EXP((Tnet-t)/(Tau_j))))*Salcycl</f>
        <v>3.0974826990143849E-2</v>
      </c>
      <c r="P80" s="169">
        <f>(INDEX(Models!$BJ80:$BT80,,T80)*(1-R80)+INDEX(Models!$BJ80:$BT80,,T80+1)*R80-ERP_i)*Q80*Ramure*Pc/MaxiM</f>
        <v>3.8627426844850462E-4</v>
      </c>
      <c r="Q80" s="305">
        <f t="shared" si="28"/>
        <v>0.5</v>
      </c>
      <c r="R80" s="177">
        <f t="shared" si="29"/>
        <v>0.5065898724683664</v>
      </c>
      <c r="S80" s="811">
        <f t="shared" si="30"/>
        <v>1</v>
      </c>
      <c r="T80" s="176">
        <f t="shared" si="31"/>
        <v>7</v>
      </c>
      <c r="U80" s="251">
        <f t="shared" si="32"/>
        <v>1.5065898724683664</v>
      </c>
      <c r="V80" s="383">
        <f t="shared" si="33"/>
        <v>42.398487987850125</v>
      </c>
      <c r="W80" s="402">
        <f t="shared" si="34"/>
        <v>37.243539969704663</v>
      </c>
      <c r="X80" s="157">
        <f t="shared" si="35"/>
        <v>45723</v>
      </c>
      <c r="Y80" s="385">
        <f t="shared" si="36"/>
        <v>35.294894963081731</v>
      </c>
      <c r="Z80" s="385">
        <f t="shared" si="37"/>
        <v>37.252045258522578</v>
      </c>
      <c r="AA80" s="386">
        <f t="shared" si="38"/>
        <v>40.565246802804324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8.1675863095025003E-2</v>
      </c>
      <c r="AD80" s="231">
        <f>(INDEX(Models!$BJ80:$BT80,,AH80)*(1-AF80)+INDEX(Models!$BJ80:$BT80,,AH80+1)*AF80-ERP_i)*AE80*Ramure*Pc/MaxiM</f>
        <v>3.8627426844850462E-4</v>
      </c>
      <c r="AE80" s="305">
        <f t="shared" si="40"/>
        <v>0.5</v>
      </c>
      <c r="AF80" s="177">
        <f t="shared" si="41"/>
        <v>0.5065898724683664</v>
      </c>
      <c r="AG80" s="811">
        <f t="shared" ref="AG80:AG143" si="49">INDEX(Echel_vg,AH80)</f>
        <v>1</v>
      </c>
      <c r="AH80" s="176">
        <f t="shared" si="42"/>
        <v>7</v>
      </c>
      <c r="AI80" s="225">
        <f t="shared" si="43"/>
        <v>1.5065898724683664</v>
      </c>
      <c r="AJ80" s="265" t="b">
        <f t="shared" si="44"/>
        <v>0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'2024'!Wh/'2024'!Env_an*'2025'!Env_an</f>
        <v>32.186114383209095</v>
      </c>
      <c r="C81" s="841"/>
      <c r="D81" s="393">
        <f t="shared" si="25"/>
        <v>33.971622600801773</v>
      </c>
      <c r="E81" s="385">
        <f t="shared" si="47"/>
        <v>35.060152369931231</v>
      </c>
      <c r="F81" s="385">
        <f t="shared" si="26"/>
        <v>35.068634095456815</v>
      </c>
      <c r="G81" s="110">
        <f t="shared" si="48"/>
        <v>0.75312160273398243</v>
      </c>
      <c r="H81" s="414" t="b">
        <f>Wh_hp&gt;='2024'!Maxi_hp</f>
        <v>0</v>
      </c>
      <c r="I81" s="390">
        <f>IF(H81,Wh_hp,'2024'!Maxi_hp)</f>
        <v>35.07193791062771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5.2558814707618251E-2</v>
      </c>
      <c r="M81" s="845"/>
      <c r="N81" s="845"/>
      <c r="O81" s="48">
        <f>IF(t&lt;Tnet,'2024'!Resal+('2024'!Salim-'2024'!Resal)*(1-EXP(('2024'!Tnet-t)/('2024'!Tau_j))),Resal+(Salim-Resal)*(1-EXP((Tnet-t)/(Tau_j))))*Salcycl</f>
        <v>3.1047491113102434E-2</v>
      </c>
      <c r="P81" s="169">
        <f>(INDEX(Models!$BJ81:$BT81,,T81)*(1-R81)+INDEX(Models!$BJ81:$BT81,,T81+1)*R81-ERP_i)*Q81*Ramure*Pc/MaxiM</f>
        <v>3.7355413704676002E-4</v>
      </c>
      <c r="Q81" s="305">
        <f t="shared" si="28"/>
        <v>0.5</v>
      </c>
      <c r="R81" s="177">
        <f t="shared" si="29"/>
        <v>0.50699654229657654</v>
      </c>
      <c r="S81" s="811">
        <f t="shared" si="30"/>
        <v>1</v>
      </c>
      <c r="T81" s="176">
        <f t="shared" si="31"/>
        <v>7</v>
      </c>
      <c r="U81" s="251">
        <f t="shared" si="32"/>
        <v>1.5069965422965765</v>
      </c>
      <c r="V81" s="383">
        <f t="shared" si="33"/>
        <v>42.731312635267919</v>
      </c>
      <c r="W81" s="402">
        <f t="shared" si="34"/>
        <v>32.186114383209095</v>
      </c>
      <c r="X81" s="157">
        <f t="shared" si="35"/>
        <v>45724</v>
      </c>
      <c r="Y81" s="385">
        <f t="shared" si="36"/>
        <v>30.50346731648623</v>
      </c>
      <c r="Z81" s="385">
        <f t="shared" si="37"/>
        <v>32.195631549490656</v>
      </c>
      <c r="AA81" s="386">
        <f t="shared" si="38"/>
        <v>35.060152369931231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8.1703033980459444E-2</v>
      </c>
      <c r="AD81" s="231">
        <f>(INDEX(Models!$BJ81:$BT81,,AH81)*(1-AF81)+INDEX(Models!$BJ81:$BT81,,AH81+1)*AF81-ERP_i)*AE81*Ramure*Pc/MaxiM</f>
        <v>3.7355413704676002E-4</v>
      </c>
      <c r="AE81" s="305">
        <f t="shared" si="40"/>
        <v>0.5</v>
      </c>
      <c r="AF81" s="177">
        <f t="shared" si="41"/>
        <v>0.50699654229657654</v>
      </c>
      <c r="AG81" s="811">
        <f t="shared" si="49"/>
        <v>1</v>
      </c>
      <c r="AH81" s="176">
        <f t="shared" si="42"/>
        <v>7</v>
      </c>
      <c r="AI81" s="225">
        <f t="shared" si="43"/>
        <v>1.5069965422965765</v>
      </c>
      <c r="AJ81" s="265" t="b">
        <f t="shared" si="44"/>
        <v>0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'2024'!Wh/'2024'!Env_an*'2025'!Env_an</f>
        <v>28.719414618715557</v>
      </c>
      <c r="C82" s="841"/>
      <c r="D82" s="393">
        <f t="shared" si="25"/>
        <v>30.313273380148384</v>
      </c>
      <c r="E82" s="385">
        <f t="shared" si="47"/>
        <v>31.286926539622115</v>
      </c>
      <c r="F82" s="385">
        <f t="shared" si="26"/>
        <v>31.292805905053385</v>
      </c>
      <c r="G82" s="110">
        <f t="shared" si="48"/>
        <v>0.66677905054034525</v>
      </c>
      <c r="H82" s="414" t="b">
        <f>Wh_hp&gt;='2024'!Maxi_hp</f>
        <v>0</v>
      </c>
      <c r="I82" s="390">
        <f>IF(H82,Wh_hp,'2024'!Maxi_hp)</f>
        <v>44.010087492548095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5.2579566101119801E-2</v>
      </c>
      <c r="M82" s="845"/>
      <c r="N82" s="845"/>
      <c r="O82" s="48">
        <f>IF(t&lt;Tnet,'2024'!Resal+('2024'!Salim-'2024'!Resal)*(1-EXP(('2024'!Tnet-t)/('2024'!Tau_j))),Resal+(Salim-Resal)*(1-EXP((Tnet-t)/(Tau_j))))*Salcycl</f>
        <v>3.1120128026659564E-2</v>
      </c>
      <c r="P82" s="169">
        <f>(INDEX(Models!$BJ82:$BT82,,T82)*(1-R82)+INDEX(Models!$BJ82:$BT82,,T82+1)*R82-ERP_i)*Q82*Ramure*Pc/MaxiM</f>
        <v>3.584633524599783E-4</v>
      </c>
      <c r="Q82" s="305">
        <f t="shared" si="28"/>
        <v>0.5</v>
      </c>
      <c r="R82" s="177">
        <f t="shared" si="29"/>
        <v>0.50741955667816341</v>
      </c>
      <c r="S82" s="811">
        <f t="shared" si="30"/>
        <v>1</v>
      </c>
      <c r="T82" s="176">
        <f t="shared" si="31"/>
        <v>7</v>
      </c>
      <c r="U82" s="251">
        <f t="shared" si="32"/>
        <v>1.5074195566781634</v>
      </c>
      <c r="V82" s="383">
        <f t="shared" si="33"/>
        <v>43.06451243161176</v>
      </c>
      <c r="W82" s="402">
        <f t="shared" si="34"/>
        <v>28.719414618715557</v>
      </c>
      <c r="X82" s="157">
        <f t="shared" si="35"/>
        <v>45725</v>
      </c>
      <c r="Y82" s="385">
        <f t="shared" si="36"/>
        <v>27.219234962812401</v>
      </c>
      <c r="Z82" s="385">
        <f t="shared" si="37"/>
        <v>28.729837344544286</v>
      </c>
      <c r="AA82" s="386">
        <f t="shared" si="38"/>
        <v>31.286926539622115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8.1730277719657213E-2</v>
      </c>
      <c r="AD82" s="231">
        <f>(INDEX(Models!$BJ82:$BT82,,AH82)*(1-AF82)+INDEX(Models!$BJ82:$BT82,,AH82+1)*AF82-ERP_i)*AE82*Ramure*Pc/MaxiM</f>
        <v>3.584633524599783E-4</v>
      </c>
      <c r="AE82" s="305">
        <f t="shared" si="40"/>
        <v>0.5</v>
      </c>
      <c r="AF82" s="177">
        <f t="shared" si="41"/>
        <v>0.50741955667816341</v>
      </c>
      <c r="AG82" s="811">
        <f t="shared" si="49"/>
        <v>1</v>
      </c>
      <c r="AH82" s="176">
        <f t="shared" si="42"/>
        <v>7</v>
      </c>
      <c r="AI82" s="225">
        <f t="shared" si="43"/>
        <v>1.5074195566781634</v>
      </c>
      <c r="AJ82" s="265" t="b">
        <f t="shared" si="44"/>
        <v>0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'2024'!Wh/'2024'!Env_an*'2025'!Env_an</f>
        <v>24.948522741185894</v>
      </c>
      <c r="C83" s="841"/>
      <c r="D83" s="393">
        <f t="shared" si="25"/>
        <v>26.333682805593899</v>
      </c>
      <c r="E83" s="385">
        <f t="shared" si="47"/>
        <v>27.181549985133312</v>
      </c>
      <c r="F83" s="385">
        <f t="shared" si="26"/>
        <v>27.185190809348001</v>
      </c>
      <c r="G83" s="110">
        <f t="shared" si="48"/>
        <v>0.57475961388975327</v>
      </c>
      <c r="H83" s="414" t="b">
        <f>Wh_hp&gt;='2024'!Maxi_hp</f>
        <v>0</v>
      </c>
      <c r="I83" s="390">
        <f>IF(H83,Wh_hp,'2024'!Maxi_hp)</f>
        <v>43.468612982947825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5.2600317040112698E-2</v>
      </c>
      <c r="M83" s="845"/>
      <c r="N83" s="845"/>
      <c r="O83" s="48">
        <f>IF(t&lt;Tnet,'2024'!Resal+('2024'!Salim-'2024'!Resal)*(1-EXP(('2024'!Tnet-t)/('2024'!Tau_j))),Resal+(Salim-Resal)*(1-EXP((Tnet-t)/(Tau_j))))*Salcycl</f>
        <v>3.1192745814832033E-2</v>
      </c>
      <c r="P83" s="169">
        <f>(INDEX(Models!$BJ83:$BT83,,T83)*(1-R83)+INDEX(Models!$BJ83:$BT83,,T83+1)*R83-ERP_i)*Q83*Ramure*Pc/MaxiM</f>
        <v>3.4105488293804319E-4</v>
      </c>
      <c r="Q83" s="305">
        <f t="shared" si="28"/>
        <v>0.5</v>
      </c>
      <c r="R83" s="177">
        <f t="shared" si="29"/>
        <v>0.50785954196950023</v>
      </c>
      <c r="S83" s="811">
        <f t="shared" si="30"/>
        <v>1</v>
      </c>
      <c r="T83" s="176">
        <f t="shared" si="31"/>
        <v>7</v>
      </c>
      <c r="U83" s="251">
        <f t="shared" si="32"/>
        <v>1.5078595419695002</v>
      </c>
      <c r="V83" s="383">
        <f t="shared" si="33"/>
        <v>43.397890013955298</v>
      </c>
      <c r="W83" s="402">
        <f t="shared" si="34"/>
        <v>24.948522741185894</v>
      </c>
      <c r="X83" s="157">
        <f t="shared" si="35"/>
        <v>45726</v>
      </c>
      <c r="Y83" s="385">
        <f t="shared" si="36"/>
        <v>23.646386760761462</v>
      </c>
      <c r="Z83" s="385">
        <f t="shared" si="37"/>
        <v>24.959251291793652</v>
      </c>
      <c r="AA83" s="386">
        <f t="shared" si="38"/>
        <v>27.181549985133312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8.1757614799565351E-2</v>
      </c>
      <c r="AD83" s="231">
        <f>(INDEX(Models!$BJ83:$BT83,,AH83)*(1-AF83)+INDEX(Models!$BJ83:$BT83,,AH83+1)*AF83-ERP_i)*AE83*Ramure*Pc/MaxiM</f>
        <v>3.4105488293804319E-4</v>
      </c>
      <c r="AE83" s="305">
        <f t="shared" si="40"/>
        <v>0.5</v>
      </c>
      <c r="AF83" s="177">
        <f t="shared" si="41"/>
        <v>0.50785954196950023</v>
      </c>
      <c r="AG83" s="811">
        <f t="shared" si="49"/>
        <v>1</v>
      </c>
      <c r="AH83" s="176">
        <f t="shared" si="42"/>
        <v>7</v>
      </c>
      <c r="AI83" s="225">
        <f t="shared" si="43"/>
        <v>1.5078595419695002</v>
      </c>
      <c r="AJ83" s="265" t="b">
        <f t="shared" si="44"/>
        <v>0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'2024'!Wh/'2024'!Env_an*'2025'!Env_an</f>
        <v>15.830755480382383</v>
      </c>
      <c r="C84" s="841"/>
      <c r="D84" s="393">
        <f t="shared" si="25"/>
        <v>16.71005649135391</v>
      </c>
      <c r="E84" s="385">
        <f t="shared" si="47"/>
        <v>17.249363946826065</v>
      </c>
      <c r="F84" s="385">
        <f t="shared" si="26"/>
        <v>17.249854972160097</v>
      </c>
      <c r="G84" s="110">
        <f t="shared" si="48"/>
        <v>0.36189496060547338</v>
      </c>
      <c r="H84" s="414" t="b">
        <f>Wh_hp&gt;='2024'!Maxi_hp</f>
        <v>0</v>
      </c>
      <c r="I84" s="390">
        <f>IF(H84,Wh_hp,'2024'!Maxi_hp)</f>
        <v>34.137173352401021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5.2621067524606713E-2</v>
      </c>
      <c r="M84" s="845"/>
      <c r="N84" s="845"/>
      <c r="O84" s="48">
        <f>IF(t&lt;Tnet,'2024'!Resal+('2024'!Salim-'2024'!Resal)*(1-EXP(('2024'!Tnet-t)/('2024'!Tau_j))),Resal+(Salim-Resal)*(1-EXP((Tnet-t)/(Tau_j))))*Salcycl</f>
        <v>3.1265353153580346E-2</v>
      </c>
      <c r="P84" s="169">
        <f>(INDEX(Models!$BJ84:$BT84,,T84)*(1-R84)+INDEX(Models!$BJ84:$BT84,,T84+1)*R84-ERP_i)*Q84*Ramure*Pc/MaxiM</f>
        <v>3.213792305410022E-4</v>
      </c>
      <c r="Q84" s="305">
        <f t="shared" si="28"/>
        <v>0.5</v>
      </c>
      <c r="R84" s="177">
        <f t="shared" si="29"/>
        <v>0.50831714597716493</v>
      </c>
      <c r="S84" s="811">
        <f t="shared" si="30"/>
        <v>1</v>
      </c>
      <c r="T84" s="176">
        <f t="shared" si="31"/>
        <v>7</v>
      </c>
      <c r="U84" s="251">
        <f t="shared" si="32"/>
        <v>1.5083171459771649</v>
      </c>
      <c r="V84" s="383">
        <f t="shared" si="33"/>
        <v>43.731248083369351</v>
      </c>
      <c r="W84" s="402">
        <f t="shared" si="34"/>
        <v>15.830755480382383</v>
      </c>
      <c r="X84" s="157">
        <f t="shared" si="35"/>
        <v>45727</v>
      </c>
      <c r="Y84" s="385">
        <f t="shared" si="36"/>
        <v>15.005178279293309</v>
      </c>
      <c r="Z84" s="385">
        <f t="shared" si="37"/>
        <v>15.838623559093177</v>
      </c>
      <c r="AA84" s="386">
        <f t="shared" si="38"/>
        <v>17.249363946826065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8.1785067094747588E-2</v>
      </c>
      <c r="AD84" s="231">
        <f>(INDEX(Models!$BJ84:$BT84,,AH84)*(1-AF84)+INDEX(Models!$BJ84:$BT84,,AH84+1)*AF84-ERP_i)*AE84*Ramure*Pc/MaxiM</f>
        <v>3.213792305410022E-4</v>
      </c>
      <c r="AE84" s="305">
        <f t="shared" si="40"/>
        <v>0.5</v>
      </c>
      <c r="AF84" s="177">
        <f t="shared" si="41"/>
        <v>0.50831714597716493</v>
      </c>
      <c r="AG84" s="811">
        <f t="shared" si="49"/>
        <v>1</v>
      </c>
      <c r="AH84" s="176">
        <f t="shared" si="42"/>
        <v>7</v>
      </c>
      <c r="AI84" s="225">
        <f t="shared" si="43"/>
        <v>1.5083171459771649</v>
      </c>
      <c r="AJ84" s="265" t="b">
        <f t="shared" si="44"/>
        <v>0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'2024'!Wh/'2024'!Env_an*'2025'!Env_an</f>
        <v>14.709093066142472</v>
      </c>
      <c r="C85" s="841"/>
      <c r="D85" s="393">
        <f t="shared" si="25"/>
        <v>15.52643270381042</v>
      </c>
      <c r="E85" s="385">
        <f t="shared" si="47"/>
        <v>16.028740728209254</v>
      </c>
      <c r="F85" s="385">
        <f t="shared" si="26"/>
        <v>16.028972582428864</v>
      </c>
      <c r="G85" s="110">
        <f t="shared" si="48"/>
        <v>0.33371393141796157</v>
      </c>
      <c r="H85" s="414" t="b">
        <f>Wh_hp&gt;='2024'!Maxi_hp</f>
        <v>0</v>
      </c>
      <c r="I85" s="390">
        <f>IF(H85,Wh_hp,'2024'!Maxi_hp)</f>
        <v>42.294025676295831</v>
      </c>
      <c r="J85" s="85">
        <f>IF(H85,An,'2024'!An_max)</f>
        <v>2019</v>
      </c>
      <c r="K85" s="197">
        <f t="shared" si="27"/>
        <v>45728</v>
      </c>
      <c r="L85" s="147">
        <f>IF(t&lt;Tvie,1-EXP((T0-t)*PertePVj)+'2024'!Pspv,1-EXP((T0-t)*PertePVj)+Pspv)</f>
        <v>5.2641817554611836E-2</v>
      </c>
      <c r="M85" s="845"/>
      <c r="N85" s="845"/>
      <c r="O85" s="48">
        <f>IF(t&lt;Tnet,'2024'!Resal+('2024'!Salim-'2024'!Resal)*(1-EXP(('2024'!Tnet-t)/('2024'!Tau_j))),Resal+(Salim-Resal)*(1-EXP((Tnet-t)/(Tau_j))))*Salcycl</f>
        <v>3.1337959289266734E-2</v>
      </c>
      <c r="P85" s="169">
        <f>(INDEX(Models!$BJ85:$BT85,,T85)*(1-R85)+INDEX(Models!$BJ85:$BT85,,T85+1)*R85-ERP_i)*Q85*Ramure*Pc/MaxiM</f>
        <v>2.9948430701487498E-4</v>
      </c>
      <c r="Q85" s="305">
        <f t="shared" si="28"/>
        <v>0.5</v>
      </c>
      <c r="R85" s="177">
        <f t="shared" si="29"/>
        <v>0.50879303847652024</v>
      </c>
      <c r="S85" s="811">
        <f t="shared" si="30"/>
        <v>1</v>
      </c>
      <c r="T85" s="176">
        <f t="shared" si="31"/>
        <v>7</v>
      </c>
      <c r="U85" s="251">
        <f t="shared" si="32"/>
        <v>1.5087930384765202</v>
      </c>
      <c r="V85" s="383">
        <f t="shared" si="33"/>
        <v>44.064389409929852</v>
      </c>
      <c r="W85" s="402">
        <f t="shared" si="34"/>
        <v>14.709093066142472</v>
      </c>
      <c r="X85" s="157">
        <f t="shared" si="35"/>
        <v>45728</v>
      </c>
      <c r="Y85" s="385">
        <f t="shared" si="36"/>
        <v>13.942636854741767</v>
      </c>
      <c r="Z85" s="385">
        <f t="shared" si="37"/>
        <v>14.717386848078986</v>
      </c>
      <c r="AA85" s="386">
        <f t="shared" si="38"/>
        <v>16.028740728209254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8.1812657798026142E-2</v>
      </c>
      <c r="AD85" s="231">
        <f>(INDEX(Models!$BJ85:$BT85,,AH85)*(1-AF85)+INDEX(Models!$BJ85:$BT85,,AH85+1)*AF85-ERP_i)*AE85*Ramure*Pc/MaxiM</f>
        <v>2.9948430701487498E-4</v>
      </c>
      <c r="AE85" s="305">
        <f t="shared" si="40"/>
        <v>0.5</v>
      </c>
      <c r="AF85" s="177">
        <f t="shared" si="41"/>
        <v>0.50879303847652024</v>
      </c>
      <c r="AG85" s="811">
        <f t="shared" si="49"/>
        <v>1</v>
      </c>
      <c r="AH85" s="176">
        <f t="shared" si="42"/>
        <v>7</v>
      </c>
      <c r="AI85" s="225">
        <f t="shared" si="43"/>
        <v>1.5087930384765202</v>
      </c>
      <c r="AJ85" s="265" t="b">
        <f t="shared" si="44"/>
        <v>0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'2024'!Wh/'2024'!Env_an*'2025'!Env_an</f>
        <v>9.9843698528695466</v>
      </c>
      <c r="C86" s="841"/>
      <c r="D86" s="393">
        <f t="shared" si="25"/>
        <v>10.539401808100118</v>
      </c>
      <c r="E86" s="385">
        <f t="shared" si="47"/>
        <v>10.881186109763446</v>
      </c>
      <c r="F86" s="385">
        <f t="shared" si="26"/>
        <v>10.881186109763446</v>
      </c>
      <c r="G86" s="110">
        <f t="shared" si="48"/>
        <v>0.22482586067355634</v>
      </c>
      <c r="H86" s="414" t="b">
        <f>Wh_hp&gt;='2024'!Maxi_hp</f>
        <v>0</v>
      </c>
      <c r="I86" s="390">
        <f>IF(H86,Wh_hp,'2024'!Maxi_hp)</f>
        <v>41.647039184319176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5.266256713013806E-2</v>
      </c>
      <c r="M86" s="845"/>
      <c r="N86" s="845"/>
      <c r="O86" s="48">
        <f>IF(t&lt;Tnet,'2024'!Resal+('2024'!Salim-'2024'!Resal)*(1-EXP(('2024'!Tnet-t)/('2024'!Tau_j))),Resal+(Salim-Resal)*(1-EXP((Tnet-t)/(Tau_j))))*Salcycl</f>
        <v>3.1410574014229156E-2</v>
      </c>
      <c r="P86" s="169">
        <f>(INDEX(Models!$BJ86:$BT86,,T86)*(1-R86)+INDEX(Models!$BJ86:$BT86,,T86+1)*R86-ERP_i)*Q86*Ramure*Pc/MaxiM</f>
        <v>2.7635478278598911E-4</v>
      </c>
      <c r="Q86" s="305">
        <f t="shared" si="28"/>
        <v>0.5</v>
      </c>
      <c r="R86" s="177">
        <f t="shared" si="29"/>
        <v>0.50928791172336596</v>
      </c>
      <c r="S86" s="811">
        <f t="shared" si="30"/>
        <v>1</v>
      </c>
      <c r="T86" s="176">
        <f t="shared" si="31"/>
        <v>7</v>
      </c>
      <c r="U86" s="251">
        <f t="shared" si="32"/>
        <v>1.509287911723366</v>
      </c>
      <c r="V86" s="383">
        <f t="shared" si="33"/>
        <v>44.397075116731109</v>
      </c>
      <c r="W86" s="402">
        <f t="shared" si="34"/>
        <v>9.9843698528695466</v>
      </c>
      <c r="X86" s="157">
        <f t="shared" si="35"/>
        <v>45729</v>
      </c>
      <c r="Y86" s="385">
        <f t="shared" si="36"/>
        <v>9.4645312772904813</v>
      </c>
      <c r="Z86" s="385">
        <f t="shared" si="37"/>
        <v>9.9906653626244353</v>
      </c>
      <c r="AA86" s="386">
        <f t="shared" si="38"/>
        <v>10.881186109763446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8.184041134449177E-2</v>
      </c>
      <c r="AD86" s="231">
        <f>(INDEX(Models!$BJ86:$BT86,,AH86)*(1-AF86)+INDEX(Models!$BJ86:$BT86,,AH86+1)*AF86-ERP_i)*AE86*Ramure*Pc/MaxiM</f>
        <v>2.7635478278598911E-4</v>
      </c>
      <c r="AE86" s="305">
        <f t="shared" si="40"/>
        <v>0.5</v>
      </c>
      <c r="AF86" s="177">
        <f t="shared" si="41"/>
        <v>0.50928791172336596</v>
      </c>
      <c r="AG86" s="811">
        <f t="shared" si="49"/>
        <v>1</v>
      </c>
      <c r="AH86" s="176">
        <f t="shared" si="42"/>
        <v>7</v>
      </c>
      <c r="AI86" s="225">
        <f t="shared" si="43"/>
        <v>1.509287911723366</v>
      </c>
      <c r="AJ86" s="265" t="b">
        <f t="shared" si="44"/>
        <v>0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'2024'!Wh/'2024'!Env_an*'2025'!Env_an</f>
        <v>14.388094926852947</v>
      </c>
      <c r="C87" s="841"/>
      <c r="D87" s="393">
        <f t="shared" si="25"/>
        <v>15.18826298922037</v>
      </c>
      <c r="E87" s="385">
        <f t="shared" si="47"/>
        <v>15.681982087483377</v>
      </c>
      <c r="F87" s="385">
        <f t="shared" si="26"/>
        <v>15.682105423159499</v>
      </c>
      <c r="G87" s="110">
        <f t="shared" si="48"/>
        <v>0.32159331327215157</v>
      </c>
      <c r="H87" s="414" t="b">
        <f>Wh_hp&gt;='2024'!Maxi_hp</f>
        <v>0</v>
      </c>
      <c r="I87" s="390">
        <f>IF(H87,Wh_hp,'2024'!Maxi_hp)</f>
        <v>41.178376020580401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5.2683316251195378E-2</v>
      </c>
      <c r="M87" s="845"/>
      <c r="N87" s="845"/>
      <c r="O87" s="48">
        <f>IF(t&lt;Tnet,'2024'!Resal+('2024'!Salim-'2024'!Resal)*(1-EXP(('2024'!Tnet-t)/('2024'!Tau_j))),Resal+(Salim-Resal)*(1-EXP((Tnet-t)/(Tau_j))))*Salcycl</f>
        <v>3.1483207639745436E-2</v>
      </c>
      <c r="P87" s="169">
        <f>(INDEX(Models!$BJ87:$BT87,,T87)*(1-R87)+INDEX(Models!$BJ87:$BT87,,T87+1)*R87-ERP_i)*Q87*Ramure*Pc/MaxiM</f>
        <v>2.5402324062746091E-4</v>
      </c>
      <c r="Q87" s="305">
        <f t="shared" si="28"/>
        <v>0.5</v>
      </c>
      <c r="R87" s="177">
        <f t="shared" si="29"/>
        <v>0.50980248095640368</v>
      </c>
      <c r="S87" s="811">
        <f t="shared" si="30"/>
        <v>1</v>
      </c>
      <c r="T87" s="176">
        <f t="shared" si="31"/>
        <v>7</v>
      </c>
      <c r="U87" s="251">
        <f t="shared" si="32"/>
        <v>1.5098024809564037</v>
      </c>
      <c r="V87" s="383">
        <f t="shared" si="33"/>
        <v>44.729018152642375</v>
      </c>
      <c r="W87" s="402">
        <f t="shared" si="34"/>
        <v>14.388094926852947</v>
      </c>
      <c r="X87" s="157">
        <f t="shared" si="35"/>
        <v>45730</v>
      </c>
      <c r="Y87" s="385">
        <f t="shared" si="36"/>
        <v>13.639583114968483</v>
      </c>
      <c r="Z87" s="385">
        <f t="shared" si="37"/>
        <v>14.398124037035565</v>
      </c>
      <c r="AA87" s="386">
        <f t="shared" si="38"/>
        <v>15.681982087483377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8.186835332968069E-2</v>
      </c>
      <c r="AD87" s="231">
        <f>(INDEX(Models!$BJ87:$BT87,,AH87)*(1-AF87)+INDEX(Models!$BJ87:$BT87,,AH87+1)*AF87-ERP_i)*AE87*Ramure*Pc/MaxiM</f>
        <v>2.5402324062746091E-4</v>
      </c>
      <c r="AE87" s="305">
        <f t="shared" si="40"/>
        <v>0.5</v>
      </c>
      <c r="AF87" s="177">
        <f t="shared" si="41"/>
        <v>0.50980248095640368</v>
      </c>
      <c r="AG87" s="811">
        <f t="shared" si="49"/>
        <v>1</v>
      </c>
      <c r="AH87" s="176">
        <f t="shared" si="42"/>
        <v>7</v>
      </c>
      <c r="AI87" s="225">
        <f t="shared" si="43"/>
        <v>1.5098024809564037</v>
      </c>
      <c r="AJ87" s="265" t="b">
        <f t="shared" si="44"/>
        <v>0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'2024'!Wh/'2024'!Env_an*'2025'!Env_an</f>
        <v>14.411840050881445</v>
      </c>
      <c r="C88" s="841"/>
      <c r="D88" s="393">
        <f t="shared" si="25"/>
        <v>15.213661873921991</v>
      </c>
      <c r="E88" s="385">
        <f t="shared" si="47"/>
        <v>15.709385206462917</v>
      </c>
      <c r="F88" s="385">
        <f t="shared" si="26"/>
        <v>15.709488695559447</v>
      </c>
      <c r="G88" s="110">
        <f t="shared" si="48"/>
        <v>0.31976426631813232</v>
      </c>
      <c r="H88" s="414" t="b">
        <f>Wh_hp&gt;='2024'!Maxi_hp</f>
        <v>0</v>
      </c>
      <c r="I88" s="390">
        <f>IF(H88,Wh_hp,'2024'!Maxi_hp)</f>
        <v>31.428093358036886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5.2704064917793669E-2</v>
      </c>
      <c r="M88" s="845"/>
      <c r="N88" s="845"/>
      <c r="O88" s="48">
        <f>IF(t&lt;Tnet,'2024'!Resal+('2024'!Salim-'2024'!Resal)*(1-EXP(('2024'!Tnet-t)/('2024'!Tau_j))),Resal+(Salim-Resal)*(1-EXP((Tnet-t)/(Tau_j))))*Salcycl</f>
        <v>3.1555870966674296E-2</v>
      </c>
      <c r="P88" s="169">
        <f>(INDEX(Models!$BJ88:$BT88,,T88)*(1-R88)+INDEX(Models!$BJ88:$BT88,,T88+1)*R88-ERP_i)*Q88*Ramure*Pc/MaxiM</f>
        <v>2.3246912327997714E-4</v>
      </c>
      <c r="Q88" s="305">
        <f t="shared" si="28"/>
        <v>0.5</v>
      </c>
      <c r="R88" s="177">
        <f t="shared" si="29"/>
        <v>0.51033748488803532</v>
      </c>
      <c r="S88" s="811">
        <f t="shared" si="30"/>
        <v>1</v>
      </c>
      <c r="T88" s="176">
        <f t="shared" si="31"/>
        <v>7</v>
      </c>
      <c r="U88" s="251">
        <f t="shared" si="32"/>
        <v>1.5103374848880353</v>
      </c>
      <c r="V88" s="383">
        <f t="shared" si="33"/>
        <v>45.060021334219272</v>
      </c>
      <c r="W88" s="402">
        <f t="shared" si="34"/>
        <v>14.411840050881445</v>
      </c>
      <c r="X88" s="157">
        <f t="shared" si="35"/>
        <v>45731</v>
      </c>
      <c r="Y88" s="385">
        <f t="shared" si="36"/>
        <v>13.662699008925765</v>
      </c>
      <c r="Z88" s="385">
        <f t="shared" si="37"/>
        <v>14.422841377167016</v>
      </c>
      <c r="AA88" s="386">
        <f t="shared" si="38"/>
        <v>15.709385206462917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8.1896510422738322E-2</v>
      </c>
      <c r="AD88" s="231">
        <f>(INDEX(Models!$BJ88:$BT88,,AH88)*(1-AF88)+INDEX(Models!$BJ88:$BT88,,AH88+1)*AF88-ERP_i)*AE88*Ramure*Pc/MaxiM</f>
        <v>2.3246912327997714E-4</v>
      </c>
      <c r="AE88" s="305">
        <f t="shared" si="40"/>
        <v>0.5</v>
      </c>
      <c r="AF88" s="177">
        <f t="shared" si="41"/>
        <v>0.51033748488803532</v>
      </c>
      <c r="AG88" s="811">
        <f t="shared" si="49"/>
        <v>1</v>
      </c>
      <c r="AH88" s="176">
        <f t="shared" si="42"/>
        <v>7</v>
      </c>
      <c r="AI88" s="225">
        <f t="shared" si="43"/>
        <v>1.5103374848880353</v>
      </c>
      <c r="AJ88" s="265" t="b">
        <f t="shared" si="44"/>
        <v>0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'2024'!Wh/'2024'!Env_an*'2025'!Env_an</f>
        <v>12.989786055862293</v>
      </c>
      <c r="C89" s="841"/>
      <c r="D89" s="393">
        <f t="shared" si="25"/>
        <v>13.712790365366311</v>
      </c>
      <c r="E89" s="385">
        <f t="shared" si="47"/>
        <v>14.160672253380575</v>
      </c>
      <c r="F89" s="385">
        <f t="shared" si="26"/>
        <v>14.160672253380575</v>
      </c>
      <c r="G89" s="110">
        <f t="shared" si="48"/>
        <v>0.28612180354669348</v>
      </c>
      <c r="H89" s="414" t="b">
        <f>Wh_hp&gt;='2024'!Maxi_hp</f>
        <v>0</v>
      </c>
      <c r="I89" s="390">
        <f>IF(H89,Wh_hp,'2024'!Maxi_hp)</f>
        <v>50.491533478793343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5.2724813129942816E-2</v>
      </c>
      <c r="M89" s="845"/>
      <c r="N89" s="845"/>
      <c r="O89" s="48">
        <f>IF(t&lt;Tnet,'2024'!Resal+('2024'!Salim-'2024'!Resal)*(1-EXP(('2024'!Tnet-t)/('2024'!Tau_j))),Resal+(Salim-Resal)*(1-EXP((Tnet-t)/(Tau_j))))*Salcycl</f>
        <v>3.1628575254069681E-2</v>
      </c>
      <c r="P89" s="169">
        <f>(INDEX(Models!$BJ89:$BT89,,T89)*(1-R89)+INDEX(Models!$BJ89:$BT89,,T89+1)*R89-ERP_i)*Q89*Ramure*Pc/MaxiM</f>
        <v>2.1167181872334043E-4</v>
      </c>
      <c r="Q89" s="305">
        <f t="shared" si="28"/>
        <v>0.5</v>
      </c>
      <c r="R89" s="177">
        <f t="shared" si="29"/>
        <v>0.51089368618080711</v>
      </c>
      <c r="S89" s="811">
        <f t="shared" si="30"/>
        <v>1</v>
      </c>
      <c r="T89" s="176">
        <f t="shared" si="31"/>
        <v>7</v>
      </c>
      <c r="U89" s="251">
        <f t="shared" si="32"/>
        <v>1.5108936861808071</v>
      </c>
      <c r="V89" s="383">
        <f t="shared" si="33"/>
        <v>45.389887534745696</v>
      </c>
      <c r="W89" s="402">
        <f t="shared" si="34"/>
        <v>12.989786055862293</v>
      </c>
      <c r="X89" s="157">
        <f t="shared" si="35"/>
        <v>45732</v>
      </c>
      <c r="Y89" s="385">
        <f t="shared" si="36"/>
        <v>12.315108329294235</v>
      </c>
      <c r="Z89" s="385">
        <f t="shared" si="37"/>
        <v>13.000560449583025</v>
      </c>
      <c r="AA89" s="386">
        <f t="shared" si="38"/>
        <v>14.160672253380575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8.1924910275399943E-2</v>
      </c>
      <c r="AD89" s="231">
        <f>(INDEX(Models!$BJ89:$BT89,,AH89)*(1-AF89)+INDEX(Models!$BJ89:$BT89,,AH89+1)*AF89-ERP_i)*AE89*Ramure*Pc/MaxiM</f>
        <v>2.1167181872334043E-4</v>
      </c>
      <c r="AE89" s="305">
        <f t="shared" si="40"/>
        <v>0.5</v>
      </c>
      <c r="AF89" s="177">
        <f t="shared" si="41"/>
        <v>0.51089368618080711</v>
      </c>
      <c r="AG89" s="811">
        <f t="shared" si="49"/>
        <v>1</v>
      </c>
      <c r="AH89" s="176">
        <f t="shared" si="42"/>
        <v>7</v>
      </c>
      <c r="AI89" s="225">
        <f t="shared" si="43"/>
        <v>1.5108936861808071</v>
      </c>
      <c r="AJ89" s="265" t="b">
        <f t="shared" si="44"/>
        <v>0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'2024'!Wh/'2024'!Env_an*'2025'!Env_an</f>
        <v>10.836458764213241</v>
      </c>
      <c r="C90" s="841"/>
      <c r="D90" s="393">
        <f t="shared" si="25"/>
        <v>11.439860629597964</v>
      </c>
      <c r="E90" s="385">
        <f t="shared" si="47"/>
        <v>11.814392614445136</v>
      </c>
      <c r="F90" s="385">
        <f t="shared" si="26"/>
        <v>11.814392614445136</v>
      </c>
      <c r="G90" s="110">
        <f t="shared" si="48"/>
        <v>0.23698068431911273</v>
      </c>
      <c r="H90" s="414" t="b">
        <f>Wh_hp&gt;='2024'!Maxi_hp</f>
        <v>0</v>
      </c>
      <c r="I90" s="390">
        <f>IF(H90,Wh_hp,'2024'!Maxi_hp)</f>
        <v>27.136616542417517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5.2745560887653031E-2</v>
      </c>
      <c r="M90" s="845"/>
      <c r="N90" s="845"/>
      <c r="O90" s="48">
        <f>IF(t&lt;Tnet,'2024'!Resal+('2024'!Salim-'2024'!Resal)*(1-EXP(('2024'!Tnet-t)/('2024'!Tau_j))),Resal+(Salim-Resal)*(1-EXP((Tnet-t)/(Tau_j))))*Salcycl</f>
        <v>3.1701332186069492E-2</v>
      </c>
      <c r="P90" s="169">
        <f>(INDEX(Models!$BJ90:$BT90,,T90)*(1-R90)+INDEX(Models!$BJ90:$BT90,,T90+1)*R90-ERP_i)*Q90*Ramure*Pc/MaxiM</f>
        <v>1.9161067893140379E-4</v>
      </c>
      <c r="Q90" s="305">
        <f t="shared" si="28"/>
        <v>0.5</v>
      </c>
      <c r="R90" s="177">
        <f t="shared" si="29"/>
        <v>0.5114718719065714</v>
      </c>
      <c r="S90" s="811">
        <f t="shared" si="30"/>
        <v>1</v>
      </c>
      <c r="T90" s="176">
        <f t="shared" si="31"/>
        <v>7</v>
      </c>
      <c r="U90" s="251">
        <f t="shared" si="32"/>
        <v>1.5114718719065714</v>
      </c>
      <c r="V90" s="383">
        <f t="shared" si="33"/>
        <v>45.718419685221633</v>
      </c>
      <c r="W90" s="402">
        <f t="shared" si="34"/>
        <v>10.836458764213241</v>
      </c>
      <c r="X90" s="157">
        <f t="shared" si="35"/>
        <v>45733</v>
      </c>
      <c r="Y90" s="385">
        <f t="shared" si="36"/>
        <v>10.274073990985759</v>
      </c>
      <c r="Z90" s="385">
        <f t="shared" si="37"/>
        <v>10.846160827299354</v>
      </c>
      <c r="AA90" s="386">
        <f t="shared" si="38"/>
        <v>11.814392614445136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8.1953581427618466E-2</v>
      </c>
      <c r="AD90" s="231">
        <f>(INDEX(Models!$BJ90:$BT90,,AH90)*(1-AF90)+INDEX(Models!$BJ90:$BT90,,AH90+1)*AF90-ERP_i)*AE90*Ramure*Pc/MaxiM</f>
        <v>1.9161067893140379E-4</v>
      </c>
      <c r="AE90" s="305">
        <f t="shared" si="40"/>
        <v>0.5</v>
      </c>
      <c r="AF90" s="177">
        <f t="shared" si="41"/>
        <v>0.5114718719065714</v>
      </c>
      <c r="AG90" s="811">
        <f t="shared" si="49"/>
        <v>1</v>
      </c>
      <c r="AH90" s="176">
        <f t="shared" si="42"/>
        <v>7</v>
      </c>
      <c r="AI90" s="225">
        <f t="shared" si="43"/>
        <v>1.5114718719065714</v>
      </c>
      <c r="AJ90" s="265" t="b">
        <f t="shared" si="44"/>
        <v>0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'2024'!Wh/'2024'!Env_an*'2025'!Env_an</f>
        <v>14.447988271642604</v>
      </c>
      <c r="C91" s="841"/>
      <c r="D91" s="393">
        <f t="shared" si="25"/>
        <v>15.252823454842742</v>
      </c>
      <c r="E91" s="385">
        <f t="shared" si="47"/>
        <v>15.753373570117054</v>
      </c>
      <c r="F91" s="385">
        <f t="shared" si="26"/>
        <v>15.753426980401153</v>
      </c>
      <c r="G91" s="110">
        <f t="shared" si="48"/>
        <v>0.3137238865591927</v>
      </c>
      <c r="H91" s="414" t="b">
        <f>Wh_hp&gt;='2024'!Maxi_hp</f>
        <v>0</v>
      </c>
      <c r="I91" s="390">
        <f>IF(H91,Wh_hp,'2024'!Maxi_hp)</f>
        <v>35.441978382349127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5.2766308190933975E-2</v>
      </c>
      <c r="M91" s="845"/>
      <c r="N91" s="845"/>
      <c r="O91" s="48">
        <f>IF(t&lt;Tnet,'2024'!Resal+('2024'!Salim-'2024'!Resal)*(1-EXP(('2024'!Tnet-t)/('2024'!Tau_j))),Resal+(Salim-Resal)*(1-EXP((Tnet-t)/(Tau_j))))*Salcycl</f>
        <v>3.1774153837360708E-2</v>
      </c>
      <c r="P91" s="169">
        <f>(INDEX(Models!$BJ91:$BT91,,T91)*(1-R91)+INDEX(Models!$BJ91:$BT91,,T91+1)*R91-ERP_i)*Q91*Ramure*Pc/MaxiM</f>
        <v>1.722650378192086E-4</v>
      </c>
      <c r="Q91" s="305">
        <f t="shared" si="28"/>
        <v>0.5</v>
      </c>
      <c r="R91" s="177">
        <f t="shared" si="29"/>
        <v>0.51207285398519686</v>
      </c>
      <c r="S91" s="811">
        <f t="shared" si="30"/>
        <v>1</v>
      </c>
      <c r="T91" s="176">
        <f t="shared" si="31"/>
        <v>7</v>
      </c>
      <c r="U91" s="251">
        <f t="shared" si="32"/>
        <v>1.5120728539851969</v>
      </c>
      <c r="V91" s="383">
        <f t="shared" si="33"/>
        <v>46.045420777147783</v>
      </c>
      <c r="W91" s="402">
        <f t="shared" si="34"/>
        <v>14.447988271642604</v>
      </c>
      <c r="X91" s="157">
        <f t="shared" si="35"/>
        <v>45734</v>
      </c>
      <c r="Y91" s="385">
        <f t="shared" si="36"/>
        <v>13.698772199629698</v>
      </c>
      <c r="Z91" s="385">
        <f t="shared" si="37"/>
        <v>14.461871783157561</v>
      </c>
      <c r="AA91" s="386">
        <f t="shared" si="38"/>
        <v>15.753373570117054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8.1982553210657991E-2</v>
      </c>
      <c r="AD91" s="231">
        <f>(INDEX(Models!$BJ91:$BT91,,AH91)*(1-AF91)+INDEX(Models!$BJ91:$BT91,,AH91+1)*AF91-ERP_i)*AE91*Ramure*Pc/MaxiM</f>
        <v>1.722650378192086E-4</v>
      </c>
      <c r="AE91" s="305">
        <f t="shared" si="40"/>
        <v>0.5</v>
      </c>
      <c r="AF91" s="177">
        <f t="shared" si="41"/>
        <v>0.51207285398519686</v>
      </c>
      <c r="AG91" s="811">
        <f t="shared" si="49"/>
        <v>1</v>
      </c>
      <c r="AH91" s="176">
        <f t="shared" si="42"/>
        <v>7</v>
      </c>
      <c r="AI91" s="225">
        <f t="shared" si="43"/>
        <v>1.5120728539851969</v>
      </c>
      <c r="AJ91" s="265" t="b">
        <f t="shared" si="44"/>
        <v>0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'2024'!Wh/'2024'!Env_an*'2025'!Env_an</f>
        <v>29.320800992894949</v>
      </c>
      <c r="C92" s="841"/>
      <c r="D92" s="393">
        <f t="shared" si="25"/>
        <v>30.954814489076497</v>
      </c>
      <c r="E92" s="385">
        <f t="shared" si="47"/>
        <v>31.973062286703854</v>
      </c>
      <c r="F92" s="385">
        <f t="shared" si="26"/>
        <v>31.97539411666812</v>
      </c>
      <c r="G92" s="110">
        <f t="shared" si="48"/>
        <v>0.63226215800675045</v>
      </c>
      <c r="H92" s="414" t="b">
        <f>Wh_hp&gt;='2024'!Maxi_hp</f>
        <v>0</v>
      </c>
      <c r="I92" s="390">
        <f>IF(H92,Wh_hp,'2024'!Maxi_hp)</f>
        <v>46.110957889709681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5.2787055039795749E-2</v>
      </c>
      <c r="M92" s="845"/>
      <c r="N92" s="845"/>
      <c r="O92" s="48">
        <f>IF(t&lt;Tnet,'2024'!Resal+('2024'!Salim-'2024'!Resal)*(1-EXP(('2024'!Tnet-t)/('2024'!Tau_j))),Resal+(Salim-Resal)*(1-EXP((Tnet-t)/(Tau_j))))*Salcycl</f>
        <v>3.1847052637519781E-2</v>
      </c>
      <c r="P92" s="169">
        <f>(INDEX(Models!$BJ92:$BT92,,T92)*(1-R92)+INDEX(Models!$BJ92:$BT92,,T92+1)*R92-ERP_i)*Q92*Ramure*Pc/MaxiM</f>
        <v>1.5361422831662653E-4</v>
      </c>
      <c r="Q92" s="305">
        <f t="shared" si="28"/>
        <v>0.5</v>
      </c>
      <c r="R92" s="177">
        <f t="shared" si="29"/>
        <v>0.51269746959940332</v>
      </c>
      <c r="S92" s="811">
        <f t="shared" si="30"/>
        <v>1</v>
      </c>
      <c r="T92" s="176">
        <f t="shared" si="31"/>
        <v>7</v>
      </c>
      <c r="U92" s="251">
        <f t="shared" si="32"/>
        <v>1.5126974695994033</v>
      </c>
      <c r="V92" s="383">
        <f t="shared" si="33"/>
        <v>46.370693862654157</v>
      </c>
      <c r="W92" s="402">
        <f t="shared" si="34"/>
        <v>29.320800992894949</v>
      </c>
      <c r="X92" s="157">
        <f t="shared" si="35"/>
        <v>45735</v>
      </c>
      <c r="Y92" s="385">
        <f t="shared" si="36"/>
        <v>27.801544960117944</v>
      </c>
      <c r="Z92" s="385">
        <f t="shared" si="37"/>
        <v>29.350892117807771</v>
      </c>
      <c r="AA92" s="386">
        <f t="shared" si="38"/>
        <v>31.973062286703854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8.2011855648450815E-2</v>
      </c>
      <c r="AD92" s="231">
        <f>(INDEX(Models!$BJ92:$BT92,,AH92)*(1-AF92)+INDEX(Models!$BJ92:$BT92,,AH92+1)*AF92-ERP_i)*AE92*Ramure*Pc/MaxiM</f>
        <v>1.5361422831662653E-4</v>
      </c>
      <c r="AE92" s="305">
        <f t="shared" si="40"/>
        <v>0.5</v>
      </c>
      <c r="AF92" s="177">
        <f t="shared" si="41"/>
        <v>0.51269746959940332</v>
      </c>
      <c r="AG92" s="811">
        <f t="shared" si="49"/>
        <v>1</v>
      </c>
      <c r="AH92" s="176">
        <f t="shared" si="42"/>
        <v>7</v>
      </c>
      <c r="AI92" s="225">
        <f t="shared" si="43"/>
        <v>1.5126974695994033</v>
      </c>
      <c r="AJ92" s="265" t="b">
        <f t="shared" si="44"/>
        <v>0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'2024'!Wh/'2024'!Env_an*'2025'!Env_an</f>
        <v>30.283854632429875</v>
      </c>
      <c r="C93" s="841"/>
      <c r="D93" s="393">
        <f t="shared" si="25"/>
        <v>31.972238240861785</v>
      </c>
      <c r="E93" s="385">
        <f t="shared" si="47"/>
        <v>33.026443688531927</v>
      </c>
      <c r="F93" s="385">
        <f t="shared" si="26"/>
        <v>33.028674074476058</v>
      </c>
      <c r="G93" s="110">
        <f t="shared" si="48"/>
        <v>0.64847865783280256</v>
      </c>
      <c r="H93" s="414" t="b">
        <f>Wh_hp&gt;='2024'!Maxi_hp</f>
        <v>0</v>
      </c>
      <c r="I93" s="390">
        <f>IF(H93,Wh_hp,'2024'!Maxi_hp)</f>
        <v>51.145293953169229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5.2807801434248347E-2</v>
      </c>
      <c r="M93" s="845"/>
      <c r="N93" s="845"/>
      <c r="O93" s="48">
        <f>IF(t&lt;Tnet,'2024'!Resal+('2024'!Salim-'2024'!Resal)*(1-EXP(('2024'!Tnet-t)/('2024'!Tau_j))),Resal+(Salim-Resal)*(1-EXP((Tnet-t)/(Tau_j))))*Salcycl</f>
        <v>3.1920041334520075E-2</v>
      </c>
      <c r="P93" s="169">
        <f>(INDEX(Models!$BJ93:$BT93,,T93)*(1-R93)+INDEX(Models!$BJ93:$BT93,,T93+1)*R93-ERP_i)*Q93*Ramure*Pc/MaxiM</f>
        <v>1.3562997860209038E-4</v>
      </c>
      <c r="Q93" s="305">
        <f t="shared" si="28"/>
        <v>0.5</v>
      </c>
      <c r="R93" s="177">
        <f t="shared" si="29"/>
        <v>0.51334658158202484</v>
      </c>
      <c r="S93" s="811">
        <f t="shared" si="30"/>
        <v>1</v>
      </c>
      <c r="T93" s="176">
        <f t="shared" si="31"/>
        <v>7</v>
      </c>
      <c r="U93" s="251">
        <f t="shared" si="32"/>
        <v>1.5133465815820248</v>
      </c>
      <c r="V93" s="383">
        <f t="shared" si="33"/>
        <v>46.69666728499967</v>
      </c>
      <c r="W93" s="402">
        <f t="shared" si="34"/>
        <v>30.283854632429875</v>
      </c>
      <c r="X93" s="157">
        <f t="shared" si="35"/>
        <v>45736</v>
      </c>
      <c r="Y93" s="385">
        <f t="shared" si="36"/>
        <v>28.715935019139295</v>
      </c>
      <c r="Z93" s="385">
        <f t="shared" si="37"/>
        <v>30.31690406933383</v>
      </c>
      <c r="AA93" s="386">
        <f t="shared" si="38"/>
        <v>33.026443688531927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8.2041519357985079E-2</v>
      </c>
      <c r="AD93" s="231">
        <f>(INDEX(Models!$BJ93:$BT93,,AH93)*(1-AF93)+INDEX(Models!$BJ93:$BT93,,AH93+1)*AF93-ERP_i)*AE93*Ramure*Pc/MaxiM</f>
        <v>1.3562997860209038E-4</v>
      </c>
      <c r="AE93" s="305">
        <f t="shared" si="40"/>
        <v>0.5</v>
      </c>
      <c r="AF93" s="177">
        <f t="shared" si="41"/>
        <v>0.51334658158202484</v>
      </c>
      <c r="AG93" s="811">
        <f t="shared" si="49"/>
        <v>1</v>
      </c>
      <c r="AH93" s="176">
        <f t="shared" si="42"/>
        <v>7</v>
      </c>
      <c r="AI93" s="225">
        <f t="shared" si="43"/>
        <v>1.5133465815820248</v>
      </c>
      <c r="AJ93" s="265" t="b">
        <f t="shared" si="44"/>
        <v>0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'2024'!Wh/'2024'!Env_an*'2025'!Env_an</f>
        <v>44.155431501213975</v>
      </c>
      <c r="C94" s="841"/>
      <c r="D94" s="393">
        <f t="shared" si="25"/>
        <v>46.618203471830398</v>
      </c>
      <c r="E94" s="385">
        <f t="shared" si="47"/>
        <v>48.15895946510124</v>
      </c>
      <c r="F94" s="385">
        <f t="shared" si="26"/>
        <v>48.164180566053439</v>
      </c>
      <c r="G94" s="110">
        <f t="shared" si="48"/>
        <v>0.93896366401992071</v>
      </c>
      <c r="H94" s="414" t="b">
        <f>Wh_hp&gt;='2024'!Maxi_hp</f>
        <v>0</v>
      </c>
      <c r="I94" s="390">
        <f>IF(H94,Wh_hp,'2024'!Maxi_hp)</f>
        <v>51.378117175877115</v>
      </c>
      <c r="J94" s="85">
        <f>IF(H94,An,'2024'!An_max)</f>
        <v>2019</v>
      </c>
      <c r="K94" s="197">
        <f t="shared" si="27"/>
        <v>45737</v>
      </c>
      <c r="L94" s="147">
        <f>IF(t&lt;Tvie,1-EXP((T0-t)*PertePVj)+'2024'!Pspv,1-EXP((T0-t)*PertePVj)+Pspv)</f>
        <v>5.2828547374301649E-2</v>
      </c>
      <c r="M94" s="845"/>
      <c r="N94" s="845"/>
      <c r="O94" s="48">
        <f>IF(t&lt;Tnet,'2024'!Resal+('2024'!Salim-'2024'!Resal)*(1-EXP(('2024'!Tnet-t)/('2024'!Tau_j))),Resal+(Salim-Resal)*(1-EXP((Tnet-t)/(Tau_j))))*Salcycl</f>
        <v>3.1993132957687062E-2</v>
      </c>
      <c r="P94" s="169">
        <f>(INDEX(Models!$BJ94:$BT94,,T94)*(1-R94)+INDEX(Models!$BJ94:$BT94,,T94+1)*R94-ERP_i)*Q94*Ramure*Pc/MaxiM</f>
        <v>1.1875535020971503E-4</v>
      </c>
      <c r="Q94" s="305">
        <f t="shared" si="28"/>
        <v>0.5</v>
      </c>
      <c r="R94" s="177">
        <f t="shared" si="29"/>
        <v>0.5140210787717252</v>
      </c>
      <c r="S94" s="811">
        <f t="shared" si="30"/>
        <v>1</v>
      </c>
      <c r="T94" s="176">
        <f t="shared" si="31"/>
        <v>7</v>
      </c>
      <c r="U94" s="251">
        <f t="shared" si="32"/>
        <v>1.5140210787717252</v>
      </c>
      <c r="V94" s="383">
        <f t="shared" si="33"/>
        <v>47.025221522203843</v>
      </c>
      <c r="W94" s="402">
        <f t="shared" si="34"/>
        <v>44.155431501213975</v>
      </c>
      <c r="X94" s="157">
        <f t="shared" si="35"/>
        <v>45737</v>
      </c>
      <c r="Y94" s="385">
        <f t="shared" si="36"/>
        <v>41.871113783625013</v>
      </c>
      <c r="Z94" s="385">
        <f t="shared" si="37"/>
        <v>44.206477789794171</v>
      </c>
      <c r="AA94" s="386">
        <f t="shared" si="38"/>
        <v>48.15895946510124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8.2071575449450165E-2</v>
      </c>
      <c r="AD94" s="231">
        <f>(INDEX(Models!$BJ94:$BT94,,AH94)*(1-AF94)+INDEX(Models!$BJ94:$BT94,,AH94+1)*AF94-ERP_i)*AE94*Ramure*Pc/MaxiM</f>
        <v>1.1875535020971503E-4</v>
      </c>
      <c r="AE94" s="305">
        <f t="shared" si="40"/>
        <v>0.5</v>
      </c>
      <c r="AF94" s="177">
        <f t="shared" si="41"/>
        <v>0.5140210787717252</v>
      </c>
      <c r="AG94" s="811">
        <f t="shared" si="49"/>
        <v>1</v>
      </c>
      <c r="AH94" s="176">
        <f t="shared" si="42"/>
        <v>7</v>
      </c>
      <c r="AI94" s="225">
        <f t="shared" si="43"/>
        <v>1.5140210787717252</v>
      </c>
      <c r="AJ94" s="265" t="b">
        <f t="shared" si="44"/>
        <v>0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'2024'!Wh/'2024'!Env_an*'2025'!Env_an</f>
        <v>41.54914382213596</v>
      </c>
      <c r="C95" s="841"/>
      <c r="D95" s="393">
        <f t="shared" si="25"/>
        <v>43.86751074451027</v>
      </c>
      <c r="E95" s="385">
        <f t="shared" si="47"/>
        <v>45.320782397294828</v>
      </c>
      <c r="F95" s="385">
        <f t="shared" si="26"/>
        <v>45.324649205371223</v>
      </c>
      <c r="G95" s="110">
        <f t="shared" si="48"/>
        <v>0.87737482322132609</v>
      </c>
      <c r="H95" s="414" t="b">
        <f>Wh_hp&gt;='2024'!Maxi_hp</f>
        <v>0</v>
      </c>
      <c r="I95" s="390">
        <f>IF(H95,Wh_hp,'2024'!Maxi_hp)</f>
        <v>50.23936086110939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5.2849292859965646E-2</v>
      </c>
      <c r="M95" s="845"/>
      <c r="N95" s="845"/>
      <c r="O95" s="48">
        <f>IF(t&lt;Tnet,'2024'!Resal+('2024'!Salim-'2024'!Resal)*(1-EXP(('2024'!Tnet-t)/('2024'!Tau_j))),Resal+(Salim-Resal)*(1-EXP((Tnet-t)/(Tau_j))))*Salcycl</f>
        <v>3.206634078036795E-2</v>
      </c>
      <c r="P95" s="169">
        <f>(INDEX(Models!$BJ95:$BT95,,T95)*(1-R95)+INDEX(Models!$BJ95:$BT95,,T95+1)*R95-ERP_i)*Q95*Ramure*Pc/MaxiM</f>
        <v>1.0342997178772267E-4</v>
      </c>
      <c r="Q95" s="305">
        <f t="shared" si="28"/>
        <v>0.5</v>
      </c>
      <c r="R95" s="177">
        <f t="shared" si="29"/>
        <v>0.51472187633289979</v>
      </c>
      <c r="S95" s="811">
        <f t="shared" si="30"/>
        <v>1</v>
      </c>
      <c r="T95" s="176">
        <f t="shared" si="31"/>
        <v>7</v>
      </c>
      <c r="U95" s="251">
        <f t="shared" si="32"/>
        <v>1.5147218763328998</v>
      </c>
      <c r="V95" s="383">
        <f t="shared" si="33"/>
        <v>47.355349091041248</v>
      </c>
      <c r="W95" s="402">
        <f t="shared" si="34"/>
        <v>41.54914382213596</v>
      </c>
      <c r="X95" s="157">
        <f t="shared" si="35"/>
        <v>45738</v>
      </c>
      <c r="Y95" s="385">
        <f t="shared" si="36"/>
        <v>39.401330194325098</v>
      </c>
      <c r="Z95" s="385">
        <f t="shared" si="37"/>
        <v>41.599853008925315</v>
      </c>
      <c r="AA95" s="386">
        <f t="shared" si="38"/>
        <v>45.320782397294828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8.2102055426819226E-2</v>
      </c>
      <c r="AD95" s="231">
        <f>(INDEX(Models!$BJ95:$BT95,,AH95)*(1-AF95)+INDEX(Models!$BJ95:$BT95,,AH95+1)*AF95-ERP_i)*AE95*Ramure*Pc/MaxiM</f>
        <v>1.0342997178772267E-4</v>
      </c>
      <c r="AE95" s="305">
        <f t="shared" si="40"/>
        <v>0.5</v>
      </c>
      <c r="AF95" s="177">
        <f t="shared" si="41"/>
        <v>0.51472187633289979</v>
      </c>
      <c r="AG95" s="811">
        <f t="shared" si="49"/>
        <v>1</v>
      </c>
      <c r="AH95" s="176">
        <f t="shared" si="42"/>
        <v>7</v>
      </c>
      <c r="AI95" s="225">
        <f t="shared" si="43"/>
        <v>1.5147218763328998</v>
      </c>
      <c r="AJ95" s="265" t="b">
        <f t="shared" si="44"/>
        <v>0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'2024'!Wh/'2024'!Env_an*'2025'!Env_an</f>
        <v>47.673548824194043</v>
      </c>
      <c r="C96" s="841"/>
      <c r="D96" s="393">
        <f t="shared" si="25"/>
        <v>50.334748906106455</v>
      </c>
      <c r="E96" s="385">
        <f t="shared" si="47"/>
        <v>52.006211822785687</v>
      </c>
      <c r="F96" s="385">
        <f t="shared" si="26"/>
        <v>52.010871591889781</v>
      </c>
      <c r="G96" s="110">
        <f t="shared" si="48"/>
        <v>0.99973750640361725</v>
      </c>
      <c r="H96" s="414" t="b">
        <f>Wh_hp&gt;='2024'!Maxi_hp</f>
        <v>0</v>
      </c>
      <c r="I96" s="390">
        <f>IF(H96,Wh_hp,'2024'!Maxi_hp)</f>
        <v>52.010873192692713</v>
      </c>
      <c r="J96" s="85">
        <f>IF(H96,An,'2024'!An_max)</f>
        <v>2022</v>
      </c>
      <c r="K96" s="197">
        <f t="shared" si="27"/>
        <v>45739</v>
      </c>
      <c r="L96" s="147">
        <f>IF(t&lt;Tvie,1-EXP((T0-t)*PertePVj)+'2024'!Pspv,1-EXP((T0-t)*PertePVj)+Pspv)</f>
        <v>5.2870037891250221E-2</v>
      </c>
      <c r="M96" s="845"/>
      <c r="N96" s="845"/>
      <c r="O96" s="48">
        <f>IF(t&lt;Tnet,'2024'!Resal+('2024'!Salim-'2024'!Resal)*(1-EXP(('2024'!Tnet-t)/('2024'!Tau_j))),Resal+(Salim-Resal)*(1-EXP((Tnet-t)/(Tau_j))))*Salcycl</f>
        <v>3.2139678282564449E-2</v>
      </c>
      <c r="P96" s="169">
        <f>(INDEX(Models!$BJ96:$BT96,,T96)*(1-R96)+INDEX(Models!$BJ96:$BT96,,T96+1)*R96-ERP_i)*Q96*Ramure*Pc/MaxiM</f>
        <v>8.9625817908284188E-5</v>
      </c>
      <c r="Q96" s="305">
        <f t="shared" si="28"/>
        <v>0.5</v>
      </c>
      <c r="R96" s="177">
        <f t="shared" si="29"/>
        <v>0.51544991603519441</v>
      </c>
      <c r="S96" s="811">
        <f t="shared" si="30"/>
        <v>1</v>
      </c>
      <c r="T96" s="176">
        <f t="shared" si="31"/>
        <v>7</v>
      </c>
      <c r="U96" s="251">
        <f t="shared" si="32"/>
        <v>1.5154499160351944</v>
      </c>
      <c r="V96" s="383">
        <f t="shared" si="33"/>
        <v>47.686064508572059</v>
      </c>
      <c r="W96" s="402">
        <f t="shared" si="34"/>
        <v>47.673548824194043</v>
      </c>
      <c r="X96" s="157">
        <f t="shared" si="35"/>
        <v>45739</v>
      </c>
      <c r="Y96" s="385">
        <f t="shared" si="36"/>
        <v>45.211046141208641</v>
      </c>
      <c r="Z96" s="385">
        <f t="shared" si="37"/>
        <v>47.734786090546564</v>
      </c>
      <c r="AA96" s="386">
        <f t="shared" si="38"/>
        <v>52.006211822785687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8.213299108949268E-2</v>
      </c>
      <c r="AD96" s="231">
        <f>(INDEX(Models!$BJ96:$BT96,,AH96)*(1-AF96)+INDEX(Models!$BJ96:$BT96,,AH96+1)*AF96-ERP_i)*AE96*Ramure*Pc/MaxiM</f>
        <v>8.9625817908284188E-5</v>
      </c>
      <c r="AE96" s="305">
        <f t="shared" si="40"/>
        <v>0.5</v>
      </c>
      <c r="AF96" s="177">
        <f t="shared" si="41"/>
        <v>0.51544991603519441</v>
      </c>
      <c r="AG96" s="811">
        <f t="shared" si="49"/>
        <v>1</v>
      </c>
      <c r="AH96" s="176">
        <f t="shared" si="42"/>
        <v>7</v>
      </c>
      <c r="AI96" s="225">
        <f t="shared" si="43"/>
        <v>1.5154499160351944</v>
      </c>
      <c r="AJ96" s="265" t="b">
        <f t="shared" si="44"/>
        <v>0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'2024'!Wh/'2024'!Env_an*'2025'!Env_an</f>
        <v>46.652639097605096</v>
      </c>
      <c r="C97" s="841"/>
      <c r="D97" s="393">
        <f t="shared" si="25"/>
        <v>49.257929533387724</v>
      </c>
      <c r="E97" s="385">
        <f t="shared" si="47"/>
        <v>50.89749875941709</v>
      </c>
      <c r="F97" s="385">
        <f t="shared" si="26"/>
        <v>50.901274503809582</v>
      </c>
      <c r="G97" s="110">
        <f t="shared" si="48"/>
        <v>0.97159532195884801</v>
      </c>
      <c r="H97" s="414" t="b">
        <f>Wh_hp&gt;='2024'!Maxi_hp</f>
        <v>0</v>
      </c>
      <c r="I97" s="390">
        <f>IF(H97,Wh_hp,'2024'!Maxi_hp)</f>
        <v>51.495753799818651</v>
      </c>
      <c r="J97" s="85">
        <f>IF(H97,An,'2024'!An_max)</f>
        <v>2019</v>
      </c>
      <c r="K97" s="197">
        <f t="shared" si="27"/>
        <v>45740</v>
      </c>
      <c r="L97" s="147">
        <f>IF(t&lt;Tvie,1-EXP((T0-t)*PertePVj)+'2024'!Pspv,1-EXP((T0-t)*PertePVj)+Pspv)</f>
        <v>5.2890782468165365E-2</v>
      </c>
      <c r="M97" s="845"/>
      <c r="N97" s="845"/>
      <c r="O97" s="48">
        <f>IF(t&lt;Tnet,'2024'!Resal+('2024'!Salim-'2024'!Resal)*(1-EXP(('2024'!Tnet-t)/('2024'!Tau_j))),Resal+(Salim-Resal)*(1-EXP((Tnet-t)/(Tau_j))))*Salcycl</f>
        <v>3.2213159113757238E-2</v>
      </c>
      <c r="P97" s="169">
        <f>(INDEX(Models!$BJ97:$BT97,,T97)*(1-R97)+INDEX(Models!$BJ97:$BT97,,T97+1)*R97-ERP_i)*Q97*Ramure*Pc/MaxiM</f>
        <v>7.731474645305571E-5</v>
      </c>
      <c r="Q97" s="305">
        <f t="shared" si="28"/>
        <v>0.5</v>
      </c>
      <c r="R97" s="177">
        <f t="shared" si="29"/>
        <v>0.51620616648775419</v>
      </c>
      <c r="S97" s="811">
        <f t="shared" si="30"/>
        <v>1</v>
      </c>
      <c r="T97" s="176">
        <f t="shared" si="31"/>
        <v>7</v>
      </c>
      <c r="U97" s="251">
        <f t="shared" si="32"/>
        <v>1.5162061664877542</v>
      </c>
      <c r="V97" s="383">
        <f t="shared" si="33"/>
        <v>48.016382629043171</v>
      </c>
      <c r="W97" s="402">
        <f t="shared" si="34"/>
        <v>46.652639097605096</v>
      </c>
      <c r="X97" s="157">
        <f t="shared" si="35"/>
        <v>45740</v>
      </c>
      <c r="Y97" s="385">
        <f t="shared" si="36"/>
        <v>44.244714347495233</v>
      </c>
      <c r="Z97" s="385">
        <f t="shared" si="37"/>
        <v>46.715535577614695</v>
      </c>
      <c r="AA97" s="386">
        <f t="shared" si="38"/>
        <v>50.89749875941709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8.2164414435564853E-2</v>
      </c>
      <c r="AD97" s="231">
        <f>(INDEX(Models!$BJ97:$BT97,,AH97)*(1-AF97)+INDEX(Models!$BJ97:$BT97,,AH97+1)*AF97-ERP_i)*AE97*Ramure*Pc/MaxiM</f>
        <v>7.731474645305571E-5</v>
      </c>
      <c r="AE97" s="305">
        <f t="shared" si="40"/>
        <v>0.5</v>
      </c>
      <c r="AF97" s="177">
        <f t="shared" si="41"/>
        <v>0.51620616648775419</v>
      </c>
      <c r="AG97" s="811">
        <f t="shared" si="49"/>
        <v>1</v>
      </c>
      <c r="AH97" s="176">
        <f t="shared" si="42"/>
        <v>7</v>
      </c>
      <c r="AI97" s="225">
        <f t="shared" si="43"/>
        <v>1.5162061664877542</v>
      </c>
      <c r="AJ97" s="265" t="b">
        <f t="shared" si="44"/>
        <v>0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'2024'!Wh/'2024'!Env_an*'2025'!Env_an</f>
        <v>40.865260508723544</v>
      </c>
      <c r="C98" s="841"/>
      <c r="D98" s="393">
        <f t="shared" si="25"/>
        <v>43.148303095294722</v>
      </c>
      <c r="E98" s="385">
        <f t="shared" si="47"/>
        <v>44.587903692988377</v>
      </c>
      <c r="F98" s="385">
        <f t="shared" si="26"/>
        <v>44.5902124501401</v>
      </c>
      <c r="G98" s="110">
        <f t="shared" si="48"/>
        <v>0.84526612395964262</v>
      </c>
      <c r="H98" s="414" t="b">
        <f>Wh_hp&gt;='2024'!Maxi_hp</f>
        <v>0</v>
      </c>
      <c r="I98" s="390">
        <f>IF(H98,Wh_hp,'2024'!Maxi_hp)</f>
        <v>48.049790210842104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5.2911526590720959E-2</v>
      </c>
      <c r="M98" s="845"/>
      <c r="N98" s="845"/>
      <c r="O98" s="48">
        <f>IF(t&lt;Tnet,'2024'!Resal+('2024'!Salim-'2024'!Resal)*(1-EXP(('2024'!Tnet-t)/('2024'!Tau_j))),Resal+(Salim-Resal)*(1-EXP((Tnet-t)/(Tau_j))))*Salcycl</f>
        <v>3.2286797056127012E-2</v>
      </c>
      <c r="P98" s="169">
        <f>(INDEX(Models!$BJ98:$BT98,,T98)*(1-R98)+INDEX(Models!$BJ98:$BT98,,T98+1)*R98-ERP_i)*Q98*Ramure*Pc/MaxiM</f>
        <v>6.6468877368378918E-5</v>
      </c>
      <c r="Q98" s="305">
        <f t="shared" si="28"/>
        <v>0.5</v>
      </c>
      <c r="R98" s="177">
        <f t="shared" si="29"/>
        <v>0.51699162332300141</v>
      </c>
      <c r="S98" s="811">
        <f t="shared" si="30"/>
        <v>1</v>
      </c>
      <c r="T98" s="176">
        <f t="shared" si="31"/>
        <v>7</v>
      </c>
      <c r="U98" s="251">
        <f t="shared" si="32"/>
        <v>1.5169916233230014</v>
      </c>
      <c r="V98" s="383">
        <f t="shared" si="33"/>
        <v>48.345318640855233</v>
      </c>
      <c r="W98" s="402">
        <f t="shared" si="34"/>
        <v>40.865260508723544</v>
      </c>
      <c r="X98" s="157">
        <f t="shared" si="35"/>
        <v>45741</v>
      </c>
      <c r="Y98" s="385">
        <f t="shared" si="36"/>
        <v>38.757645167776765</v>
      </c>
      <c r="Z98" s="385">
        <f t="shared" si="37"/>
        <v>40.922940417867238</v>
      </c>
      <c r="AA98" s="386">
        <f t="shared" si="38"/>
        <v>44.587903692988377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8.2196357567208639E-2</v>
      </c>
      <c r="AD98" s="231">
        <f>(INDEX(Models!$BJ98:$BT98,,AH98)*(1-AF98)+INDEX(Models!$BJ98:$BT98,,AH98+1)*AF98-ERP_i)*AE98*Ramure*Pc/MaxiM</f>
        <v>6.6468877368378918E-5</v>
      </c>
      <c r="AE98" s="305">
        <f t="shared" si="40"/>
        <v>0.5</v>
      </c>
      <c r="AF98" s="177">
        <f t="shared" si="41"/>
        <v>0.51699162332300141</v>
      </c>
      <c r="AG98" s="811">
        <f t="shared" si="49"/>
        <v>1</v>
      </c>
      <c r="AH98" s="176">
        <f t="shared" si="42"/>
        <v>7</v>
      </c>
      <c r="AI98" s="225">
        <f t="shared" si="43"/>
        <v>1.5169916233230014</v>
      </c>
      <c r="AJ98" s="265" t="b">
        <f t="shared" si="44"/>
        <v>0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'2024'!Wh/'2024'!Env_an*'2025'!Env_an</f>
        <v>45.991346412634314</v>
      </c>
      <c r="C99" s="841"/>
      <c r="D99" s="393">
        <f t="shared" si="25"/>
        <v>48.561834564047807</v>
      </c>
      <c r="E99" s="385">
        <f t="shared" si="47"/>
        <v>50.185880054675877</v>
      </c>
      <c r="F99" s="385">
        <f t="shared" si="26"/>
        <v>50.188518544267765</v>
      </c>
      <c r="G99" s="110">
        <f t="shared" si="48"/>
        <v>0.94492204339353647</v>
      </c>
      <c r="H99" s="414" t="b">
        <f>Wh_hp&gt;='2024'!Maxi_hp</f>
        <v>0</v>
      </c>
      <c r="I99" s="390">
        <f>IF(H99,Wh_hp,'2024'!Maxi_hp)</f>
        <v>54.932815887950575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5.2932270258927216E-2</v>
      </c>
      <c r="M99" s="845"/>
      <c r="N99" s="845"/>
      <c r="O99" s="48">
        <f>IF(t&lt;Tnet,'2024'!Resal+('2024'!Salim-'2024'!Resal)*(1-EXP(('2024'!Tnet-t)/('2024'!Tau_j))),Resal+(Salim-Resal)*(1-EXP((Tnet-t)/(Tau_j))))*Salcycl</f>
        <v>3.2360605988352262E-2</v>
      </c>
      <c r="P99" s="169">
        <f>(INDEX(Models!$BJ99:$BT99,,T99)*(1-R99)+INDEX(Models!$BJ99:$BT99,,T99+1)*R99-ERP_i)*Q99*Ramure*Pc/MaxiM</f>
        <v>5.70609464346135E-5</v>
      </c>
      <c r="Q99" s="305">
        <f t="shared" si="28"/>
        <v>0.5</v>
      </c>
      <c r="R99" s="177">
        <f t="shared" si="29"/>
        <v>0.51780730932440511</v>
      </c>
      <c r="S99" s="811">
        <f t="shared" si="30"/>
        <v>1</v>
      </c>
      <c r="T99" s="176">
        <f t="shared" si="31"/>
        <v>7</v>
      </c>
      <c r="U99" s="251">
        <f t="shared" si="32"/>
        <v>1.5178073093244051</v>
      </c>
      <c r="V99" s="383">
        <f t="shared" si="33"/>
        <v>48.67188806865714</v>
      </c>
      <c r="W99" s="402">
        <f t="shared" si="34"/>
        <v>45.991346412634314</v>
      </c>
      <c r="X99" s="157">
        <f t="shared" si="35"/>
        <v>45742</v>
      </c>
      <c r="Y99" s="385">
        <f t="shared" si="36"/>
        <v>43.621137201396863</v>
      </c>
      <c r="Z99" s="385">
        <f t="shared" si="37"/>
        <v>46.059152721128861</v>
      </c>
      <c r="AA99" s="386">
        <f t="shared" si="38"/>
        <v>50.185880054675877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8.2228852598601063E-2</v>
      </c>
      <c r="AD99" s="231">
        <f>(INDEX(Models!$BJ99:$BT99,,AH99)*(1-AF99)+INDEX(Models!$BJ99:$BT99,,AH99+1)*AF99-ERP_i)*AE99*Ramure*Pc/MaxiM</f>
        <v>5.70609464346135E-5</v>
      </c>
      <c r="AE99" s="305">
        <f t="shared" si="40"/>
        <v>0.5</v>
      </c>
      <c r="AF99" s="177">
        <f t="shared" si="41"/>
        <v>0.51780730932440511</v>
      </c>
      <c r="AG99" s="811">
        <f t="shared" si="49"/>
        <v>1</v>
      </c>
      <c r="AH99" s="176">
        <f t="shared" si="42"/>
        <v>7</v>
      </c>
      <c r="AI99" s="225">
        <f t="shared" si="43"/>
        <v>1.5178073093244051</v>
      </c>
      <c r="AJ99" s="265" t="b">
        <f t="shared" si="44"/>
        <v>0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'2024'!Wh/'2024'!Env_an*'2025'!Env_an</f>
        <v>44.797591365278862</v>
      </c>
      <c r="C100" s="841"/>
      <c r="D100" s="393">
        <f t="shared" si="25"/>
        <v>47.30239576554731</v>
      </c>
      <c r="E100" s="385">
        <f t="shared" si="47"/>
        <v>48.888060443480896</v>
      </c>
      <c r="F100" s="385">
        <f t="shared" si="26"/>
        <v>48.89017514739016</v>
      </c>
      <c r="G100" s="110">
        <f t="shared" si="48"/>
        <v>0.91432255197491341</v>
      </c>
      <c r="H100" s="414" t="b">
        <f>Wh_hp&gt;='2024'!Maxi_hp</f>
        <v>0</v>
      </c>
      <c r="I100" s="390">
        <f>IF(H100,Wh_hp,'2024'!Maxi_hp)</f>
        <v>54.175577399192605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5.2953013472793797E-2</v>
      </c>
      <c r="M100" s="845"/>
      <c r="N100" s="845"/>
      <c r="O100" s="48">
        <f>IF(t&lt;Tnet,'2024'!Resal+('2024'!Salim-'2024'!Resal)*(1-EXP(('2024'!Tnet-t)/('2024'!Tau_j))),Resal+(Salim-Resal)*(1-EXP((Tnet-t)/(Tau_j))))*Salcycl</f>
        <v>3.2434599850136393E-2</v>
      </c>
      <c r="P100" s="169">
        <f>(INDEX(Models!$BJ100:$BT100,,T100)*(1-R100)+INDEX(Models!$BJ100:$BT100,,T100+1)*R100-ERP_i)*Q100*Ramure*Pc/MaxiM</f>
        <v>4.9286236555349929E-5</v>
      </c>
      <c r="Q100" s="305">
        <f t="shared" si="28"/>
        <v>0.5</v>
      </c>
      <c r="R100" s="177">
        <f t="shared" si="29"/>
        <v>0.51865427449236967</v>
      </c>
      <c r="S100" s="811">
        <f t="shared" si="30"/>
        <v>1</v>
      </c>
      <c r="T100" s="176">
        <f t="shared" si="31"/>
        <v>7</v>
      </c>
      <c r="U100" s="251">
        <f t="shared" si="32"/>
        <v>1.5186542744923697</v>
      </c>
      <c r="V100" s="383">
        <f t="shared" si="33"/>
        <v>48.995095915267207</v>
      </c>
      <c r="W100" s="402">
        <f t="shared" si="34"/>
        <v>44.797591365278862</v>
      </c>
      <c r="X100" s="157">
        <f t="shared" si="35"/>
        <v>45743</v>
      </c>
      <c r="Y100" s="385">
        <f t="shared" si="36"/>
        <v>42.490621268253072</v>
      </c>
      <c r="Z100" s="385">
        <f t="shared" si="37"/>
        <v>44.866434160848712</v>
      </c>
      <c r="AA100" s="386">
        <f t="shared" si="38"/>
        <v>48.888060443480896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8.2261931566738195E-2</v>
      </c>
      <c r="AD100" s="231">
        <f>(INDEX(Models!$BJ100:$BT100,,AH100)*(1-AF100)+INDEX(Models!$BJ100:$BT100,,AH100+1)*AF100-ERP_i)*AE100*Ramure*Pc/MaxiM</f>
        <v>4.9286236555349929E-5</v>
      </c>
      <c r="AE100" s="305">
        <f t="shared" si="40"/>
        <v>0.5</v>
      </c>
      <c r="AF100" s="177">
        <f t="shared" si="41"/>
        <v>0.51865427449236967</v>
      </c>
      <c r="AG100" s="811">
        <f t="shared" si="49"/>
        <v>1</v>
      </c>
      <c r="AH100" s="176">
        <f t="shared" si="42"/>
        <v>7</v>
      </c>
      <c r="AI100" s="225">
        <f t="shared" si="43"/>
        <v>1.5186542744923697</v>
      </c>
      <c r="AJ100" s="265" t="b">
        <f t="shared" si="44"/>
        <v>0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'2024'!Wh/'2024'!Env_an*'2025'!Env_an</f>
        <v>35.073948934432146</v>
      </c>
      <c r="C101" s="841"/>
      <c r="D101" s="393">
        <f t="shared" si="25"/>
        <v>37.035878535839942</v>
      </c>
      <c r="E101" s="385">
        <f t="shared" si="47"/>
        <v>38.280325705139234</v>
      </c>
      <c r="F101" s="385">
        <f t="shared" si="26"/>
        <v>38.281276136679985</v>
      </c>
      <c r="G101" s="110">
        <f t="shared" si="48"/>
        <v>0.71122474544087888</v>
      </c>
      <c r="H101" s="414" t="b">
        <f>Wh_hp&gt;='2024'!Maxi_hp</f>
        <v>0</v>
      </c>
      <c r="I101" s="390">
        <f>IF(H101,Wh_hp,'2024'!Maxi_hp)</f>
        <v>52.923988977147388</v>
      </c>
      <c r="J101" s="85">
        <f>IF(H101,An,'2024'!An_max)</f>
        <v>2019</v>
      </c>
      <c r="K101" s="197">
        <f t="shared" si="27"/>
        <v>45744</v>
      </c>
      <c r="L101" s="147">
        <f>IF(t&lt;Tvie,1-EXP((T0-t)*PertePVj)+'2024'!Pspv,1-EXP((T0-t)*PertePVj)+Pspv)</f>
        <v>5.2973756232330693E-2</v>
      </c>
      <c r="M101" s="845"/>
      <c r="N101" s="845"/>
      <c r="O101" s="48">
        <f>IF(t&lt;Tnet,'2024'!Resal+('2024'!Salim-'2024'!Resal)*(1-EXP(('2024'!Tnet-t)/('2024'!Tau_j))),Resal+(Salim-Resal)*(1-EXP((Tnet-t)/(Tau_j))))*Salcycl</f>
        <v>3.2508792607588134E-2</v>
      </c>
      <c r="P101" s="169">
        <f>(INDEX(Models!$BJ101:$BT101,,T101)*(1-R101)+INDEX(Models!$BJ101:$BT101,,T101+1)*R101-ERP_i)*Q101*Ramure*Pc/MaxiM</f>
        <v>4.2261035864538662E-5</v>
      </c>
      <c r="Q101" s="305">
        <f t="shared" si="28"/>
        <v>0.5</v>
      </c>
      <c r="R101" s="177">
        <f t="shared" si="29"/>
        <v>0.51953359604203397</v>
      </c>
      <c r="S101" s="811">
        <f t="shared" si="30"/>
        <v>1</v>
      </c>
      <c r="T101" s="176">
        <f t="shared" si="31"/>
        <v>7</v>
      </c>
      <c r="U101" s="251">
        <f t="shared" si="32"/>
        <v>1.519533596042034</v>
      </c>
      <c r="V101" s="383">
        <f t="shared" si="33"/>
        <v>49.314000509719968</v>
      </c>
      <c r="W101" s="402">
        <f t="shared" si="34"/>
        <v>35.073948934432146</v>
      </c>
      <c r="X101" s="157">
        <f t="shared" si="35"/>
        <v>45744</v>
      </c>
      <c r="Y101" s="385">
        <f t="shared" si="36"/>
        <v>33.269053085472599</v>
      </c>
      <c r="Z101" s="385">
        <f t="shared" si="37"/>
        <v>35.130022324528504</v>
      </c>
      <c r="AA101" s="386">
        <f t="shared" si="38"/>
        <v>38.280325705139234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8.2295626345409933E-2</v>
      </c>
      <c r="AD101" s="231">
        <f>(INDEX(Models!$BJ101:$BT101,,AH101)*(1-AF101)+INDEX(Models!$BJ101:$BT101,,AH101+1)*AF101-ERP_i)*AE101*Ramure*Pc/MaxiM</f>
        <v>4.2261035864538662E-5</v>
      </c>
      <c r="AE101" s="305">
        <f t="shared" si="40"/>
        <v>0.5</v>
      </c>
      <c r="AF101" s="177">
        <f t="shared" si="41"/>
        <v>0.51953359604203397</v>
      </c>
      <c r="AG101" s="811">
        <f t="shared" si="49"/>
        <v>1</v>
      </c>
      <c r="AH101" s="176">
        <f t="shared" si="42"/>
        <v>7</v>
      </c>
      <c r="AI101" s="225">
        <f t="shared" si="43"/>
        <v>1.519533596042034</v>
      </c>
      <c r="AJ101" s="265" t="b">
        <f t="shared" si="44"/>
        <v>0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'2024'!Wh/'2024'!Env_an*'2025'!Env_an</f>
        <v>27.624094594921694</v>
      </c>
      <c r="C102" s="841"/>
      <c r="D102" s="393">
        <f t="shared" si="25"/>
        <v>29.169940990059779</v>
      </c>
      <c r="E102" s="385">
        <f t="shared" si="47"/>
        <v>30.152402704165304</v>
      </c>
      <c r="F102" s="385">
        <f t="shared" si="26"/>
        <v>30.152800348929016</v>
      </c>
      <c r="G102" s="110">
        <f t="shared" si="48"/>
        <v>0.5566147648172195</v>
      </c>
      <c r="H102" s="414" t="b">
        <f>Wh_hp&gt;='2024'!Maxi_hp</f>
        <v>0</v>
      </c>
      <c r="I102" s="390">
        <f>IF(H102,Wh_hp,'2024'!Maxi_hp)</f>
        <v>54.418783965233558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5.2994498537548007E-2</v>
      </c>
      <c r="M102" s="845"/>
      <c r="N102" s="845"/>
      <c r="O102" s="48">
        <f>IF(t&lt;Tnet,'2024'!Resal+('2024'!Salim-'2024'!Resal)*(1-EXP(('2024'!Tnet-t)/('2024'!Tau_j))),Resal+(Salim-Resal)*(1-EXP((Tnet-t)/(Tau_j))))*Salcycl</f>
        <v>3.2583198219550358E-2</v>
      </c>
      <c r="P102" s="169">
        <f>(INDEX(Models!$BJ102:$BT102,,T102)*(1-R102)+INDEX(Models!$BJ102:$BT102,,T102+1)*R102-ERP_i)*Q102*Ramure*Pc/MaxiM</f>
        <v>3.5971831618811105E-5</v>
      </c>
      <c r="Q102" s="305">
        <f t="shared" si="28"/>
        <v>0.5</v>
      </c>
      <c r="R102" s="177">
        <f t="shared" si="29"/>
        <v>0.52044637832642038</v>
      </c>
      <c r="S102" s="811">
        <f t="shared" si="30"/>
        <v>1</v>
      </c>
      <c r="T102" s="176">
        <f t="shared" si="31"/>
        <v>7</v>
      </c>
      <c r="U102" s="251">
        <f t="shared" si="32"/>
        <v>1.5204463783264204</v>
      </c>
      <c r="V102" s="383">
        <f t="shared" si="33"/>
        <v>49.627618490275957</v>
      </c>
      <c r="W102" s="402">
        <f t="shared" si="34"/>
        <v>27.624094594921694</v>
      </c>
      <c r="X102" s="157">
        <f t="shared" si="35"/>
        <v>45745</v>
      </c>
      <c r="Y102" s="385">
        <f t="shared" si="36"/>
        <v>26.203600876787871</v>
      </c>
      <c r="Z102" s="385">
        <f t="shared" si="37"/>
        <v>27.669956337446706</v>
      </c>
      <c r="AA102" s="386">
        <f t="shared" si="38"/>
        <v>30.152402704165304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8.2329968562527528E-2</v>
      </c>
      <c r="AD102" s="231">
        <f>(INDEX(Models!$BJ102:$BT102,,AH102)*(1-AF102)+INDEX(Models!$BJ102:$BT102,,AH102+1)*AF102-ERP_i)*AE102*Ramure*Pc/MaxiM</f>
        <v>3.5971831618811105E-5</v>
      </c>
      <c r="AE102" s="305">
        <f t="shared" si="40"/>
        <v>0.5</v>
      </c>
      <c r="AF102" s="177">
        <f t="shared" si="41"/>
        <v>0.52044637832642038</v>
      </c>
      <c r="AG102" s="811">
        <f t="shared" si="49"/>
        <v>1</v>
      </c>
      <c r="AH102" s="176">
        <f t="shared" si="42"/>
        <v>7</v>
      </c>
      <c r="AI102" s="225">
        <f t="shared" si="43"/>
        <v>1.5204463783264204</v>
      </c>
      <c r="AJ102" s="265" t="b">
        <f t="shared" si="44"/>
        <v>0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'2024'!Wh/'2024'!Env_an*'2025'!Env_an</f>
        <v>7.7684521060290299</v>
      </c>
      <c r="C103" s="841"/>
      <c r="D103" s="393">
        <f t="shared" si="25"/>
        <v>8.2033549401741901</v>
      </c>
      <c r="E103" s="385">
        <f t="shared" si="47"/>
        <v>8.480303247096403</v>
      </c>
      <c r="F103" s="385">
        <f t="shared" si="26"/>
        <v>8.480303247096403</v>
      </c>
      <c r="G103" s="110">
        <f t="shared" si="48"/>
        <v>0.15556665778032774</v>
      </c>
      <c r="H103" s="414" t="b">
        <f>Wh_hp&gt;='2024'!Maxi_hp</f>
        <v>0</v>
      </c>
      <c r="I103" s="390">
        <f>IF(H103,Wh_hp,'2024'!Maxi_hp)</f>
        <v>55.483183570295765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5.301524038845562E-2</v>
      </c>
      <c r="M103" s="845"/>
      <c r="N103" s="845"/>
      <c r="O103" s="48">
        <f>IF(t&lt;Tnet,'2024'!Resal+('2024'!Salim-'2024'!Resal)*(1-EXP(('2024'!Tnet-t)/('2024'!Tau_j))),Resal+(Salim-Resal)*(1-EXP((Tnet-t)/(Tau_j))))*Salcycl</f>
        <v>3.2657830604941818E-2</v>
      </c>
      <c r="P103" s="169">
        <f>(INDEX(Models!$BJ103:$BT103,,T103)*(1-R103)+INDEX(Models!$BJ103:$BT103,,T103+1)*R103-ERP_i)*Q103*Ramure*Pc/MaxiM</f>
        <v>3.0405829339485956E-5</v>
      </c>
      <c r="Q103" s="305">
        <f t="shared" si="28"/>
        <v>0.5</v>
      </c>
      <c r="R103" s="177">
        <f t="shared" si="29"/>
        <v>0.52139375267803856</v>
      </c>
      <c r="S103" s="811">
        <f t="shared" si="30"/>
        <v>1</v>
      </c>
      <c r="T103" s="176">
        <f t="shared" si="31"/>
        <v>7</v>
      </c>
      <c r="U103" s="251">
        <f t="shared" si="32"/>
        <v>1.5213937526780386</v>
      </c>
      <c r="V103" s="383">
        <f t="shared" si="33"/>
        <v>49.934966853690391</v>
      </c>
      <c r="W103" s="402">
        <f t="shared" si="34"/>
        <v>7.7684521060290299</v>
      </c>
      <c r="X103" s="157">
        <f t="shared" si="35"/>
        <v>45746</v>
      </c>
      <c r="Y103" s="385">
        <f t="shared" si="36"/>
        <v>7.3692679335794589</v>
      </c>
      <c r="Z103" s="385">
        <f t="shared" si="37"/>
        <v>7.7818231590150955</v>
      </c>
      <c r="AA103" s="386">
        <f t="shared" si="38"/>
        <v>8.480303247096403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8.2364989520918655E-2</v>
      </c>
      <c r="AD103" s="231">
        <f>(INDEX(Models!$BJ103:$BT103,,AH103)*(1-AF103)+INDEX(Models!$BJ103:$BT103,,AH103+1)*AF103-ERP_i)*AE103*Ramure*Pc/MaxiM</f>
        <v>3.0405829339485956E-5</v>
      </c>
      <c r="AE103" s="305">
        <f t="shared" si="40"/>
        <v>0.5</v>
      </c>
      <c r="AF103" s="177">
        <f t="shared" si="41"/>
        <v>0.52139375267803856</v>
      </c>
      <c r="AG103" s="811">
        <f t="shared" si="49"/>
        <v>1</v>
      </c>
      <c r="AH103" s="176">
        <f t="shared" si="42"/>
        <v>7</v>
      </c>
      <c r="AI103" s="225">
        <f t="shared" si="43"/>
        <v>1.5213937526780386</v>
      </c>
      <c r="AJ103" s="265" t="b">
        <f t="shared" si="44"/>
        <v>0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'2024'!Wh/'2024'!Env_an*'2025'!Env_an</f>
        <v>28.31025551288452</v>
      </c>
      <c r="C104" s="841"/>
      <c r="D104" s="393">
        <f t="shared" si="25"/>
        <v>29.895809099748515</v>
      </c>
      <c r="E104" s="385">
        <f t="shared" si="47"/>
        <v>30.90749497203101</v>
      </c>
      <c r="F104" s="385">
        <f t="shared" si="26"/>
        <v>30.90749497203101</v>
      </c>
      <c r="G104" s="110">
        <f t="shared" si="48"/>
        <v>0.56354128949693427</v>
      </c>
      <c r="H104" s="414" t="b">
        <f>Wh_hp&gt;='2024'!Maxi_hp</f>
        <v>0</v>
      </c>
      <c r="I104" s="390">
        <f>IF(H104,Wh_hp,'2024'!Maxi_hp)</f>
        <v>49.250450204262727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5.3035981785063413E-2</v>
      </c>
      <c r="M104" s="845"/>
      <c r="N104" s="845"/>
      <c r="O104" s="48">
        <f>IF(t&lt;Tnet,'2024'!Resal+('2024'!Salim-'2024'!Resal)*(1-EXP(('2024'!Tnet-t)/('2024'!Tau_j))),Resal+(Salim-Resal)*(1-EXP((Tnet-t)/(Tau_j))))*Salcycl</f>
        <v>3.2732703611146705E-2</v>
      </c>
      <c r="P104" s="169">
        <f>(INDEX(Models!$BJ104:$BT104,,T104)*(1-R104)+INDEX(Models!$BJ104:$BT104,,T104+1)*R104-ERP_i)*Q104*Ramure*Pc/MaxiM</f>
        <v>0</v>
      </c>
      <c r="Q104" s="305">
        <f t="shared" si="28"/>
        <v>0.5</v>
      </c>
      <c r="R104" s="177">
        <f t="shared" si="29"/>
        <v>0.99738931078772408</v>
      </c>
      <c r="S104" s="811">
        <f t="shared" si="30"/>
        <v>-3</v>
      </c>
      <c r="T104" s="176">
        <f t="shared" si="31"/>
        <v>3</v>
      </c>
      <c r="U104" s="251">
        <f t="shared" si="32"/>
        <v>-2.0026106892122759</v>
      </c>
      <c r="V104" s="383">
        <f t="shared" si="33"/>
        <v>50.236346547307484</v>
      </c>
      <c r="W104" s="402">
        <f t="shared" si="34"/>
        <v>28.31025551288452</v>
      </c>
      <c r="X104" s="157">
        <f t="shared" si="35"/>
        <v>45747</v>
      </c>
      <c r="Y104" s="385">
        <f t="shared" si="36"/>
        <v>26.856299467599541</v>
      </c>
      <c r="Z104" s="385">
        <f t="shared" si="37"/>
        <v>28.360422308573767</v>
      </c>
      <c r="AA104" s="386">
        <f t="shared" si="38"/>
        <v>30.907197652077318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8.2400720122627433E-2</v>
      </c>
      <c r="AD104" s="231">
        <f>(INDEX(Models!$BJ104:$BT104,,AH104)*(1-AF104)+INDEX(Models!$BJ104:$BT104,,AH104+1)*AF104-ERP_i)*AE104*Ramure*Pc/MaxiM</f>
        <v>2.5551101233634366E-5</v>
      </c>
      <c r="AE104" s="305">
        <f t="shared" si="40"/>
        <v>0.5</v>
      </c>
      <c r="AF104" s="177">
        <f t="shared" si="41"/>
        <v>0.522376877161703</v>
      </c>
      <c r="AG104" s="811">
        <f t="shared" si="49"/>
        <v>1</v>
      </c>
      <c r="AH104" s="176">
        <f t="shared" si="42"/>
        <v>7</v>
      </c>
      <c r="AI104" s="225">
        <f t="shared" si="43"/>
        <v>1.522376877161703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'2024'!Wh/'2024'!Env_an*'2025'!Env_an</f>
        <v>30.980772961464531</v>
      </c>
      <c r="C105" s="841"/>
      <c r="D105" s="393">
        <f t="shared" si="25"/>
        <v>32.716609014528515</v>
      </c>
      <c r="E105" s="385">
        <f t="shared" si="47"/>
        <v>33.826379144276281</v>
      </c>
      <c r="F105" s="385">
        <f t="shared" si="26"/>
        <v>33.826379146195684</v>
      </c>
      <c r="G105" s="110">
        <f t="shared" si="48"/>
        <v>0.61314062511253997</v>
      </c>
      <c r="H105" s="414" t="b">
        <f>Wh_hp&gt;='2024'!Maxi_hp</f>
        <v>0</v>
      </c>
      <c r="I105" s="390">
        <f>IF(H105,Wh_hp,'2024'!Maxi_hp)</f>
        <v>50.405835504746996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5.3056722727381378E-2</v>
      </c>
      <c r="M105" s="845"/>
      <c r="N105" s="845"/>
      <c r="O105" s="48">
        <f>IF(t&lt;Tnet,'2024'!Resal+('2024'!Salim-'2024'!Resal)*(1-EXP(('2024'!Tnet-t)/('2024'!Tau_j))),Resal+(Salim-Resal)*(1-EXP((Tnet-t)/(Tau_j))))*Salcycl</f>
        <v>3.2807830983457444E-2</v>
      </c>
      <c r="P105" s="169">
        <f>(INDEX(Models!$BJ105:$BT105,,T105)*(1-R105)+INDEX(Models!$BJ105:$BT105,,T105+1)*R105-ERP_i)*Q105*Ramure*Pc/MaxiM</f>
        <v>1.2684384336102926E-10</v>
      </c>
      <c r="Q105" s="305">
        <f t="shared" si="28"/>
        <v>0.5</v>
      </c>
      <c r="R105" s="177">
        <f t="shared" si="29"/>
        <v>0.99840936985700912</v>
      </c>
      <c r="S105" s="811">
        <f t="shared" si="30"/>
        <v>-3</v>
      </c>
      <c r="T105" s="176">
        <f t="shared" si="31"/>
        <v>3</v>
      </c>
      <c r="U105" s="251">
        <f t="shared" si="32"/>
        <v>-2.0015906301429909</v>
      </c>
      <c r="V105" s="383">
        <f t="shared" si="33"/>
        <v>50.528005632649645</v>
      </c>
      <c r="W105" s="402">
        <f t="shared" si="34"/>
        <v>30.980772961464531</v>
      </c>
      <c r="X105" s="157">
        <f t="shared" si="35"/>
        <v>45748</v>
      </c>
      <c r="Y105" s="385">
        <f t="shared" si="36"/>
        <v>29.390780745992842</v>
      </c>
      <c r="Z105" s="385">
        <f t="shared" si="37"/>
        <v>31.037530390039858</v>
      </c>
      <c r="AA105" s="386">
        <f t="shared" si="38"/>
        <v>33.826055370518461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8.2437190796683255E-2</v>
      </c>
      <c r="AD105" s="231">
        <f>(INDEX(Models!$BJ105:$BT105,,AH105)*(1-AF105)+INDEX(Models!$BJ105:$BT105,,AH105+1)*AF105-ERP_i)*AE105*Ramure*Pc/MaxiM</f>
        <v>2.1396726419877274E-5</v>
      </c>
      <c r="AE105" s="305">
        <f t="shared" si="40"/>
        <v>0.5</v>
      </c>
      <c r="AF105" s="177">
        <f t="shared" si="41"/>
        <v>0.52339693623098826</v>
      </c>
      <c r="AG105" s="811">
        <f t="shared" si="49"/>
        <v>1</v>
      </c>
      <c r="AH105" s="176">
        <f t="shared" si="42"/>
        <v>7</v>
      </c>
      <c r="AI105" s="225">
        <f t="shared" si="43"/>
        <v>1.5233969362309883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'2024'!Wh/'2024'!Env_an*'2025'!Env_an</f>
        <v>21.120229612542001</v>
      </c>
      <c r="C106" s="841"/>
      <c r="D106" s="393">
        <f t="shared" si="25"/>
        <v>22.304073239463655</v>
      </c>
      <c r="E106" s="385">
        <f t="shared" si="47"/>
        <v>23.062440696744854</v>
      </c>
      <c r="F106" s="385">
        <f t="shared" si="26"/>
        <v>23.062440697888675</v>
      </c>
      <c r="G106" s="110">
        <f t="shared" si="48"/>
        <v>0.41566679337876317</v>
      </c>
      <c r="H106" s="414" t="b">
        <f>Wh_hp&gt;='2024'!Maxi_hp</f>
        <v>0</v>
      </c>
      <c r="I106" s="390">
        <f>IF(H106,Wh_hp,'2024'!Maxi_hp)</f>
        <v>45.758995612636852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5.3077463215419507E-2</v>
      </c>
      <c r="M106" s="845"/>
      <c r="N106" s="845"/>
      <c r="O106" s="48">
        <f>IF(t&lt;Tnet,'2024'!Resal+('2024'!Salim-'2024'!Resal)*(1-EXP(('2024'!Tnet-t)/('2024'!Tau_j))),Resal+(Salim-Resal)*(1-EXP((Tnet-t)/(Tau_j))))*Salcycl</f>
        <v>3.2883226335547446E-2</v>
      </c>
      <c r="P106" s="169">
        <f>(INDEX(Models!$BJ106:$BT106,,T106)*(1-R106)+INDEX(Models!$BJ106:$BT106,,T106+1)*R106-ERP_i)*Q106*Ramure*Pc/MaxiM</f>
        <v>3.0015241489622197E-10</v>
      </c>
      <c r="Q106" s="305">
        <f t="shared" si="28"/>
        <v>0.5</v>
      </c>
      <c r="R106" s="177">
        <f t="shared" si="29"/>
        <v>0.99946757390644869</v>
      </c>
      <c r="S106" s="811">
        <f t="shared" si="30"/>
        <v>-3</v>
      </c>
      <c r="T106" s="176">
        <f t="shared" si="31"/>
        <v>3</v>
      </c>
      <c r="U106" s="251">
        <f t="shared" si="32"/>
        <v>-2.0005324260935513</v>
      </c>
      <c r="V106" s="383">
        <f t="shared" si="33"/>
        <v>50.810480759296702</v>
      </c>
      <c r="W106" s="402">
        <f t="shared" si="34"/>
        <v>21.120229612542001</v>
      </c>
      <c r="X106" s="157">
        <f t="shared" si="35"/>
        <v>45749</v>
      </c>
      <c r="Y106" s="385">
        <f t="shared" si="36"/>
        <v>20.037180400741505</v>
      </c>
      <c r="Z106" s="385">
        <f t="shared" si="37"/>
        <v>21.160316311385721</v>
      </c>
      <c r="AA106" s="386">
        <f t="shared" si="38"/>
        <v>23.062372359137886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8.2474431430230741E-2</v>
      </c>
      <c r="AD106" s="231">
        <f>(INDEX(Models!$BJ106:$BT106,,AH106)*(1-AF106)+INDEX(Models!$BJ106:$BT106,,AH106+1)*AF106-ERP_i)*AE106*Ramure*Pc/MaxiM</f>
        <v>1.7932924199482993E-5</v>
      </c>
      <c r="AE106" s="305">
        <f t="shared" si="40"/>
        <v>0.5</v>
      </c>
      <c r="AF106" s="177">
        <f t="shared" si="41"/>
        <v>0.52445514028042761</v>
      </c>
      <c r="AG106" s="811">
        <f t="shared" si="49"/>
        <v>1</v>
      </c>
      <c r="AH106" s="176">
        <f t="shared" si="42"/>
        <v>7</v>
      </c>
      <c r="AI106" s="225">
        <f t="shared" si="43"/>
        <v>1.5244551402804276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'2024'!Wh/'2024'!Env_an*'2025'!Env_an</f>
        <v>22.880803569462643</v>
      </c>
      <c r="C107" s="841"/>
      <c r="D107" s="393">
        <f t="shared" si="25"/>
        <v>24.16386118177784</v>
      </c>
      <c r="E107" s="385">
        <f t="shared" si="47"/>
        <v>24.987419107379878</v>
      </c>
      <c r="F107" s="385">
        <f t="shared" si="26"/>
        <v>24.987419110604741</v>
      </c>
      <c r="G107" s="110">
        <f t="shared" si="48"/>
        <v>0.44789266746018941</v>
      </c>
      <c r="H107" s="414" t="b">
        <f>Wh_hp&gt;='2024'!Maxi_hp</f>
        <v>0</v>
      </c>
      <c r="I107" s="390">
        <f>IF(H107,Wh_hp,'2024'!Maxi_hp)</f>
        <v>53.35954700357199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5.3098203249187681E-2</v>
      </c>
      <c r="M107" s="845"/>
      <c r="N107" s="845"/>
      <c r="O107" s="48">
        <f>IF(t&lt;Tnet,'2024'!Resal+('2024'!Salim-'2024'!Resal)*(1-EXP(('2024'!Tnet-t)/('2024'!Tau_j))),Resal+(Salim-Resal)*(1-EXP((Tnet-t)/(Tau_j))))*Salcycl</f>
        <v>3.2958903120923227E-2</v>
      </c>
      <c r="P107" s="169">
        <f>(INDEX(Models!$BJ107:$BT107,,T107)*(1-R107)+INDEX(Models!$BJ107:$BT107,,T107+1)*R107-ERP_i)*Q107*Ramure*Pc/MaxiM</f>
        <v>6.1085916374901878E-10</v>
      </c>
      <c r="Q107" s="305">
        <f t="shared" si="28"/>
        <v>0.5</v>
      </c>
      <c r="R107" s="177">
        <f t="shared" si="29"/>
        <v>5.6515871126228134E-4</v>
      </c>
      <c r="S107" s="811">
        <f t="shared" si="30"/>
        <v>-2</v>
      </c>
      <c r="T107" s="176">
        <f t="shared" si="31"/>
        <v>4</v>
      </c>
      <c r="U107" s="251">
        <f t="shared" si="32"/>
        <v>-1.9994348412887377</v>
      </c>
      <c r="V107" s="383">
        <f t="shared" si="33"/>
        <v>51.085461363290619</v>
      </c>
      <c r="W107" s="402">
        <f t="shared" si="34"/>
        <v>22.880803569462643</v>
      </c>
      <c r="X107" s="157">
        <f t="shared" si="35"/>
        <v>45750</v>
      </c>
      <c r="Y107" s="385">
        <f t="shared" si="36"/>
        <v>21.708265342543172</v>
      </c>
      <c r="Z107" s="385">
        <f t="shared" si="37"/>
        <v>22.92557202556026</v>
      </c>
      <c r="AA107" s="386">
        <f t="shared" si="38"/>
        <v>24.987339128320297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8.2512471302847112E-2</v>
      </c>
      <c r="AD107" s="231">
        <f>(INDEX(Models!$BJ107:$BT107,,AH107)*(1-AF107)+INDEX(Models!$BJ107:$BT107,,AH107+1)*AF107-ERP_i)*AE107*Ramure*Pc/MaxiM</f>
        <v>1.515038957033913E-5</v>
      </c>
      <c r="AE107" s="305">
        <f t="shared" si="40"/>
        <v>0.5</v>
      </c>
      <c r="AF107" s="177">
        <f t="shared" si="41"/>
        <v>0.5255527250852412</v>
      </c>
      <c r="AG107" s="811">
        <f t="shared" si="49"/>
        <v>1</v>
      </c>
      <c r="AH107" s="176">
        <f t="shared" si="42"/>
        <v>7</v>
      </c>
      <c r="AI107" s="225">
        <f t="shared" si="43"/>
        <v>1.5255527250852412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'2024'!Wh/'2024'!Env_an*'2025'!Env_an</f>
        <v>48.11834480379035</v>
      </c>
      <c r="C108" s="841"/>
      <c r="D108" s="393">
        <f t="shared" si="25"/>
        <v>50.817728836542848</v>
      </c>
      <c r="E108" s="385">
        <f t="shared" si="47"/>
        <v>52.553838294632186</v>
      </c>
      <c r="F108" s="385">
        <f t="shared" si="26"/>
        <v>52.553838347112752</v>
      </c>
      <c r="G108" s="110">
        <f t="shared" si="48"/>
        <v>0.93697075311032518</v>
      </c>
      <c r="H108" s="414" t="b">
        <f>Wh_hp&gt;='2024'!Maxi_hp</f>
        <v>0</v>
      </c>
      <c r="I108" s="390">
        <f>IF(H108,Wh_hp,'2024'!Maxi_hp)</f>
        <v>56.536713073450201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5.3118942828696003E-2</v>
      </c>
      <c r="M108" s="845"/>
      <c r="N108" s="845"/>
      <c r="O108" s="48">
        <f>IF(t&lt;Tnet,'2024'!Resal+('2024'!Salim-'2024'!Resal)*(1-EXP(('2024'!Tnet-t)/('2024'!Tau_j))),Resal+(Salim-Resal)*(1-EXP((Tnet-t)/(Tau_j))))*Salcycl</f>
        <v>3.3034874605280005E-2</v>
      </c>
      <c r="P108" s="169">
        <f>(INDEX(Models!$BJ108:$BT108,,T108)*(1-R108)+INDEX(Models!$BJ108:$BT108,,T108+1)*R108-ERP_i)*Q108*Ramure*Pc/MaxiM</f>
        <v>1.0974193549863354E-9</v>
      </c>
      <c r="Q108" s="305">
        <f t="shared" si="28"/>
        <v>0.5</v>
      </c>
      <c r="R108" s="177">
        <f t="shared" si="29"/>
        <v>1.7033847461149776E-3</v>
      </c>
      <c r="S108" s="811">
        <f t="shared" si="30"/>
        <v>-2</v>
      </c>
      <c r="T108" s="176">
        <f t="shared" si="31"/>
        <v>4</v>
      </c>
      <c r="U108" s="251">
        <f t="shared" si="32"/>
        <v>-1.998296615253885</v>
      </c>
      <c r="V108" s="383">
        <f t="shared" si="33"/>
        <v>51.355226018852939</v>
      </c>
      <c r="W108" s="402">
        <f t="shared" si="34"/>
        <v>48.11834480379035</v>
      </c>
      <c r="X108" s="157">
        <f t="shared" si="35"/>
        <v>45751</v>
      </c>
      <c r="Y108" s="385">
        <f t="shared" si="36"/>
        <v>45.653747484860325</v>
      </c>
      <c r="Z108" s="385">
        <f t="shared" si="37"/>
        <v>48.214870430765124</v>
      </c>
      <c r="AA108" s="386">
        <f t="shared" si="38"/>
        <v>52.553208132064107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8.2551339023812093E-2</v>
      </c>
      <c r="AD108" s="231">
        <f>(INDEX(Models!$BJ108:$BT108,,AH108)*(1-AF108)+INDEX(Models!$BJ108:$BT108,,AH108+1)*AF108-ERP_i)*AE108*Ramure*Pc/MaxiM</f>
        <v>1.3178405797739151E-5</v>
      </c>
      <c r="AE108" s="305">
        <f t="shared" si="40"/>
        <v>0.5</v>
      </c>
      <c r="AF108" s="177">
        <f t="shared" si="41"/>
        <v>0.5266909511200939</v>
      </c>
      <c r="AG108" s="811">
        <f t="shared" si="49"/>
        <v>1</v>
      </c>
      <c r="AH108" s="176">
        <f t="shared" si="42"/>
        <v>7</v>
      </c>
      <c r="AI108" s="225">
        <f t="shared" si="43"/>
        <v>1.5266909511200939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'2024'!Wh/'2024'!Env_an*'2025'!Env_an</f>
        <v>51.145155607384673</v>
      </c>
      <c r="C109" s="841"/>
      <c r="D109" s="393">
        <f t="shared" si="25"/>
        <v>54.015523338150381</v>
      </c>
      <c r="E109" s="385">
        <f t="shared" si="47"/>
        <v>55.865287465724904</v>
      </c>
      <c r="F109" s="385">
        <f t="shared" si="26"/>
        <v>55.865287561348403</v>
      </c>
      <c r="G109" s="110">
        <f t="shared" si="48"/>
        <v>0.99080735360403871</v>
      </c>
      <c r="H109" s="414" t="b">
        <f>Wh_hp&gt;='2024'!Maxi_hp</f>
        <v>0</v>
      </c>
      <c r="I109" s="390">
        <f>IF(H109,Wh_hp,'2024'!Maxi_hp)</f>
        <v>58.623693621493487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5.3139681953954243E-2</v>
      </c>
      <c r="M109" s="845"/>
      <c r="N109" s="845"/>
      <c r="O109" s="48">
        <f>IF(t&lt;Tnet,'2024'!Resal+('2024'!Salim-'2024'!Resal)*(1-EXP(('2024'!Tnet-t)/('2024'!Tau_j))),Resal+(Salim-Resal)*(1-EXP((Tnet-t)/(Tau_j))))*Salcycl</f>
        <v>3.3111153839661296E-2</v>
      </c>
      <c r="P109" s="169">
        <f>(INDEX(Models!$BJ109:$BT109,,T109)*(1-R109)+INDEX(Models!$BJ109:$BT109,,T109+1)*R109-ERP_i)*Q109*Ramure*Pc/MaxiM</f>
        <v>1.7344575826704904E-9</v>
      </c>
      <c r="Q109" s="305">
        <f t="shared" si="28"/>
        <v>0.5</v>
      </c>
      <c r="R109" s="177">
        <f t="shared" si="29"/>
        <v>2.8835363741337439E-3</v>
      </c>
      <c r="S109" s="811">
        <f t="shared" si="30"/>
        <v>-2</v>
      </c>
      <c r="T109" s="176">
        <f t="shared" si="31"/>
        <v>4</v>
      </c>
      <c r="U109" s="251">
        <f t="shared" si="32"/>
        <v>-1.9971164636258663</v>
      </c>
      <c r="V109" s="383">
        <f t="shared" si="33"/>
        <v>51.619677044362263</v>
      </c>
      <c r="W109" s="402">
        <f t="shared" si="34"/>
        <v>51.145155607384673</v>
      </c>
      <c r="X109" s="157">
        <f t="shared" si="35"/>
        <v>45752</v>
      </c>
      <c r="Y109" s="385">
        <f t="shared" si="36"/>
        <v>48.527281515862633</v>
      </c>
      <c r="Z109" s="385">
        <f t="shared" si="37"/>
        <v>51.250728952295951</v>
      </c>
      <c r="AA109" s="386">
        <f t="shared" si="38"/>
        <v>55.864649727956298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8.2591062472041399E-2</v>
      </c>
      <c r="AD109" s="231">
        <f>(INDEX(Models!$BJ109:$BT109,,AH109)*(1-AF109)+INDEX(Models!$BJ109:$BT109,,AH109+1)*AF109-ERP_i)*AE109*Ramure*Pc/MaxiM</f>
        <v>1.1569279182086556E-5</v>
      </c>
      <c r="AE109" s="305">
        <f t="shared" si="40"/>
        <v>0.5</v>
      </c>
      <c r="AF109" s="177">
        <f t="shared" si="41"/>
        <v>0.52787110274811266</v>
      </c>
      <c r="AG109" s="811">
        <f t="shared" si="49"/>
        <v>1</v>
      </c>
      <c r="AH109" s="176">
        <f t="shared" si="42"/>
        <v>7</v>
      </c>
      <c r="AI109" s="225">
        <f t="shared" si="43"/>
        <v>1.5278711027481127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'2024'!Wh/'2024'!Env_an*'2025'!Env_an</f>
        <v>11.204239435342339</v>
      </c>
      <c r="C110" s="841"/>
      <c r="D110" s="393">
        <f t="shared" si="25"/>
        <v>11.833302788987577</v>
      </c>
      <c r="E110" s="385">
        <f t="shared" si="47"/>
        <v>12.239504447186759</v>
      </c>
      <c r="F110" s="385">
        <f t="shared" si="26"/>
        <v>12.239504447186759</v>
      </c>
      <c r="G110" s="110">
        <f t="shared" si="48"/>
        <v>0.21596986389227668</v>
      </c>
      <c r="H110" s="414" t="b">
        <f>Wh_hp&gt;='2024'!Maxi_hp</f>
        <v>0</v>
      </c>
      <c r="I110" s="390">
        <f>IF(H110,Wh_hp,'2024'!Maxi_hp)</f>
        <v>59.354429100482541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5.3160420624972393E-2</v>
      </c>
      <c r="M110" s="845"/>
      <c r="N110" s="845"/>
      <c r="O110" s="48">
        <f>IF(t&lt;Tnet,'2024'!Resal+('2024'!Salim-'2024'!Resal)*(1-EXP(('2024'!Tnet-t)/('2024'!Tau_j))),Resal+(Salim-Resal)*(1-EXP((Tnet-t)/(Tau_j))))*Salcycl</f>
        <v>3.3187753634302396E-2</v>
      </c>
      <c r="P110" s="169">
        <f>(INDEX(Models!$BJ110:$BT110,,T110)*(1-R110)+INDEX(Models!$BJ110:$BT110,,T110+1)*R110-ERP_i)*Q110*Ramure*Pc/MaxiM</f>
        <v>2.5835594585258945E-9</v>
      </c>
      <c r="Q110" s="305">
        <f t="shared" si="28"/>
        <v>0.5</v>
      </c>
      <c r="R110" s="177">
        <f t="shared" si="29"/>
        <v>4.1069208971737936E-3</v>
      </c>
      <c r="S110" s="811">
        <f t="shared" si="30"/>
        <v>-2</v>
      </c>
      <c r="T110" s="176">
        <f t="shared" si="31"/>
        <v>4</v>
      </c>
      <c r="U110" s="251">
        <f t="shared" si="32"/>
        <v>-1.9958930791028262</v>
      </c>
      <c r="V110" s="383">
        <f t="shared" si="33"/>
        <v>51.878716800896193</v>
      </c>
      <c r="W110" s="402">
        <f t="shared" si="34"/>
        <v>11.204239435342339</v>
      </c>
      <c r="X110" s="157">
        <f t="shared" si="35"/>
        <v>45753</v>
      </c>
      <c r="Y110" s="385">
        <f t="shared" si="36"/>
        <v>10.631241456128794</v>
      </c>
      <c r="Z110" s="385">
        <f t="shared" si="37"/>
        <v>11.228133770185302</v>
      </c>
      <c r="AA110" s="386">
        <f t="shared" si="38"/>
        <v>12.239504447186759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8.2631668738346653E-2</v>
      </c>
      <c r="AD110" s="231">
        <f>(INDEX(Models!$BJ110:$BT110,,AH110)*(1-AF110)+INDEX(Models!$BJ110:$BT110,,AH110+1)*AF110-ERP_i)*AE110*Ramure*Pc/MaxiM</f>
        <v>1.0319575590379508E-5</v>
      </c>
      <c r="AE110" s="305">
        <f t="shared" si="40"/>
        <v>0.5</v>
      </c>
      <c r="AF110" s="177">
        <f t="shared" si="41"/>
        <v>0.52909448727115271</v>
      </c>
      <c r="AG110" s="811">
        <f t="shared" si="49"/>
        <v>1</v>
      </c>
      <c r="AH110" s="176">
        <f t="shared" si="42"/>
        <v>7</v>
      </c>
      <c r="AI110" s="225">
        <f t="shared" si="43"/>
        <v>1.5290944872711527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'2024'!Wh/'2024'!Env_an*'2025'!Env_an</f>
        <v>38.299422469903668</v>
      </c>
      <c r="C111" s="841"/>
      <c r="D111" s="393">
        <f t="shared" si="25"/>
        <v>40.450634065384826</v>
      </c>
      <c r="E111" s="385">
        <f t="shared" si="47"/>
        <v>41.842512114632136</v>
      </c>
      <c r="F111" s="385">
        <f t="shared" si="26"/>
        <v>41.842512211033622</v>
      </c>
      <c r="G111" s="110">
        <f t="shared" si="48"/>
        <v>0.73465895117645463</v>
      </c>
      <c r="H111" s="414" t="b">
        <f>Wh_hp&gt;='2024'!Maxi_hp</f>
        <v>0</v>
      </c>
      <c r="I111" s="390">
        <f>IF(H111,Wh_hp,'2024'!Maxi_hp)</f>
        <v>56.351753523847592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5.3181158841760445E-2</v>
      </c>
      <c r="M111" s="845"/>
      <c r="N111" s="845"/>
      <c r="O111" s="48">
        <f>IF(t&lt;Tnet,'2024'!Resal+('2024'!Salim-'2024'!Resal)*(1-EXP(('2024'!Tnet-t)/('2024'!Tau_j))),Resal+(Salim-Resal)*(1-EXP((Tnet-t)/(Tau_j))))*Salcycl</f>
        <v>3.3264686533019519E-2</v>
      </c>
      <c r="P111" s="169">
        <f>(INDEX(Models!$BJ111:$BT111,,T111)*(1-R111)+INDEX(Models!$BJ111:$BT111,,T111+1)*R111-ERP_i)*Q111*Ramure*Pc/MaxiM</f>
        <v>3.7103544532901558E-9</v>
      </c>
      <c r="Q111" s="305">
        <f t="shared" si="28"/>
        <v>0.5</v>
      </c>
      <c r="R111" s="177">
        <f t="shared" si="29"/>
        <v>5.3748674581228784E-3</v>
      </c>
      <c r="S111" s="811">
        <f t="shared" si="30"/>
        <v>-2</v>
      </c>
      <c r="T111" s="176">
        <f t="shared" si="31"/>
        <v>4</v>
      </c>
      <c r="U111" s="251">
        <f t="shared" si="32"/>
        <v>-1.9946251325418771</v>
      </c>
      <c r="V111" s="383">
        <f t="shared" si="33"/>
        <v>52.132247697665058</v>
      </c>
      <c r="W111" s="402">
        <f t="shared" si="34"/>
        <v>38.299422469903668</v>
      </c>
      <c r="X111" s="157">
        <f t="shared" si="35"/>
        <v>45754</v>
      </c>
      <c r="Y111" s="385">
        <f t="shared" si="36"/>
        <v>36.341779609579653</v>
      </c>
      <c r="Z111" s="385">
        <f t="shared" si="37"/>
        <v>38.383033828438506</v>
      </c>
      <c r="AA111" s="386">
        <f t="shared" si="38"/>
        <v>41.842267294356148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8.2673184069646133E-2</v>
      </c>
      <c r="AD111" s="231">
        <f>(INDEX(Models!$BJ111:$BT111,,AH111)*(1-AF111)+INDEX(Models!$BJ111:$BT111,,AH111+1)*AF111-ERP_i)*AE111*Ramure*Pc/MaxiM</f>
        <v>9.4264901683813014E-6</v>
      </c>
      <c r="AE111" s="305">
        <f t="shared" si="40"/>
        <v>0.5</v>
      </c>
      <c r="AF111" s="177">
        <f t="shared" si="41"/>
        <v>0.5303624338321018</v>
      </c>
      <c r="AG111" s="811">
        <f t="shared" si="49"/>
        <v>1</v>
      </c>
      <c r="AH111" s="176">
        <f t="shared" si="42"/>
        <v>7</v>
      </c>
      <c r="AI111" s="225">
        <f t="shared" si="43"/>
        <v>1.5303624338321018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'2024'!Wh/'2024'!Env_an*'2025'!Env_an</f>
        <v>31.547678673738929</v>
      </c>
      <c r="C112" s="841"/>
      <c r="D112" s="393">
        <f t="shared" si="25"/>
        <v>33.320386427258185</v>
      </c>
      <c r="E112" s="385">
        <f t="shared" si="47"/>
        <v>34.469673052425748</v>
      </c>
      <c r="F112" s="385">
        <f t="shared" si="26"/>
        <v>34.469673129602967</v>
      </c>
      <c r="G112" s="110">
        <f t="shared" si="48"/>
        <v>0.60228283442636465</v>
      </c>
      <c r="H112" s="414" t="b">
        <f>Wh_hp&gt;='2024'!Maxi_hp</f>
        <v>0</v>
      </c>
      <c r="I112" s="390">
        <f>IF(H112,Wh_hp,'2024'!Maxi_hp)</f>
        <v>55.793489046232402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5.320189660432828E-2</v>
      </c>
      <c r="M112" s="845"/>
      <c r="N112" s="845"/>
      <c r="O112" s="48">
        <f>IF(t&lt;Tnet,'2024'!Resal+('2024'!Salim-'2024'!Resal)*(1-EXP(('2024'!Tnet-t)/('2024'!Tau_j))),Resal+(Salim-Resal)*(1-EXP((Tnet-t)/(Tau_j))))*Salcycl</f>
        <v>3.3341964787991715E-2</v>
      </c>
      <c r="P112" s="169">
        <f>(INDEX(Models!$BJ112:$BT112,,T112)*(1-R112)+INDEX(Models!$BJ112:$BT112,,T112+1)*R112-ERP_i)*Q112*Ramure*Pc/MaxiM</f>
        <v>5.1848541315835231E-9</v>
      </c>
      <c r="Q112" s="305">
        <f t="shared" si="28"/>
        <v>0.5</v>
      </c>
      <c r="R112" s="177">
        <f t="shared" si="29"/>
        <v>6.688725785866545E-3</v>
      </c>
      <c r="S112" s="811">
        <f t="shared" si="30"/>
        <v>-2</v>
      </c>
      <c r="T112" s="176">
        <f t="shared" si="31"/>
        <v>4</v>
      </c>
      <c r="U112" s="251">
        <f t="shared" si="32"/>
        <v>-1.9933112742141335</v>
      </c>
      <c r="V112" s="383">
        <f t="shared" si="33"/>
        <v>52.380172200741605</v>
      </c>
      <c r="W112" s="402">
        <f t="shared" si="34"/>
        <v>31.547678673738929</v>
      </c>
      <c r="X112" s="157">
        <f t="shared" si="35"/>
        <v>45755</v>
      </c>
      <c r="Y112" s="385">
        <f t="shared" si="36"/>
        <v>29.936213615204302</v>
      </c>
      <c r="Z112" s="385">
        <f t="shared" si="37"/>
        <v>31.618370915445112</v>
      </c>
      <c r="AA112" s="386">
        <f t="shared" si="38"/>
        <v>34.469540832726395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8.2715633814718498E-2</v>
      </c>
      <c r="AD112" s="231">
        <f>(INDEX(Models!$BJ112:$BT112,,AH112)*(1-AF112)+INDEX(Models!$BJ112:$BT112,,AH112+1)*AF112-ERP_i)*AE112*Ramure*Pc/MaxiM</f>
        <v>8.8878553430684186E-6</v>
      </c>
      <c r="AE112" s="305">
        <f t="shared" si="40"/>
        <v>0.5</v>
      </c>
      <c r="AF112" s="177">
        <f t="shared" si="41"/>
        <v>0.53167629215984546</v>
      </c>
      <c r="AG112" s="811">
        <f t="shared" si="49"/>
        <v>1</v>
      </c>
      <c r="AH112" s="176">
        <f t="shared" si="42"/>
        <v>7</v>
      </c>
      <c r="AI112" s="225">
        <f t="shared" si="43"/>
        <v>1.5316762921598455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'2024'!Wh/'2024'!Env_an*'2025'!Env_an</f>
        <v>35.126485799877599</v>
      </c>
      <c r="C113" s="841"/>
      <c r="D113" s="393">
        <f t="shared" si="25"/>
        <v>37.101104291331517</v>
      </c>
      <c r="E113" s="385">
        <f t="shared" si="47"/>
        <v>38.383878158693612</v>
      </c>
      <c r="F113" s="385">
        <f t="shared" si="26"/>
        <v>38.38387830141064</v>
      </c>
      <c r="G113" s="110">
        <f t="shared" si="48"/>
        <v>0.6675197343623982</v>
      </c>
      <c r="H113" s="414" t="b">
        <f>Wh_hp&gt;='2024'!Maxi_hp</f>
        <v>0</v>
      </c>
      <c r="I113" s="390">
        <f>IF(H113,Wh_hp,'2024'!Maxi_hp)</f>
        <v>41.648731192226585</v>
      </c>
      <c r="J113" s="85">
        <f>IF(H113,An,'2024'!An_max)</f>
        <v>2019</v>
      </c>
      <c r="K113" s="197">
        <f t="shared" si="27"/>
        <v>45756</v>
      </c>
      <c r="L113" s="147">
        <f>IF(t&lt;Tvie,1-EXP((T0-t)*PertePVj)+'2024'!Pspv,1-EXP((T0-t)*PertePVj)+Pspv)</f>
        <v>5.3222633912685891E-2</v>
      </c>
      <c r="M113" s="845"/>
      <c r="N113" s="845"/>
      <c r="O113" s="48">
        <f>IF(t&lt;Tnet,'2024'!Resal+('2024'!Salim-'2024'!Resal)*(1-EXP(('2024'!Tnet-t)/('2024'!Tau_j))),Resal+(Salim-Resal)*(1-EXP((Tnet-t)/(Tau_j))))*Salcycl</f>
        <v>3.341960033477126E-2</v>
      </c>
      <c r="P113" s="169">
        <f>(INDEX(Models!$BJ113:$BT113,,T113)*(1-R113)+INDEX(Models!$BJ113:$BT113,,T113+1)*R113-ERP_i)*Q113*Ramure*Pc/MaxiM</f>
        <v>7.0818106942391471E-9</v>
      </c>
      <c r="Q113" s="305">
        <f t="shared" si="28"/>
        <v>0.5</v>
      </c>
      <c r="R113" s="177">
        <f t="shared" si="29"/>
        <v>8.0498647734323914E-3</v>
      </c>
      <c r="S113" s="811">
        <f t="shared" si="30"/>
        <v>-2</v>
      </c>
      <c r="T113" s="176">
        <f t="shared" si="31"/>
        <v>4</v>
      </c>
      <c r="U113" s="251">
        <f t="shared" si="32"/>
        <v>-1.9919501352265676</v>
      </c>
      <c r="V113" s="383">
        <f t="shared" si="33"/>
        <v>52.622392827496192</v>
      </c>
      <c r="W113" s="402">
        <f t="shared" si="34"/>
        <v>35.126485799877599</v>
      </c>
      <c r="X113" s="157">
        <f t="shared" si="35"/>
        <v>45756</v>
      </c>
      <c r="Y113" s="385">
        <f t="shared" si="36"/>
        <v>33.333289602779104</v>
      </c>
      <c r="Z113" s="385">
        <f t="shared" si="37"/>
        <v>35.207104433150363</v>
      </c>
      <c r="AA113" s="386">
        <f t="shared" si="38"/>
        <v>38.383702930319238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8.2759042371070596E-2</v>
      </c>
      <c r="AD113" s="231">
        <f>(INDEX(Models!$BJ113:$BT113,,AH113)*(1-AF113)+INDEX(Models!$BJ113:$BT113,,AH113+1)*AF113-ERP_i)*AE113*Ramure*Pc/MaxiM</f>
        <v>8.7021491887001941E-6</v>
      </c>
      <c r="AE113" s="305">
        <f t="shared" si="40"/>
        <v>0.5</v>
      </c>
      <c r="AF113" s="177">
        <f t="shared" si="41"/>
        <v>0.53303743114741131</v>
      </c>
      <c r="AG113" s="811">
        <f t="shared" si="49"/>
        <v>1</v>
      </c>
      <c r="AH113" s="176">
        <f t="shared" si="42"/>
        <v>7</v>
      </c>
      <c r="AI113" s="225">
        <f t="shared" si="43"/>
        <v>1.5330374311474113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'2024'!Wh/'2024'!Env_an*'2025'!Env_an</f>
        <v>52.893633133599373</v>
      </c>
      <c r="C114" s="841"/>
      <c r="D114" s="393">
        <f t="shared" si="25"/>
        <v>55.868246918367568</v>
      </c>
      <c r="E114" s="385">
        <f t="shared" si="47"/>
        <v>57.804561265385544</v>
      </c>
      <c r="F114" s="385">
        <f t="shared" si="26"/>
        <v>57.804561838176731</v>
      </c>
      <c r="G114" s="110">
        <f t="shared" si="48"/>
        <v>1.0006587548321233</v>
      </c>
      <c r="H114" s="414" t="b">
        <f>Wh_hp&gt;='2024'!Maxi_hp</f>
        <v>0</v>
      </c>
      <c r="I114" s="390">
        <f>IF(H114,Wh_hp,'2024'!Maxi_hp)</f>
        <v>58.06042842516851</v>
      </c>
      <c r="J114" s="85">
        <f>IF(H114,An,'2024'!An_max)</f>
        <v>2020</v>
      </c>
      <c r="K114" s="197">
        <f t="shared" si="27"/>
        <v>45757</v>
      </c>
      <c r="L114" s="147">
        <f>IF(t&lt;Tvie,1-EXP((T0-t)*PertePVj)+'2024'!Pspv,1-EXP((T0-t)*PertePVj)+Pspv)</f>
        <v>5.3243370766843268E-2</v>
      </c>
      <c r="M114" s="845"/>
      <c r="N114" s="845"/>
      <c r="O114" s="48">
        <f>IF(t&lt;Tnet,'2024'!Resal+('2024'!Salim-'2024'!Resal)*(1-EXP(('2024'!Tnet-t)/('2024'!Tau_j))),Resal+(Salim-Resal)*(1-EXP((Tnet-t)/(Tau_j))))*Salcycl</f>
        <v>3.3497604767350392E-2</v>
      </c>
      <c r="P114" s="169">
        <f>(INDEX(Models!$BJ114:$BT114,,T114)*(1-R114)+INDEX(Models!$BJ114:$BT114,,T114+1)*R114-ERP_i)*Q114*Ramure*Pc/MaxiM</f>
        <v>9.9091001231197081E-9</v>
      </c>
      <c r="Q114" s="305">
        <f t="shared" si="28"/>
        <v>0.5</v>
      </c>
      <c r="R114" s="177">
        <f t="shared" si="29"/>
        <v>9.4596708797749507E-3</v>
      </c>
      <c r="S114" s="811">
        <f t="shared" si="30"/>
        <v>-2</v>
      </c>
      <c r="T114" s="176">
        <f t="shared" si="31"/>
        <v>4</v>
      </c>
      <c r="U114" s="251">
        <f t="shared" si="32"/>
        <v>-1.990540329120225</v>
      </c>
      <c r="V114" s="383">
        <f t="shared" si="33"/>
        <v>52.858812135684694</v>
      </c>
      <c r="W114" s="402">
        <f t="shared" si="34"/>
        <v>52.893633133599373</v>
      </c>
      <c r="X114" s="157">
        <f t="shared" si="35"/>
        <v>45757</v>
      </c>
      <c r="Y114" s="385">
        <f t="shared" si="36"/>
        <v>50.194829253833738</v>
      </c>
      <c r="Z114" s="385">
        <f t="shared" si="37"/>
        <v>53.017668642563379</v>
      </c>
      <c r="AA114" s="386">
        <f t="shared" si="38"/>
        <v>57.804041748251628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8.2803433132476761E-2</v>
      </c>
      <c r="AD114" s="231">
        <f>(INDEX(Models!$BJ114:$BT114,,AH114)*(1-AF114)+INDEX(Models!$BJ114:$BT114,,AH114+1)*AF114-ERP_i)*AE114*Ramure*Pc/MaxiM</f>
        <v>8.9973854755210883E-6</v>
      </c>
      <c r="AE114" s="305">
        <f t="shared" si="40"/>
        <v>0.5</v>
      </c>
      <c r="AF114" s="177">
        <f t="shared" si="41"/>
        <v>0.53444723725375387</v>
      </c>
      <c r="AG114" s="811">
        <f t="shared" si="49"/>
        <v>1</v>
      </c>
      <c r="AH114" s="176">
        <f t="shared" si="42"/>
        <v>7</v>
      </c>
      <c r="AI114" s="225">
        <f t="shared" si="43"/>
        <v>1.5344472372537539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'2024'!Wh/'2024'!Env_an*'2025'!Env_an</f>
        <v>44.416446617309425</v>
      </c>
      <c r="C115" s="841"/>
      <c r="D115" s="393">
        <f t="shared" si="25"/>
        <v>46.915350895157609</v>
      </c>
      <c r="E115" s="385">
        <f t="shared" si="47"/>
        <v>48.545307625182289</v>
      </c>
      <c r="F115" s="385">
        <f t="shared" si="26"/>
        <v>48.545308139770803</v>
      </c>
      <c r="G115" s="110">
        <f t="shared" si="48"/>
        <v>0.83663599004156708</v>
      </c>
      <c r="H115" s="414" t="b">
        <f>Wh_hp&gt;='2024'!Maxi_hp</f>
        <v>0</v>
      </c>
      <c r="I115" s="390">
        <f>IF(H115,Wh_hp,'2024'!Maxi_hp)</f>
        <v>59.123099904366789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5.3264107166810293E-2</v>
      </c>
      <c r="M115" s="845"/>
      <c r="N115" s="845"/>
      <c r="O115" s="48">
        <f>IF(t&lt;Tnet,'2024'!Resal+('2024'!Salim-'2024'!Resal)*(1-EXP(('2024'!Tnet-t)/('2024'!Tau_j))),Resal+(Salim-Resal)*(1-EXP((Tnet-t)/(Tau_j))))*Salcycl</f>
        <v>3.3575989313108297E-2</v>
      </c>
      <c r="P115" s="169">
        <f>(INDEX(Models!$BJ115:$BT115,,T115)*(1-R115)+INDEX(Models!$BJ115:$BT115,,T115+1)*R115-ERP_i)*Q115*Ramure*Pc/MaxiM</f>
        <v>1.3827099017348277E-8</v>
      </c>
      <c r="Q115" s="305">
        <f t="shared" si="28"/>
        <v>0.5</v>
      </c>
      <c r="R115" s="177">
        <f t="shared" si="29"/>
        <v>1.091954634567216E-2</v>
      </c>
      <c r="S115" s="811">
        <f t="shared" si="30"/>
        <v>-2</v>
      </c>
      <c r="T115" s="176">
        <f t="shared" si="31"/>
        <v>4</v>
      </c>
      <c r="U115" s="251">
        <f t="shared" si="32"/>
        <v>-1.9890804536543278</v>
      </c>
      <c r="V115" s="383">
        <f t="shared" si="33"/>
        <v>53.089332759607835</v>
      </c>
      <c r="W115" s="402">
        <f t="shared" si="34"/>
        <v>44.416446617309425</v>
      </c>
      <c r="X115" s="157">
        <f t="shared" si="35"/>
        <v>45758</v>
      </c>
      <c r="Y115" s="385">
        <f t="shared" si="36"/>
        <v>42.151578943045209</v>
      </c>
      <c r="Z115" s="385">
        <f t="shared" si="37"/>
        <v>44.523059981282564</v>
      </c>
      <c r="AA115" s="386">
        <f t="shared" si="38"/>
        <v>48.544952415417377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8.2848828436743932E-2</v>
      </c>
      <c r="AD115" s="231">
        <f>(INDEX(Models!$BJ115:$BT115,,AH115)*(1-AF115)+INDEX(Models!$BJ115:$BT115,,AH115+1)*AF115-ERP_i)*AE115*Ramure*Pc/MaxiM</f>
        <v>9.5583863048229934E-6</v>
      </c>
      <c r="AE115" s="305">
        <f t="shared" si="40"/>
        <v>0.5</v>
      </c>
      <c r="AF115" s="177">
        <f t="shared" si="41"/>
        <v>0.53590711271965108</v>
      </c>
      <c r="AG115" s="811">
        <f t="shared" si="49"/>
        <v>1</v>
      </c>
      <c r="AH115" s="176">
        <f t="shared" si="42"/>
        <v>7</v>
      </c>
      <c r="AI115" s="225">
        <f t="shared" si="43"/>
        <v>1.5359071127196511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'2024'!Wh/'2024'!Env_an*'2025'!Env_an</f>
        <v>36.020040724598026</v>
      </c>
      <c r="C116" s="841"/>
      <c r="D116" s="393">
        <f t="shared" si="25"/>
        <v>38.047389927741534</v>
      </c>
      <c r="E116" s="385">
        <f t="shared" si="47"/>
        <v>39.372460837105336</v>
      </c>
      <c r="F116" s="385">
        <f t="shared" si="26"/>
        <v>39.372461239718582</v>
      </c>
      <c r="G116" s="110">
        <f t="shared" si="48"/>
        <v>0.67562247726113822</v>
      </c>
      <c r="H116" s="414" t="b">
        <f>Wh_hp&gt;='2024'!Maxi_hp</f>
        <v>0</v>
      </c>
      <c r="I116" s="390">
        <f>IF(H116,Wh_hp,'2024'!Maxi_hp)</f>
        <v>58.323508945597986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5.3284843112596958E-2</v>
      </c>
      <c r="M116" s="845"/>
      <c r="N116" s="845"/>
      <c r="O116" s="48">
        <f>IF(t&lt;Tnet,'2024'!Resal+('2024'!Salim-'2024'!Resal)*(1-EXP(('2024'!Tnet-t)/('2024'!Tau_j))),Resal+(Salim-Resal)*(1-EXP((Tnet-t)/(Tau_j))))*Salcycl</f>
        <v>3.3654764807462427E-2</v>
      </c>
      <c r="P116" s="169">
        <f>(INDEX(Models!$BJ116:$BT116,,T116)*(1-R116)+INDEX(Models!$BJ116:$BT116,,T116+1)*R116-ERP_i)*Q116*Ramure*Pc/MaxiM</f>
        <v>1.905644825288514E-8</v>
      </c>
      <c r="Q116" s="305">
        <f t="shared" si="28"/>
        <v>0.5</v>
      </c>
      <c r="R116" s="177">
        <f t="shared" si="29"/>
        <v>1.2430907214300513E-2</v>
      </c>
      <c r="S116" s="811">
        <f t="shared" si="30"/>
        <v>-2</v>
      </c>
      <c r="T116" s="176">
        <f t="shared" si="31"/>
        <v>4</v>
      </c>
      <c r="U116" s="251">
        <f t="shared" si="32"/>
        <v>-1.9875690927856995</v>
      </c>
      <c r="V116" s="383">
        <f t="shared" si="33"/>
        <v>53.313857396419763</v>
      </c>
      <c r="W116" s="402">
        <f t="shared" si="34"/>
        <v>36.020040724598026</v>
      </c>
      <c r="X116" s="157">
        <f t="shared" si="35"/>
        <v>45759</v>
      </c>
      <c r="Y116" s="385">
        <f t="shared" si="36"/>
        <v>34.184435856644782</v>
      </c>
      <c r="Z116" s="385">
        <f t="shared" si="37"/>
        <v>36.108470016510452</v>
      </c>
      <c r="AA116" s="386">
        <f t="shared" si="38"/>
        <v>39.372241826625093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8.2895249513263575E-2</v>
      </c>
      <c r="AD116" s="231">
        <f>(INDEX(Models!$BJ116:$BT116,,AH116)*(1-AF116)+INDEX(Models!$BJ116:$BT116,,AH116+1)*AF116-ERP_i)*AE116*Ramure*Pc/MaxiM</f>
        <v>1.0385237598527705E-5</v>
      </c>
      <c r="AE116" s="305">
        <f t="shared" si="40"/>
        <v>0.5</v>
      </c>
      <c r="AF116" s="177">
        <f t="shared" si="41"/>
        <v>0.53741847358827943</v>
      </c>
      <c r="AG116" s="811">
        <f t="shared" si="49"/>
        <v>1</v>
      </c>
      <c r="AH116" s="176">
        <f t="shared" si="42"/>
        <v>7</v>
      </c>
      <c r="AI116" s="225">
        <f t="shared" si="43"/>
        <v>1.5374184735882794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'2024'!Wh/'2024'!Env_an*'2025'!Env_an</f>
        <v>7.222616558607295</v>
      </c>
      <c r="C117" s="841"/>
      <c r="D117" s="393">
        <f t="shared" si="25"/>
        <v>7.6293008550303041</v>
      </c>
      <c r="E117" s="385">
        <f t="shared" si="47"/>
        <v>7.8956523301673869</v>
      </c>
      <c r="F117" s="385">
        <f t="shared" si="26"/>
        <v>7.8956523301673869</v>
      </c>
      <c r="G117" s="110">
        <f t="shared" si="48"/>
        <v>0.13492074657549713</v>
      </c>
      <c r="H117" s="414" t="b">
        <f>Wh_hp&gt;='2024'!Maxi_hp</f>
        <v>0</v>
      </c>
      <c r="I117" s="390">
        <f>IF(H117,Wh_hp,'2024'!Maxi_hp)</f>
        <v>59.034851740298983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5.3305578604213255E-2</v>
      </c>
      <c r="M117" s="845"/>
      <c r="N117" s="845"/>
      <c r="O117" s="48">
        <f>IF(t&lt;Tnet,'2024'!Resal+('2024'!Salim-'2024'!Resal)*(1-EXP(('2024'!Tnet-t)/('2024'!Tau_j))),Resal+(Salim-Resal)*(1-EXP((Tnet-t)/(Tau_j))))*Salcycl</f>
        <v>3.3733941668051694E-2</v>
      </c>
      <c r="P117" s="169">
        <f>(INDEX(Models!$BJ117:$BT117,,T117)*(1-R117)+INDEX(Models!$BJ117:$BT117,,T117+1)*R117-ERP_i)*Q117*Ramure*Pc/MaxiM</f>
        <v>2.5833512788707415E-8</v>
      </c>
      <c r="Q117" s="305">
        <f t="shared" si="28"/>
        <v>0.5</v>
      </c>
      <c r="R117" s="177">
        <f t="shared" si="29"/>
        <v>1.3995181147222091E-2</v>
      </c>
      <c r="S117" s="811">
        <f t="shared" si="30"/>
        <v>-2</v>
      </c>
      <c r="T117" s="176">
        <f t="shared" si="31"/>
        <v>4</v>
      </c>
      <c r="U117" s="251">
        <f t="shared" si="32"/>
        <v>-1.9860048188527779</v>
      </c>
      <c r="V117" s="383">
        <f t="shared" si="33"/>
        <v>53.532288809121013</v>
      </c>
      <c r="W117" s="402">
        <f t="shared" si="34"/>
        <v>7.222616558607295</v>
      </c>
      <c r="X117" s="157">
        <f t="shared" si="35"/>
        <v>45760</v>
      </c>
      <c r="Y117" s="385">
        <f t="shared" si="36"/>
        <v>6.8547922845792471</v>
      </c>
      <c r="Z117" s="385">
        <f t="shared" si="37"/>
        <v>7.2407654779170265</v>
      </c>
      <c r="AA117" s="386">
        <f t="shared" si="38"/>
        <v>7.8956523301673869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8.2942716429926303E-2</v>
      </c>
      <c r="AD117" s="231">
        <f>(INDEX(Models!$BJ117:$BT117,,AH117)*(1-AF117)+INDEX(Models!$BJ117:$BT117,,AH117+1)*AF117-ERP_i)*AE117*Ramure*Pc/MaxiM</f>
        <v>1.1478513577465673E-5</v>
      </c>
      <c r="AE117" s="305">
        <f t="shared" si="40"/>
        <v>0.5</v>
      </c>
      <c r="AF117" s="177">
        <f t="shared" si="41"/>
        <v>0.53898274752120101</v>
      </c>
      <c r="AG117" s="811">
        <f t="shared" si="49"/>
        <v>1</v>
      </c>
      <c r="AH117" s="176">
        <f t="shared" si="42"/>
        <v>7</v>
      </c>
      <c r="AI117" s="225">
        <f t="shared" si="43"/>
        <v>1.538982747521201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'2024'!Wh/'2024'!Env_an*'2025'!Env_an</f>
        <v>39.041561271499049</v>
      </c>
      <c r="C118" s="841"/>
      <c r="D118" s="393">
        <f t="shared" si="25"/>
        <v>41.240780042893469</v>
      </c>
      <c r="E118" s="385">
        <f t="shared" si="47"/>
        <v>42.684079437866103</v>
      </c>
      <c r="F118" s="385">
        <f t="shared" si="26"/>
        <v>42.684080332651362</v>
      </c>
      <c r="G118" s="110">
        <f t="shared" si="48"/>
        <v>0.72642854761317111</v>
      </c>
      <c r="H118" s="414" t="b">
        <f>Wh_hp&gt;='2024'!Maxi_hp</f>
        <v>0</v>
      </c>
      <c r="I118" s="390">
        <f>IF(H118,Wh_hp,'2024'!Maxi_hp)</f>
        <v>57.514245582008527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5.3326313641668954E-2</v>
      </c>
      <c r="M118" s="845"/>
      <c r="N118" s="845"/>
      <c r="O118" s="48">
        <f>IF(t&lt;Tnet,'2024'!Resal+('2024'!Salim-'2024'!Resal)*(1-EXP(('2024'!Tnet-t)/('2024'!Tau_j))),Resal+(Salim-Resal)*(1-EXP((Tnet-t)/(Tau_j))))*Salcycl</f>
        <v>3.3813529868287312E-2</v>
      </c>
      <c r="P118" s="169">
        <f>(INDEX(Models!$BJ118:$BT118,,T118)*(1-R118)+INDEX(Models!$BJ118:$BT118,,T118+1)*R118-ERP_i)*Q118*Ramure*Pc/MaxiM</f>
        <v>3.4411583100903707E-8</v>
      </c>
      <c r="Q118" s="305">
        <f t="shared" si="28"/>
        <v>0.5</v>
      </c>
      <c r="R118" s="177">
        <f t="shared" si="29"/>
        <v>1.5613805026785554E-2</v>
      </c>
      <c r="S118" s="811">
        <f t="shared" si="30"/>
        <v>-2</v>
      </c>
      <c r="T118" s="176">
        <f t="shared" si="31"/>
        <v>4</v>
      </c>
      <c r="U118" s="251">
        <f t="shared" si="32"/>
        <v>-1.9843861949732144</v>
      </c>
      <c r="V118" s="383">
        <f t="shared" si="33"/>
        <v>53.744529829841262</v>
      </c>
      <c r="W118" s="402">
        <f t="shared" si="34"/>
        <v>39.041561271499049</v>
      </c>
      <c r="X118" s="157">
        <f t="shared" si="35"/>
        <v>45761</v>
      </c>
      <c r="Y118" s="385">
        <f t="shared" si="36"/>
        <v>37.054104164207054</v>
      </c>
      <c r="Z118" s="385">
        <f t="shared" si="37"/>
        <v>39.141369088589506</v>
      </c>
      <c r="AA118" s="386">
        <f t="shared" si="38"/>
        <v>42.683746479940062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8.2991248039001361E-2</v>
      </c>
      <c r="AD118" s="231">
        <f>(INDEX(Models!$BJ118:$BT118,,AH118)*(1-AF118)+INDEX(Models!$BJ118:$BT118,,AH118+1)*AF118-ERP_i)*AE118*Ramure*Pc/MaxiM</f>
        <v>1.2839282004107513E-5</v>
      </c>
      <c r="AE118" s="305">
        <f t="shared" si="40"/>
        <v>0.5</v>
      </c>
      <c r="AF118" s="177">
        <f t="shared" si="41"/>
        <v>0.54060137140076447</v>
      </c>
      <c r="AG118" s="811">
        <f t="shared" si="49"/>
        <v>1</v>
      </c>
      <c r="AH118" s="176">
        <f t="shared" si="42"/>
        <v>7</v>
      </c>
      <c r="AI118" s="225">
        <f t="shared" si="43"/>
        <v>1.5406013714007645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'2024'!Wh/'2024'!Env_an*'2025'!Env_an</f>
        <v>44.741191948018468</v>
      </c>
      <c r="C119" s="841"/>
      <c r="D119" s="393">
        <f t="shared" si="25"/>
        <v>47.262507198785251</v>
      </c>
      <c r="E119" s="385">
        <f t="shared" si="47"/>
        <v>48.920599439390564</v>
      </c>
      <c r="F119" s="385">
        <f t="shared" si="26"/>
        <v>48.920601106285751</v>
      </c>
      <c r="G119" s="110">
        <f t="shared" si="48"/>
        <v>0.82930103062363014</v>
      </c>
      <c r="H119" s="414" t="b">
        <f>Wh_hp&gt;='2024'!Maxi_hp</f>
        <v>0</v>
      </c>
      <c r="I119" s="390">
        <f>IF(H119,Wh_hp,'2024'!Maxi_hp)</f>
        <v>58.00017289991299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5.3347048224974158E-2</v>
      </c>
      <c r="M119" s="845"/>
      <c r="N119" s="845"/>
      <c r="O119" s="48">
        <f>IF(t&lt;Tnet,'2024'!Resal+('2024'!Salim-'2024'!Resal)*(1-EXP(('2024'!Tnet-t)/('2024'!Tau_j))),Resal+(Salim-Resal)*(1-EXP((Tnet-t)/(Tau_j))))*Salcycl</f>
        <v>3.3893538910118683E-2</v>
      </c>
      <c r="P119" s="169">
        <f>(INDEX(Models!$BJ119:$BT119,,T119)*(1-R119)+INDEX(Models!$BJ119:$BT119,,T119+1)*R119-ERP_i)*Q119*Ramure*Pc/MaxiM</f>
        <v>4.5062138877446679E-8</v>
      </c>
      <c r="Q119" s="305">
        <f t="shared" si="28"/>
        <v>0.5</v>
      </c>
      <c r="R119" s="177">
        <f t="shared" si="29"/>
        <v>1.7288222336317105E-2</v>
      </c>
      <c r="S119" s="811">
        <f t="shared" si="30"/>
        <v>-2</v>
      </c>
      <c r="T119" s="176">
        <f t="shared" si="31"/>
        <v>4</v>
      </c>
      <c r="U119" s="251">
        <f t="shared" si="32"/>
        <v>-1.9827117776636829</v>
      </c>
      <c r="V119" s="383">
        <f t="shared" si="33"/>
        <v>53.950483363957311</v>
      </c>
      <c r="W119" s="402">
        <f t="shared" si="34"/>
        <v>44.741191948018468</v>
      </c>
      <c r="X119" s="157">
        <f t="shared" si="35"/>
        <v>45762</v>
      </c>
      <c r="Y119" s="385">
        <f t="shared" si="36"/>
        <v>42.464675480942262</v>
      </c>
      <c r="Z119" s="385">
        <f t="shared" si="37"/>
        <v>44.857701443088182</v>
      </c>
      <c r="AA119" s="386">
        <f t="shared" si="38"/>
        <v>48.920065878937422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8.3040861921616832E-2</v>
      </c>
      <c r="AD119" s="231">
        <f>(INDEX(Models!$BJ119:$BT119,,AH119)*(1-AF119)+INDEX(Models!$BJ119:$BT119,,AH119+1)*AF119-ERP_i)*AE119*Ramure*Pc/MaxiM</f>
        <v>1.4469109538893709E-5</v>
      </c>
      <c r="AE119" s="305">
        <f t="shared" si="40"/>
        <v>0.5</v>
      </c>
      <c r="AF119" s="177">
        <f t="shared" si="41"/>
        <v>0.54227578871029603</v>
      </c>
      <c r="AG119" s="811">
        <f t="shared" si="49"/>
        <v>1</v>
      </c>
      <c r="AH119" s="176">
        <f t="shared" si="42"/>
        <v>7</v>
      </c>
      <c r="AI119" s="225">
        <f t="shared" si="43"/>
        <v>1.542275788710296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'2024'!Wh/'2024'!Env_an*'2025'!Env_an</f>
        <v>43.172255770636575</v>
      </c>
      <c r="C120" s="841"/>
      <c r="D120" s="393">
        <f t="shared" si="25"/>
        <v>45.606155131715035</v>
      </c>
      <c r="E120" s="385">
        <f t="shared" si="47"/>
        <v>47.210068966525604</v>
      </c>
      <c r="F120" s="385">
        <f t="shared" si="26"/>
        <v>47.210070914250359</v>
      </c>
      <c r="G120" s="110">
        <f t="shared" si="48"/>
        <v>0.79727078989994804</v>
      </c>
      <c r="H120" s="414" t="b">
        <f>Wh_hp&gt;='2024'!Maxi_hp</f>
        <v>0</v>
      </c>
      <c r="I120" s="390">
        <f>IF(H120,Wh_hp,'2024'!Maxi_hp)</f>
        <v>52.848516926149152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5.336778235413886E-2</v>
      </c>
      <c r="M120" s="845"/>
      <c r="N120" s="845"/>
      <c r="O120" s="48">
        <f>IF(t&lt;Tnet,'2024'!Resal+('2024'!Salim-'2024'!Resal)*(1-EXP(('2024'!Tnet-t)/('2024'!Tau_j))),Resal+(Salim-Resal)*(1-EXP((Tnet-t)/(Tau_j))))*Salcycl</f>
        <v>3.3973977795877096E-2</v>
      </c>
      <c r="P120" s="169">
        <f>(INDEX(Models!$BJ120:$BT120,,T120)*(1-R120)+INDEX(Models!$BJ120:$BT120,,T120+1)*R120-ERP_i)*Q120*Ramure*Pc/MaxiM</f>
        <v>5.80761755899769E-8</v>
      </c>
      <c r="Q120" s="305">
        <f t="shared" si="28"/>
        <v>0.5</v>
      </c>
      <c r="R120" s="177">
        <f t="shared" si="29"/>
        <v>1.9019880309959492E-2</v>
      </c>
      <c r="S120" s="811">
        <f t="shared" si="30"/>
        <v>-2</v>
      </c>
      <c r="T120" s="176">
        <f t="shared" si="31"/>
        <v>4</v>
      </c>
      <c r="U120" s="251">
        <f t="shared" si="32"/>
        <v>-1.9809801196900405</v>
      </c>
      <c r="V120" s="383">
        <f t="shared" si="33"/>
        <v>54.150052393006</v>
      </c>
      <c r="W120" s="402">
        <f t="shared" si="34"/>
        <v>43.172255770636575</v>
      </c>
      <c r="X120" s="157">
        <f t="shared" si="35"/>
        <v>45763</v>
      </c>
      <c r="Y120" s="385">
        <f t="shared" si="36"/>
        <v>40.976687436267689</v>
      </c>
      <c r="Z120" s="385">
        <f t="shared" si="37"/>
        <v>43.286808406089165</v>
      </c>
      <c r="AA120" s="386">
        <f t="shared" si="38"/>
        <v>47.209521904527513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8.3091574330519724E-2</v>
      </c>
      <c r="AD120" s="231">
        <f>(INDEX(Models!$BJ120:$BT120,,AH120)*(1-AF120)+INDEX(Models!$BJ120:$BT120,,AH120+1)*AF120-ERP_i)*AE120*Ramure*Pc/MaxiM</f>
        <v>1.6370067196990936E-5</v>
      </c>
      <c r="AE120" s="305">
        <f t="shared" si="40"/>
        <v>0.5</v>
      </c>
      <c r="AF120" s="177">
        <f t="shared" si="41"/>
        <v>0.54400744668393841</v>
      </c>
      <c r="AG120" s="811">
        <f t="shared" si="49"/>
        <v>1</v>
      </c>
      <c r="AH120" s="176">
        <f t="shared" si="42"/>
        <v>7</v>
      </c>
      <c r="AI120" s="225">
        <f t="shared" si="43"/>
        <v>1.5440074466839384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'2024'!Wh/'2024'!Env_an*'2025'!Env_an</f>
        <v>52.731768899242198</v>
      </c>
      <c r="C121" s="841"/>
      <c r="D121" s="393">
        <f t="shared" si="25"/>
        <v>55.705819961156621</v>
      </c>
      <c r="E121" s="385">
        <f t="shared" si="47"/>
        <v>57.669755109234011</v>
      </c>
      <c r="F121" s="385">
        <f t="shared" si="26"/>
        <v>57.66975918315012</v>
      </c>
      <c r="G121" s="110">
        <f t="shared" si="48"/>
        <v>0.9703552240580342</v>
      </c>
      <c r="H121" s="414" t="b">
        <f>Wh_hp&gt;='2024'!Maxi_hp</f>
        <v>1</v>
      </c>
      <c r="I121" s="390">
        <f>IF(H121,Wh_hp,'2024'!Maxi_hp)</f>
        <v>57.66975918315012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5.3388516029172828E-2</v>
      </c>
      <c r="M121" s="845"/>
      <c r="N121" s="845"/>
      <c r="O121" s="48">
        <f>IF(t&lt;Tnet,'2024'!Resal+('2024'!Salim-'2024'!Resal)*(1-EXP(('2024'!Tnet-t)/('2024'!Tau_j))),Resal+(Salim-Resal)*(1-EXP((Tnet-t)/(Tau_j))))*Salcycl</f>
        <v>3.4054854999079551E-2</v>
      </c>
      <c r="P121" s="169">
        <f>(INDEX(Models!$BJ121:$BT121,,T121)*(1-R121)+INDEX(Models!$BJ121:$BT121,,T121+1)*R121-ERP_i)*Q121*Ramure*Pc/MaxiM</f>
        <v>7.3766127214871636E-8</v>
      </c>
      <c r="Q121" s="305">
        <f t="shared" si="28"/>
        <v>0.5</v>
      </c>
      <c r="R121" s="177">
        <f t="shared" si="29"/>
        <v>2.0810226844636182E-2</v>
      </c>
      <c r="S121" s="811">
        <f t="shared" si="30"/>
        <v>-2</v>
      </c>
      <c r="T121" s="176">
        <f t="shared" si="31"/>
        <v>4</v>
      </c>
      <c r="U121" s="251">
        <f t="shared" si="32"/>
        <v>-1.9791897731553638</v>
      </c>
      <c r="V121" s="383">
        <f t="shared" si="33"/>
        <v>54.342747302358937</v>
      </c>
      <c r="W121" s="402">
        <f t="shared" si="34"/>
        <v>52.731768899242198</v>
      </c>
      <c r="X121" s="157">
        <f t="shared" si="35"/>
        <v>45764</v>
      </c>
      <c r="Y121" s="385">
        <f t="shared" si="36"/>
        <v>50.051098011757631</v>
      </c>
      <c r="Z121" s="385">
        <f t="shared" si="37"/>
        <v>52.873960288126099</v>
      </c>
      <c r="AA121" s="386">
        <f t="shared" si="38"/>
        <v>57.668734997023371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8.314340013084659E-2</v>
      </c>
      <c r="AD121" s="231">
        <f>(INDEX(Models!$BJ121:$BT121,,AH121)*(1-AF121)+INDEX(Models!$BJ121:$BT121,,AH121+1)*AF121-ERP_i)*AE121*Ramure*Pc/MaxiM</f>
        <v>1.8544869891856377E-5</v>
      </c>
      <c r="AE121" s="305">
        <f t="shared" si="40"/>
        <v>0.5</v>
      </c>
      <c r="AF121" s="177">
        <f t="shared" si="41"/>
        <v>0.5457977932186151</v>
      </c>
      <c r="AG121" s="811">
        <f t="shared" si="49"/>
        <v>1</v>
      </c>
      <c r="AH121" s="176">
        <f t="shared" si="42"/>
        <v>7</v>
      </c>
      <c r="AI121" s="225">
        <f t="shared" si="43"/>
        <v>1.5457977932186151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'2024'!Wh/'2024'!Env_an*'2025'!Env_an</f>
        <v>36.47497654200415</v>
      </c>
      <c r="C122" s="841"/>
      <c r="D122" s="393">
        <f t="shared" si="25"/>
        <v>38.532994869332626</v>
      </c>
      <c r="E122" s="385">
        <f t="shared" si="47"/>
        <v>39.894852678984478</v>
      </c>
      <c r="F122" s="385">
        <f t="shared" si="26"/>
        <v>39.894854651679353</v>
      </c>
      <c r="G122" s="110">
        <f t="shared" si="48"/>
        <v>0.66891775270981946</v>
      </c>
      <c r="H122" s="414" t="b">
        <f>Wh_hp&gt;='2024'!Maxi_hp</f>
        <v>0</v>
      </c>
      <c r="I122" s="390">
        <f>IF(H122,Wh_hp,'2024'!Maxi_hp)</f>
        <v>42.565319321773202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5.3409249250086055E-2</v>
      </c>
      <c r="M122" s="845"/>
      <c r="N122" s="845"/>
      <c r="O122" s="48">
        <f>IF(t&lt;Tnet,'2024'!Resal+('2024'!Salim-'2024'!Resal)*(1-EXP(('2024'!Tnet-t)/('2024'!Tau_j))),Resal+(Salim-Resal)*(1-EXP((Tnet-t)/(Tau_j))))*Salcycl</f>
        <v>3.413617843409758E-2</v>
      </c>
      <c r="P122" s="169">
        <f>(INDEX(Models!$BJ122:$BT122,,T122)*(1-R122)+INDEX(Models!$BJ122:$BT122,,T122+1)*R122-ERP_i)*Q122*Ramure*Pc/MaxiM</f>
        <v>9.3823467361631551E-8</v>
      </c>
      <c r="Q122" s="305">
        <f t="shared" si="28"/>
        <v>0.5</v>
      </c>
      <c r="R122" s="177">
        <f t="shared" si="29"/>
        <v>2.266070716735924E-2</v>
      </c>
      <c r="S122" s="811">
        <f t="shared" si="30"/>
        <v>-2</v>
      </c>
      <c r="T122" s="176">
        <f t="shared" si="31"/>
        <v>4</v>
      </c>
      <c r="U122" s="251">
        <f t="shared" si="32"/>
        <v>-1.9773392928326408</v>
      </c>
      <c r="V122" s="383">
        <f t="shared" si="33"/>
        <v>54.528340406013015</v>
      </c>
      <c r="W122" s="402">
        <f t="shared" si="34"/>
        <v>36.47497654200415</v>
      </c>
      <c r="X122" s="157">
        <f t="shared" si="35"/>
        <v>45765</v>
      </c>
      <c r="Y122" s="385">
        <f t="shared" si="36"/>
        <v>34.621878464555003</v>
      </c>
      <c r="Z122" s="385">
        <f t="shared" si="37"/>
        <v>36.575339910226937</v>
      </c>
      <c r="AA122" s="386">
        <f t="shared" si="38"/>
        <v>39.894409254899358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8.319635273869401E-2</v>
      </c>
      <c r="AD122" s="231">
        <f>(INDEX(Models!$BJ122:$BT122,,AH122)*(1-AF122)+INDEX(Models!$BJ122:$BT122,,AH122+1)*AF122-ERP_i)*AE122*Ramure*Pc/MaxiM</f>
        <v>2.118354484260728E-5</v>
      </c>
      <c r="AE122" s="305">
        <f t="shared" si="40"/>
        <v>0.5</v>
      </c>
      <c r="AF122" s="177">
        <f t="shared" si="41"/>
        <v>0.54764827354133816</v>
      </c>
      <c r="AG122" s="811">
        <f t="shared" si="49"/>
        <v>1</v>
      </c>
      <c r="AH122" s="176">
        <f t="shared" si="42"/>
        <v>7</v>
      </c>
      <c r="AI122" s="225">
        <f t="shared" si="43"/>
        <v>1.5476482735413382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'2024'!Wh/'2024'!Env_an*'2025'!Env_an</f>
        <v>8.7194068584258826</v>
      </c>
      <c r="C123" s="841"/>
      <c r="D123" s="393">
        <f t="shared" si="25"/>
        <v>9.2115814918843686</v>
      </c>
      <c r="E123" s="385">
        <f t="shared" si="47"/>
        <v>9.5379506624958896</v>
      </c>
      <c r="F123" s="385">
        <f t="shared" si="26"/>
        <v>9.5379506624958896</v>
      </c>
      <c r="G123" s="110">
        <f t="shared" si="48"/>
        <v>0.15938335994933422</v>
      </c>
      <c r="H123" s="414" t="b">
        <f>Wh_hp&gt;='2024'!Maxi_hp</f>
        <v>0</v>
      </c>
      <c r="I123" s="390">
        <f>IF(H123,Wh_hp,'2024'!Maxi_hp)</f>
        <v>57.730407119667383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5.3429982016888644E-2</v>
      </c>
      <c r="M123" s="845"/>
      <c r="N123" s="845"/>
      <c r="O123" s="48">
        <f>IF(t&lt;Tnet,'2024'!Resal+('2024'!Salim-'2024'!Resal)*(1-EXP(('2024'!Tnet-t)/('2024'!Tau_j))),Resal+(Salim-Resal)*(1-EXP((Tnet-t)/(Tau_j))))*Salcycl</f>
        <v>3.4217955424621242E-2</v>
      </c>
      <c r="P123" s="169">
        <f>(INDEX(Models!$BJ123:$BT123,,T123)*(1-R123)+INDEX(Models!$BJ123:$BT123,,T123+1)*R123-ERP_i)*Q123*Ramure*Pc/MaxiM</f>
        <v>1.1863542179206203E-7</v>
      </c>
      <c r="Q123" s="305">
        <f t="shared" si="28"/>
        <v>0.5</v>
      </c>
      <c r="R123" s="177">
        <f t="shared" si="29"/>
        <v>2.4572760251996062E-2</v>
      </c>
      <c r="S123" s="811">
        <f t="shared" si="30"/>
        <v>-2</v>
      </c>
      <c r="T123" s="176">
        <f t="shared" si="31"/>
        <v>4</v>
      </c>
      <c r="U123" s="251">
        <f t="shared" si="32"/>
        <v>-1.9754272397480039</v>
      </c>
      <c r="V123" s="383">
        <f t="shared" si="33"/>
        <v>54.707127687401943</v>
      </c>
      <c r="W123" s="402">
        <f t="shared" si="34"/>
        <v>8.7194068584258826</v>
      </c>
      <c r="X123" s="157">
        <f t="shared" si="35"/>
        <v>45766</v>
      </c>
      <c r="Y123" s="385">
        <f t="shared" si="36"/>
        <v>8.2767249716883615</v>
      </c>
      <c r="Z123" s="385">
        <f t="shared" si="37"/>
        <v>8.7439120344460708</v>
      </c>
      <c r="AA123" s="386">
        <f t="shared" si="38"/>
        <v>9.5379506624958896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8.3250444057343775E-2</v>
      </c>
      <c r="AD123" s="231">
        <f>(INDEX(Models!$BJ123:$BT123,,AH123)*(1-AF123)+INDEX(Models!$BJ123:$BT123,,AH123+1)*AF123-ERP_i)*AE123*Ramure*Pc/MaxiM</f>
        <v>2.4152926954482785E-5</v>
      </c>
      <c r="AE123" s="305">
        <f t="shared" si="40"/>
        <v>0.5</v>
      </c>
      <c r="AF123" s="177">
        <f t="shared" si="41"/>
        <v>0.54956032662597498</v>
      </c>
      <c r="AG123" s="811">
        <f t="shared" si="49"/>
        <v>1</v>
      </c>
      <c r="AH123" s="176">
        <f t="shared" si="42"/>
        <v>7</v>
      </c>
      <c r="AI123" s="225">
        <f t="shared" si="43"/>
        <v>1.549560326625975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'2024'!Wh/'2024'!Env_an*'2025'!Env_an</f>
        <v>9.9778315728802394</v>
      </c>
      <c r="C124" s="841"/>
      <c r="D124" s="393">
        <f t="shared" si="25"/>
        <v>10.54126998343596</v>
      </c>
      <c r="E124" s="385">
        <f t="shared" si="47"/>
        <v>10.91567990739318</v>
      </c>
      <c r="F124" s="385">
        <f t="shared" si="26"/>
        <v>10.91567990739318</v>
      </c>
      <c r="G124" s="110">
        <f t="shared" si="48"/>
        <v>0.18181374380337251</v>
      </c>
      <c r="H124" s="414" t="b">
        <f>Wh_hp&gt;='2024'!Maxi_hp</f>
        <v>0</v>
      </c>
      <c r="I124" s="390">
        <f>IF(H124,Wh_hp,'2024'!Maxi_hp)</f>
        <v>54.953153725787914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5.3450714329590365E-2</v>
      </c>
      <c r="M124" s="845"/>
      <c r="N124" s="845"/>
      <c r="O124" s="48">
        <f>IF(t&lt;Tnet,'2024'!Resal+('2024'!Salim-'2024'!Resal)*(1-EXP(('2024'!Tnet-t)/('2024'!Tau_j))),Resal+(Salim-Resal)*(1-EXP((Tnet-t)/(Tau_j))))*Salcycl</f>
        <v>3.4300192670878284E-2</v>
      </c>
      <c r="P124" s="169">
        <f>(INDEX(Models!$BJ124:$BT124,,T124)*(1-R124)+INDEX(Models!$BJ124:$BT124,,T124+1)*R124-ERP_i)*Q124*Ramure*Pc/MaxiM</f>
        <v>1.4886622075807734E-7</v>
      </c>
      <c r="Q124" s="305">
        <f t="shared" si="28"/>
        <v>0.5</v>
      </c>
      <c r="R124" s="177">
        <f t="shared" si="29"/>
        <v>2.6547814980665274E-2</v>
      </c>
      <c r="S124" s="811">
        <f t="shared" si="30"/>
        <v>-2</v>
      </c>
      <c r="T124" s="176">
        <f t="shared" si="31"/>
        <v>4</v>
      </c>
      <c r="U124" s="251">
        <f t="shared" si="32"/>
        <v>-1.9734521850193347</v>
      </c>
      <c r="V124" s="383">
        <f t="shared" si="33"/>
        <v>54.879405037217424</v>
      </c>
      <c r="W124" s="402">
        <f t="shared" si="34"/>
        <v>9.9778315728802394</v>
      </c>
      <c r="X124" s="157">
        <f t="shared" si="35"/>
        <v>45767</v>
      </c>
      <c r="Y124" s="385">
        <f t="shared" si="36"/>
        <v>9.4714956090343279</v>
      </c>
      <c r="Z124" s="385">
        <f t="shared" si="37"/>
        <v>10.006341721895632</v>
      </c>
      <c r="AA124" s="386">
        <f t="shared" si="38"/>
        <v>10.91567990739318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8.3305684411069461E-2</v>
      </c>
      <c r="AD124" s="231">
        <f>(INDEX(Models!$BJ124:$BT124,,AH124)*(1-AF124)+INDEX(Models!$BJ124:$BT124,,AH124+1)*AF124-ERP_i)*AE124*Ramure*Pc/MaxiM</f>
        <v>2.7456808832929049E-5</v>
      </c>
      <c r="AE124" s="305">
        <f t="shared" si="40"/>
        <v>0.5</v>
      </c>
      <c r="AF124" s="177">
        <f t="shared" si="41"/>
        <v>0.55153538135464419</v>
      </c>
      <c r="AG124" s="811">
        <f t="shared" si="49"/>
        <v>1</v>
      </c>
      <c r="AH124" s="176">
        <f t="shared" si="42"/>
        <v>7</v>
      </c>
      <c r="AI124" s="225">
        <f t="shared" si="43"/>
        <v>1.5515353813546442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'2024'!Wh/'2024'!Env_an*'2025'!Env_an</f>
        <v>9.222944288327831</v>
      </c>
      <c r="C125" s="841"/>
      <c r="D125" s="393">
        <f t="shared" si="25"/>
        <v>9.7439683686094671</v>
      </c>
      <c r="E125" s="385">
        <f t="shared" si="47"/>
        <v>10.090923545597274</v>
      </c>
      <c r="F125" s="385">
        <f t="shared" si="26"/>
        <v>10.090923545597274</v>
      </c>
      <c r="G125" s="110">
        <f t="shared" si="48"/>
        <v>0.16755135109301297</v>
      </c>
      <c r="H125" s="414" t="b">
        <f>Wh_hp&gt;='2024'!Maxi_hp</f>
        <v>0</v>
      </c>
      <c r="I125" s="390">
        <f>IF(H125,Wh_hp,'2024'!Maxi_hp)</f>
        <v>55.659407422413302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5.347144618820121E-2</v>
      </c>
      <c r="M125" s="845"/>
      <c r="N125" s="845"/>
      <c r="O125" s="48">
        <f>IF(t&lt;Tnet,'2024'!Resal+('2024'!Salim-'2024'!Resal)*(1-EXP(('2024'!Tnet-t)/('2024'!Tau_j))),Resal+(Salim-Resal)*(1-EXP((Tnet-t)/(Tau_j))))*Salcycl</f>
        <v>3.438289621559823E-2</v>
      </c>
      <c r="P125" s="169">
        <f>(INDEX(Models!$BJ125:$BT125,,T125)*(1-R125)+INDEX(Models!$BJ125:$BT125,,T125+1)*R125-ERP_i)*Q125*Ramure*Pc/MaxiM</f>
        <v>1.8522819951307827E-7</v>
      </c>
      <c r="Q125" s="305">
        <f t="shared" si="28"/>
        <v>0.5</v>
      </c>
      <c r="R125" s="177">
        <f t="shared" si="29"/>
        <v>2.8587286046138249E-2</v>
      </c>
      <c r="S125" s="811">
        <f t="shared" si="30"/>
        <v>-2</v>
      </c>
      <c r="T125" s="176">
        <f t="shared" si="31"/>
        <v>4</v>
      </c>
      <c r="U125" s="251">
        <f t="shared" si="32"/>
        <v>-1.9714127139538618</v>
      </c>
      <c r="V125" s="383">
        <f t="shared" si="33"/>
        <v>55.045468268760921</v>
      </c>
      <c r="W125" s="402">
        <f t="shared" si="34"/>
        <v>9.222944288327831</v>
      </c>
      <c r="X125" s="157">
        <f t="shared" si="35"/>
        <v>45768</v>
      </c>
      <c r="Y125" s="385">
        <f t="shared" si="36"/>
        <v>8.7551270713359504</v>
      </c>
      <c r="Z125" s="385">
        <f t="shared" si="37"/>
        <v>9.2497231447248645</v>
      </c>
      <c r="AA125" s="386">
        <f t="shared" si="38"/>
        <v>10.090923545597274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8.33620824765271E-2</v>
      </c>
      <c r="AD125" s="231">
        <f>(INDEX(Models!$BJ125:$BT125,,AH125)*(1-AF125)+INDEX(Models!$BJ125:$BT125,,AH125+1)*AF125-ERP_i)*AE125*Ramure*Pc/MaxiM</f>
        <v>3.1099554660543774E-5</v>
      </c>
      <c r="AE125" s="305">
        <f t="shared" si="40"/>
        <v>0.5</v>
      </c>
      <c r="AF125" s="177">
        <f t="shared" si="41"/>
        <v>0.55357485242011717</v>
      </c>
      <c r="AG125" s="811">
        <f t="shared" si="49"/>
        <v>1</v>
      </c>
      <c r="AH125" s="176">
        <f t="shared" si="42"/>
        <v>7</v>
      </c>
      <c r="AI125" s="225">
        <f t="shared" si="43"/>
        <v>1.5535748524201172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'2024'!Wh/'2024'!Env_an*'2025'!Env_an</f>
        <v>26.991209849315549</v>
      </c>
      <c r="C126" s="841"/>
      <c r="D126" s="393">
        <f t="shared" si="25"/>
        <v>28.5166262870056</v>
      </c>
      <c r="E126" s="385">
        <f t="shared" si="47"/>
        <v>29.534566774481242</v>
      </c>
      <c r="F126" s="385">
        <f t="shared" si="26"/>
        <v>29.534568595736189</v>
      </c>
      <c r="G126" s="110">
        <f t="shared" si="48"/>
        <v>0.48892139442072602</v>
      </c>
      <c r="H126" s="414" t="b">
        <f>Wh_hp&gt;='2024'!Maxi_hp</f>
        <v>0</v>
      </c>
      <c r="I126" s="390">
        <f>IF(H126,Wh_hp,'2024'!Maxi_hp)</f>
        <v>61.619887493232405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5.3492177592731283E-2</v>
      </c>
      <c r="M126" s="845"/>
      <c r="N126" s="845"/>
      <c r="O126" s="48">
        <f>IF(t&lt;Tnet,'2024'!Resal+('2024'!Salim-'2024'!Resal)*(1-EXP(('2024'!Tnet-t)/('2024'!Tau_j))),Resal+(Salim-Resal)*(1-EXP((Tnet-t)/(Tau_j))))*Salcycl</f>
        <v>3.4466071408745837E-2</v>
      </c>
      <c r="P126" s="169">
        <f>(INDEX(Models!$BJ126:$BT126,,T126)*(1-R126)+INDEX(Models!$BJ126:$BT126,,T126+1)*R126-ERP_i)*Q126*Ramure*Pc/MaxiM</f>
        <v>2.2848454165680745E-7</v>
      </c>
      <c r="Q126" s="305">
        <f t="shared" si="28"/>
        <v>0.5</v>
      </c>
      <c r="R126" s="177">
        <f t="shared" si="29"/>
        <v>3.0692569593020691E-2</v>
      </c>
      <c r="S126" s="811">
        <f t="shared" si="30"/>
        <v>-2</v>
      </c>
      <c r="T126" s="176">
        <f t="shared" si="31"/>
        <v>4</v>
      </c>
      <c r="U126" s="251">
        <f t="shared" si="32"/>
        <v>-1.9693074304069793</v>
      </c>
      <c r="V126" s="383">
        <f t="shared" si="33"/>
        <v>55.205613120363587</v>
      </c>
      <c r="W126" s="402">
        <f t="shared" si="34"/>
        <v>26.991209849315549</v>
      </c>
      <c r="X126" s="157">
        <f t="shared" si="35"/>
        <v>45769</v>
      </c>
      <c r="Y126" s="385">
        <f t="shared" si="36"/>
        <v>25.622486404820954</v>
      </c>
      <c r="Z126" s="385">
        <f t="shared" si="37"/>
        <v>27.070549020561572</v>
      </c>
      <c r="AA126" s="386">
        <f t="shared" si="38"/>
        <v>29.534288924201682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8.3419645211814039E-2</v>
      </c>
      <c r="AD126" s="231">
        <f>(INDEX(Models!$BJ126:$BT126,,AH126)*(1-AF126)+INDEX(Models!$BJ126:$BT126,,AH126+1)*AF126-ERP_i)*AE126*Ramure*Pc/MaxiM</f>
        <v>3.5086039163133371E-5</v>
      </c>
      <c r="AE126" s="305">
        <f t="shared" si="40"/>
        <v>0.5</v>
      </c>
      <c r="AF126" s="177">
        <f t="shared" si="41"/>
        <v>0.55568013596699961</v>
      </c>
      <c r="AG126" s="811">
        <f t="shared" si="49"/>
        <v>1</v>
      </c>
      <c r="AH126" s="176">
        <f t="shared" si="42"/>
        <v>7</v>
      </c>
      <c r="AI126" s="225">
        <f t="shared" si="43"/>
        <v>1.5556801359669996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'2024'!Wh/'2024'!Env_an*'2025'!Env_an</f>
        <v>9.33924644906641</v>
      </c>
      <c r="C127" s="841"/>
      <c r="D127" s="393">
        <f t="shared" si="25"/>
        <v>9.867272922541046</v>
      </c>
      <c r="E127" s="385">
        <f t="shared" si="47"/>
        <v>10.220384370166233</v>
      </c>
      <c r="F127" s="385">
        <f t="shared" si="26"/>
        <v>10.220384370166233</v>
      </c>
      <c r="G127" s="110">
        <f t="shared" si="48"/>
        <v>0.16869980170288401</v>
      </c>
      <c r="H127" s="414" t="b">
        <f>Wh_hp&gt;='2024'!Maxi_hp</f>
        <v>0</v>
      </c>
      <c r="I127" s="390">
        <f>IF(H127,Wh_hp,'2024'!Maxi_hp)</f>
        <v>61.960154457717145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5.3512908543190241E-2</v>
      </c>
      <c r="M127" s="845"/>
      <c r="N127" s="845"/>
      <c r="O127" s="48">
        <f>IF(t&lt;Tnet,'2024'!Resal+('2024'!Salim-'2024'!Resal)*(1-EXP(('2024'!Tnet-t)/('2024'!Tau_j))),Resal+(Salim-Resal)*(1-EXP((Tnet-t)/(Tau_j))))*Salcycl</f>
        <v>3.4549722871082503E-2</v>
      </c>
      <c r="P127" s="169">
        <f>(INDEX(Models!$BJ127:$BT127,,T127)*(1-R127)+INDEX(Models!$BJ127:$BT127,,T127+1)*R127-ERP_i)*Q127*Ramure*Pc/MaxiM</f>
        <v>2.7945148044222801E-7</v>
      </c>
      <c r="Q127" s="305">
        <f t="shared" si="28"/>
        <v>0.5</v>
      </c>
      <c r="R127" s="177">
        <f t="shared" si="29"/>
        <v>3.2865038597054141E-2</v>
      </c>
      <c r="S127" s="811">
        <f t="shared" si="30"/>
        <v>-2</v>
      </c>
      <c r="T127" s="176">
        <f t="shared" si="31"/>
        <v>4</v>
      </c>
      <c r="U127" s="251">
        <f t="shared" si="32"/>
        <v>-1.9671349614029459</v>
      </c>
      <c r="V127" s="383">
        <f t="shared" si="33"/>
        <v>55.360135251661681</v>
      </c>
      <c r="W127" s="402">
        <f t="shared" si="34"/>
        <v>9.33924644906641</v>
      </c>
      <c r="X127" s="157">
        <f t="shared" si="35"/>
        <v>45770</v>
      </c>
      <c r="Y127" s="385">
        <f t="shared" si="36"/>
        <v>8.8659369711241425</v>
      </c>
      <c r="Z127" s="385">
        <f t="shared" si="37"/>
        <v>9.3672032626223238</v>
      </c>
      <c r="AA127" s="386">
        <f t="shared" si="38"/>
        <v>10.220384370166233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8.3478377783362381E-2</v>
      </c>
      <c r="AD127" s="231">
        <f>(INDEX(Models!$BJ127:$BT127,,AH127)*(1-AF127)+INDEX(Models!$BJ127:$BT127,,AH127+1)*AF127-ERP_i)*AE127*Ramure*Pc/MaxiM</f>
        <v>3.9421524279249471E-5</v>
      </c>
      <c r="AE127" s="305">
        <f t="shared" si="40"/>
        <v>0.5</v>
      </c>
      <c r="AF127" s="177">
        <f t="shared" si="41"/>
        <v>0.55785260497103306</v>
      </c>
      <c r="AG127" s="811">
        <f t="shared" si="49"/>
        <v>1</v>
      </c>
      <c r="AH127" s="176">
        <f t="shared" si="42"/>
        <v>7</v>
      </c>
      <c r="AI127" s="225">
        <f t="shared" si="43"/>
        <v>1.5578526049710331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'2024'!Wh/'2024'!Env_an*'2025'!Env_an</f>
        <v>29.63350130644454</v>
      </c>
      <c r="C128" s="841"/>
      <c r="D128" s="393">
        <f t="shared" si="25"/>
        <v>31.30961915685457</v>
      </c>
      <c r="E128" s="385">
        <f t="shared" si="47"/>
        <v>32.432895333440747</v>
      </c>
      <c r="F128" s="385">
        <f t="shared" si="26"/>
        <v>32.43289904034399</v>
      </c>
      <c r="G128" s="110">
        <f t="shared" si="48"/>
        <v>0.53384709403621733</v>
      </c>
      <c r="H128" s="414" t="b">
        <f>Wh_hp&gt;='2024'!Maxi_hp</f>
        <v>0</v>
      </c>
      <c r="I128" s="390">
        <f>IF(H128,Wh_hp,'2024'!Maxi_hp)</f>
        <v>59.446721075347604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5.3533639039588299E-2</v>
      </c>
      <c r="M128" s="845"/>
      <c r="N128" s="845"/>
      <c r="O128" s="48">
        <f>IF(t&lt;Tnet,'2024'!Resal+('2024'!Salim-'2024'!Resal)*(1-EXP(('2024'!Tnet-t)/('2024'!Tau_j))),Resal+(Salim-Resal)*(1-EXP((Tnet-t)/(Tau_j))))*Salcycl</f>
        <v>3.4633854456650931E-2</v>
      </c>
      <c r="P128" s="169">
        <f>(INDEX(Models!$BJ128:$BT128,,T128)*(1-R128)+INDEX(Models!$BJ128:$BT128,,T128+1)*R128-ERP_i)*Q128*Ramure*Pc/MaxiM</f>
        <v>3.4213012541606188E-7</v>
      </c>
      <c r="Q128" s="305">
        <f t="shared" si="28"/>
        <v>0.5</v>
      </c>
      <c r="R128" s="177">
        <f t="shared" si="29"/>
        <v>3.5106037983635652E-2</v>
      </c>
      <c r="S128" s="811">
        <f t="shared" si="30"/>
        <v>-2</v>
      </c>
      <c r="T128" s="176">
        <f t="shared" si="31"/>
        <v>4</v>
      </c>
      <c r="U128" s="251">
        <f t="shared" si="32"/>
        <v>-1.9648939620163643</v>
      </c>
      <c r="V128" s="383">
        <f t="shared" si="33"/>
        <v>55.509330079573715</v>
      </c>
      <c r="W128" s="402">
        <f t="shared" si="34"/>
        <v>29.63350130644454</v>
      </c>
      <c r="X128" s="157">
        <f t="shared" si="35"/>
        <v>45771</v>
      </c>
      <c r="Y128" s="385">
        <f t="shared" si="36"/>
        <v>28.131885679600487</v>
      </c>
      <c r="Z128" s="385">
        <f t="shared" si="37"/>
        <v>29.723069767692646</v>
      </c>
      <c r="AA128" s="386">
        <f t="shared" si="38"/>
        <v>32.432418323933483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8.3538283490919185E-2</v>
      </c>
      <c r="AD128" s="231">
        <f>(INDEX(Models!$BJ128:$BT128,,AH128)*(1-AF128)+INDEX(Models!$BJ128:$BT128,,AH128+1)*AF128-ERP_i)*AE128*Ramure*Pc/MaxiM</f>
        <v>4.4367914438403468E-5</v>
      </c>
      <c r="AE128" s="305">
        <f t="shared" si="40"/>
        <v>0.5</v>
      </c>
      <c r="AF128" s="177">
        <f t="shared" si="41"/>
        <v>0.56009360435761457</v>
      </c>
      <c r="AG128" s="811">
        <f t="shared" si="49"/>
        <v>1</v>
      </c>
      <c r="AH128" s="176">
        <f t="shared" si="42"/>
        <v>7</v>
      </c>
      <c r="AI128" s="225">
        <f t="shared" si="43"/>
        <v>1.5600936043576146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'2024'!Wh/'2024'!Env_an*'2025'!Env_an</f>
        <v>45.601910956074533</v>
      </c>
      <c r="C129" s="841"/>
      <c r="D129" s="393">
        <f t="shared" si="25"/>
        <v>48.182282707396588</v>
      </c>
      <c r="E129" s="385">
        <f t="shared" si="47"/>
        <v>49.915264273396929</v>
      </c>
      <c r="F129" s="385">
        <f t="shared" si="26"/>
        <v>49.915279706513829</v>
      </c>
      <c r="G129" s="110">
        <f t="shared" si="48"/>
        <v>0.81938982560496165</v>
      </c>
      <c r="H129" s="414" t="b">
        <f>Wh_hp&gt;='2024'!Maxi_hp</f>
        <v>0</v>
      </c>
      <c r="I129" s="390">
        <f>IF(H129,Wh_hp,'2024'!Maxi_hp)</f>
        <v>54.184367462537033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5.3554369081935116E-2</v>
      </c>
      <c r="M129" s="845"/>
      <c r="N129" s="845"/>
      <c r="O129" s="48">
        <f>IF(t&lt;Tnet,'2024'!Resal+('2024'!Salim-'2024'!Resal)*(1-EXP(('2024'!Tnet-t)/('2024'!Tau_j))),Resal+(Salim-Resal)*(1-EXP((Tnet-t)/(Tau_j))))*Salcycl</f>
        <v>3.4718469214315151E-2</v>
      </c>
      <c r="P129" s="169">
        <f>(INDEX(Models!$BJ129:$BT129,,T129)*(1-R129)+INDEX(Models!$BJ129:$BT129,,T129+1)*R129-ERP_i)*Q129*Ramure*Pc/MaxiM</f>
        <v>4.1670111756104921E-7</v>
      </c>
      <c r="Q129" s="305">
        <f t="shared" si="28"/>
        <v>0.5</v>
      </c>
      <c r="R129" s="177">
        <f t="shared" si="29"/>
        <v>3.7416879488601396E-2</v>
      </c>
      <c r="S129" s="811">
        <f t="shared" si="30"/>
        <v>-2</v>
      </c>
      <c r="T129" s="176">
        <f t="shared" si="31"/>
        <v>4</v>
      </c>
      <c r="U129" s="251">
        <f t="shared" si="32"/>
        <v>-1.9625831205113986</v>
      </c>
      <c r="V129" s="383">
        <f t="shared" si="33"/>
        <v>55.65349315818051</v>
      </c>
      <c r="W129" s="402">
        <f t="shared" si="34"/>
        <v>45.601910956074533</v>
      </c>
      <c r="X129" s="157">
        <f t="shared" si="35"/>
        <v>45772</v>
      </c>
      <c r="Y129" s="385">
        <f t="shared" si="36"/>
        <v>43.291089257505305</v>
      </c>
      <c r="Z129" s="385">
        <f t="shared" si="37"/>
        <v>45.740703790361813</v>
      </c>
      <c r="AA129" s="386">
        <f t="shared" si="38"/>
        <v>49.913435213870933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8.3599363690951056E-2</v>
      </c>
      <c r="AD129" s="231">
        <f>(INDEX(Models!$BJ129:$BT129,,AH129)*(1-AF129)+INDEX(Models!$BJ129:$BT129,,AH129+1)*AF129-ERP_i)*AE129*Ramure*Pc/MaxiM</f>
        <v>4.9802133330017649E-5</v>
      </c>
      <c r="AE129" s="305">
        <f t="shared" si="40"/>
        <v>0.5</v>
      </c>
      <c r="AF129" s="177">
        <f t="shared" si="41"/>
        <v>0.56240444586258032</v>
      </c>
      <c r="AG129" s="811">
        <f t="shared" si="49"/>
        <v>1</v>
      </c>
      <c r="AH129" s="176">
        <f t="shared" si="42"/>
        <v>7</v>
      </c>
      <c r="AI129" s="225">
        <f t="shared" si="43"/>
        <v>1.5624044458625803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'2024'!Wh/'2024'!Env_an*'2025'!Env_an</f>
        <v>53.086671001977884</v>
      </c>
      <c r="C130" s="841"/>
      <c r="D130" s="393">
        <f t="shared" si="25"/>
        <v>56.091794422768579</v>
      </c>
      <c r="E130" s="385">
        <f t="shared" si="47"/>
        <v>58.114382359359276</v>
      </c>
      <c r="F130" s="385">
        <f t="shared" si="26"/>
        <v>58.114409650306747</v>
      </c>
      <c r="G130" s="110">
        <f t="shared" si="48"/>
        <v>0.95149472785785139</v>
      </c>
      <c r="H130" s="414" t="b">
        <f>Wh_hp&gt;='2024'!Maxi_hp</f>
        <v>1</v>
      </c>
      <c r="I130" s="390">
        <f>IF(H130,Wh_hp,'2024'!Maxi_hp)</f>
        <v>58.114409650306747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5.3575098670240906E-2</v>
      </c>
      <c r="M130" s="845"/>
      <c r="N130" s="845"/>
      <c r="O130" s="48">
        <f>IF(t&lt;Tnet,'2024'!Resal+('2024'!Salim-'2024'!Resal)*(1-EXP(('2024'!Tnet-t)/('2024'!Tau_j))),Resal+(Salim-Resal)*(1-EXP((Tnet-t)/(Tau_j))))*Salcycl</f>
        <v>3.4803569348525666E-2</v>
      </c>
      <c r="P130" s="169">
        <f>(INDEX(Models!$BJ130:$BT130,,T130)*(1-R130)+INDEX(Models!$BJ130:$BT130,,T130+1)*R130-ERP_i)*Q130*Ramure*Pc/MaxiM</f>
        <v>5.0457054612976385E-7</v>
      </c>
      <c r="Q130" s="305">
        <f t="shared" si="28"/>
        <v>0.5</v>
      </c>
      <c r="R130" s="177">
        <f t="shared" si="29"/>
        <v>3.9798836266460524E-2</v>
      </c>
      <c r="S130" s="811">
        <f t="shared" si="30"/>
        <v>-2</v>
      </c>
      <c r="T130" s="176">
        <f t="shared" si="31"/>
        <v>4</v>
      </c>
      <c r="U130" s="251">
        <f t="shared" si="32"/>
        <v>-1.9602011637335395</v>
      </c>
      <c r="V130" s="383">
        <f t="shared" si="33"/>
        <v>55.792919909717384</v>
      </c>
      <c r="W130" s="402">
        <f t="shared" si="34"/>
        <v>53.086671001977884</v>
      </c>
      <c r="X130" s="157">
        <f t="shared" si="35"/>
        <v>45773</v>
      </c>
      <c r="Y130" s="385">
        <f t="shared" si="36"/>
        <v>50.396843890981657</v>
      </c>
      <c r="Z130" s="385">
        <f t="shared" si="37"/>
        <v>53.249701925818286</v>
      </c>
      <c r="AA130" s="386">
        <f t="shared" si="38"/>
        <v>58.111395261279071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8.3661617718895853E-2</v>
      </c>
      <c r="AD130" s="231">
        <f>(INDEX(Models!$BJ130:$BT130,,AH130)*(1-AF130)+INDEX(Models!$BJ130:$BT130,,AH130+1)*AF130-ERP_i)*AE130*Ramure*Pc/MaxiM</f>
        <v>5.5731737401092559E-5</v>
      </c>
      <c r="AE130" s="305">
        <f t="shared" si="40"/>
        <v>0.5</v>
      </c>
      <c r="AF130" s="177">
        <f t="shared" si="41"/>
        <v>0.56478640264043944</v>
      </c>
      <c r="AG130" s="811">
        <f t="shared" si="49"/>
        <v>1</v>
      </c>
      <c r="AH130" s="176">
        <f t="shared" si="42"/>
        <v>7</v>
      </c>
      <c r="AI130" s="225">
        <f t="shared" si="43"/>
        <v>1.5647864026404394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'2024'!Wh/'2024'!Env_an*'2025'!Env_an</f>
        <v>39.987957309888884</v>
      </c>
      <c r="C131" s="841"/>
      <c r="D131" s="393">
        <f t="shared" si="25"/>
        <v>42.25251587503481</v>
      </c>
      <c r="E131" s="385">
        <f t="shared" si="47"/>
        <v>43.779961799801328</v>
      </c>
      <c r="F131" s="385">
        <f t="shared" si="26"/>
        <v>43.779977560532842</v>
      </c>
      <c r="G131" s="110">
        <f t="shared" si="48"/>
        <v>0.71499096800049133</v>
      </c>
      <c r="H131" s="414" t="b">
        <f>Wh_hp&gt;='2024'!Maxi_hp</f>
        <v>1</v>
      </c>
      <c r="I131" s="390">
        <f>IF(H131,Wh_hp,'2024'!Maxi_hp)</f>
        <v>43.779977560532842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5.359582780451555E-2</v>
      </c>
      <c r="M131" s="845"/>
      <c r="N131" s="845"/>
      <c r="O131" s="48">
        <f>IF(t&lt;Tnet,'2024'!Resal+('2024'!Salim-'2024'!Resal)*(1-EXP(('2024'!Tnet-t)/('2024'!Tau_j))),Resal+(Salim-Resal)*(1-EXP((Tnet-t)/(Tau_j))))*Salcycl</f>
        <v>3.4889156179516156E-2</v>
      </c>
      <c r="P131" s="169">
        <f>(INDEX(Models!$BJ131:$BT131,,T131)*(1-R131)+INDEX(Models!$BJ131:$BT131,,T131+1)*R131-ERP_i)*Q131*Ramure*Pc/MaxiM</f>
        <v>6.0723954555815921E-7</v>
      </c>
      <c r="Q131" s="305">
        <f t="shared" si="28"/>
        <v>0.5</v>
      </c>
      <c r="R131" s="177">
        <f t="shared" si="29"/>
        <v>4.2253137253595474E-2</v>
      </c>
      <c r="S131" s="811">
        <f t="shared" si="30"/>
        <v>-2</v>
      </c>
      <c r="T131" s="176">
        <f t="shared" si="31"/>
        <v>4</v>
      </c>
      <c r="U131" s="251">
        <f t="shared" si="32"/>
        <v>-1.9577468627464045</v>
      </c>
      <c r="V131" s="383">
        <f t="shared" si="33"/>
        <v>55.927905683975403</v>
      </c>
      <c r="W131" s="402">
        <f t="shared" si="34"/>
        <v>39.987957309888884</v>
      </c>
      <c r="X131" s="157">
        <f t="shared" si="35"/>
        <v>45774</v>
      </c>
      <c r="Y131" s="385">
        <f t="shared" si="36"/>
        <v>37.963128240871782</v>
      </c>
      <c r="Z131" s="385">
        <f t="shared" si="37"/>
        <v>40.113018682920931</v>
      </c>
      <c r="AA131" s="386">
        <f t="shared" si="38"/>
        <v>43.778364090591019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8.3725042810767147E-2</v>
      </c>
      <c r="AD131" s="231">
        <f>(INDEX(Models!$BJ131:$BT131,,AH131)*(1-AF131)+INDEX(Models!$BJ131:$BT131,,AH131+1)*AF131-ERP_i)*AE131*Ramure*Pc/MaxiM</f>
        <v>6.2164802012362212E-5</v>
      </c>
      <c r="AE131" s="305">
        <f t="shared" si="40"/>
        <v>0.5</v>
      </c>
      <c r="AF131" s="177">
        <f t="shared" si="41"/>
        <v>0.56724070362757439</v>
      </c>
      <c r="AG131" s="811">
        <f t="shared" si="49"/>
        <v>1</v>
      </c>
      <c r="AH131" s="176">
        <f t="shared" si="42"/>
        <v>7</v>
      </c>
      <c r="AI131" s="225">
        <f t="shared" si="43"/>
        <v>1.5672407036275744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'2024'!Wh/'2024'!Env_an*'2025'!Env_an</f>
        <v>19.904012812948675</v>
      </c>
      <c r="C132" s="841"/>
      <c r="D132" s="393">
        <f t="shared" si="25"/>
        <v>21.031657885959561</v>
      </c>
      <c r="E132" s="385">
        <f t="shared" si="47"/>
        <v>21.793904718329816</v>
      </c>
      <c r="F132" s="385">
        <f t="shared" si="26"/>
        <v>21.793905963318583</v>
      </c>
      <c r="G132" s="110">
        <f t="shared" si="48"/>
        <v>0.35505609737001625</v>
      </c>
      <c r="H132" s="414" t="b">
        <f>Wh_hp&gt;='2024'!Maxi_hp</f>
        <v>0</v>
      </c>
      <c r="I132" s="390">
        <f>IF(H132,Wh_hp,'2024'!Maxi_hp)</f>
        <v>46.870510731346037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5.3616556484768929E-2</v>
      </c>
      <c r="M132" s="845"/>
      <c r="N132" s="845"/>
      <c r="O132" s="48">
        <f>IF(t&lt;Tnet,'2024'!Resal+('2024'!Salim-'2024'!Resal)*(1-EXP(('2024'!Tnet-t)/('2024'!Tau_j))),Resal+(Salim-Resal)*(1-EXP((Tnet-t)/(Tau_j))))*Salcycl</f>
        <v>3.4975230103174895E-2</v>
      </c>
      <c r="P132" s="169">
        <f>(INDEX(Models!$BJ132:$BT132,,T132)*(1-R132)+INDEX(Models!$BJ132:$BT132,,T132+1)*R132-ERP_i)*Q132*Ramure*Pc/MaxiM</f>
        <v>7.2630845911814354E-7</v>
      </c>
      <c r="Q132" s="305">
        <f t="shared" si="28"/>
        <v>0.5</v>
      </c>
      <c r="R132" s="177">
        <f t="shared" si="29"/>
        <v>4.4780961296472688E-2</v>
      </c>
      <c r="S132" s="811">
        <f t="shared" si="30"/>
        <v>-2</v>
      </c>
      <c r="T132" s="176">
        <f t="shared" si="31"/>
        <v>4</v>
      </c>
      <c r="U132" s="251">
        <f t="shared" si="32"/>
        <v>-1.9552190387035273</v>
      </c>
      <c r="V132" s="383">
        <f t="shared" si="33"/>
        <v>56.058745761461957</v>
      </c>
      <c r="W132" s="402">
        <f t="shared" si="34"/>
        <v>19.904012812948675</v>
      </c>
      <c r="X132" s="157">
        <f t="shared" si="35"/>
        <v>45775</v>
      </c>
      <c r="Y132" s="385">
        <f t="shared" si="36"/>
        <v>18.897095026854142</v>
      </c>
      <c r="Z132" s="385">
        <f t="shared" si="37"/>
        <v>19.967694021213099</v>
      </c>
      <c r="AA132" s="386">
        <f t="shared" si="38"/>
        <v>21.793787499836416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8.3789634024697385E-2</v>
      </c>
      <c r="AD132" s="231">
        <f>(INDEX(Models!$BJ132:$BT132,,AH132)*(1-AF132)+INDEX(Models!$BJ132:$BT132,,AH132+1)*AF132-ERP_i)*AE132*Ramure*Pc/MaxiM</f>
        <v>6.9109884015845842E-5</v>
      </c>
      <c r="AE132" s="305">
        <f t="shared" si="40"/>
        <v>0.5</v>
      </c>
      <c r="AF132" s="177">
        <f t="shared" si="41"/>
        <v>0.56976852767045161</v>
      </c>
      <c r="AG132" s="811">
        <f t="shared" si="49"/>
        <v>1</v>
      </c>
      <c r="AH132" s="176">
        <f t="shared" si="42"/>
        <v>7</v>
      </c>
      <c r="AI132" s="225">
        <f t="shared" si="43"/>
        <v>1.5697685276704516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'2024'!Wh/'2024'!Env_an*'2025'!Env_an</f>
        <v>40.053444440678</v>
      </c>
      <c r="C133" s="841"/>
      <c r="D133" s="393">
        <f t="shared" si="25"/>
        <v>42.323565577545978</v>
      </c>
      <c r="E133" s="385">
        <f t="shared" si="47"/>
        <v>43.861425698654692</v>
      </c>
      <c r="F133" s="385">
        <f t="shared" si="26"/>
        <v>43.861448037304925</v>
      </c>
      <c r="G133" s="110">
        <f t="shared" si="48"/>
        <v>0.712875430066787</v>
      </c>
      <c r="H133" s="414" t="b">
        <f>Wh_hp&gt;='2024'!Maxi_hp</f>
        <v>0</v>
      </c>
      <c r="I133" s="390">
        <f>IF(H133,Wh_hp,'2024'!Maxi_hp)</f>
        <v>52.731591737433121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5.3637284711010924E-2</v>
      </c>
      <c r="M133" s="845"/>
      <c r="N133" s="845"/>
      <c r="O133" s="48">
        <f>IF(t&lt;Tnet,'2024'!Resal+('2024'!Salim-'2024'!Resal)*(1-EXP(('2024'!Tnet-t)/('2024'!Tau_j))),Resal+(Salim-Resal)*(1-EXP((Tnet-t)/(Tau_j))))*Salcycl</f>
        <v>3.5061790550868513E-2</v>
      </c>
      <c r="P133" s="169">
        <f>(INDEX(Models!$BJ133:$BT133,,T133)*(1-R133)+INDEX(Models!$BJ133:$BT133,,T133+1)*R133-ERP_i)*Q133*Ramure*Pc/MaxiM</f>
        <v>8.6348082585344528E-7</v>
      </c>
      <c r="Q133" s="305">
        <f t="shared" si="28"/>
        <v>0.5</v>
      </c>
      <c r="R133" s="177">
        <f t="shared" si="29"/>
        <v>4.7383431057604675E-2</v>
      </c>
      <c r="S133" s="811">
        <f t="shared" si="30"/>
        <v>-2</v>
      </c>
      <c r="T133" s="176">
        <f t="shared" si="31"/>
        <v>4</v>
      </c>
      <c r="U133" s="251">
        <f t="shared" si="32"/>
        <v>-1.9526165689423953</v>
      </c>
      <c r="V133" s="383">
        <f t="shared" si="33"/>
        <v>56.185735354590271</v>
      </c>
      <c r="W133" s="402">
        <f t="shared" si="34"/>
        <v>40.053444440678</v>
      </c>
      <c r="X133" s="157">
        <f t="shared" si="35"/>
        <v>45776</v>
      </c>
      <c r="Y133" s="385">
        <f t="shared" si="36"/>
        <v>38.026381829584153</v>
      </c>
      <c r="Z133" s="385">
        <f t="shared" si="37"/>
        <v>40.181614528180248</v>
      </c>
      <c r="AA133" s="386">
        <f t="shared" si="38"/>
        <v>43.859466981065474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8.3855384163081248E-2</v>
      </c>
      <c r="AD133" s="231">
        <f>(INDEX(Models!$BJ133:$BT133,,AH133)*(1-AF133)+INDEX(Models!$BJ133:$BT133,,AH133+1)*AF133-ERP_i)*AE133*Ramure*Pc/MaxiM</f>
        <v>7.6575981983634806E-5</v>
      </c>
      <c r="AE133" s="305">
        <f t="shared" si="40"/>
        <v>0.5</v>
      </c>
      <c r="AF133" s="177">
        <f t="shared" si="41"/>
        <v>0.57237099743158382</v>
      </c>
      <c r="AG133" s="811">
        <f t="shared" si="49"/>
        <v>1</v>
      </c>
      <c r="AH133" s="176">
        <f t="shared" si="42"/>
        <v>7</v>
      </c>
      <c r="AI133" s="225">
        <f t="shared" si="43"/>
        <v>1.5723709974315838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'2024'!Wh/'2024'!Env_an*'2025'!Env_an</f>
        <v>42.574889971903616</v>
      </c>
      <c r="C134" s="841"/>
      <c r="D134" s="393">
        <f t="shared" si="25"/>
        <v>44.988905209228207</v>
      </c>
      <c r="E134" s="385">
        <f t="shared" si="47"/>
        <v>46.627818761562786</v>
      </c>
      <c r="F134" s="385">
        <f t="shared" si="26"/>
        <v>46.627849767224113</v>
      </c>
      <c r="G134" s="110">
        <f t="shared" si="48"/>
        <v>0.75609132808523194</v>
      </c>
      <c r="H134" s="414" t="b">
        <f>Wh_hp&gt;='2024'!Maxi_hp</f>
        <v>0</v>
      </c>
      <c r="I134" s="390">
        <f>IF(H134,Wh_hp,'2024'!Maxi_hp)</f>
        <v>62.081683557920357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5.3658012483251638E-2</v>
      </c>
      <c r="M134" s="845"/>
      <c r="N134" s="845"/>
      <c r="O134" s="48">
        <f>IF(t&lt;Tnet,'2024'!Resal+('2024'!Salim-'2024'!Resal)*(1-EXP(('2024'!Tnet-t)/('2024'!Tau_j))),Resal+(Salim-Resal)*(1-EXP((Tnet-t)/(Tau_j))))*Salcycl</f>
        <v>3.5148835949529722E-2</v>
      </c>
      <c r="P134" s="169">
        <f>(INDEX(Models!$BJ134:$BT134,,T134)*(1-R134)+INDEX(Models!$BJ134:$BT134,,T134+1)*R134-ERP_i)*Q134*Ramure*Pc/MaxiM</f>
        <v>1.0205671367972622E-6</v>
      </c>
      <c r="Q134" s="305">
        <f t="shared" si="28"/>
        <v>0.5</v>
      </c>
      <c r="R134" s="177">
        <f t="shared" si="29"/>
        <v>5.0061606714884022E-2</v>
      </c>
      <c r="S134" s="811">
        <f t="shared" si="30"/>
        <v>-2</v>
      </c>
      <c r="T134" s="176">
        <f t="shared" si="31"/>
        <v>4</v>
      </c>
      <c r="U134" s="251">
        <f t="shared" si="32"/>
        <v>-1.949938393285116</v>
      </c>
      <c r="V134" s="383">
        <f t="shared" si="33"/>
        <v>56.309169607570588</v>
      </c>
      <c r="W134" s="402">
        <f t="shared" si="34"/>
        <v>42.574889971903616</v>
      </c>
      <c r="X134" s="157">
        <f t="shared" si="35"/>
        <v>45777</v>
      </c>
      <c r="Y134" s="385">
        <f t="shared" si="36"/>
        <v>40.420518938470558</v>
      </c>
      <c r="Z134" s="385">
        <f t="shared" si="37"/>
        <v>42.712380377981688</v>
      </c>
      <c r="AA134" s="386">
        <f t="shared" si="38"/>
        <v>46.625280385938353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8.392228369605155E-2</v>
      </c>
      <c r="AD134" s="231">
        <f>(INDEX(Models!$BJ134:$BT134,,AH134)*(1-AF134)+INDEX(Models!$BJ134:$BT134,,AH134+1)*AF134-ERP_i)*AE134*Ramure*Pc/MaxiM</f>
        <v>8.4572493865810473E-5</v>
      </c>
      <c r="AE134" s="305">
        <f t="shared" si="40"/>
        <v>0.5</v>
      </c>
      <c r="AF134" s="177">
        <f t="shared" si="41"/>
        <v>0.57504917308886272</v>
      </c>
      <c r="AG134" s="811">
        <f t="shared" si="49"/>
        <v>1</v>
      </c>
      <c r="AH134" s="176">
        <f t="shared" si="42"/>
        <v>7</v>
      </c>
      <c r="AI134" s="225">
        <f t="shared" si="43"/>
        <v>1.5750491730888627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'2024'!Wh/'2024'!Env_an*'2025'!Env_an</f>
        <v>46.143224922709443</v>
      </c>
      <c r="C135" s="841"/>
      <c r="D135" s="393">
        <f t="shared" si="25"/>
        <v>48.760634325208443</v>
      </c>
      <c r="E135" s="385">
        <f t="shared" si="47"/>
        <v>50.541534205538767</v>
      </c>
      <c r="F135" s="385">
        <f t="shared" si="26"/>
        <v>50.541579044742399</v>
      </c>
      <c r="G135" s="110">
        <f t="shared" si="48"/>
        <v>0.81773032219221542</v>
      </c>
      <c r="H135" s="414" t="b">
        <f>Wh_hp&gt;='2024'!Maxi_hp</f>
        <v>0</v>
      </c>
      <c r="I135" s="390">
        <f>IF(H135,Wh_hp,'2024'!Maxi_hp)</f>
        <v>57.93362071879104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5.3678739801500952E-2</v>
      </c>
      <c r="M135" s="845"/>
      <c r="N135" s="845"/>
      <c r="O135" s="48">
        <f>IF(t&lt;Tnet,'2024'!Resal+('2024'!Salim-'2024'!Resal)*(1-EXP(('2024'!Tnet-t)/('2024'!Tau_j))),Resal+(Salim-Resal)*(1-EXP((Tnet-t)/(Tau_j))))*Salcycl</f>
        <v>3.5236363682350523E-2</v>
      </c>
      <c r="P135" s="169">
        <f>(INDEX(Models!$BJ135:$BT135,,T135)*(1-R135)+INDEX(Models!$BJ135:$BT135,,T135+1)*R135-ERP_i)*Q135*Ramure*Pc/MaxiM</f>
        <v>1.199508442459714E-6</v>
      </c>
      <c r="Q135" s="305">
        <f t="shared" si="28"/>
        <v>0.5</v>
      </c>
      <c r="R135" s="177">
        <f t="shared" si="29"/>
        <v>5.2816479472943989E-2</v>
      </c>
      <c r="S135" s="811">
        <f t="shared" si="30"/>
        <v>-2</v>
      </c>
      <c r="T135" s="176">
        <f t="shared" si="31"/>
        <v>4</v>
      </c>
      <c r="U135" s="251">
        <f t="shared" si="32"/>
        <v>-1.947183520527056</v>
      </c>
      <c r="V135" s="383">
        <f t="shared" si="33"/>
        <v>56.428396084055329</v>
      </c>
      <c r="W135" s="402">
        <f t="shared" si="34"/>
        <v>46.143224922709443</v>
      </c>
      <c r="X135" s="157">
        <f t="shared" si="35"/>
        <v>45778</v>
      </c>
      <c r="Y135" s="385">
        <f t="shared" si="36"/>
        <v>43.808416653847878</v>
      </c>
      <c r="Z135" s="385">
        <f t="shared" si="37"/>
        <v>46.293387347821692</v>
      </c>
      <c r="AA135" s="386">
        <f t="shared" si="38"/>
        <v>50.538098442961406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8.39903206870833E-2</v>
      </c>
      <c r="AD135" s="231">
        <f>(INDEX(Models!$BJ135:$BT135,,AH135)*(1-AF135)+INDEX(Models!$BJ135:$BT135,,AH135+1)*AF135-ERP_i)*AE135*Ramure*Pc/MaxiM</f>
        <v>9.3110735303257445E-5</v>
      </c>
      <c r="AE135" s="305">
        <f t="shared" si="40"/>
        <v>0.5</v>
      </c>
      <c r="AF135" s="177">
        <f t="shared" si="41"/>
        <v>0.57780404584692291</v>
      </c>
      <c r="AG135" s="811">
        <f t="shared" si="49"/>
        <v>1</v>
      </c>
      <c r="AH135" s="176">
        <f t="shared" si="42"/>
        <v>7</v>
      </c>
      <c r="AI135" s="225">
        <f t="shared" si="43"/>
        <v>1.5778040458469229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'2024'!Wh/'2024'!Env_an*'2025'!Env_an</f>
        <v>29.663114775860194</v>
      </c>
      <c r="C136" s="841"/>
      <c r="D136" s="393">
        <f t="shared" si="25"/>
        <v>31.346399722870334</v>
      </c>
      <c r="E136" s="385">
        <f t="shared" si="47"/>
        <v>32.494238218197459</v>
      </c>
      <c r="F136" s="385">
        <f t="shared" si="26"/>
        <v>32.494252885908011</v>
      </c>
      <c r="G136" s="110">
        <f t="shared" si="48"/>
        <v>0.52461453415367298</v>
      </c>
      <c r="H136" s="414" t="b">
        <f>Wh_hp&gt;='2024'!Maxi_hp</f>
        <v>0</v>
      </c>
      <c r="I136" s="390">
        <f>IF(H136,Wh_hp,'2024'!Maxi_hp)</f>
        <v>50.847443819946974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5.3699466665768858E-2</v>
      </c>
      <c r="M136" s="845"/>
      <c r="N136" s="845"/>
      <c r="O136" s="48">
        <f>IF(t&lt;Tnet,'2024'!Resal+('2024'!Salim-'2024'!Resal)*(1-EXP(('2024'!Tnet-t)/('2024'!Tau_j))),Resal+(Salim-Resal)*(1-EXP((Tnet-t)/(Tau_j))))*Salcycl</f>
        <v>3.5324370050451338E-2</v>
      </c>
      <c r="P136" s="169">
        <f>(INDEX(Models!$BJ136:$BT136,,T136)*(1-R136)+INDEX(Models!$BJ136:$BT136,,T136+1)*R136-ERP_i)*Q136*Ramure*Pc/MaxiM</f>
        <v>1.4067437400861588E-6</v>
      </c>
      <c r="Q136" s="305">
        <f t="shared" si="28"/>
        <v>0.5</v>
      </c>
      <c r="R136" s="177">
        <f t="shared" si="29"/>
        <v>5.5648964908378895E-2</v>
      </c>
      <c r="S136" s="811">
        <f t="shared" si="30"/>
        <v>-2</v>
      </c>
      <c r="T136" s="176">
        <f t="shared" si="31"/>
        <v>4</v>
      </c>
      <c r="U136" s="251">
        <f t="shared" si="32"/>
        <v>-1.9443510350916211</v>
      </c>
      <c r="V136" s="383">
        <f t="shared" si="33"/>
        <v>56.542631791648233</v>
      </c>
      <c r="W136" s="402">
        <f t="shared" si="34"/>
        <v>29.663114775860194</v>
      </c>
      <c r="X136" s="157">
        <f t="shared" si="35"/>
        <v>45779</v>
      </c>
      <c r="Y136" s="385">
        <f t="shared" si="36"/>
        <v>28.163627763980692</v>
      </c>
      <c r="Z136" s="385">
        <f t="shared" si="37"/>
        <v>29.761821717195804</v>
      </c>
      <c r="AA136" s="386">
        <f t="shared" si="38"/>
        <v>32.493181697696016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8.4059480721578136E-2</v>
      </c>
      <c r="AD136" s="231">
        <f>(INDEX(Models!$BJ136:$BT136,,AH136)*(1-AF136)+INDEX(Models!$BJ136:$BT136,,AH136+1)*AF136-ERP_i)*AE136*Ramure*Pc/MaxiM</f>
        <v>1.0273500465477345E-4</v>
      </c>
      <c r="AE136" s="305">
        <f t="shared" si="40"/>
        <v>0.5</v>
      </c>
      <c r="AF136" s="177">
        <f t="shared" si="41"/>
        <v>0.58063653128235782</v>
      </c>
      <c r="AG136" s="811">
        <f t="shared" si="49"/>
        <v>1</v>
      </c>
      <c r="AH136" s="176">
        <f t="shared" si="42"/>
        <v>7</v>
      </c>
      <c r="AI136" s="225">
        <f t="shared" si="43"/>
        <v>1.5806365312823578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'2024'!Wh/'2024'!Env_an*'2025'!Env_an</f>
        <v>35.34360926990648</v>
      </c>
      <c r="C137" s="841"/>
      <c r="D137" s="393">
        <f t="shared" si="25"/>
        <v>37.350061801273874</v>
      </c>
      <c r="E137" s="385">
        <f t="shared" si="47"/>
        <v>38.721293156775971</v>
      </c>
      <c r="F137" s="385">
        <f t="shared" si="26"/>
        <v>38.721322569428096</v>
      </c>
      <c r="G137" s="110">
        <f t="shared" si="48"/>
        <v>0.6238719327372233</v>
      </c>
      <c r="H137" s="414" t="b">
        <f>Wh_hp&gt;='2024'!Maxi_hp</f>
        <v>0</v>
      </c>
      <c r="I137" s="390">
        <f>IF(H137,Wh_hp,'2024'!Maxi_hp)</f>
        <v>60.514631083164147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5.3720193076065126E-2</v>
      </c>
      <c r="M137" s="845"/>
      <c r="N137" s="845"/>
      <c r="O137" s="48">
        <f>IF(t&lt;Tnet,'2024'!Resal+('2024'!Salim-'2024'!Resal)*(1-EXP(('2024'!Tnet-t)/('2024'!Tau_j))),Resal+(Salim-Resal)*(1-EXP((Tnet-t)/(Tau_j))))*Salcycl</f>
        <v>3.5412850235920945E-2</v>
      </c>
      <c r="P137" s="169">
        <f>(INDEX(Models!$BJ137:$BT137,,T137)*(1-R137)+INDEX(Models!$BJ137:$BT137,,T137+1)*R137-ERP_i)*Q137*Ramure*Pc/MaxiM</f>
        <v>1.6417536587244706E-6</v>
      </c>
      <c r="Q137" s="305">
        <f t="shared" si="28"/>
        <v>0.5</v>
      </c>
      <c r="R137" s="177">
        <f t="shared" si="29"/>
        <v>5.855989617394286E-2</v>
      </c>
      <c r="S137" s="811">
        <f t="shared" si="30"/>
        <v>-2</v>
      </c>
      <c r="T137" s="176">
        <f t="shared" si="31"/>
        <v>4</v>
      </c>
      <c r="U137" s="251">
        <f t="shared" si="32"/>
        <v>-1.9414401038260571</v>
      </c>
      <c r="V137" s="383">
        <f t="shared" si="33"/>
        <v>56.651976530280159</v>
      </c>
      <c r="W137" s="402">
        <f t="shared" si="34"/>
        <v>35.34360926990648</v>
      </c>
      <c r="X137" s="157">
        <f t="shared" si="35"/>
        <v>45780</v>
      </c>
      <c r="Y137" s="385">
        <f t="shared" si="36"/>
        <v>33.556831591327352</v>
      </c>
      <c r="Z137" s="385">
        <f t="shared" si="37"/>
        <v>35.461848964536514</v>
      </c>
      <c r="AA137" s="386">
        <f t="shared" si="38"/>
        <v>38.719293308367178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8.4129746839329181E-2</v>
      </c>
      <c r="AD137" s="231">
        <f>(INDEX(Models!$BJ137:$BT137,,AH137)*(1-AF137)+INDEX(Models!$BJ137:$BT137,,AH137+1)*AF137-ERP_i)*AE137*Ramure*Pc/MaxiM</f>
        <v>1.1326917262139009E-4</v>
      </c>
      <c r="AE137" s="305">
        <f t="shared" si="40"/>
        <v>0.5</v>
      </c>
      <c r="AF137" s="177">
        <f t="shared" si="41"/>
        <v>0.58354746254792178</v>
      </c>
      <c r="AG137" s="811">
        <f t="shared" si="49"/>
        <v>1</v>
      </c>
      <c r="AH137" s="176">
        <f t="shared" si="42"/>
        <v>7</v>
      </c>
      <c r="AI137" s="225">
        <f t="shared" si="43"/>
        <v>1.5835474625479218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'2024'!Wh/'2024'!Env_an*'2025'!Env_an</f>
        <v>19.605301578025429</v>
      </c>
      <c r="C138" s="841"/>
      <c r="D138" s="393">
        <f t="shared" si="25"/>
        <v>20.718746030926294</v>
      </c>
      <c r="E138" s="385">
        <f t="shared" si="47"/>
        <v>21.48137341644744</v>
      </c>
      <c r="F138" s="385">
        <f t="shared" si="26"/>
        <v>21.481376075115204</v>
      </c>
      <c r="G138" s="110">
        <f t="shared" si="48"/>
        <v>0.34542750634918534</v>
      </c>
      <c r="H138" s="414" t="b">
        <f>Wh_hp&gt;='2024'!Maxi_hp</f>
        <v>0</v>
      </c>
      <c r="I138" s="390">
        <f>IF(H138,Wh_hp,'2024'!Maxi_hp)</f>
        <v>57.253924122877009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5.3740919032399859E-2</v>
      </c>
      <c r="M138" s="845"/>
      <c r="N138" s="845"/>
      <c r="O138" s="48">
        <f>IF(t&lt;Tnet,'2024'!Resal+('2024'!Salim-'2024'!Resal)*(1-EXP(('2024'!Tnet-t)/('2024'!Tau_j))),Resal+(Salim-Resal)*(1-EXP((Tnet-t)/(Tau_j))))*Salcycl</f>
        <v>3.5501798266642987E-2</v>
      </c>
      <c r="P138" s="169">
        <f>(INDEX(Models!$BJ138:$BT138,,T138)*(1-R138)+INDEX(Models!$BJ138:$BT138,,T138+1)*R138-ERP_i)*Q138*Ramure*Pc/MaxiM</f>
        <v>1.9071077210697128E-6</v>
      </c>
      <c r="Q138" s="305">
        <f t="shared" si="28"/>
        <v>0.5</v>
      </c>
      <c r="R138" s="177">
        <f t="shared" si="29"/>
        <v>6.1550017090233222E-2</v>
      </c>
      <c r="S138" s="811">
        <f t="shared" si="30"/>
        <v>-2</v>
      </c>
      <c r="T138" s="176">
        <f t="shared" si="31"/>
        <v>4</v>
      </c>
      <c r="U138" s="251">
        <f t="shared" si="32"/>
        <v>-1.9384499829097668</v>
      </c>
      <c r="V138" s="383">
        <f t="shared" si="33"/>
        <v>56.756529965664448</v>
      </c>
      <c r="W138" s="402">
        <f t="shared" si="34"/>
        <v>19.605301578025429</v>
      </c>
      <c r="X138" s="157">
        <f t="shared" si="35"/>
        <v>45781</v>
      </c>
      <c r="Y138" s="385">
        <f t="shared" si="36"/>
        <v>18.615245195160853</v>
      </c>
      <c r="Z138" s="385">
        <f t="shared" si="37"/>
        <v>19.67246134761082</v>
      </c>
      <c r="AA138" s="386">
        <f t="shared" si="38"/>
        <v>21.481202189983573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8.4201099471804583E-2</v>
      </c>
      <c r="AD138" s="231">
        <f>(INDEX(Models!$BJ138:$BT138,,AH138)*(1-AF138)+INDEX(Models!$BJ138:$BT138,,AH138+1)*AF138-ERP_i)*AE138*Ramure*Pc/MaxiM</f>
        <v>1.2473076993088175E-4</v>
      </c>
      <c r="AE138" s="305">
        <f t="shared" si="40"/>
        <v>0.5</v>
      </c>
      <c r="AF138" s="177">
        <f t="shared" si="41"/>
        <v>0.58653758346421214</v>
      </c>
      <c r="AG138" s="811">
        <f t="shared" si="49"/>
        <v>1</v>
      </c>
      <c r="AH138" s="176">
        <f t="shared" si="42"/>
        <v>7</v>
      </c>
      <c r="AI138" s="225">
        <f t="shared" si="43"/>
        <v>1.5865375834642121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'2024'!Wh/'2024'!Env_an*'2025'!Env_an</f>
        <v>41.093276634890742</v>
      </c>
      <c r="C139" s="841"/>
      <c r="D139" s="393">
        <f t="shared" si="25"/>
        <v>43.428039454908038</v>
      </c>
      <c r="E139" s="385">
        <f t="shared" si="47"/>
        <v>45.030737763252581</v>
      </c>
      <c r="F139" s="385">
        <f t="shared" si="26"/>
        <v>45.030797744144131</v>
      </c>
      <c r="G139" s="110">
        <f t="shared" si="48"/>
        <v>0.72275498744250399</v>
      </c>
      <c r="H139" s="414" t="b">
        <f>Wh_hp&gt;='2024'!Maxi_hp</f>
        <v>0</v>
      </c>
      <c r="I139" s="390">
        <f>IF(H139,Wh_hp,'2024'!Maxi_hp)</f>
        <v>60.369568048217943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5.3761644534782937E-2</v>
      </c>
      <c r="M139" s="845"/>
      <c r="N139" s="845"/>
      <c r="O139" s="48">
        <f>IF(t&lt;Tnet,'2024'!Resal+('2024'!Salim-'2024'!Resal)*(1-EXP(('2024'!Tnet-t)/('2024'!Tau_j))),Resal+(Salim-Resal)*(1-EXP((Tnet-t)/(Tau_j))))*Salcycl</f>
        <v>3.5591206983342463E-2</v>
      </c>
      <c r="P139" s="169">
        <f>(INDEX(Models!$BJ139:$BT139,,T139)*(1-R139)+INDEX(Models!$BJ139:$BT139,,T139+1)*R139-ERP_i)*Q139*Ramure*Pc/MaxiM</f>
        <v>2.2055247084051936E-6</v>
      </c>
      <c r="Q139" s="305">
        <f t="shared" si="28"/>
        <v>0.5</v>
      </c>
      <c r="R139" s="177">
        <f t="shared" si="29"/>
        <v>6.4619975156809506E-2</v>
      </c>
      <c r="S139" s="811">
        <f t="shared" si="30"/>
        <v>-2</v>
      </c>
      <c r="T139" s="176">
        <f t="shared" si="31"/>
        <v>4</v>
      </c>
      <c r="U139" s="251">
        <f t="shared" si="32"/>
        <v>-1.9353800248431905</v>
      </c>
      <c r="V139" s="383">
        <f t="shared" si="33"/>
        <v>56.856391796258436</v>
      </c>
      <c r="W139" s="402">
        <f t="shared" si="34"/>
        <v>41.093276634890742</v>
      </c>
      <c r="X139" s="157">
        <f t="shared" si="35"/>
        <v>45782</v>
      </c>
      <c r="Y139" s="385">
        <f t="shared" si="36"/>
        <v>39.015752932748192</v>
      </c>
      <c r="Z139" s="385">
        <f t="shared" si="37"/>
        <v>41.232478801354588</v>
      </c>
      <c r="AA139" s="386">
        <f t="shared" si="38"/>
        <v>45.027068168424549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8.4273516385215907E-2</v>
      </c>
      <c r="AD139" s="231">
        <f>(INDEX(Models!$BJ139:$BT139,,AH139)*(1-AF139)+INDEX(Models!$BJ139:$BT139,,AH139+1)*AF139-ERP_i)*AE139*Ramure*Pc/MaxiM</f>
        <v>1.371381983383554E-4</v>
      </c>
      <c r="AE139" s="305">
        <f t="shared" si="40"/>
        <v>0.5</v>
      </c>
      <c r="AF139" s="177">
        <f t="shared" si="41"/>
        <v>0.58960754153078843</v>
      </c>
      <c r="AG139" s="811">
        <f t="shared" si="49"/>
        <v>1</v>
      </c>
      <c r="AH139" s="176">
        <f t="shared" si="42"/>
        <v>7</v>
      </c>
      <c r="AI139" s="225">
        <f t="shared" si="43"/>
        <v>1.5896075415307884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'2024'!Wh/'2024'!Env_an*'2025'!Env_an</f>
        <v>37.592321892113048</v>
      </c>
      <c r="C140" s="841"/>
      <c r="D140" s="393">
        <f t="shared" si="25"/>
        <v>39.729044020829491</v>
      </c>
      <c r="E140" s="385">
        <f t="shared" si="47"/>
        <v>41.199070870478906</v>
      </c>
      <c r="F140" s="385">
        <f t="shared" si="26"/>
        <v>41.199124696778696</v>
      </c>
      <c r="G140" s="110">
        <f t="shared" si="48"/>
        <v>0.66007337392588872</v>
      </c>
      <c r="H140" s="414" t="b">
        <f>Wh_hp&gt;='2024'!Maxi_hp</f>
        <v>0</v>
      </c>
      <c r="I140" s="390">
        <f>IF(H140,Wh_hp,'2024'!Maxi_hp)</f>
        <v>64.189889106761925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5.3782369583224354E-2</v>
      </c>
      <c r="M140" s="845"/>
      <c r="N140" s="845"/>
      <c r="O140" s="48">
        <f>IF(t&lt;Tnet,'2024'!Resal+('2024'!Salim-'2024'!Resal)*(1-EXP(('2024'!Tnet-t)/('2024'!Tau_j))),Resal+(Salim-Resal)*(1-EXP((Tnet-t)/(Tau_j))))*Salcycl</f>
        <v>3.5681068009297275E-2</v>
      </c>
      <c r="P140" s="169">
        <f>(INDEX(Models!$BJ140:$BT140,,T140)*(1-R140)+INDEX(Models!$BJ140:$BT140,,T140+1)*R140-ERP_i)*Q140*Ramure*Pc/MaxiM</f>
        <v>2.5398764227964941E-6</v>
      </c>
      <c r="Q140" s="305">
        <f t="shared" si="28"/>
        <v>0.5</v>
      </c>
      <c r="R140" s="177">
        <f t="shared" si="29"/>
        <v>6.7770314518150965E-2</v>
      </c>
      <c r="S140" s="811">
        <f t="shared" si="30"/>
        <v>-2</v>
      </c>
      <c r="T140" s="176">
        <f t="shared" si="31"/>
        <v>4</v>
      </c>
      <c r="U140" s="251">
        <f t="shared" si="32"/>
        <v>-1.932229685481849</v>
      </c>
      <c r="V140" s="383">
        <f t="shared" si="33"/>
        <v>56.95166175641608</v>
      </c>
      <c r="W140" s="402">
        <f t="shared" si="34"/>
        <v>37.592321892113048</v>
      </c>
      <c r="X140" s="157">
        <f t="shared" si="35"/>
        <v>45783</v>
      </c>
      <c r="Y140" s="385">
        <f t="shared" si="36"/>
        <v>35.692448015464898</v>
      </c>
      <c r="Z140" s="385">
        <f t="shared" si="37"/>
        <v>37.721182599127459</v>
      </c>
      <c r="AA140" s="386">
        <f t="shared" si="38"/>
        <v>41.195935001151476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8.4346972630355163E-2</v>
      </c>
      <c r="AD140" s="231">
        <f>(INDEX(Models!$BJ140:$BT140,,AH140)*(1-AF140)+INDEX(Models!$BJ140:$BT140,,AH140+1)*AF140-ERP_i)*AE140*Ramure*Pc/MaxiM</f>
        <v>1.505106750978293E-4</v>
      </c>
      <c r="AE140" s="305">
        <f t="shared" si="40"/>
        <v>0.5</v>
      </c>
      <c r="AF140" s="177">
        <f t="shared" si="41"/>
        <v>0.59275788089212988</v>
      </c>
      <c r="AG140" s="811">
        <f t="shared" si="49"/>
        <v>1</v>
      </c>
      <c r="AH140" s="176">
        <f t="shared" si="42"/>
        <v>7</v>
      </c>
      <c r="AI140" s="225">
        <f t="shared" si="43"/>
        <v>1.5927578808921299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'2024'!Wh/'2024'!Env_an*'2025'!Env_an</f>
        <v>51.115920324075113</v>
      </c>
      <c r="C141" s="841"/>
      <c r="D141" s="393">
        <f t="shared" si="25"/>
        <v>54.022497864389287</v>
      </c>
      <c r="E141" s="385">
        <f t="shared" si="47"/>
        <v>56.026647913298987</v>
      </c>
      <c r="F141" s="385">
        <f t="shared" si="26"/>
        <v>56.026786904777182</v>
      </c>
      <c r="G141" s="110">
        <f t="shared" si="48"/>
        <v>0.89610294665463919</v>
      </c>
      <c r="H141" s="414" t="b">
        <f>Wh_hp&gt;='2024'!Maxi_hp</f>
        <v>0</v>
      </c>
      <c r="I141" s="390">
        <f>IF(H141,Wh_hp,'2024'!Maxi_hp)</f>
        <v>60.114108347336412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5.3803094177734101E-2</v>
      </c>
      <c r="M141" s="845"/>
      <c r="N141" s="845"/>
      <c r="O141" s="48">
        <f>IF(t&lt;Tnet,'2024'!Resal+('2024'!Salim-'2024'!Resal)*(1-EXP(('2024'!Tnet-t)/('2024'!Tau_j))),Resal+(Salim-Resal)*(1-EXP((Tnet-t)/(Tau_j))))*Salcycl</f>
        <v>3.5771371723168445E-2</v>
      </c>
      <c r="P141" s="169">
        <f>(INDEX(Models!$BJ141:$BT141,,T141)*(1-R141)+INDEX(Models!$BJ141:$BT141,,T141+1)*R141-ERP_i)*Q141*Ramure*Pc/MaxiM</f>
        <v>2.9131909095985819E-6</v>
      </c>
      <c r="Q141" s="305">
        <f t="shared" si="28"/>
        <v>0.5</v>
      </c>
      <c r="R141" s="177">
        <f t="shared" si="29"/>
        <v>7.1001468923303168E-2</v>
      </c>
      <c r="S141" s="811">
        <f t="shared" si="30"/>
        <v>-2</v>
      </c>
      <c r="T141" s="176">
        <f t="shared" si="31"/>
        <v>4</v>
      </c>
      <c r="U141" s="251">
        <f t="shared" si="32"/>
        <v>-1.9289985310766968</v>
      </c>
      <c r="V141" s="383">
        <f t="shared" si="33"/>
        <v>57.042439613656043</v>
      </c>
      <c r="W141" s="402">
        <f t="shared" si="34"/>
        <v>51.115920324075113</v>
      </c>
      <c r="X141" s="157">
        <f t="shared" si="35"/>
        <v>45784</v>
      </c>
      <c r="Y141" s="385">
        <f t="shared" si="36"/>
        <v>48.530177081700515</v>
      </c>
      <c r="Z141" s="385">
        <f t="shared" si="37"/>
        <v>51.289722871717409</v>
      </c>
      <c r="AA141" s="386">
        <f t="shared" si="38"/>
        <v>56.018920866536568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8.4421440500189807E-2</v>
      </c>
      <c r="AD141" s="231">
        <f>(INDEX(Models!$BJ141:$BT141,,AH141)*(1-AF141)+INDEX(Models!$BJ141:$BT141,,AH141+1)*AF141-ERP_i)*AE141*Ramure*Pc/MaxiM</f>
        <v>1.6486817318007917E-4</v>
      </c>
      <c r="AE141" s="305">
        <f t="shared" si="40"/>
        <v>0.5</v>
      </c>
      <c r="AF141" s="177">
        <f t="shared" si="41"/>
        <v>0.59598903529728209</v>
      </c>
      <c r="AG141" s="811">
        <f t="shared" si="49"/>
        <v>1</v>
      </c>
      <c r="AH141" s="176">
        <f t="shared" si="42"/>
        <v>7</v>
      </c>
      <c r="AI141" s="225">
        <f t="shared" si="43"/>
        <v>1.5959890352972821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'2024'!Wh/'2024'!Env_an*'2025'!Env_an</f>
        <v>48.645379617324068</v>
      </c>
      <c r="C142" s="841"/>
      <c r="D142" s="393">
        <f t="shared" si="25"/>
        <v>51.412602176123926</v>
      </c>
      <c r="E142" s="385">
        <f t="shared" si="47"/>
        <v>53.32494714910753</v>
      </c>
      <c r="F142" s="385">
        <f t="shared" si="26"/>
        <v>53.325086189289003</v>
      </c>
      <c r="G142" s="110">
        <f t="shared" si="48"/>
        <v>0.85150262384517772</v>
      </c>
      <c r="H142" s="414" t="b">
        <f>Wh_hp&gt;='2024'!Maxi_hp</f>
        <v>0</v>
      </c>
      <c r="I142" s="390">
        <f>IF(H142,Wh_hp,'2024'!Maxi_hp)</f>
        <v>60.745186891784464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5.3823818318321948E-2</v>
      </c>
      <c r="M142" s="845"/>
      <c r="N142" s="845"/>
      <c r="O142" s="48">
        <f>IF(t&lt;Tnet,'2024'!Resal+('2024'!Salim-'2024'!Resal)*(1-EXP(('2024'!Tnet-t)/('2024'!Tau_j))),Resal+(Salim-Resal)*(1-EXP((Tnet-t)/(Tau_j))))*Salcycl</f>
        <v>3.5862107235405047E-2</v>
      </c>
      <c r="P142" s="169">
        <f>(INDEX(Models!$BJ142:$BT142,,T142)*(1-R142)+INDEX(Models!$BJ142:$BT142,,T142+1)*R142-ERP_i)*Q142*Ramure*Pc/MaxiM</f>
        <v>3.309472267197338E-6</v>
      </c>
      <c r="Q142" s="305">
        <f t="shared" si="28"/>
        <v>0.5</v>
      </c>
      <c r="R142" s="177">
        <f t="shared" si="29"/>
        <v>7.4313754721436309E-2</v>
      </c>
      <c r="S142" s="811">
        <f t="shared" si="30"/>
        <v>-2</v>
      </c>
      <c r="T142" s="176">
        <f t="shared" si="31"/>
        <v>4</v>
      </c>
      <c r="U142" s="251">
        <f t="shared" si="32"/>
        <v>-1.9256862452785637</v>
      </c>
      <c r="V142" s="383">
        <f t="shared" si="33"/>
        <v>57.128826268688925</v>
      </c>
      <c r="W142" s="402">
        <f t="shared" si="34"/>
        <v>48.645379617324068</v>
      </c>
      <c r="X142" s="157">
        <f t="shared" si="35"/>
        <v>45785</v>
      </c>
      <c r="Y142" s="385">
        <f t="shared" si="36"/>
        <v>46.185096020355289</v>
      </c>
      <c r="Z142" s="385">
        <f t="shared" si="37"/>
        <v>48.812363822421112</v>
      </c>
      <c r="AA142" s="386">
        <f t="shared" si="38"/>
        <v>53.317529195023369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8.4496889496199018E-2</v>
      </c>
      <c r="AD142" s="231">
        <f>(INDEX(Models!$BJ142:$BT142,,AH142)*(1-AF142)+INDEX(Models!$BJ142:$BT142,,AH142+1)*AF142-ERP_i)*AE142*Ramure*Pc/MaxiM</f>
        <v>1.7987363566739897E-4</v>
      </c>
      <c r="AE142" s="305">
        <f t="shared" si="40"/>
        <v>0.5</v>
      </c>
      <c r="AF142" s="177">
        <f t="shared" si="41"/>
        <v>0.59930132109541523</v>
      </c>
      <c r="AG142" s="811">
        <f t="shared" si="49"/>
        <v>1</v>
      </c>
      <c r="AH142" s="176">
        <f t="shared" si="42"/>
        <v>7</v>
      </c>
      <c r="AI142" s="225">
        <f t="shared" si="43"/>
        <v>1.5993013210954152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'2024'!Wh/'2024'!Env_an*'2025'!Env_an</f>
        <v>50.904037535170445</v>
      </c>
      <c r="C143" s="841"/>
      <c r="D143" s="393">
        <f t="shared" ref="D143:D206" si="50">Wh/(1-Ppv)</f>
        <v>53.800923627329894</v>
      </c>
      <c r="E143" s="385">
        <f t="shared" si="47"/>
        <v>55.807381039968618</v>
      </c>
      <c r="F143" s="385">
        <f t="shared" ref="F143:F206" si="51">Wh_sa/(1-Pvg*MEDIAN((-Sdif+Wh/Env_an)/Csdif,0,1))</f>
        <v>55.807556046569651</v>
      </c>
      <c r="G143" s="110">
        <f t="shared" si="48"/>
        <v>0.88976030782799687</v>
      </c>
      <c r="H143" s="414" t="b">
        <f>Wh_hp&gt;='2024'!Maxi_hp</f>
        <v>1</v>
      </c>
      <c r="I143" s="390">
        <f>IF(H143,Wh_hp,'2024'!Maxi_hp)</f>
        <v>55.807556046569651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5.3844542004997886E-2</v>
      </c>
      <c r="M143" s="845"/>
      <c r="N143" s="845"/>
      <c r="O143" s="48">
        <f>IF(t&lt;Tnet,'2024'!Resal+('2024'!Salim-'2024'!Resal)*(1-EXP(('2024'!Tnet-t)/('2024'!Tau_j))),Resal+(Salim-Resal)*(1-EXP((Tnet-t)/(Tau_j))))*Salcycl</f>
        <v>3.5953262368676978E-2</v>
      </c>
      <c r="P143" s="169">
        <f>(INDEX(Models!$BJ143:$BT143,,T143)*(1-R143)+INDEX(Models!$BJ143:$BT143,,T143+1)*R143-ERP_i)*Q143*Ramure*Pc/MaxiM</f>
        <v>3.722061473875579E-6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7.7707363938781526E-2</v>
      </c>
      <c r="S143" s="811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-1.9222926360612185</v>
      </c>
      <c r="V143" s="383">
        <f t="shared" ref="V143:V206" si="58">MaxiM*(1-Ppv)*(1-Pvg)*(1-Psa)</f>
        <v>57.210922142691579</v>
      </c>
      <c r="W143" s="402">
        <f t="shared" ref="W143:W206" si="59">Wh*(A143&gt;Tmaj)</f>
        <v>50.904037535170445</v>
      </c>
      <c r="X143" s="157">
        <f t="shared" ref="X143:X206" si="60">t</f>
        <v>45786</v>
      </c>
      <c r="Y143" s="385">
        <f t="shared" ref="Y143:Y206" si="61">Wh_pvt_s*(1-Ppv)</f>
        <v>48.328979854559918</v>
      </c>
      <c r="Z143" s="385">
        <f t="shared" ref="Z143:Z206" si="62">Wh_sa_s*(1-Psa_s)</f>
        <v>51.079322585079041</v>
      </c>
      <c r="AA143" s="386">
        <f t="shared" ref="AA143:AA206" si="63">Wh_hp*(1-Pvg_s*MEDIAN((-Sdif+Wh/Env_an)/Csdif,0,1))</f>
        <v>55.798374485786496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8.4573286304416226E-2</v>
      </c>
      <c r="AD143" s="231">
        <f>(INDEX(Models!$BJ143:$BT143,,AH143)*(1-AF143)+INDEX(Models!$BJ143:$BT143,,AH143+1)*AF143-ERP_i)*AE143*Ramure*Pc/MaxiM</f>
        <v>1.9527454083913777E-4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0.60269493031276045</v>
      </c>
      <c r="AG143" s="811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1.6026949303127604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'2024'!Wh/'2024'!Env_an*'2025'!Env_an</f>
        <v>50.578053740941854</v>
      </c>
      <c r="C144" s="841"/>
      <c r="D144" s="393">
        <f t="shared" si="50"/>
        <v>53.457559354537985</v>
      </c>
      <c r="E144" s="385">
        <f t="shared" ref="E144:E169" si="72">Wh_pvt/(1-Psa)</f>
        <v>55.456478336009184</v>
      </c>
      <c r="F144" s="385">
        <f t="shared" si="51"/>
        <v>55.456669985336809</v>
      </c>
      <c r="G144" s="110">
        <f t="shared" ref="G144:G169" si="73">+Wh_hp/MaxiM</f>
        <v>0.88286007837572922</v>
      </c>
      <c r="H144" s="414" t="b">
        <f>Wh_hp&gt;='2024'!Maxi_hp</f>
        <v>1</v>
      </c>
      <c r="I144" s="390">
        <f>IF(H144,Wh_hp,'2024'!Maxi_hp)</f>
        <v>55.456669985336809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5.386526523777202E-2</v>
      </c>
      <c r="M144" s="845"/>
      <c r="N144" s="845"/>
      <c r="O144" s="48">
        <f>IF(t&lt;Tnet,'2024'!Resal+('2024'!Salim-'2024'!Resal)*(1-EXP(('2024'!Tnet-t)/('2024'!Tau_j))),Resal+(Salim-Resal)*(1-EXP((Tnet-t)/(Tau_j))))*Salcycl</f>
        <v>3.6044823642781734E-2</v>
      </c>
      <c r="P144" s="169">
        <f>(INDEX(Models!$BJ144:$BT144,,T144)*(1-R144)+INDEX(Models!$BJ144:$BT144,,T144+1)*R144-ERP_i)*Q144*Ramure*Pc/MaxiM</f>
        <v>4.1503697094017124E-6</v>
      </c>
      <c r="Q144" s="305">
        <f t="shared" si="53"/>
        <v>0.5</v>
      </c>
      <c r="R144" s="177">
        <f t="shared" si="54"/>
        <v>8.1182357485499956E-2</v>
      </c>
      <c r="S144" s="811">
        <f t="shared" si="55"/>
        <v>-2</v>
      </c>
      <c r="T144" s="176">
        <f t="shared" si="56"/>
        <v>4</v>
      </c>
      <c r="U144" s="251">
        <f t="shared" si="57"/>
        <v>-1.9188176425145</v>
      </c>
      <c r="V144" s="383">
        <f t="shared" si="58"/>
        <v>57.28882735967148</v>
      </c>
      <c r="W144" s="402">
        <f t="shared" si="59"/>
        <v>50.578053740941854</v>
      </c>
      <c r="X144" s="157">
        <f t="shared" si="60"/>
        <v>45787</v>
      </c>
      <c r="Y144" s="385">
        <f t="shared" si="61"/>
        <v>48.019467368753872</v>
      </c>
      <c r="Z144" s="385">
        <f t="shared" si="62"/>
        <v>50.753307752538639</v>
      </c>
      <c r="AA144" s="386">
        <f t="shared" si="63"/>
        <v>55.446922741439352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8.4650594782112967E-2</v>
      </c>
      <c r="AD144" s="231">
        <f>(INDEX(Models!$BJ144:$BT144,,AH144)*(1-AF144)+INDEX(Models!$BJ144:$BT144,,AH144+1)*AF144-ERP_i)*AE144*Ramure*Pc/MaxiM</f>
        <v>2.1108691757142577E-4</v>
      </c>
      <c r="AE144" s="305">
        <f t="shared" si="65"/>
        <v>0.5</v>
      </c>
      <c r="AF144" s="177">
        <f t="shared" si="66"/>
        <v>0.60616992385947865</v>
      </c>
      <c r="AG144" s="811">
        <f t="shared" ref="AG144:AG207" si="74">INDEX(Echel_vg,AH144)</f>
        <v>1</v>
      </c>
      <c r="AH144" s="176">
        <f t="shared" si="67"/>
        <v>7</v>
      </c>
      <c r="AI144" s="225">
        <f t="shared" si="68"/>
        <v>1.6061699238594787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'2024'!Wh/'2024'!Env_an*'2025'!Env_an</f>
        <v>54.596087614706207</v>
      </c>
      <c r="C145" s="841"/>
      <c r="D145" s="393">
        <f t="shared" si="50"/>
        <v>57.705611504744567</v>
      </c>
      <c r="E145" s="385">
        <f t="shared" si="72"/>
        <v>59.869087318324077</v>
      </c>
      <c r="F145" s="385">
        <f t="shared" si="51"/>
        <v>59.869343391363778</v>
      </c>
      <c r="G145" s="110">
        <f t="shared" si="73"/>
        <v>0.95177049631621313</v>
      </c>
      <c r="H145" s="414" t="b">
        <f>Wh_hp&gt;='2024'!Maxi_hp</f>
        <v>1</v>
      </c>
      <c r="I145" s="390">
        <f>IF(H145,Wh_hp,'2024'!Maxi_hp)</f>
        <v>59.869343391363778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5.3885988016654007E-2</v>
      </c>
      <c r="M145" s="845"/>
      <c r="N145" s="845"/>
      <c r="O145" s="48">
        <f>IF(t&lt;Tnet,'2024'!Resal+('2024'!Salim-'2024'!Resal)*(1-EXP(('2024'!Tnet-t)/('2024'!Tau_j))),Resal+(Salim-Resal)*(1-EXP((Tnet-t)/(Tau_j))))*Salcycl</f>
        <v>3.613677626445691E-2</v>
      </c>
      <c r="P145" s="169">
        <f>(INDEX(Models!$BJ145:$BT145,,T145)*(1-R145)+INDEX(Models!$BJ145:$BT145,,T145+1)*R145-ERP_i)*Q145*Ramure*Pc/MaxiM</f>
        <v>4.5936986694221281E-6</v>
      </c>
      <c r="Q145" s="305">
        <f t="shared" si="53"/>
        <v>0.5</v>
      </c>
      <c r="R145" s="177">
        <f t="shared" si="54"/>
        <v>8.4738658543864087E-2</v>
      </c>
      <c r="S145" s="811">
        <f t="shared" si="55"/>
        <v>-2</v>
      </c>
      <c r="T145" s="176">
        <f t="shared" si="56"/>
        <v>4</v>
      </c>
      <c r="U145" s="251">
        <f t="shared" si="57"/>
        <v>-1.9152613414561359</v>
      </c>
      <c r="V145" s="383">
        <f t="shared" si="58"/>
        <v>57.362642093077383</v>
      </c>
      <c r="W145" s="402">
        <f t="shared" si="59"/>
        <v>54.596087614706207</v>
      </c>
      <c r="X145" s="157">
        <f t="shared" si="60"/>
        <v>45788</v>
      </c>
      <c r="Y145" s="385">
        <f t="shared" si="61"/>
        <v>51.83294006820892</v>
      </c>
      <c r="Z145" s="385">
        <f t="shared" si="62"/>
        <v>54.785088701467529</v>
      </c>
      <c r="AA145" s="386">
        <f t="shared" si="63"/>
        <v>59.856671183660779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8.4728775956014885E-2</v>
      </c>
      <c r="AD145" s="231">
        <f>(INDEX(Models!$BJ145:$BT145,,AH145)*(1-AF145)+INDEX(Models!$BJ145:$BT145,,AH145+1)*AF145-ERP_i)*AE145*Ramure*Pc/MaxiM</f>
        <v>2.2732695222756719E-4</v>
      </c>
      <c r="AE145" s="305">
        <f t="shared" si="65"/>
        <v>0.5</v>
      </c>
      <c r="AF145" s="177">
        <f t="shared" si="66"/>
        <v>0.60972622491784301</v>
      </c>
      <c r="AG145" s="811">
        <f t="shared" si="74"/>
        <v>1</v>
      </c>
      <c r="AH145" s="176">
        <f t="shared" si="67"/>
        <v>7</v>
      </c>
      <c r="AI145" s="225">
        <f t="shared" si="68"/>
        <v>1.609726224917843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'2024'!Wh/'2024'!Env_an*'2025'!Env_an</f>
        <v>39.808318900381181</v>
      </c>
      <c r="C146" s="841"/>
      <c r="D146" s="393">
        <f t="shared" si="50"/>
        <v>42.076525999626099</v>
      </c>
      <c r="E146" s="385">
        <f t="shared" si="72"/>
        <v>43.658224355609462</v>
      </c>
      <c r="F146" s="385">
        <f t="shared" si="51"/>
        <v>43.658348208400483</v>
      </c>
      <c r="G146" s="110">
        <f t="shared" si="73"/>
        <v>0.69313113509694124</v>
      </c>
      <c r="H146" s="414" t="b">
        <f>Wh_hp&gt;='2024'!Maxi_hp</f>
        <v>0</v>
      </c>
      <c r="I146" s="390">
        <f>IF(H146,Wh_hp,'2024'!Maxi_hp)</f>
        <v>59.238727729135654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5.3906710341654063E-2</v>
      </c>
      <c r="M146" s="845"/>
      <c r="N146" s="845"/>
      <c r="O146" s="48">
        <f>IF(t&lt;Tnet,'2024'!Resal+('2024'!Salim-'2024'!Resal)*(1-EXP(('2024'!Tnet-t)/('2024'!Tau_j))),Resal+(Salim-Resal)*(1-EXP((Tnet-t)/(Tau_j))))*Salcycl</f>
        <v>3.6229104122511964E-2</v>
      </c>
      <c r="P146" s="169">
        <f>(INDEX(Models!$BJ146:$BT146,,T146)*(1-R146)+INDEX(Models!$BJ146:$BT146,,T146+1)*R146-ERP_i)*Q146*Ramure*Pc/MaxiM</f>
        <v>5.0512329974863335E-6</v>
      </c>
      <c r="Q146" s="305">
        <f t="shared" si="53"/>
        <v>0.5</v>
      </c>
      <c r="R146" s="177">
        <f t="shared" si="54"/>
        <v>8.8376046191692925E-2</v>
      </c>
      <c r="S146" s="811">
        <f t="shared" si="55"/>
        <v>-2</v>
      </c>
      <c r="T146" s="176">
        <f t="shared" si="56"/>
        <v>4</v>
      </c>
      <c r="U146" s="251">
        <f t="shared" si="57"/>
        <v>-1.9116239538083071</v>
      </c>
      <c r="V146" s="383">
        <f t="shared" si="58"/>
        <v>57.432466576835381</v>
      </c>
      <c r="W146" s="402">
        <f t="shared" si="59"/>
        <v>39.808318900381181</v>
      </c>
      <c r="X146" s="157">
        <f t="shared" si="60"/>
        <v>45789</v>
      </c>
      <c r="Y146" s="385">
        <f t="shared" si="61"/>
        <v>37.796715185752383</v>
      </c>
      <c r="Z146" s="385">
        <f t="shared" si="62"/>
        <v>39.950304688665078</v>
      </c>
      <c r="AA146" s="386">
        <f t="shared" si="63"/>
        <v>43.6523652258753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8.4807788032887438E-2</v>
      </c>
      <c r="AD146" s="231">
        <f>(INDEX(Models!$BJ146:$BT146,,AH146)*(1-AF146)+INDEX(Models!$BJ146:$BT146,,AH146+1)*AF146-ERP_i)*AE146*Ramure*Pc/MaxiM</f>
        <v>2.4401096257359664E-4</v>
      </c>
      <c r="AE146" s="305">
        <f t="shared" si="65"/>
        <v>0.5</v>
      </c>
      <c r="AF146" s="177">
        <f t="shared" si="66"/>
        <v>0.61336361256567185</v>
      </c>
      <c r="AG146" s="811">
        <f t="shared" si="74"/>
        <v>1</v>
      </c>
      <c r="AH146" s="176">
        <f t="shared" si="67"/>
        <v>7</v>
      </c>
      <c r="AI146" s="225">
        <f t="shared" si="68"/>
        <v>1.6133636125656718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'2024'!Wh/'2024'!Env_an*'2025'!Env_an</f>
        <v>40.492046471686315</v>
      </c>
      <c r="C147" s="841"/>
      <c r="D147" s="393">
        <f t="shared" si="50"/>
        <v>42.800148583098355</v>
      </c>
      <c r="E147" s="385">
        <f t="shared" si="72"/>
        <v>44.413319850526051</v>
      </c>
      <c r="F147" s="385">
        <f t="shared" si="51"/>
        <v>44.41346147657061</v>
      </c>
      <c r="G147" s="110">
        <f t="shared" si="73"/>
        <v>0.70422744325407127</v>
      </c>
      <c r="H147" s="414" t="b">
        <f>Wh_hp&gt;='2024'!Maxi_hp</f>
        <v>0</v>
      </c>
      <c r="I147" s="390">
        <f>IF(H147,Wh_hp,'2024'!Maxi_hp)</f>
        <v>65.408960512497771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5.3927432212782067E-2</v>
      </c>
      <c r="M147" s="845"/>
      <c r="N147" s="845"/>
      <c r="O147" s="48">
        <f>IF(t&lt;Tnet,'2024'!Resal+('2024'!Salim-'2024'!Resal)*(1-EXP(('2024'!Tnet-t)/('2024'!Tau_j))),Resal+(Salim-Resal)*(1-EXP((Tnet-t)/(Tau_j))))*Salcycl</f>
        <v>3.6321789788668339E-2</v>
      </c>
      <c r="P147" s="169">
        <f>(INDEX(Models!$BJ147:$BT147,,T147)*(1-R147)+INDEX(Models!$BJ147:$BT147,,T147+1)*R147-ERP_i)*Q147*Ramure*Pc/MaxiM</f>
        <v>5.5220328212248646E-6</v>
      </c>
      <c r="Q147" s="305">
        <f t="shared" si="53"/>
        <v>0.5</v>
      </c>
      <c r="R147" s="177">
        <f t="shared" si="54"/>
        <v>9.2094149317144991E-2</v>
      </c>
      <c r="S147" s="811">
        <f t="shared" si="55"/>
        <v>-2</v>
      </c>
      <c r="T147" s="176">
        <f t="shared" si="56"/>
        <v>4</v>
      </c>
      <c r="U147" s="251">
        <f t="shared" si="57"/>
        <v>-1.907905850682855</v>
      </c>
      <c r="V147" s="383">
        <f t="shared" si="58"/>
        <v>57.498401095067713</v>
      </c>
      <c r="W147" s="402">
        <f t="shared" si="59"/>
        <v>40.492046471686315</v>
      </c>
      <c r="X147" s="157">
        <f t="shared" si="60"/>
        <v>45790</v>
      </c>
      <c r="Y147" s="385">
        <f t="shared" si="61"/>
        <v>38.445721734485986</v>
      </c>
      <c r="Z147" s="385">
        <f t="shared" si="62"/>
        <v>40.63718053299781</v>
      </c>
      <c r="AA147" s="386">
        <f t="shared" si="63"/>
        <v>44.406763508066064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8.4887586423260566E-2</v>
      </c>
      <c r="AD147" s="231">
        <f>(INDEX(Models!$BJ147:$BT147,,AH147)*(1-AF147)+INDEX(Models!$BJ147:$BT147,,AH147+1)*AF147-ERP_i)*AE147*Ramure*Pc/MaxiM</f>
        <v>2.6115536894311006E-4</v>
      </c>
      <c r="AE147" s="305">
        <f t="shared" si="65"/>
        <v>0.5</v>
      </c>
      <c r="AF147" s="177">
        <f t="shared" si="66"/>
        <v>0.61708171569112391</v>
      </c>
      <c r="AG147" s="811">
        <f t="shared" si="74"/>
        <v>1</v>
      </c>
      <c r="AH147" s="176">
        <f t="shared" si="67"/>
        <v>7</v>
      </c>
      <c r="AI147" s="225">
        <f t="shared" si="68"/>
        <v>1.6170817156911239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'2024'!Wh/'2024'!Env_an*'2025'!Env_an</f>
        <v>48.989991879966439</v>
      </c>
      <c r="C148" s="841"/>
      <c r="D148" s="393">
        <f t="shared" si="50"/>
        <v>51.783622713642451</v>
      </c>
      <c r="E148" s="385">
        <f t="shared" si="72"/>
        <v>53.740575814360433</v>
      </c>
      <c r="F148" s="385">
        <f t="shared" si="51"/>
        <v>53.740829885044441</v>
      </c>
      <c r="G148" s="110">
        <f t="shared" si="73"/>
        <v>0.85110258184635235</v>
      </c>
      <c r="H148" s="414" t="b">
        <f>Wh_hp&gt;='2024'!Maxi_hp</f>
        <v>0</v>
      </c>
      <c r="I148" s="390">
        <f>IF(H148,Wh_hp,'2024'!Maxi_hp)</f>
        <v>63.832836981428784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5.394815363004779E-2</v>
      </c>
      <c r="M148" s="845"/>
      <c r="N148" s="845"/>
      <c r="O148" s="48">
        <f>IF(t&lt;Tnet,'2024'!Resal+('2024'!Salim-'2024'!Resal)*(1-EXP(('2024'!Tnet-t)/('2024'!Tau_j))),Resal+(Salim-Resal)*(1-EXP((Tnet-t)/(Tau_j))))*Salcycl</f>
        <v>3.64148145244668E-2</v>
      </c>
      <c r="P148" s="169">
        <f>(INDEX(Models!$BJ148:$BT148,,T148)*(1-R148)+INDEX(Models!$BJ148:$BT148,,T148+1)*R148-ERP_i)*Q148*Ramure*Pc/MaxiM</f>
        <v>6.0050264652852094E-6</v>
      </c>
      <c r="Q148" s="305">
        <f t="shared" si="53"/>
        <v>0.5</v>
      </c>
      <c r="R148" s="177">
        <f t="shared" si="54"/>
        <v>9.5892440882747287E-2</v>
      </c>
      <c r="S148" s="811">
        <f t="shared" si="55"/>
        <v>-2</v>
      </c>
      <c r="T148" s="176">
        <f t="shared" si="56"/>
        <v>4</v>
      </c>
      <c r="U148" s="251">
        <f t="shared" si="57"/>
        <v>-1.9041075591172527</v>
      </c>
      <c r="V148" s="383">
        <f t="shared" si="58"/>
        <v>57.560545988861378</v>
      </c>
      <c r="W148" s="402">
        <f t="shared" si="59"/>
        <v>48.989991879966439</v>
      </c>
      <c r="X148" s="157">
        <f t="shared" si="60"/>
        <v>45791</v>
      </c>
      <c r="Y148" s="385">
        <f t="shared" si="61"/>
        <v>46.511484508264481</v>
      </c>
      <c r="Z148" s="385">
        <f t="shared" si="62"/>
        <v>49.163779645620217</v>
      </c>
      <c r="AA148" s="386">
        <f t="shared" si="63"/>
        <v>53.729034936642172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8.4968123778983731E-2</v>
      </c>
      <c r="AD148" s="231">
        <f>(INDEX(Models!$BJ148:$BT148,,AH148)*(1-AF148)+INDEX(Models!$BJ148:$BT148,,AH148+1)*AF148-ERP_i)*AE148*Ramure*Pc/MaxiM</f>
        <v>2.7877666244699385E-4</v>
      </c>
      <c r="AE148" s="305">
        <f t="shared" si="65"/>
        <v>0.5</v>
      </c>
      <c r="AF148" s="177">
        <f t="shared" si="66"/>
        <v>0.62088000725672621</v>
      </c>
      <c r="AG148" s="811">
        <f t="shared" si="74"/>
        <v>1</v>
      </c>
      <c r="AH148" s="176">
        <f t="shared" si="67"/>
        <v>7</v>
      </c>
      <c r="AI148" s="225">
        <f t="shared" si="68"/>
        <v>1.6208800072567262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'2024'!Wh/'2024'!Env_an*'2025'!Env_an</f>
        <v>51.829465621989421</v>
      </c>
      <c r="C149" s="841"/>
      <c r="D149" s="393">
        <f t="shared" si="50"/>
        <v>54.786216045182137</v>
      </c>
      <c r="E149" s="385">
        <f t="shared" si="72"/>
        <v>56.862148358420484</v>
      </c>
      <c r="F149" s="385">
        <f t="shared" si="51"/>
        <v>56.862464870983764</v>
      </c>
      <c r="G149" s="110">
        <f t="shared" si="73"/>
        <v>0.89952996951998443</v>
      </c>
      <c r="H149" s="414" t="b">
        <f>Wh_hp&gt;='2024'!Maxi_hp</f>
        <v>0</v>
      </c>
      <c r="I149" s="390">
        <f>IF(H149,Wh_hp,'2024'!Maxi_hp)</f>
        <v>64.337487236928794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5.3968874593461336E-2</v>
      </c>
      <c r="M149" s="845"/>
      <c r="N149" s="845"/>
      <c r="O149" s="48">
        <f>IF(t&lt;Tnet,'2024'!Resal+('2024'!Salim-'2024'!Resal)*(1-EXP(('2024'!Tnet-t)/('2024'!Tau_j))),Resal+(Salim-Resal)*(1-EXP((Tnet-t)/(Tau_j))))*Salcycl</f>
        <v>3.6508158294566641E-2</v>
      </c>
      <c r="P149" s="169">
        <f>(INDEX(Models!$BJ149:$BT149,,T149)*(1-R149)+INDEX(Models!$BJ149:$BT149,,T149+1)*R149-ERP_i)*Q149*Ramure*Pc/MaxiM</f>
        <v>6.4990788501831246E-6</v>
      </c>
      <c r="Q149" s="305">
        <f t="shared" si="53"/>
        <v>0.5</v>
      </c>
      <c r="R149" s="177">
        <f t="shared" si="54"/>
        <v>9.9770232597786945E-2</v>
      </c>
      <c r="S149" s="811">
        <f t="shared" si="55"/>
        <v>-2</v>
      </c>
      <c r="T149" s="176">
        <f t="shared" si="56"/>
        <v>4</v>
      </c>
      <c r="U149" s="251">
        <f t="shared" si="57"/>
        <v>-1.9002297674022131</v>
      </c>
      <c r="V149" s="383">
        <f t="shared" si="58"/>
        <v>57.618332942325445</v>
      </c>
      <c r="W149" s="402">
        <f t="shared" si="59"/>
        <v>51.829465621989421</v>
      </c>
      <c r="X149" s="157">
        <f t="shared" si="60"/>
        <v>45792</v>
      </c>
      <c r="Y149" s="385">
        <f t="shared" si="61"/>
        <v>49.206030273127382</v>
      </c>
      <c r="Z149" s="385">
        <f t="shared" si="62"/>
        <v>52.013119813560088</v>
      </c>
      <c r="AA149" s="386">
        <f t="shared" si="63"/>
        <v>56.848005754332604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8.504935004521294E-2</v>
      </c>
      <c r="AD149" s="231">
        <f>(INDEX(Models!$BJ149:$BT149,,AH149)*(1-AF149)+INDEX(Models!$BJ149:$BT149,,AH149+1)*AF149-ERP_i)*AE149*Ramure*Pc/MaxiM</f>
        <v>2.968948159447803E-4</v>
      </c>
      <c r="AE149" s="305">
        <f t="shared" si="65"/>
        <v>0.5</v>
      </c>
      <c r="AF149" s="177">
        <f t="shared" si="66"/>
        <v>0.62475779897176587</v>
      </c>
      <c r="AG149" s="811">
        <f t="shared" si="74"/>
        <v>1</v>
      </c>
      <c r="AH149" s="176">
        <f t="shared" si="67"/>
        <v>7</v>
      </c>
      <c r="AI149" s="225">
        <f t="shared" si="68"/>
        <v>1.6247577989717659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'2024'!Wh/'2024'!Env_an*'2025'!Env_an</f>
        <v>49.404372182379731</v>
      </c>
      <c r="C150" s="841"/>
      <c r="D150" s="393">
        <f t="shared" si="50"/>
        <v>52.2239205051455</v>
      </c>
      <c r="E150" s="385">
        <f t="shared" si="72"/>
        <v>54.20803204073254</v>
      </c>
      <c r="F150" s="385">
        <f t="shared" si="51"/>
        <v>54.208332343406248</v>
      </c>
      <c r="G150" s="110">
        <f t="shared" si="73"/>
        <v>0.85665373950819013</v>
      </c>
      <c r="H150" s="414" t="b">
        <f>Wh_hp&gt;='2024'!Maxi_hp</f>
        <v>0</v>
      </c>
      <c r="I150" s="390">
        <f>IF(H150,Wh_hp,'2024'!Maxi_hp)</f>
        <v>55.759884023555387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5.3989595103032695E-2</v>
      </c>
      <c r="M150" s="845"/>
      <c r="N150" s="845"/>
      <c r="O150" s="48">
        <f>IF(t&lt;Tnet,'2024'!Resal+('2024'!Salim-'2024'!Resal)*(1-EXP(('2024'!Tnet-t)/('2024'!Tau_j))),Resal+(Salim-Resal)*(1-EXP((Tnet-t)/(Tau_j))))*Salcycl</f>
        <v>3.6601799786720894E-2</v>
      </c>
      <c r="P150" s="169">
        <f>(INDEX(Models!$BJ150:$BT150,,T150)*(1-R150)+INDEX(Models!$BJ150:$BT150,,T150+1)*R150-ERP_i)*Q150*Ramure*Pc/MaxiM</f>
        <v>6.9663470698165915E-6</v>
      </c>
      <c r="Q150" s="305">
        <f t="shared" si="53"/>
        <v>0.5</v>
      </c>
      <c r="R150" s="177">
        <f t="shared" si="54"/>
        <v>0.10372667005891301</v>
      </c>
      <c r="S150" s="811">
        <f t="shared" si="55"/>
        <v>-2</v>
      </c>
      <c r="T150" s="176">
        <f t="shared" si="56"/>
        <v>4</v>
      </c>
      <c r="U150" s="251">
        <f t="shared" si="57"/>
        <v>-1.896273329941087</v>
      </c>
      <c r="V150" s="383">
        <f t="shared" si="58"/>
        <v>57.671261357128529</v>
      </c>
      <c r="W150" s="402">
        <f t="shared" si="59"/>
        <v>49.404372182379731</v>
      </c>
      <c r="X150" s="157">
        <f t="shared" si="60"/>
        <v>45793</v>
      </c>
      <c r="Y150" s="385">
        <f t="shared" si="61"/>
        <v>46.904271876961303</v>
      </c>
      <c r="Z150" s="385">
        <f t="shared" si="62"/>
        <v>49.581137410502137</v>
      </c>
      <c r="AA150" s="386">
        <f t="shared" si="63"/>
        <v>54.194807047107204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8.513121252733255E-2</v>
      </c>
      <c r="AD150" s="231">
        <f>(INDEX(Models!$BJ150:$BT150,,AH150)*(1-AF150)+INDEX(Models!$BJ150:$BT150,,AH150+1)*AF150-ERP_i)*AE150*Ramure*Pc/MaxiM</f>
        <v>3.1375647469034681E-4</v>
      </c>
      <c r="AE150" s="305">
        <f t="shared" si="65"/>
        <v>0.5</v>
      </c>
      <c r="AF150" s="177">
        <f t="shared" si="66"/>
        <v>0.62871423643289193</v>
      </c>
      <c r="AG150" s="811">
        <f t="shared" si="74"/>
        <v>1</v>
      </c>
      <c r="AH150" s="176">
        <f t="shared" si="67"/>
        <v>7</v>
      </c>
      <c r="AI150" s="225">
        <f t="shared" si="68"/>
        <v>1.6287142364328919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'2024'!Wh/'2024'!Env_an*'2025'!Env_an</f>
        <v>52.609768205272026</v>
      </c>
      <c r="C151" s="841"/>
      <c r="D151" s="393">
        <f t="shared" si="50"/>
        <v>55.613469204055718</v>
      </c>
      <c r="E151" s="385">
        <f t="shared" si="72"/>
        <v>57.731985783819958</v>
      </c>
      <c r="F151" s="385">
        <f t="shared" si="51"/>
        <v>57.732358527574505</v>
      </c>
      <c r="G151" s="110">
        <f t="shared" si="73"/>
        <v>0.91147170222683815</v>
      </c>
      <c r="H151" s="414" t="b">
        <f>Wh_hp&gt;='2024'!Maxi_hp</f>
        <v>0</v>
      </c>
      <c r="I151" s="390">
        <f>IF(H151,Wh_hp,'2024'!Maxi_hp)</f>
        <v>59.143869986274652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5.4010315158771638E-2</v>
      </c>
      <c r="M151" s="845"/>
      <c r="N151" s="845"/>
      <c r="O151" s="48">
        <f>IF(t&lt;Tnet,'2024'!Resal+('2024'!Salim-'2024'!Resal)*(1-EXP(('2024'!Tnet-t)/('2024'!Tau_j))),Resal+(Salim-Resal)*(1-EXP((Tnet-t)/(Tau_j))))*Salcycl</f>
        <v>3.6695716438667488E-2</v>
      </c>
      <c r="P151" s="169">
        <f>(INDEX(Models!$BJ151:$BT151,,T151)*(1-R151)+INDEX(Models!$BJ151:$BT151,,T151+1)*R151-ERP_i)*Q151*Ramure*Pc/MaxiM</f>
        <v>7.3911522234168754E-6</v>
      </c>
      <c r="Q151" s="305">
        <f t="shared" si="53"/>
        <v>0.5</v>
      </c>
      <c r="R151" s="177">
        <f t="shared" si="54"/>
        <v>0.10776072841888684</v>
      </c>
      <c r="S151" s="811">
        <f t="shared" si="55"/>
        <v>-2</v>
      </c>
      <c r="T151" s="176">
        <f t="shared" si="56"/>
        <v>4</v>
      </c>
      <c r="U151" s="251">
        <f t="shared" si="57"/>
        <v>-1.8922392715811132</v>
      </c>
      <c r="V151" s="383">
        <f t="shared" si="58"/>
        <v>57.71953084207702</v>
      </c>
      <c r="W151" s="402">
        <f t="shared" si="59"/>
        <v>52.609768205272026</v>
      </c>
      <c r="X151" s="157">
        <f t="shared" si="60"/>
        <v>45794</v>
      </c>
      <c r="Y151" s="385">
        <f t="shared" si="61"/>
        <v>49.945990830656406</v>
      </c>
      <c r="Z151" s="385">
        <f t="shared" si="62"/>
        <v>52.797606180070737</v>
      </c>
      <c r="AA151" s="386">
        <f t="shared" si="63"/>
        <v>57.715778689547456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8.5213655973204711E-2</v>
      </c>
      <c r="AD151" s="231">
        <f>(INDEX(Models!$BJ151:$BT151,,AH151)*(1-AF151)+INDEX(Models!$BJ151:$BT151,,AH151+1)*AF151-ERP_i)*AE151*Ramure*Pc/MaxiM</f>
        <v>3.287623339161788E-4</v>
      </c>
      <c r="AE151" s="305">
        <f t="shared" si="65"/>
        <v>0.5</v>
      </c>
      <c r="AF151" s="177">
        <f t="shared" si="66"/>
        <v>0.63274829479286576</v>
      </c>
      <c r="AG151" s="811">
        <f t="shared" si="74"/>
        <v>1</v>
      </c>
      <c r="AH151" s="176">
        <f t="shared" si="67"/>
        <v>7</v>
      </c>
      <c r="AI151" s="225">
        <f t="shared" si="68"/>
        <v>1.6327482947928658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'2024'!Wh/'2024'!Env_an*'2025'!Env_an</f>
        <v>50.608980953596408</v>
      </c>
      <c r="C152" s="841"/>
      <c r="D152" s="393">
        <f t="shared" si="50"/>
        <v>53.499620826137054</v>
      </c>
      <c r="E152" s="385">
        <f t="shared" si="72"/>
        <v>55.54304295986072</v>
      </c>
      <c r="F152" s="385">
        <f t="shared" si="51"/>
        <v>55.54339795946013</v>
      </c>
      <c r="G152" s="110">
        <f t="shared" si="73"/>
        <v>0.87614239280394557</v>
      </c>
      <c r="H152" s="414" t="b">
        <f>Wh_hp&gt;='2024'!Maxi_hp</f>
        <v>0</v>
      </c>
      <c r="I152" s="390">
        <f>IF(H152,Wh_hp,'2024'!Maxi_hp)</f>
        <v>63.972000087795209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5.4031034760688157E-2</v>
      </c>
      <c r="M152" s="845"/>
      <c r="N152" s="845"/>
      <c r="O152" s="48">
        <f>IF(t&lt;Tnet,'2024'!Resal+('2024'!Salim-'2024'!Resal)*(1-EXP(('2024'!Tnet-t)/('2024'!Tau_j))),Resal+(Salim-Resal)*(1-EXP((Tnet-t)/(Tau_j))))*Salcycl</f>
        <v>3.6789884472127034E-2</v>
      </c>
      <c r="P152" s="169">
        <f>(INDEX(Models!$BJ152:$BT152,,T152)*(1-R152)+INDEX(Models!$BJ152:$BT152,,T152+1)*R152-ERP_i)*Q152*Ramure*Pc/MaxiM</f>
        <v>7.7653801041985869E-6</v>
      </c>
      <c r="Q152" s="305">
        <f t="shared" si="53"/>
        <v>0.5</v>
      </c>
      <c r="R152" s="177">
        <f t="shared" si="54"/>
        <v>0.11187120864284394</v>
      </c>
      <c r="S152" s="811">
        <f t="shared" si="55"/>
        <v>-2</v>
      </c>
      <c r="T152" s="176">
        <f t="shared" si="56"/>
        <v>4</v>
      </c>
      <c r="U152" s="251">
        <f t="shared" si="57"/>
        <v>-1.8881287913571561</v>
      </c>
      <c r="V152" s="383">
        <f t="shared" si="58"/>
        <v>57.763340562738456</v>
      </c>
      <c r="W152" s="402">
        <f t="shared" si="59"/>
        <v>50.608980953596408</v>
      </c>
      <c r="X152" s="157">
        <f t="shared" si="60"/>
        <v>45795</v>
      </c>
      <c r="Y152" s="385">
        <f t="shared" si="61"/>
        <v>48.047123634415236</v>
      </c>
      <c r="Z152" s="385">
        <f t="shared" si="62"/>
        <v>50.791437562922845</v>
      </c>
      <c r="AA152" s="386">
        <f t="shared" si="63"/>
        <v>55.527768697256533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8.5296622671022213E-2</v>
      </c>
      <c r="AD152" s="231">
        <f>(INDEX(Models!$BJ152:$BT152,,AH152)*(1-AF152)+INDEX(Models!$BJ152:$BT152,,AH152+1)*AF152-ERP_i)*AE152*Ramure*Pc/MaxiM</f>
        <v>3.4187971468613103E-4</v>
      </c>
      <c r="AE152" s="305">
        <f t="shared" si="65"/>
        <v>0.5</v>
      </c>
      <c r="AF152" s="177">
        <f t="shared" si="66"/>
        <v>0.63685877501682286</v>
      </c>
      <c r="AG152" s="811">
        <f t="shared" si="74"/>
        <v>1</v>
      </c>
      <c r="AH152" s="176">
        <f t="shared" si="67"/>
        <v>7</v>
      </c>
      <c r="AI152" s="225">
        <f t="shared" si="68"/>
        <v>1.6368587750168229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'2024'!Wh/'2024'!Env_an*'2025'!Env_an</f>
        <v>53.415210151777735</v>
      </c>
      <c r="C153" s="841"/>
      <c r="D153" s="393">
        <f t="shared" si="50"/>
        <v>56.467370569687034</v>
      </c>
      <c r="E153" s="385">
        <f t="shared" si="72"/>
        <v>58.629891854729792</v>
      </c>
      <c r="F153" s="385">
        <f t="shared" si="51"/>
        <v>58.630314236614538</v>
      </c>
      <c r="G153" s="110">
        <f t="shared" si="73"/>
        <v>0.92409157427159638</v>
      </c>
      <c r="H153" s="414" t="b">
        <f>Wh_hp&gt;='2024'!Maxi_hp</f>
        <v>0</v>
      </c>
      <c r="I153" s="390">
        <f>IF(H153,Wh_hp,'2024'!Maxi_hp)</f>
        <v>63.050548226982031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5.4051753908792244E-2</v>
      </c>
      <c r="M153" s="845"/>
      <c r="N153" s="845"/>
      <c r="O153" s="48">
        <f>IF(t&lt;Tnet,'2024'!Resal+('2024'!Salim-'2024'!Resal)*(1-EXP(('2024'!Tnet-t)/('2024'!Tau_j))),Resal+(Salim-Resal)*(1-EXP((Tnet-t)/(Tau_j))))*Salcycl</f>
        <v>3.6884278934045236E-2</v>
      </c>
      <c r="P153" s="169">
        <f>(INDEX(Models!$BJ153:$BT153,,T153)*(1-R153)+INDEX(Models!$BJ153:$BT153,,T153+1)*R153-ERP_i)*Q153*Ramure*Pc/MaxiM</f>
        <v>8.0803880769946125E-6</v>
      </c>
      <c r="Q153" s="305">
        <f t="shared" si="53"/>
        <v>0.5</v>
      </c>
      <c r="R153" s="177">
        <f t="shared" si="54"/>
        <v>0.11605673441014042</v>
      </c>
      <c r="S153" s="811">
        <f t="shared" si="55"/>
        <v>-2</v>
      </c>
      <c r="T153" s="176">
        <f t="shared" si="56"/>
        <v>4</v>
      </c>
      <c r="U153" s="251">
        <f t="shared" si="57"/>
        <v>-1.8839432655898596</v>
      </c>
      <c r="V153" s="383">
        <f t="shared" si="58"/>
        <v>57.802889707529829</v>
      </c>
      <c r="W153" s="402">
        <f t="shared" si="59"/>
        <v>53.415210151777735</v>
      </c>
      <c r="X153" s="157">
        <f t="shared" si="60"/>
        <v>45796</v>
      </c>
      <c r="Y153" s="385">
        <f t="shared" si="61"/>
        <v>50.709991222511221</v>
      </c>
      <c r="Z153" s="385">
        <f t="shared" si="62"/>
        <v>53.607574655433943</v>
      </c>
      <c r="AA153" s="386">
        <f t="shared" si="63"/>
        <v>58.611858188366881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8.5380052562915879E-2</v>
      </c>
      <c r="AD153" s="231">
        <f>(INDEX(Models!$BJ153:$BT153,,AH153)*(1-AF153)+INDEX(Models!$BJ153:$BT153,,AH153+1)*AF153-ERP_i)*AE153*Ramure*Pc/MaxiM</f>
        <v>3.5307393047781879E-4</v>
      </c>
      <c r="AE153" s="305">
        <f t="shared" si="65"/>
        <v>0.5</v>
      </c>
      <c r="AF153" s="177">
        <f t="shared" si="66"/>
        <v>0.64104430078411934</v>
      </c>
      <c r="AG153" s="811">
        <f t="shared" si="74"/>
        <v>1</v>
      </c>
      <c r="AH153" s="176">
        <f t="shared" si="67"/>
        <v>7</v>
      </c>
      <c r="AI153" s="225">
        <f t="shared" si="68"/>
        <v>1.6410443007841193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'2024'!Wh/'2024'!Env_an*'2025'!Env_an</f>
        <v>48.391943177622181</v>
      </c>
      <c r="C154" s="841"/>
      <c r="D154" s="393">
        <f t="shared" si="50"/>
        <v>51.158193176586956</v>
      </c>
      <c r="E154" s="385">
        <f t="shared" si="72"/>
        <v>53.122607367441368</v>
      </c>
      <c r="F154" s="385">
        <f t="shared" si="51"/>
        <v>53.122946511645374</v>
      </c>
      <c r="G154" s="110">
        <f t="shared" si="73"/>
        <v>0.83667369780119083</v>
      </c>
      <c r="H154" s="414" t="b">
        <f>Wh_hp&gt;='2024'!Maxi_hp</f>
        <v>0</v>
      </c>
      <c r="I154" s="390">
        <f>IF(H154,Wh_hp,'2024'!Maxi_hp)</f>
        <v>62.803447200223168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5.407247260309378E-2</v>
      </c>
      <c r="M154" s="845"/>
      <c r="N154" s="845"/>
      <c r="O154" s="48">
        <f>IF(t&lt;Tnet,'2024'!Resal+('2024'!Salim-'2024'!Resal)*(1-EXP(('2024'!Tnet-t)/('2024'!Tau_j))),Resal+(Salim-Resal)*(1-EXP((Tnet-t)/(Tau_j))))*Salcycl</f>
        <v>3.6978873745161706E-2</v>
      </c>
      <c r="P154" s="169">
        <f>(INDEX(Models!$BJ154:$BT154,,T154)*(1-R154)+INDEX(Models!$BJ154:$BT154,,T154+1)*R154-ERP_i)*Q154*Ramure*Pc/MaxiM</f>
        <v>8.327001773752408E-6</v>
      </c>
      <c r="Q154" s="305">
        <f t="shared" si="53"/>
        <v>0.5</v>
      </c>
      <c r="R154" s="177">
        <f t="shared" si="54"/>
        <v>0.12031574971780112</v>
      </c>
      <c r="S154" s="811">
        <f t="shared" si="55"/>
        <v>-2</v>
      </c>
      <c r="T154" s="176">
        <f t="shared" si="56"/>
        <v>4</v>
      </c>
      <c r="U154" s="251">
        <f t="shared" si="57"/>
        <v>-1.8796842502821989</v>
      </c>
      <c r="V154" s="383">
        <f t="shared" si="58"/>
        <v>57.838377476462121</v>
      </c>
      <c r="W154" s="402">
        <f t="shared" si="59"/>
        <v>48.391943177622181</v>
      </c>
      <c r="X154" s="157">
        <f t="shared" si="60"/>
        <v>45797</v>
      </c>
      <c r="Y154" s="385">
        <f t="shared" si="61"/>
        <v>45.943092850397193</v>
      </c>
      <c r="Z154" s="385">
        <f t="shared" si="62"/>
        <v>48.569358137644841</v>
      </c>
      <c r="AA154" s="386">
        <f t="shared" si="63"/>
        <v>53.108190321503891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8.5463883374336039E-2</v>
      </c>
      <c r="AD154" s="231">
        <f>(INDEX(Models!$BJ154:$BT154,,AH154)*(1-AF154)+INDEX(Models!$BJ154:$BT154,,AH154+1)*AF154-ERP_i)*AE154*Ramure*Pc/MaxiM</f>
        <v>3.6230848126045254E-4</v>
      </c>
      <c r="AE154" s="305">
        <f t="shared" si="65"/>
        <v>0.5</v>
      </c>
      <c r="AF154" s="177">
        <f t="shared" si="66"/>
        <v>0.64530331609178004</v>
      </c>
      <c r="AG154" s="811">
        <f t="shared" si="74"/>
        <v>1</v>
      </c>
      <c r="AH154" s="176">
        <f t="shared" si="67"/>
        <v>7</v>
      </c>
      <c r="AI154" s="225">
        <f t="shared" si="68"/>
        <v>1.64530331609178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'2024'!Wh/'2024'!Env_an*'2025'!Env_an</f>
        <v>48.310411738631501</v>
      </c>
      <c r="C155" s="841"/>
      <c r="D155" s="393">
        <f t="shared" si="50"/>
        <v>51.073119752374893</v>
      </c>
      <c r="E155" s="385">
        <f t="shared" si="72"/>
        <v>53.039486680485481</v>
      </c>
      <c r="F155" s="385">
        <f t="shared" si="51"/>
        <v>53.03983094534636</v>
      </c>
      <c r="G155" s="110">
        <f t="shared" si="73"/>
        <v>0.83480753950274533</v>
      </c>
      <c r="H155" s="414" t="b">
        <f>Wh_hp&gt;='2024'!Maxi_hp</f>
        <v>0</v>
      </c>
      <c r="I155" s="390">
        <f>IF(H155,Wh_hp,'2024'!Maxi_hp)</f>
        <v>61.178268574854386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5.4093190843602756E-2</v>
      </c>
      <c r="M155" s="845"/>
      <c r="N155" s="845"/>
      <c r="O155" s="48">
        <f>IF(t&lt;Tnet,'2024'!Resal+('2024'!Salim-'2024'!Resal)*(1-EXP(('2024'!Tnet-t)/('2024'!Tau_j))),Resal+(Salim-Resal)*(1-EXP((Tnet-t)/(Tau_j))))*Salcycl</f>
        <v>3.7073641755927214E-2</v>
      </c>
      <c r="P155" s="169">
        <f>(INDEX(Models!$BJ155:$BT155,,T155)*(1-R155)+INDEX(Models!$BJ155:$BT155,,T155+1)*R155-ERP_i)*Q155*Ramure*Pc/MaxiM</f>
        <v>8.4955152755205778E-6</v>
      </c>
      <c r="Q155" s="305">
        <f t="shared" si="53"/>
        <v>0.5</v>
      </c>
      <c r="R155" s="177">
        <f t="shared" si="54"/>
        <v>0.12464651723874409</v>
      </c>
      <c r="S155" s="811">
        <f t="shared" si="55"/>
        <v>-2</v>
      </c>
      <c r="T155" s="176">
        <f t="shared" si="56"/>
        <v>4</v>
      </c>
      <c r="U155" s="251">
        <f t="shared" si="57"/>
        <v>-1.8753534827612559</v>
      </c>
      <c r="V155" s="383">
        <f t="shared" si="58"/>
        <v>57.870003081939529</v>
      </c>
      <c r="W155" s="402">
        <f t="shared" si="59"/>
        <v>48.310411738631501</v>
      </c>
      <c r="X155" s="157">
        <f t="shared" si="60"/>
        <v>45798</v>
      </c>
      <c r="Y155" s="385">
        <f t="shared" si="61"/>
        <v>45.865775188296929</v>
      </c>
      <c r="Z155" s="385">
        <f t="shared" si="62"/>
        <v>48.4886827585078</v>
      </c>
      <c r="AA155" s="386">
        <f t="shared" si="63"/>
        <v>53.024855815287545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8.5548050759091901E-2</v>
      </c>
      <c r="AD155" s="231">
        <f>(INDEX(Models!$BJ155:$BT155,,AH155)*(1-AF155)+INDEX(Models!$BJ155:$BT155,,AH155+1)*AF155-ERP_i)*AE155*Ramure*Pc/MaxiM</f>
        <v>3.6954525606785397E-4</v>
      </c>
      <c r="AE155" s="305">
        <f t="shared" si="65"/>
        <v>0.5</v>
      </c>
      <c r="AF155" s="177">
        <f t="shared" si="66"/>
        <v>0.64963408361272279</v>
      </c>
      <c r="AG155" s="811">
        <f t="shared" si="74"/>
        <v>1</v>
      </c>
      <c r="AH155" s="176">
        <f t="shared" si="67"/>
        <v>7</v>
      </c>
      <c r="AI155" s="225">
        <f t="shared" si="68"/>
        <v>1.6496340836127228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'2024'!Wh/'2024'!Env_an*'2025'!Env_an</f>
        <v>36.562947479523196</v>
      </c>
      <c r="C156" s="841"/>
      <c r="D156" s="393">
        <f t="shared" si="50"/>
        <v>38.654704634232409</v>
      </c>
      <c r="E156" s="385">
        <f t="shared" si="72"/>
        <v>40.146907153197162</v>
      </c>
      <c r="F156" s="385">
        <f t="shared" si="51"/>
        <v>40.147070495091789</v>
      </c>
      <c r="G156" s="110">
        <f t="shared" si="73"/>
        <v>0.63150375350987231</v>
      </c>
      <c r="H156" s="414" t="b">
        <f>Wh_hp&gt;='2024'!Maxi_hp</f>
        <v>0</v>
      </c>
      <c r="I156" s="390">
        <f>IF(H156,Wh_hp,'2024'!Maxi_hp)</f>
        <v>62.875998222350205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5.4113908630329166E-2</v>
      </c>
      <c r="M156" s="845"/>
      <c r="N156" s="845"/>
      <c r="O156" s="48">
        <f>IF(t&lt;Tnet,'2024'!Resal+('2024'!Salim-'2024'!Resal)*(1-EXP(('2024'!Tnet-t)/('2024'!Tau_j))),Resal+(Salim-Resal)*(1-EXP((Tnet-t)/(Tau_j))))*Salcycl</f>
        <v>3.7168554809730123E-2</v>
      </c>
      <c r="P156" s="169">
        <f>(INDEX(Models!$BJ156:$BT156,,T156)*(1-R156)+INDEX(Models!$BJ156:$BT156,,T156+1)*R156-ERP_i)*Q156*Ramure*Pc/MaxiM</f>
        <v>8.5911158685994928E-6</v>
      </c>
      <c r="Q156" s="305">
        <f t="shared" si="53"/>
        <v>0.5</v>
      </c>
      <c r="R156" s="177">
        <f t="shared" si="54"/>
        <v>0.12904711748429953</v>
      </c>
      <c r="S156" s="811">
        <f t="shared" si="55"/>
        <v>-2</v>
      </c>
      <c r="T156" s="176">
        <f t="shared" si="56"/>
        <v>4</v>
      </c>
      <c r="U156" s="251">
        <f t="shared" si="57"/>
        <v>-1.8709528825157005</v>
      </c>
      <c r="V156" s="383">
        <f t="shared" si="58"/>
        <v>57.897964847701886</v>
      </c>
      <c r="W156" s="402">
        <f t="shared" si="59"/>
        <v>36.562947479523196</v>
      </c>
      <c r="X156" s="157">
        <f t="shared" si="60"/>
        <v>45799</v>
      </c>
      <c r="Y156" s="385">
        <f t="shared" si="61"/>
        <v>34.716548653371042</v>
      </c>
      <c r="Z156" s="385">
        <f t="shared" si="62"/>
        <v>36.702673789293655</v>
      </c>
      <c r="AA156" s="386">
        <f t="shared" si="63"/>
        <v>40.139958305681475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8.5632488459792544E-2</v>
      </c>
      <c r="AD156" s="231">
        <f>(INDEX(Models!$BJ156:$BT156,,AH156)*(1-AF156)+INDEX(Models!$BJ156:$BT156,,AH156+1)*AF156-ERP_i)*AE156*Ramure*Pc/MaxiM</f>
        <v>3.7407208630953252E-4</v>
      </c>
      <c r="AE156" s="305">
        <f t="shared" si="65"/>
        <v>0.5</v>
      </c>
      <c r="AF156" s="177">
        <f t="shared" si="66"/>
        <v>0.65403468385827845</v>
      </c>
      <c r="AG156" s="811">
        <f t="shared" si="74"/>
        <v>1</v>
      </c>
      <c r="AH156" s="176">
        <f t="shared" si="67"/>
        <v>7</v>
      </c>
      <c r="AI156" s="225">
        <f t="shared" si="68"/>
        <v>1.6540346838582785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'2024'!Wh/'2024'!Env_an*'2025'!Env_an</f>
        <v>19.062326040454273</v>
      </c>
      <c r="C157" s="841"/>
      <c r="D157" s="393">
        <f t="shared" si="50"/>
        <v>20.153318393611372</v>
      </c>
      <c r="E157" s="385">
        <f t="shared" si="72"/>
        <v>20.933370811335053</v>
      </c>
      <c r="F157" s="385">
        <f t="shared" si="51"/>
        <v>20.933378331965994</v>
      </c>
      <c r="G157" s="110">
        <f t="shared" si="73"/>
        <v>0.3290980431512317</v>
      </c>
      <c r="H157" s="414" t="b">
        <f>Wh_hp&gt;='2024'!Maxi_hp</f>
        <v>0</v>
      </c>
      <c r="I157" s="390">
        <f>IF(H157,Wh_hp,'2024'!Maxi_hp)</f>
        <v>58.76828057791041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5.4134625963282779E-2</v>
      </c>
      <c r="M157" s="845"/>
      <c r="N157" s="845"/>
      <c r="O157" s="48">
        <f>IF(t&lt;Tnet,'2024'!Resal+('2024'!Salim-'2024'!Resal)*(1-EXP(('2024'!Tnet-t)/('2024'!Tau_j))),Resal+(Salim-Resal)*(1-EXP((Tnet-t)/(Tau_j))))*Salcycl</f>
        <v>3.7263583813329081E-2</v>
      </c>
      <c r="P157" s="169">
        <f>(INDEX(Models!$BJ157:$BT157,,T157)*(1-R157)+INDEX(Models!$BJ157:$BT157,,T157+1)*R157-ERP_i)*Q157*Ramure*Pc/MaxiM</f>
        <v>8.6418859286339821E-6</v>
      </c>
      <c r="Q157" s="305">
        <f t="shared" si="53"/>
        <v>0.5</v>
      </c>
      <c r="R157" s="177">
        <f t="shared" si="54"/>
        <v>0.13351544881607191</v>
      </c>
      <c r="S157" s="811">
        <f t="shared" si="55"/>
        <v>-2</v>
      </c>
      <c r="T157" s="176">
        <f t="shared" si="56"/>
        <v>4</v>
      </c>
      <c r="U157" s="251">
        <f t="shared" si="57"/>
        <v>-1.8664845511839281</v>
      </c>
      <c r="V157" s="383">
        <f t="shared" si="58"/>
        <v>57.922459738291224</v>
      </c>
      <c r="W157" s="402">
        <f t="shared" si="59"/>
        <v>19.062326040454273</v>
      </c>
      <c r="X157" s="157">
        <f t="shared" si="60"/>
        <v>45800</v>
      </c>
      <c r="Y157" s="385">
        <f t="shared" si="61"/>
        <v>18.102661954175122</v>
      </c>
      <c r="Z157" s="385">
        <f t="shared" si="62"/>
        <v>19.138729940940202</v>
      </c>
      <c r="AA157" s="386">
        <f t="shared" si="63"/>
        <v>20.93305095959073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8.5717128483291577E-2</v>
      </c>
      <c r="AD157" s="231">
        <f>(INDEX(Models!$BJ157:$BT157,,AH157)*(1-AF157)+INDEX(Models!$BJ157:$BT157,,AH157+1)*AF157-ERP_i)*AE157*Ramure*Pc/MaxiM</f>
        <v>3.7618050211504609E-4</v>
      </c>
      <c r="AE157" s="305">
        <f t="shared" si="65"/>
        <v>0.5</v>
      </c>
      <c r="AF157" s="177">
        <f t="shared" si="66"/>
        <v>0.65850301519005083</v>
      </c>
      <c r="AG157" s="811">
        <f t="shared" si="74"/>
        <v>1</v>
      </c>
      <c r="AH157" s="176">
        <f t="shared" si="67"/>
        <v>7</v>
      </c>
      <c r="AI157" s="225">
        <f t="shared" si="68"/>
        <v>1.6585030151900508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'2024'!Wh/'2024'!Env_an*'2025'!Env_an</f>
        <v>16.528007537453668</v>
      </c>
      <c r="C158" s="841"/>
      <c r="D158" s="393">
        <f t="shared" si="50"/>
        <v>17.474336205613309</v>
      </c>
      <c r="E158" s="385">
        <f t="shared" si="72"/>
        <v>18.152489597205456</v>
      </c>
      <c r="F158" s="385">
        <f t="shared" si="51"/>
        <v>18.152489597205456</v>
      </c>
      <c r="G158" s="110">
        <f t="shared" si="73"/>
        <v>0.28524012985384717</v>
      </c>
      <c r="H158" s="414" t="b">
        <f>Wh_hp&gt;='2024'!Maxi_hp</f>
        <v>0</v>
      </c>
      <c r="I158" s="390">
        <f>IF(H158,Wh_hp,'2024'!Maxi_hp)</f>
        <v>30.554357090064354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5.4155342842473697E-2</v>
      </c>
      <c r="M158" s="845"/>
      <c r="N158" s="845"/>
      <c r="O158" s="48">
        <f>IF(t&lt;Tnet,'2024'!Resal+('2024'!Salim-'2024'!Resal)*(1-EXP(('2024'!Tnet-t)/('2024'!Tau_j))),Resal+(Salim-Resal)*(1-EXP((Tnet-t)/(Tau_j))))*Salcycl</f>
        <v>3.7358698814323868E-2</v>
      </c>
      <c r="P158" s="169">
        <f>(INDEX(Models!$BJ158:$BT158,,T158)*(1-R158)+INDEX(Models!$BJ158:$BT158,,T158+1)*R158-ERP_i)*Q158*Ramure*Pc/MaxiM</f>
        <v>8.642891375059474E-6</v>
      </c>
      <c r="Q158" s="305">
        <f t="shared" si="53"/>
        <v>0.5</v>
      </c>
      <c r="R158" s="177">
        <f t="shared" si="54"/>
        <v>0.13804922834690148</v>
      </c>
      <c r="S158" s="811">
        <f t="shared" si="55"/>
        <v>-2</v>
      </c>
      <c r="T158" s="176">
        <f t="shared" si="56"/>
        <v>4</v>
      </c>
      <c r="U158" s="251">
        <f t="shared" si="57"/>
        <v>-1.8619507716530985</v>
      </c>
      <c r="V158" s="383">
        <f t="shared" si="58"/>
        <v>57.943686591884919</v>
      </c>
      <c r="W158" s="402">
        <f t="shared" si="59"/>
        <v>16.528007537453668</v>
      </c>
      <c r="X158" s="157">
        <f t="shared" si="60"/>
        <v>45801</v>
      </c>
      <c r="Y158" s="385">
        <f t="shared" si="61"/>
        <v>15.69626510683074</v>
      </c>
      <c r="Z158" s="385">
        <f t="shared" si="62"/>
        <v>16.594971476607491</v>
      </c>
      <c r="AA158" s="386">
        <f t="shared" si="63"/>
        <v>18.152489597205456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8.5801901290594423E-2</v>
      </c>
      <c r="AD158" s="231">
        <f>(INDEX(Models!$BJ158:$BT158,,AH158)*(1-AF158)+INDEX(Models!$BJ158:$BT158,,AH158+1)*AF158-ERP_i)*AE158*Ramure*Pc/MaxiM</f>
        <v>3.7579800702810265E-4</v>
      </c>
      <c r="AE158" s="305">
        <f t="shared" si="65"/>
        <v>0.5</v>
      </c>
      <c r="AF158" s="177">
        <f t="shared" si="66"/>
        <v>0.6630367947208804</v>
      </c>
      <c r="AG158" s="811">
        <f t="shared" si="74"/>
        <v>1</v>
      </c>
      <c r="AH158" s="176">
        <f t="shared" si="67"/>
        <v>7</v>
      </c>
      <c r="AI158" s="225">
        <f t="shared" si="68"/>
        <v>1.6630367947208804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'2024'!Wh/'2024'!Env_an*'2025'!Env_an</f>
        <v>38.765296367435255</v>
      </c>
      <c r="C159" s="841"/>
      <c r="D159" s="393">
        <f t="shared" si="50"/>
        <v>40.985742375510263</v>
      </c>
      <c r="E159" s="385">
        <f t="shared" si="72"/>
        <v>42.580548671020523</v>
      </c>
      <c r="F159" s="385">
        <f t="shared" si="51"/>
        <v>42.580741361303005</v>
      </c>
      <c r="G159" s="110">
        <f t="shared" si="73"/>
        <v>0.66880444129603256</v>
      </c>
      <c r="H159" s="414" t="b">
        <f>Wh_hp&gt;='2024'!Maxi_hp</f>
        <v>0</v>
      </c>
      <c r="I159" s="390">
        <f>IF(H159,Wh_hp,'2024'!Maxi_hp)</f>
        <v>59.691953884707942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5.4176059267911802E-2</v>
      </c>
      <c r="M159" s="845"/>
      <c r="N159" s="845"/>
      <c r="O159" s="48">
        <f>IF(t&lt;Tnet,'2024'!Resal+('2024'!Salim-'2024'!Resal)*(1-EXP(('2024'!Tnet-t)/('2024'!Tau_j))),Resal+(Salim-Resal)*(1-EXP((Tnet-t)/(Tau_j))))*Salcycl</f>
        <v>3.745386908543178E-2</v>
      </c>
      <c r="P159" s="169">
        <f>(INDEX(Models!$BJ159:$BT159,,T159)*(1-R159)+INDEX(Models!$BJ159:$BT159,,T159+1)*R159-ERP_i)*Q159*Ramure*Pc/MaxiM</f>
        <v>8.58905318532468E-6</v>
      </c>
      <c r="Q159" s="305">
        <f t="shared" si="53"/>
        <v>0.5</v>
      </c>
      <c r="R159" s="177">
        <f t="shared" si="54"/>
        <v>0.14264599376461851</v>
      </c>
      <c r="S159" s="811">
        <f t="shared" si="55"/>
        <v>-2</v>
      </c>
      <c r="T159" s="176">
        <f t="shared" si="56"/>
        <v>4</v>
      </c>
      <c r="U159" s="251">
        <f t="shared" si="57"/>
        <v>-1.8573540062353815</v>
      </c>
      <c r="V159" s="383">
        <f t="shared" si="58"/>
        <v>57.96184421067835</v>
      </c>
      <c r="W159" s="402">
        <f t="shared" si="59"/>
        <v>38.765296367435255</v>
      </c>
      <c r="X159" s="157">
        <f t="shared" si="60"/>
        <v>45802</v>
      </c>
      <c r="Y159" s="385">
        <f t="shared" si="61"/>
        <v>36.807660041215954</v>
      </c>
      <c r="Z159" s="385">
        <f t="shared" si="62"/>
        <v>38.915974163992963</v>
      </c>
      <c r="AA159" s="386">
        <f t="shared" si="63"/>
        <v>42.572376637143044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8.5886736000545166E-2</v>
      </c>
      <c r="AD159" s="231">
        <f>(INDEX(Models!$BJ159:$BT159,,AH159)*(1-AF159)+INDEX(Models!$BJ159:$BT159,,AH159+1)*AF159-ERP_i)*AE159*Ramure*Pc/MaxiM</f>
        <v>3.7285253706924819E-4</v>
      </c>
      <c r="AE159" s="305">
        <f t="shared" si="65"/>
        <v>0.5</v>
      </c>
      <c r="AF159" s="177">
        <f t="shared" si="66"/>
        <v>0.66763356013859743</v>
      </c>
      <c r="AG159" s="811">
        <f t="shared" si="74"/>
        <v>1</v>
      </c>
      <c r="AH159" s="176">
        <f t="shared" si="67"/>
        <v>7</v>
      </c>
      <c r="AI159" s="225">
        <f t="shared" si="68"/>
        <v>1.6676335601385974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'2024'!Wh/'2024'!Env_an*'2025'!Env_an</f>
        <v>23.505019549614349</v>
      </c>
      <c r="C160" s="841"/>
      <c r="D160" s="393">
        <f t="shared" si="50"/>
        <v>24.85191309806439</v>
      </c>
      <c r="E160" s="385">
        <f t="shared" si="72"/>
        <v>25.821485696805969</v>
      </c>
      <c r="F160" s="385">
        <f t="shared" si="51"/>
        <v>25.821518653755092</v>
      </c>
      <c r="G160" s="110">
        <f t="shared" si="73"/>
        <v>0.40541589055957994</v>
      </c>
      <c r="H160" s="414" t="b">
        <f>Wh_hp&gt;='2024'!Maxi_hp</f>
        <v>0</v>
      </c>
      <c r="I160" s="390">
        <f>IF(H160,Wh_hp,'2024'!Maxi_hp)</f>
        <v>61.991403277896538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5.4196775239606976E-2</v>
      </c>
      <c r="M160" s="845"/>
      <c r="N160" s="845"/>
      <c r="O160" s="48">
        <f>IF(t&lt;Tnet,'2024'!Resal+('2024'!Salim-'2024'!Resal)*(1-EXP(('2024'!Tnet-t)/('2024'!Tau_j))),Resal+(Salim-Resal)*(1-EXP((Tnet-t)/(Tau_j))))*Salcycl</f>
        <v>3.7549063215270809E-2</v>
      </c>
      <c r="P160" s="169">
        <f>(INDEX(Models!$BJ160:$BT160,,T160)*(1-R160)+INDEX(Models!$BJ160:$BT160,,T160+1)*R160-ERP_i)*Q160*Ramure*Pc/MaxiM</f>
        <v>8.4751063144884113E-6</v>
      </c>
      <c r="Q160" s="305">
        <f t="shared" si="53"/>
        <v>0.5</v>
      </c>
      <c r="R160" s="177">
        <f t="shared" si="54"/>
        <v>0.14730310610545083</v>
      </c>
      <c r="S160" s="811">
        <f t="shared" si="55"/>
        <v>-2</v>
      </c>
      <c r="T160" s="176">
        <f t="shared" si="56"/>
        <v>4</v>
      </c>
      <c r="U160" s="251">
        <f t="shared" si="57"/>
        <v>-1.8526968938945492</v>
      </c>
      <c r="V160" s="383">
        <f t="shared" si="58"/>
        <v>57.977131359435582</v>
      </c>
      <c r="W160" s="402">
        <f t="shared" si="59"/>
        <v>23.505019549614349</v>
      </c>
      <c r="X160" s="157">
        <f t="shared" si="60"/>
        <v>45803</v>
      </c>
      <c r="Y160" s="385">
        <f t="shared" si="61"/>
        <v>22.321236994520543</v>
      </c>
      <c r="Z160" s="385">
        <f t="shared" si="62"/>
        <v>23.600296985850665</v>
      </c>
      <c r="AA160" s="386">
        <f t="shared" si="63"/>
        <v>25.820090457480482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8.597156060646978E-2</v>
      </c>
      <c r="AD160" s="231">
        <f>(INDEX(Models!$BJ160:$BT160,,AH160)*(1-AF160)+INDEX(Models!$BJ160:$BT160,,AH160+1)*AF160-ERP_i)*AE160*Ramure*Pc/MaxiM</f>
        <v>3.6727050250636611E-4</v>
      </c>
      <c r="AE160" s="305">
        <f t="shared" si="65"/>
        <v>0.5</v>
      </c>
      <c r="AF160" s="177">
        <f t="shared" si="66"/>
        <v>0.67229067247942975</v>
      </c>
      <c r="AG160" s="811">
        <f t="shared" si="74"/>
        <v>1</v>
      </c>
      <c r="AH160" s="176">
        <f t="shared" si="67"/>
        <v>7</v>
      </c>
      <c r="AI160" s="225">
        <f t="shared" si="68"/>
        <v>1.6722906724794298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'2024'!Wh/'2024'!Env_an*'2025'!Env_an</f>
        <v>43.721349133311577</v>
      </c>
      <c r="C161" s="841"/>
      <c r="D161" s="393">
        <f t="shared" si="50"/>
        <v>46.227698975245652</v>
      </c>
      <c r="E161" s="385">
        <f t="shared" si="72"/>
        <v>48.035977274589811</v>
      </c>
      <c r="F161" s="385">
        <f t="shared" si="51"/>
        <v>48.036235695126123</v>
      </c>
      <c r="G161" s="110">
        <f t="shared" si="73"/>
        <v>0.75394744917304168</v>
      </c>
      <c r="H161" s="414" t="b">
        <f>Wh_hp&gt;='2024'!Maxi_hp</f>
        <v>0</v>
      </c>
      <c r="I161" s="390">
        <f>IF(H161,Wh_hp,'2024'!Maxi_hp)</f>
        <v>62.096546618278133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5.4217490757569209E-2</v>
      </c>
      <c r="M161" s="845"/>
      <c r="N161" s="845"/>
      <c r="O161" s="48">
        <f>IF(t&lt;Tnet,'2024'!Resal+('2024'!Salim-'2024'!Resal)*(1-EXP(('2024'!Tnet-t)/('2024'!Tau_j))),Resal+(Salim-Resal)*(1-EXP((Tnet-t)/(Tau_j))))*Salcycl</f>
        <v>3.7644249205286924E-2</v>
      </c>
      <c r="P161" s="169">
        <f>(INDEX(Models!$BJ161:$BT161,,T161)*(1-R161)+INDEX(Models!$BJ161:$BT161,,T161+1)*R161-ERP_i)*Q161*Ramure*Pc/MaxiM</f>
        <v>8.295611654627947E-6</v>
      </c>
      <c r="Q161" s="305">
        <f t="shared" si="53"/>
        <v>0.5</v>
      </c>
      <c r="R161" s="177">
        <f t="shared" si="54"/>
        <v>0.15201775349642666</v>
      </c>
      <c r="S161" s="811">
        <f t="shared" si="55"/>
        <v>-2</v>
      </c>
      <c r="T161" s="176">
        <f t="shared" si="56"/>
        <v>4</v>
      </c>
      <c r="U161" s="251">
        <f t="shared" si="57"/>
        <v>-1.8479822465035733</v>
      </c>
      <c r="V161" s="383">
        <f t="shared" si="58"/>
        <v>57.989746756207687</v>
      </c>
      <c r="W161" s="402">
        <f t="shared" si="59"/>
        <v>43.721349133311577</v>
      </c>
      <c r="X161" s="157">
        <f t="shared" si="60"/>
        <v>45804</v>
      </c>
      <c r="Y161" s="385">
        <f t="shared" si="61"/>
        <v>41.512469900564803</v>
      </c>
      <c r="Z161" s="385">
        <f t="shared" si="62"/>
        <v>43.892194553075612</v>
      </c>
      <c r="AA161" s="386">
        <f t="shared" si="63"/>
        <v>48.025053030030215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8.6056302204816193E-2</v>
      </c>
      <c r="AD161" s="231">
        <f>(INDEX(Models!$BJ161:$BT161,,AH161)*(1-AF161)+INDEX(Models!$BJ161:$BT161,,AH161+1)*AF161-ERP_i)*AE161*Ramure*Pc/MaxiM</f>
        <v>3.5897706978959415E-4</v>
      </c>
      <c r="AE161" s="305">
        <f t="shared" si="65"/>
        <v>0.5</v>
      </c>
      <c r="AF161" s="177">
        <f t="shared" si="66"/>
        <v>0.67700531987040558</v>
      </c>
      <c r="AG161" s="811">
        <f t="shared" si="74"/>
        <v>1</v>
      </c>
      <c r="AH161" s="176">
        <f t="shared" si="67"/>
        <v>7</v>
      </c>
      <c r="AI161" s="225">
        <f t="shared" si="68"/>
        <v>1.6770053198704056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'2024'!Wh/'2024'!Env_an*'2025'!Env_an</f>
        <v>52.679488549752314</v>
      </c>
      <c r="C162" s="841"/>
      <c r="D162" s="393">
        <f t="shared" si="50"/>
        <v>55.700588535115791</v>
      </c>
      <c r="E162" s="385">
        <f t="shared" si="72"/>
        <v>57.88513862142792</v>
      </c>
      <c r="F162" s="385">
        <f t="shared" si="51"/>
        <v>57.885543283055391</v>
      </c>
      <c r="G162" s="110">
        <f t="shared" si="73"/>
        <v>0.90826782364625025</v>
      </c>
      <c r="H162" s="414" t="b">
        <f>Wh_hp&gt;='2024'!Maxi_hp</f>
        <v>0</v>
      </c>
      <c r="I162" s="390">
        <f>IF(H162,Wh_hp,'2024'!Maxi_hp)</f>
        <v>61.293375317013549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5.4238205821808494E-2</v>
      </c>
      <c r="M162" s="845"/>
      <c r="N162" s="845"/>
      <c r="O162" s="48">
        <f>IF(t&lt;Tnet,'2024'!Resal+('2024'!Salim-'2024'!Resal)*(1-EXP(('2024'!Tnet-t)/('2024'!Tau_j))),Resal+(Salim-Resal)*(1-EXP((Tnet-t)/(Tau_j))))*Salcycl</f>
        <v>3.7739394572399845E-2</v>
      </c>
      <c r="P162" s="169">
        <f>(INDEX(Models!$BJ162:$BT162,,T162)*(1-R162)+INDEX(Models!$BJ162:$BT162,,T162+1)*R162-ERP_i)*Q162*Ramure*Pc/MaxiM</f>
        <v>8.0449698875077342E-6</v>
      </c>
      <c r="Q162" s="305">
        <f t="shared" si="53"/>
        <v>0.5</v>
      </c>
      <c r="R162" s="177">
        <f t="shared" si="54"/>
        <v>0.15678695587796909</v>
      </c>
      <c r="S162" s="811">
        <f t="shared" si="55"/>
        <v>-2</v>
      </c>
      <c r="T162" s="176">
        <f t="shared" si="56"/>
        <v>4</v>
      </c>
      <c r="U162" s="251">
        <f t="shared" si="57"/>
        <v>-1.8432130441220309</v>
      </c>
      <c r="V162" s="383">
        <f t="shared" si="58"/>
        <v>57.999889064152029</v>
      </c>
      <c r="W162" s="402">
        <f t="shared" si="59"/>
        <v>52.679488549752314</v>
      </c>
      <c r="X162" s="157">
        <f t="shared" si="60"/>
        <v>45805</v>
      </c>
      <c r="Y162" s="385">
        <f t="shared" si="61"/>
        <v>50.014947419292213</v>
      </c>
      <c r="Z162" s="385">
        <f t="shared" si="62"/>
        <v>52.883239444824589</v>
      </c>
      <c r="AA162" s="386">
        <f t="shared" si="63"/>
        <v>57.868044106713704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8.6140887234700841E-2</v>
      </c>
      <c r="AD162" s="231">
        <f>(INDEX(Models!$BJ162:$BT162,,AH162)*(1-AF162)+INDEX(Models!$BJ162:$BT162,,AH162+1)*AF162-ERP_i)*AE162*Ramure*Pc/MaxiM</f>
        <v>3.478964576007116E-4</v>
      </c>
      <c r="AE162" s="305">
        <f t="shared" si="65"/>
        <v>0.5</v>
      </c>
      <c r="AF162" s="177">
        <f t="shared" si="66"/>
        <v>0.68177452225194801</v>
      </c>
      <c r="AG162" s="811">
        <f t="shared" si="74"/>
        <v>1</v>
      </c>
      <c r="AH162" s="176">
        <f t="shared" si="67"/>
        <v>7</v>
      </c>
      <c r="AI162" s="225">
        <f t="shared" si="68"/>
        <v>1.681774522251948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'2024'!Wh/'2024'!Env_an*'2025'!Env_an</f>
        <v>56.777500093054542</v>
      </c>
      <c r="C163" s="841"/>
      <c r="D163" s="393">
        <f t="shared" si="50"/>
        <v>60.034930616538006</v>
      </c>
      <c r="E163" s="385">
        <f t="shared" si="72"/>
        <v>62.395636222244207</v>
      </c>
      <c r="F163" s="385">
        <f t="shared" si="51"/>
        <v>62.396103176132826</v>
      </c>
      <c r="G163" s="110">
        <f t="shared" si="73"/>
        <v>0.97879595420686527</v>
      </c>
      <c r="H163" s="414" t="b">
        <f>Wh_hp&gt;='2024'!Maxi_hp</f>
        <v>1</v>
      </c>
      <c r="I163" s="390">
        <f>IF(H163,Wh_hp,'2024'!Maxi_hp)</f>
        <v>62.396103176132826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5.4258920432334601E-2</v>
      </c>
      <c r="M163" s="845"/>
      <c r="N163" s="845"/>
      <c r="O163" s="48">
        <f>IF(t&lt;Tnet,'2024'!Resal+('2024'!Salim-'2024'!Resal)*(1-EXP(('2024'!Tnet-t)/('2024'!Tau_j))),Resal+(Salim-Resal)*(1-EXP((Tnet-t)/(Tau_j))))*Salcycl</f>
        <v>3.7834466456880302E-2</v>
      </c>
      <c r="P163" s="169">
        <f>(INDEX(Models!$BJ163:$BT163,,T163)*(1-R163)+INDEX(Models!$BJ163:$BT163,,T163+1)*R163-ERP_i)*Q163*Ramure*Pc/MaxiM</f>
        <v>7.717474040888951E-6</v>
      </c>
      <c r="Q163" s="305">
        <f t="shared" si="53"/>
        <v>0.5</v>
      </c>
      <c r="R163" s="177">
        <f t="shared" si="54"/>
        <v>0.16160757070919107</v>
      </c>
      <c r="S163" s="811">
        <f t="shared" si="55"/>
        <v>-2</v>
      </c>
      <c r="T163" s="176">
        <f t="shared" si="56"/>
        <v>4</v>
      </c>
      <c r="U163" s="251">
        <f t="shared" si="57"/>
        <v>-1.8383924292908089</v>
      </c>
      <c r="V163" s="383">
        <f t="shared" si="58"/>
        <v>58.00748008405202</v>
      </c>
      <c r="W163" s="402">
        <f t="shared" si="59"/>
        <v>56.777500093054542</v>
      </c>
      <c r="X163" s="157">
        <f t="shared" si="60"/>
        <v>45806</v>
      </c>
      <c r="Y163" s="385">
        <f t="shared" si="61"/>
        <v>53.90489624442236</v>
      </c>
      <c r="Z163" s="385">
        <f t="shared" si="62"/>
        <v>56.997520155373138</v>
      </c>
      <c r="AA163" s="386">
        <f t="shared" si="63"/>
        <v>62.375896947630082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8.6225241727145824E-2</v>
      </c>
      <c r="AD163" s="231">
        <f>(INDEX(Models!$BJ163:$BT163,,AH163)*(1-AF163)+INDEX(Models!$BJ163:$BT163,,AH163+1)*AF163-ERP_i)*AE163*Ramure*Pc/MaxiM</f>
        <v>3.3395383941473488E-4</v>
      </c>
      <c r="AE163" s="305">
        <f t="shared" si="65"/>
        <v>0.5</v>
      </c>
      <c r="AF163" s="177">
        <f t="shared" si="66"/>
        <v>0.68659513708316999</v>
      </c>
      <c r="AG163" s="811">
        <f t="shared" si="74"/>
        <v>1</v>
      </c>
      <c r="AH163" s="176">
        <f t="shared" si="67"/>
        <v>7</v>
      </c>
      <c r="AI163" s="225">
        <f t="shared" si="68"/>
        <v>1.68659513708317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'2024'!Wh/'2024'!Env_an*'2025'!Env_an</f>
        <v>48.349455012617859</v>
      </c>
      <c r="C164" s="841"/>
      <c r="D164" s="393">
        <f t="shared" si="50"/>
        <v>51.124472709873132</v>
      </c>
      <c r="E164" s="385">
        <f t="shared" si="72"/>
        <v>53.140044396188678</v>
      </c>
      <c r="F164" s="385">
        <f t="shared" si="51"/>
        <v>53.140341707361124</v>
      </c>
      <c r="G164" s="110">
        <f t="shared" si="73"/>
        <v>0.83343389177277671</v>
      </c>
      <c r="H164" s="414" t="b">
        <f>Wh_hp&gt;='2024'!Maxi_hp</f>
        <v>0</v>
      </c>
      <c r="I164" s="390">
        <f>IF(H164,Wh_hp,'2024'!Maxi_hp)</f>
        <v>57.223999787813696</v>
      </c>
      <c r="J164" s="85">
        <f>IF(H164,An,'2024'!An_max)</f>
        <v>2019</v>
      </c>
      <c r="K164" s="197">
        <f t="shared" si="52"/>
        <v>45807</v>
      </c>
      <c r="L164" s="147">
        <f>IF(t&lt;Tvie,1-EXP((T0-t)*PertePVj)+'2024'!Pspv,1-EXP((T0-t)*PertePVj)+Pspv)</f>
        <v>5.4279634589157633E-2</v>
      </c>
      <c r="M164" s="845"/>
      <c r="N164" s="845"/>
      <c r="O164" s="48">
        <f>IF(t&lt;Tnet,'2024'!Resal+('2024'!Salim-'2024'!Resal)*(1-EXP(('2024'!Tnet-t)/('2024'!Tau_j))),Resal+(Salim-Resal)*(1-EXP((Tnet-t)/(Tau_j))))*Salcycl</f>
        <v>3.7929431734914199E-2</v>
      </c>
      <c r="P164" s="169">
        <f>(INDEX(Models!$BJ164:$BT164,,T164)*(1-R164)+INDEX(Models!$BJ164:$BT164,,T164+1)*R164-ERP_i)*Q164*Ramure*Pc/MaxiM</f>
        <v>7.3418099179424919E-6</v>
      </c>
      <c r="Q164" s="305">
        <f t="shared" si="53"/>
        <v>0.5</v>
      </c>
      <c r="R164" s="177">
        <f t="shared" si="54"/>
        <v>0.16647629964927857</v>
      </c>
      <c r="S164" s="811">
        <f t="shared" si="55"/>
        <v>-2</v>
      </c>
      <c r="T164" s="176">
        <f t="shared" si="56"/>
        <v>4</v>
      </c>
      <c r="U164" s="251">
        <f t="shared" si="57"/>
        <v>-1.8335237003507214</v>
      </c>
      <c r="V164" s="383">
        <f t="shared" si="58"/>
        <v>58.01224431102812</v>
      </c>
      <c r="W164" s="402">
        <f t="shared" si="59"/>
        <v>48.349455012617859</v>
      </c>
      <c r="X164" s="157">
        <f t="shared" si="60"/>
        <v>45807</v>
      </c>
      <c r="Y164" s="385">
        <f t="shared" si="61"/>
        <v>45.907224050034223</v>
      </c>
      <c r="Z164" s="385">
        <f t="shared" si="62"/>
        <v>48.542069864479537</v>
      </c>
      <c r="AA164" s="386">
        <f t="shared" si="63"/>
        <v>53.127463611291958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8.6309291562675319E-2</v>
      </c>
      <c r="AD164" s="231">
        <f>(INDEX(Models!$BJ164:$BT164,,AH164)*(1-AF164)+INDEX(Models!$BJ164:$BT164,,AH164+1)*AF164-ERP_i)*AE164*Ramure*Pc/MaxiM</f>
        <v>3.1801204330009144E-4</v>
      </c>
      <c r="AE164" s="305">
        <f t="shared" si="65"/>
        <v>0.5</v>
      </c>
      <c r="AF164" s="177">
        <f t="shared" si="66"/>
        <v>0.69146386602325749</v>
      </c>
      <c r="AG164" s="811">
        <f t="shared" si="74"/>
        <v>1</v>
      </c>
      <c r="AH164" s="176">
        <f t="shared" si="67"/>
        <v>7</v>
      </c>
      <c r="AI164" s="225">
        <f t="shared" si="68"/>
        <v>1.6914638660232575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'2024'!Wh/'2024'!Env_an*'2025'!Env_an</f>
        <v>51.345651265558864</v>
      </c>
      <c r="C165" s="841"/>
      <c r="D165" s="393">
        <f t="shared" si="50"/>
        <v>54.293824865897562</v>
      </c>
      <c r="E165" s="385">
        <f t="shared" si="72"/>
        <v>56.439910536841161</v>
      </c>
      <c r="F165" s="385">
        <f t="shared" si="51"/>
        <v>56.440239884650701</v>
      </c>
      <c r="G165" s="110">
        <f t="shared" si="73"/>
        <v>0.88505392804685534</v>
      </c>
      <c r="H165" s="414" t="b">
        <f>Wh_hp&gt;='2024'!Maxi_hp</f>
        <v>0</v>
      </c>
      <c r="I165" s="390">
        <f>IF(H165,Wh_hp,'2024'!Maxi_hp)</f>
        <v>63.126585406149495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5.430034829228747E-2</v>
      </c>
      <c r="M165" s="845"/>
      <c r="N165" s="845"/>
      <c r="O165" s="48">
        <f>IF(t&lt;Tnet,'2024'!Resal+('2024'!Salim-'2024'!Resal)*(1-EXP(('2024'!Tnet-t)/('2024'!Tau_j))),Resal+(Salim-Resal)*(1-EXP((Tnet-t)/(Tau_j))))*Salcycl</f>
        <v>3.8024257135254355E-2</v>
      </c>
      <c r="P165" s="169">
        <f>(INDEX(Models!$BJ165:$BT165,,T165)*(1-R165)+INDEX(Models!$BJ165:$BT165,,T165+1)*R165-ERP_i)*Q165*Ramure*Pc/MaxiM</f>
        <v>6.981798581305438E-6</v>
      </c>
      <c r="Q165" s="305">
        <f t="shared" si="53"/>
        <v>0.5</v>
      </c>
      <c r="R165" s="177">
        <f t="shared" si="54"/>
        <v>0.17138969619890521</v>
      </c>
      <c r="S165" s="811">
        <f t="shared" si="55"/>
        <v>-2</v>
      </c>
      <c r="T165" s="176">
        <f t="shared" si="56"/>
        <v>4</v>
      </c>
      <c r="U165" s="251">
        <f t="shared" si="57"/>
        <v>-1.8286103038010948</v>
      </c>
      <c r="V165" s="383">
        <f t="shared" si="58"/>
        <v>58.01408340472441</v>
      </c>
      <c r="W165" s="402">
        <f t="shared" si="59"/>
        <v>51.345651265558864</v>
      </c>
      <c r="X165" s="157">
        <f t="shared" si="60"/>
        <v>45808</v>
      </c>
      <c r="Y165" s="385">
        <f t="shared" si="61"/>
        <v>48.751938317879322</v>
      </c>
      <c r="Z165" s="385">
        <f t="shared" si="62"/>
        <v>51.5511856537588</v>
      </c>
      <c r="AA165" s="386">
        <f t="shared" si="63"/>
        <v>56.42599449335551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8.6392962735831719E-2</v>
      </c>
      <c r="AD165" s="231">
        <f>(INDEX(Models!$BJ165:$BT165,,AH165)*(1-AF165)+INDEX(Models!$BJ165:$BT165,,AH165+1)*AF165-ERP_i)*AE165*Ramure*Pc/MaxiM</f>
        <v>3.019860762823413E-4</v>
      </c>
      <c r="AE165" s="305">
        <f t="shared" si="65"/>
        <v>0.5</v>
      </c>
      <c r="AF165" s="177">
        <f t="shared" si="66"/>
        <v>0.69637726257288413</v>
      </c>
      <c r="AG165" s="811">
        <f t="shared" si="74"/>
        <v>1</v>
      </c>
      <c r="AH165" s="176">
        <f t="shared" si="67"/>
        <v>7</v>
      </c>
      <c r="AI165" s="225">
        <f t="shared" si="68"/>
        <v>1.6963772625728841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'2024'!Wh/'2024'!Env_an*'2025'!Env_an</f>
        <v>53.641169319877747</v>
      </c>
      <c r="C166" s="841"/>
      <c r="D166" s="393">
        <f t="shared" si="50"/>
        <v>56.722389743953251</v>
      </c>
      <c r="E166" s="385">
        <f t="shared" si="72"/>
        <v>58.970272205030632</v>
      </c>
      <c r="F166" s="385">
        <f t="shared" si="51"/>
        <v>58.970621726261349</v>
      </c>
      <c r="G166" s="110">
        <f t="shared" si="73"/>
        <v>0.92464139265808021</v>
      </c>
      <c r="H166" s="414" t="b">
        <f>Wh_hp&gt;='2024'!Maxi_hp</f>
        <v>0</v>
      </c>
      <c r="I166" s="390">
        <f>IF(H166,Wh_hp,'2024'!Maxi_hp)</f>
        <v>64.729267905613341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5.4321061541733995E-2</v>
      </c>
      <c r="M166" s="845"/>
      <c r="N166" s="845"/>
      <c r="O166" s="48">
        <f>IF(t&lt;Tnet,'2024'!Resal+('2024'!Salim-'2024'!Resal)*(1-EXP(('2024'!Tnet-t)/('2024'!Tau_j))),Resal+(Salim-Resal)*(1-EXP((Tnet-t)/(Tau_j))))*Salcycl</f>
        <v>3.8118909359309769E-2</v>
      </c>
      <c r="P166" s="169">
        <f>(INDEX(Models!$BJ166:$BT166,,T166)*(1-R166)+INDEX(Models!$BJ166:$BT166,,T166+1)*R166-ERP_i)*Q166*Ramure*Pc/MaxiM</f>
        <v>6.6420887579807787E-6</v>
      </c>
      <c r="Q166" s="305">
        <f t="shared" si="53"/>
        <v>0.5</v>
      </c>
      <c r="R166" s="177">
        <f t="shared" si="54"/>
        <v>0.1763441742759877</v>
      </c>
      <c r="S166" s="811">
        <f t="shared" si="55"/>
        <v>-2</v>
      </c>
      <c r="T166" s="176">
        <f t="shared" si="56"/>
        <v>4</v>
      </c>
      <c r="U166" s="251">
        <f t="shared" si="57"/>
        <v>-1.8236558257240123</v>
      </c>
      <c r="V166" s="383">
        <f t="shared" si="58"/>
        <v>58.012902504173162</v>
      </c>
      <c r="W166" s="402">
        <f t="shared" si="59"/>
        <v>53.641169319877747</v>
      </c>
      <c r="X166" s="157">
        <f t="shared" si="60"/>
        <v>45809</v>
      </c>
      <c r="Y166" s="385">
        <f t="shared" si="61"/>
        <v>50.931738678575726</v>
      </c>
      <c r="Z166" s="385">
        <f t="shared" si="62"/>
        <v>53.857325787131728</v>
      </c>
      <c r="AA166" s="386">
        <f t="shared" si="63"/>
        <v>58.9555791582304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8.647618162507581E-2</v>
      </c>
      <c r="AD166" s="231">
        <f>(INDEX(Models!$BJ166:$BT166,,AH166)*(1-AF166)+INDEX(Models!$BJ166:$BT166,,AH166+1)*AF166-ERP_i)*AE166*Ramure*Pc/MaxiM</f>
        <v>2.8585980829745969E-4</v>
      </c>
      <c r="AE166" s="305">
        <f t="shared" si="65"/>
        <v>0.5</v>
      </c>
      <c r="AF166" s="177">
        <f t="shared" si="66"/>
        <v>0.70133174064996662</v>
      </c>
      <c r="AG166" s="811">
        <f t="shared" si="74"/>
        <v>1</v>
      </c>
      <c r="AH166" s="176">
        <f t="shared" si="67"/>
        <v>7</v>
      </c>
      <c r="AI166" s="225">
        <f t="shared" si="68"/>
        <v>1.7013317406499666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'2024'!Wh/'2024'!Env_an*'2025'!Env_an</f>
        <v>43.090488791048649</v>
      </c>
      <c r="C167" s="841"/>
      <c r="D167" s="393">
        <f t="shared" si="50"/>
        <v>45.566662057913227</v>
      </c>
      <c r="E167" s="385">
        <f t="shared" si="72"/>
        <v>47.377100009095109</v>
      </c>
      <c r="F167" s="385">
        <f t="shared" si="51"/>
        <v>47.377289655618945</v>
      </c>
      <c r="G167" s="110">
        <f t="shared" si="73"/>
        <v>0.74282750467471859</v>
      </c>
      <c r="H167" s="414" t="b">
        <f>Wh_hp&gt;='2024'!Maxi_hp</f>
        <v>0</v>
      </c>
      <c r="I167" s="390">
        <f>IF(H167,Wh_hp,'2024'!Maxi_hp)</f>
        <v>63.739845271535835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5.4341774337507309E-2</v>
      </c>
      <c r="M167" s="845"/>
      <c r="N167" s="845"/>
      <c r="O167" s="48">
        <f>IF(t&lt;Tnet,'2024'!Resal+('2024'!Salim-'2024'!Resal)*(1-EXP(('2024'!Tnet-t)/('2024'!Tau_j))),Resal+(Salim-Resal)*(1-EXP((Tnet-t)/(Tau_j))))*Salcycl</f>
        <v>3.8213355203976694E-2</v>
      </c>
      <c r="P167" s="169">
        <f>(INDEX(Models!$BJ167:$BT167,,T167)*(1-R167)+INDEX(Models!$BJ167:$BT167,,T167+1)*R167-ERP_i)*Q167*Ramure*Pc/MaxiM</f>
        <v>6.3275623496184737E-6</v>
      </c>
      <c r="Q167" s="305">
        <f t="shared" si="53"/>
        <v>0.5</v>
      </c>
      <c r="R167" s="177">
        <f t="shared" si="54"/>
        <v>0.1813360176904002</v>
      </c>
      <c r="S167" s="811">
        <f t="shared" si="55"/>
        <v>-2</v>
      </c>
      <c r="T167" s="176">
        <f t="shared" si="56"/>
        <v>4</v>
      </c>
      <c r="U167" s="251">
        <f t="shared" si="57"/>
        <v>-1.8186639823095998</v>
      </c>
      <c r="V167" s="383">
        <f t="shared" si="58"/>
        <v>58.008606774265267</v>
      </c>
      <c r="W167" s="402">
        <f t="shared" si="59"/>
        <v>43.090488791048649</v>
      </c>
      <c r="X167" s="157">
        <f t="shared" si="60"/>
        <v>45810</v>
      </c>
      <c r="Y167" s="385">
        <f t="shared" si="61"/>
        <v>40.917670064352173</v>
      </c>
      <c r="Z167" s="385">
        <f t="shared" si="62"/>
        <v>43.268983395863536</v>
      </c>
      <c r="AA167" s="386">
        <f t="shared" si="63"/>
        <v>47.369208834871607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8.6558875266450036E-2</v>
      </c>
      <c r="AD167" s="231">
        <f>(INDEX(Models!$BJ167:$BT167,,AH167)*(1-AF167)+INDEX(Models!$BJ167:$BT167,,AH167+1)*AF167-ERP_i)*AE167*Ramure*Pc/MaxiM</f>
        <v>2.6961684338133127E-4</v>
      </c>
      <c r="AE167" s="305">
        <f t="shared" si="65"/>
        <v>0.5</v>
      </c>
      <c r="AF167" s="177">
        <f t="shared" si="66"/>
        <v>0.70632358406437912</v>
      </c>
      <c r="AG167" s="811">
        <f t="shared" si="74"/>
        <v>1</v>
      </c>
      <c r="AH167" s="176">
        <f t="shared" si="67"/>
        <v>7</v>
      </c>
      <c r="AI167" s="225">
        <f t="shared" si="68"/>
        <v>1.7063235840643791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'2024'!Wh/'2024'!Env_an*'2025'!Env_an</f>
        <v>52.513335337127607</v>
      </c>
      <c r="C168" s="841"/>
      <c r="D168" s="393">
        <f t="shared" si="50"/>
        <v>55.532204039515555</v>
      </c>
      <c r="E168" s="385">
        <f t="shared" si="72"/>
        <v>57.744245277523227</v>
      </c>
      <c r="F168" s="385">
        <f t="shared" si="51"/>
        <v>57.744547078545061</v>
      </c>
      <c r="G168" s="110">
        <f t="shared" si="73"/>
        <v>0.90538440094491213</v>
      </c>
      <c r="H168" s="414" t="b">
        <f>Wh_hp&gt;='2024'!Maxi_hp</f>
        <v>1</v>
      </c>
      <c r="I168" s="390">
        <f>IF(H168,Wh_hp,'2024'!Maxi_hp)</f>
        <v>57.744547078545061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5.4362486679617184E-2</v>
      </c>
      <c r="M168" s="845"/>
      <c r="N168" s="845"/>
      <c r="O168" s="48">
        <f>IF(t&lt;Tnet,'2024'!Resal+('2024'!Salim-'2024'!Resal)*(1-EXP(('2024'!Tnet-t)/('2024'!Tau_j))),Resal+(Salim-Resal)*(1-EXP((Tnet-t)/(Tau_j))))*Salcycl</f>
        <v>3.830756168647504E-2</v>
      </c>
      <c r="P168" s="169">
        <f>(INDEX(Models!$BJ168:$BT168,,T168)*(1-R168)+INDEX(Models!$BJ168:$BT168,,T168+1)*R168-ERP_i)*Q168*Ramure*Pc/MaxiM</f>
        <v>6.0433258253768231E-6</v>
      </c>
      <c r="Q168" s="305">
        <f t="shared" si="53"/>
        <v>0.5</v>
      </c>
      <c r="R168" s="177">
        <f t="shared" si="54"/>
        <v>0.18636139047267219</v>
      </c>
      <c r="S168" s="811">
        <f t="shared" si="55"/>
        <v>-2</v>
      </c>
      <c r="T168" s="176">
        <f t="shared" si="56"/>
        <v>4</v>
      </c>
      <c r="U168" s="251">
        <f t="shared" si="57"/>
        <v>-1.8136386095273278</v>
      </c>
      <c r="V168" s="383">
        <f t="shared" si="58"/>
        <v>58.00110139634927</v>
      </c>
      <c r="W168" s="402">
        <f t="shared" si="59"/>
        <v>52.513335337127607</v>
      </c>
      <c r="X168" s="157">
        <f t="shared" si="60"/>
        <v>45811</v>
      </c>
      <c r="Y168" s="385">
        <f t="shared" si="61"/>
        <v>49.863421080382054</v>
      </c>
      <c r="Z168" s="385">
        <f t="shared" si="62"/>
        <v>52.729952416225984</v>
      </c>
      <c r="AA168" s="386">
        <f t="shared" si="63"/>
        <v>57.731900357178574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8.6640971629312308E-2</v>
      </c>
      <c r="AD168" s="231">
        <f>(INDEX(Models!$BJ168:$BT168,,AH168)*(1-AF168)+INDEX(Models!$BJ168:$BT168,,AH168+1)*AF168-ERP_i)*AE168*Ramure*Pc/MaxiM</f>
        <v>2.5324055358062856E-4</v>
      </c>
      <c r="AE168" s="305">
        <f t="shared" si="65"/>
        <v>0.5</v>
      </c>
      <c r="AF168" s="177">
        <f t="shared" si="66"/>
        <v>0.71134895684665089</v>
      </c>
      <c r="AG168" s="811">
        <f t="shared" si="74"/>
        <v>1</v>
      </c>
      <c r="AH168" s="176">
        <f t="shared" si="67"/>
        <v>7</v>
      </c>
      <c r="AI168" s="225">
        <f t="shared" si="68"/>
        <v>1.7113489568466509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'2024'!Wh/'2024'!Env_an*'2025'!Env_an</f>
        <v>23.713468810964009</v>
      </c>
      <c r="C169" s="841"/>
      <c r="D169" s="393">
        <f t="shared" si="50"/>
        <v>25.077249870196081</v>
      </c>
      <c r="E169" s="385">
        <f t="shared" si="72"/>
        <v>26.078711406398345</v>
      </c>
      <c r="F169" s="385">
        <f t="shared" si="51"/>
        <v>26.078734920722152</v>
      </c>
      <c r="G169" s="110">
        <f t="shared" si="73"/>
        <v>0.40891935772458787</v>
      </c>
      <c r="H169" s="414" t="b">
        <f>Wh_hp&gt;='2024'!Maxi_hp</f>
        <v>0</v>
      </c>
      <c r="I169" s="390">
        <f>IF(H169,Wh_hp,'2024'!Maxi_hp)</f>
        <v>59.953702782585943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5.438319856807361E-2</v>
      </c>
      <c r="M169" s="845"/>
      <c r="N169" s="845"/>
      <c r="O169" s="48">
        <f>IF(t&lt;Tnet,'2024'!Resal+('2024'!Salim-'2024'!Resal)*(1-EXP(('2024'!Tnet-t)/('2024'!Tau_j))),Resal+(Salim-Resal)*(1-EXP((Tnet-t)/(Tau_j))))*Salcycl</f>
        <v>3.8401496170418874E-2</v>
      </c>
      <c r="P169" s="169">
        <f>(INDEX(Models!$BJ169:$BT169,,T169)*(1-R169)+INDEX(Models!$BJ169:$BT169,,T169+1)*R169-ERP_i)*Q169*Ramure*Pc/MaxiM</f>
        <v>5.7947001054622678E-6</v>
      </c>
      <c r="Q169" s="305">
        <f t="shared" si="53"/>
        <v>0.5</v>
      </c>
      <c r="R169" s="177">
        <f t="shared" si="54"/>
        <v>0.19141634800233187</v>
      </c>
      <c r="S169" s="811">
        <f t="shared" si="55"/>
        <v>-2</v>
      </c>
      <c r="T169" s="176">
        <f t="shared" si="56"/>
        <v>4</v>
      </c>
      <c r="U169" s="251">
        <f t="shared" si="57"/>
        <v>-1.8085836519976681</v>
      </c>
      <c r="V169" s="383">
        <f t="shared" si="58"/>
        <v>57.990291562652793</v>
      </c>
      <c r="W169" s="402">
        <f t="shared" si="59"/>
        <v>23.713468810964009</v>
      </c>
      <c r="X169" s="157">
        <f t="shared" si="60"/>
        <v>45812</v>
      </c>
      <c r="Y169" s="385">
        <f t="shared" si="61"/>
        <v>22.521043482269899</v>
      </c>
      <c r="Z169" s="385">
        <f t="shared" si="62"/>
        <v>23.816247181910036</v>
      </c>
      <c r="AA169" s="386">
        <f t="shared" si="63"/>
        <v>26.077774358096363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8.6722399892389238E-2</v>
      </c>
      <c r="AD169" s="231">
        <f>(INDEX(Models!$BJ169:$BT169,,AH169)*(1-AF169)+INDEX(Models!$BJ169:$BT169,,AH169+1)*AF169-ERP_i)*AE169*Ramure*Pc/MaxiM</f>
        <v>2.3671411497739179E-4</v>
      </c>
      <c r="AE169" s="305">
        <f t="shared" si="65"/>
        <v>0.5</v>
      </c>
      <c r="AF169" s="177">
        <f t="shared" si="66"/>
        <v>0.71640391437631079</v>
      </c>
      <c r="AG169" s="811">
        <f t="shared" si="74"/>
        <v>1</v>
      </c>
      <c r="AH169" s="176">
        <f t="shared" si="67"/>
        <v>7</v>
      </c>
      <c r="AI169" s="225">
        <f t="shared" si="68"/>
        <v>1.7164039143763108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'2024'!Wh/'2024'!Env_an*'2025'!Env_an</f>
        <v>32.711824269408623</v>
      </c>
      <c r="C170" s="841"/>
      <c r="D170" s="393">
        <f t="shared" si="50"/>
        <v>34.593865832829827</v>
      </c>
      <c r="E170" s="385">
        <f t="shared" ref="E170:E232" si="75">Wh_pvt/(1-Psa)</f>
        <v>35.978877264165561</v>
      </c>
      <c r="F170" s="385">
        <f t="shared" si="51"/>
        <v>35.978953208846313</v>
      </c>
      <c r="G170" s="110">
        <f t="shared" ref="G170:G232" si="76">+Wh_hp/MaxiM</f>
        <v>0.56422768078203744</v>
      </c>
      <c r="H170" s="414" t="b">
        <f>Wh_hp&gt;='2024'!Maxi_hp</f>
        <v>0</v>
      </c>
      <c r="I170" s="390">
        <f>IF(H170,Wh_hp,'2024'!Maxi_hp)</f>
        <v>43.180770881481472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5.4403910002886469E-2</v>
      </c>
      <c r="M170" s="845"/>
      <c r="N170" s="845"/>
      <c r="O170" s="48">
        <f>IF(t&lt;Tnet,'2024'!Resal+('2024'!Salim-'2024'!Resal)*(1-EXP(('2024'!Tnet-t)/('2024'!Tau_j))),Resal+(Salim-Resal)*(1-EXP((Tnet-t)/(Tau_j))))*Salcycl</f>
        <v>3.8495126492320696E-2</v>
      </c>
      <c r="P170" s="169">
        <f>(INDEX(Models!$BJ170:$BT170,,T170)*(1-R170)+INDEX(Models!$BJ170:$BT170,,T170+1)*R170-ERP_i)*Q170*Ramure*Pc/MaxiM</f>
        <v>5.5919764791454228E-6</v>
      </c>
      <c r="Q170" s="305">
        <f t="shared" si="53"/>
        <v>0.5</v>
      </c>
      <c r="R170" s="177">
        <f t="shared" si="54"/>
        <v>0.19649684887260377</v>
      </c>
      <c r="S170" s="811">
        <f t="shared" si="55"/>
        <v>-2</v>
      </c>
      <c r="T170" s="176">
        <f t="shared" si="56"/>
        <v>4</v>
      </c>
      <c r="U170" s="251">
        <f t="shared" si="57"/>
        <v>-1.8035031511273962</v>
      </c>
      <c r="V170" s="383">
        <f t="shared" si="58"/>
        <v>57.976082188087716</v>
      </c>
      <c r="W170" s="402">
        <f t="shared" si="59"/>
        <v>32.711824269408623</v>
      </c>
      <c r="X170" s="157">
        <f t="shared" si="60"/>
        <v>45813</v>
      </c>
      <c r="Y170" s="385">
        <f t="shared" si="61"/>
        <v>31.065793174766675</v>
      </c>
      <c r="Z170" s="385">
        <f t="shared" si="62"/>
        <v>32.853132012063952</v>
      </c>
      <c r="AA170" s="386">
        <f t="shared" si="63"/>
        <v>35.975956201940519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8.6803090718353862E-2</v>
      </c>
      <c r="AD170" s="231">
        <f>(INDEX(Models!$BJ170:$BT170,,AH170)*(1-AF170)+INDEX(Models!$BJ170:$BT170,,AH170+1)*AF170-ERP_i)*AE170*Ramure*Pc/MaxiM</f>
        <v>2.2067631279150044E-4</v>
      </c>
      <c r="AE170" s="305">
        <f t="shared" si="65"/>
        <v>0.5</v>
      </c>
      <c r="AF170" s="177">
        <f t="shared" si="66"/>
        <v>0.72148441524658269</v>
      </c>
      <c r="AG170" s="811">
        <f t="shared" si="74"/>
        <v>1</v>
      </c>
      <c r="AH170" s="176">
        <f t="shared" si="67"/>
        <v>7</v>
      </c>
      <c r="AI170" s="225">
        <f t="shared" si="68"/>
        <v>1.7214844152465827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'2024'!Wh/'2024'!Env_an*'2025'!Env_an</f>
        <v>46.069873630530594</v>
      </c>
      <c r="C171" s="841"/>
      <c r="D171" s="393">
        <f t="shared" si="50"/>
        <v>48.721524114212642</v>
      </c>
      <c r="E171" s="385">
        <f t="shared" si="75"/>
        <v>50.677072320404619</v>
      </c>
      <c r="F171" s="385">
        <f t="shared" si="51"/>
        <v>50.677266332941464</v>
      </c>
      <c r="G171" s="110">
        <f t="shared" si="76"/>
        <v>0.79487729935928775</v>
      </c>
      <c r="H171" s="414" t="b">
        <f>Wh_hp&gt;='2024'!Maxi_hp</f>
        <v>0</v>
      </c>
      <c r="I171" s="390">
        <f>IF(H171,Wh_hp,'2024'!Maxi_hp)</f>
        <v>62.343880742671914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5.4424620984065863E-2</v>
      </c>
      <c r="M171" s="845"/>
      <c r="N171" s="845"/>
      <c r="O171" s="48">
        <f>IF(t&lt;Tnet,'2024'!Resal+('2024'!Salim-'2024'!Resal)*(1-EXP(('2024'!Tnet-t)/('2024'!Tau_j))),Resal+(Salim-Resal)*(1-EXP((Tnet-t)/(Tau_j))))*Salcycl</f>
        <v>3.8588421087707492E-2</v>
      </c>
      <c r="P171" s="169">
        <f>(INDEX(Models!$BJ171:$BT171,,T171)*(1-R171)+INDEX(Models!$BJ171:$BT171,,T171+1)*R171-ERP_i)*Q171*Ramure*Pc/MaxiM</f>
        <v>5.4152188771976772E-6</v>
      </c>
      <c r="Q171" s="305">
        <f t="shared" si="53"/>
        <v>0.5</v>
      </c>
      <c r="R171" s="177">
        <f t="shared" si="54"/>
        <v>0.2015987674197437</v>
      </c>
      <c r="S171" s="811">
        <f t="shared" si="55"/>
        <v>-2</v>
      </c>
      <c r="T171" s="176">
        <f t="shared" si="56"/>
        <v>4</v>
      </c>
      <c r="U171" s="251">
        <f t="shared" si="57"/>
        <v>-1.7984012325802563</v>
      </c>
      <c r="V171" s="383">
        <f t="shared" si="58"/>
        <v>57.958379944374784</v>
      </c>
      <c r="W171" s="402">
        <f t="shared" si="59"/>
        <v>46.069873630530594</v>
      </c>
      <c r="X171" s="157">
        <f t="shared" si="60"/>
        <v>45814</v>
      </c>
      <c r="Y171" s="385">
        <f t="shared" si="61"/>
        <v>43.749443506238741</v>
      </c>
      <c r="Z171" s="385">
        <f t="shared" si="62"/>
        <v>46.267536652412673</v>
      </c>
      <c r="AA171" s="386">
        <f t="shared" si="63"/>
        <v>50.669887279442186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8.6882976525105376E-2</v>
      </c>
      <c r="AD171" s="231">
        <f>(INDEX(Models!$BJ171:$BT171,,AH171)*(1-AF171)+INDEX(Models!$BJ171:$BT171,,AH171+1)*AF171-ERP_i)*AE171*Ramure*Pc/MaxiM</f>
        <v>2.0596189531884253E-4</v>
      </c>
      <c r="AE171" s="305">
        <f t="shared" si="65"/>
        <v>0.5</v>
      </c>
      <c r="AF171" s="177">
        <f t="shared" si="66"/>
        <v>0.72658633379372262</v>
      </c>
      <c r="AG171" s="811">
        <f t="shared" si="74"/>
        <v>1</v>
      </c>
      <c r="AH171" s="176">
        <f t="shared" si="67"/>
        <v>7</v>
      </c>
      <c r="AI171" s="225">
        <f t="shared" si="68"/>
        <v>1.7265863337937226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'2024'!Wh/'2024'!Env_an*'2025'!Env_an</f>
        <v>24.017377547170629</v>
      </c>
      <c r="C172" s="841"/>
      <c r="D172" s="393">
        <f t="shared" si="50"/>
        <v>25.400305606408011</v>
      </c>
      <c r="E172" s="385">
        <f t="shared" si="75"/>
        <v>26.422358063115638</v>
      </c>
      <c r="F172" s="385">
        <f t="shared" si="51"/>
        <v>26.422380841202997</v>
      </c>
      <c r="G172" s="110">
        <f t="shared" si="76"/>
        <v>0.41454052442317951</v>
      </c>
      <c r="H172" s="414" t="b">
        <f>Wh_hp&gt;='2024'!Maxi_hp</f>
        <v>0</v>
      </c>
      <c r="I172" s="390">
        <f>IF(H172,Wh_hp,'2024'!Maxi_hp)</f>
        <v>54.813719171232592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5.4445331511621453E-2</v>
      </c>
      <c r="M172" s="845"/>
      <c r="N172" s="845"/>
      <c r="O172" s="48">
        <f>IF(t&lt;Tnet,'2024'!Resal+('2024'!Salim-'2024'!Resal)*(1-EXP(('2024'!Tnet-t)/('2024'!Tau_j))),Resal+(Salim-Resal)*(1-EXP((Tnet-t)/(Tau_j))))*Salcycl</f>
        <v>3.8681349116011086E-2</v>
      </c>
      <c r="P172" s="169">
        <f>(INDEX(Models!$BJ172:$BT172,,T172)*(1-R172)+INDEX(Models!$BJ172:$BT172,,T172+1)*R172-ERP_i)*Q172*Ramure*Pc/MaxiM</f>
        <v>5.268381951798922E-6</v>
      </c>
      <c r="Q172" s="305">
        <f t="shared" si="53"/>
        <v>0.5</v>
      </c>
      <c r="R172" s="177">
        <f t="shared" si="54"/>
        <v>0.20671790683756974</v>
      </c>
      <c r="S172" s="811">
        <f t="shared" si="55"/>
        <v>-2</v>
      </c>
      <c r="T172" s="176">
        <f t="shared" si="56"/>
        <v>4</v>
      </c>
      <c r="U172" s="251">
        <f t="shared" si="57"/>
        <v>-1.7932820931624303</v>
      </c>
      <c r="V172" s="383">
        <f t="shared" si="58"/>
        <v>57.93709011338089</v>
      </c>
      <c r="W172" s="402">
        <f t="shared" si="59"/>
        <v>24.017377547170629</v>
      </c>
      <c r="X172" s="157">
        <f t="shared" si="60"/>
        <v>45815</v>
      </c>
      <c r="Y172" s="385">
        <f t="shared" si="61"/>
        <v>22.810445124523692</v>
      </c>
      <c r="Z172" s="385">
        <f t="shared" si="62"/>
        <v>24.12387763997809</v>
      </c>
      <c r="AA172" s="386">
        <f t="shared" si="63"/>
        <v>26.421548086772848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8.6961991751914658E-2</v>
      </c>
      <c r="AD172" s="231">
        <f>(INDEX(Models!$BJ172:$BT172,,AH172)*(1-AF172)+INDEX(Models!$BJ172:$BT172,,AH172+1)*AF172-ERP_i)*AE172*Ramure*Pc/MaxiM</f>
        <v>1.9260916604060978E-4</v>
      </c>
      <c r="AE172" s="305">
        <f t="shared" si="65"/>
        <v>0.5</v>
      </c>
      <c r="AF172" s="177">
        <f t="shared" si="66"/>
        <v>0.73170547321154866</v>
      </c>
      <c r="AG172" s="811">
        <f t="shared" si="74"/>
        <v>1</v>
      </c>
      <c r="AH172" s="176">
        <f t="shared" si="67"/>
        <v>7</v>
      </c>
      <c r="AI172" s="225">
        <f t="shared" si="68"/>
        <v>1.7317054732115487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'2024'!Wh/'2024'!Env_an*'2025'!Env_an</f>
        <v>19.635450227899938</v>
      </c>
      <c r="C173" s="841"/>
      <c r="D173" s="393">
        <f t="shared" si="50"/>
        <v>20.766520391109562</v>
      </c>
      <c r="E173" s="385">
        <f t="shared" si="75"/>
        <v>21.604199024172562</v>
      </c>
      <c r="F173" s="385">
        <f t="shared" si="51"/>
        <v>21.604205238616974</v>
      </c>
      <c r="G173" s="110">
        <f t="shared" si="76"/>
        <v>0.33905433504698723</v>
      </c>
      <c r="H173" s="414" t="b">
        <f>Wh_hp&gt;='2024'!Maxi_hp</f>
        <v>0</v>
      </c>
      <c r="I173" s="390">
        <f>IF(H173,Wh_hp,'2024'!Maxi_hp)</f>
        <v>64.469263284236831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5.4466041585563452E-2</v>
      </c>
      <c r="M173" s="845"/>
      <c r="N173" s="845"/>
      <c r="O173" s="48">
        <f>IF(t&lt;Tnet,'2024'!Resal+('2024'!Salim-'2024'!Resal)*(1-EXP(('2024'!Tnet-t)/('2024'!Tau_j))),Resal+(Salim-Resal)*(1-EXP((Tnet-t)/(Tau_j))))*Salcycl</f>
        <v>3.87738805833873E-2</v>
      </c>
      <c r="P173" s="169">
        <f>(INDEX(Models!$BJ173:$BT173,,T173)*(1-R173)+INDEX(Models!$BJ173:$BT173,,T173+1)*R173-ERP_i)*Q173*Ramure*Pc/MaxiM</f>
        <v>5.1555434579456111E-6</v>
      </c>
      <c r="Q173" s="305">
        <f t="shared" si="53"/>
        <v>0.5</v>
      </c>
      <c r="R173" s="177">
        <f t="shared" si="54"/>
        <v>0.21185001279083626</v>
      </c>
      <c r="S173" s="811">
        <f t="shared" si="55"/>
        <v>-2</v>
      </c>
      <c r="T173" s="176">
        <f t="shared" si="56"/>
        <v>4</v>
      </c>
      <c r="U173" s="251">
        <f t="shared" si="57"/>
        <v>-1.7881499872091637</v>
      </c>
      <c r="V173" s="383">
        <f t="shared" si="58"/>
        <v>57.912117955568554</v>
      </c>
      <c r="W173" s="402">
        <f t="shared" si="59"/>
        <v>19.635450227899938</v>
      </c>
      <c r="X173" s="157">
        <f t="shared" si="60"/>
        <v>45816</v>
      </c>
      <c r="Y173" s="385">
        <f t="shared" si="61"/>
        <v>18.649309780210174</v>
      </c>
      <c r="Z173" s="385">
        <f t="shared" si="62"/>
        <v>19.723574826950852</v>
      </c>
      <c r="AA173" s="386">
        <f t="shared" si="63"/>
        <v>21.603987476564431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8.7040073118604247E-2</v>
      </c>
      <c r="AD173" s="231">
        <f>(INDEX(Models!$BJ173:$BT173,,AH173)*(1-AF173)+INDEX(Models!$BJ173:$BT173,,AH173+1)*AF173-ERP_i)*AE173*Ramure*Pc/MaxiM</f>
        <v>1.8065681352315359E-4</v>
      </c>
      <c r="AE173" s="305">
        <f t="shared" si="65"/>
        <v>0.5</v>
      </c>
      <c r="AF173" s="177">
        <f t="shared" si="66"/>
        <v>0.73683757916481518</v>
      </c>
      <c r="AG173" s="811">
        <f t="shared" si="74"/>
        <v>1</v>
      </c>
      <c r="AH173" s="176">
        <f t="shared" si="67"/>
        <v>7</v>
      </c>
      <c r="AI173" s="225">
        <f t="shared" si="68"/>
        <v>1.7368375791648152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'2024'!Wh/'2024'!Env_an*'2025'!Env_an</f>
        <v>44.870336415465509</v>
      </c>
      <c r="C174" s="841"/>
      <c r="D174" s="393">
        <f t="shared" si="50"/>
        <v>47.456063119890558</v>
      </c>
      <c r="E174" s="385">
        <f t="shared" si="75"/>
        <v>49.375074080701879</v>
      </c>
      <c r="F174" s="385">
        <f t="shared" si="51"/>
        <v>49.375244380569754</v>
      </c>
      <c r="G174" s="110">
        <f t="shared" si="76"/>
        <v>0.77518403303661476</v>
      </c>
      <c r="H174" s="414" t="b">
        <f>Wh_hp&gt;='2024'!Maxi_hp</f>
        <v>0</v>
      </c>
      <c r="I174" s="390">
        <f>IF(H174,Wh_hp,'2024'!Maxi_hp)</f>
        <v>60.601331416290115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5.448675120590174E-2</v>
      </c>
      <c r="M174" s="845"/>
      <c r="N174" s="845"/>
      <c r="O174" s="48">
        <f>IF(t&lt;Tnet,'2024'!Resal+('2024'!Salim-'2024'!Resal)*(1-EXP(('2024'!Tnet-t)/('2024'!Tau_j))),Resal+(Salim-Resal)*(1-EXP((Tnet-t)/(Tau_j))))*Salcycl</f>
        <v>3.8865986462617977E-2</v>
      </c>
      <c r="P174" s="169">
        <f>(INDEX(Models!$BJ174:$BT174,,T174)*(1-R174)+INDEX(Models!$BJ174:$BT174,,T174+1)*R174-ERP_i)*Q174*Ramure*Pc/MaxiM</f>
        <v>5.0808935673434829E-6</v>
      </c>
      <c r="Q174" s="305">
        <f t="shared" si="53"/>
        <v>0.5</v>
      </c>
      <c r="R174" s="177">
        <f t="shared" si="54"/>
        <v>0.21699078743514222</v>
      </c>
      <c r="S174" s="811">
        <f t="shared" si="55"/>
        <v>-2</v>
      </c>
      <c r="T174" s="176">
        <f t="shared" si="56"/>
        <v>4</v>
      </c>
      <c r="U174" s="251">
        <f t="shared" si="57"/>
        <v>-1.7830092125648578</v>
      </c>
      <c r="V174" s="383">
        <f t="shared" si="58"/>
        <v>57.883368701566098</v>
      </c>
      <c r="W174" s="402">
        <f t="shared" si="59"/>
        <v>44.870336415465509</v>
      </c>
      <c r="X174" s="157">
        <f t="shared" si="60"/>
        <v>45817</v>
      </c>
      <c r="Y174" s="385">
        <f t="shared" si="61"/>
        <v>42.612965313104439</v>
      </c>
      <c r="Z174" s="385">
        <f t="shared" si="62"/>
        <v>45.068607306616542</v>
      </c>
      <c r="AA174" s="386">
        <f t="shared" si="63"/>
        <v>49.369541550909496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8.7117159875950423E-2</v>
      </c>
      <c r="AD174" s="231">
        <f>(INDEX(Models!$BJ174:$BT174,,AH174)*(1-AF174)+INDEX(Models!$BJ174:$BT174,,AH174+1)*AF174-ERP_i)*AE174*Ramure*Pc/MaxiM</f>
        <v>1.7014382276194591E-4</v>
      </c>
      <c r="AE174" s="305">
        <f t="shared" si="65"/>
        <v>0.5</v>
      </c>
      <c r="AF174" s="177">
        <f t="shared" si="66"/>
        <v>0.74197835380912114</v>
      </c>
      <c r="AG174" s="811">
        <f t="shared" si="74"/>
        <v>1</v>
      </c>
      <c r="AH174" s="176">
        <f t="shared" si="67"/>
        <v>7</v>
      </c>
      <c r="AI174" s="225">
        <f t="shared" si="68"/>
        <v>1.7419783538091211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'2024'!Wh/'2024'!Env_an*'2025'!Env_an</f>
        <v>54.75834022033542</v>
      </c>
      <c r="C175" s="841"/>
      <c r="D175" s="393">
        <f t="shared" si="50"/>
        <v>57.915147846557595</v>
      </c>
      <c r="E175" s="385">
        <f t="shared" si="75"/>
        <v>60.26284603604779</v>
      </c>
      <c r="F175" s="385">
        <f t="shared" si="51"/>
        <v>60.263127053973911</v>
      </c>
      <c r="G175" s="110">
        <f t="shared" si="76"/>
        <v>0.94654471087373526</v>
      </c>
      <c r="H175" s="414" t="b">
        <f>Wh_hp&gt;='2024'!Maxi_hp</f>
        <v>0</v>
      </c>
      <c r="I175" s="390">
        <f>IF(H175,Wh_hp,'2024'!Maxi_hp)</f>
        <v>61.199848181326935</v>
      </c>
      <c r="J175" s="85">
        <f>IF(H175,An,'2024'!An_max)</f>
        <v>2021</v>
      </c>
      <c r="K175" s="197">
        <f t="shared" si="52"/>
        <v>45818</v>
      </c>
      <c r="L175" s="147">
        <f>IF(t&lt;Tvie,1-EXP((T0-t)*PertePVj)+'2024'!Pspv,1-EXP((T0-t)*PertePVj)+Pspv)</f>
        <v>5.4507460372646088E-2</v>
      </c>
      <c r="M175" s="845"/>
      <c r="N175" s="845"/>
      <c r="O175" s="48">
        <f>IF(t&lt;Tnet,'2024'!Resal+('2024'!Salim-'2024'!Resal)*(1-EXP(('2024'!Tnet-t)/('2024'!Tau_j))),Resal+(Salim-Resal)*(1-EXP((Tnet-t)/(Tau_j))))*Salcycl</f>
        <v>3.8957638809256602E-2</v>
      </c>
      <c r="P175" s="169">
        <f>(INDEX(Models!$BJ175:$BT175,,T175)*(1-R175)+INDEX(Models!$BJ175:$BT175,,T175+1)*R175-ERP_i)*Q175*Ramure*Pc/MaxiM</f>
        <v>5.0487235689487197E-6</v>
      </c>
      <c r="Q175" s="305">
        <f t="shared" si="53"/>
        <v>0.5</v>
      </c>
      <c r="R175" s="177">
        <f t="shared" si="54"/>
        <v>0.22213590374615366</v>
      </c>
      <c r="S175" s="811">
        <f t="shared" si="55"/>
        <v>-2</v>
      </c>
      <c r="T175" s="176">
        <f t="shared" si="56"/>
        <v>4</v>
      </c>
      <c r="U175" s="251">
        <f t="shared" si="57"/>
        <v>-1.7778640962538463</v>
      </c>
      <c r="V175" s="383">
        <f t="shared" si="58"/>
        <v>57.850747544795219</v>
      </c>
      <c r="W175" s="402">
        <f t="shared" si="59"/>
        <v>54.75834022033542</v>
      </c>
      <c r="X175" s="157">
        <f t="shared" si="60"/>
        <v>45818</v>
      </c>
      <c r="Y175" s="385">
        <f t="shared" si="61"/>
        <v>52.002474393003091</v>
      </c>
      <c r="Z175" s="385">
        <f t="shared" si="62"/>
        <v>55.000406892156732</v>
      </c>
      <c r="AA175" s="386">
        <f t="shared" si="63"/>
        <v>60.254159514779353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8.7193194045532371E-2</v>
      </c>
      <c r="AD175" s="231">
        <f>(INDEX(Models!$BJ175:$BT175,,AH175)*(1-AF175)+INDEX(Models!$BJ175:$BT175,,AH175+1)*AF175-ERP_i)*AE175*Ramure*Pc/MaxiM</f>
        <v>1.6110938939570241E-4</v>
      </c>
      <c r="AE175" s="305">
        <f t="shared" si="65"/>
        <v>0.5</v>
      </c>
      <c r="AF175" s="177">
        <f t="shared" si="66"/>
        <v>0.74712347012013258</v>
      </c>
      <c r="AG175" s="811">
        <f t="shared" si="74"/>
        <v>1</v>
      </c>
      <c r="AH175" s="176">
        <f t="shared" si="67"/>
        <v>7</v>
      </c>
      <c r="AI175" s="225">
        <f t="shared" si="68"/>
        <v>1.7471234701201326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'2024'!Wh/'2024'!Env_an*'2025'!Env_an</f>
        <v>53.540767312817998</v>
      </c>
      <c r="C176" s="841"/>
      <c r="D176" s="393">
        <f t="shared" si="50"/>
        <v>56.628622410726386</v>
      </c>
      <c r="E176" s="385">
        <f t="shared" si="75"/>
        <v>58.929759441978995</v>
      </c>
      <c r="F176" s="385">
        <f t="shared" si="51"/>
        <v>58.930026321122149</v>
      </c>
      <c r="G176" s="110">
        <f t="shared" si="76"/>
        <v>0.92608348923920181</v>
      </c>
      <c r="H176" s="414" t="b">
        <f>Wh_hp&gt;='2024'!Maxi_hp</f>
        <v>1</v>
      </c>
      <c r="I176" s="390">
        <f>IF(H176,Wh_hp,'2024'!Maxi_hp)</f>
        <v>58.930026321122149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5.4528169085806599E-2</v>
      </c>
      <c r="M176" s="845"/>
      <c r="N176" s="845"/>
      <c r="O176" s="48">
        <f>IF(t&lt;Tnet,'2024'!Resal+('2024'!Salim-'2024'!Resal)*(1-EXP(('2024'!Tnet-t)/('2024'!Tau_j))),Resal+(Salim-Resal)*(1-EXP((Tnet-t)/(Tau_j))))*Salcycl</f>
        <v>3.9048810873193243E-2</v>
      </c>
      <c r="P176" s="169">
        <f>(INDEX(Models!$BJ176:$BT176,,T176)*(1-R176)+INDEX(Models!$BJ176:$BT176,,T176+1)*R176-ERP_i)*Q176*Ramure*Pc/MaxiM</f>
        <v>5.0634140824580777E-6</v>
      </c>
      <c r="Q176" s="305">
        <f t="shared" si="53"/>
        <v>0.5</v>
      </c>
      <c r="R176" s="177">
        <f t="shared" si="54"/>
        <v>0.22728102005716511</v>
      </c>
      <c r="S176" s="811">
        <f t="shared" si="55"/>
        <v>-2</v>
      </c>
      <c r="T176" s="176">
        <f t="shared" si="56"/>
        <v>4</v>
      </c>
      <c r="U176" s="251">
        <f t="shared" si="57"/>
        <v>-1.7727189799428349</v>
      </c>
      <c r="V176" s="383">
        <f t="shared" si="58"/>
        <v>57.81415963927185</v>
      </c>
      <c r="W176" s="402">
        <f t="shared" si="59"/>
        <v>53.540767312817998</v>
      </c>
      <c r="X176" s="157">
        <f t="shared" si="60"/>
        <v>45819</v>
      </c>
      <c r="Y176" s="385">
        <f t="shared" si="61"/>
        <v>50.847403853022456</v>
      </c>
      <c r="Z176" s="385">
        <f t="shared" si="62"/>
        <v>53.779924679360576</v>
      </c>
      <c r="AA176" s="386">
        <f t="shared" si="63"/>
        <v>58.921930849507604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8.7268120647305644E-2</v>
      </c>
      <c r="AD176" s="231">
        <f>(INDEX(Models!$BJ176:$BT176,,AH176)*(1-AF176)+INDEX(Models!$BJ176:$BT176,,AH176+1)*AF176-ERP_i)*AE176*Ramure*Pc/MaxiM</f>
        <v>1.535928379153666E-4</v>
      </c>
      <c r="AE176" s="305">
        <f t="shared" si="65"/>
        <v>0.5</v>
      </c>
      <c r="AF176" s="177">
        <f t="shared" si="66"/>
        <v>0.75226858643114403</v>
      </c>
      <c r="AG176" s="811">
        <f t="shared" si="74"/>
        <v>1</v>
      </c>
      <c r="AH176" s="176">
        <f t="shared" si="67"/>
        <v>7</v>
      </c>
      <c r="AI176" s="225">
        <f t="shared" si="68"/>
        <v>1.752268586431144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'2024'!Wh/'2024'!Env_an*'2025'!Env_an</f>
        <v>40.967480503697999</v>
      </c>
      <c r="C177" s="841"/>
      <c r="D177" s="393">
        <f t="shared" si="50"/>
        <v>43.331145864707253</v>
      </c>
      <c r="E177" s="385">
        <f t="shared" si="75"/>
        <v>45.096187049766606</v>
      </c>
      <c r="F177" s="385">
        <f t="shared" si="51"/>
        <v>45.096322244152859</v>
      </c>
      <c r="G177" s="110">
        <f t="shared" si="76"/>
        <v>0.70911079511600539</v>
      </c>
      <c r="H177" s="414" t="b">
        <f>Wh_hp&gt;='2024'!Maxi_hp</f>
        <v>0</v>
      </c>
      <c r="I177" s="390">
        <f>IF(H177,Wh_hp,'2024'!Maxi_hp)</f>
        <v>58.244062693126686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5.4548877345393043E-2</v>
      </c>
      <c r="M177" s="845"/>
      <c r="N177" s="845"/>
      <c r="O177" s="48">
        <f>IF(t&lt;Tnet,'2024'!Resal+('2024'!Salim-'2024'!Resal)*(1-EXP(('2024'!Tnet-t)/('2024'!Tau_j))),Resal+(Salim-Resal)*(1-EXP((Tnet-t)/(Tau_j))))*Salcycl</f>
        <v>3.9139477204835856E-2</v>
      </c>
      <c r="P177" s="169">
        <f>(INDEX(Models!$BJ177:$BT177,,T177)*(1-R177)+INDEX(Models!$BJ177:$BT177,,T177+1)*R177-ERP_i)*Q177*Ramure*Pc/MaxiM</f>
        <v>5.1294763234634604E-6</v>
      </c>
      <c r="Q177" s="305">
        <f t="shared" si="53"/>
        <v>0.5</v>
      </c>
      <c r="R177" s="177">
        <f t="shared" si="54"/>
        <v>0.23242179470147106</v>
      </c>
      <c r="S177" s="811">
        <f t="shared" si="55"/>
        <v>-2</v>
      </c>
      <c r="T177" s="176">
        <f t="shared" si="56"/>
        <v>4</v>
      </c>
      <c r="U177" s="251">
        <f t="shared" si="57"/>
        <v>-1.7675782052985289</v>
      </c>
      <c r="V177" s="383">
        <f t="shared" si="58"/>
        <v>57.772908634867719</v>
      </c>
      <c r="W177" s="402">
        <f t="shared" si="59"/>
        <v>40.967480503697999</v>
      </c>
      <c r="X177" s="157">
        <f t="shared" si="60"/>
        <v>45820</v>
      </c>
      <c r="Y177" s="385">
        <f t="shared" si="61"/>
        <v>38.909070026051772</v>
      </c>
      <c r="Z177" s="385">
        <f t="shared" si="62"/>
        <v>41.153973054475991</v>
      </c>
      <c r="AA177" s="386">
        <f t="shared" si="63"/>
        <v>45.092431119008182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8.7341887913246236E-2</v>
      </c>
      <c r="AD177" s="231">
        <f>(INDEX(Models!$BJ177:$BT177,,AH177)*(1-AF177)+INDEX(Models!$BJ177:$BT177,,AH177+1)*AF177-ERP_i)*AE177*Ramure*Pc/MaxiM</f>
        <v>1.4763508200623862E-4</v>
      </c>
      <c r="AE177" s="305">
        <f t="shared" si="65"/>
        <v>0.5</v>
      </c>
      <c r="AF177" s="177">
        <f t="shared" si="66"/>
        <v>0.75740936107544998</v>
      </c>
      <c r="AG177" s="811">
        <f t="shared" si="74"/>
        <v>1</v>
      </c>
      <c r="AH177" s="176">
        <f t="shared" si="67"/>
        <v>7</v>
      </c>
      <c r="AI177" s="225">
        <f t="shared" si="68"/>
        <v>1.75740936107545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'2024'!Wh/'2024'!Env_an*'2025'!Env_an</f>
        <v>51.871824126720718</v>
      </c>
      <c r="C178" s="841"/>
      <c r="D178" s="393">
        <f t="shared" si="50"/>
        <v>54.865829692001455</v>
      </c>
      <c r="E178" s="385">
        <f t="shared" si="75"/>
        <v>57.106079118906351</v>
      </c>
      <c r="F178" s="385">
        <f t="shared" si="51"/>
        <v>57.106335496746134</v>
      </c>
      <c r="G178" s="110">
        <f t="shared" si="76"/>
        <v>0.8985764536320181</v>
      </c>
      <c r="H178" s="414" t="b">
        <f>Wh_hp&gt;='2024'!Maxi_hp</f>
        <v>0</v>
      </c>
      <c r="I178" s="390">
        <f>IF(H178,Wh_hp,'2024'!Maxi_hp)</f>
        <v>66.115436428019962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5.4569585151415523E-2</v>
      </c>
      <c r="M178" s="845"/>
      <c r="N178" s="845"/>
      <c r="O178" s="48">
        <f>IF(t&lt;Tnet,'2024'!Resal+('2024'!Salim-'2024'!Resal)*(1-EXP(('2024'!Tnet-t)/('2024'!Tau_j))),Resal+(Salim-Resal)*(1-EXP((Tnet-t)/(Tau_j))))*Salcycl</f>
        <v>3.9229613755135305E-2</v>
      </c>
      <c r="P178" s="169">
        <f>(INDEX(Models!$BJ178:$BT178,,T178)*(1-R178)+INDEX(Models!$BJ178:$BT178,,T178+1)*R178-ERP_i)*Q178*Ramure*Pc/MaxiM</f>
        <v>5.2501789527706958E-6</v>
      </c>
      <c r="Q178" s="305">
        <f t="shared" si="53"/>
        <v>0.5</v>
      </c>
      <c r="R178" s="177">
        <f t="shared" si="54"/>
        <v>0.23755390065473758</v>
      </c>
      <c r="S178" s="811">
        <f t="shared" si="55"/>
        <v>-2</v>
      </c>
      <c r="T178" s="176">
        <f t="shared" si="56"/>
        <v>4</v>
      </c>
      <c r="U178" s="251">
        <f t="shared" si="57"/>
        <v>-1.7624460993452624</v>
      </c>
      <c r="V178" s="383">
        <f t="shared" si="58"/>
        <v>57.726623547854722</v>
      </c>
      <c r="W178" s="402">
        <f t="shared" si="59"/>
        <v>51.871824126720718</v>
      </c>
      <c r="X178" s="157">
        <f t="shared" si="60"/>
        <v>45821</v>
      </c>
      <c r="Y178" s="385">
        <f t="shared" si="61"/>
        <v>49.264514754613963</v>
      </c>
      <c r="Z178" s="385">
        <f t="shared" si="62"/>
        <v>52.108028238655649</v>
      </c>
      <c r="AA178" s="386">
        <f t="shared" si="63"/>
        <v>57.099335065166379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8.741444748549608E-2</v>
      </c>
      <c r="AD178" s="231">
        <f>(INDEX(Models!$BJ178:$BT178,,AH178)*(1-AF178)+INDEX(Models!$BJ178:$BT178,,AH178+1)*AF178-ERP_i)*AE178*Ramure*Pc/MaxiM</f>
        <v>1.4335684617452934E-4</v>
      </c>
      <c r="AE178" s="305">
        <f t="shared" si="65"/>
        <v>0.5</v>
      </c>
      <c r="AF178" s="177">
        <f t="shared" si="66"/>
        <v>0.7625414670287165</v>
      </c>
      <c r="AG178" s="811">
        <f t="shared" si="74"/>
        <v>1</v>
      </c>
      <c r="AH178" s="176">
        <f t="shared" si="67"/>
        <v>7</v>
      </c>
      <c r="AI178" s="225">
        <f t="shared" si="68"/>
        <v>1.7625414670287165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'2024'!Wh/'2024'!Env_an*'2025'!Env_an</f>
        <v>47.309456832728557</v>
      </c>
      <c r="C179" s="841"/>
      <c r="D179" s="393">
        <f t="shared" si="50"/>
        <v>50.041221766196969</v>
      </c>
      <c r="E179" s="385">
        <f t="shared" si="75"/>
        <v>52.089332544575498</v>
      </c>
      <c r="F179" s="385">
        <f t="shared" si="51"/>
        <v>52.089540653410545</v>
      </c>
      <c r="G179" s="110">
        <f t="shared" si="76"/>
        <v>0.82026557525212229</v>
      </c>
      <c r="H179" s="414" t="b">
        <f>Wh_hp&gt;='2024'!Maxi_hp</f>
        <v>0</v>
      </c>
      <c r="I179" s="390">
        <f>IF(H179,Wh_hp,'2024'!Maxi_hp)</f>
        <v>57.514759839675243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5.4590292503883919E-2</v>
      </c>
      <c r="M179" s="845"/>
      <c r="N179" s="845"/>
      <c r="O179" s="48">
        <f>IF(t&lt;Tnet,'2024'!Resal+('2024'!Salim-'2024'!Resal)*(1-EXP(('2024'!Tnet-t)/('2024'!Tau_j))),Resal+(Salim-Resal)*(1-EXP((Tnet-t)/(Tau_j))))*Salcycl</f>
        <v>3.9319197968717683E-2</v>
      </c>
      <c r="P179" s="169">
        <f>(INDEX(Models!$BJ179:$BT179,,T179)*(1-R179)+INDEX(Models!$BJ179:$BT179,,T179+1)*R179-ERP_i)*Q179*Ramure*Pc/MaxiM</f>
        <v>5.3754149498592473E-6</v>
      </c>
      <c r="Q179" s="305">
        <f t="shared" si="53"/>
        <v>0.5</v>
      </c>
      <c r="R179" s="177">
        <f t="shared" si="54"/>
        <v>0.24267304007256363</v>
      </c>
      <c r="S179" s="811">
        <f t="shared" si="55"/>
        <v>-2</v>
      </c>
      <c r="T179" s="176">
        <f t="shared" si="56"/>
        <v>4</v>
      </c>
      <c r="U179" s="251">
        <f t="shared" si="57"/>
        <v>-1.7573269599274364</v>
      </c>
      <c r="V179" s="383">
        <f t="shared" si="58"/>
        <v>57.675700362464369</v>
      </c>
      <c r="W179" s="402">
        <f t="shared" si="59"/>
        <v>47.309456832728557</v>
      </c>
      <c r="X179" s="157">
        <f t="shared" si="60"/>
        <v>45822</v>
      </c>
      <c r="Y179" s="385">
        <f t="shared" si="61"/>
        <v>44.932969466502463</v>
      </c>
      <c r="Z179" s="385">
        <f t="shared" si="62"/>
        <v>47.527510147432089</v>
      </c>
      <c r="AA179" s="386">
        <f t="shared" si="63"/>
        <v>52.084129521145506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8.7485754597539822E-2</v>
      </c>
      <c r="AD179" s="231">
        <f>(INDEX(Models!$BJ179:$BT179,,AH179)*(1-AF179)+INDEX(Models!$BJ179:$BT179,,AH179+1)*AF179-ERP_i)*AE179*Ramure*Pc/MaxiM</f>
        <v>1.3976860360919192E-4</v>
      </c>
      <c r="AE179" s="305">
        <f t="shared" si="65"/>
        <v>0.5</v>
      </c>
      <c r="AF179" s="177">
        <f t="shared" si="66"/>
        <v>0.76766060644654255</v>
      </c>
      <c r="AG179" s="811">
        <f t="shared" si="74"/>
        <v>1</v>
      </c>
      <c r="AH179" s="176">
        <f t="shared" si="67"/>
        <v>7</v>
      </c>
      <c r="AI179" s="225">
        <f t="shared" si="68"/>
        <v>1.7676606064465425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'2024'!Wh/'2024'!Env_an*'2025'!Env_an</f>
        <v>51.606390957256842</v>
      </c>
      <c r="C180" s="841"/>
      <c r="D180" s="393">
        <f t="shared" si="50"/>
        <v>54.587467089904422</v>
      </c>
      <c r="E180" s="385">
        <f t="shared" si="75"/>
        <v>56.826913985656397</v>
      </c>
      <c r="F180" s="385">
        <f t="shared" si="51"/>
        <v>56.827180192934549</v>
      </c>
      <c r="G180" s="110">
        <f t="shared" si="76"/>
        <v>0.89562430147224426</v>
      </c>
      <c r="H180" s="414" t="b">
        <f>Wh_hp&gt;='2024'!Maxi_hp</f>
        <v>1</v>
      </c>
      <c r="I180" s="390">
        <f>IF(H180,Wh_hp,'2024'!Maxi_hp)</f>
        <v>56.827180192934549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5.4610999402808114E-2</v>
      </c>
      <c r="M180" s="845"/>
      <c r="N180" s="845"/>
      <c r="O180" s="48">
        <f>IF(t&lt;Tnet,'2024'!Resal+('2024'!Salim-'2024'!Resal)*(1-EXP(('2024'!Tnet-t)/('2024'!Tau_j))),Resal+(Salim-Resal)*(1-EXP((Tnet-t)/(Tau_j))))*Salcycl</f>
        <v>3.940820886943168E-2</v>
      </c>
      <c r="P180" s="169">
        <f>(INDEX(Models!$BJ180:$BT180,,T180)*(1-R180)+INDEX(Models!$BJ180:$BT180,,T180+1)*R180-ERP_i)*Q180*Ramure*Pc/MaxiM</f>
        <v>5.5054004459030325E-6</v>
      </c>
      <c r="Q180" s="305">
        <f t="shared" si="53"/>
        <v>0.5</v>
      </c>
      <c r="R180" s="177">
        <f t="shared" si="54"/>
        <v>0.24777495861970356</v>
      </c>
      <c r="S180" s="811">
        <f t="shared" si="55"/>
        <v>-2</v>
      </c>
      <c r="T180" s="176">
        <f t="shared" si="56"/>
        <v>4</v>
      </c>
      <c r="U180" s="251">
        <f t="shared" si="57"/>
        <v>-1.7522250413802964</v>
      </c>
      <c r="V180" s="383">
        <f t="shared" si="58"/>
        <v>57.620531855642703</v>
      </c>
      <c r="W180" s="402">
        <f t="shared" si="59"/>
        <v>51.606390957256842</v>
      </c>
      <c r="X180" s="157">
        <f t="shared" si="60"/>
        <v>45823</v>
      </c>
      <c r="Y180" s="385">
        <f t="shared" si="61"/>
        <v>49.014253379125535</v>
      </c>
      <c r="Z180" s="385">
        <f t="shared" si="62"/>
        <v>51.845593029074557</v>
      </c>
      <c r="AA180" s="386">
        <f t="shared" si="63"/>
        <v>56.820560889407048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8.7555768237056686E-2</v>
      </c>
      <c r="AD180" s="231">
        <f>(INDEX(Models!$BJ180:$BT180,,AH180)*(1-AF180)+INDEX(Models!$BJ180:$BT180,,AH180+1)*AF180-ERP_i)*AE180*Ramure*Pc/MaxiM</f>
        <v>1.3689301376314169E-4</v>
      </c>
      <c r="AE180" s="305">
        <f t="shared" si="65"/>
        <v>0.5</v>
      </c>
      <c r="AF180" s="177">
        <f t="shared" si="66"/>
        <v>0.77276252499368248</v>
      </c>
      <c r="AG180" s="811">
        <f t="shared" si="74"/>
        <v>1</v>
      </c>
      <c r="AH180" s="176">
        <f t="shared" si="67"/>
        <v>7</v>
      </c>
      <c r="AI180" s="225">
        <f t="shared" si="68"/>
        <v>1.7727625249936825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'2024'!Wh/'2024'!Env_an*'2025'!Env_an</f>
        <v>49.596273617498888</v>
      </c>
      <c r="C181" s="841"/>
      <c r="D181" s="393">
        <f t="shared" si="50"/>
        <v>52.462383099062343</v>
      </c>
      <c r="E181" s="385">
        <f t="shared" si="75"/>
        <v>54.619676079556861</v>
      </c>
      <c r="F181" s="385">
        <f t="shared" si="51"/>
        <v>54.619923253995026</v>
      </c>
      <c r="G181" s="110">
        <f t="shared" si="76"/>
        <v>0.86162120973898215</v>
      </c>
      <c r="H181" s="414" t="b">
        <f>Wh_hp&gt;='2024'!Maxi_hp</f>
        <v>0</v>
      </c>
      <c r="I181" s="390">
        <f>IF(H181,Wh_hp,'2024'!Maxi_hp)</f>
        <v>64.761857489550721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5.4631705848198098E-2</v>
      </c>
      <c r="M181" s="845"/>
      <c r="N181" s="845"/>
      <c r="O181" s="48">
        <f>IF(t&lt;Tnet,'2024'!Resal+('2024'!Salim-'2024'!Resal)*(1-EXP(('2024'!Tnet-t)/('2024'!Tau_j))),Resal+(Salim-Resal)*(1-EXP((Tnet-t)/(Tau_j))))*Salcycl</f>
        <v>3.9496627137668994E-2</v>
      </c>
      <c r="P181" s="169">
        <f>(INDEX(Models!$BJ181:$BT181,,T181)*(1-R181)+INDEX(Models!$BJ181:$BT181,,T181+1)*R181-ERP_i)*Q181*Ramure*Pc/MaxiM</f>
        <v>5.6403527598123398E-6</v>
      </c>
      <c r="Q181" s="305">
        <f t="shared" si="53"/>
        <v>0.5</v>
      </c>
      <c r="R181" s="177">
        <f t="shared" si="54"/>
        <v>0.25285545948997545</v>
      </c>
      <c r="S181" s="811">
        <f t="shared" si="55"/>
        <v>-2</v>
      </c>
      <c r="T181" s="176">
        <f t="shared" si="56"/>
        <v>4</v>
      </c>
      <c r="U181" s="251">
        <f t="shared" si="57"/>
        <v>-1.7471445405100245</v>
      </c>
      <c r="V181" s="383">
        <f t="shared" si="58"/>
        <v>57.561510506971189</v>
      </c>
      <c r="W181" s="402">
        <f t="shared" si="59"/>
        <v>49.596273617498888</v>
      </c>
      <c r="X181" s="157">
        <f t="shared" si="60"/>
        <v>45824</v>
      </c>
      <c r="Y181" s="385">
        <f t="shared" si="61"/>
        <v>47.106279015008624</v>
      </c>
      <c r="Z181" s="385">
        <f t="shared" si="62"/>
        <v>49.828494679180096</v>
      </c>
      <c r="AA181" s="386">
        <f t="shared" si="63"/>
        <v>54.614018042887558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8.7624451289217767E-2</v>
      </c>
      <c r="AD181" s="231">
        <f>(INDEX(Models!$BJ181:$BT181,,AH181)*(1-AF181)+INDEX(Models!$BJ181:$BT181,,AH181+1)*AF181-ERP_i)*AE181*Ramure*Pc/MaxiM</f>
        <v>1.3475290573843391E-4</v>
      </c>
      <c r="AE181" s="305">
        <f t="shared" si="65"/>
        <v>0.5</v>
      </c>
      <c r="AF181" s="177">
        <f t="shared" si="66"/>
        <v>0.77784302586395437</v>
      </c>
      <c r="AG181" s="811">
        <f t="shared" si="74"/>
        <v>1</v>
      </c>
      <c r="AH181" s="176">
        <f t="shared" si="67"/>
        <v>7</v>
      </c>
      <c r="AI181" s="225">
        <f t="shared" si="68"/>
        <v>1.7778430258639544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'2024'!Wh/'2024'!Env_an*'2025'!Env_an</f>
        <v>49.664121750993424</v>
      </c>
      <c r="C182" s="841"/>
      <c r="D182" s="393">
        <f t="shared" si="50"/>
        <v>52.535302753203965</v>
      </c>
      <c r="E182" s="385">
        <f t="shared" si="75"/>
        <v>54.700594906527172</v>
      </c>
      <c r="F182" s="385">
        <f t="shared" si="51"/>
        <v>54.700849553378802</v>
      </c>
      <c r="G182" s="110">
        <f t="shared" si="76"/>
        <v>0.86373747812043578</v>
      </c>
      <c r="H182" s="414" t="b">
        <f>Wh_hp&gt;='2024'!Maxi_hp</f>
        <v>0</v>
      </c>
      <c r="I182" s="390">
        <f>IF(H182,Wh_hp,'2024'!Maxi_hp)</f>
        <v>62.682408537874828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5.4652411840063864E-2</v>
      </c>
      <c r="M182" s="845"/>
      <c r="N182" s="845"/>
      <c r="O182" s="48">
        <f>IF(t&lt;Tnet,'2024'!Resal+('2024'!Salim-'2024'!Resal)*(1-EXP(('2024'!Tnet-t)/('2024'!Tau_j))),Resal+(Salim-Resal)*(1-EXP((Tnet-t)/(Tau_j))))*Salcycl</f>
        <v>3.9584435178872883E-2</v>
      </c>
      <c r="P182" s="169">
        <f>(INDEX(Models!$BJ182:$BT182,,T182)*(1-R182)+INDEX(Models!$BJ182:$BT182,,T182+1)*R182-ERP_i)*Q182*Ramure*Pc/MaxiM</f>
        <v>5.7804895799094046E-6</v>
      </c>
      <c r="Q182" s="305">
        <f t="shared" si="53"/>
        <v>0.5</v>
      </c>
      <c r="R182" s="177">
        <f t="shared" si="54"/>
        <v>0.25791041701963513</v>
      </c>
      <c r="S182" s="811">
        <f t="shared" si="55"/>
        <v>-2</v>
      </c>
      <c r="T182" s="176">
        <f t="shared" si="56"/>
        <v>4</v>
      </c>
      <c r="U182" s="251">
        <f t="shared" si="57"/>
        <v>-1.7420895829803649</v>
      </c>
      <c r="V182" s="383">
        <f t="shared" si="58"/>
        <v>57.499028495818173</v>
      </c>
      <c r="W182" s="402">
        <f t="shared" si="59"/>
        <v>49.664121750993424</v>
      </c>
      <c r="X182" s="157">
        <f t="shared" si="60"/>
        <v>45825</v>
      </c>
      <c r="Y182" s="385">
        <f t="shared" si="61"/>
        <v>47.171592106746687</v>
      </c>
      <c r="Z182" s="385">
        <f t="shared" si="62"/>
        <v>49.898675045613047</v>
      </c>
      <c r="AA182" s="386">
        <f t="shared" si="63"/>
        <v>54.69497417739565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8.7691770659338197E-2</v>
      </c>
      <c r="AD182" s="231">
        <f>(INDEX(Models!$BJ182:$BT182,,AH182)*(1-AF182)+INDEX(Models!$BJ182:$BT182,,AH182+1)*AF182-ERP_i)*AE182*Ramure*Pc/MaxiM</f>
        <v>1.3337117435599524E-4</v>
      </c>
      <c r="AE182" s="305">
        <f t="shared" si="65"/>
        <v>0.5</v>
      </c>
      <c r="AF182" s="177">
        <f t="shared" si="66"/>
        <v>0.78289798339361427</v>
      </c>
      <c r="AG182" s="811">
        <f t="shared" si="74"/>
        <v>1</v>
      </c>
      <c r="AH182" s="176">
        <f t="shared" si="67"/>
        <v>7</v>
      </c>
      <c r="AI182" s="225">
        <f t="shared" si="68"/>
        <v>1.7828979833936143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'2024'!Wh/'2024'!Env_an*'2025'!Env_an</f>
        <v>52.917821378329819</v>
      </c>
      <c r="C183" s="841"/>
      <c r="D183" s="393">
        <f t="shared" si="50"/>
        <v>55.978331253606029</v>
      </c>
      <c r="E183" s="385">
        <f t="shared" si="75"/>
        <v>58.290822446988415</v>
      </c>
      <c r="F183" s="385">
        <f t="shared" si="51"/>
        <v>58.291129082557489</v>
      </c>
      <c r="G183" s="110">
        <f t="shared" si="76"/>
        <v>0.92137527228658522</v>
      </c>
      <c r="H183" s="414" t="b">
        <f>Wh_hp&gt;='2024'!Maxi_hp</f>
        <v>0</v>
      </c>
      <c r="I183" s="390">
        <f>IF(H183,Wh_hp,'2024'!Maxi_hp)</f>
        <v>60.904385564297691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5.4673117378415181E-2</v>
      </c>
      <c r="M183" s="845"/>
      <c r="N183" s="845"/>
      <c r="O183" s="48">
        <f>IF(t&lt;Tnet,'2024'!Resal+('2024'!Salim-'2024'!Resal)*(1-EXP(('2024'!Tnet-t)/('2024'!Tau_j))),Resal+(Salim-Resal)*(1-EXP((Tnet-t)/(Tau_j))))*Salcycl</f>
        <v>3.9671617182712358E-2</v>
      </c>
      <c r="P183" s="169">
        <f>(INDEX(Models!$BJ183:$BT183,,T183)*(1-R183)+INDEX(Models!$BJ183:$BT183,,T183+1)*R183-ERP_i)*Q183*Ramure*Pc/MaxiM</f>
        <v>5.9260281211675672E-6</v>
      </c>
      <c r="Q183" s="305">
        <f t="shared" si="53"/>
        <v>0.5</v>
      </c>
      <c r="R183" s="177">
        <f t="shared" si="54"/>
        <v>0.26293578980190713</v>
      </c>
      <c r="S183" s="811">
        <f t="shared" si="55"/>
        <v>-2</v>
      </c>
      <c r="T183" s="176">
        <f t="shared" si="56"/>
        <v>4</v>
      </c>
      <c r="U183" s="251">
        <f t="shared" si="57"/>
        <v>-1.7370642101980929</v>
      </c>
      <c r="V183" s="383">
        <f t="shared" si="58"/>
        <v>57.433477701281689</v>
      </c>
      <c r="W183" s="402">
        <f t="shared" si="59"/>
        <v>52.917821378329819</v>
      </c>
      <c r="X183" s="157">
        <f t="shared" si="60"/>
        <v>45826</v>
      </c>
      <c r="Y183" s="385">
        <f t="shared" si="61"/>
        <v>50.262431627089704</v>
      </c>
      <c r="Z183" s="385">
        <f t="shared" si="62"/>
        <v>53.169366650932112</v>
      </c>
      <c r="AA183" s="386">
        <f t="shared" si="63"/>
        <v>58.284259015257632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8.7757697373943608E-2</v>
      </c>
      <c r="AD183" s="231">
        <f>(INDEX(Models!$BJ183:$BT183,,AH183)*(1-AF183)+INDEX(Models!$BJ183:$BT183,,AH183+1)*AF183-ERP_i)*AE183*Ramure*Pc/MaxiM</f>
        <v>1.3277067672345905E-4</v>
      </c>
      <c r="AE183" s="305">
        <f t="shared" si="65"/>
        <v>0.5</v>
      </c>
      <c r="AF183" s="177">
        <f t="shared" si="66"/>
        <v>0.78792335617588605</v>
      </c>
      <c r="AG183" s="811">
        <f t="shared" si="74"/>
        <v>1</v>
      </c>
      <c r="AH183" s="176">
        <f t="shared" si="67"/>
        <v>7</v>
      </c>
      <c r="AI183" s="225">
        <f t="shared" si="68"/>
        <v>1.787923356175886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'2024'!Wh/'2024'!Env_an*'2025'!Env_an</f>
        <v>53.997895763923715</v>
      </c>
      <c r="C184" s="841"/>
      <c r="D184" s="393">
        <f t="shared" si="50"/>
        <v>57.122123019052381</v>
      </c>
      <c r="E184" s="385">
        <f t="shared" si="75"/>
        <v>59.487225603317562</v>
      </c>
      <c r="F184" s="385">
        <f t="shared" si="51"/>
        <v>59.487556722922172</v>
      </c>
      <c r="G184" s="110">
        <f t="shared" si="76"/>
        <v>0.94129927882991027</v>
      </c>
      <c r="H184" s="414" t="b">
        <f>Wh_hp&gt;='2024'!Maxi_hp</f>
        <v>1</v>
      </c>
      <c r="I184" s="390">
        <f>IF(H184,Wh_hp,'2024'!Maxi_hp)</f>
        <v>59.487556722922172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5.4693822463262043E-2</v>
      </c>
      <c r="M184" s="845"/>
      <c r="N184" s="845"/>
      <c r="O184" s="48">
        <f>IF(t&lt;Tnet,'2024'!Resal+('2024'!Salim-'2024'!Resal)*(1-EXP(('2024'!Tnet-t)/('2024'!Tau_j))),Resal+(Salim-Resal)*(1-EXP((Tnet-t)/(Tau_j))))*Salcycl</f>
        <v>3.9758159172467521E-2</v>
      </c>
      <c r="P184" s="169">
        <f>(INDEX(Models!$BJ184:$BT184,,T184)*(1-R184)+INDEX(Models!$BJ184:$BT184,,T184+1)*R184-ERP_i)*Q184*Ramure*Pc/MaxiM</f>
        <v>6.0756916765218824E-6</v>
      </c>
      <c r="Q184" s="305">
        <f t="shared" si="53"/>
        <v>0.5</v>
      </c>
      <c r="R184" s="177">
        <f t="shared" si="54"/>
        <v>0.26792763321631963</v>
      </c>
      <c r="S184" s="811">
        <f t="shared" si="55"/>
        <v>-2</v>
      </c>
      <c r="T184" s="176">
        <f t="shared" si="56"/>
        <v>4</v>
      </c>
      <c r="U184" s="251">
        <f t="shared" si="57"/>
        <v>-1.7320723667836804</v>
      </c>
      <c r="V184" s="383">
        <f t="shared" si="58"/>
        <v>57.365249784727446</v>
      </c>
      <c r="W184" s="402">
        <f t="shared" si="59"/>
        <v>53.997895763923715</v>
      </c>
      <c r="X184" s="157">
        <f t="shared" si="60"/>
        <v>45827</v>
      </c>
      <c r="Y184" s="385">
        <f t="shared" si="61"/>
        <v>51.289111863632293</v>
      </c>
      <c r="Z184" s="385">
        <f t="shared" si="62"/>
        <v>54.256613446958056</v>
      </c>
      <c r="AA184" s="386">
        <f t="shared" si="63"/>
        <v>59.480305093004191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8.7822206659469951E-2</v>
      </c>
      <c r="AD184" s="231">
        <f>(INDEX(Models!$BJ184:$BT184,,AH184)*(1-AF184)+INDEX(Models!$BJ184:$BT184,,AH184+1)*AF184-ERP_i)*AE184*Ramure*Pc/MaxiM</f>
        <v>1.3305967668629667E-4</v>
      </c>
      <c r="AE184" s="305">
        <f t="shared" si="65"/>
        <v>0.5</v>
      </c>
      <c r="AF184" s="177">
        <f t="shared" si="66"/>
        <v>0.79291519959029855</v>
      </c>
      <c r="AG184" s="811">
        <f t="shared" si="74"/>
        <v>1</v>
      </c>
      <c r="AH184" s="176">
        <f t="shared" si="67"/>
        <v>7</v>
      </c>
      <c r="AI184" s="225">
        <f t="shared" si="68"/>
        <v>1.7929151995902985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'2024'!Wh/'2024'!Env_an*'2025'!Env_an</f>
        <v>30.07191257143748</v>
      </c>
      <c r="C185" s="841"/>
      <c r="D185" s="393">
        <f t="shared" si="50"/>
        <v>31.812519533395392</v>
      </c>
      <c r="E185" s="385">
        <f t="shared" si="75"/>
        <v>33.132658816235697</v>
      </c>
      <c r="F185" s="385">
        <f t="shared" si="51"/>
        <v>33.132725043869129</v>
      </c>
      <c r="G185" s="110">
        <f t="shared" si="76"/>
        <v>0.52486122515100475</v>
      </c>
      <c r="H185" s="414" t="b">
        <f>Wh_hp&gt;='2024'!Maxi_hp</f>
        <v>0</v>
      </c>
      <c r="I185" s="390">
        <f>IF(H185,Wh_hp,'2024'!Maxi_hp)</f>
        <v>58.208712843769881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5.471452709461444E-2</v>
      </c>
      <c r="M185" s="845"/>
      <c r="N185" s="845"/>
      <c r="O185" s="48">
        <f>IF(t&lt;Tnet,'2024'!Resal+('2024'!Salim-'2024'!Resal)*(1-EXP(('2024'!Tnet-t)/('2024'!Tau_j))),Resal+(Salim-Resal)*(1-EXP((Tnet-t)/(Tau_j))))*Salcycl</f>
        <v>3.984404904424417E-2</v>
      </c>
      <c r="P185" s="169">
        <f>(INDEX(Models!$BJ185:$BT185,,T185)*(1-R185)+INDEX(Models!$BJ185:$BT185,,T185+1)*R185-ERP_i)*Q185*Ramure*Pc/MaxiM</f>
        <v>6.2224478539263497E-6</v>
      </c>
      <c r="Q185" s="305">
        <f t="shared" si="53"/>
        <v>0.5</v>
      </c>
      <c r="R185" s="177">
        <f t="shared" si="54"/>
        <v>0.27288211129340212</v>
      </c>
      <c r="S185" s="811">
        <f t="shared" si="55"/>
        <v>-2</v>
      </c>
      <c r="T185" s="176">
        <f t="shared" si="56"/>
        <v>4</v>
      </c>
      <c r="U185" s="251">
        <f t="shared" si="57"/>
        <v>-1.7271178887065979</v>
      </c>
      <c r="V185" s="383">
        <f t="shared" si="58"/>
        <v>57.294736434618457</v>
      </c>
      <c r="W185" s="402">
        <f t="shared" si="59"/>
        <v>30.07191257143748</v>
      </c>
      <c r="X185" s="157">
        <f t="shared" si="60"/>
        <v>45828</v>
      </c>
      <c r="Y185" s="385">
        <f t="shared" si="61"/>
        <v>28.566101880816387</v>
      </c>
      <c r="Z185" s="385">
        <f t="shared" si="62"/>
        <v>30.219550283595222</v>
      </c>
      <c r="AA185" s="386">
        <f t="shared" si="63"/>
        <v>33.131304160145334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8.7885277997983346E-2</v>
      </c>
      <c r="AD185" s="231">
        <f>(INDEX(Models!$BJ185:$BT185,,AH185)*(1-AF185)+INDEX(Models!$BJ185:$BT185,,AH185+1)*AF185-ERP_i)*AE185*Ramure*Pc/MaxiM</f>
        <v>1.3349978581181647E-4</v>
      </c>
      <c r="AE185" s="305">
        <f t="shared" si="65"/>
        <v>0.5</v>
      </c>
      <c r="AF185" s="177">
        <f t="shared" si="66"/>
        <v>0.79786967766738082</v>
      </c>
      <c r="AG185" s="811">
        <f t="shared" si="74"/>
        <v>1</v>
      </c>
      <c r="AH185" s="176">
        <f t="shared" si="67"/>
        <v>7</v>
      </c>
      <c r="AI185" s="225">
        <f t="shared" si="68"/>
        <v>1.7978696776673808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'2024'!Wh/'2024'!Env_an*'2025'!Env_an</f>
        <v>22.457779024639461</v>
      </c>
      <c r="C186" s="841"/>
      <c r="D186" s="393">
        <f t="shared" si="50"/>
        <v>23.75818899383221</v>
      </c>
      <c r="E186" s="385">
        <f t="shared" si="75"/>
        <v>24.746290470756904</v>
      </c>
      <c r="F186" s="385">
        <f t="shared" si="51"/>
        <v>24.746311279824134</v>
      </c>
      <c r="G186" s="110">
        <f t="shared" si="76"/>
        <v>0.39246314282268541</v>
      </c>
      <c r="H186" s="414" t="b">
        <f>Wh_hp&gt;='2024'!Maxi_hp</f>
        <v>0</v>
      </c>
      <c r="I186" s="390">
        <f>IF(H186,Wh_hp,'2024'!Maxi_hp)</f>
        <v>54.428674381419142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5.4735231272482254E-2</v>
      </c>
      <c r="M186" s="845"/>
      <c r="N186" s="845"/>
      <c r="O186" s="48">
        <f>IF(t&lt;Tnet,'2024'!Resal+('2024'!Salim-'2024'!Resal)*(1-EXP(('2024'!Tnet-t)/('2024'!Tau_j))),Resal+(Salim-Resal)*(1-EXP((Tnet-t)/(Tau_j))))*Salcycl</f>
        <v>3.9929276595712458E-2</v>
      </c>
      <c r="P186" s="169">
        <f>(INDEX(Models!$BJ186:$BT186,,T186)*(1-R186)+INDEX(Models!$BJ186:$BT186,,T186+1)*R186-ERP_i)*Q186*Ramure*Pc/MaxiM</f>
        <v>6.3659224850906389E-6</v>
      </c>
      <c r="Q186" s="305">
        <f t="shared" si="53"/>
        <v>0.5</v>
      </c>
      <c r="R186" s="177">
        <f t="shared" si="54"/>
        <v>0.27779550784302875</v>
      </c>
      <c r="S186" s="811">
        <f t="shared" si="55"/>
        <v>-2</v>
      </c>
      <c r="T186" s="176">
        <f t="shared" si="56"/>
        <v>4</v>
      </c>
      <c r="U186" s="251">
        <f t="shared" si="57"/>
        <v>-1.7222044921569712</v>
      </c>
      <c r="V186" s="383">
        <f t="shared" si="58"/>
        <v>57.222328657881818</v>
      </c>
      <c r="W186" s="402">
        <f t="shared" si="59"/>
        <v>22.457779024639461</v>
      </c>
      <c r="X186" s="157">
        <f t="shared" si="60"/>
        <v>45829</v>
      </c>
      <c r="Y186" s="385">
        <f t="shared" si="61"/>
        <v>21.334200701752813</v>
      </c>
      <c r="Z186" s="385">
        <f t="shared" si="62"/>
        <v>22.569550254657397</v>
      </c>
      <c r="AA186" s="386">
        <f t="shared" si="63"/>
        <v>24.745872948487918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8.7946895159481772E-2</v>
      </c>
      <c r="AD186" s="231">
        <f>(INDEX(Models!$BJ186:$BT186,,AH186)*(1-AF186)+INDEX(Models!$BJ186:$BT186,,AH186+1)*AF186-ERP_i)*AE186*Ramure*Pc/MaxiM</f>
        <v>1.3409458858839866E-4</v>
      </c>
      <c r="AE186" s="305">
        <f t="shared" si="65"/>
        <v>0.5</v>
      </c>
      <c r="AF186" s="177">
        <f t="shared" si="66"/>
        <v>0.80278307421700767</v>
      </c>
      <c r="AG186" s="811">
        <f t="shared" si="74"/>
        <v>1</v>
      </c>
      <c r="AH186" s="176">
        <f t="shared" si="67"/>
        <v>7</v>
      </c>
      <c r="AI186" s="225">
        <f t="shared" si="68"/>
        <v>1.8027830742170077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'2024'!Wh/'2024'!Env_an*'2025'!Env_an</f>
        <v>37.564069284892426</v>
      </c>
      <c r="C187" s="841"/>
      <c r="D187" s="393">
        <f t="shared" si="50"/>
        <v>39.740074204822704</v>
      </c>
      <c r="E187" s="385">
        <f t="shared" si="75"/>
        <v>41.396507151283132</v>
      </c>
      <c r="F187" s="385">
        <f t="shared" si="51"/>
        <v>41.396644620624791</v>
      </c>
      <c r="G187" s="110">
        <f t="shared" si="76"/>
        <v>0.657305162763549</v>
      </c>
      <c r="H187" s="414" t="b">
        <f>Wh_hp&gt;='2024'!Maxi_hp</f>
        <v>0</v>
      </c>
      <c r="I187" s="390">
        <f>IF(H187,Wh_hp,'2024'!Maxi_hp)</f>
        <v>63.004166310746122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5.4755934996875477E-2</v>
      </c>
      <c r="M187" s="845"/>
      <c r="N187" s="845"/>
      <c r="O187" s="48">
        <f>IF(t&lt;Tnet,'2024'!Resal+('2024'!Salim-'2024'!Resal)*(1-EXP(('2024'!Tnet-t)/('2024'!Tau_j))),Resal+(Salim-Resal)*(1-EXP((Tnet-t)/(Tau_j))))*Salcycl</f>
        <v>4.0013833544144443E-2</v>
      </c>
      <c r="P187" s="169">
        <f>(INDEX(Models!$BJ187:$BT187,,T187)*(1-R187)+INDEX(Models!$BJ187:$BT187,,T187+1)*R187-ERP_i)*Q187*Ramure*Pc/MaxiM</f>
        <v>6.505743189233976E-6</v>
      </c>
      <c r="Q187" s="305">
        <f t="shared" si="53"/>
        <v>0.5</v>
      </c>
      <c r="R187" s="177">
        <f t="shared" si="54"/>
        <v>0.28266423678311625</v>
      </c>
      <c r="S187" s="811">
        <f t="shared" si="55"/>
        <v>-2</v>
      </c>
      <c r="T187" s="176">
        <f t="shared" si="56"/>
        <v>4</v>
      </c>
      <c r="U187" s="251">
        <f t="shared" si="57"/>
        <v>-1.7173357632168837</v>
      </c>
      <c r="V187" s="383">
        <f t="shared" si="58"/>
        <v>57.148417162219005</v>
      </c>
      <c r="W187" s="402">
        <f t="shared" si="59"/>
        <v>37.564069284892426</v>
      </c>
      <c r="X187" s="157">
        <f t="shared" si="60"/>
        <v>45830</v>
      </c>
      <c r="Y187" s="385">
        <f t="shared" si="61"/>
        <v>35.683766513178824</v>
      </c>
      <c r="Z187" s="385">
        <f t="shared" si="62"/>
        <v>37.750849578791978</v>
      </c>
      <c r="AA187" s="386">
        <f t="shared" si="63"/>
        <v>41.393795228275607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8.8007046210519316E-2</v>
      </c>
      <c r="AD187" s="231">
        <f>(INDEX(Models!$BJ187:$BT187,,AH187)*(1-AF187)+INDEX(Models!$BJ187:$BT187,,AH187+1)*AF187-ERP_i)*AE187*Ramure*Pc/MaxiM</f>
        <v>1.3484762962812829E-4</v>
      </c>
      <c r="AE187" s="305">
        <f t="shared" si="65"/>
        <v>0.5</v>
      </c>
      <c r="AF187" s="177">
        <f t="shared" si="66"/>
        <v>0.80765180315709517</v>
      </c>
      <c r="AG187" s="811">
        <f t="shared" si="74"/>
        <v>1</v>
      </c>
      <c r="AH187" s="176">
        <f t="shared" si="67"/>
        <v>7</v>
      </c>
      <c r="AI187" s="225">
        <f t="shared" si="68"/>
        <v>1.8076518031570952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'2024'!Wh/'2024'!Env_an*'2025'!Env_an</f>
        <v>40.120879336460717</v>
      </c>
      <c r="C188" s="841"/>
      <c r="D188" s="393">
        <f t="shared" si="50"/>
        <v>42.445924382292091</v>
      </c>
      <c r="E188" s="385">
        <f t="shared" si="75"/>
        <v>44.219005393293429</v>
      </c>
      <c r="F188" s="385">
        <f t="shared" si="51"/>
        <v>44.219174456711364</v>
      </c>
      <c r="G188" s="110">
        <f t="shared" si="76"/>
        <v>0.70296796122990812</v>
      </c>
      <c r="H188" s="414" t="b">
        <f>Wh_hp&gt;='2024'!Maxi_hp</f>
        <v>0</v>
      </c>
      <c r="I188" s="390">
        <f>IF(H188,Wh_hp,'2024'!Maxi_hp)</f>
        <v>55.386626209177535</v>
      </c>
      <c r="J188" s="85">
        <f>IF(H188,An,'2024'!An_max)</f>
        <v>2019</v>
      </c>
      <c r="K188" s="197">
        <f t="shared" si="52"/>
        <v>45831</v>
      </c>
      <c r="L188" s="147">
        <f>IF(t&lt;Tvie,1-EXP((T0-t)*PertePVj)+'2024'!Pspv,1-EXP((T0-t)*PertePVj)+Pspv)</f>
        <v>5.477663826780399E-2</v>
      </c>
      <c r="M188" s="845"/>
      <c r="N188" s="845"/>
      <c r="O188" s="48">
        <f>IF(t&lt;Tnet,'2024'!Resal+('2024'!Salim-'2024'!Resal)*(1-EXP(('2024'!Tnet-t)/('2024'!Tau_j))),Resal+(Salim-Resal)*(1-EXP((Tnet-t)/(Tau_j))))*Salcycl</f>
        <v>4.0097713533607776E-2</v>
      </c>
      <c r="P188" s="169">
        <f>(INDEX(Models!$BJ188:$BT188,,T188)*(1-R188)+INDEX(Models!$BJ188:$BT188,,T188+1)*R188-ERP_i)*Q188*Ramure*Pc/MaxiM</f>
        <v>6.6414728458395091E-6</v>
      </c>
      <c r="Q188" s="305">
        <f t="shared" si="53"/>
        <v>0.5</v>
      </c>
      <c r="R188" s="177">
        <f t="shared" si="54"/>
        <v>0.28748485161433823</v>
      </c>
      <c r="S188" s="811">
        <f t="shared" si="55"/>
        <v>-2</v>
      </c>
      <c r="T188" s="176">
        <f t="shared" si="56"/>
        <v>4</v>
      </c>
      <c r="U188" s="251">
        <f t="shared" si="57"/>
        <v>-1.7125151483856618</v>
      </c>
      <c r="V188" s="383">
        <f t="shared" si="58"/>
        <v>57.07339236127622</v>
      </c>
      <c r="W188" s="402">
        <f t="shared" si="59"/>
        <v>40.120879336460717</v>
      </c>
      <c r="X188" s="157">
        <f t="shared" si="60"/>
        <v>45831</v>
      </c>
      <c r="Y188" s="385">
        <f t="shared" si="61"/>
        <v>38.113135059444254</v>
      </c>
      <c r="Z188" s="385">
        <f t="shared" si="62"/>
        <v>40.321829318309419</v>
      </c>
      <c r="AA188" s="386">
        <f t="shared" si="63"/>
        <v>44.215718563648728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8.8065723499077223E-2</v>
      </c>
      <c r="AD188" s="231">
        <f>(INDEX(Models!$BJ188:$BT188,,AH188)*(1-AF188)+INDEX(Models!$BJ188:$BT188,,AH188+1)*AF188-ERP_i)*AE188*Ramure*Pc/MaxiM</f>
        <v>1.3576100740041931E-4</v>
      </c>
      <c r="AE188" s="305">
        <f t="shared" si="65"/>
        <v>0.5</v>
      </c>
      <c r="AF188" s="177">
        <f t="shared" si="66"/>
        <v>0.81247241798831715</v>
      </c>
      <c r="AG188" s="811">
        <f t="shared" si="74"/>
        <v>1</v>
      </c>
      <c r="AH188" s="176">
        <f t="shared" si="67"/>
        <v>7</v>
      </c>
      <c r="AI188" s="225">
        <f t="shared" si="68"/>
        <v>1.8124724179883172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'2024'!Wh/'2024'!Env_an*'2025'!Env_an</f>
        <v>38.344763834171147</v>
      </c>
      <c r="C189" s="841"/>
      <c r="D189" s="393">
        <f t="shared" si="50"/>
        <v>40.567769750244295</v>
      </c>
      <c r="E189" s="385">
        <f t="shared" si="75"/>
        <v>42.266058534347515</v>
      </c>
      <c r="F189" s="385">
        <f t="shared" si="51"/>
        <v>42.266210962303788</v>
      </c>
      <c r="G189" s="110">
        <f t="shared" si="76"/>
        <v>0.67274082711487548</v>
      </c>
      <c r="H189" s="414" t="b">
        <f>Wh_hp&gt;='2024'!Maxi_hp</f>
        <v>0</v>
      </c>
      <c r="I189" s="390">
        <f>IF(H189,Wh_hp,'2024'!Maxi_hp)</f>
        <v>62.031075143124923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5.4797341085277784E-2</v>
      </c>
      <c r="M189" s="845"/>
      <c r="N189" s="845"/>
      <c r="O189" s="48">
        <f>IF(t&lt;Tnet,'2024'!Resal+('2024'!Salim-'2024'!Resal)*(1-EXP(('2024'!Tnet-t)/('2024'!Tau_j))),Resal+(Salim-Resal)*(1-EXP((Tnet-t)/(Tau_j))))*Salcycl</f>
        <v>4.0180912131257879E-2</v>
      </c>
      <c r="P189" s="169">
        <f>(INDEX(Models!$BJ189:$BT189,,T189)*(1-R189)+INDEX(Models!$BJ189:$BT189,,T189+1)*R189-ERP_i)*Q189*Ramure*Pc/MaxiM</f>
        <v>6.7726698267583164E-6</v>
      </c>
      <c r="Q189" s="305">
        <f t="shared" si="53"/>
        <v>0.5</v>
      </c>
      <c r="R189" s="177">
        <f t="shared" si="54"/>
        <v>0.29225405399588067</v>
      </c>
      <c r="S189" s="811">
        <f t="shared" si="55"/>
        <v>-2</v>
      </c>
      <c r="T189" s="176">
        <f t="shared" si="56"/>
        <v>4</v>
      </c>
      <c r="U189" s="251">
        <f t="shared" si="57"/>
        <v>-1.7077459460041193</v>
      </c>
      <c r="V189" s="383">
        <f t="shared" si="58"/>
        <v>56.997644378871804</v>
      </c>
      <c r="W189" s="402">
        <f t="shared" si="59"/>
        <v>38.344763834171147</v>
      </c>
      <c r="X189" s="157">
        <f t="shared" si="60"/>
        <v>45832</v>
      </c>
      <c r="Y189" s="385">
        <f t="shared" si="61"/>
        <v>36.426957878302389</v>
      </c>
      <c r="Z189" s="385">
        <f t="shared" si="62"/>
        <v>38.538780582915066</v>
      </c>
      <c r="AA189" s="386">
        <f t="shared" si="63"/>
        <v>42.263131271738644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8.8122923615791063E-2</v>
      </c>
      <c r="AD189" s="231">
        <f>(INDEX(Models!$BJ189:$BT189,,AH189)*(1-AF189)+INDEX(Models!$BJ189:$BT189,,AH189+1)*AF189-ERP_i)*AE189*Ramure*Pc/MaxiM</f>
        <v>1.3683662679882312E-4</v>
      </c>
      <c r="AE189" s="305">
        <f t="shared" si="65"/>
        <v>0.5</v>
      </c>
      <c r="AF189" s="177">
        <f t="shared" si="66"/>
        <v>0.81724162036985959</v>
      </c>
      <c r="AG189" s="811">
        <f t="shared" si="74"/>
        <v>1</v>
      </c>
      <c r="AH189" s="176">
        <f t="shared" si="67"/>
        <v>7</v>
      </c>
      <c r="AI189" s="225">
        <f t="shared" si="68"/>
        <v>1.8172416203698596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'2024'!Wh/'2024'!Env_an*'2025'!Env_an</f>
        <v>33.74467903874811</v>
      </c>
      <c r="C190" s="841"/>
      <c r="D190" s="393">
        <f t="shared" si="50"/>
        <v>35.701780810431991</v>
      </c>
      <c r="E190" s="385">
        <f t="shared" si="75"/>
        <v>37.199562679859007</v>
      </c>
      <c r="F190" s="385">
        <f t="shared" si="51"/>
        <v>37.199670038484498</v>
      </c>
      <c r="G190" s="110">
        <f t="shared" si="76"/>
        <v>0.59282531639502878</v>
      </c>
      <c r="H190" s="414" t="b">
        <f>Wh_hp&gt;='2024'!Maxi_hp</f>
        <v>0</v>
      </c>
      <c r="I190" s="390">
        <f>IF(H190,Wh_hp,'2024'!Maxi_hp)</f>
        <v>59.517932616441065</v>
      </c>
      <c r="J190" s="85">
        <f>IF(H190,An,'2024'!An_max)</f>
        <v>2021</v>
      </c>
      <c r="K190" s="197">
        <f t="shared" si="52"/>
        <v>45833</v>
      </c>
      <c r="L190" s="147">
        <f>IF(t&lt;Tvie,1-EXP((T0-t)*PertePVj)+'2024'!Pspv,1-EXP((T0-t)*PertePVj)+Pspv)</f>
        <v>5.481804344930663E-2</v>
      </c>
      <c r="M190" s="845"/>
      <c r="N190" s="845"/>
      <c r="O190" s="48">
        <f>IF(t&lt;Tnet,'2024'!Resal+('2024'!Salim-'2024'!Resal)*(1-EXP(('2024'!Tnet-t)/('2024'!Tau_j))),Resal+(Salim-Resal)*(1-EXP((Tnet-t)/(Tau_j))))*Salcycl</f>
        <v>4.0263426812755514E-2</v>
      </c>
      <c r="P190" s="169">
        <f>(INDEX(Models!$BJ190:$BT190,,T190)*(1-R190)+INDEX(Models!$BJ190:$BT190,,T190+1)*R190-ERP_i)*Q190*Ramure*Pc/MaxiM</f>
        <v>6.8989618816942083E-6</v>
      </c>
      <c r="Q190" s="305">
        <f t="shared" si="53"/>
        <v>0.5</v>
      </c>
      <c r="R190" s="177">
        <f t="shared" si="54"/>
        <v>0.29696870138685649</v>
      </c>
      <c r="S190" s="811">
        <f t="shared" si="55"/>
        <v>-2</v>
      </c>
      <c r="T190" s="176">
        <f t="shared" si="56"/>
        <v>4</v>
      </c>
      <c r="U190" s="251">
        <f t="shared" si="57"/>
        <v>-1.7030312986131435</v>
      </c>
      <c r="V190" s="383">
        <f t="shared" si="58"/>
        <v>56.921563046244174</v>
      </c>
      <c r="W190" s="402">
        <f t="shared" si="59"/>
        <v>33.74467903874811</v>
      </c>
      <c r="X190" s="157">
        <f t="shared" si="60"/>
        <v>45833</v>
      </c>
      <c r="Y190" s="385">
        <f t="shared" si="61"/>
        <v>32.058203547873269</v>
      </c>
      <c r="Z190" s="385">
        <f t="shared" si="62"/>
        <v>33.917494219700416</v>
      </c>
      <c r="AA190" s="386">
        <f t="shared" si="63"/>
        <v>37.197521335128847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8.8178647331826773E-2</v>
      </c>
      <c r="AD190" s="231">
        <f>(INDEX(Models!$BJ190:$BT190,,AH190)*(1-AF190)+INDEX(Models!$BJ190:$BT190,,AH190+1)*AF190-ERP_i)*AE190*Ramure*Pc/MaxiM</f>
        <v>1.380776111674237E-4</v>
      </c>
      <c r="AE190" s="305">
        <f t="shared" si="65"/>
        <v>0.5</v>
      </c>
      <c r="AF190" s="177">
        <f t="shared" si="66"/>
        <v>0.82195626776083541</v>
      </c>
      <c r="AG190" s="811">
        <f t="shared" si="74"/>
        <v>1</v>
      </c>
      <c r="AH190" s="176">
        <f t="shared" si="67"/>
        <v>7</v>
      </c>
      <c r="AI190" s="225">
        <f t="shared" si="68"/>
        <v>1.8219562677608354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'2024'!Wh/'2024'!Env_an*'2025'!Env_an</f>
        <v>11.322204021885469</v>
      </c>
      <c r="C191" s="841"/>
      <c r="D191" s="393">
        <f t="shared" si="50"/>
        <v>11.979124161407531</v>
      </c>
      <c r="E191" s="385">
        <f t="shared" si="75"/>
        <v>12.482743661717269</v>
      </c>
      <c r="F191" s="385">
        <f t="shared" si="51"/>
        <v>12.482743661717269</v>
      </c>
      <c r="G191" s="110">
        <f t="shared" si="76"/>
        <v>0.19917690839297814</v>
      </c>
      <c r="H191" s="414" t="b">
        <f>Wh_hp&gt;='2024'!Maxi_hp</f>
        <v>0</v>
      </c>
      <c r="I191" s="390">
        <f>IF(H191,Wh_hp,'2024'!Maxi_hp)</f>
        <v>61.557220620707511</v>
      </c>
      <c r="J191" s="85">
        <f>IF(H191,An,'2024'!An_max)</f>
        <v>2019</v>
      </c>
      <c r="K191" s="197">
        <f t="shared" si="52"/>
        <v>45834</v>
      </c>
      <c r="L191" s="147">
        <f>IF(t&lt;Tvie,1-EXP((T0-t)*PertePVj)+'2024'!Pspv,1-EXP((T0-t)*PertePVj)+Pspv)</f>
        <v>5.4838745359900742E-2</v>
      </c>
      <c r="M191" s="845"/>
      <c r="N191" s="845"/>
      <c r="O191" s="48">
        <f>IF(t&lt;Tnet,'2024'!Resal+('2024'!Salim-'2024'!Resal)*(1-EXP(('2024'!Tnet-t)/('2024'!Tau_j))),Resal+(Salim-Resal)*(1-EXP((Tnet-t)/(Tau_j))))*Salcycl</f>
        <v>4.0345256936923542E-2</v>
      </c>
      <c r="P191" s="169">
        <f>(INDEX(Models!$BJ191:$BT191,,T191)*(1-R191)+INDEX(Models!$BJ191:$BT191,,T191+1)*R191-ERP_i)*Q191*Ramure*Pc/MaxiM</f>
        <v>7.0201044001963056E-6</v>
      </c>
      <c r="Q191" s="305">
        <f t="shared" si="53"/>
        <v>0.5</v>
      </c>
      <c r="R191" s="177">
        <f t="shared" si="54"/>
        <v>0.30162581372768882</v>
      </c>
      <c r="S191" s="811">
        <f t="shared" si="55"/>
        <v>-2</v>
      </c>
      <c r="T191" s="176">
        <f t="shared" si="56"/>
        <v>4</v>
      </c>
      <c r="U191" s="251">
        <f t="shared" si="57"/>
        <v>-1.6983741862723112</v>
      </c>
      <c r="V191" s="383">
        <f t="shared" si="58"/>
        <v>56.844564112284161</v>
      </c>
      <c r="W191" s="402">
        <f t="shared" si="59"/>
        <v>11.322204021885469</v>
      </c>
      <c r="X191" s="157">
        <f t="shared" si="60"/>
        <v>45834</v>
      </c>
      <c r="Y191" s="385">
        <f t="shared" si="61"/>
        <v>10.757215766158346</v>
      </c>
      <c r="Z191" s="385">
        <f t="shared" si="62"/>
        <v>11.381354994555405</v>
      </c>
      <c r="AA191" s="386">
        <f t="shared" si="63"/>
        <v>12.482743661717269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8.8232899513883287E-2</v>
      </c>
      <c r="AD191" s="231">
        <f>(INDEX(Models!$BJ191:$BT191,,AH191)*(1-AF191)+INDEX(Models!$BJ191:$BT191,,AH191+1)*AF191-ERP_i)*AE191*Ramure*Pc/MaxiM</f>
        <v>1.3948933850470429E-4</v>
      </c>
      <c r="AE191" s="305">
        <f t="shared" si="65"/>
        <v>0.5</v>
      </c>
      <c r="AF191" s="177">
        <f t="shared" si="66"/>
        <v>0.82661338010166774</v>
      </c>
      <c r="AG191" s="811">
        <f t="shared" si="74"/>
        <v>1</v>
      </c>
      <c r="AH191" s="176">
        <f t="shared" si="67"/>
        <v>7</v>
      </c>
      <c r="AI191" s="225">
        <f t="shared" si="68"/>
        <v>1.8266133801016677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'2024'!Wh/'2024'!Env_an*'2025'!Env_an</f>
        <v>12.358990408545816</v>
      </c>
      <c r="C192" s="841"/>
      <c r="D192" s="393">
        <f t="shared" si="50"/>
        <v>13.076351836692121</v>
      </c>
      <c r="E192" s="385">
        <f t="shared" si="75"/>
        <v>13.627252653936148</v>
      </c>
      <c r="F192" s="385">
        <f t="shared" si="51"/>
        <v>13.627252653936148</v>
      </c>
      <c r="G192" s="110">
        <f t="shared" si="76"/>
        <v>0.21771738241704586</v>
      </c>
      <c r="H192" s="414" t="b">
        <f>Wh_hp&gt;='2024'!Maxi_hp</f>
        <v>0</v>
      </c>
      <c r="I192" s="390">
        <f>IF(H192,Wh_hp,'2024'!Maxi_hp)</f>
        <v>61.321800192772599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5.4859446817069779E-2</v>
      </c>
      <c r="M192" s="845"/>
      <c r="N192" s="845"/>
      <c r="O192" s="48">
        <f>IF(t&lt;Tnet,'2024'!Resal+('2024'!Salim-'2024'!Resal)*(1-EXP(('2024'!Tnet-t)/('2024'!Tau_j))),Resal+(Salim-Resal)*(1-EXP((Tnet-t)/(Tau_j))))*Salcycl</f>
        <v>4.0426403709841144E-2</v>
      </c>
      <c r="P192" s="169">
        <f>(INDEX(Models!$BJ192:$BT192,,T192)*(1-R192)+INDEX(Models!$BJ192:$BT192,,T192+1)*R192-ERP_i)*Q192*Ramure*Pc/MaxiM</f>
        <v>7.1441420428905651E-6</v>
      </c>
      <c r="Q192" s="305">
        <f t="shared" si="53"/>
        <v>0.5</v>
      </c>
      <c r="R192" s="177">
        <f t="shared" si="54"/>
        <v>0.30622257914540585</v>
      </c>
      <c r="S192" s="811">
        <f t="shared" si="55"/>
        <v>-2</v>
      </c>
      <c r="T192" s="176">
        <f t="shared" si="56"/>
        <v>4</v>
      </c>
      <c r="U192" s="251">
        <f t="shared" si="57"/>
        <v>-1.6937774208545942</v>
      </c>
      <c r="V192" s="383">
        <f t="shared" si="58"/>
        <v>56.765803340814045</v>
      </c>
      <c r="W192" s="402">
        <f t="shared" si="59"/>
        <v>12.358990408545816</v>
      </c>
      <c r="X192" s="157">
        <f t="shared" si="60"/>
        <v>45835</v>
      </c>
      <c r="Y192" s="385">
        <f t="shared" si="61"/>
        <v>11.742578649867236</v>
      </c>
      <c r="Z192" s="385">
        <f t="shared" si="62"/>
        <v>12.424161263974968</v>
      </c>
      <c r="AA192" s="386">
        <f t="shared" si="63"/>
        <v>13.627252653936148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8.828568901697699E-2</v>
      </c>
      <c r="AD192" s="231">
        <f>(INDEX(Models!$BJ192:$BT192,,AH192)*(1-AF192)+INDEX(Models!$BJ192:$BT192,,AH192+1)*AF192-ERP_i)*AE192*Ramure*Pc/MaxiM</f>
        <v>1.4188754110989113E-4</v>
      </c>
      <c r="AE192" s="305">
        <f t="shared" si="65"/>
        <v>0.5</v>
      </c>
      <c r="AF192" s="177">
        <f t="shared" si="66"/>
        <v>0.83121014551938477</v>
      </c>
      <c r="AG192" s="811">
        <f t="shared" si="74"/>
        <v>1</v>
      </c>
      <c r="AH192" s="176">
        <f t="shared" si="67"/>
        <v>7</v>
      </c>
      <c r="AI192" s="225">
        <f t="shared" si="68"/>
        <v>1.8312101455193848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'2024'!Wh/'2024'!Env_an*'2025'!Env_an</f>
        <v>56.105589780120184</v>
      </c>
      <c r="C193" s="841"/>
      <c r="D193" s="393">
        <f t="shared" si="50"/>
        <v>59.363465544350518</v>
      </c>
      <c r="E193" s="385">
        <f t="shared" si="75"/>
        <v>61.869609793797295</v>
      </c>
      <c r="F193" s="385">
        <f t="shared" si="51"/>
        <v>61.870053203422515</v>
      </c>
      <c r="G193" s="110">
        <f t="shared" si="76"/>
        <v>0.98977341137293318</v>
      </c>
      <c r="H193" s="414" t="b">
        <f>Wh_hp&gt;='2024'!Maxi_hp</f>
        <v>1</v>
      </c>
      <c r="I193" s="390">
        <f>IF(H193,Wh_hp,'2024'!Maxi_hp)</f>
        <v>61.870053203422515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5.4880147820823733E-2</v>
      </c>
      <c r="M193" s="845"/>
      <c r="N193" s="845"/>
      <c r="O193" s="48">
        <f>IF(t&lt;Tnet,'2024'!Resal+('2024'!Salim-'2024'!Resal)*(1-EXP(('2024'!Tnet-t)/('2024'!Tau_j))),Resal+(Salim-Resal)*(1-EXP((Tnet-t)/(Tau_j))))*Salcycl</f>
        <v>4.0506870138657884E-2</v>
      </c>
      <c r="P193" s="169">
        <f>(INDEX(Models!$BJ193:$BT193,,T193)*(1-R193)+INDEX(Models!$BJ193:$BT193,,T193+1)*R193-ERP_i)*Q193*Ramure*Pc/MaxiM</f>
        <v>7.2730429275145903E-6</v>
      </c>
      <c r="Q193" s="305">
        <f t="shared" si="53"/>
        <v>0.5</v>
      </c>
      <c r="R193" s="177">
        <f t="shared" si="54"/>
        <v>0.31075635867623541</v>
      </c>
      <c r="S193" s="811">
        <f t="shared" si="55"/>
        <v>-2</v>
      </c>
      <c r="T193" s="176">
        <f t="shared" si="56"/>
        <v>4</v>
      </c>
      <c r="U193" s="251">
        <f t="shared" si="57"/>
        <v>-1.6892436413237646</v>
      </c>
      <c r="V193" s="383">
        <f t="shared" si="58"/>
        <v>56.685280867285364</v>
      </c>
      <c r="W193" s="402">
        <f t="shared" si="59"/>
        <v>56.105589780120184</v>
      </c>
      <c r="X193" s="157">
        <f t="shared" si="60"/>
        <v>45836</v>
      </c>
      <c r="Y193" s="385">
        <f t="shared" si="61"/>
        <v>53.301514211200825</v>
      </c>
      <c r="Z193" s="385">
        <f t="shared" si="62"/>
        <v>56.396566095086001</v>
      </c>
      <c r="AA193" s="386">
        <f t="shared" si="63"/>
        <v>61.861200752453996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8.8337028555838554E-2</v>
      </c>
      <c r="AD193" s="231">
        <f>(INDEX(Models!$BJ193:$BT193,,AH193)*(1-AF193)+INDEX(Models!$BJ193:$BT193,,AH193+1)*AF193-ERP_i)*AE193*Ramure*Pc/MaxiM</f>
        <v>1.4520265742096433E-4</v>
      </c>
      <c r="AE193" s="305">
        <f t="shared" si="65"/>
        <v>0.5</v>
      </c>
      <c r="AF193" s="177">
        <f t="shared" si="66"/>
        <v>0.83574392505021433</v>
      </c>
      <c r="AG193" s="811">
        <f t="shared" si="74"/>
        <v>1</v>
      </c>
      <c r="AH193" s="176">
        <f t="shared" si="67"/>
        <v>7</v>
      </c>
      <c r="AI193" s="225">
        <f t="shared" si="68"/>
        <v>1.8357439250502143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'2024'!Wh/'2024'!Env_an*'2025'!Env_an</f>
        <v>53.26652130104079</v>
      </c>
      <c r="C194" s="841"/>
      <c r="D194" s="393">
        <f t="shared" si="50"/>
        <v>56.360775701934358</v>
      </c>
      <c r="E194" s="385">
        <f t="shared" si="75"/>
        <v>58.745040755051058</v>
      </c>
      <c r="F194" s="385">
        <f t="shared" si="51"/>
        <v>58.745439245651497</v>
      </c>
      <c r="G194" s="110">
        <f t="shared" si="76"/>
        <v>0.94105420344588897</v>
      </c>
      <c r="H194" s="414" t="b">
        <f>Wh_hp&gt;='2024'!Maxi_hp</f>
        <v>1</v>
      </c>
      <c r="I194" s="390">
        <f>IF(H194,Wh_hp,'2024'!Maxi_hp)</f>
        <v>58.745439245651497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5.4900848371172595E-2</v>
      </c>
      <c r="M194" s="845"/>
      <c r="N194" s="845"/>
      <c r="O194" s="48">
        <f>IF(t&lt;Tnet,'2024'!Resal+('2024'!Salim-'2024'!Resal)*(1-EXP(('2024'!Tnet-t)/('2024'!Tau_j))),Resal+(Salim-Resal)*(1-EXP((Tnet-t)/(Tau_j))))*Salcycl</f>
        <v>4.058666097549167E-2</v>
      </c>
      <c r="P194" s="169">
        <f>(INDEX(Models!$BJ194:$BT194,,T194)*(1-R194)+INDEX(Models!$BJ194:$BT194,,T194+1)*R194-ERP_i)*Q194*Ramure*Pc/MaxiM</f>
        <v>7.4070762682284809E-6</v>
      </c>
      <c r="Q194" s="305">
        <f t="shared" si="53"/>
        <v>0.5</v>
      </c>
      <c r="R194" s="177">
        <f t="shared" si="54"/>
        <v>0.31522469000800779</v>
      </c>
      <c r="S194" s="811">
        <f t="shared" si="55"/>
        <v>-2</v>
      </c>
      <c r="T194" s="176">
        <f t="shared" si="56"/>
        <v>4</v>
      </c>
      <c r="U194" s="251">
        <f t="shared" si="57"/>
        <v>-1.6847753099919922</v>
      </c>
      <c r="V194" s="383">
        <f t="shared" si="58"/>
        <v>56.602996811225104</v>
      </c>
      <c r="W194" s="402">
        <f t="shared" si="59"/>
        <v>53.26652130104079</v>
      </c>
      <c r="X194" s="157">
        <f t="shared" si="60"/>
        <v>45837</v>
      </c>
      <c r="Y194" s="385">
        <f t="shared" si="61"/>
        <v>50.606071415102484</v>
      </c>
      <c r="Z194" s="385">
        <f t="shared" si="62"/>
        <v>53.545780173313723</v>
      </c>
      <c r="AA194" s="386">
        <f t="shared" si="63"/>
        <v>58.737398796746717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8.8386934555919533E-2</v>
      </c>
      <c r="AD194" s="231">
        <f>(INDEX(Models!$BJ194:$BT194,,AH194)*(1-AF194)+INDEX(Models!$BJ194:$BT194,,AH194+1)*AF194-ERP_i)*AE194*Ramure*Pc/MaxiM</f>
        <v>1.494545121088324E-4</v>
      </c>
      <c r="AE194" s="305">
        <f t="shared" si="65"/>
        <v>0.5</v>
      </c>
      <c r="AF194" s="177">
        <f t="shared" si="66"/>
        <v>0.84021225638198671</v>
      </c>
      <c r="AG194" s="811">
        <f t="shared" si="74"/>
        <v>1</v>
      </c>
      <c r="AH194" s="176">
        <f t="shared" si="67"/>
        <v>7</v>
      </c>
      <c r="AI194" s="225">
        <f t="shared" si="68"/>
        <v>1.8402122563819867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'2024'!Wh/'2024'!Env_an*'2025'!Env_an</f>
        <v>13.243805580522681</v>
      </c>
      <c r="C195" s="841"/>
      <c r="D195" s="393">
        <f t="shared" si="50"/>
        <v>14.013445718771656</v>
      </c>
      <c r="E195" s="385">
        <f t="shared" si="75"/>
        <v>14.6074699154467</v>
      </c>
      <c r="F195" s="385">
        <f t="shared" si="51"/>
        <v>14.6074699154467</v>
      </c>
      <c r="G195" s="110">
        <f t="shared" si="76"/>
        <v>0.23432327312416831</v>
      </c>
      <c r="H195" s="414" t="b">
        <f>Wh_hp&gt;='2024'!Maxi_hp</f>
        <v>0</v>
      </c>
      <c r="I195" s="390">
        <f>IF(H195,Wh_hp,'2024'!Maxi_hp)</f>
        <v>52.467807817786799</v>
      </c>
      <c r="J195" s="85">
        <f>IF(H195,An,'2024'!An_max)</f>
        <v>2019</v>
      </c>
      <c r="K195" s="197">
        <f t="shared" si="52"/>
        <v>45838</v>
      </c>
      <c r="L195" s="147">
        <f>IF(t&lt;Tvie,1-EXP((T0-t)*PertePVj)+'2024'!Pspv,1-EXP((T0-t)*PertePVj)+Pspv)</f>
        <v>5.4921548468126358E-2</v>
      </c>
      <c r="M195" s="845"/>
      <c r="N195" s="845"/>
      <c r="O195" s="48">
        <f>IF(t&lt;Tnet,'2024'!Resal+('2024'!Salim-'2024'!Resal)*(1-EXP(('2024'!Tnet-t)/('2024'!Tau_j))),Resal+(Salim-Resal)*(1-EXP((Tnet-t)/(Tau_j))))*Salcycl</f>
        <v>4.0665782651853381E-2</v>
      </c>
      <c r="P195" s="169">
        <f>(INDEX(Models!$BJ195:$BT195,,T195)*(1-R195)+INDEX(Models!$BJ195:$BT195,,T195+1)*R195-ERP_i)*Q195*Ramure*Pc/MaxiM</f>
        <v>7.5465107900820081E-6</v>
      </c>
      <c r="Q195" s="305">
        <f t="shared" si="53"/>
        <v>0.5</v>
      </c>
      <c r="R195" s="177">
        <f t="shared" si="54"/>
        <v>0.31962529025356323</v>
      </c>
      <c r="S195" s="811">
        <f t="shared" si="55"/>
        <v>-2</v>
      </c>
      <c r="T195" s="176">
        <f t="shared" si="56"/>
        <v>4</v>
      </c>
      <c r="U195" s="251">
        <f t="shared" si="57"/>
        <v>-1.6803747097464368</v>
      </c>
      <c r="V195" s="383">
        <f t="shared" si="58"/>
        <v>56.518951188357221</v>
      </c>
      <c r="W195" s="402">
        <f t="shared" si="59"/>
        <v>13.243805580522681</v>
      </c>
      <c r="X195" s="157">
        <f t="shared" si="60"/>
        <v>45838</v>
      </c>
      <c r="Y195" s="385">
        <f t="shared" si="61"/>
        <v>12.584335845407935</v>
      </c>
      <c r="Z195" s="385">
        <f t="shared" si="62"/>
        <v>13.31565207630122</v>
      </c>
      <c r="AA195" s="386">
        <f t="shared" si="63"/>
        <v>14.6074699154467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8.8435426985164906E-2</v>
      </c>
      <c r="AD195" s="231">
        <f>(INDEX(Models!$BJ195:$BT195,,AH195)*(1-AF195)+INDEX(Models!$BJ195:$BT195,,AH195+1)*AF195-ERP_i)*AE195*Ramure*Pc/MaxiM</f>
        <v>1.5466226868240135E-4</v>
      </c>
      <c r="AE195" s="305">
        <f t="shared" si="65"/>
        <v>0.5</v>
      </c>
      <c r="AF195" s="177">
        <f t="shared" si="66"/>
        <v>0.84461285662754237</v>
      </c>
      <c r="AG195" s="811">
        <f t="shared" si="74"/>
        <v>1</v>
      </c>
      <c r="AH195" s="176">
        <f t="shared" si="67"/>
        <v>7</v>
      </c>
      <c r="AI195" s="225">
        <f t="shared" si="68"/>
        <v>1.8446128566275424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'2024'!Wh/'2024'!Env_an*'2025'!Env_an</f>
        <v>47.67607590700289</v>
      </c>
      <c r="C196" s="841"/>
      <c r="D196" s="393">
        <f t="shared" si="50"/>
        <v>50.447790954301006</v>
      </c>
      <c r="E196" s="385">
        <f t="shared" si="75"/>
        <v>52.590553245994798</v>
      </c>
      <c r="F196" s="385">
        <f t="shared" si="51"/>
        <v>52.590868083197293</v>
      </c>
      <c r="G196" s="110">
        <f t="shared" si="76"/>
        <v>0.84482258663633647</v>
      </c>
      <c r="H196" s="414" t="b">
        <f>Wh_hp&gt;='2024'!Maxi_hp</f>
        <v>0</v>
      </c>
      <c r="I196" s="390">
        <f>IF(H196,Wh_hp,'2024'!Maxi_hp)</f>
        <v>60.470455322225597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5.4942248111694791E-2</v>
      </c>
      <c r="M196" s="845"/>
      <c r="N196" s="845"/>
      <c r="O196" s="48">
        <f>IF(t&lt;Tnet,'2024'!Resal+('2024'!Salim-'2024'!Resal)*(1-EXP(('2024'!Tnet-t)/('2024'!Tau_j))),Resal+(Salim-Resal)*(1-EXP((Tnet-t)/(Tau_j))))*Salcycl</f>
        <v>4.0744243204115405E-2</v>
      </c>
      <c r="P196" s="169">
        <f>(INDEX(Models!$BJ196:$BT196,,T196)*(1-R196)+INDEX(Models!$BJ196:$BT196,,T196+1)*R196-ERP_i)*Q196*Ramure*Pc/MaxiM</f>
        <v>7.6916142130982575E-6</v>
      </c>
      <c r="Q196" s="305">
        <f t="shared" si="53"/>
        <v>0.5</v>
      </c>
      <c r="R196" s="177">
        <f t="shared" si="54"/>
        <v>0.3239560577745062</v>
      </c>
      <c r="S196" s="811">
        <f t="shared" si="55"/>
        <v>-2</v>
      </c>
      <c r="T196" s="176">
        <f t="shared" si="56"/>
        <v>4</v>
      </c>
      <c r="U196" s="251">
        <f t="shared" si="57"/>
        <v>-1.6760439422254938</v>
      </c>
      <c r="V196" s="383">
        <f t="shared" si="58"/>
        <v>56.433143916014636</v>
      </c>
      <c r="W196" s="402">
        <f t="shared" si="59"/>
        <v>47.67607590700289</v>
      </c>
      <c r="X196" s="157">
        <f t="shared" si="60"/>
        <v>45839</v>
      </c>
      <c r="Y196" s="385">
        <f t="shared" si="61"/>
        <v>45.298029816669072</v>
      </c>
      <c r="Z196" s="385">
        <f t="shared" si="62"/>
        <v>47.931493843799259</v>
      </c>
      <c r="AA196" s="386">
        <f t="shared" si="63"/>
        <v>52.584284314420835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8.8482529167856067E-2</v>
      </c>
      <c r="AD196" s="231">
        <f>(INDEX(Models!$BJ196:$BT196,,AH196)*(1-AF196)+INDEX(Models!$BJ196:$BT196,,AH196+1)*AF196-ERP_i)*AE196*Ramure*Pc/MaxiM</f>
        <v>1.6084442720270281E-4</v>
      </c>
      <c r="AE196" s="305">
        <f t="shared" si="65"/>
        <v>0.5</v>
      </c>
      <c r="AF196" s="177">
        <f t="shared" si="66"/>
        <v>0.84894362414848512</v>
      </c>
      <c r="AG196" s="811">
        <f t="shared" si="74"/>
        <v>1</v>
      </c>
      <c r="AH196" s="176">
        <f t="shared" si="67"/>
        <v>7</v>
      </c>
      <c r="AI196" s="225">
        <f t="shared" si="68"/>
        <v>1.8489436241484851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'2024'!Wh/'2024'!Env_an*'2025'!Env_an</f>
        <v>53.110131471268069</v>
      </c>
      <c r="C197" s="841"/>
      <c r="D197" s="393">
        <f t="shared" si="50"/>
        <v>56.198993806260702</v>
      </c>
      <c r="E197" s="385">
        <f t="shared" si="75"/>
        <v>58.590790097510492</v>
      </c>
      <c r="F197" s="385">
        <f t="shared" si="51"/>
        <v>58.591211914112371</v>
      </c>
      <c r="G197" s="110">
        <f t="shared" si="76"/>
        <v>0.94257796601150545</v>
      </c>
      <c r="H197" s="414" t="b">
        <f>Wh_hp&gt;='2024'!Maxi_hp</f>
        <v>1</v>
      </c>
      <c r="I197" s="390">
        <f>IF(H197,Wh_hp,'2024'!Maxi_hp)</f>
        <v>58.591211914112371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5.4962947301887888E-2</v>
      </c>
      <c r="M197" s="845"/>
      <c r="N197" s="845"/>
      <c r="O197" s="48">
        <f>IF(t&lt;Tnet,'2024'!Resal+('2024'!Salim-'2024'!Resal)*(1-EXP(('2024'!Tnet-t)/('2024'!Tau_j))),Resal+(Salim-Resal)*(1-EXP((Tnet-t)/(Tau_j))))*Salcycl</f>
        <v>4.0822052190612454E-2</v>
      </c>
      <c r="P197" s="169">
        <f>(INDEX(Models!$BJ197:$BT197,,T197)*(1-R197)+INDEX(Models!$BJ197:$BT197,,T197+1)*R197-ERP_i)*Q197*Ramure*Pc/MaxiM</f>
        <v>7.8426527879447867E-6</v>
      </c>
      <c r="Q197" s="305">
        <f t="shared" si="53"/>
        <v>0.5</v>
      </c>
      <c r="R197" s="177">
        <f t="shared" si="54"/>
        <v>0.32821507308216691</v>
      </c>
      <c r="S197" s="811">
        <f t="shared" si="55"/>
        <v>-2</v>
      </c>
      <c r="T197" s="176">
        <f t="shared" si="56"/>
        <v>4</v>
      </c>
      <c r="U197" s="251">
        <f t="shared" si="57"/>
        <v>-1.6717849269178331</v>
      </c>
      <c r="V197" s="383">
        <f t="shared" si="58"/>
        <v>56.345574815430545</v>
      </c>
      <c r="W197" s="402">
        <f t="shared" si="59"/>
        <v>53.110131471268069</v>
      </c>
      <c r="X197" s="157">
        <f t="shared" si="60"/>
        <v>45840</v>
      </c>
      <c r="Y197" s="385">
        <f t="shared" si="61"/>
        <v>50.461195219581086</v>
      </c>
      <c r="Z197" s="385">
        <f t="shared" si="62"/>
        <v>53.395996564910021</v>
      </c>
      <c r="AA197" s="386">
        <f t="shared" si="63"/>
        <v>58.582175031645086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8.8528267581966455E-2</v>
      </c>
      <c r="AD197" s="231">
        <f>(INDEX(Models!$BJ197:$BT197,,AH197)*(1-AF197)+INDEX(Models!$BJ197:$BT197,,AH197+1)*AF197-ERP_i)*AE197*Ramure*Pc/MaxiM</f>
        <v>1.6801882894103246E-4</v>
      </c>
      <c r="AE197" s="305">
        <f t="shared" si="65"/>
        <v>0.5</v>
      </c>
      <c r="AF197" s="177">
        <f t="shared" si="66"/>
        <v>0.85320263945614583</v>
      </c>
      <c r="AG197" s="811">
        <f t="shared" si="74"/>
        <v>1</v>
      </c>
      <c r="AH197" s="176">
        <f t="shared" si="67"/>
        <v>7</v>
      </c>
      <c r="AI197" s="225">
        <f t="shared" si="68"/>
        <v>1.8532026394561458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'2024'!Wh/'2024'!Env_an*'2025'!Env_an</f>
        <v>44.255551174299967</v>
      </c>
      <c r="C198" s="841"/>
      <c r="D198" s="393">
        <f t="shared" si="50"/>
        <v>46.830460646306484</v>
      </c>
      <c r="E198" s="385">
        <f t="shared" si="75"/>
        <v>48.827465947481684</v>
      </c>
      <c r="F198" s="385">
        <f t="shared" si="51"/>
        <v>48.827740257542594</v>
      </c>
      <c r="G198" s="110">
        <f t="shared" si="76"/>
        <v>0.78667616089361658</v>
      </c>
      <c r="H198" s="414" t="b">
        <f>Wh_hp&gt;='2024'!Maxi_hp</f>
        <v>0</v>
      </c>
      <c r="I198" s="390">
        <f>IF(H198,Wh_hp,'2024'!Maxi_hp)</f>
        <v>53.763656051916264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5.4983646038715639E-2</v>
      </c>
      <c r="M198" s="845"/>
      <c r="N198" s="845"/>
      <c r="O198" s="48">
        <f>IF(t&lt;Tnet,'2024'!Resal+('2024'!Salim-'2024'!Resal)*(1-EXP(('2024'!Tnet-t)/('2024'!Tau_j))),Resal+(Salim-Resal)*(1-EXP((Tnet-t)/(Tau_j))))*Salcycl</f>
        <v>4.0899220601027277E-2</v>
      </c>
      <c r="P198" s="169">
        <f>(INDEX(Models!$BJ198:$BT198,,T198)*(1-R198)+INDEX(Models!$BJ198:$BT198,,T198+1)*R198-ERP_i)*Q198*Ramure*Pc/MaxiM</f>
        <v>8.0803718831620606E-6</v>
      </c>
      <c r="Q198" s="305">
        <f t="shared" si="53"/>
        <v>0.5</v>
      </c>
      <c r="R198" s="177">
        <f t="shared" si="54"/>
        <v>0.33240059884946338</v>
      </c>
      <c r="S198" s="811">
        <f t="shared" si="55"/>
        <v>-2</v>
      </c>
      <c r="T198" s="176">
        <f t="shared" si="56"/>
        <v>4</v>
      </c>
      <c r="U198" s="251">
        <f t="shared" si="57"/>
        <v>-1.6675994011505366</v>
      </c>
      <c r="V198" s="383">
        <f t="shared" si="58"/>
        <v>56.256239093351013</v>
      </c>
      <c r="W198" s="402">
        <f t="shared" si="59"/>
        <v>44.255551174299967</v>
      </c>
      <c r="X198" s="157">
        <f t="shared" si="60"/>
        <v>45841</v>
      </c>
      <c r="Y198" s="385">
        <f t="shared" si="61"/>
        <v>42.050818092718679</v>
      </c>
      <c r="Z198" s="385">
        <f t="shared" si="62"/>
        <v>44.49745014089082</v>
      </c>
      <c r="AA198" s="386">
        <f t="shared" si="63"/>
        <v>48.821720346082138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8.8572671641595199E-2</v>
      </c>
      <c r="AD198" s="231">
        <f>(INDEX(Models!$BJ198:$BT198,,AH198)*(1-AF198)+INDEX(Models!$BJ198:$BT198,,AH198+1)*AF198-ERP_i)*AE198*Ramure*Pc/MaxiM</f>
        <v>1.773289799970173E-4</v>
      </c>
      <c r="AE198" s="305">
        <f t="shared" si="65"/>
        <v>0.5</v>
      </c>
      <c r="AF198" s="177">
        <f t="shared" si="66"/>
        <v>0.8573881652234423</v>
      </c>
      <c r="AG198" s="811">
        <f t="shared" si="74"/>
        <v>1</v>
      </c>
      <c r="AH198" s="176">
        <f t="shared" si="67"/>
        <v>7</v>
      </c>
      <c r="AI198" s="225">
        <f t="shared" si="68"/>
        <v>1.8573881652234423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'2024'!Wh/'2024'!Env_an*'2025'!Env_an</f>
        <v>41.998105197480932</v>
      </c>
      <c r="C199" s="841"/>
      <c r="D199" s="393">
        <f t="shared" si="50"/>
        <v>44.442643672639079</v>
      </c>
      <c r="E199" s="385">
        <f t="shared" si="75"/>
        <v>46.341522825118403</v>
      </c>
      <c r="F199" s="385">
        <f t="shared" si="51"/>
        <v>46.341772142787072</v>
      </c>
      <c r="G199" s="110">
        <f t="shared" si="76"/>
        <v>0.74775885582273072</v>
      </c>
      <c r="H199" s="414" t="b">
        <f>Wh_hp&gt;='2024'!Maxi_hp</f>
        <v>0</v>
      </c>
      <c r="I199" s="390">
        <f>IF(H199,Wh_hp,'2024'!Maxi_hp)</f>
        <v>58.995697367701958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5.5004344322187926E-2</v>
      </c>
      <c r="M199" s="845"/>
      <c r="N199" s="845"/>
      <c r="O199" s="48">
        <f>IF(t&lt;Tnet,'2024'!Resal+('2024'!Salim-'2024'!Resal)*(1-EXP(('2024'!Tnet-t)/('2024'!Tau_j))),Resal+(Salim-Resal)*(1-EXP((Tnet-t)/(Tau_j))))*Salcycl</f>
        <v>4.0975760758774182E-2</v>
      </c>
      <c r="P199" s="169">
        <f>(INDEX(Models!$BJ199:$BT199,,T199)*(1-R199)+INDEX(Models!$BJ199:$BT199,,T199+1)*R199-ERP_i)*Q199*Ramure*Pc/MaxiM</f>
        <v>8.4106987414369887E-6</v>
      </c>
      <c r="Q199" s="305">
        <f t="shared" si="53"/>
        <v>0.5</v>
      </c>
      <c r="R199" s="177">
        <f t="shared" si="54"/>
        <v>0.33651107907342048</v>
      </c>
      <c r="S199" s="811">
        <f t="shared" si="55"/>
        <v>-2</v>
      </c>
      <c r="T199" s="176">
        <f t="shared" si="56"/>
        <v>4</v>
      </c>
      <c r="U199" s="251">
        <f t="shared" si="57"/>
        <v>-1.6634889209265795</v>
      </c>
      <c r="V199" s="383">
        <f t="shared" si="58"/>
        <v>56.16513610663587</v>
      </c>
      <c r="W199" s="402">
        <f t="shared" si="59"/>
        <v>41.998105197480932</v>
      </c>
      <c r="X199" s="157">
        <f t="shared" si="60"/>
        <v>45842</v>
      </c>
      <c r="Y199" s="385">
        <f t="shared" si="61"/>
        <v>39.907225153422701</v>
      </c>
      <c r="Z199" s="385">
        <f t="shared" si="62"/>
        <v>42.230062025839317</v>
      </c>
      <c r="AA199" s="386">
        <f t="shared" si="63"/>
        <v>46.336178305880622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8.8615773466155498E-2</v>
      </c>
      <c r="AD199" s="231">
        <f>(INDEX(Models!$BJ199:$BT199,,AH199)*(1-AF199)+INDEX(Models!$BJ199:$BT199,,AH199+1)*AF199-ERP_i)*AE199*Ramure*Pc/MaxiM</f>
        <v>1.8870735187138157E-4</v>
      </c>
      <c r="AE199" s="305">
        <f t="shared" si="65"/>
        <v>0.5</v>
      </c>
      <c r="AF199" s="177">
        <f t="shared" si="66"/>
        <v>0.8614986454473994</v>
      </c>
      <c r="AG199" s="811">
        <f t="shared" si="74"/>
        <v>1</v>
      </c>
      <c r="AH199" s="176">
        <f t="shared" si="67"/>
        <v>7</v>
      </c>
      <c r="AI199" s="225">
        <f t="shared" si="68"/>
        <v>1.8614986454473994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'2024'!Wh/'2024'!Env_an*'2025'!Env_an</f>
        <v>52.621096296847483</v>
      </c>
      <c r="C200" s="841"/>
      <c r="D200" s="393">
        <f t="shared" si="50"/>
        <v>55.685175421684725</v>
      </c>
      <c r="E200" s="385">
        <f t="shared" si="75"/>
        <v>58.069006036433933</v>
      </c>
      <c r="F200" s="385">
        <f t="shared" si="51"/>
        <v>58.069474104927629</v>
      </c>
      <c r="G200" s="110">
        <f t="shared" si="76"/>
        <v>0.93845067912187075</v>
      </c>
      <c r="H200" s="414" t="b">
        <f>Wh_hp&gt;='2024'!Maxi_hp</f>
        <v>0</v>
      </c>
      <c r="I200" s="390">
        <f>IF(H200,Wh_hp,'2024'!Maxi_hp)</f>
        <v>61.322232788721351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5.502504215231474E-2</v>
      </c>
      <c r="M200" s="845"/>
      <c r="N200" s="845"/>
      <c r="O200" s="48">
        <f>IF(t&lt;Tnet,'2024'!Resal+('2024'!Salim-'2024'!Resal)*(1-EXP(('2024'!Tnet-t)/('2024'!Tau_j))),Resal+(Salim-Resal)*(1-EXP((Tnet-t)/(Tau_j))))*Salcycl</f>
        <v>4.1051686217145375E-2</v>
      </c>
      <c r="P200" s="169">
        <f>(INDEX(Models!$BJ200:$BT200,,T200)*(1-R200)+INDEX(Models!$BJ200:$BT200,,T200+1)*R200-ERP_i)*Q200*Ramure*Pc/MaxiM</f>
        <v>8.8375463986537109E-6</v>
      </c>
      <c r="Q200" s="305">
        <f t="shared" si="53"/>
        <v>0.5</v>
      </c>
      <c r="R200" s="177">
        <f t="shared" si="54"/>
        <v>0.34054513743339432</v>
      </c>
      <c r="S200" s="811">
        <f t="shared" si="55"/>
        <v>-2</v>
      </c>
      <c r="T200" s="176">
        <f t="shared" si="56"/>
        <v>4</v>
      </c>
      <c r="U200" s="251">
        <f t="shared" si="57"/>
        <v>-1.6594548625666057</v>
      </c>
      <c r="V200" s="383">
        <f t="shared" si="58"/>
        <v>56.072265253479301</v>
      </c>
      <c r="W200" s="402">
        <f t="shared" si="59"/>
        <v>52.621096296847483</v>
      </c>
      <c r="X200" s="157">
        <f t="shared" si="60"/>
        <v>45843</v>
      </c>
      <c r="Y200" s="385">
        <f t="shared" si="61"/>
        <v>49.999961836563074</v>
      </c>
      <c r="Z200" s="385">
        <f t="shared" si="62"/>
        <v>52.911414658484802</v>
      </c>
      <c r="AA200" s="386">
        <f t="shared" si="63"/>
        <v>58.058765950034548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8.865760763808811E-2</v>
      </c>
      <c r="AD200" s="231">
        <f>(INDEX(Models!$BJ200:$BT200,,AH200)*(1-AF200)+INDEX(Models!$BJ200:$BT200,,AH200+1)*AF200-ERP_i)*AE200*Ramure*Pc/MaxiM</f>
        <v>2.0217941815571115E-4</v>
      </c>
      <c r="AE200" s="305">
        <f t="shared" si="65"/>
        <v>0.5</v>
      </c>
      <c r="AF200" s="177">
        <f t="shared" si="66"/>
        <v>0.86553270380737324</v>
      </c>
      <c r="AG200" s="811">
        <f t="shared" si="74"/>
        <v>1</v>
      </c>
      <c r="AH200" s="176">
        <f t="shared" si="67"/>
        <v>7</v>
      </c>
      <c r="AI200" s="225">
        <f t="shared" si="68"/>
        <v>1.8655327038073732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'2024'!Wh/'2024'!Env_an*'2025'!Env_an</f>
        <v>45.189648610118404</v>
      </c>
      <c r="C201" s="841"/>
      <c r="D201" s="393">
        <f t="shared" si="50"/>
        <v>47.822048643496544</v>
      </c>
      <c r="E201" s="385">
        <f t="shared" si="75"/>
        <v>49.873183648429666</v>
      </c>
      <c r="F201" s="385">
        <f t="shared" si="51"/>
        <v>49.873522113831534</v>
      </c>
      <c r="G201" s="110">
        <f t="shared" si="76"/>
        <v>0.80727846874916853</v>
      </c>
      <c r="H201" s="414" t="b">
        <f>Wh_hp&gt;='2024'!Maxi_hp</f>
        <v>0</v>
      </c>
      <c r="I201" s="390">
        <f>IF(H201,Wh_hp,'2024'!Maxi_hp)</f>
        <v>60.73746121896113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5.5045739529105853E-2</v>
      </c>
      <c r="M201" s="845"/>
      <c r="N201" s="845"/>
      <c r="O201" s="48">
        <f>IF(t&lt;Tnet,'2024'!Resal+('2024'!Salim-'2024'!Resal)*(1-EXP(('2024'!Tnet-t)/('2024'!Tau_j))),Resal+(Salim-Resal)*(1-EXP((Tnet-t)/(Tau_j))))*Salcycl</f>
        <v>4.1127011650031443E-2</v>
      </c>
      <c r="P201" s="169">
        <f>(INDEX(Models!$BJ201:$BT201,,T201)*(1-R201)+INDEX(Models!$BJ201:$BT201,,T201+1)*R201-ERP_i)*Q201*Ramure*Pc/MaxiM</f>
        <v>9.3647043452849049E-6</v>
      </c>
      <c r="Q201" s="305">
        <f t="shared" si="53"/>
        <v>0.5</v>
      </c>
      <c r="R201" s="177">
        <f t="shared" si="54"/>
        <v>0.34450157489452038</v>
      </c>
      <c r="S201" s="811">
        <f t="shared" si="55"/>
        <v>-2</v>
      </c>
      <c r="T201" s="176">
        <f t="shared" si="56"/>
        <v>4</v>
      </c>
      <c r="U201" s="251">
        <f t="shared" si="57"/>
        <v>-1.6554984251054796</v>
      </c>
      <c r="V201" s="383">
        <f t="shared" si="58"/>
        <v>55.977625874327941</v>
      </c>
      <c r="W201" s="402">
        <f t="shared" si="59"/>
        <v>45.189648610118404</v>
      </c>
      <c r="X201" s="157">
        <f t="shared" si="60"/>
        <v>45844</v>
      </c>
      <c r="Y201" s="385">
        <f t="shared" si="61"/>
        <v>42.941232601097965</v>
      </c>
      <c r="Z201" s="385">
        <f t="shared" si="62"/>
        <v>45.442657277082688</v>
      </c>
      <c r="AA201" s="386">
        <f t="shared" si="63"/>
        <v>49.865651338732093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8.8698210950950415E-2</v>
      </c>
      <c r="AD201" s="231">
        <f>(INDEX(Models!$BJ201:$BT201,,AH201)*(1-AF201)+INDEX(Models!$BJ201:$BT201,,AH201+1)*AF201-ERP_i)*AE201*Ramure*Pc/MaxiM</f>
        <v>2.1776961948916999E-4</v>
      </c>
      <c r="AE201" s="305">
        <f t="shared" si="65"/>
        <v>0.5</v>
      </c>
      <c r="AF201" s="177">
        <f t="shared" si="66"/>
        <v>0.8694891412684993</v>
      </c>
      <c r="AG201" s="811">
        <f t="shared" si="74"/>
        <v>1</v>
      </c>
      <c r="AH201" s="176">
        <f t="shared" si="67"/>
        <v>7</v>
      </c>
      <c r="AI201" s="225">
        <f t="shared" si="68"/>
        <v>1.8694891412684993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'2024'!Wh/'2024'!Env_an*'2025'!Env_an</f>
        <v>51.902145297866447</v>
      </c>
      <c r="C202" s="841"/>
      <c r="D202" s="393">
        <f t="shared" si="50"/>
        <v>54.92676660041333</v>
      </c>
      <c r="E202" s="385">
        <f t="shared" si="75"/>
        <v>57.28709533759492</v>
      </c>
      <c r="F202" s="385">
        <f t="shared" si="51"/>
        <v>57.287609724929979</v>
      </c>
      <c r="G202" s="110">
        <f t="shared" si="76"/>
        <v>0.92879316289692748</v>
      </c>
      <c r="H202" s="414" t="b">
        <f>Wh_hp&gt;='2024'!Maxi_hp</f>
        <v>1</v>
      </c>
      <c r="I202" s="390">
        <f>IF(H202,Wh_hp,'2024'!Maxi_hp)</f>
        <v>57.287609724929979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5.5066436452571366E-2</v>
      </c>
      <c r="M202" s="845"/>
      <c r="N202" s="845"/>
      <c r="O202" s="48">
        <f>IF(t&lt;Tnet,'2024'!Resal+('2024'!Salim-'2024'!Resal)*(1-EXP(('2024'!Tnet-t)/('2024'!Tau_j))),Resal+(Salim-Resal)*(1-EXP((Tnet-t)/(Tau_j))))*Salcycl</f>
        <v>4.1201752738065818E-2</v>
      </c>
      <c r="P202" s="169">
        <f>(INDEX(Models!$BJ202:$BT202,,T202)*(1-R202)+INDEX(Models!$BJ202:$BT202,,T202+1)*R202-ERP_i)*Q202*Ramure*Pc/MaxiM</f>
        <v>9.9958364564939127E-6</v>
      </c>
      <c r="Q202" s="305">
        <f t="shared" si="53"/>
        <v>0.5</v>
      </c>
      <c r="R202" s="177">
        <f t="shared" si="54"/>
        <v>0.34837936660956004</v>
      </c>
      <c r="S202" s="811">
        <f t="shared" si="55"/>
        <v>-2</v>
      </c>
      <c r="T202" s="176">
        <f t="shared" si="56"/>
        <v>4</v>
      </c>
      <c r="U202" s="251">
        <f t="shared" si="57"/>
        <v>-1.65162063339044</v>
      </c>
      <c r="V202" s="383">
        <f t="shared" si="58"/>
        <v>55.881217257484067</v>
      </c>
      <c r="W202" s="402">
        <f t="shared" si="59"/>
        <v>51.902145297866447</v>
      </c>
      <c r="X202" s="157">
        <f t="shared" si="60"/>
        <v>45845</v>
      </c>
      <c r="Y202" s="385">
        <f t="shared" si="61"/>
        <v>49.318917410035361</v>
      </c>
      <c r="Z202" s="385">
        <f t="shared" si="62"/>
        <v>52.192999923597185</v>
      </c>
      <c r="AA202" s="386">
        <f t="shared" si="63"/>
        <v>57.27549078315689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8.8737622149792583E-2</v>
      </c>
      <c r="AD202" s="231">
        <f>(INDEX(Models!$BJ202:$BT202,,AH202)*(1-AF202)+INDEX(Models!$BJ202:$BT202,,AH202+1)*AF202-ERP_i)*AE202*Ramure*Pc/MaxiM</f>
        <v>2.3550144362789098E-4</v>
      </c>
      <c r="AE202" s="305">
        <f t="shared" si="65"/>
        <v>0.5</v>
      </c>
      <c r="AF202" s="177">
        <f t="shared" si="66"/>
        <v>0.87336693298353896</v>
      </c>
      <c r="AG202" s="811">
        <f t="shared" si="74"/>
        <v>1</v>
      </c>
      <c r="AH202" s="176">
        <f t="shared" si="67"/>
        <v>7</v>
      </c>
      <c r="AI202" s="225">
        <f t="shared" si="68"/>
        <v>1.873366932983539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'2024'!Wh/'2024'!Env_an*'2025'!Env_an</f>
        <v>54.584804299431454</v>
      </c>
      <c r="C203" s="841"/>
      <c r="D203" s="393">
        <f t="shared" si="50"/>
        <v>57.76702403076419</v>
      </c>
      <c r="E203" s="385">
        <f t="shared" si="75"/>
        <v>60.254066420618095</v>
      </c>
      <c r="F203" s="385">
        <f t="shared" si="51"/>
        <v>60.254693375579407</v>
      </c>
      <c r="G203" s="110">
        <f t="shared" si="76"/>
        <v>0.97851941448668267</v>
      </c>
      <c r="H203" s="414" t="b">
        <f>Wh_hp&gt;='2024'!Maxi_hp</f>
        <v>0</v>
      </c>
      <c r="I203" s="390">
        <f>IF(H203,Wh_hp,'2024'!Maxi_hp)</f>
        <v>63.132463716134929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5.508713292272116E-2</v>
      </c>
      <c r="M203" s="845"/>
      <c r="N203" s="845"/>
      <c r="O203" s="48">
        <f>IF(t&lt;Tnet,'2024'!Resal+('2024'!Salim-'2024'!Resal)*(1-EXP(('2024'!Tnet-t)/('2024'!Tau_j))),Resal+(Salim-Resal)*(1-EXP((Tnet-t)/(Tau_j))))*Salcycl</f>
        <v>4.1275926051073497E-2</v>
      </c>
      <c r="P203" s="169">
        <f>(INDEX(Models!$BJ203:$BT203,,T203)*(1-R203)+INDEX(Models!$BJ203:$BT203,,T203+1)*R203-ERP_i)*Q203*Ramure*Pc/MaxiM</f>
        <v>1.073448016268308E-5</v>
      </c>
      <c r="Q203" s="305">
        <f t="shared" si="53"/>
        <v>0.5</v>
      </c>
      <c r="R203" s="177">
        <f t="shared" si="54"/>
        <v>0.35217765817516233</v>
      </c>
      <c r="S203" s="811">
        <f t="shared" si="55"/>
        <v>-2</v>
      </c>
      <c r="T203" s="176">
        <f t="shared" si="56"/>
        <v>4</v>
      </c>
      <c r="U203" s="251">
        <f t="shared" si="57"/>
        <v>-1.6478223418248377</v>
      </c>
      <c r="V203" s="383">
        <f t="shared" si="58"/>
        <v>55.78303865098723</v>
      </c>
      <c r="W203" s="402">
        <f t="shared" si="59"/>
        <v>54.584804299431454</v>
      </c>
      <c r="X203" s="157">
        <f t="shared" si="60"/>
        <v>45846</v>
      </c>
      <c r="Y203" s="385">
        <f t="shared" si="61"/>
        <v>51.868097961134829</v>
      </c>
      <c r="Z203" s="385">
        <f t="shared" si="62"/>
        <v>54.89193741383653</v>
      </c>
      <c r="AA203" s="386">
        <f t="shared" si="63"/>
        <v>60.239776701896979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8.8775881665777198E-2</v>
      </c>
      <c r="AD203" s="231">
        <f>(INDEX(Models!$BJ203:$BT203,,AH203)*(1-AF203)+INDEX(Models!$BJ203:$BT203,,AH203+1)*AF203-ERP_i)*AE203*Ramure*Pc/MaxiM</f>
        <v>2.5539751276836546E-4</v>
      </c>
      <c r="AE203" s="305">
        <f t="shared" si="65"/>
        <v>0.5</v>
      </c>
      <c r="AF203" s="177">
        <f t="shared" si="66"/>
        <v>0.87716522454914125</v>
      </c>
      <c r="AG203" s="811">
        <f t="shared" si="74"/>
        <v>1</v>
      </c>
      <c r="AH203" s="176">
        <f t="shared" si="67"/>
        <v>7</v>
      </c>
      <c r="AI203" s="225">
        <f t="shared" si="68"/>
        <v>1.8771652245491413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'2024'!Wh/'2024'!Env_an*'2025'!Env_an</f>
        <v>53.881797616138037</v>
      </c>
      <c r="C204" s="841"/>
      <c r="D204" s="393">
        <f t="shared" si="50"/>
        <v>57.02428199364536</v>
      </c>
      <c r="E204" s="385">
        <f t="shared" si="75"/>
        <v>59.483915049392998</v>
      </c>
      <c r="F204" s="385">
        <f t="shared" si="51"/>
        <v>59.484572277483863</v>
      </c>
      <c r="G204" s="110">
        <f t="shared" si="76"/>
        <v>0.96765049286143168</v>
      </c>
      <c r="H204" s="414" t="b">
        <f>Wh_hp&gt;='2024'!Maxi_hp</f>
        <v>0</v>
      </c>
      <c r="I204" s="390">
        <f>IF(H204,Wh_hp,'2024'!Maxi_hp)</f>
        <v>60.536567302517156</v>
      </c>
      <c r="J204" s="85">
        <f>IF(H204,An,'2024'!An_max)</f>
        <v>2020</v>
      </c>
      <c r="K204" s="197">
        <f t="shared" si="52"/>
        <v>45847</v>
      </c>
      <c r="L204" s="147">
        <f>IF(t&lt;Tvie,1-EXP((T0-t)*PertePVj)+'2024'!Pspv,1-EXP((T0-t)*PertePVj)+Pspv)</f>
        <v>5.5107828939565007E-2</v>
      </c>
      <c r="M204" s="845"/>
      <c r="N204" s="845"/>
      <c r="O204" s="48">
        <f>IF(t&lt;Tnet,'2024'!Resal+('2024'!Salim-'2024'!Resal)*(1-EXP(('2024'!Tnet-t)/('2024'!Tau_j))),Resal+(Salim-Resal)*(1-EXP((Tnet-t)/(Tau_j))))*Salcycl</f>
        <v>4.1349548927727096E-2</v>
      </c>
      <c r="P204" s="169">
        <f>(INDEX(Models!$BJ204:$BT204,,T204)*(1-R204)+INDEX(Models!$BJ204:$BT204,,T204+1)*R204-ERP_i)*Q204*Ramure*Pc/MaxiM</f>
        <v>1.1584046801832191E-5</v>
      </c>
      <c r="Q204" s="305">
        <f t="shared" si="53"/>
        <v>0.5</v>
      </c>
      <c r="R204" s="177">
        <f t="shared" si="54"/>
        <v>0.3558957613006144</v>
      </c>
      <c r="S204" s="811">
        <f t="shared" si="55"/>
        <v>-2</v>
      </c>
      <c r="T204" s="176">
        <f t="shared" si="56"/>
        <v>4</v>
      </c>
      <c r="U204" s="251">
        <f t="shared" si="57"/>
        <v>-1.6441042386993856</v>
      </c>
      <c r="V204" s="383">
        <f t="shared" si="58"/>
        <v>55.683089264854907</v>
      </c>
      <c r="W204" s="402">
        <f t="shared" si="59"/>
        <v>53.881797616138037</v>
      </c>
      <c r="X204" s="157">
        <f t="shared" si="60"/>
        <v>45847</v>
      </c>
      <c r="Y204" s="385">
        <f t="shared" si="61"/>
        <v>51.201082118284482</v>
      </c>
      <c r="Z204" s="385">
        <f t="shared" si="62"/>
        <v>54.187222295240794</v>
      </c>
      <c r="AA204" s="386">
        <f t="shared" si="63"/>
        <v>59.468829295645939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8.8813031347026103E-2</v>
      </c>
      <c r="AD204" s="231">
        <f>(INDEX(Models!$BJ204:$BT204,,AH204)*(1-AF204)+INDEX(Models!$BJ204:$BT204,,AH204+1)*AF204-ERP_i)*AE204*Ramure*Pc/MaxiM</f>
        <v>2.7747967706512604E-4</v>
      </c>
      <c r="AE204" s="305">
        <f t="shared" si="65"/>
        <v>0.5</v>
      </c>
      <c r="AF204" s="177">
        <f t="shared" si="66"/>
        <v>0.88088332767459332</v>
      </c>
      <c r="AG204" s="811">
        <f t="shared" si="74"/>
        <v>1</v>
      </c>
      <c r="AH204" s="176">
        <f t="shared" si="67"/>
        <v>7</v>
      </c>
      <c r="AI204" s="225">
        <f t="shared" si="68"/>
        <v>1.8808833276745933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'2024'!Wh/'2024'!Env_an*'2025'!Env_an</f>
        <v>53.196384135342811</v>
      </c>
      <c r="C205" s="841"/>
      <c r="D205" s="393">
        <f t="shared" si="50"/>
        <v>56.300127070052589</v>
      </c>
      <c r="E205" s="385">
        <f t="shared" si="75"/>
        <v>58.733003074547419</v>
      </c>
      <c r="F205" s="385">
        <f t="shared" si="51"/>
        <v>58.733694884361036</v>
      </c>
      <c r="G205" s="110">
        <f t="shared" si="76"/>
        <v>0.95709311431644062</v>
      </c>
      <c r="H205" s="414" t="b">
        <f>Wh_hp&gt;='2024'!Maxi_hp</f>
        <v>0</v>
      </c>
      <c r="I205" s="390">
        <f>IF(H205,Wh_hp,'2024'!Maxi_hp)</f>
        <v>59.982897259607313</v>
      </c>
      <c r="J205" s="85">
        <f>IF(H205,An,'2024'!An_max)</f>
        <v>2019</v>
      </c>
      <c r="K205" s="197">
        <f t="shared" si="52"/>
        <v>45848</v>
      </c>
      <c r="L205" s="147">
        <f>IF(t&lt;Tvie,1-EXP((T0-t)*PertePVj)+'2024'!Pspv,1-EXP((T0-t)*PertePVj)+Pspv)</f>
        <v>5.5128524503113119E-2</v>
      </c>
      <c r="M205" s="845"/>
      <c r="N205" s="845"/>
      <c r="O205" s="48">
        <f>IF(t&lt;Tnet,'2024'!Resal+('2024'!Salim-'2024'!Resal)*(1-EXP(('2024'!Tnet-t)/('2024'!Tau_j))),Resal+(Salim-Resal)*(1-EXP((Tnet-t)/(Tau_j))))*Salcycl</f>
        <v>4.1422639353327156E-2</v>
      </c>
      <c r="P205" s="169">
        <f>(INDEX(Models!$BJ205:$BT205,,T205)*(1-R205)+INDEX(Models!$BJ205:$BT205,,T205+1)*R205-ERP_i)*Q205*Ramure*Pc/MaxiM</f>
        <v>1.2547870642056104E-5</v>
      </c>
      <c r="Q205" s="305">
        <f t="shared" si="53"/>
        <v>0.5</v>
      </c>
      <c r="R205" s="177">
        <f t="shared" si="54"/>
        <v>0.35953314894844324</v>
      </c>
      <c r="S205" s="811">
        <f t="shared" si="55"/>
        <v>-2</v>
      </c>
      <c r="T205" s="176">
        <f t="shared" si="56"/>
        <v>4</v>
      </c>
      <c r="U205" s="251">
        <f t="shared" si="57"/>
        <v>-1.6404668510515568</v>
      </c>
      <c r="V205" s="383">
        <f t="shared" si="58"/>
        <v>55.581157595823925</v>
      </c>
      <c r="W205" s="402">
        <f t="shared" si="59"/>
        <v>53.196384135342811</v>
      </c>
      <c r="X205" s="157">
        <f t="shared" si="60"/>
        <v>45848</v>
      </c>
      <c r="Y205" s="385">
        <f t="shared" si="61"/>
        <v>50.550717171239512</v>
      </c>
      <c r="Z205" s="385">
        <f t="shared" si="62"/>
        <v>53.500098671786041</v>
      </c>
      <c r="AA205" s="386">
        <f t="shared" si="63"/>
        <v>58.717057190905663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8.8849114187685235E-2</v>
      </c>
      <c r="AD205" s="231">
        <f>(INDEX(Models!$BJ205:$BT205,,AH205)*(1-AF205)+INDEX(Models!$BJ205:$BT205,,AH205+1)*AF205-ERP_i)*AE205*Ramure*Pc/MaxiM</f>
        <v>3.0177025701440063E-4</v>
      </c>
      <c r="AE205" s="305">
        <f t="shared" si="65"/>
        <v>0.5</v>
      </c>
      <c r="AF205" s="177">
        <f t="shared" si="66"/>
        <v>0.88452071532242216</v>
      </c>
      <c r="AG205" s="811">
        <f t="shared" si="74"/>
        <v>1</v>
      </c>
      <c r="AH205" s="176">
        <f t="shared" si="67"/>
        <v>7</v>
      </c>
      <c r="AI205" s="225">
        <f t="shared" si="68"/>
        <v>1.8845207153224222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'2024'!Wh/'2024'!Env_an*'2025'!Env_an</f>
        <v>51.789487856713016</v>
      </c>
      <c r="C206" s="841"/>
      <c r="D206" s="393">
        <f t="shared" si="50"/>
        <v>54.812345961677885</v>
      </c>
      <c r="E206" s="385">
        <f t="shared" si="75"/>
        <v>57.185260696972691</v>
      </c>
      <c r="F206" s="385">
        <f t="shared" si="51"/>
        <v>57.185968856184139</v>
      </c>
      <c r="G206" s="110">
        <f t="shared" si="76"/>
        <v>0.93352799841468714</v>
      </c>
      <c r="H206" s="414" t="b">
        <f>Wh_hp&gt;='2024'!Maxi_hp</f>
        <v>0</v>
      </c>
      <c r="I206" s="390">
        <f>IF(H206,Wh_hp,'2024'!Maxi_hp)</f>
        <v>61.452728703103304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5.5149219613375156E-2</v>
      </c>
      <c r="M206" s="845"/>
      <c r="N206" s="845"/>
      <c r="O206" s="48">
        <f>IF(t&lt;Tnet,'2024'!Resal+('2024'!Salim-'2024'!Resal)*(1-EXP(('2024'!Tnet-t)/('2024'!Tau_j))),Resal+(Salim-Resal)*(1-EXP((Tnet-t)/(Tau_j))))*Salcycl</f>
        <v>4.1495215836629532E-2</v>
      </c>
      <c r="P206" s="169">
        <f>(INDEX(Models!$BJ206:$BT206,,T206)*(1-R206)+INDEX(Models!$BJ206:$BT206,,T206+1)*R206-ERP_i)*Q206*Ramure*Pc/MaxiM</f>
        <v>1.3682732002702334E-5</v>
      </c>
      <c r="Q206" s="305">
        <f t="shared" si="53"/>
        <v>0.5</v>
      </c>
      <c r="R206" s="177">
        <f t="shared" si="54"/>
        <v>0.36308945000680737</v>
      </c>
      <c r="S206" s="811">
        <f t="shared" si="55"/>
        <v>-2</v>
      </c>
      <c r="T206" s="176">
        <f t="shared" si="56"/>
        <v>4</v>
      </c>
      <c r="U206" s="251">
        <f t="shared" si="57"/>
        <v>-1.6369105499931926</v>
      </c>
      <c r="V206" s="383">
        <f t="shared" si="58"/>
        <v>55.477094050033358</v>
      </c>
      <c r="W206" s="402">
        <f t="shared" si="59"/>
        <v>51.789487856713016</v>
      </c>
      <c r="X206" s="157">
        <f t="shared" si="60"/>
        <v>45849</v>
      </c>
      <c r="Y206" s="385">
        <f t="shared" si="61"/>
        <v>49.215025529756069</v>
      </c>
      <c r="Z206" s="385">
        <f t="shared" si="62"/>
        <v>52.087616956423219</v>
      </c>
      <c r="AA206" s="386">
        <f t="shared" si="63"/>
        <v>57.169039844658293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8.8884174057190637E-2</v>
      </c>
      <c r="AD206" s="231">
        <f>(INDEX(Models!$BJ206:$BT206,,AH206)*(1-AF206)+INDEX(Models!$BJ206:$BT206,,AH206+1)*AF206-ERP_i)*AE206*Ramure*Pc/MaxiM</f>
        <v>3.2709470417581206E-4</v>
      </c>
      <c r="AE206" s="305">
        <f t="shared" si="65"/>
        <v>0.5</v>
      </c>
      <c r="AF206" s="177">
        <f t="shared" si="66"/>
        <v>0.88807701638078651</v>
      </c>
      <c r="AG206" s="811">
        <f t="shared" si="74"/>
        <v>1</v>
      </c>
      <c r="AH206" s="176">
        <f t="shared" si="67"/>
        <v>7</v>
      </c>
      <c r="AI206" s="225">
        <f t="shared" si="68"/>
        <v>1.8880770163807865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'2024'!Wh/'2024'!Env_an*'2025'!Env_an</f>
        <v>51.884208137770443</v>
      </c>
      <c r="C207" s="841"/>
      <c r="D207" s="393">
        <f t="shared" ref="D207:D270" si="77">Wh/(1-Ppv)</f>
        <v>54.913797646169591</v>
      </c>
      <c r="E207" s="385">
        <f t="shared" si="75"/>
        <v>57.29541311633723</v>
      </c>
      <c r="F207" s="385">
        <f t="shared" ref="F207:F270" si="78">Wh_sa/(1-Pvg*MEDIAN((-Sdif+Wh/Env_an)/Csdif,0,1))</f>
        <v>57.296194373345905</v>
      </c>
      <c r="G207" s="110">
        <f t="shared" si="76"/>
        <v>0.93702736699952416</v>
      </c>
      <c r="H207" s="414" t="b">
        <f>Wh_hp&gt;='2024'!Maxi_hp</f>
        <v>0</v>
      </c>
      <c r="I207" s="390">
        <f>IF(H207,Wh_hp,'2024'!Maxi_hp)</f>
        <v>61.87528776158792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5.5169914270361331E-2</v>
      </c>
      <c r="M207" s="845"/>
      <c r="N207" s="845"/>
      <c r="O207" s="48">
        <f>IF(t&lt;Tnet,'2024'!Resal+('2024'!Salim-'2024'!Resal)*(1-EXP(('2024'!Tnet-t)/('2024'!Tau_j))),Resal+(Salim-Resal)*(1-EXP((Tnet-t)/(Tau_j))))*Salcycl</f>
        <v>4.1567297286639902E-2</v>
      </c>
      <c r="P207" s="169">
        <f>(INDEX(Models!$BJ207:$BT207,,T207)*(1-R207)+INDEX(Models!$BJ207:$BT207,,T207+1)*R207-ERP_i)*Q207*Ramure*Pc/MaxiM</f>
        <v>1.4983291823021613E-5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0.3665644435535258</v>
      </c>
      <c r="S207" s="811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-1.6334355564464742</v>
      </c>
      <c r="V207" s="383">
        <f t="shared" ref="V207:V270" si="85">MaxiM*(1-Ppv)*(1-Pvg)*(1-Psa)</f>
        <v>55.370995586917481</v>
      </c>
      <c r="W207" s="402">
        <f t="shared" ref="W207:W270" si="86">Wh*(A207&gt;Tmaj)</f>
        <v>51.884208137770443</v>
      </c>
      <c r="X207" s="157">
        <f t="shared" ref="X207:X270" si="87">t</f>
        <v>45850</v>
      </c>
      <c r="Y207" s="385">
        <f t="shared" ref="Y207:Y270" si="88">Wh_pvt_s*(1-Ppv)</f>
        <v>49.30573913969976</v>
      </c>
      <c r="Z207" s="385">
        <f t="shared" ref="Z207:Z270" si="89">Wh_sa_s*(1-Psa_s)</f>
        <v>52.184768334958065</v>
      </c>
      <c r="AA207" s="386">
        <f t="shared" ref="AA207:AA270" si="90">Wh_hp*(1-Pvg_s*MEDIAN((-Sdif+Wh/Env_an)/Csdif,0,1))</f>
        <v>57.277811399551489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8.8918255431688978E-2</v>
      </c>
      <c r="AD207" s="231">
        <f>(INDEX(Models!$BJ207:$BT207,,AH207)*(1-AF207)+INDEX(Models!$BJ207:$BT207,,AH207+1)*AF207-ERP_i)*AE207*Ramure*Pc/MaxiM</f>
        <v>3.5255678717555902E-4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0.8915520099275045</v>
      </c>
      <c r="AG207" s="811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1.8915520099275045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'2024'!Wh/'2024'!Env_an*'2025'!Env_an</f>
        <v>51.273060457643076</v>
      </c>
      <c r="C208" s="841"/>
      <c r="D208" s="393">
        <f t="shared" si="77"/>
        <v>54.268152833276012</v>
      </c>
      <c r="E208" s="385">
        <f t="shared" si="75"/>
        <v>56.625997233131848</v>
      </c>
      <c r="F208" s="385">
        <f t="shared" si="78"/>
        <v>56.626832868770869</v>
      </c>
      <c r="G208" s="110">
        <f t="shared" si="76"/>
        <v>0.9278000086544913</v>
      </c>
      <c r="H208" s="414" t="b">
        <f>Wh_hp&gt;='2024'!Maxi_hp</f>
        <v>1</v>
      </c>
      <c r="I208" s="390">
        <f>IF(H208,Wh_hp,'2024'!Maxi_hp)</f>
        <v>56.626832868770869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5.5190608474081193E-2</v>
      </c>
      <c r="M208" s="845"/>
      <c r="N208" s="845"/>
      <c r="O208" s="48">
        <f>IF(t&lt;Tnet,'2024'!Resal+('2024'!Salim-'2024'!Resal)*(1-EXP(('2024'!Tnet-t)/('2024'!Tau_j))),Resal+(Salim-Resal)*(1-EXP((Tnet-t)/(Tau_j))))*Salcycl</f>
        <v>4.1638902890283533E-2</v>
      </c>
      <c r="P208" s="169">
        <f>(INDEX(Models!$BJ208:$BT208,,T208)*(1-R208)+INDEX(Models!$BJ208:$BT208,,T208+1)*R208-ERP_i)*Q208*Ramure*Pc/MaxiM</f>
        <v>1.6453955373468504E-5</v>
      </c>
      <c r="Q208" s="305">
        <f t="shared" si="80"/>
        <v>0.5</v>
      </c>
      <c r="R208" s="177">
        <f t="shared" si="81"/>
        <v>0.36995805277087124</v>
      </c>
      <c r="S208" s="811">
        <f t="shared" si="82"/>
        <v>-2</v>
      </c>
      <c r="T208" s="176">
        <f t="shared" si="83"/>
        <v>4</v>
      </c>
      <c r="U208" s="251">
        <f t="shared" si="84"/>
        <v>-1.6300419472291288</v>
      </c>
      <c r="V208" s="383">
        <f t="shared" si="85"/>
        <v>55.262958573048984</v>
      </c>
      <c r="W208" s="402">
        <f t="shared" si="86"/>
        <v>51.273060457643076</v>
      </c>
      <c r="X208" s="157">
        <f t="shared" si="87"/>
        <v>45851</v>
      </c>
      <c r="Y208" s="385">
        <f t="shared" si="88"/>
        <v>48.725993963768751</v>
      </c>
      <c r="Z208" s="385">
        <f t="shared" si="89"/>
        <v>51.572300615125776</v>
      </c>
      <c r="AA208" s="386">
        <f t="shared" si="90"/>
        <v>56.607628607607346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8.8951403129522447E-2</v>
      </c>
      <c r="AD208" s="231">
        <f>(INDEX(Models!$BJ208:$BT208,,AH208)*(1-AF208)+INDEX(Models!$BJ208:$BT208,,AH208+1)*AF208-ERP_i)*AE208*Ramure*Pc/MaxiM</f>
        <v>3.7813855873350627E-4</v>
      </c>
      <c r="AE208" s="305">
        <f t="shared" si="92"/>
        <v>0.5</v>
      </c>
      <c r="AF208" s="177">
        <f t="shared" si="93"/>
        <v>0.89494561914484994</v>
      </c>
      <c r="AG208" s="811">
        <f t="shared" ref="AG208:AG271" si="99">INDEX(Echel_vg,AH208)</f>
        <v>1</v>
      </c>
      <c r="AH208" s="176">
        <f t="shared" si="94"/>
        <v>7</v>
      </c>
      <c r="AI208" s="225">
        <f t="shared" si="95"/>
        <v>1.8949456191448499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'2024'!Wh/'2024'!Env_an*'2025'!Env_an</f>
        <v>50.725396237287221</v>
      </c>
      <c r="C209" s="841"/>
      <c r="D209" s="393">
        <f t="shared" si="77"/>
        <v>53.689672999605435</v>
      </c>
      <c r="E209" s="385">
        <f t="shared" si="75"/>
        <v>56.026543021975016</v>
      </c>
      <c r="F209" s="385">
        <f t="shared" si="78"/>
        <v>56.02744076469196</v>
      </c>
      <c r="G209" s="110">
        <f t="shared" si="76"/>
        <v>0.91971820159061446</v>
      </c>
      <c r="H209" s="414" t="b">
        <f>Wh_hp&gt;='2024'!Maxi_hp</f>
        <v>0</v>
      </c>
      <c r="I209" s="390">
        <f>IF(H209,Wh_hp,'2024'!Maxi_hp)</f>
        <v>61.910407700916835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5.5211302224545067E-2</v>
      </c>
      <c r="M209" s="845"/>
      <c r="N209" s="845"/>
      <c r="O209" s="48">
        <f>IF(t&lt;Tnet,'2024'!Resal+('2024'!Salim-'2024'!Resal)*(1-EXP(('2024'!Tnet-t)/('2024'!Tau_j))),Resal+(Salim-Resal)*(1-EXP((Tnet-t)/(Tau_j))))*Salcycl</f>
        <v>4.1710051991839005E-2</v>
      </c>
      <c r="P209" s="169">
        <f>(INDEX(Models!$BJ209:$BT209,,T209)*(1-R209)+INDEX(Models!$BJ209:$BT209,,T209+1)*R209-ERP_i)*Q209*Ramure*Pc/MaxiM</f>
        <v>1.8098957310668066E-5</v>
      </c>
      <c r="Q209" s="305">
        <f t="shared" si="80"/>
        <v>0.5</v>
      </c>
      <c r="R209" s="177">
        <f t="shared" si="81"/>
        <v>0.37327033856900416</v>
      </c>
      <c r="S209" s="811">
        <f t="shared" si="82"/>
        <v>-2</v>
      </c>
      <c r="T209" s="176">
        <f t="shared" si="83"/>
        <v>4</v>
      </c>
      <c r="U209" s="251">
        <f t="shared" si="84"/>
        <v>-1.6267296614309958</v>
      </c>
      <c r="V209" s="383">
        <f t="shared" si="85"/>
        <v>55.153079342918907</v>
      </c>
      <c r="W209" s="402">
        <f t="shared" si="86"/>
        <v>50.725396237287221</v>
      </c>
      <c r="X209" s="157">
        <f t="shared" si="87"/>
        <v>45852</v>
      </c>
      <c r="Y209" s="385">
        <f t="shared" si="88"/>
        <v>48.20658286319712</v>
      </c>
      <c r="Z209" s="385">
        <f t="shared" si="89"/>
        <v>51.023665901911784</v>
      </c>
      <c r="AA209" s="386">
        <f t="shared" si="90"/>
        <v>56.007410379570061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8.898366205262373E-2</v>
      </c>
      <c r="AD209" s="231">
        <f>(INDEX(Models!$BJ209:$BT209,,AH209)*(1-AF209)+INDEX(Models!$BJ209:$BT209,,AH209+1)*AF209-ERP_i)*AE209*Ramure*Pc/MaxiM</f>
        <v>4.0382291985616473E-4</v>
      </c>
      <c r="AE209" s="305">
        <f t="shared" si="92"/>
        <v>0.5</v>
      </c>
      <c r="AF209" s="177">
        <f t="shared" si="93"/>
        <v>0.89825790494298285</v>
      </c>
      <c r="AG209" s="811">
        <f t="shared" si="99"/>
        <v>1</v>
      </c>
      <c r="AH209" s="176">
        <f t="shared" si="94"/>
        <v>7</v>
      </c>
      <c r="AI209" s="225">
        <f t="shared" si="95"/>
        <v>1.8982579049429829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'2024'!Wh/'2024'!Env_an*'2025'!Env_an</f>
        <v>49.029492420163557</v>
      </c>
      <c r="C210" s="841"/>
      <c r="D210" s="393">
        <f t="shared" si="77"/>
        <v>51.895801072603902</v>
      </c>
      <c r="E210" s="385">
        <f t="shared" si="75"/>
        <v>54.158588266171833</v>
      </c>
      <c r="F210" s="385">
        <f t="shared" si="78"/>
        <v>54.159498889627081</v>
      </c>
      <c r="G210" s="110">
        <f t="shared" si="76"/>
        <v>0.89077115981540622</v>
      </c>
      <c r="H210" s="414" t="b">
        <f>Wh_hp&gt;='2024'!Maxi_hp</f>
        <v>0</v>
      </c>
      <c r="I210" s="390">
        <f>IF(H210,Wh_hp,'2024'!Maxi_hp)</f>
        <v>63.341573131215071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5.5231995521762611E-2</v>
      </c>
      <c r="M210" s="845"/>
      <c r="N210" s="845"/>
      <c r="O210" s="48">
        <f>IF(t&lt;Tnet,'2024'!Resal+('2024'!Salim-'2024'!Resal)*(1-EXP(('2024'!Tnet-t)/('2024'!Tau_j))),Resal+(Salim-Resal)*(1-EXP((Tnet-t)/(Tau_j))))*Salcycl</f>
        <v>4.178076397499636E-2</v>
      </c>
      <c r="P210" s="169">
        <f>(INDEX(Models!$BJ210:$BT210,,T210)*(1-R210)+INDEX(Models!$BJ210:$BT210,,T210+1)*R210-ERP_i)*Q210*Ramure*Pc/MaxiM</f>
        <v>1.9922365959529167E-5</v>
      </c>
      <c r="Q210" s="305">
        <f t="shared" si="80"/>
        <v>0.5</v>
      </c>
      <c r="R210" s="177">
        <f t="shared" si="81"/>
        <v>0.37650149297415636</v>
      </c>
      <c r="S210" s="811">
        <f t="shared" si="82"/>
        <v>-2</v>
      </c>
      <c r="T210" s="176">
        <f t="shared" si="83"/>
        <v>4</v>
      </c>
      <c r="U210" s="251">
        <f t="shared" si="84"/>
        <v>-1.6234985070258436</v>
      </c>
      <c r="V210" s="383">
        <f t="shared" si="85"/>
        <v>55.041454208235635</v>
      </c>
      <c r="W210" s="402">
        <f t="shared" si="86"/>
        <v>49.029492420163557</v>
      </c>
      <c r="X210" s="157">
        <f t="shared" si="87"/>
        <v>45853</v>
      </c>
      <c r="Y210" s="385">
        <f t="shared" si="88"/>
        <v>46.596523629473239</v>
      </c>
      <c r="Z210" s="385">
        <f t="shared" si="89"/>
        <v>49.320598716937802</v>
      </c>
      <c r="AA210" s="386">
        <f t="shared" si="90"/>
        <v>54.139862766368253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8.9015076935588092E-2</v>
      </c>
      <c r="AD210" s="231">
        <f>(INDEX(Models!$BJ210:$BT210,,AH210)*(1-AF210)+INDEX(Models!$BJ210:$BT210,,AH210+1)*AF210-ERP_i)*AE210*Ramure*Pc/MaxiM</f>
        <v>4.2959362767949858E-4</v>
      </c>
      <c r="AE210" s="305">
        <f t="shared" si="92"/>
        <v>0.5</v>
      </c>
      <c r="AF210" s="177">
        <f t="shared" si="93"/>
        <v>0.90148905934813528</v>
      </c>
      <c r="AG210" s="811">
        <f t="shared" si="99"/>
        <v>1</v>
      </c>
      <c r="AH210" s="176">
        <f t="shared" si="94"/>
        <v>7</v>
      </c>
      <c r="AI210" s="225">
        <f t="shared" si="95"/>
        <v>1.9014890593481353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'2024'!Wh/'2024'!Env_an*'2025'!Env_an</f>
        <v>50.382954807431759</v>
      </c>
      <c r="C211" s="841"/>
      <c r="D211" s="393">
        <f t="shared" si="77"/>
        <v>53.329556154309245</v>
      </c>
      <c r="E211" s="385">
        <f t="shared" si="75"/>
        <v>55.658941762487522</v>
      </c>
      <c r="F211" s="385">
        <f t="shared" si="78"/>
        <v>55.660018000246446</v>
      </c>
      <c r="G211" s="110">
        <f t="shared" si="76"/>
        <v>0.91724911871056403</v>
      </c>
      <c r="H211" s="414" t="b">
        <f>Wh_hp&gt;='2024'!Maxi_hp</f>
        <v>0</v>
      </c>
      <c r="I211" s="390">
        <f>IF(H211,Wh_hp,'2024'!Maxi_hp)</f>
        <v>61.340662594559738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5.5252688365743818E-2</v>
      </c>
      <c r="M211" s="845"/>
      <c r="N211" s="845"/>
      <c r="O211" s="48">
        <f>IF(t&lt;Tnet,'2024'!Resal+('2024'!Salim-'2024'!Resal)*(1-EXP(('2024'!Tnet-t)/('2024'!Tau_j))),Resal+(Salim-Resal)*(1-EXP((Tnet-t)/(Tau_j))))*Salcycl</f>
        <v>4.1851058148364068E-2</v>
      </c>
      <c r="P211" s="169">
        <f>(INDEX(Models!$BJ211:$BT211,,T211)*(1-R211)+INDEX(Models!$BJ211:$BT211,,T211+1)*R211-ERP_i)*Q211*Ramure*Pc/MaxiM</f>
        <v>2.1928088278728427E-5</v>
      </c>
      <c r="Q211" s="305">
        <f t="shared" si="80"/>
        <v>0.5</v>
      </c>
      <c r="R211" s="177">
        <f t="shared" si="81"/>
        <v>0.37965183233549782</v>
      </c>
      <c r="S211" s="811">
        <f t="shared" si="82"/>
        <v>-2</v>
      </c>
      <c r="T211" s="176">
        <f t="shared" si="83"/>
        <v>4</v>
      </c>
      <c r="U211" s="251">
        <f t="shared" si="84"/>
        <v>-1.6203481676645022</v>
      </c>
      <c r="V211" s="383">
        <f t="shared" si="85"/>
        <v>54.928179462008529</v>
      </c>
      <c r="W211" s="402">
        <f t="shared" si="86"/>
        <v>50.382954807431759</v>
      </c>
      <c r="X211" s="157">
        <f t="shared" si="87"/>
        <v>45854</v>
      </c>
      <c r="Y211" s="385">
        <f t="shared" si="88"/>
        <v>47.882978205799532</v>
      </c>
      <c r="Z211" s="385">
        <f t="shared" si="89"/>
        <v>50.683370691968328</v>
      </c>
      <c r="AA211" s="386">
        <f t="shared" si="90"/>
        <v>55.637665086666345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8.9045692104094479E-2</v>
      </c>
      <c r="AD211" s="231">
        <f>(INDEX(Models!$BJ211:$BT211,,AH211)*(1-AF211)+INDEX(Models!$BJ211:$BT211,,AH211+1)*AF211-ERP_i)*AE211*Ramure*Pc/MaxiM</f>
        <v>4.5543529597282423E-4</v>
      </c>
      <c r="AE211" s="305">
        <f t="shared" si="92"/>
        <v>0.5</v>
      </c>
      <c r="AF211" s="177">
        <f t="shared" si="93"/>
        <v>0.90463939870947674</v>
      </c>
      <c r="AG211" s="811">
        <f t="shared" si="99"/>
        <v>1</v>
      </c>
      <c r="AH211" s="176">
        <f t="shared" si="94"/>
        <v>7</v>
      </c>
      <c r="AI211" s="225">
        <f t="shared" si="95"/>
        <v>1.9046393987094767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'2024'!Wh/'2024'!Env_an*'2025'!Env_an</f>
        <v>49.983719180476996</v>
      </c>
      <c r="C212" s="841"/>
      <c r="D212" s="393">
        <f t="shared" si="77"/>
        <v>52.908130418196457</v>
      </c>
      <c r="E212" s="385">
        <f t="shared" si="75"/>
        <v>55.223136983262414</v>
      </c>
      <c r="F212" s="385">
        <f t="shared" si="78"/>
        <v>55.224292757261416</v>
      </c>
      <c r="G212" s="110">
        <f t="shared" si="76"/>
        <v>0.91188658249690269</v>
      </c>
      <c r="H212" s="414" t="b">
        <f>Wh_hp&gt;='2024'!Maxi_hp</f>
        <v>0</v>
      </c>
      <c r="I212" s="390">
        <f>IF(H212,Wh_hp,'2024'!Maxi_hp)</f>
        <v>60.188178256844751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5.527338075649868E-2</v>
      </c>
      <c r="M212" s="845"/>
      <c r="N212" s="845"/>
      <c r="O212" s="48">
        <f>IF(t&lt;Tnet,'2024'!Resal+('2024'!Salim-'2024'!Resal)*(1-EXP(('2024'!Tnet-t)/('2024'!Tau_j))),Resal+(Salim-Resal)*(1-EXP((Tnet-t)/(Tau_j))))*Salcycl</f>
        <v>4.1920953635205781E-2</v>
      </c>
      <c r="P212" s="169">
        <f>(INDEX(Models!$BJ212:$BT212,,T212)*(1-R212)+INDEX(Models!$BJ212:$BT212,,T212+1)*R212-ERP_i)*Q212*Ramure*Pc/MaxiM</f>
        <v>2.394241293369885E-5</v>
      </c>
      <c r="Q212" s="305">
        <f t="shared" si="80"/>
        <v>0.5</v>
      </c>
      <c r="R212" s="177">
        <f t="shared" si="81"/>
        <v>0.3827217904020741</v>
      </c>
      <c r="S212" s="811">
        <f t="shared" si="82"/>
        <v>-2</v>
      </c>
      <c r="T212" s="176">
        <f t="shared" si="83"/>
        <v>4</v>
      </c>
      <c r="U212" s="251">
        <f t="shared" si="84"/>
        <v>-1.6172782095979259</v>
      </c>
      <c r="V212" s="383">
        <f t="shared" si="85"/>
        <v>54.813361114597647</v>
      </c>
      <c r="W212" s="402">
        <f t="shared" si="86"/>
        <v>49.983719180476996</v>
      </c>
      <c r="X212" s="157">
        <f t="shared" si="87"/>
        <v>45855</v>
      </c>
      <c r="Y212" s="385">
        <f t="shared" si="88"/>
        <v>47.50472970077292</v>
      </c>
      <c r="Z212" s="385">
        <f t="shared" si="89"/>
        <v>50.284102017589781</v>
      </c>
      <c r="AA212" s="386">
        <f t="shared" si="90"/>
        <v>55.201177316376942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8.9075551244237258E-2</v>
      </c>
      <c r="AD212" s="231">
        <f>(INDEX(Models!$BJ212:$BT212,,AH212)*(1-AF212)+INDEX(Models!$BJ212:$BT212,,AH212+1)*AF212-ERP_i)*AE212*Ramure*Pc/MaxiM</f>
        <v>4.7884744879183645E-4</v>
      </c>
      <c r="AE212" s="305">
        <f t="shared" si="92"/>
        <v>0.5</v>
      </c>
      <c r="AF212" s="177">
        <f t="shared" si="93"/>
        <v>0.90770935677605302</v>
      </c>
      <c r="AG212" s="811">
        <f t="shared" si="99"/>
        <v>1</v>
      </c>
      <c r="AH212" s="176">
        <f t="shared" si="94"/>
        <v>7</v>
      </c>
      <c r="AI212" s="225">
        <f t="shared" si="95"/>
        <v>1.907709356776053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'2024'!Wh/'2024'!Env_an*'2025'!Env_an</f>
        <v>51.801007763136141</v>
      </c>
      <c r="C213" s="841"/>
      <c r="D213" s="393">
        <f t="shared" si="77"/>
        <v>54.832944587167063</v>
      </c>
      <c r="E213" s="385">
        <f t="shared" si="75"/>
        <v>57.236324721402212</v>
      </c>
      <c r="F213" s="385">
        <f t="shared" si="78"/>
        <v>57.23769328735581</v>
      </c>
      <c r="G213" s="110">
        <f t="shared" si="76"/>
        <v>0.94705030962401682</v>
      </c>
      <c r="H213" s="414" t="b">
        <f>Wh_hp&gt;='2024'!Maxi_hp</f>
        <v>1</v>
      </c>
      <c r="I213" s="390">
        <f>IF(H213,Wh_hp,'2024'!Maxi_hp)</f>
        <v>57.23769328735581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5.5294072694037077E-2</v>
      </c>
      <c r="M213" s="845"/>
      <c r="N213" s="845"/>
      <c r="O213" s="48">
        <f>IF(t&lt;Tnet,'2024'!Resal+('2024'!Salim-'2024'!Resal)*(1-EXP(('2024'!Tnet-t)/('2024'!Tau_j))),Resal+(Salim-Resal)*(1-EXP((Tnet-t)/(Tau_j))))*Salcycl</f>
        <v>4.1990469268136967E-2</v>
      </c>
      <c r="P213" s="169">
        <f>(INDEX(Models!$BJ213:$BT213,,T213)*(1-R213)+INDEX(Models!$BJ213:$BT213,,T213+1)*R213-ERP_i)*Q213*Ramure*Pc/MaxiM</f>
        <v>2.5866779172790608E-5</v>
      </c>
      <c r="Q213" s="305">
        <f t="shared" si="80"/>
        <v>0.5</v>
      </c>
      <c r="R213" s="177">
        <f t="shared" si="81"/>
        <v>0.38571191131836446</v>
      </c>
      <c r="S213" s="811">
        <f t="shared" si="82"/>
        <v>-2</v>
      </c>
      <c r="T213" s="176">
        <f t="shared" si="83"/>
        <v>4</v>
      </c>
      <c r="U213" s="251">
        <f t="shared" si="84"/>
        <v>-1.6142880886816355</v>
      </c>
      <c r="V213" s="383">
        <f t="shared" si="85"/>
        <v>54.697100969899829</v>
      </c>
      <c r="W213" s="402">
        <f t="shared" si="86"/>
        <v>51.801007763136141</v>
      </c>
      <c r="X213" s="157">
        <f t="shared" si="87"/>
        <v>45856</v>
      </c>
      <c r="Y213" s="385">
        <f t="shared" si="88"/>
        <v>49.231947142515928</v>
      </c>
      <c r="Z213" s="385">
        <f t="shared" si="89"/>
        <v>52.113515666099048</v>
      </c>
      <c r="AA213" s="386">
        <f t="shared" si="90"/>
        <v>57.211312326459293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8.9104697184207035E-2</v>
      </c>
      <c r="AD213" s="231">
        <f>(INDEX(Models!$BJ213:$BT213,,AH213)*(1-AF213)+INDEX(Models!$BJ213:$BT213,,AH213+1)*AF213-ERP_i)*AE213*Ramure*Pc/MaxiM</f>
        <v>4.9861717521333107E-4</v>
      </c>
      <c r="AE213" s="305">
        <f t="shared" si="92"/>
        <v>0.5</v>
      </c>
      <c r="AF213" s="177">
        <f t="shared" si="93"/>
        <v>0.91069947769234361</v>
      </c>
      <c r="AG213" s="811">
        <f t="shared" si="99"/>
        <v>1</v>
      </c>
      <c r="AH213" s="176">
        <f t="shared" si="94"/>
        <v>7</v>
      </c>
      <c r="AI213" s="225">
        <f t="shared" si="95"/>
        <v>1.9106994776923436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'2024'!Wh/'2024'!Env_an*'2025'!Env_an</f>
        <v>41.558609878466612</v>
      </c>
      <c r="C214" s="841"/>
      <c r="D214" s="393">
        <f t="shared" si="77"/>
        <v>43.992017978688324</v>
      </c>
      <c r="E214" s="385">
        <f t="shared" si="75"/>
        <v>45.923544990280547</v>
      </c>
      <c r="F214" s="385">
        <f t="shared" si="78"/>
        <v>45.924383449026557</v>
      </c>
      <c r="G214" s="110">
        <f t="shared" si="76"/>
        <v>0.76142546020231827</v>
      </c>
      <c r="H214" s="414" t="b">
        <f>Wh_hp&gt;='2024'!Maxi_hp</f>
        <v>0</v>
      </c>
      <c r="I214" s="390">
        <f>IF(H214,Wh_hp,'2024'!Maxi_hp)</f>
        <v>60.582660665176114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5.5314764178368891E-2</v>
      </c>
      <c r="M214" s="845"/>
      <c r="N214" s="845"/>
      <c r="O214" s="48">
        <f>IF(t&lt;Tnet,'2024'!Resal+('2024'!Salim-'2024'!Resal)*(1-EXP(('2024'!Tnet-t)/('2024'!Tau_j))),Resal+(Salim-Resal)*(1-EXP((Tnet-t)/(Tau_j))))*Salcycl</f>
        <v>4.2059623489454495E-2</v>
      </c>
      <c r="P214" s="169">
        <f>(INDEX(Models!$BJ214:$BT214,,T214)*(1-R214)+INDEX(Models!$BJ214:$BT214,,T214+1)*R214-ERP_i)*Q214*Ramure*Pc/MaxiM</f>
        <v>2.769670375949419E-5</v>
      </c>
      <c r="Q214" s="305">
        <f t="shared" si="80"/>
        <v>0.5</v>
      </c>
      <c r="R214" s="177">
        <f t="shared" si="81"/>
        <v>0.38862284258392821</v>
      </c>
      <c r="S214" s="811">
        <f t="shared" si="82"/>
        <v>-2</v>
      </c>
      <c r="T214" s="176">
        <f t="shared" si="83"/>
        <v>4</v>
      </c>
      <c r="U214" s="251">
        <f t="shared" si="84"/>
        <v>-1.6113771574160718</v>
      </c>
      <c r="V214" s="383">
        <f t="shared" si="85"/>
        <v>54.579495640887771</v>
      </c>
      <c r="W214" s="402">
        <f t="shared" si="86"/>
        <v>41.558609878466612</v>
      </c>
      <c r="X214" s="157">
        <f t="shared" si="87"/>
        <v>45857</v>
      </c>
      <c r="Y214" s="385">
        <f t="shared" si="88"/>
        <v>39.503718125293183</v>
      </c>
      <c r="Z214" s="385">
        <f t="shared" si="89"/>
        <v>41.816804822756858</v>
      </c>
      <c r="AA214" s="386">
        <f t="shared" si="90"/>
        <v>45.908801948936272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8.9133171689622578E-2</v>
      </c>
      <c r="AD214" s="231">
        <f>(INDEX(Models!$BJ214:$BT214,,AH214)*(1-AF214)+INDEX(Models!$BJ214:$BT214,,AH214+1)*AF214-ERP_i)*AE214*Ramure*Pc/MaxiM</f>
        <v>5.1470175984545999E-4</v>
      </c>
      <c r="AE214" s="305">
        <f t="shared" si="92"/>
        <v>0.5</v>
      </c>
      <c r="AF214" s="177">
        <f t="shared" si="93"/>
        <v>0.91361040895790735</v>
      </c>
      <c r="AG214" s="811">
        <f t="shared" si="99"/>
        <v>1</v>
      </c>
      <c r="AH214" s="176">
        <f t="shared" si="94"/>
        <v>7</v>
      </c>
      <c r="AI214" s="225">
        <f t="shared" si="95"/>
        <v>1.9136104089579073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'2024'!Wh/'2024'!Env_an*'2025'!Env_an</f>
        <v>41.976354720539916</v>
      </c>
      <c r="C215" s="841"/>
      <c r="D215" s="393">
        <f t="shared" si="77"/>
        <v>44.435196548896919</v>
      </c>
      <c r="E215" s="385">
        <f t="shared" si="75"/>
        <v>46.389514145836856</v>
      </c>
      <c r="F215" s="385">
        <f t="shared" si="78"/>
        <v>46.390432252784983</v>
      </c>
      <c r="G215" s="110">
        <f t="shared" si="76"/>
        <v>0.77075753897348676</v>
      </c>
      <c r="H215" s="414" t="b">
        <f>Wh_hp&gt;='2024'!Maxi_hp</f>
        <v>0</v>
      </c>
      <c r="I215" s="390">
        <f>IF(H215,Wh_hp,'2024'!Maxi_hp)</f>
        <v>59.347072848746947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5.5335455209504225E-2</v>
      </c>
      <c r="M215" s="845"/>
      <c r="N215" s="845"/>
      <c r="O215" s="48">
        <f>IF(t&lt;Tnet,'2024'!Resal+('2024'!Salim-'2024'!Resal)*(1-EXP(('2024'!Tnet-t)/('2024'!Tau_j))),Resal+(Salim-Resal)*(1-EXP((Tnet-t)/(Tau_j))))*Salcycl</f>
        <v>4.2128434257708729E-2</v>
      </c>
      <c r="P215" s="169">
        <f>(INDEX(Models!$BJ215:$BT215,,T215)*(1-R215)+INDEX(Models!$BJ215:$BT215,,T215+1)*R215-ERP_i)*Q215*Ramure*Pc/MaxiM</f>
        <v>2.9427865237153475E-5</v>
      </c>
      <c r="Q215" s="305">
        <f t="shared" si="80"/>
        <v>0.5</v>
      </c>
      <c r="R215" s="177">
        <f t="shared" si="81"/>
        <v>0.39145532801936334</v>
      </c>
      <c r="S215" s="811">
        <f t="shared" si="82"/>
        <v>-2</v>
      </c>
      <c r="T215" s="176">
        <f t="shared" si="83"/>
        <v>4</v>
      </c>
      <c r="U215" s="251">
        <f t="shared" si="84"/>
        <v>-1.6085446719806367</v>
      </c>
      <c r="V215" s="383">
        <f t="shared" si="85"/>
        <v>54.460641724566614</v>
      </c>
      <c r="W215" s="402">
        <f t="shared" si="86"/>
        <v>41.976354720539916</v>
      </c>
      <c r="X215" s="157">
        <f t="shared" si="87"/>
        <v>45858</v>
      </c>
      <c r="Y215" s="385">
        <f t="shared" si="88"/>
        <v>39.90190943155865</v>
      </c>
      <c r="Z215" s="385">
        <f t="shared" si="89"/>
        <v>42.239236829204749</v>
      </c>
      <c r="AA215" s="386">
        <f t="shared" si="90"/>
        <v>46.373988748292206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8.91610152736695E-2</v>
      </c>
      <c r="AD215" s="231">
        <f>(INDEX(Models!$BJ215:$BT215,,AH215)*(1-AF215)+INDEX(Models!$BJ215:$BT215,,AH215+1)*AF215-ERP_i)*AE215*Ramure*Pc/MaxiM</f>
        <v>5.2705976708568238E-4</v>
      </c>
      <c r="AE215" s="305">
        <f t="shared" si="92"/>
        <v>0.5</v>
      </c>
      <c r="AF215" s="177">
        <f t="shared" si="93"/>
        <v>0.91644289439334248</v>
      </c>
      <c r="AG215" s="811">
        <f t="shared" si="99"/>
        <v>1</v>
      </c>
      <c r="AH215" s="176">
        <f t="shared" si="94"/>
        <v>7</v>
      </c>
      <c r="AI215" s="225">
        <f t="shared" si="95"/>
        <v>1.9164428943933425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'2024'!Wh/'2024'!Env_an*'2025'!Env_an</f>
        <v>49.367461310390254</v>
      </c>
      <c r="C216" s="841"/>
      <c r="D216" s="393">
        <f t="shared" si="77"/>
        <v>52.260395375718446</v>
      </c>
      <c r="E216" s="385">
        <f t="shared" si="75"/>
        <v>54.562776431070731</v>
      </c>
      <c r="F216" s="385">
        <f t="shared" si="78"/>
        <v>54.564249436800722</v>
      </c>
      <c r="G216" s="110">
        <f t="shared" si="76"/>
        <v>0.90847779245066806</v>
      </c>
      <c r="H216" s="414" t="b">
        <f>Wh_hp&gt;='2024'!Maxi_hp</f>
        <v>1</v>
      </c>
      <c r="I216" s="390">
        <f>IF(H216,Wh_hp,'2024'!Maxi_hp)</f>
        <v>54.564249436800722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5.5356145787452737E-2</v>
      </c>
      <c r="M216" s="845"/>
      <c r="N216" s="845"/>
      <c r="O216" s="48">
        <f>IF(t&lt;Tnet,'2024'!Resal+('2024'!Salim-'2024'!Resal)*(1-EXP(('2024'!Tnet-t)/('2024'!Tau_j))),Resal+(Salim-Resal)*(1-EXP((Tnet-t)/(Tau_j))))*Salcycl</f>
        <v>4.2196918961059239E-2</v>
      </c>
      <c r="P216" s="169">
        <f>(INDEX(Models!$BJ216:$BT216,,T216)*(1-R216)+INDEX(Models!$BJ216:$BT216,,T216+1)*R216-ERP_i)*Q216*Ramure*Pc/MaxiM</f>
        <v>3.1056100636612571E-5</v>
      </c>
      <c r="Q216" s="305">
        <f t="shared" si="80"/>
        <v>0.5</v>
      </c>
      <c r="R216" s="177">
        <f t="shared" si="81"/>
        <v>0.3942102007774233</v>
      </c>
      <c r="S216" s="811">
        <f t="shared" si="82"/>
        <v>-2</v>
      </c>
      <c r="T216" s="176">
        <f t="shared" si="83"/>
        <v>4</v>
      </c>
      <c r="U216" s="251">
        <f t="shared" si="84"/>
        <v>-1.6057897992225767</v>
      </c>
      <c r="V216" s="383">
        <f t="shared" si="85"/>
        <v>54.340635807093058</v>
      </c>
      <c r="W216" s="402">
        <f t="shared" si="86"/>
        <v>49.367461310390254</v>
      </c>
      <c r="X216" s="157">
        <f t="shared" si="87"/>
        <v>45859</v>
      </c>
      <c r="Y216" s="385">
        <f t="shared" si="88"/>
        <v>46.924822927010879</v>
      </c>
      <c r="Z216" s="385">
        <f t="shared" si="89"/>
        <v>49.67461834188007</v>
      </c>
      <c r="AA216" s="386">
        <f t="shared" si="90"/>
        <v>54.538843257453827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8.9188267023044346E-2</v>
      </c>
      <c r="AD216" s="231">
        <f>(INDEX(Models!$BJ216:$BT216,,AH216)*(1-AF216)+INDEX(Models!$BJ216:$BT216,,AH216+1)*AF216-ERP_i)*AE216*Ramure*Pc/MaxiM</f>
        <v>5.3565091195699162E-4</v>
      </c>
      <c r="AE216" s="305">
        <f t="shared" si="92"/>
        <v>0.5</v>
      </c>
      <c r="AF216" s="177">
        <f t="shared" si="93"/>
        <v>0.91919776715140245</v>
      </c>
      <c r="AG216" s="811">
        <f t="shared" si="99"/>
        <v>1</v>
      </c>
      <c r="AH216" s="176">
        <f t="shared" si="94"/>
        <v>7</v>
      </c>
      <c r="AI216" s="225">
        <f t="shared" si="95"/>
        <v>1.9191977671514024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'2024'!Wh/'2024'!Env_an*'2025'!Env_an</f>
        <v>39.353794353005114</v>
      </c>
      <c r="C217" s="841"/>
      <c r="D217" s="393">
        <f t="shared" si="77"/>
        <v>41.660839845071081</v>
      </c>
      <c r="E217" s="385">
        <f t="shared" si="75"/>
        <v>43.49934371063712</v>
      </c>
      <c r="F217" s="385">
        <f t="shared" si="78"/>
        <v>43.500205772540781</v>
      </c>
      <c r="G217" s="110">
        <f t="shared" si="76"/>
        <v>0.72581337228606246</v>
      </c>
      <c r="H217" s="414" t="b">
        <f>Wh_hp&gt;='2024'!Maxi_hp</f>
        <v>0</v>
      </c>
      <c r="I217" s="390">
        <f>IF(H217,Wh_hp,'2024'!Maxi_hp)</f>
        <v>55.563972127949256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5.5376835912224531E-2</v>
      </c>
      <c r="M217" s="845"/>
      <c r="N217" s="845"/>
      <c r="O217" s="48">
        <f>IF(t&lt;Tnet,'2024'!Resal+('2024'!Salim-'2024'!Resal)*(1-EXP(('2024'!Tnet-t)/('2024'!Tau_j))),Resal+(Salim-Resal)*(1-EXP((Tnet-t)/(Tau_j))))*Salcycl</f>
        <v>4.2265094337882218E-2</v>
      </c>
      <c r="P217" s="169">
        <f>(INDEX(Models!$BJ217:$BT217,,T217)*(1-R217)+INDEX(Models!$BJ217:$BT217,,T217+1)*R217-ERP_i)*Q217*Ramure*Pc/MaxiM</f>
        <v>3.2577401461217416E-5</v>
      </c>
      <c r="Q217" s="305">
        <f t="shared" si="80"/>
        <v>0.5</v>
      </c>
      <c r="R217" s="177">
        <f t="shared" si="81"/>
        <v>0.39688837643470265</v>
      </c>
      <c r="S217" s="811">
        <f t="shared" si="82"/>
        <v>-2</v>
      </c>
      <c r="T217" s="176">
        <f t="shared" si="83"/>
        <v>4</v>
      </c>
      <c r="U217" s="251">
        <f t="shared" si="84"/>
        <v>-1.6031116235652974</v>
      </c>
      <c r="V217" s="383">
        <f t="shared" si="85"/>
        <v>54.219574469216901</v>
      </c>
      <c r="W217" s="402">
        <f t="shared" si="86"/>
        <v>39.353794353005114</v>
      </c>
      <c r="X217" s="157">
        <f t="shared" si="87"/>
        <v>45860</v>
      </c>
      <c r="Y217" s="385">
        <f t="shared" si="88"/>
        <v>37.413039126248194</v>
      </c>
      <c r="Z217" s="385">
        <f t="shared" si="89"/>
        <v>39.60631132984976</v>
      </c>
      <c r="AA217" s="386">
        <f t="shared" si="90"/>
        <v>43.485904778311493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8.9214964440539238E-2</v>
      </c>
      <c r="AD217" s="231">
        <f>(INDEX(Models!$BJ217:$BT217,,AH217)*(1-AF217)+INDEX(Models!$BJ217:$BT217,,AH217+1)*AF217-ERP_i)*AE217*Ramure*Pc/MaxiM</f>
        <v>5.4043593427142371E-4</v>
      </c>
      <c r="AE217" s="305">
        <f t="shared" si="92"/>
        <v>0.5</v>
      </c>
      <c r="AF217" s="177">
        <f t="shared" si="93"/>
        <v>0.92187594280868135</v>
      </c>
      <c r="AG217" s="811">
        <f t="shared" si="99"/>
        <v>1</v>
      </c>
      <c r="AH217" s="176">
        <f t="shared" si="94"/>
        <v>7</v>
      </c>
      <c r="AI217" s="225">
        <f t="shared" si="95"/>
        <v>1.9218759428086813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'2024'!Wh/'2024'!Env_an*'2025'!Env_an</f>
        <v>43.979376155100489</v>
      </c>
      <c r="C218" s="841"/>
      <c r="D218" s="393">
        <f t="shared" si="77"/>
        <v>46.558607823129805</v>
      </c>
      <c r="E218" s="385">
        <f t="shared" si="75"/>
        <v>48.616697323829484</v>
      </c>
      <c r="F218" s="385">
        <f t="shared" si="78"/>
        <v>48.617908227938095</v>
      </c>
      <c r="G218" s="110">
        <f t="shared" si="76"/>
        <v>0.81295683933190588</v>
      </c>
      <c r="H218" s="414" t="b">
        <f>Wh_hp&gt;='2024'!Maxi_hp</f>
        <v>0</v>
      </c>
      <c r="I218" s="390">
        <f>IF(H218,Wh_hp,'2024'!Maxi_hp)</f>
        <v>57.937152506467669</v>
      </c>
      <c r="J218" s="85">
        <f>IF(H218,An,'2024'!An_max)</f>
        <v>2019</v>
      </c>
      <c r="K218" s="197">
        <f t="shared" si="79"/>
        <v>45861</v>
      </c>
      <c r="L218" s="147">
        <f>IF(t&lt;Tvie,1-EXP((T0-t)*PertePVj)+'2024'!Pspv,1-EXP((T0-t)*PertePVj)+Pspv)</f>
        <v>5.5397525583829488E-2</v>
      </c>
      <c r="M218" s="845"/>
      <c r="N218" s="845"/>
      <c r="O218" s="48">
        <f>IF(t&lt;Tnet,'2024'!Resal+('2024'!Salim-'2024'!Resal)*(1-EXP(('2024'!Tnet-t)/('2024'!Tau_j))),Resal+(Salim-Resal)*(1-EXP((Tnet-t)/(Tau_j))))*Salcycl</f>
        <v>4.233297640502006E-2</v>
      </c>
      <c r="P218" s="169">
        <f>(INDEX(Models!$BJ218:$BT218,,T218)*(1-R218)+INDEX(Models!$BJ218:$BT218,,T218+1)*R218-ERP_i)*Q218*Ramure*Pc/MaxiM</f>
        <v>3.3987909077928906E-5</v>
      </c>
      <c r="Q218" s="305">
        <f t="shared" si="80"/>
        <v>0.5</v>
      </c>
      <c r="R218" s="177">
        <f t="shared" si="81"/>
        <v>0.39949084619583464</v>
      </c>
      <c r="S218" s="811">
        <f t="shared" si="82"/>
        <v>-2</v>
      </c>
      <c r="T218" s="176">
        <f t="shared" si="83"/>
        <v>4</v>
      </c>
      <c r="U218" s="251">
        <f t="shared" si="84"/>
        <v>-1.6005091538041654</v>
      </c>
      <c r="V218" s="383">
        <f t="shared" si="85"/>
        <v>54.097554291515337</v>
      </c>
      <c r="W218" s="402">
        <f t="shared" si="86"/>
        <v>43.979376155100489</v>
      </c>
      <c r="X218" s="157">
        <f t="shared" si="87"/>
        <v>45861</v>
      </c>
      <c r="Y218" s="385">
        <f t="shared" si="88"/>
        <v>41.809639455052078</v>
      </c>
      <c r="Z218" s="385">
        <f t="shared" si="89"/>
        <v>44.261623897283691</v>
      </c>
      <c r="AA218" s="386">
        <f t="shared" si="90"/>
        <v>48.598620339415405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8.9241143304931145E-2</v>
      </c>
      <c r="AD218" s="231">
        <f>(INDEX(Models!$BJ218:$BT218,,AH218)*(1-AF218)+INDEX(Models!$BJ218:$BT218,,AH218+1)*AF218-ERP_i)*AE218*Ramure*Pc/MaxiM</f>
        <v>5.4137647791878212E-4</v>
      </c>
      <c r="AE218" s="305">
        <f t="shared" si="92"/>
        <v>0.5</v>
      </c>
      <c r="AF218" s="177">
        <f t="shared" si="93"/>
        <v>0.92447841256981356</v>
      </c>
      <c r="AG218" s="811">
        <f t="shared" si="99"/>
        <v>1</v>
      </c>
      <c r="AH218" s="176">
        <f t="shared" si="94"/>
        <v>7</v>
      </c>
      <c r="AI218" s="225">
        <f t="shared" si="95"/>
        <v>1.9244784125698136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'2024'!Wh/'2024'!Env_an*'2025'!Env_an</f>
        <v>49.325750432021017</v>
      </c>
      <c r="C219" s="841"/>
      <c r="D219" s="393">
        <f t="shared" si="77"/>
        <v>52.219671398486703</v>
      </c>
      <c r="E219" s="385">
        <f t="shared" si="75"/>
        <v>54.531853642905709</v>
      </c>
      <c r="F219" s="385">
        <f t="shared" si="78"/>
        <v>54.533541057663221</v>
      </c>
      <c r="G219" s="110">
        <f t="shared" si="76"/>
        <v>0.91386860642445245</v>
      </c>
      <c r="H219" s="414" t="b">
        <f>Wh_hp&gt;='2024'!Maxi_hp</f>
        <v>0</v>
      </c>
      <c r="I219" s="390">
        <f>IF(H219,Wh_hp,'2024'!Maxi_hp)</f>
        <v>57.924820130429069</v>
      </c>
      <c r="J219" s="85">
        <f>IF(H219,An,'2024'!An_max)</f>
        <v>2019</v>
      </c>
      <c r="K219" s="197">
        <f t="shared" si="79"/>
        <v>45862</v>
      </c>
      <c r="L219" s="147">
        <f>IF(t&lt;Tvie,1-EXP((T0-t)*PertePVj)+'2024'!Pspv,1-EXP((T0-t)*PertePVj)+Pspv)</f>
        <v>5.5418214802277599E-2</v>
      </c>
      <c r="M219" s="845"/>
      <c r="N219" s="845"/>
      <c r="O219" s="48">
        <f>IF(t&lt;Tnet,'2024'!Resal+('2024'!Salim-'2024'!Resal)*(1-EXP(('2024'!Tnet-t)/('2024'!Tau_j))),Resal+(Salim-Resal)*(1-EXP((Tnet-t)/(Tau_j))))*Salcycl</f>
        <v>4.2400580393984241E-2</v>
      </c>
      <c r="P219" s="169">
        <f>(INDEX(Models!$BJ219:$BT219,,T219)*(1-R219)+INDEX(Models!$BJ219:$BT219,,T219+1)*R219-ERP_i)*Q219*Ramure*Pc/MaxiM</f>
        <v>3.5284011364818127E-5</v>
      </c>
      <c r="Q219" s="305">
        <f t="shared" si="80"/>
        <v>0.5</v>
      </c>
      <c r="R219" s="177">
        <f t="shared" si="81"/>
        <v>0.40201867023871185</v>
      </c>
      <c r="S219" s="811">
        <f t="shared" si="82"/>
        <v>-2</v>
      </c>
      <c r="T219" s="176">
        <f t="shared" si="83"/>
        <v>4</v>
      </c>
      <c r="U219" s="251">
        <f t="shared" si="84"/>
        <v>-1.5979813297612881</v>
      </c>
      <c r="V219" s="383">
        <f t="shared" si="85"/>
        <v>53.974429080917737</v>
      </c>
      <c r="W219" s="402">
        <f t="shared" si="86"/>
        <v>49.325750432021017</v>
      </c>
      <c r="X219" s="157">
        <f t="shared" si="87"/>
        <v>45862</v>
      </c>
      <c r="Y219" s="385">
        <f t="shared" si="88"/>
        <v>46.890978915980753</v>
      </c>
      <c r="Z219" s="385">
        <f t="shared" si="89"/>
        <v>49.642052864872262</v>
      </c>
      <c r="AA219" s="386">
        <f t="shared" si="90"/>
        <v>54.507790988147882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8.9266837548665726E-2</v>
      </c>
      <c r="AD219" s="231">
        <f>(INDEX(Models!$BJ219:$BT219,,AH219)*(1-AF219)+INDEX(Models!$BJ219:$BT219,,AH219+1)*AF219-ERP_i)*AE219*Ramure*Pc/MaxiM</f>
        <v>5.3843652924039532E-4</v>
      </c>
      <c r="AE219" s="305">
        <f t="shared" si="92"/>
        <v>0.5</v>
      </c>
      <c r="AF219" s="177">
        <f t="shared" si="93"/>
        <v>0.92700623661269077</v>
      </c>
      <c r="AG219" s="811">
        <f t="shared" si="99"/>
        <v>1</v>
      </c>
      <c r="AH219" s="176">
        <f t="shared" si="94"/>
        <v>7</v>
      </c>
      <c r="AI219" s="225">
        <f t="shared" si="95"/>
        <v>1.9270062366126908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'2024'!Wh/'2024'!Env_an*'2025'!Env_an</f>
        <v>25.207619431831326</v>
      </c>
      <c r="C220" s="841"/>
      <c r="D220" s="393">
        <f t="shared" si="77"/>
        <v>26.687124344883291</v>
      </c>
      <c r="E220" s="385">
        <f t="shared" si="75"/>
        <v>27.870736575491982</v>
      </c>
      <c r="F220" s="385">
        <f t="shared" si="78"/>
        <v>27.870979676852283</v>
      </c>
      <c r="G220" s="110">
        <f t="shared" si="76"/>
        <v>0.46809518631445279</v>
      </c>
      <c r="H220" s="414" t="b">
        <f>Wh_hp&gt;='2024'!Maxi_hp</f>
        <v>0</v>
      </c>
      <c r="I220" s="390">
        <f>IF(H220,Wh_hp,'2024'!Maxi_hp)</f>
        <v>58.619065963281635</v>
      </c>
      <c r="J220" s="85">
        <f>IF(H220,An,'2024'!An_max)</f>
        <v>2019</v>
      </c>
      <c r="K220" s="197">
        <f t="shared" si="79"/>
        <v>45863</v>
      </c>
      <c r="L220" s="147">
        <f>IF(t&lt;Tvie,1-EXP((T0-t)*PertePVj)+'2024'!Pspv,1-EXP((T0-t)*PertePVj)+Pspv)</f>
        <v>5.5438903567578635E-2</v>
      </c>
      <c r="M220" s="845"/>
      <c r="N220" s="845"/>
      <c r="O220" s="48">
        <f>IF(t&lt;Tnet,'2024'!Resal+('2024'!Salim-'2024'!Resal)*(1-EXP(('2024'!Tnet-t)/('2024'!Tau_j))),Resal+(Salim-Resal)*(1-EXP((Tnet-t)/(Tau_j))))*Salcycl</f>
        <v>4.2467920695339549E-2</v>
      </c>
      <c r="P220" s="169">
        <f>(INDEX(Models!$BJ220:$BT220,,T220)*(1-R220)+INDEX(Models!$BJ220:$BT220,,T220+1)*R220-ERP_i)*Q220*Ramure*Pc/MaxiM</f>
        <v>3.631989143452448E-5</v>
      </c>
      <c r="Q220" s="305">
        <f t="shared" si="80"/>
        <v>0.5</v>
      </c>
      <c r="R220" s="177">
        <f t="shared" si="81"/>
        <v>0.40447297122584702</v>
      </c>
      <c r="S220" s="811">
        <f t="shared" si="82"/>
        <v>-2</v>
      </c>
      <c r="T220" s="176">
        <f t="shared" si="83"/>
        <v>4</v>
      </c>
      <c r="U220" s="251">
        <f t="shared" si="84"/>
        <v>-1.595527028774153</v>
      </c>
      <c r="V220" s="383">
        <f t="shared" si="85"/>
        <v>53.84999567447187</v>
      </c>
      <c r="W220" s="402">
        <f t="shared" si="86"/>
        <v>25.207619431831326</v>
      </c>
      <c r="X220" s="157">
        <f t="shared" si="87"/>
        <v>45863</v>
      </c>
      <c r="Y220" s="385">
        <f t="shared" si="88"/>
        <v>23.972094934124552</v>
      </c>
      <c r="Z220" s="385">
        <f t="shared" si="89"/>
        <v>25.379083496733486</v>
      </c>
      <c r="AA220" s="386">
        <f t="shared" si="90"/>
        <v>27.867423699519215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8.9292079153648438E-2</v>
      </c>
      <c r="AD220" s="231">
        <f>(INDEX(Models!$BJ220:$BT220,,AH220)*(1-AF220)+INDEX(Models!$BJ220:$BT220,,AH220+1)*AF220-ERP_i)*AE220*Ramure*Pc/MaxiM</f>
        <v>5.3127103246369551E-4</v>
      </c>
      <c r="AE220" s="305">
        <f t="shared" si="92"/>
        <v>0.5</v>
      </c>
      <c r="AF220" s="177">
        <f t="shared" si="93"/>
        <v>0.92946053759982572</v>
      </c>
      <c r="AG220" s="811">
        <f t="shared" si="99"/>
        <v>1</v>
      </c>
      <c r="AH220" s="176">
        <f t="shared" si="94"/>
        <v>7</v>
      </c>
      <c r="AI220" s="225">
        <f t="shared" si="95"/>
        <v>1.9294605375998257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'2024'!Wh/'2024'!Env_an*'2025'!Env_an</f>
        <v>52.988100920372283</v>
      </c>
      <c r="C221" s="841"/>
      <c r="D221" s="393">
        <f t="shared" si="77"/>
        <v>56.099347857255381</v>
      </c>
      <c r="E221" s="385">
        <f t="shared" si="75"/>
        <v>58.591539628824876</v>
      </c>
      <c r="F221" s="385">
        <f t="shared" si="78"/>
        <v>58.593666695824865</v>
      </c>
      <c r="G221" s="110">
        <f t="shared" si="76"/>
        <v>0.986296791877743</v>
      </c>
      <c r="H221" s="414" t="b">
        <f>Wh_hp&gt;='2024'!Maxi_hp</f>
        <v>1</v>
      </c>
      <c r="I221" s="390">
        <f>IF(H221,Wh_hp,'2024'!Maxi_hp)</f>
        <v>58.593666695824865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5.5459591879742698E-2</v>
      </c>
      <c r="M221" s="845"/>
      <c r="N221" s="845"/>
      <c r="O221" s="48">
        <f>IF(t&lt;Tnet,'2024'!Resal+('2024'!Salim-'2024'!Resal)*(1-EXP(('2024'!Tnet-t)/('2024'!Tau_j))),Resal+(Salim-Resal)*(1-EXP((Tnet-t)/(Tau_j))))*Salcycl</f>
        <v>4.2535010811414614E-2</v>
      </c>
      <c r="P221" s="169">
        <f>(INDEX(Models!$BJ221:$BT221,,T221)*(1-R221)+INDEX(Models!$BJ221:$BT221,,T221+1)*R221-ERP_i)*Q221*Ramure*Pc/MaxiM</f>
        <v>3.7026794216507069E-5</v>
      </c>
      <c r="Q221" s="305">
        <f t="shared" si="80"/>
        <v>0.5</v>
      </c>
      <c r="R221" s="177">
        <f t="shared" si="81"/>
        <v>0.40685492800370593</v>
      </c>
      <c r="S221" s="811">
        <f t="shared" si="82"/>
        <v>-2</v>
      </c>
      <c r="T221" s="176">
        <f t="shared" si="83"/>
        <v>4</v>
      </c>
      <c r="U221" s="251">
        <f t="shared" si="84"/>
        <v>-1.5931450719962941</v>
      </c>
      <c r="V221" s="383">
        <f t="shared" si="85"/>
        <v>53.724257190746584</v>
      </c>
      <c r="W221" s="402">
        <f t="shared" si="86"/>
        <v>52.988100920372283</v>
      </c>
      <c r="X221" s="157">
        <f t="shared" si="87"/>
        <v>45864</v>
      </c>
      <c r="Y221" s="385">
        <f t="shared" si="88"/>
        <v>50.3751714837422</v>
      </c>
      <c r="Z221" s="385">
        <f t="shared" si="89"/>
        <v>53.332997774012142</v>
      </c>
      <c r="AA221" s="386">
        <f t="shared" si="90"/>
        <v>58.563728327348514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8.9316898065277234E-2</v>
      </c>
      <c r="AD221" s="231">
        <f>(INDEX(Models!$BJ221:$BT221,,AH221)*(1-AF221)+INDEX(Models!$BJ221:$BT221,,AH221+1)*AF221-ERP_i)*AE221*Ramure*Pc/MaxiM</f>
        <v>5.2115039571309831E-4</v>
      </c>
      <c r="AE221" s="305">
        <f t="shared" si="92"/>
        <v>0.5</v>
      </c>
      <c r="AF221" s="177">
        <f t="shared" si="93"/>
        <v>0.93184249437768463</v>
      </c>
      <c r="AG221" s="811">
        <f t="shared" si="99"/>
        <v>1</v>
      </c>
      <c r="AH221" s="176">
        <f t="shared" si="94"/>
        <v>7</v>
      </c>
      <c r="AI221" s="225">
        <f t="shared" si="95"/>
        <v>1.9318424943776846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'2024'!Wh/'2024'!Env_an*'2025'!Env_an</f>
        <v>52.996345812685071</v>
      </c>
      <c r="C222" s="841"/>
      <c r="D222" s="393">
        <f t="shared" si="77"/>
        <v>56.109305794089906</v>
      </c>
      <c r="E222" s="385">
        <f t="shared" si="75"/>
        <v>58.606031957101486</v>
      </c>
      <c r="F222" s="385">
        <f t="shared" si="78"/>
        <v>58.608188609513583</v>
      </c>
      <c r="G222" s="110">
        <f t="shared" si="76"/>
        <v>0.98878860669467561</v>
      </c>
      <c r="H222" s="414" t="b">
        <f>Wh_hp&gt;='2024'!Maxi_hp</f>
        <v>1</v>
      </c>
      <c r="I222" s="390">
        <f>IF(H222,Wh_hp,'2024'!Maxi_hp)</f>
        <v>58.608188609513583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5.5480279738779559E-2</v>
      </c>
      <c r="M222" s="845"/>
      <c r="N222" s="845"/>
      <c r="O222" s="48">
        <f>IF(t&lt;Tnet,'2024'!Resal+('2024'!Salim-'2024'!Resal)*(1-EXP(('2024'!Tnet-t)/('2024'!Tau_j))),Resal+(Salim-Resal)*(1-EXP((Tnet-t)/(Tau_j))))*Salcycl</f>
        <v>4.2601863317399416E-2</v>
      </c>
      <c r="P222" s="169">
        <f>(INDEX(Models!$BJ222:$BT222,,T222)*(1-R222)+INDEX(Models!$BJ222:$BT222,,T222+1)*R222-ERP_i)*Q222*Ramure*Pc/MaxiM</f>
        <v>3.7396724790446287E-5</v>
      </c>
      <c r="Q222" s="305">
        <f t="shared" si="80"/>
        <v>0.5</v>
      </c>
      <c r="R222" s="177">
        <f t="shared" si="81"/>
        <v>0.40916576950867167</v>
      </c>
      <c r="S222" s="811">
        <f t="shared" si="82"/>
        <v>-2</v>
      </c>
      <c r="T222" s="176">
        <f t="shared" si="83"/>
        <v>4</v>
      </c>
      <c r="U222" s="251">
        <f t="shared" si="84"/>
        <v>-1.5908342304913283</v>
      </c>
      <c r="V222" s="383">
        <f t="shared" si="85"/>
        <v>53.597213511446391</v>
      </c>
      <c r="W222" s="402">
        <f t="shared" si="86"/>
        <v>52.996345812685071</v>
      </c>
      <c r="X222" s="157">
        <f t="shared" si="87"/>
        <v>45865</v>
      </c>
      <c r="Y222" s="385">
        <f t="shared" si="88"/>
        <v>50.385757373759169</v>
      </c>
      <c r="Z222" s="385">
        <f t="shared" si="89"/>
        <v>53.345373625258205</v>
      </c>
      <c r="AA222" s="386">
        <f t="shared" si="90"/>
        <v>58.578889018791635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8.9341322124674716E-2</v>
      </c>
      <c r="AD222" s="231">
        <f>(INDEX(Models!$BJ222:$BT222,,AH222)*(1-AF222)+INDEX(Models!$BJ222:$BT222,,AH222+1)*AF222-ERP_i)*AE222*Ramure*Pc/MaxiM</f>
        <v>5.080599565113797E-4</v>
      </c>
      <c r="AE222" s="305">
        <f t="shared" si="92"/>
        <v>0.5</v>
      </c>
      <c r="AF222" s="177">
        <f t="shared" si="93"/>
        <v>0.93415333588265059</v>
      </c>
      <c r="AG222" s="811">
        <f t="shared" si="99"/>
        <v>1</v>
      </c>
      <c r="AH222" s="176">
        <f t="shared" si="94"/>
        <v>7</v>
      </c>
      <c r="AI222" s="225">
        <f t="shared" si="95"/>
        <v>1.9341533358826506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'2024'!Wh/'2024'!Env_an*'2025'!Env_an</f>
        <v>42.530352479110952</v>
      </c>
      <c r="C223" s="841"/>
      <c r="D223" s="393">
        <f t="shared" si="77"/>
        <v>45.029535234713883</v>
      </c>
      <c r="E223" s="385">
        <f t="shared" si="75"/>
        <v>47.036512176179805</v>
      </c>
      <c r="F223" s="385">
        <f t="shared" si="78"/>
        <v>47.037757984303425</v>
      </c>
      <c r="G223" s="110">
        <f t="shared" si="76"/>
        <v>0.79541407285194199</v>
      </c>
      <c r="H223" s="414" t="b">
        <f>Wh_hp&gt;='2024'!Maxi_hp</f>
        <v>0</v>
      </c>
      <c r="I223" s="390">
        <f>IF(H223,Wh_hp,'2024'!Maxi_hp)</f>
        <v>56.44038029737262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5.5500967144699209E-2</v>
      </c>
      <c r="M223" s="845"/>
      <c r="N223" s="845"/>
      <c r="O223" s="48">
        <f>IF(t&lt;Tnet,'2024'!Resal+('2024'!Salim-'2024'!Resal)*(1-EXP(('2024'!Tnet-t)/('2024'!Tau_j))),Resal+(Salim-Resal)*(1-EXP((Tnet-t)/(Tau_j))))*Salcycl</f>
        <v>4.266848983080633E-2</v>
      </c>
      <c r="P223" s="169">
        <f>(INDEX(Models!$BJ223:$BT223,,T223)*(1-R223)+INDEX(Models!$BJ223:$BT223,,T223+1)*R223-ERP_i)*Q223*Ramure*Pc/MaxiM</f>
        <v>3.7421967729870582E-5</v>
      </c>
      <c r="Q223" s="305">
        <f t="shared" si="80"/>
        <v>0.5</v>
      </c>
      <c r="R223" s="177">
        <f t="shared" si="81"/>
        <v>0.41140676889525318</v>
      </c>
      <c r="S223" s="811">
        <f t="shared" si="82"/>
        <v>-2</v>
      </c>
      <c r="T223" s="176">
        <f t="shared" si="83"/>
        <v>4</v>
      </c>
      <c r="U223" s="251">
        <f t="shared" si="84"/>
        <v>-1.5885932311047468</v>
      </c>
      <c r="V223" s="383">
        <f t="shared" si="85"/>
        <v>53.468864553849663</v>
      </c>
      <c r="W223" s="402">
        <f t="shared" si="86"/>
        <v>42.530352479110952</v>
      </c>
      <c r="X223" s="157">
        <f t="shared" si="87"/>
        <v>45866</v>
      </c>
      <c r="Y223" s="385">
        <f t="shared" si="88"/>
        <v>40.44278376724062</v>
      </c>
      <c r="Z223" s="385">
        <f t="shared" si="89"/>
        <v>42.819296114024226</v>
      </c>
      <c r="AA223" s="386">
        <f t="shared" si="90"/>
        <v>47.021379413237064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8.9365377018903486E-2</v>
      </c>
      <c r="AD223" s="231">
        <f>(INDEX(Models!$BJ223:$BT223,,AH223)*(1-AF223)+INDEX(Models!$BJ223:$BT223,,AH223+1)*AF223-ERP_i)*AE223*Ramure*Pc/MaxiM</f>
        <v>4.9198455708153736E-4</v>
      </c>
      <c r="AE223" s="305">
        <f t="shared" si="92"/>
        <v>0.5</v>
      </c>
      <c r="AF223" s="177">
        <f t="shared" si="93"/>
        <v>0.9363943352692321</v>
      </c>
      <c r="AG223" s="811">
        <f t="shared" si="99"/>
        <v>1</v>
      </c>
      <c r="AH223" s="176">
        <f t="shared" si="94"/>
        <v>7</v>
      </c>
      <c r="AI223" s="225">
        <f t="shared" si="95"/>
        <v>1.9363943352692321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'2024'!Wh/'2024'!Env_an*'2025'!Env_an</f>
        <v>28.770049504614786</v>
      </c>
      <c r="C224" s="841"/>
      <c r="D224" s="393">
        <f t="shared" si="77"/>
        <v>30.461311928886847</v>
      </c>
      <c r="E224" s="385">
        <f t="shared" si="75"/>
        <v>31.821187213828267</v>
      </c>
      <c r="F224" s="385">
        <f t="shared" si="78"/>
        <v>31.821590883463855</v>
      </c>
      <c r="G224" s="110">
        <f t="shared" si="76"/>
        <v>0.53936582638959885</v>
      </c>
      <c r="H224" s="414" t="b">
        <f>Wh_hp&gt;='2024'!Maxi_hp</f>
        <v>0</v>
      </c>
      <c r="I224" s="390">
        <f>IF(H224,Wh_hp,'2024'!Maxi_hp)</f>
        <v>59.643858292588483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5.5521654097511641E-2</v>
      </c>
      <c r="M224" s="845"/>
      <c r="N224" s="845"/>
      <c r="O224" s="48">
        <f>IF(t&lt;Tnet,'2024'!Resal+('2024'!Salim-'2024'!Resal)*(1-EXP(('2024'!Tnet-t)/('2024'!Tau_j))),Resal+(Salim-Resal)*(1-EXP((Tnet-t)/(Tau_j))))*Salcycl</f>
        <v>4.2734900989189709E-2</v>
      </c>
      <c r="P224" s="169">
        <f>(INDEX(Models!$BJ224:$BT224,,T224)*(1-R224)+INDEX(Models!$BJ224:$BT224,,T224+1)*R224-ERP_i)*Q224*Ramure*Pc/MaxiM</f>
        <v>3.709507040642726E-5</v>
      </c>
      <c r="Q224" s="305">
        <f t="shared" si="80"/>
        <v>0.5</v>
      </c>
      <c r="R224" s="177">
        <f t="shared" si="81"/>
        <v>0.41357923789928663</v>
      </c>
      <c r="S224" s="811">
        <f t="shared" si="82"/>
        <v>-2</v>
      </c>
      <c r="T224" s="176">
        <f t="shared" si="83"/>
        <v>4</v>
      </c>
      <c r="U224" s="251">
        <f t="shared" si="84"/>
        <v>-1.5864207621007134</v>
      </c>
      <c r="V224" s="383">
        <f t="shared" si="85"/>
        <v>53.339210273813848</v>
      </c>
      <c r="W224" s="402">
        <f t="shared" si="86"/>
        <v>28.770049504614786</v>
      </c>
      <c r="X224" s="157">
        <f t="shared" si="87"/>
        <v>45867</v>
      </c>
      <c r="Y224" s="385">
        <f t="shared" si="88"/>
        <v>27.363806093003614</v>
      </c>
      <c r="Z224" s="385">
        <f t="shared" si="89"/>
        <v>28.972401762007955</v>
      </c>
      <c r="AA224" s="386">
        <f t="shared" si="90"/>
        <v>31.816444679602462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8.938908624877949E-2</v>
      </c>
      <c r="AD224" s="231">
        <f>(INDEX(Models!$BJ224:$BT224,,AH224)*(1-AF224)+INDEX(Models!$BJ224:$BT224,,AH224+1)*AF224-ERP_i)*AE224*Ramure*Pc/MaxiM</f>
        <v>4.7290848192148706E-4</v>
      </c>
      <c r="AE224" s="305">
        <f t="shared" si="92"/>
        <v>0.5</v>
      </c>
      <c r="AF224" s="177">
        <f t="shared" si="93"/>
        <v>0.93856680427326555</v>
      </c>
      <c r="AG224" s="811">
        <f t="shared" si="99"/>
        <v>1</v>
      </c>
      <c r="AH224" s="176">
        <f t="shared" si="94"/>
        <v>7</v>
      </c>
      <c r="AI224" s="225">
        <f t="shared" si="95"/>
        <v>1.9385668042732656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'2024'!Wh/'2024'!Env_an*'2025'!Env_an</f>
        <v>48.418636249938835</v>
      </c>
      <c r="C225" s="841"/>
      <c r="D225" s="393">
        <f t="shared" si="77"/>
        <v>51.26607399272541</v>
      </c>
      <c r="E225" s="385">
        <f t="shared" si="75"/>
        <v>53.55843423704745</v>
      </c>
      <c r="F225" s="385">
        <f t="shared" si="78"/>
        <v>53.560133530805139</v>
      </c>
      <c r="G225" s="110">
        <f t="shared" si="76"/>
        <v>0.90997935359519111</v>
      </c>
      <c r="H225" s="414" t="b">
        <f>Wh_hp&gt;='2024'!Maxi_hp</f>
        <v>0</v>
      </c>
      <c r="I225" s="390">
        <f>IF(H225,Wh_hp,'2024'!Maxi_hp)</f>
        <v>55.994393253662331</v>
      </c>
      <c r="J225" s="85">
        <f>IF(H225,An,'2024'!An_max)</f>
        <v>2018</v>
      </c>
      <c r="K225" s="197">
        <f t="shared" si="79"/>
        <v>45868</v>
      </c>
      <c r="L225" s="147">
        <f>IF(t&lt;Tvie,1-EXP((T0-t)*PertePVj)+'2024'!Pspv,1-EXP((T0-t)*PertePVj)+Pspv)</f>
        <v>5.5542340597226625E-2</v>
      </c>
      <c r="M225" s="845"/>
      <c r="N225" s="845"/>
      <c r="O225" s="48">
        <f>IF(t&lt;Tnet,'2024'!Resal+('2024'!Salim-'2024'!Resal)*(1-EXP(('2024'!Tnet-t)/('2024'!Tau_j))),Resal+(Salim-Resal)*(1-EXP((Tnet-t)/(Tau_j))))*Salcycl</f>
        <v>4.2801106435937743E-2</v>
      </c>
      <c r="P225" s="169">
        <f>(INDEX(Models!$BJ225:$BT225,,T225)*(1-R225)+INDEX(Models!$BJ225:$BT225,,T225+1)*R225-ERP_i)*Q225*Ramure*Pc/MaxiM</f>
        <v>3.6408826563197276E-5</v>
      </c>
      <c r="Q225" s="305">
        <f t="shared" si="80"/>
        <v>0.5</v>
      </c>
      <c r="R225" s="177">
        <f t="shared" si="81"/>
        <v>0.41568452144616908</v>
      </c>
      <c r="S225" s="811">
        <f t="shared" si="82"/>
        <v>-2</v>
      </c>
      <c r="T225" s="176">
        <f t="shared" si="83"/>
        <v>4</v>
      </c>
      <c r="U225" s="251">
        <f t="shared" si="84"/>
        <v>-1.5843154785538309</v>
      </c>
      <c r="V225" s="383">
        <f t="shared" si="85"/>
        <v>53.208250666371391</v>
      </c>
      <c r="W225" s="402">
        <f t="shared" si="86"/>
        <v>48.418636249938835</v>
      </c>
      <c r="X225" s="157">
        <f t="shared" si="87"/>
        <v>45868</v>
      </c>
      <c r="Y225" s="385">
        <f t="shared" si="88"/>
        <v>46.044228356905208</v>
      </c>
      <c r="Z225" s="385">
        <f t="shared" si="89"/>
        <v>48.752030224437185</v>
      </c>
      <c r="AA225" s="386">
        <f t="shared" si="90"/>
        <v>53.539092814136779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8.9412471113735181E-2</v>
      </c>
      <c r="AD225" s="231">
        <f>(INDEX(Models!$BJ225:$BT225,,AH225)*(1-AF225)+INDEX(Models!$BJ225:$BT225,,AH225+1)*AF225-ERP_i)*AE225*Ramure*Pc/MaxiM</f>
        <v>4.5081540521095997E-4</v>
      </c>
      <c r="AE225" s="305">
        <f t="shared" si="92"/>
        <v>0.5</v>
      </c>
      <c r="AF225" s="177">
        <f t="shared" si="93"/>
        <v>0.940672087820148</v>
      </c>
      <c r="AG225" s="811">
        <f t="shared" si="99"/>
        <v>1</v>
      </c>
      <c r="AH225" s="176">
        <f t="shared" si="94"/>
        <v>7</v>
      </c>
      <c r="AI225" s="225">
        <f t="shared" si="95"/>
        <v>1.940672087820148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'2024'!Wh/'2024'!Env_an*'2025'!Env_an</f>
        <v>51.029158601354268</v>
      </c>
      <c r="C226" s="841"/>
      <c r="D226" s="393">
        <f t="shared" si="77"/>
        <v>54.031301231269403</v>
      </c>
      <c r="E226" s="385">
        <f t="shared" si="75"/>
        <v>56.451201361410099</v>
      </c>
      <c r="F226" s="385">
        <f t="shared" si="78"/>
        <v>56.453089987561611</v>
      </c>
      <c r="G226" s="110">
        <f t="shared" si="76"/>
        <v>0.96143408041647849</v>
      </c>
      <c r="H226" s="414" t="b">
        <f>Wh_hp&gt;='2024'!Maxi_hp</f>
        <v>0</v>
      </c>
      <c r="I226" s="390">
        <f>IF(H226,Wh_hp,'2024'!Maxi_hp)</f>
        <v>58.250484133448317</v>
      </c>
      <c r="J226" s="85">
        <f>IF(H226,An,'2024'!An_max)</f>
        <v>2019</v>
      </c>
      <c r="K226" s="197">
        <f t="shared" si="79"/>
        <v>45869</v>
      </c>
      <c r="L226" s="147">
        <f>IF(t&lt;Tvie,1-EXP((T0-t)*PertePVj)+'2024'!Pspv,1-EXP((T0-t)*PertePVj)+Pspv)</f>
        <v>5.5563026643854263E-2</v>
      </c>
      <c r="M226" s="845"/>
      <c r="N226" s="845"/>
      <c r="O226" s="48">
        <f>IF(t&lt;Tnet,'2024'!Resal+('2024'!Salim-'2024'!Resal)*(1-EXP(('2024'!Tnet-t)/('2024'!Tau_j))),Resal+(Salim-Resal)*(1-EXP((Tnet-t)/(Tau_j))))*Salcycl</f>
        <v>4.2867114813874195E-2</v>
      </c>
      <c r="P226" s="169">
        <f>(INDEX(Models!$BJ226:$BT226,,T226)*(1-R226)+INDEX(Models!$BJ226:$BT226,,T226+1)*R226-ERP_i)*Q226*Ramure*Pc/MaxiM</f>
        <v>3.5405319775844615E-5</v>
      </c>
      <c r="Q226" s="305">
        <f t="shared" si="80"/>
        <v>0.5</v>
      </c>
      <c r="R226" s="177">
        <f t="shared" si="81"/>
        <v>0.41772399251164205</v>
      </c>
      <c r="S226" s="811">
        <f t="shared" si="82"/>
        <v>-2</v>
      </c>
      <c r="T226" s="176">
        <f t="shared" si="83"/>
        <v>4</v>
      </c>
      <c r="U226" s="251">
        <f t="shared" si="84"/>
        <v>-1.5822760074883579</v>
      </c>
      <c r="V226" s="383">
        <f t="shared" si="85"/>
        <v>53.075983162484235</v>
      </c>
      <c r="W226" s="402">
        <f t="shared" si="86"/>
        <v>51.029158601354268</v>
      </c>
      <c r="X226" s="157">
        <f t="shared" si="87"/>
        <v>45869</v>
      </c>
      <c r="Y226" s="385">
        <f t="shared" si="88"/>
        <v>48.528438915174029</v>
      </c>
      <c r="Z226" s="385">
        <f t="shared" si="89"/>
        <v>51.383459441156404</v>
      </c>
      <c r="AA226" s="386">
        <f t="shared" si="90"/>
        <v>56.430337777180867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8.9435550713029929E-2</v>
      </c>
      <c r="AD226" s="231">
        <f>(INDEX(Models!$BJ226:$BT226,,AH226)*(1-AF226)+INDEX(Models!$BJ226:$BT226,,AH226+1)*AF226-ERP_i)*AE226*Ramure*Pc/MaxiM</f>
        <v>4.2652659632648877E-4</v>
      </c>
      <c r="AE226" s="305">
        <f t="shared" si="92"/>
        <v>0.5</v>
      </c>
      <c r="AF226" s="177">
        <f t="shared" si="93"/>
        <v>0.94271155888562097</v>
      </c>
      <c r="AG226" s="811">
        <f t="shared" si="99"/>
        <v>1</v>
      </c>
      <c r="AH226" s="176">
        <f t="shared" si="94"/>
        <v>7</v>
      </c>
      <c r="AI226" s="225">
        <f t="shared" si="95"/>
        <v>1.942711558885621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'2024'!Wh/'2024'!Env_an*'2025'!Env_an</f>
        <v>50.138501975763234</v>
      </c>
      <c r="C227" s="841"/>
      <c r="D227" s="393">
        <f t="shared" si="77"/>
        <v>53.089408373658721</v>
      </c>
      <c r="E227" s="385">
        <f t="shared" si="75"/>
        <v>55.470938502335848</v>
      </c>
      <c r="F227" s="385">
        <f t="shared" si="78"/>
        <v>55.472696220067832</v>
      </c>
      <c r="G227" s="110">
        <f t="shared" si="76"/>
        <v>0.94703630020140817</v>
      </c>
      <c r="H227" s="414" t="b">
        <f>Wh_hp&gt;='2024'!Maxi_hp</f>
        <v>1</v>
      </c>
      <c r="I227" s="390">
        <f>IF(H227,Wh_hp,'2024'!Maxi_hp)</f>
        <v>55.472696220067832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5.5583712237404326E-2</v>
      </c>
      <c r="M227" s="845"/>
      <c r="N227" s="845"/>
      <c r="O227" s="48">
        <f>IF(t&lt;Tnet,'2024'!Resal+('2024'!Salim-'2024'!Resal)*(1-EXP(('2024'!Tnet-t)/('2024'!Tau_j))),Resal+(Salim-Resal)*(1-EXP((Tnet-t)/(Tau_j))))*Salcycl</f>
        <v>4.2932933766333177E-2</v>
      </c>
      <c r="P227" s="169">
        <f>(INDEX(Models!$BJ227:$BT227,,T227)*(1-R227)+INDEX(Models!$BJ227:$BT227,,T227+1)*R227-ERP_i)*Q227*Ramure*Pc/MaxiM</f>
        <v>3.4279746685678784E-5</v>
      </c>
      <c r="Q227" s="305">
        <f t="shared" si="80"/>
        <v>0.5</v>
      </c>
      <c r="R227" s="177">
        <f t="shared" si="81"/>
        <v>0.41969904724031126</v>
      </c>
      <c r="S227" s="811">
        <f t="shared" si="82"/>
        <v>-2</v>
      </c>
      <c r="T227" s="176">
        <f t="shared" si="83"/>
        <v>4</v>
      </c>
      <c r="U227" s="251">
        <f t="shared" si="84"/>
        <v>-1.5803009527596887</v>
      </c>
      <c r="V227" s="383">
        <f t="shared" si="85"/>
        <v>52.942397164011446</v>
      </c>
      <c r="W227" s="402">
        <f t="shared" si="86"/>
        <v>50.138501975763234</v>
      </c>
      <c r="X227" s="157">
        <f t="shared" si="87"/>
        <v>45870</v>
      </c>
      <c r="Y227" s="385">
        <f t="shared" si="88"/>
        <v>47.68490346438616</v>
      </c>
      <c r="Z227" s="385">
        <f t="shared" si="89"/>
        <v>50.491403083862352</v>
      </c>
      <c r="AA227" s="386">
        <f t="shared" si="90"/>
        <v>55.452051686119233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8.9458341962460344E-2</v>
      </c>
      <c r="AD227" s="231">
        <f>(INDEX(Models!$BJ227:$BT227,,AH227)*(1-AF227)+INDEX(Models!$BJ227:$BT227,,AH227+1)*AF227-ERP_i)*AE227*Ramure*Pc/MaxiM</f>
        <v>4.0261833929679128E-4</v>
      </c>
      <c r="AE227" s="305">
        <f t="shared" si="92"/>
        <v>0.5</v>
      </c>
      <c r="AF227" s="177">
        <f t="shared" si="93"/>
        <v>0.94468661361429018</v>
      </c>
      <c r="AG227" s="811">
        <f t="shared" si="99"/>
        <v>1</v>
      </c>
      <c r="AH227" s="176">
        <f t="shared" si="94"/>
        <v>7</v>
      </c>
      <c r="AI227" s="225">
        <f t="shared" si="95"/>
        <v>1.9446866136142902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'2024'!Wh/'2024'!Env_an*'2025'!Env_an</f>
        <v>50.337736989925737</v>
      </c>
      <c r="C228" s="841"/>
      <c r="D228" s="393">
        <f t="shared" si="77"/>
        <v>53.301536824359495</v>
      </c>
      <c r="E228" s="385">
        <f t="shared" si="75"/>
        <v>55.696402482191715</v>
      </c>
      <c r="F228" s="385">
        <f t="shared" si="78"/>
        <v>55.698119307397469</v>
      </c>
      <c r="G228" s="110">
        <f t="shared" si="76"/>
        <v>0.95322885825696557</v>
      </c>
      <c r="H228" s="414" t="b">
        <f>Wh_hp&gt;='2024'!Maxi_hp</f>
        <v>0</v>
      </c>
      <c r="I228" s="390">
        <f>IF(H228,Wh_hp,'2024'!Maxi_hp)</f>
        <v>56.845203333586923</v>
      </c>
      <c r="J228" s="85">
        <f>IF(H228,An,'2024'!An_max)</f>
        <v>2019</v>
      </c>
      <c r="K228" s="197">
        <f t="shared" si="79"/>
        <v>45871</v>
      </c>
      <c r="L228" s="147">
        <f>IF(t&lt;Tvie,1-EXP((T0-t)*PertePVj)+'2024'!Pspv,1-EXP((T0-t)*PertePVj)+Pspv)</f>
        <v>5.5604397377886916E-2</v>
      </c>
      <c r="M228" s="845"/>
      <c r="N228" s="845"/>
      <c r="O228" s="48">
        <f>IF(t&lt;Tnet,'2024'!Resal+('2024'!Salim-'2024'!Resal)*(1-EXP(('2024'!Tnet-t)/('2024'!Tau_j))),Resal+(Salim-Resal)*(1-EXP((Tnet-t)/(Tau_j))))*Salcycl</f>
        <v>4.2998569945302212E-2</v>
      </c>
      <c r="P228" s="169">
        <f>(INDEX(Models!$BJ228:$BT228,,T228)*(1-R228)+INDEX(Models!$BJ228:$BT228,,T228+1)*R228-ERP_i)*Q228*Ramure*Pc/MaxiM</f>
        <v>3.3030627810979751E-5</v>
      </c>
      <c r="Q228" s="305">
        <f t="shared" si="80"/>
        <v>0.5</v>
      </c>
      <c r="R228" s="177">
        <f t="shared" si="81"/>
        <v>0.42161110032494808</v>
      </c>
      <c r="S228" s="811">
        <f t="shared" si="82"/>
        <v>-2</v>
      </c>
      <c r="T228" s="176">
        <f t="shared" si="83"/>
        <v>4</v>
      </c>
      <c r="U228" s="251">
        <f t="shared" si="84"/>
        <v>-1.5783888996750519</v>
      </c>
      <c r="V228" s="383">
        <f t="shared" si="85"/>
        <v>52.807492619960868</v>
      </c>
      <c r="W228" s="402">
        <f t="shared" si="86"/>
        <v>50.337736989925737</v>
      </c>
      <c r="X228" s="157">
        <f t="shared" si="87"/>
        <v>45871</v>
      </c>
      <c r="Y228" s="385">
        <f t="shared" si="88"/>
        <v>47.877327391569906</v>
      </c>
      <c r="Z228" s="385">
        <f t="shared" si="89"/>
        <v>50.696262518205899</v>
      </c>
      <c r="AA228" s="386">
        <f t="shared" si="90"/>
        <v>55.678414950573469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8.9480859625589146E-2</v>
      </c>
      <c r="AD228" s="231">
        <f>(INDEX(Models!$BJ228:$BT228,,AH228)*(1-AF228)+INDEX(Models!$BJ228:$BT228,,AH228+1)*AF228-ERP_i)*AE228*Ramure*Pc/MaxiM</f>
        <v>3.7909932492044898E-4</v>
      </c>
      <c r="AE228" s="305">
        <f t="shared" si="92"/>
        <v>0.5</v>
      </c>
      <c r="AF228" s="177">
        <f t="shared" si="93"/>
        <v>0.946598666698927</v>
      </c>
      <c r="AG228" s="811">
        <f t="shared" si="99"/>
        <v>1</v>
      </c>
      <c r="AH228" s="176">
        <f t="shared" si="94"/>
        <v>7</v>
      </c>
      <c r="AI228" s="225">
        <f t="shared" si="95"/>
        <v>1.946598666698927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'2024'!Wh/'2024'!Env_an*'2025'!Env_an</f>
        <v>48.231169262401203</v>
      </c>
      <c r="C229" s="841"/>
      <c r="D229" s="393">
        <f t="shared" si="77"/>
        <v>51.072056602139455</v>
      </c>
      <c r="E229" s="385">
        <f t="shared" si="75"/>
        <v>53.370401104439082</v>
      </c>
      <c r="F229" s="385">
        <f t="shared" si="78"/>
        <v>53.371887204338243</v>
      </c>
      <c r="G229" s="110">
        <f t="shared" si="76"/>
        <v>0.9156981750450004</v>
      </c>
      <c r="H229" s="414" t="b">
        <f>Wh_hp&gt;='2024'!Maxi_hp</f>
        <v>0</v>
      </c>
      <c r="I229" s="390">
        <f>IF(H229,Wh_hp,'2024'!Maxi_hp)</f>
        <v>57.532187418566849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5.5625082065311693E-2</v>
      </c>
      <c r="M229" s="845"/>
      <c r="N229" s="845"/>
      <c r="O229" s="48">
        <f>IF(t&lt;Tnet,'2024'!Resal+('2024'!Salim-'2024'!Resal)*(1-EXP(('2024'!Tnet-t)/('2024'!Tau_j))),Resal+(Salim-Resal)*(1-EXP((Tnet-t)/(Tau_j))))*Salcycl</f>
        <v>4.30640290261649E-2</v>
      </c>
      <c r="P229" s="169">
        <f>(INDEX(Models!$BJ229:$BT229,,T229)*(1-R229)+INDEX(Models!$BJ229:$BT229,,T229+1)*R229-ERP_i)*Q229*Ramure*Pc/MaxiM</f>
        <v>3.1656518925975659E-5</v>
      </c>
      <c r="Q229" s="305">
        <f t="shared" si="80"/>
        <v>0.5</v>
      </c>
      <c r="R229" s="177">
        <f t="shared" si="81"/>
        <v>0.42346158064767114</v>
      </c>
      <c r="S229" s="811">
        <f t="shared" si="82"/>
        <v>-2</v>
      </c>
      <c r="T229" s="176">
        <f t="shared" si="83"/>
        <v>4</v>
      </c>
      <c r="U229" s="251">
        <f t="shared" si="84"/>
        <v>-1.5765384193523289</v>
      </c>
      <c r="V229" s="383">
        <f t="shared" si="85"/>
        <v>52.671269531009216</v>
      </c>
      <c r="W229" s="402">
        <f t="shared" si="86"/>
        <v>48.231169262401203</v>
      </c>
      <c r="X229" s="157">
        <f t="shared" si="87"/>
        <v>45872</v>
      </c>
      <c r="Y229" s="385">
        <f t="shared" si="88"/>
        <v>45.877470479084451</v>
      </c>
      <c r="Z229" s="385">
        <f t="shared" si="89"/>
        <v>48.579721472714162</v>
      </c>
      <c r="AA229" s="386">
        <f t="shared" si="90"/>
        <v>53.355175998423498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8.9503116358391116E-2</v>
      </c>
      <c r="AD229" s="231">
        <f>(INDEX(Models!$BJ229:$BT229,,AH229)*(1-AF229)+INDEX(Models!$BJ229:$BT229,,AH229+1)*AF229-ERP_i)*AE229*Ramure*Pc/MaxiM</f>
        <v>3.5597782263163924E-4</v>
      </c>
      <c r="AE229" s="305">
        <f t="shared" si="92"/>
        <v>0.5</v>
      </c>
      <c r="AF229" s="177">
        <f t="shared" si="93"/>
        <v>0.94844914702165006</v>
      </c>
      <c r="AG229" s="811">
        <f t="shared" si="99"/>
        <v>1</v>
      </c>
      <c r="AH229" s="176">
        <f t="shared" si="94"/>
        <v>7</v>
      </c>
      <c r="AI229" s="225">
        <f t="shared" si="95"/>
        <v>1.9484491470216501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'2024'!Wh/'2024'!Env_an*'2025'!Env_an</f>
        <v>45.25930962791471</v>
      </c>
      <c r="C230" s="841"/>
      <c r="D230" s="393">
        <f t="shared" si="77"/>
        <v>47.926199738177552</v>
      </c>
      <c r="E230" s="385">
        <f t="shared" si="75"/>
        <v>50.086391532275186</v>
      </c>
      <c r="F230" s="385">
        <f t="shared" si="78"/>
        <v>50.087603184384982</v>
      </c>
      <c r="G230" s="110">
        <f t="shared" si="76"/>
        <v>0.8615234707477315</v>
      </c>
      <c r="H230" s="414" t="b">
        <f>Wh_hp&gt;='2024'!Maxi_hp</f>
        <v>0</v>
      </c>
      <c r="I230" s="390">
        <f>IF(H230,Wh_hp,'2024'!Maxi_hp)</f>
        <v>54.820289563876685</v>
      </c>
      <c r="J230" s="85">
        <f>IF(H230,An,'2024'!An_max)</f>
        <v>2019</v>
      </c>
      <c r="K230" s="197">
        <f t="shared" si="79"/>
        <v>45873</v>
      </c>
      <c r="L230" s="147">
        <f>IF(t&lt;Tvie,1-EXP((T0-t)*PertePVj)+'2024'!Pspv,1-EXP((T0-t)*PertePVj)+Pspv)</f>
        <v>5.564576629968887E-2</v>
      </c>
      <c r="M230" s="845"/>
      <c r="N230" s="845"/>
      <c r="O230" s="48">
        <f>IF(t&lt;Tnet,'2024'!Resal+('2024'!Salim-'2024'!Resal)*(1-EXP(('2024'!Tnet-t)/('2024'!Tau_j))),Resal+(Salim-Resal)*(1-EXP((Tnet-t)/(Tau_j))))*Salcycl</f>
        <v>4.3129315728517303E-2</v>
      </c>
      <c r="P230" s="169">
        <f>(INDEX(Models!$BJ230:$BT230,,T230)*(1-R230)+INDEX(Models!$BJ230:$BT230,,T230+1)*R230-ERP_i)*Q230*Ramure*Pc/MaxiM</f>
        <v>3.0156007597157855E-5</v>
      </c>
      <c r="Q230" s="305">
        <f t="shared" si="80"/>
        <v>0.5</v>
      </c>
      <c r="R230" s="177">
        <f t="shared" si="81"/>
        <v>0.42525192718234783</v>
      </c>
      <c r="S230" s="811">
        <f t="shared" si="82"/>
        <v>-2</v>
      </c>
      <c r="T230" s="176">
        <f t="shared" si="83"/>
        <v>4</v>
      </c>
      <c r="U230" s="251">
        <f t="shared" si="84"/>
        <v>-1.5747480728176522</v>
      </c>
      <c r="V230" s="383">
        <f t="shared" si="85"/>
        <v>52.533727948846163</v>
      </c>
      <c r="W230" s="402">
        <f t="shared" si="86"/>
        <v>45.25930962791471</v>
      </c>
      <c r="X230" s="157">
        <f t="shared" si="87"/>
        <v>45873</v>
      </c>
      <c r="Y230" s="385">
        <f t="shared" si="88"/>
        <v>43.054349310203399</v>
      </c>
      <c r="Z230" s="385">
        <f t="shared" si="89"/>
        <v>45.591312850371153</v>
      </c>
      <c r="AA230" s="386">
        <f t="shared" si="90"/>
        <v>50.07421290841296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8.9525122766106094E-2</v>
      </c>
      <c r="AD230" s="231">
        <f>(INDEX(Models!$BJ230:$BT230,,AH230)*(1-AF230)+INDEX(Models!$BJ230:$BT230,,AH230+1)*AF230-ERP_i)*AE230*Ramure*Pc/MaxiM</f>
        <v>3.3326171817484658E-4</v>
      </c>
      <c r="AE230" s="305">
        <f t="shared" si="92"/>
        <v>0.5</v>
      </c>
      <c r="AF230" s="177">
        <f t="shared" si="93"/>
        <v>0.95023949355632675</v>
      </c>
      <c r="AG230" s="811">
        <f t="shared" si="99"/>
        <v>1</v>
      </c>
      <c r="AH230" s="176">
        <f t="shared" si="94"/>
        <v>7</v>
      </c>
      <c r="AI230" s="225">
        <f t="shared" si="95"/>
        <v>1.9502394935563268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'2024'!Wh/'2024'!Env_an*'2025'!Env_an</f>
        <v>42.10872169167061</v>
      </c>
      <c r="C231" s="841"/>
      <c r="D231" s="393">
        <f t="shared" si="77"/>
        <v>44.590941087800736</v>
      </c>
      <c r="E231" s="385">
        <f t="shared" si="75"/>
        <v>46.603973330627284</v>
      </c>
      <c r="F231" s="385">
        <f t="shared" si="78"/>
        <v>46.604929986345887</v>
      </c>
      <c r="G231" s="110">
        <f t="shared" si="76"/>
        <v>0.80367384078527282</v>
      </c>
      <c r="H231" s="414" t="b">
        <f>Wh_hp&gt;='2024'!Maxi_hp</f>
        <v>0</v>
      </c>
      <c r="I231" s="390">
        <f>IF(H231,Wh_hp,'2024'!Maxi_hp)</f>
        <v>56.442491959447445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5.5666450081028107E-2</v>
      </c>
      <c r="M231" s="845"/>
      <c r="N231" s="845"/>
      <c r="O231" s="48">
        <f>IF(t&lt;Tnet,'2024'!Resal+('2024'!Salim-'2024'!Resal)*(1-EXP(('2024'!Tnet-t)/('2024'!Tau_j))),Resal+(Salim-Resal)*(1-EXP((Tnet-t)/(Tau_j))))*Salcycl</f>
        <v>4.3194433842481346E-2</v>
      </c>
      <c r="P231" s="169">
        <f>(INDEX(Models!$BJ231:$BT231,,T231)*(1-R231)+INDEX(Models!$BJ231:$BT231,,T231+1)*R231-ERP_i)*Q231*Ramure*Pc/MaxiM</f>
        <v>2.8527710069307805E-5</v>
      </c>
      <c r="Q231" s="305">
        <f t="shared" si="80"/>
        <v>0.5</v>
      </c>
      <c r="R231" s="177">
        <f t="shared" si="81"/>
        <v>0.42698358515599022</v>
      </c>
      <c r="S231" s="811">
        <f t="shared" si="82"/>
        <v>-2</v>
      </c>
      <c r="T231" s="176">
        <f t="shared" si="83"/>
        <v>4</v>
      </c>
      <c r="U231" s="251">
        <f t="shared" si="84"/>
        <v>-1.5730164148440098</v>
      </c>
      <c r="V231" s="383">
        <f t="shared" si="85"/>
        <v>52.394867973570854</v>
      </c>
      <c r="W231" s="402">
        <f t="shared" si="86"/>
        <v>42.10872169167061</v>
      </c>
      <c r="X231" s="157">
        <f t="shared" si="87"/>
        <v>45874</v>
      </c>
      <c r="Y231" s="385">
        <f t="shared" si="88"/>
        <v>40.060621328658435</v>
      </c>
      <c r="Z231" s="385">
        <f t="shared" si="89"/>
        <v>42.422109573567326</v>
      </c>
      <c r="AA231" s="386">
        <f t="shared" si="90"/>
        <v>46.594502220690657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8.9546887470997608E-2</v>
      </c>
      <c r="AD231" s="231">
        <f>(INDEX(Models!$BJ231:$BT231,,AH231)*(1-AF231)+INDEX(Models!$BJ231:$BT231,,AH231+1)*AF231-ERP_i)*AE231*Ramure*Pc/MaxiM</f>
        <v>3.1095855018418842E-4</v>
      </c>
      <c r="AE231" s="305">
        <f t="shared" si="92"/>
        <v>0.5</v>
      </c>
      <c r="AF231" s="177">
        <f t="shared" si="93"/>
        <v>0.95197115152996914</v>
      </c>
      <c r="AG231" s="811">
        <f t="shared" si="99"/>
        <v>1</v>
      </c>
      <c r="AH231" s="176">
        <f t="shared" si="94"/>
        <v>7</v>
      </c>
      <c r="AI231" s="225">
        <f t="shared" si="95"/>
        <v>1.9519711515299691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'2024'!Wh/'2024'!Env_an*'2025'!Env_an</f>
        <v>46.142104599207499</v>
      </c>
      <c r="C232" s="841"/>
      <c r="D232" s="393">
        <f t="shared" si="77"/>
        <v>48.863153549732495</v>
      </c>
      <c r="E232" s="385">
        <f t="shared" si="75"/>
        <v>51.072519393439251</v>
      </c>
      <c r="F232" s="385">
        <f t="shared" si="78"/>
        <v>51.073658167344576</v>
      </c>
      <c r="G232" s="110">
        <f t="shared" si="76"/>
        <v>0.88301927336091457</v>
      </c>
      <c r="H232" s="414" t="b">
        <f>Wh_hp&gt;='2024'!Maxi_hp</f>
        <v>0</v>
      </c>
      <c r="I232" s="390">
        <f>IF(H232,Wh_hp,'2024'!Maxi_hp)</f>
        <v>57.46185272567628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5.5687133409339507E-2</v>
      </c>
      <c r="M232" s="845"/>
      <c r="N232" s="845"/>
      <c r="O232" s="48">
        <f>IF(t&lt;Tnet,'2024'!Resal+('2024'!Salim-'2024'!Resal)*(1-EXP(('2024'!Tnet-t)/('2024'!Tau_j))),Resal+(Salim-Resal)*(1-EXP((Tnet-t)/(Tau_j))))*Salcycl</f>
        <v>4.3259386259894769E-2</v>
      </c>
      <c r="P232" s="169">
        <f>(INDEX(Models!$BJ232:$BT232,,T232)*(1-R232)+INDEX(Models!$BJ232:$BT232,,T232+1)*R232-ERP_i)*Q232*Ramure*Pc/MaxiM</f>
        <v>2.6770268491383568E-5</v>
      </c>
      <c r="Q232" s="305">
        <f t="shared" si="80"/>
        <v>0.5</v>
      </c>
      <c r="R232" s="177">
        <f t="shared" si="81"/>
        <v>0.42865800246552177</v>
      </c>
      <c r="S232" s="811">
        <f t="shared" si="82"/>
        <v>-2</v>
      </c>
      <c r="T232" s="176">
        <f t="shared" si="83"/>
        <v>4</v>
      </c>
      <c r="U232" s="251">
        <f t="shared" si="84"/>
        <v>-1.5713419975344782</v>
      </c>
      <c r="V232" s="383">
        <f t="shared" si="85"/>
        <v>52.254689752127149</v>
      </c>
      <c r="W232" s="402">
        <f t="shared" si="86"/>
        <v>46.142104599207499</v>
      </c>
      <c r="X232" s="157">
        <f t="shared" si="87"/>
        <v>45875</v>
      </c>
      <c r="Y232" s="385">
        <f t="shared" si="88"/>
        <v>43.899099396646378</v>
      </c>
      <c r="Z232" s="385">
        <f t="shared" si="89"/>
        <v>46.487875946389813</v>
      </c>
      <c r="AA232" s="386">
        <f t="shared" si="90"/>
        <v>51.061361253405728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8.9568417189639052E-2</v>
      </c>
      <c r="AD232" s="231">
        <f>(INDEX(Models!$BJ232:$BT232,,AH232)*(1-AF232)+INDEX(Models!$BJ232:$BT232,,AH232+1)*AF232-ERP_i)*AE232*Ramure*Pc/MaxiM</f>
        <v>2.8907554539064749E-4</v>
      </c>
      <c r="AE232" s="305">
        <f t="shared" si="92"/>
        <v>0.5</v>
      </c>
      <c r="AF232" s="177">
        <f t="shared" si="93"/>
        <v>0.95364556883950069</v>
      </c>
      <c r="AG232" s="811">
        <f t="shared" si="99"/>
        <v>1</v>
      </c>
      <c r="AH232" s="176">
        <f t="shared" si="94"/>
        <v>7</v>
      </c>
      <c r="AI232" s="225">
        <f t="shared" si="95"/>
        <v>1.9536455688395007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'2024'!Wh/'2024'!Env_an*'2025'!Env_an</f>
        <v>49.043574132692903</v>
      </c>
      <c r="C233" s="841"/>
      <c r="D233" s="393">
        <f t="shared" si="77"/>
        <v>51.936863376045743</v>
      </c>
      <c r="E233" s="385">
        <f t="shared" ref="E233:E296" si="100">Wh_pvt/(1-Psa)</f>
        <v>54.288884509623209</v>
      </c>
      <c r="F233" s="385">
        <f t="shared" si="78"/>
        <v>54.290121691697898</v>
      </c>
      <c r="G233" s="110">
        <f t="shared" ref="G233:G296" si="101">+Wh_hp/MaxiM</f>
        <v>0.94109131306249394</v>
      </c>
      <c r="H233" s="414" t="b">
        <f>Wh_hp&gt;='2024'!Maxi_hp</f>
        <v>0</v>
      </c>
      <c r="I233" s="390">
        <f>IF(H233,Wh_hp,'2024'!Maxi_hp)</f>
        <v>55.820902062700583</v>
      </c>
      <c r="J233" s="85">
        <f>IF(H233,An,'2024'!An_max)</f>
        <v>2020</v>
      </c>
      <c r="K233" s="197">
        <f t="shared" si="79"/>
        <v>45876</v>
      </c>
      <c r="L233" s="147">
        <f>IF(t&lt;Tvie,1-EXP((T0-t)*PertePVj)+'2024'!Pspv,1-EXP((T0-t)*PertePVj)+Pspv)</f>
        <v>5.5707816284632949E-2</v>
      </c>
      <c r="M233" s="845"/>
      <c r="N233" s="845"/>
      <c r="O233" s="48">
        <f>IF(t&lt;Tnet,'2024'!Resal+('2024'!Salim-'2024'!Resal)*(1-EXP(('2024'!Tnet-t)/('2024'!Tau_j))),Resal+(Salim-Resal)*(1-EXP((Tnet-t)/(Tau_j))))*Salcycl</f>
        <v>4.3324175009721334E-2</v>
      </c>
      <c r="P233" s="169">
        <f>(INDEX(Models!$BJ233:$BT233,,T233)*(1-R233)+INDEX(Models!$BJ233:$BT233,,T233+1)*R233-ERP_i)*Q233*Ramure*Pc/MaxiM</f>
        <v>2.4882248138130591E-5</v>
      </c>
      <c r="Q233" s="305">
        <f t="shared" si="80"/>
        <v>0.5</v>
      </c>
      <c r="R233" s="177">
        <f t="shared" si="81"/>
        <v>0.43027662634508523</v>
      </c>
      <c r="S233" s="811">
        <f t="shared" si="82"/>
        <v>-2</v>
      </c>
      <c r="T233" s="176">
        <f t="shared" si="83"/>
        <v>4</v>
      </c>
      <c r="U233" s="251">
        <f t="shared" si="84"/>
        <v>-1.5697233736549148</v>
      </c>
      <c r="V233" s="383">
        <f t="shared" si="85"/>
        <v>52.113403616816321</v>
      </c>
      <c r="W233" s="402">
        <f t="shared" si="86"/>
        <v>49.043574132692903</v>
      </c>
      <c r="X233" s="157">
        <f t="shared" si="87"/>
        <v>45876</v>
      </c>
      <c r="Y233" s="385">
        <f t="shared" si="88"/>
        <v>46.661415240719052</v>
      </c>
      <c r="Z233" s="385">
        <f t="shared" si="89"/>
        <v>49.414170788883659</v>
      </c>
      <c r="AA233" s="386">
        <f t="shared" si="90"/>
        <v>54.276815301547877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8.9589716818288381E-2</v>
      </c>
      <c r="AD233" s="231">
        <f>(INDEX(Models!$BJ233:$BT233,,AH233)*(1-AF233)+INDEX(Models!$BJ233:$BT233,,AH233+1)*AF233-ERP_i)*AE233*Ramure*Pc/MaxiM</f>
        <v>2.6761857313451116E-4</v>
      </c>
      <c r="AE233" s="305">
        <f t="shared" si="92"/>
        <v>0.5</v>
      </c>
      <c r="AF233" s="177">
        <f t="shared" si="93"/>
        <v>0.95526419271906438</v>
      </c>
      <c r="AG233" s="811">
        <f t="shared" si="99"/>
        <v>1</v>
      </c>
      <c r="AH233" s="176">
        <f t="shared" si="94"/>
        <v>7</v>
      </c>
      <c r="AI233" s="225">
        <f t="shared" si="95"/>
        <v>1.9552641927190644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'2024'!Wh/'2024'!Env_an*'2025'!Env_an</f>
        <v>49.830672458205534</v>
      </c>
      <c r="C234" s="841"/>
      <c r="D234" s="393">
        <f t="shared" si="77"/>
        <v>52.771551815306943</v>
      </c>
      <c r="E234" s="385">
        <f t="shared" si="100"/>
        <v>55.165099349512012</v>
      </c>
      <c r="F234" s="385">
        <f t="shared" si="78"/>
        <v>55.166289291392175</v>
      </c>
      <c r="G234" s="110">
        <f t="shared" si="101"/>
        <v>0.95881278490934974</v>
      </c>
      <c r="H234" s="414" t="b">
        <f>Wh_hp&gt;='2024'!Maxi_hp</f>
        <v>1</v>
      </c>
      <c r="I234" s="390">
        <f>IF(H234,Wh_hp,'2024'!Maxi_hp)</f>
        <v>55.166289291392175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5.5728498706918317E-2</v>
      </c>
      <c r="M234" s="845"/>
      <c r="N234" s="845"/>
      <c r="O234" s="48">
        <f>IF(t&lt;Tnet,'2024'!Resal+('2024'!Salim-'2024'!Resal)*(1-EXP(('2024'!Tnet-t)/('2024'!Tau_j))),Resal+(Salim-Resal)*(1-EXP((Tnet-t)/(Tau_j))))*Salcycl</f>
        <v>4.3388801296996883E-2</v>
      </c>
      <c r="P234" s="169">
        <f>(INDEX(Models!$BJ234:$BT234,,T234)*(1-R234)+INDEX(Models!$BJ234:$BT234,,T234+1)*R234-ERP_i)*Q234*Ramure*Pc/MaxiM</f>
        <v>2.2918550479823322E-5</v>
      </c>
      <c r="Q234" s="305">
        <f t="shared" si="80"/>
        <v>0.5</v>
      </c>
      <c r="R234" s="177">
        <f t="shared" si="81"/>
        <v>0.43184090027800681</v>
      </c>
      <c r="S234" s="811">
        <f t="shared" si="82"/>
        <v>-2</v>
      </c>
      <c r="T234" s="176">
        <f t="shared" si="83"/>
        <v>4</v>
      </c>
      <c r="U234" s="251">
        <f t="shared" si="84"/>
        <v>-1.5681590997219932</v>
      </c>
      <c r="V234" s="383">
        <f t="shared" si="85"/>
        <v>51.971152289990229</v>
      </c>
      <c r="W234" s="402">
        <f t="shared" si="86"/>
        <v>49.830672458205534</v>
      </c>
      <c r="X234" s="157">
        <f t="shared" si="87"/>
        <v>45877</v>
      </c>
      <c r="Y234" s="385">
        <f t="shared" si="88"/>
        <v>47.412928771685586</v>
      </c>
      <c r="Z234" s="385">
        <f t="shared" si="89"/>
        <v>50.211119055015963</v>
      </c>
      <c r="AA234" s="386">
        <f t="shared" si="90"/>
        <v>55.153464559197637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8.9610789524870671E-2</v>
      </c>
      <c r="AD234" s="231">
        <f>(INDEX(Models!$BJ234:$BT234,,AH234)*(1-AF234)+INDEX(Models!$BJ234:$BT234,,AH234+1)*AF234-ERP_i)*AE234*Ramure*Pc/MaxiM</f>
        <v>2.4700725059756851E-4</v>
      </c>
      <c r="AE234" s="305">
        <f t="shared" si="92"/>
        <v>0.5</v>
      </c>
      <c r="AF234" s="177">
        <f t="shared" si="93"/>
        <v>0.95682846665198573</v>
      </c>
      <c r="AG234" s="811">
        <f t="shared" si="99"/>
        <v>1</v>
      </c>
      <c r="AH234" s="176">
        <f t="shared" si="94"/>
        <v>7</v>
      </c>
      <c r="AI234" s="225">
        <f t="shared" si="95"/>
        <v>1.9568284666519857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'2024'!Wh/'2024'!Env_an*'2025'!Env_an</f>
        <v>48.163575234201637</v>
      </c>
      <c r="C235" s="841"/>
      <c r="D235" s="393">
        <f t="shared" si="77"/>
        <v>51.007183947897424</v>
      </c>
      <c r="E235" s="385">
        <f t="shared" si="100"/>
        <v>53.324298866524494</v>
      </c>
      <c r="F235" s="385">
        <f t="shared" si="78"/>
        <v>53.325307349605445</v>
      </c>
      <c r="G235" s="110">
        <f t="shared" si="101"/>
        <v>0.92929748698448311</v>
      </c>
      <c r="H235" s="414" t="b">
        <f>Wh_hp&gt;='2024'!Maxi_hp</f>
        <v>0</v>
      </c>
      <c r="I235" s="390">
        <f>IF(H235,Wh_hp,'2024'!Maxi_hp)</f>
        <v>55.939165383860541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5.5749180676205601E-2</v>
      </c>
      <c r="M235" s="845"/>
      <c r="N235" s="845"/>
      <c r="O235" s="48">
        <f>IF(t&lt;Tnet,'2024'!Resal+('2024'!Salim-'2024'!Resal)*(1-EXP(('2024'!Tnet-t)/('2024'!Tau_j))),Resal+(Salim-Resal)*(1-EXP((Tnet-t)/(Tau_j))))*Salcycl</f>
        <v>4.3453265544606927E-2</v>
      </c>
      <c r="P235" s="169">
        <f>(INDEX(Models!$BJ235:$BT235,,T235)*(1-R235)+INDEX(Models!$BJ235:$BT235,,T235+1)*R235-ERP_i)*Q235*Ramure*Pc/MaxiM</f>
        <v>2.103661840915996E-5</v>
      </c>
      <c r="Q235" s="305">
        <f t="shared" si="80"/>
        <v>0.5</v>
      </c>
      <c r="R235" s="177">
        <f t="shared" si="81"/>
        <v>0.43335226114663516</v>
      </c>
      <c r="S235" s="811">
        <f t="shared" si="82"/>
        <v>-2</v>
      </c>
      <c r="T235" s="176">
        <f t="shared" si="83"/>
        <v>4</v>
      </c>
      <c r="U235" s="251">
        <f t="shared" si="84"/>
        <v>-1.5666477388533648</v>
      </c>
      <c r="V235" s="383">
        <f t="shared" si="85"/>
        <v>51.827830778602944</v>
      </c>
      <c r="W235" s="402">
        <f t="shared" si="86"/>
        <v>48.163575234201637</v>
      </c>
      <c r="X235" s="157">
        <f t="shared" si="87"/>
        <v>45878</v>
      </c>
      <c r="Y235" s="385">
        <f t="shared" si="88"/>
        <v>45.829913843015568</v>
      </c>
      <c r="Z235" s="385">
        <f t="shared" si="89"/>
        <v>48.535741674903399</v>
      </c>
      <c r="AA235" s="386">
        <f t="shared" si="90"/>
        <v>53.314398477944721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8.9631636846060916E-2</v>
      </c>
      <c r="AD235" s="231">
        <f>(INDEX(Models!$BJ235:$BT235,,AH235)*(1-AF235)+INDEX(Models!$BJ235:$BT235,,AH235+1)*AF235-ERP_i)*AE235*Ramure*Pc/MaxiM</f>
        <v>2.2755539952590986E-4</v>
      </c>
      <c r="AE235" s="305">
        <f t="shared" si="92"/>
        <v>0.5</v>
      </c>
      <c r="AF235" s="177">
        <f t="shared" si="93"/>
        <v>0.95833982752061408</v>
      </c>
      <c r="AG235" s="811">
        <f t="shared" si="99"/>
        <v>1</v>
      </c>
      <c r="AH235" s="176">
        <f t="shared" si="94"/>
        <v>7</v>
      </c>
      <c r="AI235" s="225">
        <f t="shared" si="95"/>
        <v>1.9583398275206141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'2024'!Wh/'2024'!Env_an*'2025'!Env_an</f>
        <v>46.180086756282321</v>
      </c>
      <c r="C236" s="841"/>
      <c r="D236" s="393">
        <f t="shared" si="77"/>
        <v>48.907660227317663</v>
      </c>
      <c r="E236" s="385">
        <f t="shared" si="100"/>
        <v>51.132836905611995</v>
      </c>
      <c r="F236" s="385">
        <f t="shared" si="78"/>
        <v>51.133671018791041</v>
      </c>
      <c r="G236" s="110">
        <f t="shared" si="101"/>
        <v>0.89351712923780457</v>
      </c>
      <c r="H236" s="414" t="b">
        <f>Wh_hp&gt;='2024'!Maxi_hp</f>
        <v>0</v>
      </c>
      <c r="I236" s="390">
        <f>IF(H236,Wh_hp,'2024'!Maxi_hp)</f>
        <v>53.022413412282127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5.5769862192504571E-2</v>
      </c>
      <c r="M236" s="845"/>
      <c r="N236" s="845"/>
      <c r="O236" s="48">
        <f>IF(t&lt;Tnet,'2024'!Resal+('2024'!Salim-'2024'!Resal)*(1-EXP(('2024'!Tnet-t)/('2024'!Tau_j))),Resal+(Salim-Resal)*(1-EXP((Tnet-t)/(Tau_j))))*Salcycl</f>
        <v>4.3517567437180674E-2</v>
      </c>
      <c r="P236" s="169">
        <f>(INDEX(Models!$BJ236:$BT236,,T236)*(1-R236)+INDEX(Models!$BJ236:$BT236,,T236+1)*R236-ERP_i)*Q236*Ramure*Pc/MaxiM</f>
        <v>1.9238928441072407E-5</v>
      </c>
      <c r="Q236" s="305">
        <f t="shared" si="80"/>
        <v>0.5</v>
      </c>
      <c r="R236" s="177">
        <f t="shared" si="81"/>
        <v>0.43481213661253237</v>
      </c>
      <c r="S236" s="811">
        <f t="shared" si="82"/>
        <v>-2</v>
      </c>
      <c r="T236" s="176">
        <f t="shared" si="83"/>
        <v>4</v>
      </c>
      <c r="U236" s="251">
        <f t="shared" si="84"/>
        <v>-1.5651878633874676</v>
      </c>
      <c r="V236" s="383">
        <f t="shared" si="85"/>
        <v>51.683342261596742</v>
      </c>
      <c r="W236" s="402">
        <f t="shared" si="86"/>
        <v>46.180086756282321</v>
      </c>
      <c r="X236" s="157">
        <f t="shared" si="87"/>
        <v>45879</v>
      </c>
      <c r="Y236" s="385">
        <f t="shared" si="88"/>
        <v>43.945568010247669</v>
      </c>
      <c r="Z236" s="385">
        <f t="shared" si="89"/>
        <v>46.541162213154287</v>
      </c>
      <c r="AA236" s="386">
        <f t="shared" si="90"/>
        <v>51.124597893974979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8.9652258787953132E-2</v>
      </c>
      <c r="AD236" s="231">
        <f>(INDEX(Models!$BJ236:$BT236,,AH236)*(1-AF236)+INDEX(Models!$BJ236:$BT236,,AH236+1)*AF236-ERP_i)*AE236*Ramure*Pc/MaxiM</f>
        <v>2.0927279829387351E-4</v>
      </c>
      <c r="AE236" s="305">
        <f t="shared" si="92"/>
        <v>0.5</v>
      </c>
      <c r="AF236" s="177">
        <f t="shared" si="93"/>
        <v>0.95979970298651129</v>
      </c>
      <c r="AG236" s="811">
        <f t="shared" si="99"/>
        <v>1</v>
      </c>
      <c r="AH236" s="176">
        <f t="shared" si="94"/>
        <v>7</v>
      </c>
      <c r="AI236" s="225">
        <f t="shared" si="95"/>
        <v>1.9597997029865113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'2024'!Wh/'2024'!Env_an*'2025'!Env_an</f>
        <v>42.496342464781421</v>
      </c>
      <c r="C237" s="841"/>
      <c r="D237" s="393">
        <f t="shared" si="77"/>
        <v>45.007325611117487</v>
      </c>
      <c r="E237" s="385">
        <f t="shared" si="100"/>
        <v>47.058202349207193</v>
      </c>
      <c r="F237" s="385">
        <f t="shared" si="78"/>
        <v>47.058820472990156</v>
      </c>
      <c r="G237" s="110">
        <f t="shared" si="101"/>
        <v>0.82456622032243498</v>
      </c>
      <c r="H237" s="414" t="b">
        <f>Wh_hp&gt;='2024'!Maxi_hp</f>
        <v>0</v>
      </c>
      <c r="I237" s="390">
        <f>IF(H237,Wh_hp,'2024'!Maxi_hp)</f>
        <v>54.934751797677123</v>
      </c>
      <c r="J237" s="85">
        <f>IF(H237,An,'2024'!An_max)</f>
        <v>2018</v>
      </c>
      <c r="K237" s="197">
        <f t="shared" si="79"/>
        <v>45880</v>
      </c>
      <c r="L237" s="147">
        <f>IF(t&lt;Tvie,1-EXP((T0-t)*PertePVj)+'2024'!Pspv,1-EXP((T0-t)*PertePVj)+Pspv)</f>
        <v>5.5790543255825331E-2</v>
      </c>
      <c r="M237" s="845"/>
      <c r="N237" s="845"/>
      <c r="O237" s="48">
        <f>IF(t&lt;Tnet,'2024'!Resal+('2024'!Salim-'2024'!Resal)*(1-EXP(('2024'!Tnet-t)/('2024'!Tau_j))),Resal+(Salim-Resal)*(1-EXP((Tnet-t)/(Tau_j))))*Salcycl</f>
        <v>4.3581705966383111E-2</v>
      </c>
      <c r="P237" s="169">
        <f>(INDEX(Models!$BJ237:$BT237,,T237)*(1-R237)+INDEX(Models!$BJ237:$BT237,,T237+1)*R237-ERP_i)*Q237*Ramure*Pc/MaxiM</f>
        <v>1.7527869740088794E-5</v>
      </c>
      <c r="Q237" s="305">
        <f t="shared" si="80"/>
        <v>0.5</v>
      </c>
      <c r="R237" s="177">
        <f t="shared" si="81"/>
        <v>0.43622194271887471</v>
      </c>
      <c r="S237" s="811">
        <f t="shared" si="82"/>
        <v>-2</v>
      </c>
      <c r="T237" s="176">
        <f t="shared" si="83"/>
        <v>4</v>
      </c>
      <c r="U237" s="251">
        <f t="shared" si="84"/>
        <v>-1.5637780572811253</v>
      </c>
      <c r="V237" s="383">
        <f t="shared" si="85"/>
        <v>51.537589995370233</v>
      </c>
      <c r="W237" s="402">
        <f t="shared" si="86"/>
        <v>42.496342464781421</v>
      </c>
      <c r="X237" s="157">
        <f t="shared" si="87"/>
        <v>45880</v>
      </c>
      <c r="Y237" s="385">
        <f t="shared" si="88"/>
        <v>40.443098908527766</v>
      </c>
      <c r="Z237" s="385">
        <f t="shared" si="89"/>
        <v>42.832761967862254</v>
      </c>
      <c r="AA237" s="386">
        <f t="shared" si="90"/>
        <v>47.052043589287756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8.9672653928810381E-2</v>
      </c>
      <c r="AD237" s="231">
        <f>(INDEX(Models!$BJ237:$BT237,,AH237)*(1-AF237)+INDEX(Models!$BJ237:$BT237,,AH237+1)*AF237-ERP_i)*AE237*Ramure*Pc/MaxiM</f>
        <v>1.921691707285341E-4</v>
      </c>
      <c r="AE237" s="305">
        <f t="shared" si="92"/>
        <v>0.5</v>
      </c>
      <c r="AF237" s="177">
        <f t="shared" si="93"/>
        <v>0.96120950909285385</v>
      </c>
      <c r="AG237" s="811">
        <f t="shared" si="99"/>
        <v>1</v>
      </c>
      <c r="AH237" s="176">
        <f t="shared" si="94"/>
        <v>7</v>
      </c>
      <c r="AI237" s="225">
        <f t="shared" si="95"/>
        <v>1.9612095090928539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'2024'!Wh/'2024'!Env_an*'2025'!Env_an</f>
        <v>44.599058404948281</v>
      </c>
      <c r="C238" s="841"/>
      <c r="D238" s="393">
        <f t="shared" si="77"/>
        <v>47.235319389802982</v>
      </c>
      <c r="E238" s="385">
        <f t="shared" si="100"/>
        <v>49.391024201120572</v>
      </c>
      <c r="F238" s="385">
        <f t="shared" si="78"/>
        <v>49.391661496667453</v>
      </c>
      <c r="G238" s="110">
        <f t="shared" si="101"/>
        <v>0.86784413795438198</v>
      </c>
      <c r="H238" s="414" t="b">
        <f>Wh_hp&gt;='2024'!Maxi_hp</f>
        <v>0</v>
      </c>
      <c r="I238" s="390">
        <f>IF(H238,Wh_hp,'2024'!Maxi_hp)</f>
        <v>52.198759439863373</v>
      </c>
      <c r="J238" s="85">
        <f>IF(H238,An,'2024'!An_max)</f>
        <v>2018</v>
      </c>
      <c r="K238" s="197">
        <f t="shared" si="79"/>
        <v>45881</v>
      </c>
      <c r="L238" s="147">
        <f>IF(t&lt;Tvie,1-EXP((T0-t)*PertePVj)+'2024'!Pspv,1-EXP((T0-t)*PertePVj)+Pspv)</f>
        <v>5.5811223866177762E-2</v>
      </c>
      <c r="M238" s="845"/>
      <c r="N238" s="845"/>
      <c r="O238" s="48">
        <f>IF(t&lt;Tnet,'2024'!Resal+('2024'!Salim-'2024'!Resal)*(1-EXP(('2024'!Tnet-t)/('2024'!Tau_j))),Resal+(Salim-Resal)*(1-EXP((Tnet-t)/(Tau_j))))*Salcycl</f>
        <v>4.3645679476893295E-2</v>
      </c>
      <c r="P238" s="169">
        <f>(INDEX(Models!$BJ238:$BT238,,T238)*(1-R238)+INDEX(Models!$BJ238:$BT238,,T238+1)*R238-ERP_i)*Q238*Ramure*Pc/MaxiM</f>
        <v>1.5905749857505293E-5</v>
      </c>
      <c r="Q238" s="305">
        <f t="shared" si="80"/>
        <v>0.5</v>
      </c>
      <c r="R238" s="177">
        <f t="shared" si="81"/>
        <v>0.43758308170644078</v>
      </c>
      <c r="S238" s="811">
        <f t="shared" si="82"/>
        <v>-2</v>
      </c>
      <c r="T238" s="176">
        <f t="shared" si="83"/>
        <v>4</v>
      </c>
      <c r="U238" s="251">
        <f t="shared" si="84"/>
        <v>-1.5624169182935592</v>
      </c>
      <c r="V238" s="383">
        <f t="shared" si="85"/>
        <v>51.390477308470352</v>
      </c>
      <c r="W238" s="402">
        <f t="shared" si="86"/>
        <v>44.599058404948281</v>
      </c>
      <c r="X238" s="157">
        <f t="shared" si="87"/>
        <v>45881</v>
      </c>
      <c r="Y238" s="385">
        <f t="shared" si="88"/>
        <v>42.446153298010621</v>
      </c>
      <c r="Z238" s="385">
        <f t="shared" si="89"/>
        <v>44.955155548253011</v>
      </c>
      <c r="AA238" s="386">
        <f t="shared" si="90"/>
        <v>49.384599520205732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8.9692819522418338E-2</v>
      </c>
      <c r="AD238" s="231">
        <f>(INDEX(Models!$BJ238:$BT238,,AH238)*(1-AF238)+INDEX(Models!$BJ238:$BT238,,AH238+1)*AF238-ERP_i)*AE238*Ramure*Pc/MaxiM</f>
        <v>1.76254222470608E-4</v>
      </c>
      <c r="AE238" s="305">
        <f t="shared" si="92"/>
        <v>0.5</v>
      </c>
      <c r="AF238" s="177">
        <f t="shared" si="93"/>
        <v>0.96257064808041992</v>
      </c>
      <c r="AG238" s="811">
        <f t="shared" si="99"/>
        <v>1</v>
      </c>
      <c r="AH238" s="176">
        <f t="shared" si="94"/>
        <v>7</v>
      </c>
      <c r="AI238" s="225">
        <f t="shared" si="95"/>
        <v>1.9625706480804199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'2024'!Wh/'2024'!Env_an*'2025'!Env_an</f>
        <v>31.067154346441338</v>
      </c>
      <c r="C239" s="841"/>
      <c r="D239" s="393">
        <f t="shared" si="77"/>
        <v>32.904261941103492</v>
      </c>
      <c r="E239" s="385">
        <f t="shared" si="100"/>
        <v>34.408227886287172</v>
      </c>
      <c r="F239" s="385">
        <f t="shared" si="78"/>
        <v>34.408444304240085</v>
      </c>
      <c r="G239" s="110">
        <f t="shared" si="101"/>
        <v>0.60627920814911795</v>
      </c>
      <c r="H239" s="414" t="b">
        <f>Wh_hp&gt;='2024'!Maxi_hp</f>
        <v>0</v>
      </c>
      <c r="I239" s="390">
        <f>IF(H239,Wh_hp,'2024'!Maxi_hp)</f>
        <v>49.571963401626377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5.5831904023571632E-2</v>
      </c>
      <c r="M239" s="845"/>
      <c r="N239" s="845"/>
      <c r="O239" s="48">
        <f>IF(t&lt;Tnet,'2024'!Resal+('2024'!Salim-'2024'!Resal)*(1-EXP(('2024'!Tnet-t)/('2024'!Tau_j))),Resal+(Salim-Resal)*(1-EXP((Tnet-t)/(Tau_j))))*Salcycl</f>
        <v>4.3709485712371161E-2</v>
      </c>
      <c r="P239" s="169">
        <f>(INDEX(Models!$BJ239:$BT239,,T239)*(1-R239)+INDEX(Models!$BJ239:$BT239,,T239+1)*R239-ERP_i)*Q239*Ramure*Pc/MaxiM</f>
        <v>1.4374800331461121E-5</v>
      </c>
      <c r="Q239" s="305">
        <f t="shared" si="80"/>
        <v>0.5</v>
      </c>
      <c r="R239" s="177">
        <f t="shared" si="81"/>
        <v>0.43889694003418445</v>
      </c>
      <c r="S239" s="811">
        <f t="shared" si="82"/>
        <v>-2</v>
      </c>
      <c r="T239" s="176">
        <f t="shared" si="83"/>
        <v>4</v>
      </c>
      <c r="U239" s="251">
        <f t="shared" si="84"/>
        <v>-1.5611030599658156</v>
      </c>
      <c r="V239" s="383">
        <f t="shared" si="85"/>
        <v>51.241907598788629</v>
      </c>
      <c r="W239" s="402">
        <f t="shared" si="86"/>
        <v>31.067154346441338</v>
      </c>
      <c r="X239" s="157">
        <f t="shared" si="87"/>
        <v>45882</v>
      </c>
      <c r="Y239" s="385">
        <f t="shared" si="88"/>
        <v>29.57073507892482</v>
      </c>
      <c r="Z239" s="385">
        <f t="shared" si="89"/>
        <v>31.3193542600523</v>
      </c>
      <c r="AA239" s="386">
        <f t="shared" si="90"/>
        <v>34.406012294605802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8.9712751600609889E-2</v>
      </c>
      <c r="AD239" s="231">
        <f>(INDEX(Models!$BJ239:$BT239,,AH239)*(1-AF239)+INDEX(Models!$BJ239:$BT239,,AH239+1)*AF239-ERP_i)*AE239*Ramure*Pc/MaxiM</f>
        <v>1.6153767479427908E-4</v>
      </c>
      <c r="AE239" s="305">
        <f t="shared" si="92"/>
        <v>0.5</v>
      </c>
      <c r="AF239" s="177">
        <f t="shared" si="93"/>
        <v>0.96388450640816337</v>
      </c>
      <c r="AG239" s="811">
        <f t="shared" si="99"/>
        <v>1</v>
      </c>
      <c r="AH239" s="176">
        <f t="shared" si="94"/>
        <v>7</v>
      </c>
      <c r="AI239" s="225">
        <f t="shared" si="95"/>
        <v>1.9638845064081634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'2024'!Wh/'2024'!Env_an*'2025'!Env_an</f>
        <v>32.299742043862203</v>
      </c>
      <c r="C240" s="841"/>
      <c r="D240" s="393">
        <f t="shared" si="77"/>
        <v>34.210486082141152</v>
      </c>
      <c r="E240" s="385">
        <f t="shared" si="100"/>
        <v>35.776536786658745</v>
      </c>
      <c r="F240" s="385">
        <f t="shared" si="78"/>
        <v>35.776757079569492</v>
      </c>
      <c r="G240" s="110">
        <f t="shared" si="101"/>
        <v>0.63218624052270789</v>
      </c>
      <c r="H240" s="414" t="b">
        <f>Wh_hp&gt;='2024'!Maxi_hp</f>
        <v>0</v>
      </c>
      <c r="I240" s="390">
        <f>IF(H240,Wh_hp,'2024'!Maxi_hp)</f>
        <v>57.385484130512104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5.5852583728017047E-2</v>
      </c>
      <c r="M240" s="845"/>
      <c r="N240" s="845"/>
      <c r="O240" s="48">
        <f>IF(t&lt;Tnet,'2024'!Resal+('2024'!Salim-'2024'!Resal)*(1-EXP(('2024'!Tnet-t)/('2024'!Tau_j))),Resal+(Salim-Resal)*(1-EXP((Tnet-t)/(Tau_j))))*Salcycl</f>
        <v>4.3773121860738069E-2</v>
      </c>
      <c r="P240" s="169">
        <f>(INDEX(Models!$BJ240:$BT240,,T240)*(1-R240)+INDEX(Models!$BJ240:$BT240,,T240+1)*R240-ERP_i)*Q240*Ramure*Pc/MaxiM</f>
        <v>1.2975088080256502E-5</v>
      </c>
      <c r="Q240" s="305">
        <f t="shared" si="80"/>
        <v>0.5</v>
      </c>
      <c r="R240" s="177">
        <f t="shared" si="81"/>
        <v>0.44016488659513353</v>
      </c>
      <c r="S240" s="811">
        <f t="shared" si="82"/>
        <v>-2</v>
      </c>
      <c r="T240" s="176">
        <f t="shared" si="83"/>
        <v>4</v>
      </c>
      <c r="U240" s="251">
        <f t="shared" si="84"/>
        <v>-1.5598351134048665</v>
      </c>
      <c r="V240" s="383">
        <f t="shared" si="85"/>
        <v>51.091782395062914</v>
      </c>
      <c r="W240" s="402">
        <f t="shared" si="86"/>
        <v>32.299742043862203</v>
      </c>
      <c r="X240" s="157">
        <f t="shared" si="87"/>
        <v>45883</v>
      </c>
      <c r="Y240" s="385">
        <f t="shared" si="88"/>
        <v>30.745337866691006</v>
      </c>
      <c r="Z240" s="385">
        <f t="shared" si="89"/>
        <v>32.564128585015496</v>
      </c>
      <c r="AA240" s="386">
        <f t="shared" si="90"/>
        <v>35.774238473926545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8.9732445073587908E-2</v>
      </c>
      <c r="AD240" s="231">
        <f>(INDEX(Models!$BJ240:$BT240,,AH240)*(1-AF240)+INDEX(Models!$BJ240:$BT240,,AH240+1)*AF240-ERP_i)*AE240*Ramure*Pc/MaxiM</f>
        <v>1.4834399321217873E-4</v>
      </c>
      <c r="AE240" s="305">
        <f t="shared" si="92"/>
        <v>0.5</v>
      </c>
      <c r="AF240" s="177">
        <f t="shared" si="93"/>
        <v>0.96515245296911223</v>
      </c>
      <c r="AG240" s="811">
        <f t="shared" si="99"/>
        <v>1</v>
      </c>
      <c r="AH240" s="176">
        <f t="shared" si="94"/>
        <v>7</v>
      </c>
      <c r="AI240" s="225">
        <f t="shared" si="95"/>
        <v>1.9651524529691122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'2024'!Wh/'2024'!Env_an*'2025'!Env_an</f>
        <v>37.035496874687404</v>
      </c>
      <c r="C241" s="841"/>
      <c r="D241" s="393">
        <f t="shared" si="77"/>
        <v>39.227251408604246</v>
      </c>
      <c r="E241" s="385">
        <f t="shared" si="100"/>
        <v>41.025676967694011</v>
      </c>
      <c r="F241" s="385">
        <f t="shared" si="78"/>
        <v>41.02596868726426</v>
      </c>
      <c r="G241" s="110">
        <f t="shared" si="101"/>
        <v>0.72703813839309406</v>
      </c>
      <c r="H241" s="414" t="b">
        <f>Wh_hp&gt;='2024'!Maxi_hp</f>
        <v>0</v>
      </c>
      <c r="I241" s="390">
        <f>IF(H241,Wh_hp,'2024'!Maxi_hp)</f>
        <v>56.300151621417385</v>
      </c>
      <c r="J241" s="85">
        <f>IF(H241,An,'2024'!An_max)</f>
        <v>2018</v>
      </c>
      <c r="K241" s="197">
        <f t="shared" si="79"/>
        <v>45884</v>
      </c>
      <c r="L241" s="147">
        <f>IF(t&lt;Tvie,1-EXP((T0-t)*PertePVj)+'2024'!Pspv,1-EXP((T0-t)*PertePVj)+Pspv)</f>
        <v>5.5873262979523886E-2</v>
      </c>
      <c r="M241" s="845"/>
      <c r="N241" s="845"/>
      <c r="O241" s="48">
        <f>IF(t&lt;Tnet,'2024'!Resal+('2024'!Salim-'2024'!Resal)*(1-EXP(('2024'!Tnet-t)/('2024'!Tau_j))),Resal+(Salim-Resal)*(1-EXP((Tnet-t)/(Tau_j))))*Salcycl</f>
        <v>4.3836584598127358E-2</v>
      </c>
      <c r="P241" s="169">
        <f>(INDEX(Models!$BJ241:$BT241,,T241)*(1-R241)+INDEX(Models!$BJ241:$BT241,,T241+1)*R241-ERP_i)*Q241*Ramure*Pc/MaxiM</f>
        <v>1.1655602746795813E-5</v>
      </c>
      <c r="Q241" s="305">
        <f t="shared" si="80"/>
        <v>0.5</v>
      </c>
      <c r="R241" s="177">
        <f t="shared" si="81"/>
        <v>0.44138827111817358</v>
      </c>
      <c r="S241" s="811">
        <f t="shared" si="82"/>
        <v>-2</v>
      </c>
      <c r="T241" s="176">
        <f t="shared" si="83"/>
        <v>4</v>
      </c>
      <c r="U241" s="251">
        <f t="shared" si="84"/>
        <v>-1.5586117288818264</v>
      </c>
      <c r="V241" s="383">
        <f t="shared" si="85"/>
        <v>50.94000794676014</v>
      </c>
      <c r="W241" s="402">
        <f t="shared" si="86"/>
        <v>37.035496874687404</v>
      </c>
      <c r="X241" s="157">
        <f t="shared" si="87"/>
        <v>45884</v>
      </c>
      <c r="Y241" s="385">
        <f t="shared" si="88"/>
        <v>35.254368562073324</v>
      </c>
      <c r="Z241" s="385">
        <f t="shared" si="89"/>
        <v>37.34071621923438</v>
      </c>
      <c r="AA241" s="386">
        <f t="shared" si="90"/>
        <v>41.022569523618749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8.9751893826751736E-2</v>
      </c>
      <c r="AD241" s="231">
        <f>(INDEX(Models!$BJ241:$BT241,,AH241)*(1-AF241)+INDEX(Models!$BJ241:$BT241,,AH241+1)*AF241-ERP_i)*AE241*Ramure*Pc/MaxiM</f>
        <v>1.3581296959213119E-4</v>
      </c>
      <c r="AE241" s="305">
        <f t="shared" si="92"/>
        <v>0.5</v>
      </c>
      <c r="AF241" s="177">
        <f t="shared" si="93"/>
        <v>0.9663758374921525</v>
      </c>
      <c r="AG241" s="811">
        <f t="shared" si="99"/>
        <v>1</v>
      </c>
      <c r="AH241" s="176">
        <f t="shared" si="94"/>
        <v>7</v>
      </c>
      <c r="AI241" s="225">
        <f t="shared" si="95"/>
        <v>1.9663758374921525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'2024'!Wh/'2024'!Env_an*'2025'!Env_an</f>
        <v>31.110443321564873</v>
      </c>
      <c r="C242" s="841"/>
      <c r="D242" s="393">
        <f t="shared" si="77"/>
        <v>32.952275912896248</v>
      </c>
      <c r="E242" s="385">
        <f t="shared" si="100"/>
        <v>34.465298019996865</v>
      </c>
      <c r="F242" s="385">
        <f t="shared" si="78"/>
        <v>34.465458354673743</v>
      </c>
      <c r="G242" s="110">
        <f t="shared" si="101"/>
        <v>0.61256970610697126</v>
      </c>
      <c r="H242" s="414" t="b">
        <f>Wh_hp&gt;='2024'!Maxi_hp</f>
        <v>0</v>
      </c>
      <c r="I242" s="390">
        <f>IF(H242,Wh_hp,'2024'!Maxi_hp)</f>
        <v>56.421516120211891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5.589394177810203E-2</v>
      </c>
      <c r="M242" s="845"/>
      <c r="N242" s="845"/>
      <c r="O242" s="48">
        <f>IF(t&lt;Tnet,'2024'!Resal+('2024'!Salim-'2024'!Resal)*(1-EXP(('2024'!Tnet-t)/('2024'!Tau_j))),Resal+(Salim-Resal)*(1-EXP((Tnet-t)/(Tau_j))))*Salcycl</f>
        <v>4.3899870130899785E-2</v>
      </c>
      <c r="P242" s="169">
        <f>(INDEX(Models!$BJ242:$BT242,,T242)*(1-R242)+INDEX(Models!$BJ242:$BT242,,T242+1)*R242-ERP_i)*Q242*Ramure*Pc/MaxiM</f>
        <v>1.0418127071532986E-5</v>
      </c>
      <c r="Q242" s="305">
        <f t="shared" si="80"/>
        <v>0.5</v>
      </c>
      <c r="R242" s="177">
        <f t="shared" si="81"/>
        <v>0.44256842274619235</v>
      </c>
      <c r="S242" s="811">
        <f t="shared" si="82"/>
        <v>-2</v>
      </c>
      <c r="T242" s="176">
        <f t="shared" si="83"/>
        <v>4</v>
      </c>
      <c r="U242" s="251">
        <f t="shared" si="84"/>
        <v>-1.5574315772538077</v>
      </c>
      <c r="V242" s="383">
        <f t="shared" si="85"/>
        <v>50.786487847898876</v>
      </c>
      <c r="W242" s="402">
        <f t="shared" si="86"/>
        <v>31.110443321564873</v>
      </c>
      <c r="X242" s="157">
        <f t="shared" si="87"/>
        <v>45885</v>
      </c>
      <c r="Y242" s="385">
        <f t="shared" si="88"/>
        <v>29.61634290782219</v>
      </c>
      <c r="Z242" s="385">
        <f t="shared" si="89"/>
        <v>31.36972022359517</v>
      </c>
      <c r="AA242" s="386">
        <f t="shared" si="90"/>
        <v>34.463550769451999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8.9771090812823584E-2</v>
      </c>
      <c r="AD242" s="231">
        <f>(INDEX(Models!$BJ242:$BT242,,AH242)*(1-AF242)+INDEX(Models!$BJ242:$BT242,,AH242+1)*AF242-ERP_i)*AE242*Ramure*Pc/MaxiM</f>
        <v>1.2394988799090614E-4</v>
      </c>
      <c r="AE242" s="305">
        <f t="shared" si="92"/>
        <v>0.5</v>
      </c>
      <c r="AF242" s="177">
        <f t="shared" si="93"/>
        <v>0.96755598912017127</v>
      </c>
      <c r="AG242" s="811">
        <f t="shared" si="99"/>
        <v>1</v>
      </c>
      <c r="AH242" s="176">
        <f t="shared" si="94"/>
        <v>7</v>
      </c>
      <c r="AI242" s="225">
        <f t="shared" si="95"/>
        <v>1.9675559891201713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'2024'!Wh/'2024'!Env_an*'2025'!Env_an</f>
        <v>21.385284316678195</v>
      </c>
      <c r="C243" s="841"/>
      <c r="D243" s="393">
        <f t="shared" si="77"/>
        <v>22.651854135779143</v>
      </c>
      <c r="E243" s="385">
        <f t="shared" si="100"/>
        <v>23.693490445788456</v>
      </c>
      <c r="F243" s="385">
        <f t="shared" si="78"/>
        <v>23.693528819940514</v>
      </c>
      <c r="G243" s="110">
        <f t="shared" si="101"/>
        <v>0.42237103193641284</v>
      </c>
      <c r="H243" s="414" t="b">
        <f>Wh_hp&gt;='2024'!Maxi_hp</f>
        <v>0</v>
      </c>
      <c r="I243" s="390">
        <f>IF(H243,Wh_hp,'2024'!Maxi_hp)</f>
        <v>55.293372982977111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5.5914620123761472E-2</v>
      </c>
      <c r="M243" s="845"/>
      <c r="N243" s="845"/>
      <c r="O243" s="48">
        <f>IF(t&lt;Tnet,'2024'!Resal+('2024'!Salim-'2024'!Resal)*(1-EXP(('2024'!Tnet-t)/('2024'!Tau_j))),Resal+(Salim-Resal)*(1-EXP((Tnet-t)/(Tau_j))))*Salcycl</f>
        <v>4.3962974235164445E-2</v>
      </c>
      <c r="P243" s="169">
        <f>(INDEX(Models!$BJ243:$BT243,,T243)*(1-R243)+INDEX(Models!$BJ243:$BT243,,T243+1)*R243-ERP_i)*Q243*Ramure*Pc/MaxiM</f>
        <v>9.2643937023464178E-6</v>
      </c>
      <c r="Q243" s="305">
        <f t="shared" si="80"/>
        <v>0.5</v>
      </c>
      <c r="R243" s="177">
        <f t="shared" si="81"/>
        <v>0.44370664878104504</v>
      </c>
      <c r="S243" s="811">
        <f t="shared" si="82"/>
        <v>-2</v>
      </c>
      <c r="T243" s="176">
        <f t="shared" si="83"/>
        <v>4</v>
      </c>
      <c r="U243" s="251">
        <f t="shared" si="84"/>
        <v>-1.556293351218955</v>
      </c>
      <c r="V243" s="383">
        <f t="shared" si="85"/>
        <v>50.631125748339279</v>
      </c>
      <c r="W243" s="402">
        <f t="shared" si="86"/>
        <v>21.385284316678195</v>
      </c>
      <c r="X243" s="157">
        <f t="shared" si="87"/>
        <v>45886</v>
      </c>
      <c r="Y243" s="385">
        <f t="shared" si="88"/>
        <v>20.359825326844451</v>
      </c>
      <c r="Z243" s="385">
        <f t="shared" si="89"/>
        <v>21.565661073486222</v>
      </c>
      <c r="AA243" s="386">
        <f t="shared" si="90"/>
        <v>23.69306175516175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8.9790028138176436E-2</v>
      </c>
      <c r="AD243" s="231">
        <f>(INDEX(Models!$BJ243:$BT243,,AH243)*(1-AF243)+INDEX(Models!$BJ243:$BT243,,AH243+1)*AF243-ERP_i)*AE243*Ramure*Pc/MaxiM</f>
        <v>1.1276006798139586E-4</v>
      </c>
      <c r="AE243" s="305">
        <f t="shared" si="92"/>
        <v>0.5</v>
      </c>
      <c r="AF243" s="177">
        <f t="shared" si="93"/>
        <v>0.96869421515502396</v>
      </c>
      <c r="AG243" s="811">
        <f t="shared" si="99"/>
        <v>1</v>
      </c>
      <c r="AH243" s="176">
        <f t="shared" si="94"/>
        <v>7</v>
      </c>
      <c r="AI243" s="225">
        <f t="shared" si="95"/>
        <v>1.968694215155024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'2024'!Wh/'2024'!Env_an*'2025'!Env_an</f>
        <v>37.211756879722714</v>
      </c>
      <c r="C244" s="841"/>
      <c r="D244" s="393">
        <f t="shared" si="77"/>
        <v>39.416532364297169</v>
      </c>
      <c r="E244" s="385">
        <f t="shared" si="100"/>
        <v>41.231799111017786</v>
      </c>
      <c r="F244" s="385">
        <f t="shared" si="78"/>
        <v>41.232010202924052</v>
      </c>
      <c r="G244" s="110">
        <f t="shared" si="101"/>
        <v>0.73724632793707445</v>
      </c>
      <c r="H244" s="414" t="b">
        <f>Wh_hp&gt;='2024'!Maxi_hp</f>
        <v>0</v>
      </c>
      <c r="I244" s="390">
        <f>IF(H244,Wh_hp,'2024'!Maxi_hp)</f>
        <v>53.147705265054185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5.5935298016511981E-2</v>
      </c>
      <c r="M244" s="845"/>
      <c r="N244" s="845"/>
      <c r="O244" s="48">
        <f>IF(t&lt;Tnet,'2024'!Resal+('2024'!Salim-'2024'!Resal)*(1-EXP(('2024'!Tnet-t)/('2024'!Tau_j))),Resal+(Salim-Resal)*(1-EXP((Tnet-t)/(Tau_j))))*Salcycl</f>
        <v>4.4025892293299104E-2</v>
      </c>
      <c r="P244" s="169">
        <f>(INDEX(Models!$BJ244:$BT244,,T244)*(1-R244)+INDEX(Models!$BJ244:$BT244,,T244+1)*R244-ERP_i)*Q244*Ramure*Pc/MaxiM</f>
        <v>8.1960894480130096E-6</v>
      </c>
      <c r="Q244" s="305">
        <f t="shared" si="80"/>
        <v>0.5</v>
      </c>
      <c r="R244" s="177">
        <f t="shared" si="81"/>
        <v>0.44480423358585863</v>
      </c>
      <c r="S244" s="811">
        <f t="shared" si="82"/>
        <v>-2</v>
      </c>
      <c r="T244" s="176">
        <f t="shared" si="83"/>
        <v>4</v>
      </c>
      <c r="U244" s="251">
        <f t="shared" si="84"/>
        <v>-1.5551957664141414</v>
      </c>
      <c r="V244" s="383">
        <f t="shared" si="85"/>
        <v>50.473825352430566</v>
      </c>
      <c r="W244" s="402">
        <f t="shared" si="86"/>
        <v>37.211756879722714</v>
      </c>
      <c r="X244" s="157">
        <f t="shared" si="87"/>
        <v>45887</v>
      </c>
      <c r="Y244" s="385">
        <f t="shared" si="88"/>
        <v>35.427557469985132</v>
      </c>
      <c r="Z244" s="385">
        <f t="shared" si="89"/>
        <v>37.526620151724273</v>
      </c>
      <c r="AA244" s="386">
        <f t="shared" si="90"/>
        <v>41.229376762782231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8.9808697142384208E-2</v>
      </c>
      <c r="AD244" s="231">
        <f>(INDEX(Models!$BJ244:$BT244,,AH244)*(1-AF244)+INDEX(Models!$BJ244:$BT244,,AH244+1)*AF244-ERP_i)*AE244*Ramure*Pc/MaxiM</f>
        <v>1.0224887983874387E-4</v>
      </c>
      <c r="AE244" s="305">
        <f t="shared" si="92"/>
        <v>0.5</v>
      </c>
      <c r="AF244" s="177">
        <f t="shared" si="93"/>
        <v>0.96979179995983755</v>
      </c>
      <c r="AG244" s="811">
        <f t="shared" si="99"/>
        <v>1</v>
      </c>
      <c r="AH244" s="176">
        <f t="shared" si="94"/>
        <v>7</v>
      </c>
      <c r="AI244" s="225">
        <f t="shared" si="95"/>
        <v>1.9697917999598376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'2024'!Wh/'2024'!Env_an*'2025'!Env_an</f>
        <v>38.529429951048229</v>
      </c>
      <c r="C245" s="841"/>
      <c r="D245" s="393">
        <f t="shared" si="77"/>
        <v>40.81317073075472</v>
      </c>
      <c r="E245" s="385">
        <f t="shared" si="100"/>
        <v>42.695558977466661</v>
      </c>
      <c r="F245" s="385">
        <f t="shared" si="78"/>
        <v>42.695763946397719</v>
      </c>
      <c r="G245" s="110">
        <f t="shared" si="101"/>
        <v>0.76577019094773768</v>
      </c>
      <c r="H245" s="414" t="b">
        <f>Wh_hp&gt;='2024'!Maxi_hp</f>
        <v>0</v>
      </c>
      <c r="I245" s="390">
        <f>IF(H245,Wh_hp,'2024'!Maxi_hp)</f>
        <v>53.076716411968974</v>
      </c>
      <c r="J245" s="85">
        <f>IF(H245,An,'2024'!An_max)</f>
        <v>2018</v>
      </c>
      <c r="K245" s="197">
        <f t="shared" si="79"/>
        <v>45888</v>
      </c>
      <c r="L245" s="147">
        <f>IF(t&lt;Tvie,1-EXP((T0-t)*PertePVj)+'2024'!Pspv,1-EXP((T0-t)*PertePVj)+Pspv)</f>
        <v>5.595597545636366E-2</v>
      </c>
      <c r="M245" s="845"/>
      <c r="N245" s="845"/>
      <c r="O245" s="48">
        <f>IF(t&lt;Tnet,'2024'!Resal+('2024'!Salim-'2024'!Resal)*(1-EXP(('2024'!Tnet-t)/('2024'!Tau_j))),Resal+(Salim-Resal)*(1-EXP((Tnet-t)/(Tau_j))))*Salcycl</f>
        <v>4.408861932702194E-2</v>
      </c>
      <c r="P245" s="169">
        <f>(INDEX(Models!$BJ245:$BT245,,T245)*(1-R245)+INDEX(Models!$BJ245:$BT245,,T245+1)*R245-ERP_i)*Q245*Ramure*Pc/MaxiM</f>
        <v>7.2148594185109583E-6</v>
      </c>
      <c r="Q245" s="305">
        <f t="shared" si="80"/>
        <v>0.5</v>
      </c>
      <c r="R245" s="177">
        <f t="shared" si="81"/>
        <v>0.44586243763529798</v>
      </c>
      <c r="S245" s="811">
        <f t="shared" si="82"/>
        <v>-2</v>
      </c>
      <c r="T245" s="176">
        <f t="shared" si="83"/>
        <v>4</v>
      </c>
      <c r="U245" s="251">
        <f t="shared" si="84"/>
        <v>-1.554137562364702</v>
      </c>
      <c r="V245" s="383">
        <f t="shared" si="85"/>
        <v>50.314490416724645</v>
      </c>
      <c r="W245" s="402">
        <f t="shared" si="86"/>
        <v>38.529429951048229</v>
      </c>
      <c r="X245" s="157">
        <f t="shared" si="87"/>
        <v>45888</v>
      </c>
      <c r="Y245" s="385">
        <f t="shared" si="88"/>
        <v>36.683792982864276</v>
      </c>
      <c r="Z245" s="385">
        <f t="shared" si="89"/>
        <v>38.858137999017281</v>
      </c>
      <c r="AA245" s="386">
        <f t="shared" si="90"/>
        <v>42.693138311162059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8.9827088470142286E-2</v>
      </c>
      <c r="AD245" s="231">
        <f>(INDEX(Models!$BJ245:$BT245,,AH245)*(1-AF245)+INDEX(Models!$BJ245:$BT245,,AH245+1)*AF245-ERP_i)*AE245*Ramure*Pc/MaxiM</f>
        <v>9.2421758807372976E-5</v>
      </c>
      <c r="AE245" s="305">
        <f t="shared" si="92"/>
        <v>0.5</v>
      </c>
      <c r="AF245" s="177">
        <f t="shared" si="93"/>
        <v>0.9708500040092769</v>
      </c>
      <c r="AG245" s="811">
        <f t="shared" si="99"/>
        <v>1</v>
      </c>
      <c r="AH245" s="176">
        <f t="shared" si="94"/>
        <v>7</v>
      </c>
      <c r="AI245" s="225">
        <f t="shared" si="95"/>
        <v>1.9708500040092769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'2024'!Wh/'2024'!Env_an*'2025'!Env_an</f>
        <v>45.88573065303126</v>
      </c>
      <c r="C246" s="841"/>
      <c r="D246" s="393">
        <f t="shared" si="77"/>
        <v>48.606563356502733</v>
      </c>
      <c r="E246" s="385">
        <f t="shared" si="100"/>
        <v>50.851725519005434</v>
      </c>
      <c r="F246" s="385">
        <f t="shared" si="78"/>
        <v>50.852007942404185</v>
      </c>
      <c r="G246" s="110">
        <f t="shared" si="101"/>
        <v>0.9149138187400786</v>
      </c>
      <c r="H246" s="414" t="b">
        <f>Wh_hp&gt;='2024'!Maxi_hp</f>
        <v>0</v>
      </c>
      <c r="I246" s="390">
        <f>IF(H246,Wh_hp,'2024'!Maxi_hp)</f>
        <v>53.656818151544883</v>
      </c>
      <c r="J246" s="85">
        <f>IF(H246,An,'2024'!An_max)</f>
        <v>2018</v>
      </c>
      <c r="K246" s="197">
        <f t="shared" si="79"/>
        <v>45889</v>
      </c>
      <c r="L246" s="147">
        <f>IF(t&lt;Tvie,1-EXP((T0-t)*PertePVj)+'2024'!Pspv,1-EXP((T0-t)*PertePVj)+Pspv)</f>
        <v>5.597665244332628E-2</v>
      </c>
      <c r="M246" s="845"/>
      <c r="N246" s="845"/>
      <c r="O246" s="48">
        <f>IF(t&lt;Tnet,'2024'!Resal+('2024'!Salim-'2024'!Resal)*(1-EXP(('2024'!Tnet-t)/('2024'!Tau_j))),Resal+(Salim-Resal)*(1-EXP((Tnet-t)/(Tau_j))))*Salcycl</f>
        <v>4.4151150026631628E-2</v>
      </c>
      <c r="P246" s="169">
        <f>(INDEX(Models!$BJ246:$BT246,,T246)*(1-R246)+INDEX(Models!$BJ246:$BT246,,T246+1)*R246-ERP_i)*Q246*Ramure*Pc/MaxiM</f>
        <v>6.3223110606029438E-6</v>
      </c>
      <c r="Q246" s="305">
        <f t="shared" si="80"/>
        <v>0.5</v>
      </c>
      <c r="R246" s="177">
        <f t="shared" si="81"/>
        <v>0.44688249670458324</v>
      </c>
      <c r="S246" s="811">
        <f t="shared" si="82"/>
        <v>-2</v>
      </c>
      <c r="T246" s="176">
        <f t="shared" si="83"/>
        <v>4</v>
      </c>
      <c r="U246" s="251">
        <f t="shared" si="84"/>
        <v>-1.5531175032954168</v>
      </c>
      <c r="V246" s="383">
        <f t="shared" si="85"/>
        <v>50.153024744671185</v>
      </c>
      <c r="W246" s="402">
        <f t="shared" si="86"/>
        <v>45.88573065303126</v>
      </c>
      <c r="X246" s="157">
        <f t="shared" si="87"/>
        <v>45889</v>
      </c>
      <c r="Y246" s="385">
        <f t="shared" si="88"/>
        <v>43.689224365294081</v>
      </c>
      <c r="Z246" s="385">
        <f t="shared" si="89"/>
        <v>46.279813394838982</v>
      </c>
      <c r="AA246" s="386">
        <f t="shared" si="90"/>
        <v>50.848287560434152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8.9845192134847207E-2</v>
      </c>
      <c r="AD246" s="231">
        <f>(INDEX(Models!$BJ246:$BT246,,AH246)*(1-AF246)+INDEX(Models!$BJ246:$BT246,,AH246+1)*AF246-ERP_i)*AE246*Ramure*Pc/MaxiM</f>
        <v>8.3284218597696243E-5</v>
      </c>
      <c r="AE246" s="305">
        <f t="shared" si="92"/>
        <v>0.5</v>
      </c>
      <c r="AF246" s="177">
        <f t="shared" si="93"/>
        <v>0.97187006307856216</v>
      </c>
      <c r="AG246" s="811">
        <f t="shared" si="99"/>
        <v>1</v>
      </c>
      <c r="AH246" s="176">
        <f t="shared" si="94"/>
        <v>7</v>
      </c>
      <c r="AI246" s="225">
        <f t="shared" si="95"/>
        <v>1.9718700630785622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'2024'!Wh/'2024'!Env_an*'2025'!Env_an</f>
        <v>30.933468765736496</v>
      </c>
      <c r="C247" s="841"/>
      <c r="D247" s="393">
        <f t="shared" si="77"/>
        <v>32.768412331109019</v>
      </c>
      <c r="E247" s="385">
        <f t="shared" si="100"/>
        <v>34.28423774918754</v>
      </c>
      <c r="F247" s="385">
        <f t="shared" si="78"/>
        <v>34.284323929722028</v>
      </c>
      <c r="G247" s="110">
        <f t="shared" si="101"/>
        <v>0.61877575901327231</v>
      </c>
      <c r="H247" s="414" t="b">
        <f>Wh_hp&gt;='2024'!Maxi_hp</f>
        <v>0</v>
      </c>
      <c r="I247" s="390">
        <f>IF(H247,Wh_hp,'2024'!Maxi_hp)</f>
        <v>54.498162972904758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5.5997328977409833E-2</v>
      </c>
      <c r="M247" s="845"/>
      <c r="N247" s="845"/>
      <c r="O247" s="48">
        <f>IF(t&lt;Tnet,'2024'!Resal+('2024'!Salim-'2024'!Resal)*(1-EXP(('2024'!Tnet-t)/('2024'!Tau_j))),Resal+(Salim-Resal)*(1-EXP((Tnet-t)/(Tau_j))))*Salcycl</f>
        <v>4.4213478776101531E-2</v>
      </c>
      <c r="P247" s="169">
        <f>(INDEX(Models!$BJ247:$BT247,,T247)*(1-R247)+INDEX(Models!$BJ247:$BT247,,T247+1)*R247-ERP_i)*Q247*Ramure*Pc/MaxiM</f>
        <v>5.5198059562948201E-6</v>
      </c>
      <c r="Q247" s="305">
        <f t="shared" si="80"/>
        <v>0.5</v>
      </c>
      <c r="R247" s="177">
        <f t="shared" si="81"/>
        <v>0.44786562118824746</v>
      </c>
      <c r="S247" s="811">
        <f t="shared" si="82"/>
        <v>-2</v>
      </c>
      <c r="T247" s="176">
        <f t="shared" si="83"/>
        <v>4</v>
      </c>
      <c r="U247" s="251">
        <f t="shared" si="84"/>
        <v>-1.5521343788117525</v>
      </c>
      <c r="V247" s="383">
        <f t="shared" si="85"/>
        <v>49.991253415570675</v>
      </c>
      <c r="W247" s="402">
        <f t="shared" si="86"/>
        <v>30.933468765736496</v>
      </c>
      <c r="X247" s="157">
        <f t="shared" si="87"/>
        <v>45890</v>
      </c>
      <c r="Y247" s="385">
        <f t="shared" si="88"/>
        <v>29.455119068728671</v>
      </c>
      <c r="Z247" s="385">
        <f t="shared" si="89"/>
        <v>31.202368354341026</v>
      </c>
      <c r="AA247" s="386">
        <f t="shared" si="90"/>
        <v>34.283155471258787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8.9862997573269834E-2</v>
      </c>
      <c r="AD247" s="231">
        <f>(INDEX(Models!$BJ247:$BT247,,AH247)*(1-AF247)+INDEX(Models!$BJ247:$BT247,,AH247+1)*AF247-ERP_i)*AE247*Ramure*Pc/MaxiM</f>
        <v>7.4838987984916756E-5</v>
      </c>
      <c r="AE247" s="305">
        <f t="shared" si="92"/>
        <v>0.5</v>
      </c>
      <c r="AF247" s="177">
        <f t="shared" si="93"/>
        <v>0.97285318756222638</v>
      </c>
      <c r="AG247" s="811">
        <f t="shared" si="99"/>
        <v>1</v>
      </c>
      <c r="AH247" s="176">
        <f t="shared" si="94"/>
        <v>7</v>
      </c>
      <c r="AI247" s="225">
        <f t="shared" si="95"/>
        <v>1.9728531875622264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'2024'!Wh/'2024'!Env_an*'2025'!Env_an</f>
        <v>24.100969942690966</v>
      </c>
      <c r="C248" s="841"/>
      <c r="D248" s="393">
        <f t="shared" si="77"/>
        <v>25.531175458688395</v>
      </c>
      <c r="E248" s="385">
        <f t="shared" si="100"/>
        <v>26.713951689392836</v>
      </c>
      <c r="F248" s="385">
        <f t="shared" si="78"/>
        <v>26.713985560547297</v>
      </c>
      <c r="G248" s="110">
        <f t="shared" si="101"/>
        <v>0.48365681594217697</v>
      </c>
      <c r="H248" s="414" t="b">
        <f>Wh_hp&gt;='2024'!Maxi_hp</f>
        <v>0</v>
      </c>
      <c r="I248" s="390">
        <f>IF(H248,Wh_hp,'2024'!Maxi_hp)</f>
        <v>56.835581680919191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5.6018005058624198E-2</v>
      </c>
      <c r="M248" s="845"/>
      <c r="N248" s="845"/>
      <c r="O248" s="48">
        <f>IF(t&lt;Tnet,'2024'!Resal+('2024'!Salim-'2024'!Resal)*(1-EXP(('2024'!Tnet-t)/('2024'!Tau_j))),Resal+(Salim-Resal)*(1-EXP((Tnet-t)/(Tau_j))))*Salcycl</f>
        <v>4.4275599673786886E-2</v>
      </c>
      <c r="P248" s="169">
        <f>(INDEX(Models!$BJ248:$BT248,,T248)*(1-R248)+INDEX(Models!$BJ248:$BT248,,T248+1)*R248-ERP_i)*Q248*Ramure*Pc/MaxiM</f>
        <v>4.8325707939089878E-6</v>
      </c>
      <c r="Q248" s="305">
        <f t="shared" si="80"/>
        <v>0.5</v>
      </c>
      <c r="R248" s="177">
        <f t="shared" si="81"/>
        <v>0.44881299553986587</v>
      </c>
      <c r="S248" s="811">
        <f t="shared" si="82"/>
        <v>-2</v>
      </c>
      <c r="T248" s="176">
        <f t="shared" si="83"/>
        <v>4</v>
      </c>
      <c r="U248" s="251">
        <f t="shared" si="84"/>
        <v>-1.5511870044601341</v>
      </c>
      <c r="V248" s="383">
        <f t="shared" si="85"/>
        <v>49.830547687109949</v>
      </c>
      <c r="W248" s="402">
        <f t="shared" si="86"/>
        <v>24.100969942690966</v>
      </c>
      <c r="X248" s="157">
        <f t="shared" si="87"/>
        <v>45891</v>
      </c>
      <c r="Y248" s="385">
        <f t="shared" si="88"/>
        <v>22.9505526731411</v>
      </c>
      <c r="Z248" s="385">
        <f t="shared" si="89"/>
        <v>24.312489852697244</v>
      </c>
      <c r="AA248" s="386">
        <f t="shared" si="90"/>
        <v>26.713513647558695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8.9880493690910584E-2</v>
      </c>
      <c r="AD248" s="231">
        <f>(INDEX(Models!$BJ248:$BT248,,AH248)*(1-AF248)+INDEX(Models!$BJ248:$BT248,,AH248+1)*AF248-ERP_i)*AE248*Ramure*Pc/MaxiM</f>
        <v>6.7330239027139574E-5</v>
      </c>
      <c r="AE248" s="305">
        <f t="shared" si="92"/>
        <v>0.5</v>
      </c>
      <c r="AF248" s="177">
        <f t="shared" si="93"/>
        <v>0.97380056191384479</v>
      </c>
      <c r="AG248" s="811">
        <f t="shared" si="99"/>
        <v>1</v>
      </c>
      <c r="AH248" s="176">
        <f t="shared" si="94"/>
        <v>7</v>
      </c>
      <c r="AI248" s="225">
        <f t="shared" si="95"/>
        <v>1.9738005619138448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'2024'!Wh/'2024'!Env_an*'2025'!Env_an</f>
        <v>43.110908806461836</v>
      </c>
      <c r="C249" s="841"/>
      <c r="D249" s="393">
        <f t="shared" si="77"/>
        <v>45.670206950679216</v>
      </c>
      <c r="E249" s="385">
        <f t="shared" si="100"/>
        <v>47.789054466016658</v>
      </c>
      <c r="F249" s="385">
        <f t="shared" si="78"/>
        <v>47.789217384845777</v>
      </c>
      <c r="G249" s="110">
        <f t="shared" si="101"/>
        <v>0.86794356501805059</v>
      </c>
      <c r="H249" s="414" t="b">
        <f>Wh_hp&gt;='2024'!Maxi_hp</f>
        <v>0</v>
      </c>
      <c r="I249" s="390">
        <f>IF(H249,Wh_hp,'2024'!Maxi_hp)</f>
        <v>54.138140935976416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5.603868068697937E-2</v>
      </c>
      <c r="M249" s="845"/>
      <c r="N249" s="845"/>
      <c r="O249" s="48">
        <f>IF(t&lt;Tnet,'2024'!Resal+('2024'!Salim-'2024'!Resal)*(1-EXP(('2024'!Tnet-t)/('2024'!Tau_j))),Resal+(Salim-Resal)*(1-EXP((Tnet-t)/(Tau_j))))*Salcycl</f>
        <v>4.433750654857966E-2</v>
      </c>
      <c r="P249" s="169">
        <f>(INDEX(Models!$BJ249:$BT249,,T249)*(1-R249)+INDEX(Models!$BJ249:$BT249,,T249+1)*R249-ERP_i)*Q249*Ramure*Pc/MaxiM</f>
        <v>4.201783705137408E-6</v>
      </c>
      <c r="Q249" s="305">
        <f t="shared" si="80"/>
        <v>0.5</v>
      </c>
      <c r="R249" s="177">
        <f t="shared" si="81"/>
        <v>0.44972577782425205</v>
      </c>
      <c r="S249" s="811">
        <f t="shared" si="82"/>
        <v>-2</v>
      </c>
      <c r="T249" s="176">
        <f t="shared" si="83"/>
        <v>4</v>
      </c>
      <c r="U249" s="251">
        <f t="shared" si="84"/>
        <v>-1.550274222175748</v>
      </c>
      <c r="V249" s="383">
        <f t="shared" si="85"/>
        <v>49.67013567602455</v>
      </c>
      <c r="W249" s="402">
        <f t="shared" si="86"/>
        <v>43.110908806461836</v>
      </c>
      <c r="X249" s="157">
        <f t="shared" si="87"/>
        <v>45892</v>
      </c>
      <c r="Y249" s="385">
        <f t="shared" si="88"/>
        <v>41.053773547016675</v>
      </c>
      <c r="Z249" s="385">
        <f t="shared" si="89"/>
        <v>43.490948947880682</v>
      </c>
      <c r="AA249" s="386">
        <f t="shared" si="90"/>
        <v>47.786877872523561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8.9897668897782126E-2</v>
      </c>
      <c r="AD249" s="231">
        <f>(INDEX(Models!$BJ249:$BT249,,AH249)*(1-AF249)+INDEX(Models!$BJ249:$BT249,,AH249+1)*AF249-ERP_i)*AE249*Ramure*Pc/MaxiM</f>
        <v>6.0337560774892934E-5</v>
      </c>
      <c r="AE249" s="305">
        <f t="shared" si="92"/>
        <v>0.5</v>
      </c>
      <c r="AF249" s="177">
        <f t="shared" si="93"/>
        <v>0.97471334419823119</v>
      </c>
      <c r="AG249" s="811">
        <f t="shared" si="99"/>
        <v>1</v>
      </c>
      <c r="AH249" s="176">
        <f t="shared" si="94"/>
        <v>7</v>
      </c>
      <c r="AI249" s="225">
        <f t="shared" si="95"/>
        <v>1.9747133441982312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'2024'!Wh/'2024'!Env_an*'2025'!Env_an</f>
        <v>44.542025009783103</v>
      </c>
      <c r="C250" s="841"/>
      <c r="D250" s="393">
        <f t="shared" si="77"/>
        <v>47.187315522875338</v>
      </c>
      <c r="E250" s="385">
        <f t="shared" si="100"/>
        <v>49.37973594811362</v>
      </c>
      <c r="F250" s="385">
        <f t="shared" si="78"/>
        <v>49.379889443912752</v>
      </c>
      <c r="G250" s="110">
        <f t="shared" si="101"/>
        <v>0.89967043227939125</v>
      </c>
      <c r="H250" s="414" t="b">
        <f>Wh_hp&gt;='2024'!Maxi_hp</f>
        <v>0</v>
      </c>
      <c r="I250" s="390">
        <f>IF(H250,Wh_hp,'2024'!Maxi_hp)</f>
        <v>54.480093410292213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5.6059355862485116E-2</v>
      </c>
      <c r="M250" s="845"/>
      <c r="N250" s="845"/>
      <c r="O250" s="48">
        <f>IF(t&lt;Tnet,'2024'!Resal+('2024'!Salim-'2024'!Resal)*(1-EXP(('2024'!Tnet-t)/('2024'!Tau_j))),Resal+(Salim-Resal)*(1-EXP((Tnet-t)/(Tau_j))))*Salcycl</f>
        <v>4.4399192971424514E-2</v>
      </c>
      <c r="P250" s="169">
        <f>(INDEX(Models!$BJ250:$BT250,,T250)*(1-R250)+INDEX(Models!$BJ250:$BT250,,T250+1)*R250-ERP_i)*Q250*Ramure*Pc/MaxiM</f>
        <v>3.6285360844050627E-6</v>
      </c>
      <c r="Q250" s="305">
        <f t="shared" si="80"/>
        <v>0.5</v>
      </c>
      <c r="R250" s="177">
        <f t="shared" si="81"/>
        <v>0.45060509937391635</v>
      </c>
      <c r="S250" s="811">
        <f t="shared" si="82"/>
        <v>-2</v>
      </c>
      <c r="T250" s="176">
        <f t="shared" si="83"/>
        <v>4</v>
      </c>
      <c r="U250" s="251">
        <f t="shared" si="84"/>
        <v>-1.5493949006260836</v>
      </c>
      <c r="V250" s="383">
        <f t="shared" si="85"/>
        <v>49.509242770119911</v>
      </c>
      <c r="W250" s="402">
        <f t="shared" si="86"/>
        <v>44.542025009783103</v>
      </c>
      <c r="X250" s="157">
        <f t="shared" si="87"/>
        <v>45893</v>
      </c>
      <c r="Y250" s="385">
        <f t="shared" si="88"/>
        <v>42.418660251367058</v>
      </c>
      <c r="Z250" s="385">
        <f t="shared" si="89"/>
        <v>44.937847008511092</v>
      </c>
      <c r="AA250" s="386">
        <f t="shared" si="90"/>
        <v>49.377610739109016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8.9914511134526323E-2</v>
      </c>
      <c r="AD250" s="231">
        <f>(INDEX(Models!$BJ250:$BT250,,AH250)*(1-AF250)+INDEX(Models!$BJ250:$BT250,,AH250+1)*AF250-ERP_i)*AE250*Ramure*Pc/MaxiM</f>
        <v>5.3867028628883075E-5</v>
      </c>
      <c r="AE250" s="305">
        <f t="shared" si="92"/>
        <v>0.5</v>
      </c>
      <c r="AF250" s="177">
        <f t="shared" si="93"/>
        <v>0.97559266574789527</v>
      </c>
      <c r="AG250" s="811">
        <f t="shared" si="99"/>
        <v>1</v>
      </c>
      <c r="AH250" s="176">
        <f t="shared" si="94"/>
        <v>7</v>
      </c>
      <c r="AI250" s="225">
        <f t="shared" si="95"/>
        <v>1.9755926657478953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'2024'!Wh/'2024'!Env_an*'2025'!Env_an</f>
        <v>31.783029723218124</v>
      </c>
      <c r="C251" s="841"/>
      <c r="D251" s="393">
        <f t="shared" si="77"/>
        <v>33.671318282333772</v>
      </c>
      <c r="E251" s="385">
        <f t="shared" si="100"/>
        <v>35.238023805140855</v>
      </c>
      <c r="F251" s="385">
        <f t="shared" si="78"/>
        <v>35.238077738916438</v>
      </c>
      <c r="G251" s="110">
        <f t="shared" si="101"/>
        <v>0.64406992214961023</v>
      </c>
      <c r="H251" s="414" t="b">
        <f>Wh_hp&gt;='2024'!Maxi_hp</f>
        <v>0</v>
      </c>
      <c r="I251" s="390">
        <f>IF(H251,Wh_hp,'2024'!Maxi_hp)</f>
        <v>50.04617729749566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5.6080030585151541E-2</v>
      </c>
      <c r="M251" s="845"/>
      <c r="N251" s="845"/>
      <c r="O251" s="48">
        <f>IF(t&lt;Tnet,'2024'!Resal+('2024'!Salim-'2024'!Resal)*(1-EXP(('2024'!Tnet-t)/('2024'!Tau_j))),Resal+(Salim-Resal)*(1-EXP((Tnet-t)/(Tau_j))))*Salcycl</f>
        <v>4.4460652262188483E-2</v>
      </c>
      <c r="P251" s="169">
        <f>(INDEX(Models!$BJ251:$BT251,,T251)*(1-R251)+INDEX(Models!$BJ251:$BT251,,T251+1)*R251-ERP_i)*Q251*Ramure*Pc/MaxiM</f>
        <v>3.1138569554214575E-6</v>
      </c>
      <c r="Q251" s="305">
        <f t="shared" si="80"/>
        <v>0.5</v>
      </c>
      <c r="R251" s="177">
        <f t="shared" si="81"/>
        <v>0.45145206454188092</v>
      </c>
      <c r="S251" s="811">
        <f t="shared" si="82"/>
        <v>-2</v>
      </c>
      <c r="T251" s="176">
        <f t="shared" si="83"/>
        <v>4</v>
      </c>
      <c r="U251" s="251">
        <f t="shared" si="84"/>
        <v>-1.5485479354581191</v>
      </c>
      <c r="V251" s="383">
        <f t="shared" si="85"/>
        <v>49.347094636704128</v>
      </c>
      <c r="W251" s="402">
        <f t="shared" si="86"/>
        <v>31.783029723218124</v>
      </c>
      <c r="X251" s="157">
        <f t="shared" si="87"/>
        <v>45894</v>
      </c>
      <c r="Y251" s="385">
        <f t="shared" si="88"/>
        <v>30.269933735981272</v>
      </c>
      <c r="Z251" s="385">
        <f t="shared" si="89"/>
        <v>32.06832646495031</v>
      </c>
      <c r="AA251" s="386">
        <f t="shared" si="90"/>
        <v>35.237247662468029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8.9931007888933434E-2</v>
      </c>
      <c r="AD251" s="231">
        <f>(INDEX(Models!$BJ251:$BT251,,AH251)*(1-AF251)+INDEX(Models!$BJ251:$BT251,,AH251+1)*AF251-ERP_i)*AE251*Ramure*Pc/MaxiM</f>
        <v>4.7924316340486572E-5</v>
      </c>
      <c r="AE251" s="305">
        <f t="shared" si="92"/>
        <v>0.5</v>
      </c>
      <c r="AF251" s="177">
        <f t="shared" si="93"/>
        <v>0.97643963091586006</v>
      </c>
      <c r="AG251" s="811">
        <f t="shared" si="99"/>
        <v>1</v>
      </c>
      <c r="AH251" s="176">
        <f t="shared" si="94"/>
        <v>7</v>
      </c>
      <c r="AI251" s="225">
        <f t="shared" si="95"/>
        <v>1.9764396309158601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'2024'!Wh/'2024'!Env_an*'2025'!Env_an</f>
        <v>39.928811337583845</v>
      </c>
      <c r="C252" s="841"/>
      <c r="D252" s="393">
        <f t="shared" si="77"/>
        <v>42.301982365025047</v>
      </c>
      <c r="E252" s="385">
        <f t="shared" si="100"/>
        <v>44.27310408111304</v>
      </c>
      <c r="F252" s="385">
        <f t="shared" si="78"/>
        <v>44.273190151176529</v>
      </c>
      <c r="G252" s="110">
        <f t="shared" si="101"/>
        <v>0.81184250671608327</v>
      </c>
      <c r="H252" s="414" t="b">
        <f>Wh_hp&gt;='2024'!Maxi_hp</f>
        <v>0</v>
      </c>
      <c r="I252" s="390">
        <f>IF(H252,Wh_hp,'2024'!Maxi_hp)</f>
        <v>54.589001673677714</v>
      </c>
      <c r="J252" s="85">
        <f>IF(H252,An,'2024'!An_max)</f>
        <v>2018</v>
      </c>
      <c r="K252" s="197">
        <f t="shared" si="79"/>
        <v>45895</v>
      </c>
      <c r="L252" s="147">
        <f>IF(t&lt;Tvie,1-EXP((T0-t)*PertePVj)+'2024'!Pspv,1-EXP((T0-t)*PertePVj)+Pspv)</f>
        <v>5.6100704854988526E-2</v>
      </c>
      <c r="M252" s="845"/>
      <c r="N252" s="845"/>
      <c r="O252" s="48">
        <f>IF(t&lt;Tnet,'2024'!Resal+('2024'!Salim-'2024'!Resal)*(1-EXP(('2024'!Tnet-t)/('2024'!Tau_j))),Resal+(Salim-Resal)*(1-EXP((Tnet-t)/(Tau_j))))*Salcycl</f>
        <v>4.452187749195733E-2</v>
      </c>
      <c r="P252" s="169">
        <f>(INDEX(Models!$BJ252:$BT252,,T252)*(1-R252)+INDEX(Models!$BJ252:$BT252,,T252+1)*R252-ERP_i)*Q252*Ramure*Pc/MaxiM</f>
        <v>2.6587194011892301E-6</v>
      </c>
      <c r="Q252" s="305">
        <f t="shared" si="80"/>
        <v>0.5</v>
      </c>
      <c r="R252" s="177">
        <f t="shared" si="81"/>
        <v>0.45226775054328461</v>
      </c>
      <c r="S252" s="811">
        <f t="shared" si="82"/>
        <v>-2</v>
      </c>
      <c r="T252" s="176">
        <f t="shared" si="83"/>
        <v>4</v>
      </c>
      <c r="U252" s="251">
        <f t="shared" si="84"/>
        <v>-1.5477322494567154</v>
      </c>
      <c r="V252" s="383">
        <f t="shared" si="85"/>
        <v>49.182917218555218</v>
      </c>
      <c r="W252" s="402">
        <f t="shared" si="86"/>
        <v>39.928811337583845</v>
      </c>
      <c r="X252" s="157">
        <f t="shared" si="87"/>
        <v>45895</v>
      </c>
      <c r="Y252" s="385">
        <f t="shared" si="88"/>
        <v>38.029410484508119</v>
      </c>
      <c r="Z252" s="385">
        <f t="shared" si="89"/>
        <v>40.289690521133032</v>
      </c>
      <c r="AA252" s="386">
        <f t="shared" si="90"/>
        <v>44.271813832610945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8.9947146203091577E-2</v>
      </c>
      <c r="AD252" s="231">
        <f>(INDEX(Models!$BJ252:$BT252,,AH252)*(1-AF252)+INDEX(Models!$BJ252:$BT252,,AH252+1)*AF252-ERP_i)*AE252*Ramure*Pc/MaxiM</f>
        <v>4.2514722591566389E-5</v>
      </c>
      <c r="AE252" s="305">
        <f t="shared" si="92"/>
        <v>0.5</v>
      </c>
      <c r="AF252" s="177">
        <f t="shared" si="93"/>
        <v>0.97725531691726353</v>
      </c>
      <c r="AG252" s="811">
        <f t="shared" si="99"/>
        <v>1</v>
      </c>
      <c r="AH252" s="176">
        <f t="shared" si="94"/>
        <v>7</v>
      </c>
      <c r="AI252" s="225">
        <f t="shared" si="95"/>
        <v>1.9772553169172635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'2024'!Wh/'2024'!Env_an*'2025'!Env_an</f>
        <v>47.044315797725062</v>
      </c>
      <c r="C253" s="841"/>
      <c r="D253" s="393">
        <f t="shared" si="77"/>
        <v>49.841488868066378</v>
      </c>
      <c r="E253" s="385">
        <f t="shared" si="100"/>
        <v>52.167254342246153</v>
      </c>
      <c r="F253" s="385">
        <f t="shared" si="78"/>
        <v>52.167365665024306</v>
      </c>
      <c r="G253" s="110">
        <f t="shared" si="101"/>
        <v>0.95977579565445315</v>
      </c>
      <c r="H253" s="414" t="b">
        <f>Wh_hp&gt;='2024'!Maxi_hp</f>
        <v>1</v>
      </c>
      <c r="I253" s="390">
        <f>IF(H253,Wh_hp,'2024'!Maxi_hp)</f>
        <v>52.167365665024306</v>
      </c>
      <c r="J253" s="85">
        <f>IF(H253,An,'2024'!An_max)</f>
        <v>2025</v>
      </c>
      <c r="K253" s="197">
        <f t="shared" si="79"/>
        <v>45896</v>
      </c>
      <c r="L253" s="147">
        <f>IF(t&lt;Tvie,1-EXP((T0-t)*PertePVj)+'2024'!Pspv,1-EXP((T0-t)*PertePVj)+Pspv)</f>
        <v>5.6121378672005839E-2</v>
      </c>
      <c r="M253" s="845"/>
      <c r="N253" s="845"/>
      <c r="O253" s="48">
        <f>IF(t&lt;Tnet,'2024'!Resal+('2024'!Salim-'2024'!Resal)*(1-EXP(('2024'!Tnet-t)/('2024'!Tau_j))),Resal+(Salim-Resal)*(1-EXP((Tnet-t)/(Tau_j))))*Salcycl</f>
        <v>4.4582861480910292E-2</v>
      </c>
      <c r="P253" s="169">
        <f>(INDEX(Models!$BJ253:$BT253,,T253)*(1-R253)+INDEX(Models!$BJ253:$BT253,,T253+1)*R253-ERP_i)*Q253*Ramure*Pc/MaxiM</f>
        <v>2.2640536210445767E-6</v>
      </c>
      <c r="Q253" s="305">
        <f t="shared" si="80"/>
        <v>0.5</v>
      </c>
      <c r="R253" s="177">
        <f t="shared" si="81"/>
        <v>0.45305320737853183</v>
      </c>
      <c r="S253" s="811">
        <f t="shared" si="82"/>
        <v>-2</v>
      </c>
      <c r="T253" s="176">
        <f t="shared" si="83"/>
        <v>4</v>
      </c>
      <c r="U253" s="251">
        <f t="shared" si="84"/>
        <v>-1.5469467926214682</v>
      </c>
      <c r="V253" s="383">
        <f t="shared" si="85"/>
        <v>49.015936732602547</v>
      </c>
      <c r="W253" s="402">
        <f t="shared" si="86"/>
        <v>47.044315797725062</v>
      </c>
      <c r="X253" s="157">
        <f t="shared" si="87"/>
        <v>45896</v>
      </c>
      <c r="Y253" s="385">
        <f t="shared" si="88"/>
        <v>44.808327978613171</v>
      </c>
      <c r="Z253" s="385">
        <f t="shared" si="89"/>
        <v>47.472553108120934</v>
      </c>
      <c r="AA253" s="386">
        <f t="shared" si="90"/>
        <v>52.16551475663902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8.9962912671552167E-2</v>
      </c>
      <c r="AD253" s="231">
        <f>(INDEX(Models!$BJ253:$BT253,,AH253)*(1-AF253)+INDEX(Models!$BJ253:$BT253,,AH253+1)*AF253-ERP_i)*AE253*Ramure*Pc/MaxiM</f>
        <v>3.7643291889847564E-5</v>
      </c>
      <c r="AE253" s="305">
        <f t="shared" si="92"/>
        <v>0.5</v>
      </c>
      <c r="AF253" s="177">
        <f t="shared" si="93"/>
        <v>0.97804077375251075</v>
      </c>
      <c r="AG253" s="811">
        <f t="shared" si="99"/>
        <v>1</v>
      </c>
      <c r="AH253" s="176">
        <f t="shared" si="94"/>
        <v>7</v>
      </c>
      <c r="AI253" s="225">
        <f t="shared" si="95"/>
        <v>1.9780407737525108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'2024'!Wh/'2024'!Env_an*'2025'!Env_an</f>
        <v>46.169567466355666</v>
      </c>
      <c r="C254" s="841"/>
      <c r="D254" s="393">
        <f t="shared" si="77"/>
        <v>48.915800906226075</v>
      </c>
      <c r="E254" s="385">
        <f t="shared" si="100"/>
        <v>51.201625636224797</v>
      </c>
      <c r="F254" s="385">
        <f t="shared" si="78"/>
        <v>51.20171712256608</v>
      </c>
      <c r="G254" s="110">
        <f t="shared" si="101"/>
        <v>0.94521858839724504</v>
      </c>
      <c r="H254" s="414" t="b">
        <f>Wh_hp&gt;='2024'!Maxi_hp</f>
        <v>0</v>
      </c>
      <c r="I254" s="390">
        <f>IF(H254,Wh_hp,'2024'!Maxi_hp)</f>
        <v>54.458266820267049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5.6142052036213586E-2</v>
      </c>
      <c r="M254" s="845"/>
      <c r="N254" s="845"/>
      <c r="O254" s="48">
        <f>IF(t&lt;Tnet,'2024'!Resal+('2024'!Salim-'2024'!Resal)*(1-EXP(('2024'!Tnet-t)/('2024'!Tau_j))),Resal+(Salim-Resal)*(1-EXP((Tnet-t)/(Tau_j))))*Salcycl</f>
        <v>4.4643596792003394E-2</v>
      </c>
      <c r="P254" s="169">
        <f>(INDEX(Models!$BJ254:$BT254,,T254)*(1-R254)+INDEX(Models!$BJ254:$BT254,,T254+1)*R254-ERP_i)*Q254*Ramure*Pc/MaxiM</f>
        <v>1.9384866148318712E-6</v>
      </c>
      <c r="Q254" s="305">
        <f t="shared" si="80"/>
        <v>0.5</v>
      </c>
      <c r="R254" s="177">
        <f t="shared" si="81"/>
        <v>0.45380945783109183</v>
      </c>
      <c r="S254" s="811">
        <f t="shared" si="82"/>
        <v>-2</v>
      </c>
      <c r="T254" s="176">
        <f t="shared" si="83"/>
        <v>4</v>
      </c>
      <c r="U254" s="251">
        <f t="shared" si="84"/>
        <v>-1.5461905421689082</v>
      </c>
      <c r="V254" s="383">
        <f t="shared" si="85"/>
        <v>48.845379290017163</v>
      </c>
      <c r="W254" s="402">
        <f t="shared" si="86"/>
        <v>46.169567466355666</v>
      </c>
      <c r="X254" s="157">
        <f t="shared" si="87"/>
        <v>45897</v>
      </c>
      <c r="Y254" s="385">
        <f t="shared" si="88"/>
        <v>43.977390461248852</v>
      </c>
      <c r="Z254" s="385">
        <f t="shared" si="89"/>
        <v>46.593230004708467</v>
      </c>
      <c r="AA254" s="386">
        <f t="shared" si="90"/>
        <v>51.200130357745721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8.9978293431050058E-2</v>
      </c>
      <c r="AD254" s="231">
        <f>(INDEX(Models!$BJ254:$BT254,,AH254)*(1-AF254)+INDEX(Models!$BJ254:$BT254,,AH254+1)*AF254-ERP_i)*AE254*Ramure*Pc/MaxiM</f>
        <v>3.3621656763127398E-5</v>
      </c>
      <c r="AE254" s="305">
        <f t="shared" si="92"/>
        <v>0.5</v>
      </c>
      <c r="AF254" s="177">
        <f t="shared" si="93"/>
        <v>0.97879702420507053</v>
      </c>
      <c r="AG254" s="811">
        <f t="shared" si="99"/>
        <v>1</v>
      </c>
      <c r="AH254" s="176">
        <f t="shared" si="94"/>
        <v>7</v>
      </c>
      <c r="AI254" s="225">
        <f t="shared" si="95"/>
        <v>1.9787970242050705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'2024'!Wh/'2024'!Env_an*'2025'!Env_an</f>
        <v>31.128646079854988</v>
      </c>
      <c r="C255" s="841"/>
      <c r="D255" s="393">
        <f t="shared" si="77"/>
        <v>32.980945871339415</v>
      </c>
      <c r="E255" s="385">
        <f t="shared" si="100"/>
        <v>34.52432385935635</v>
      </c>
      <c r="F255" s="385">
        <f t="shared" si="78"/>
        <v>34.524351364652198</v>
      </c>
      <c r="G255" s="110">
        <f t="shared" si="101"/>
        <v>0.63957914184853004</v>
      </c>
      <c r="H255" s="414" t="b">
        <f>Wh_hp&gt;='2024'!Maxi_hp</f>
        <v>0</v>
      </c>
      <c r="I255" s="390">
        <f>IF(H255,Wh_hp,'2024'!Maxi_hp)</f>
        <v>53.843045701686705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5.6162724947621534E-2</v>
      </c>
      <c r="M255" s="845"/>
      <c r="N255" s="845"/>
      <c r="O255" s="48">
        <f>IF(t&lt;Tnet,'2024'!Resal+('2024'!Salim-'2024'!Resal)*(1-EXP(('2024'!Tnet-t)/('2024'!Tau_j))),Resal+(Salim-Resal)*(1-EXP((Tnet-t)/(Tau_j))))*Salcycl</f>
        <v>4.4704075720766519E-2</v>
      </c>
      <c r="P255" s="169">
        <f>(INDEX(Models!$BJ255:$BT255,,T255)*(1-R255)+INDEX(Models!$BJ255:$BT255,,T255+1)*R255-ERP_i)*Q255*Ramure*Pc/MaxiM</f>
        <v>1.6422797373244049E-6</v>
      </c>
      <c r="Q255" s="305">
        <f t="shared" si="80"/>
        <v>0.5</v>
      </c>
      <c r="R255" s="177">
        <f t="shared" si="81"/>
        <v>0.45453749753338624</v>
      </c>
      <c r="S255" s="811">
        <f t="shared" si="82"/>
        <v>-2</v>
      </c>
      <c r="T255" s="176">
        <f t="shared" si="83"/>
        <v>4</v>
      </c>
      <c r="U255" s="251">
        <f t="shared" si="84"/>
        <v>-1.5454625024666138</v>
      </c>
      <c r="V255" s="383">
        <f t="shared" si="85"/>
        <v>48.670473630336026</v>
      </c>
      <c r="W255" s="402">
        <f t="shared" si="86"/>
        <v>31.128646079854988</v>
      </c>
      <c r="X255" s="157">
        <f t="shared" si="87"/>
        <v>45898</v>
      </c>
      <c r="Y255" s="385">
        <f t="shared" si="88"/>
        <v>29.652472193233457</v>
      </c>
      <c r="Z255" s="385">
        <f t="shared" si="89"/>
        <v>31.416932745729806</v>
      </c>
      <c r="AA255" s="386">
        <f t="shared" si="90"/>
        <v>34.523846750829584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8.9993274142462679E-2</v>
      </c>
      <c r="AD255" s="231">
        <f>(INDEX(Models!$BJ255:$BT255,,AH255)*(1-AF255)+INDEX(Models!$BJ255:$BT255,,AH255+1)*AF255-ERP_i)*AE255*Ramure*Pc/MaxiM</f>
        <v>3.0129363474939964E-5</v>
      </c>
      <c r="AE255" s="305">
        <f t="shared" si="92"/>
        <v>0.5</v>
      </c>
      <c r="AF255" s="177">
        <f t="shared" si="93"/>
        <v>0.97952506390736538</v>
      </c>
      <c r="AG255" s="811">
        <f t="shared" si="99"/>
        <v>1</v>
      </c>
      <c r="AH255" s="176">
        <f t="shared" si="94"/>
        <v>7</v>
      </c>
      <c r="AI255" s="225">
        <f t="shared" si="95"/>
        <v>1.9795250639073654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'2024'!Wh/'2024'!Env_an*'2025'!Env_an</f>
        <v>45.199468929302526</v>
      </c>
      <c r="C256" s="841"/>
      <c r="D256" s="393">
        <f t="shared" si="77"/>
        <v>47.890097297596895</v>
      </c>
      <c r="E256" s="385">
        <f t="shared" si="100"/>
        <v>50.134324764423091</v>
      </c>
      <c r="F256" s="385">
        <f t="shared" si="78"/>
        <v>50.134387054496322</v>
      </c>
      <c r="G256" s="110">
        <f t="shared" si="101"/>
        <v>0.93213129385842786</v>
      </c>
      <c r="H256" s="414" t="b">
        <f>Wh_hp&gt;='2024'!Maxi_hp</f>
        <v>0</v>
      </c>
      <c r="I256" s="390">
        <f>IF(H256,Wh_hp,'2024'!Maxi_hp)</f>
        <v>52.67575781397985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5.6183397406239677E-2</v>
      </c>
      <c r="M256" s="845"/>
      <c r="N256" s="845"/>
      <c r="O256" s="48">
        <f>IF(t&lt;Tnet,'2024'!Resal+('2024'!Salim-'2024'!Resal)*(1-EXP(('2024'!Tnet-t)/('2024'!Tau_j))),Resal+(Salim-Resal)*(1-EXP((Tnet-t)/(Tau_j))))*Salcycl</f>
        <v>4.4764290281591082E-2</v>
      </c>
      <c r="P256" s="169">
        <f>(INDEX(Models!$BJ256:$BT256,,T256)*(1-R256)+INDEX(Models!$BJ256:$BT256,,T256+1)*R256-ERP_i)*Q256*Ramure*Pc/MaxiM</f>
        <v>1.3758585775645994E-6</v>
      </c>
      <c r="Q256" s="305">
        <f t="shared" si="80"/>
        <v>0.5</v>
      </c>
      <c r="R256" s="177">
        <f t="shared" si="81"/>
        <v>0.45523829509456104</v>
      </c>
      <c r="S256" s="811">
        <f t="shared" si="82"/>
        <v>-2</v>
      </c>
      <c r="T256" s="176">
        <f t="shared" si="83"/>
        <v>4</v>
      </c>
      <c r="U256" s="251">
        <f t="shared" si="84"/>
        <v>-1.544761704905439</v>
      </c>
      <c r="V256" s="383">
        <f t="shared" si="85"/>
        <v>48.490446783248601</v>
      </c>
      <c r="W256" s="402">
        <f t="shared" si="86"/>
        <v>45.199468929302526</v>
      </c>
      <c r="X256" s="157">
        <f t="shared" si="87"/>
        <v>45899</v>
      </c>
      <c r="Y256" s="385">
        <f t="shared" si="88"/>
        <v>43.057649346140813</v>
      </c>
      <c r="Z256" s="385">
        <f t="shared" si="89"/>
        <v>45.6207797445091</v>
      </c>
      <c r="AA256" s="386">
        <f t="shared" si="90"/>
        <v>50.133156908512348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9.0007839965830519E-2</v>
      </c>
      <c r="AD256" s="231">
        <f>(INDEX(Models!$BJ256:$BT256,,AH256)*(1-AF256)+INDEX(Models!$BJ256:$BT256,,AH256+1)*AF256-ERP_i)*AE256*Ramure*Pc/MaxiM</f>
        <v>2.717137443910286E-5</v>
      </c>
      <c r="AE256" s="305">
        <f t="shared" si="92"/>
        <v>0.5</v>
      </c>
      <c r="AF256" s="177">
        <f t="shared" si="93"/>
        <v>0.98022586146853996</v>
      </c>
      <c r="AG256" s="811">
        <f t="shared" si="99"/>
        <v>1</v>
      </c>
      <c r="AH256" s="176">
        <f t="shared" si="94"/>
        <v>7</v>
      </c>
      <c r="AI256" s="225">
        <f t="shared" si="95"/>
        <v>1.98022586146854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'2024'!Wh/'2024'!Env_an*'2025'!Env_an</f>
        <v>21.273045680693208</v>
      </c>
      <c r="C257" s="841"/>
      <c r="D257" s="393">
        <f t="shared" si="77"/>
        <v>22.539878580999513</v>
      </c>
      <c r="E257" s="385">
        <f t="shared" si="100"/>
        <v>23.597623956374871</v>
      </c>
      <c r="F257" s="385">
        <f t="shared" si="78"/>
        <v>23.597629350075632</v>
      </c>
      <c r="G257" s="110">
        <f t="shared" si="101"/>
        <v>0.44039405913651886</v>
      </c>
      <c r="H257" s="414" t="b">
        <f>Wh_hp&gt;='2024'!Maxi_hp</f>
        <v>0</v>
      </c>
      <c r="I257" s="390">
        <f>IF(H257,Wh_hp,'2024'!Maxi_hp)</f>
        <v>52.060228799144411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5.6204069412077895E-2</v>
      </c>
      <c r="M257" s="845"/>
      <c r="N257" s="845"/>
      <c r="O257" s="48">
        <f>IF(t&lt;Tnet,'2024'!Resal+('2024'!Salim-'2024'!Resal)*(1-EXP(('2024'!Tnet-t)/('2024'!Tau_j))),Resal+(Salim-Resal)*(1-EXP((Tnet-t)/(Tau_j))))*Salcycl</f>
        <v>4.482423219095362E-2</v>
      </c>
      <c r="P257" s="169">
        <f>(INDEX(Models!$BJ257:$BT257,,T257)*(1-R257)+INDEX(Models!$BJ257:$BT257,,T257+1)*R257-ERP_i)*Q257*Ramure*Pc/MaxiM</f>
        <v>1.1396370006107684E-6</v>
      </c>
      <c r="Q257" s="305">
        <f t="shared" si="80"/>
        <v>0.5</v>
      </c>
      <c r="R257" s="177">
        <f t="shared" si="81"/>
        <v>0.45591279228426118</v>
      </c>
      <c r="S257" s="811">
        <f t="shared" si="82"/>
        <v>-2</v>
      </c>
      <c r="T257" s="176">
        <f t="shared" si="83"/>
        <v>4</v>
      </c>
      <c r="U257" s="251">
        <f t="shared" si="84"/>
        <v>-1.5440872077157388</v>
      </c>
      <c r="V257" s="383">
        <f t="shared" si="85"/>
        <v>48.30452604474376</v>
      </c>
      <c r="W257" s="402">
        <f t="shared" si="86"/>
        <v>21.273045680693208</v>
      </c>
      <c r="X257" s="157">
        <f t="shared" si="87"/>
        <v>45900</v>
      </c>
      <c r="Y257" s="385">
        <f t="shared" si="88"/>
        <v>20.266335325219206</v>
      </c>
      <c r="Z257" s="385">
        <f t="shared" si="89"/>
        <v>21.473217534000838</v>
      </c>
      <c r="AA257" s="386">
        <f t="shared" si="90"/>
        <v>23.59751219980626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9.0021975529389203E-2</v>
      </c>
      <c r="AD257" s="231">
        <f>(INDEX(Models!$BJ257:$BT257,,AH257)*(1-AF257)+INDEX(Models!$BJ257:$BT257,,AH257+1)*AF257-ERP_i)*AE257*Ramure*Pc/MaxiM</f>
        <v>2.4752723142293201E-5</v>
      </c>
      <c r="AE257" s="305">
        <f t="shared" si="92"/>
        <v>0.5</v>
      </c>
      <c r="AF257" s="177">
        <f t="shared" si="93"/>
        <v>0.9809003586582401</v>
      </c>
      <c r="AG257" s="811">
        <f t="shared" si="99"/>
        <v>1</v>
      </c>
      <c r="AH257" s="176">
        <f t="shared" si="94"/>
        <v>7</v>
      </c>
      <c r="AI257" s="225">
        <f t="shared" si="95"/>
        <v>1.9809003586582401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'2024'!Wh/'2024'!Env_an*'2025'!Env_an</f>
        <v>41.00810364190508</v>
      </c>
      <c r="C258" s="841"/>
      <c r="D258" s="393">
        <f t="shared" si="77"/>
        <v>43.451132300121721</v>
      </c>
      <c r="E258" s="385">
        <f t="shared" si="100"/>
        <v>45.493036893377955</v>
      </c>
      <c r="F258" s="385">
        <f t="shared" si="78"/>
        <v>45.493070422116411</v>
      </c>
      <c r="G258" s="110">
        <f t="shared" si="101"/>
        <v>0.85234759684992634</v>
      </c>
      <c r="H258" s="414" t="b">
        <f>Wh_hp&gt;='2024'!Maxi_hp</f>
        <v>0</v>
      </c>
      <c r="I258" s="390">
        <f>IF(H258,Wh_hp,'2024'!Maxi_hp)</f>
        <v>53.475031417285187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5.622474096514618E-2</v>
      </c>
      <c r="M258" s="845"/>
      <c r="N258" s="845"/>
      <c r="O258" s="48">
        <f>IF(t&lt;Tnet,'2024'!Resal+('2024'!Salim-'2024'!Resal)*(1-EXP(('2024'!Tnet-t)/('2024'!Tau_j))),Resal+(Salim-Resal)*(1-EXP((Tnet-t)/(Tau_j))))*Salcycl</f>
        <v>4.4883892848082363E-2</v>
      </c>
      <c r="P258" s="169">
        <f>(INDEX(Models!$BJ258:$BT258,,T258)*(1-R258)+INDEX(Models!$BJ258:$BT258,,T258+1)*R258-ERP_i)*Q258*Ramure*Pc/MaxiM</f>
        <v>9.3402263924836895E-7</v>
      </c>
      <c r="Q258" s="305">
        <f t="shared" si="80"/>
        <v>0.5</v>
      </c>
      <c r="R258" s="177">
        <f t="shared" si="81"/>
        <v>0.4565619042668827</v>
      </c>
      <c r="S258" s="811">
        <f t="shared" si="82"/>
        <v>-2</v>
      </c>
      <c r="T258" s="176">
        <f t="shared" si="83"/>
        <v>4</v>
      </c>
      <c r="U258" s="251">
        <f t="shared" si="84"/>
        <v>-1.5434380957331173</v>
      </c>
      <c r="V258" s="383">
        <f t="shared" si="85"/>
        <v>48.111938972130567</v>
      </c>
      <c r="W258" s="402">
        <f t="shared" si="86"/>
        <v>41.00810364190508</v>
      </c>
      <c r="X258" s="157">
        <f t="shared" si="87"/>
        <v>45901</v>
      </c>
      <c r="Y258" s="385">
        <f t="shared" si="88"/>
        <v>39.068826638729085</v>
      </c>
      <c r="Z258" s="385">
        <f t="shared" si="89"/>
        <v>41.396324246391657</v>
      </c>
      <c r="AA258" s="386">
        <f t="shared" si="90"/>
        <v>45.492249145737013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9.0035664893679548E-2</v>
      </c>
      <c r="AD258" s="231">
        <f>(INDEX(Models!$BJ258:$BT258,,AH258)*(1-AF258)+INDEX(Models!$BJ258:$BT258,,AH258+1)*AF258-ERP_i)*AE258*Ramure*Pc/MaxiM</f>
        <v>2.2878604050101425E-5</v>
      </c>
      <c r="AE258" s="305">
        <f t="shared" si="92"/>
        <v>0.5</v>
      </c>
      <c r="AF258" s="177">
        <f t="shared" si="93"/>
        <v>0.98154947064086162</v>
      </c>
      <c r="AG258" s="811">
        <f t="shared" si="99"/>
        <v>1</v>
      </c>
      <c r="AH258" s="176">
        <f t="shared" si="94"/>
        <v>7</v>
      </c>
      <c r="AI258" s="225">
        <f t="shared" si="95"/>
        <v>1.9815494706408616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'2024'!Wh/'2024'!Env_an*'2025'!Env_an</f>
        <v>37.615265056518709</v>
      </c>
      <c r="C259" s="841"/>
      <c r="D259" s="393">
        <f t="shared" si="77"/>
        <v>39.857040736449939</v>
      </c>
      <c r="E259" s="385">
        <f t="shared" si="100"/>
        <v>41.732641847788557</v>
      </c>
      <c r="F259" s="385">
        <f t="shared" si="78"/>
        <v>41.732663810491125</v>
      </c>
      <c r="G259" s="110">
        <f t="shared" si="101"/>
        <v>0.78509192450036436</v>
      </c>
      <c r="H259" s="414" t="b">
        <f>Wh_hp&gt;='2024'!Maxi_hp</f>
        <v>0</v>
      </c>
      <c r="I259" s="390">
        <f>IF(H259,Wh_hp,'2024'!Maxi_hp)</f>
        <v>51.427835350869806</v>
      </c>
      <c r="J259" s="85">
        <f>IF(H259,An,'2024'!An_max)</f>
        <v>2019</v>
      </c>
      <c r="K259" s="197">
        <f t="shared" si="79"/>
        <v>45902</v>
      </c>
      <c r="L259" s="147">
        <f>IF(t&lt;Tvie,1-EXP((T0-t)*PertePVj)+'2024'!Pspv,1-EXP((T0-t)*PertePVj)+Pspv)</f>
        <v>5.6245412065454414E-2</v>
      </c>
      <c r="M259" s="845"/>
      <c r="N259" s="845"/>
      <c r="O259" s="48">
        <f>IF(t&lt;Tnet,'2024'!Resal+('2024'!Salim-'2024'!Resal)*(1-EXP(('2024'!Tnet-t)/('2024'!Tau_j))),Resal+(Salim-Resal)*(1-EXP((Tnet-t)/(Tau_j))))*Salcycl</f>
        <v>4.4943263313630993E-2</v>
      </c>
      <c r="P259" s="169">
        <f>(INDEX(Models!$BJ259:$BT259,,T259)*(1-R259)+INDEX(Models!$BJ259:$BT259,,T259+1)*R259-ERP_i)*Q259*Ramure*Pc/MaxiM</f>
        <v>7.5942257778481503E-7</v>
      </c>
      <c r="Q259" s="305">
        <f t="shared" si="80"/>
        <v>0.5</v>
      </c>
      <c r="R259" s="177">
        <f t="shared" si="81"/>
        <v>0.45718651988108938</v>
      </c>
      <c r="S259" s="811">
        <f t="shared" si="82"/>
        <v>-2</v>
      </c>
      <c r="T259" s="176">
        <f t="shared" si="83"/>
        <v>4</v>
      </c>
      <c r="U259" s="251">
        <f t="shared" si="84"/>
        <v>-1.5428134801189106</v>
      </c>
      <c r="V259" s="383">
        <f t="shared" si="85"/>
        <v>47.911913385690319</v>
      </c>
      <c r="W259" s="402">
        <f t="shared" si="86"/>
        <v>37.615265056518709</v>
      </c>
      <c r="X259" s="157">
        <f t="shared" si="87"/>
        <v>45902</v>
      </c>
      <c r="Y259" s="385">
        <f t="shared" si="88"/>
        <v>35.838246638110434</v>
      </c>
      <c r="Z259" s="385">
        <f t="shared" si="89"/>
        <v>37.974116466595667</v>
      </c>
      <c r="AA259" s="386">
        <f t="shared" si="90"/>
        <v>41.732040449613329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9.0048891511904983E-2</v>
      </c>
      <c r="AD259" s="231">
        <f>(INDEX(Models!$BJ259:$BT259,,AH259)*(1-AF259)+INDEX(Models!$BJ259:$BT259,,AH259+1)*AF259-ERP_i)*AE259*Ramure*Pc/MaxiM</f>
        <v>2.1554465952733246E-5</v>
      </c>
      <c r="AE259" s="305">
        <f t="shared" si="92"/>
        <v>0.5</v>
      </c>
      <c r="AF259" s="177">
        <f t="shared" si="93"/>
        <v>0.9821740862550683</v>
      </c>
      <c r="AG259" s="811">
        <f t="shared" si="99"/>
        <v>1</v>
      </c>
      <c r="AH259" s="176">
        <f t="shared" si="94"/>
        <v>7</v>
      </c>
      <c r="AI259" s="225">
        <f t="shared" si="95"/>
        <v>1.9821740862550683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'2024'!Wh/'2024'!Env_an*'2025'!Env_an</f>
        <v>31.407380531924453</v>
      </c>
      <c r="C260" s="841"/>
      <c r="D260" s="393">
        <f t="shared" si="77"/>
        <v>33.279910742440272</v>
      </c>
      <c r="E260" s="385">
        <f t="shared" si="100"/>
        <v>34.848159254496828</v>
      </c>
      <c r="F260" s="385">
        <f t="shared" si="78"/>
        <v>34.848170249314592</v>
      </c>
      <c r="G260" s="110">
        <f t="shared" si="101"/>
        <v>0.65838469536625088</v>
      </c>
      <c r="H260" s="414" t="b">
        <f>Wh_hp&gt;='2024'!Maxi_hp</f>
        <v>0</v>
      </c>
      <c r="I260" s="390">
        <f>IF(H260,Wh_hp,'2024'!Maxi_hp)</f>
        <v>54.150203084511908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5.6266082713012477E-2</v>
      </c>
      <c r="M260" s="845"/>
      <c r="N260" s="845"/>
      <c r="O260" s="48">
        <f>IF(t&lt;Tnet,'2024'!Resal+('2024'!Salim-'2024'!Resal)*(1-EXP(('2024'!Tnet-t)/('2024'!Tau_j))),Resal+(Salim-Resal)*(1-EXP((Tnet-t)/(Tau_j))))*Salcycl</f>
        <v>4.5002334286973568E-2</v>
      </c>
      <c r="P260" s="169">
        <f>(INDEX(Models!$BJ260:$BT260,,T260)*(1-R260)+INDEX(Models!$BJ260:$BT260,,T260+1)*R260-ERP_i)*Q260*Ramure*Pc/MaxiM</f>
        <v>6.1624924561950141E-7</v>
      </c>
      <c r="Q260" s="305">
        <f t="shared" si="80"/>
        <v>0.5</v>
      </c>
      <c r="R260" s="177">
        <f t="shared" si="81"/>
        <v>0.45778750195971485</v>
      </c>
      <c r="S260" s="811">
        <f t="shared" si="82"/>
        <v>-2</v>
      </c>
      <c r="T260" s="176">
        <f t="shared" si="83"/>
        <v>4</v>
      </c>
      <c r="U260" s="251">
        <f t="shared" si="84"/>
        <v>-1.5422124980402852</v>
      </c>
      <c r="V260" s="383">
        <f t="shared" si="85"/>
        <v>47.703677359787783</v>
      </c>
      <c r="W260" s="402">
        <f t="shared" si="86"/>
        <v>31.407380531924453</v>
      </c>
      <c r="X260" s="157">
        <f t="shared" si="87"/>
        <v>45903</v>
      </c>
      <c r="Y260" s="385">
        <f t="shared" si="88"/>
        <v>29.925188611725279</v>
      </c>
      <c r="Z260" s="385">
        <f t="shared" si="89"/>
        <v>31.709349493078662</v>
      </c>
      <c r="AA260" s="386">
        <f t="shared" si="90"/>
        <v>34.847799393716414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9.0061638187795112E-2</v>
      </c>
      <c r="AD260" s="231">
        <f>(INDEX(Models!$BJ260:$BT260,,AH260)*(1-AF260)+INDEX(Models!$BJ260:$BT260,,AH260+1)*AF260-ERP_i)*AE260*Ramure*Pc/MaxiM</f>
        <v>2.0786109193741109E-5</v>
      </c>
      <c r="AE260" s="305">
        <f t="shared" si="92"/>
        <v>0.5</v>
      </c>
      <c r="AF260" s="177">
        <f t="shared" si="93"/>
        <v>0.98277506833369377</v>
      </c>
      <c r="AG260" s="811">
        <f t="shared" si="99"/>
        <v>1</v>
      </c>
      <c r="AH260" s="176">
        <f t="shared" si="94"/>
        <v>7</v>
      </c>
      <c r="AI260" s="225">
        <f t="shared" si="95"/>
        <v>1.9827750683336938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'2024'!Wh/'2024'!Env_an*'2025'!Env_an</f>
        <v>45.553080542807301</v>
      </c>
      <c r="C261" s="841"/>
      <c r="D261" s="393">
        <f t="shared" si="77"/>
        <v>48.270044617015181</v>
      </c>
      <c r="E261" s="385">
        <f t="shared" si="100"/>
        <v>50.547783129379567</v>
      </c>
      <c r="F261" s="385">
        <f t="shared" si="78"/>
        <v>50.547807166448415</v>
      </c>
      <c r="G261" s="110">
        <f t="shared" si="101"/>
        <v>0.95926350533518356</v>
      </c>
      <c r="H261" s="414" t="b">
        <f>Wh_hp&gt;='2024'!Maxi_hp</f>
        <v>0</v>
      </c>
      <c r="I261" s="390">
        <f>IF(H261,Wh_hp,'2024'!Maxi_hp)</f>
        <v>53.283178554064911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5.6286752907830362E-2</v>
      </c>
      <c r="M261" s="845"/>
      <c r="N261" s="845"/>
      <c r="O261" s="48">
        <f>IF(t&lt;Tnet,'2024'!Resal+('2024'!Salim-'2024'!Resal)*(1-EXP(('2024'!Tnet-t)/('2024'!Tau_j))),Resal+(Salim-Resal)*(1-EXP((Tnet-t)/(Tau_j))))*Salcycl</f>
        <v>4.5061096082777731E-2</v>
      </c>
      <c r="P261" s="169">
        <f>(INDEX(Models!$BJ261:$BT261,,T261)*(1-R261)+INDEX(Models!$BJ261:$BT261,,T261+1)*R261-ERP_i)*Q261*Ramure*Pc/MaxiM</f>
        <v>5.0491488443018487E-7</v>
      </c>
      <c r="Q261" s="305">
        <f t="shared" si="80"/>
        <v>0.5</v>
      </c>
      <c r="R261" s="177">
        <f t="shared" si="81"/>
        <v>0.45836568768547892</v>
      </c>
      <c r="S261" s="811">
        <f t="shared" si="82"/>
        <v>-2</v>
      </c>
      <c r="T261" s="176">
        <f t="shared" si="83"/>
        <v>4</v>
      </c>
      <c r="U261" s="251">
        <f t="shared" si="84"/>
        <v>-1.5416343123145211</v>
      </c>
      <c r="V261" s="383">
        <f t="shared" si="85"/>
        <v>47.487555766421849</v>
      </c>
      <c r="W261" s="402">
        <f t="shared" si="86"/>
        <v>45.553080542807301</v>
      </c>
      <c r="X261" s="157">
        <f t="shared" si="87"/>
        <v>45904</v>
      </c>
      <c r="Y261" s="385">
        <f t="shared" si="88"/>
        <v>43.40503217756914</v>
      </c>
      <c r="Z261" s="385">
        <f t="shared" si="89"/>
        <v>45.993878237178016</v>
      </c>
      <c r="AA261" s="386">
        <f t="shared" si="90"/>
        <v>50.546827464013056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9.0073887032307356E-2</v>
      </c>
      <c r="AD261" s="231">
        <f>(INDEX(Models!$BJ261:$BT261,,AH261)*(1-AF261)+INDEX(Models!$BJ261:$BT261,,AH261+1)*AF261-ERP_i)*AE261*Ramure*Pc/MaxiM</f>
        <v>2.0579312106183804E-5</v>
      </c>
      <c r="AE261" s="305">
        <f t="shared" si="92"/>
        <v>0.5</v>
      </c>
      <c r="AF261" s="177">
        <f t="shared" si="93"/>
        <v>0.98335325405945806</v>
      </c>
      <c r="AG261" s="811">
        <f t="shared" si="99"/>
        <v>1</v>
      </c>
      <c r="AH261" s="176">
        <f t="shared" si="94"/>
        <v>7</v>
      </c>
      <c r="AI261" s="225">
        <f t="shared" si="95"/>
        <v>1.9833532540594581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'2024'!Wh/'2024'!Env_an*'2025'!Env_an</f>
        <v>38.510035203004257</v>
      </c>
      <c r="C262" s="841"/>
      <c r="D262" s="393">
        <f t="shared" si="77"/>
        <v>40.807818273978185</v>
      </c>
      <c r="E262" s="385">
        <f t="shared" si="100"/>
        <v>42.736049090867638</v>
      </c>
      <c r="F262" s="385">
        <f t="shared" si="78"/>
        <v>42.736062604615626</v>
      </c>
      <c r="G262" s="110">
        <f t="shared" si="101"/>
        <v>0.81477453375153863</v>
      </c>
      <c r="H262" s="414" t="b">
        <f>Wh_hp&gt;='2024'!Maxi_hp</f>
        <v>0</v>
      </c>
      <c r="I262" s="390">
        <f>IF(H262,Wh_hp,'2024'!Maxi_hp)</f>
        <v>52.787883333438941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5.6307422649917838E-2</v>
      </c>
      <c r="M262" s="845"/>
      <c r="N262" s="845"/>
      <c r="O262" s="48">
        <f>IF(t&lt;Tnet,'2024'!Resal+('2024'!Salim-'2024'!Resal)*(1-EXP(('2024'!Tnet-t)/('2024'!Tau_j))),Resal+(Salim-Resal)*(1-EXP((Tnet-t)/(Tau_j))))*Salcycl</f>
        <v>4.5119538607547562E-2</v>
      </c>
      <c r="P262" s="169">
        <f>(INDEX(Models!$BJ262:$BT262,,T262)*(1-R262)+INDEX(Models!$BJ262:$BT262,,T262+1)*R262-ERP_i)*Q262*Ramure*Pc/MaxiM</f>
        <v>4.2999382297632405E-7</v>
      </c>
      <c r="Q262" s="305">
        <f t="shared" si="80"/>
        <v>0.5</v>
      </c>
      <c r="R262" s="177">
        <f t="shared" si="81"/>
        <v>0.45892188897825092</v>
      </c>
      <c r="S262" s="811">
        <f t="shared" si="82"/>
        <v>-2</v>
      </c>
      <c r="T262" s="176">
        <f t="shared" si="83"/>
        <v>4</v>
      </c>
      <c r="U262" s="251">
        <f t="shared" si="84"/>
        <v>-1.5410781110217491</v>
      </c>
      <c r="V262" s="383">
        <f t="shared" si="85"/>
        <v>47.264647121491102</v>
      </c>
      <c r="W262" s="402">
        <f t="shared" si="86"/>
        <v>38.510035203004257</v>
      </c>
      <c r="X262" s="157">
        <f t="shared" si="87"/>
        <v>45905</v>
      </c>
      <c r="Y262" s="385">
        <f t="shared" si="88"/>
        <v>36.695999391078061</v>
      </c>
      <c r="Z262" s="385">
        <f t="shared" si="89"/>
        <v>38.885544161130902</v>
      </c>
      <c r="AA262" s="386">
        <f t="shared" si="90"/>
        <v>42.735388066257535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9.0085619420555749E-2</v>
      </c>
      <c r="AD262" s="231">
        <f>(INDEX(Models!$BJ262:$BT262,,AH262)*(1-AF262)+INDEX(Models!$BJ262:$BT262,,AH262+1)*AF262-ERP_i)*AE262*Ramure*Pc/MaxiM</f>
        <v>2.1463129807777531E-5</v>
      </c>
      <c r="AE262" s="305">
        <f t="shared" si="92"/>
        <v>0.5</v>
      </c>
      <c r="AF262" s="177">
        <f t="shared" si="93"/>
        <v>0.98390945535222984</v>
      </c>
      <c r="AG262" s="811">
        <f t="shared" si="99"/>
        <v>1</v>
      </c>
      <c r="AH262" s="176">
        <f t="shared" si="94"/>
        <v>7</v>
      </c>
      <c r="AI262" s="225">
        <f t="shared" si="95"/>
        <v>1.9839094553522298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'2024'!Wh/'2024'!Env_an*'2025'!Env_an</f>
        <v>43.674618664393464</v>
      </c>
      <c r="C263" s="841"/>
      <c r="D263" s="393">
        <f t="shared" si="77"/>
        <v>46.281571265744915</v>
      </c>
      <c r="E263" s="385">
        <f t="shared" si="100"/>
        <v>48.471395051177957</v>
      </c>
      <c r="F263" s="385">
        <f t="shared" si="78"/>
        <v>48.471411005871154</v>
      </c>
      <c r="G263" s="110">
        <f t="shared" si="101"/>
        <v>0.92854895003196047</v>
      </c>
      <c r="H263" s="414" t="b">
        <f>Wh_hp&gt;='2024'!Maxi_hp</f>
        <v>0</v>
      </c>
      <c r="I263" s="390">
        <f>IF(H263,Wh_hp,'2024'!Maxi_hp)</f>
        <v>54.673871330579189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5.6328091939285008E-2</v>
      </c>
      <c r="M263" s="845"/>
      <c r="N263" s="845"/>
      <c r="O263" s="48">
        <f>IF(t&lt;Tnet,'2024'!Resal+('2024'!Salim-'2024'!Resal)*(1-EXP(('2024'!Tnet-t)/('2024'!Tau_j))),Resal+(Salim-Resal)*(1-EXP((Tnet-t)/(Tau_j))))*Salcycl</f>
        <v>4.5177651336854301E-2</v>
      </c>
      <c r="P263" s="169">
        <f>(INDEX(Models!$BJ263:$BT263,,T263)*(1-R263)+INDEX(Models!$BJ263:$BT263,,T263+1)*R263-ERP_i)*Q263*Ramure*Pc/MaxiM</f>
        <v>3.6657403985124844E-7</v>
      </c>
      <c r="Q263" s="305">
        <f t="shared" si="80"/>
        <v>0.5</v>
      </c>
      <c r="R263" s="177">
        <f t="shared" si="81"/>
        <v>0.45945689290988256</v>
      </c>
      <c r="S263" s="811">
        <f t="shared" si="82"/>
        <v>-2</v>
      </c>
      <c r="T263" s="176">
        <f t="shared" si="83"/>
        <v>4</v>
      </c>
      <c r="U263" s="251">
        <f t="shared" si="84"/>
        <v>-1.5405431070901174</v>
      </c>
      <c r="V263" s="383">
        <f t="shared" si="85"/>
        <v>47.035341571066084</v>
      </c>
      <c r="W263" s="402">
        <f t="shared" si="86"/>
        <v>43.674618664393464</v>
      </c>
      <c r="X263" s="157">
        <f t="shared" si="87"/>
        <v>45906</v>
      </c>
      <c r="Y263" s="385">
        <f t="shared" si="88"/>
        <v>41.619113644944598</v>
      </c>
      <c r="Z263" s="385">
        <f t="shared" si="89"/>
        <v>44.103372463925105</v>
      </c>
      <c r="AA263" s="386">
        <f t="shared" si="90"/>
        <v>48.47040128779323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9.0096815950395634E-2</v>
      </c>
      <c r="AD263" s="231">
        <f>(INDEX(Models!$BJ263:$BT263,,AH263)*(1-AF263)+INDEX(Models!$BJ263:$BT263,,AH263+1)*AF263-ERP_i)*AE263*Ramure*Pc/MaxiM</f>
        <v>2.319921984250298E-5</v>
      </c>
      <c r="AE263" s="305">
        <f t="shared" si="92"/>
        <v>0.5</v>
      </c>
      <c r="AF263" s="177">
        <f t="shared" si="93"/>
        <v>0.98444445928386148</v>
      </c>
      <c r="AG263" s="811">
        <f t="shared" si="99"/>
        <v>1</v>
      </c>
      <c r="AH263" s="176">
        <f t="shared" si="94"/>
        <v>7</v>
      </c>
      <c r="AI263" s="225">
        <f t="shared" si="95"/>
        <v>1.9844444592838615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'2024'!Wh/'2024'!Env_an*'2025'!Env_an</f>
        <v>33.981413012848954</v>
      </c>
      <c r="C264" s="841"/>
      <c r="D264" s="393">
        <f t="shared" si="77"/>
        <v>36.010563649331985</v>
      </c>
      <c r="E264" s="385">
        <f t="shared" si="100"/>
        <v>37.716694280353828</v>
      </c>
      <c r="F264" s="385">
        <f t="shared" si="78"/>
        <v>37.71670150812038</v>
      </c>
      <c r="G264" s="110">
        <f t="shared" si="101"/>
        <v>0.72609804587566407</v>
      </c>
      <c r="H264" s="414" t="b">
        <f>Wh_hp&gt;='2024'!Maxi_hp</f>
        <v>0</v>
      </c>
      <c r="I264" s="390">
        <f>IF(H264,Wh_hp,'2024'!Maxi_hp)</f>
        <v>50.140065797662274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5.6348760775941642E-2</v>
      </c>
      <c r="M264" s="845"/>
      <c r="N264" s="845"/>
      <c r="O264" s="48">
        <f>IF(t&lt;Tnet,'2024'!Resal+('2024'!Salim-'2024'!Resal)*(1-EXP(('2024'!Tnet-t)/('2024'!Tau_j))),Resal+(Salim-Resal)*(1-EXP((Tnet-t)/(Tau_j))))*Salcycl</f>
        <v>4.5235423293990738E-2</v>
      </c>
      <c r="P264" s="169">
        <f>(INDEX(Models!$BJ264:$BT264,,T264)*(1-R264)+INDEX(Models!$BJ264:$BT264,,T264+1)*R264-ERP_i)*Q264*Ramure*Pc/MaxiM</f>
        <v>3.1481746558980966E-7</v>
      </c>
      <c r="Q264" s="305">
        <f t="shared" si="80"/>
        <v>0.5</v>
      </c>
      <c r="R264" s="177">
        <f t="shared" si="81"/>
        <v>0.45997146214292028</v>
      </c>
      <c r="S264" s="811">
        <f t="shared" si="82"/>
        <v>-2</v>
      </c>
      <c r="T264" s="176">
        <f t="shared" si="83"/>
        <v>4</v>
      </c>
      <c r="U264" s="251">
        <f t="shared" si="84"/>
        <v>-1.5400285378570797</v>
      </c>
      <c r="V264" s="383">
        <f t="shared" si="85"/>
        <v>46.800027929956144</v>
      </c>
      <c r="W264" s="402">
        <f t="shared" si="86"/>
        <v>33.981413012848954</v>
      </c>
      <c r="X264" s="157">
        <f t="shared" si="87"/>
        <v>45907</v>
      </c>
      <c r="Y264" s="385">
        <f t="shared" si="88"/>
        <v>32.383851941689393</v>
      </c>
      <c r="Z264" s="385">
        <f t="shared" si="89"/>
        <v>34.317606543194763</v>
      </c>
      <c r="AA264" s="386">
        <f t="shared" si="90"/>
        <v>37.716109209524873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9.0107456404115105E-2</v>
      </c>
      <c r="AD264" s="231">
        <f>(INDEX(Models!$BJ264:$BT264,,AH264)*(1-AF264)+INDEX(Models!$BJ264:$BT264,,AH264+1)*AF264-ERP_i)*AE264*Ramure*Pc/MaxiM</f>
        <v>2.5798556365765205E-5</v>
      </c>
      <c r="AE264" s="305">
        <f t="shared" si="92"/>
        <v>0.5</v>
      </c>
      <c r="AF264" s="177">
        <f t="shared" si="93"/>
        <v>0.98495902851689898</v>
      </c>
      <c r="AG264" s="811">
        <f t="shared" si="99"/>
        <v>1</v>
      </c>
      <c r="AH264" s="176">
        <f t="shared" si="94"/>
        <v>7</v>
      </c>
      <c r="AI264" s="225">
        <f t="shared" si="95"/>
        <v>1.984959028516899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'2024'!Wh/'2024'!Env_an*'2025'!Env_an</f>
        <v>37.212008033841961</v>
      </c>
      <c r="C265" s="841"/>
      <c r="D265" s="393">
        <f t="shared" si="77"/>
        <v>39.434932677851442</v>
      </c>
      <c r="E265" s="385">
        <f t="shared" si="100"/>
        <v>41.305789309300621</v>
      </c>
      <c r="F265" s="385">
        <f t="shared" si="78"/>
        <v>41.305797407515747</v>
      </c>
      <c r="G265" s="110">
        <f t="shared" si="101"/>
        <v>0.79924245066354793</v>
      </c>
      <c r="H265" s="414" t="b">
        <f>Wh_hp&gt;='2024'!Maxi_hp</f>
        <v>0</v>
      </c>
      <c r="I265" s="390">
        <f>IF(H265,Wh_hp,'2024'!Maxi_hp)</f>
        <v>49.195092920557293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5.6369429159897733E-2</v>
      </c>
      <c r="M265" s="845"/>
      <c r="N265" s="845"/>
      <c r="O265" s="48">
        <f>IF(t&lt;Tnet,'2024'!Resal+('2024'!Salim-'2024'!Resal)*(1-EXP(('2024'!Tnet-t)/('2024'!Tau_j))),Resal+(Salim-Resal)*(1-EXP((Tnet-t)/(Tau_j))))*Salcycl</f>
        <v>4.5292843030793478E-2</v>
      </c>
      <c r="P265" s="169">
        <f>(INDEX(Models!$BJ265:$BT265,,T265)*(1-R265)+INDEX(Models!$BJ265:$BT265,,T265+1)*R265-ERP_i)*Q265*Ramure*Pc/MaxiM</f>
        <v>2.7489369423837111E-7</v>
      </c>
      <c r="Q265" s="305">
        <f t="shared" si="80"/>
        <v>0.5</v>
      </c>
      <c r="R265" s="177">
        <f t="shared" si="81"/>
        <v>0.460466335389766</v>
      </c>
      <c r="S265" s="811">
        <f t="shared" si="82"/>
        <v>-2</v>
      </c>
      <c r="T265" s="176">
        <f t="shared" si="83"/>
        <v>4</v>
      </c>
      <c r="U265" s="251">
        <f t="shared" si="84"/>
        <v>-1.539533664610234</v>
      </c>
      <c r="V265" s="383">
        <f t="shared" si="85"/>
        <v>46.559094889426092</v>
      </c>
      <c r="W265" s="402">
        <f t="shared" si="86"/>
        <v>37.212008033841961</v>
      </c>
      <c r="X265" s="157">
        <f t="shared" si="87"/>
        <v>45908</v>
      </c>
      <c r="Y265" s="385">
        <f t="shared" si="88"/>
        <v>35.464124973140102</v>
      </c>
      <c r="Z265" s="385">
        <f t="shared" si="89"/>
        <v>37.582636753244273</v>
      </c>
      <c r="AA265" s="386">
        <f t="shared" si="90"/>
        <v>41.304935052117337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9.0117519714687302E-2</v>
      </c>
      <c r="AD265" s="231">
        <f>(INDEX(Models!$BJ265:$BT265,,AH265)*(1-AF265)+INDEX(Models!$BJ265:$BT265,,AH265+1)*AF265-ERP_i)*AE265*Ramure*Pc/MaxiM</f>
        <v>2.9272630757970842E-5</v>
      </c>
      <c r="AE265" s="305">
        <f t="shared" si="92"/>
        <v>0.5</v>
      </c>
      <c r="AF265" s="177">
        <f t="shared" si="93"/>
        <v>0.98545390176374492</v>
      </c>
      <c r="AG265" s="811">
        <f t="shared" si="99"/>
        <v>1</v>
      </c>
      <c r="AH265" s="176">
        <f t="shared" si="94"/>
        <v>7</v>
      </c>
      <c r="AI265" s="225">
        <f t="shared" si="95"/>
        <v>1.9854539017637449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'2024'!Wh/'2024'!Env_an*'2025'!Env_an</f>
        <v>20.716087951915988</v>
      </c>
      <c r="C266" s="841"/>
      <c r="D266" s="393">
        <f t="shared" si="77"/>
        <v>21.954080693785798</v>
      </c>
      <c r="E266" s="385">
        <f t="shared" si="100"/>
        <v>22.996991946946455</v>
      </c>
      <c r="F266" s="385">
        <f t="shared" si="78"/>
        <v>22.996993142190259</v>
      </c>
      <c r="G266" s="110">
        <f t="shared" si="101"/>
        <v>0.44730669082285285</v>
      </c>
      <c r="H266" s="414" t="b">
        <f>Wh_hp&gt;='2024'!Maxi_hp</f>
        <v>0</v>
      </c>
      <c r="I266" s="390">
        <f>IF(H266,Wh_hp,'2024'!Maxi_hp)</f>
        <v>49.204296027158733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5.639009709116316E-2</v>
      </c>
      <c r="M266" s="845"/>
      <c r="N266" s="845"/>
      <c r="O266" s="48">
        <f>IF(t&lt;Tnet,'2024'!Resal+('2024'!Salim-'2024'!Resal)*(1-EXP(('2024'!Tnet-t)/('2024'!Tau_j))),Resal+(Salim-Resal)*(1-EXP((Tnet-t)/(Tau_j))))*Salcycl</f>
        <v>4.5349898611376172E-2</v>
      </c>
      <c r="P266" s="169">
        <f>(INDEX(Models!$BJ266:$BT266,,T266)*(1-R266)+INDEX(Models!$BJ266:$BT266,,T266+1)*R266-ERP_i)*Q266*Ramure*Pc/MaxiM</f>
        <v>2.4697941333762341E-7</v>
      </c>
      <c r="Q266" s="305">
        <f t="shared" si="80"/>
        <v>0.5</v>
      </c>
      <c r="R266" s="177">
        <f t="shared" si="81"/>
        <v>0.46094222788912109</v>
      </c>
      <c r="S266" s="811">
        <f t="shared" si="82"/>
        <v>-2</v>
      </c>
      <c r="T266" s="176">
        <f t="shared" si="83"/>
        <v>4</v>
      </c>
      <c r="U266" s="251">
        <f t="shared" si="84"/>
        <v>-1.5390577721108789</v>
      </c>
      <c r="V266" s="383">
        <f t="shared" si="85"/>
        <v>46.312931009496033</v>
      </c>
      <c r="W266" s="402">
        <f t="shared" si="86"/>
        <v>20.716087951915988</v>
      </c>
      <c r="X266" s="157">
        <f t="shared" si="87"/>
        <v>45909</v>
      </c>
      <c r="Y266" s="385">
        <f t="shared" si="88"/>
        <v>19.744278002402318</v>
      </c>
      <c r="Z266" s="385">
        <f t="shared" si="89"/>
        <v>20.924195413313541</v>
      </c>
      <c r="AA266" s="386">
        <f t="shared" si="90"/>
        <v>22.996830375161124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9.0126983938022862E-2</v>
      </c>
      <c r="AD266" s="231">
        <f>(INDEX(Models!$BJ266:$BT266,,AH266)*(1-AF266)+INDEX(Models!$BJ266:$BT266,,AH266+1)*AF266-ERP_i)*AE266*Ramure*Pc/MaxiM</f>
        <v>3.3633393656447366E-5</v>
      </c>
      <c r="AE266" s="305">
        <f t="shared" si="92"/>
        <v>0.5</v>
      </c>
      <c r="AF266" s="177">
        <f t="shared" si="93"/>
        <v>0.98592979426310023</v>
      </c>
      <c r="AG266" s="811">
        <f t="shared" si="99"/>
        <v>1</v>
      </c>
      <c r="AH266" s="176">
        <f t="shared" si="94"/>
        <v>7</v>
      </c>
      <c r="AI266" s="225">
        <f t="shared" si="95"/>
        <v>1.9859297942631002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'2024'!Wh/'2024'!Env_an*'2025'!Env_an</f>
        <v>43.764250475019168</v>
      </c>
      <c r="C267" s="841"/>
      <c r="D267" s="393">
        <f t="shared" si="77"/>
        <v>46.380616513777632</v>
      </c>
      <c r="E267" s="385">
        <f t="shared" si="100"/>
        <v>48.586775715618728</v>
      </c>
      <c r="F267" s="385">
        <f t="shared" si="78"/>
        <v>48.586786151003643</v>
      </c>
      <c r="G267" s="110">
        <f t="shared" si="101"/>
        <v>0.95011769508389476</v>
      </c>
      <c r="H267" s="414" t="b">
        <f>Wh_hp&gt;='2024'!Maxi_hp</f>
        <v>1</v>
      </c>
      <c r="I267" s="390">
        <f>IF(H267,Wh_hp,'2024'!Maxi_hp)</f>
        <v>48.586786151003643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5.6410764569747807E-2</v>
      </c>
      <c r="M267" s="845"/>
      <c r="N267" s="845"/>
      <c r="O267" s="48">
        <f>IF(t&lt;Tnet,'2024'!Resal+('2024'!Salim-'2024'!Resal)*(1-EXP(('2024'!Tnet-t)/('2024'!Tau_j))),Resal+(Salim-Resal)*(1-EXP((Tnet-t)/(Tau_j))))*Salcycl</f>
        <v>4.5406577599507239E-2</v>
      </c>
      <c r="P267" s="169">
        <f>(INDEX(Models!$BJ267:$BT267,,T267)*(1-R267)+INDEX(Models!$BJ267:$BT267,,T267+1)*R267-ERP_i)*Q267*Ramure*Pc/MaxiM</f>
        <v>2.3125777483780131E-7</v>
      </c>
      <c r="Q267" s="305">
        <f t="shared" si="80"/>
        <v>0.5</v>
      </c>
      <c r="R267" s="177">
        <f t="shared" si="81"/>
        <v>0.46139983189678602</v>
      </c>
      <c r="S267" s="811">
        <f t="shared" si="82"/>
        <v>-2</v>
      </c>
      <c r="T267" s="176">
        <f t="shared" si="83"/>
        <v>4</v>
      </c>
      <c r="U267" s="251">
        <f t="shared" si="84"/>
        <v>-1.538600168103214</v>
      </c>
      <c r="V267" s="383">
        <f t="shared" si="85"/>
        <v>46.061924728115514</v>
      </c>
      <c r="W267" s="402">
        <f t="shared" si="86"/>
        <v>43.764250475019168</v>
      </c>
      <c r="X267" s="157">
        <f t="shared" si="87"/>
        <v>45910</v>
      </c>
      <c r="Y267" s="385">
        <f t="shared" si="88"/>
        <v>41.712097391293028</v>
      </c>
      <c r="Z267" s="385">
        <f t="shared" si="89"/>
        <v>44.205779194029695</v>
      </c>
      <c r="AA267" s="386">
        <f t="shared" si="90"/>
        <v>48.58503111622894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9.0135826232628224E-2</v>
      </c>
      <c r="AD267" s="231">
        <f>(INDEX(Models!$BJ267:$BT267,,AH267)*(1-AF267)+INDEX(Models!$BJ267:$BT267,,AH267+1)*AF267-ERP_i)*AE267*Ramure*Pc/MaxiM</f>
        <v>3.8893192737178155E-5</v>
      </c>
      <c r="AE267" s="305">
        <f t="shared" si="92"/>
        <v>0.5</v>
      </c>
      <c r="AF267" s="177">
        <f t="shared" si="93"/>
        <v>0.98638739827076494</v>
      </c>
      <c r="AG267" s="811">
        <f t="shared" si="99"/>
        <v>1</v>
      </c>
      <c r="AH267" s="176">
        <f t="shared" si="94"/>
        <v>7</v>
      </c>
      <c r="AI267" s="225">
        <f t="shared" si="95"/>
        <v>1.9863873982707649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'2024'!Wh/'2024'!Env_an*'2025'!Env_an</f>
        <v>44.279488330802614</v>
      </c>
      <c r="C268" s="841"/>
      <c r="D268" s="393">
        <f t="shared" si="77"/>
        <v>46.927684763475455</v>
      </c>
      <c r="E268" s="385">
        <f t="shared" si="100"/>
        <v>49.162765013093029</v>
      </c>
      <c r="F268" s="385">
        <f t="shared" si="78"/>
        <v>49.162775823111645</v>
      </c>
      <c r="G268" s="110">
        <f t="shared" si="101"/>
        <v>0.96666460948407651</v>
      </c>
      <c r="H268" s="414" t="b">
        <f>Wh_hp&gt;='2024'!Maxi_hp</f>
        <v>1</v>
      </c>
      <c r="I268" s="390">
        <f>IF(H268,Wh_hp,'2024'!Maxi_hp)</f>
        <v>49.162775823111645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5.6431431595661663E-2</v>
      </c>
      <c r="M268" s="845"/>
      <c r="N268" s="845"/>
      <c r="O268" s="48">
        <f>IF(t&lt;Tnet,'2024'!Resal+('2024'!Salim-'2024'!Resal)*(1-EXP(('2024'!Tnet-t)/('2024'!Tau_j))),Resal+(Salim-Resal)*(1-EXP((Tnet-t)/(Tau_j))))*Salcycl</f>
        <v>4.5462867050344441E-2</v>
      </c>
      <c r="P268" s="169">
        <f>(INDEX(Models!$BJ268:$BT268,,T268)*(1-R268)+INDEX(Models!$BJ268:$BT268,,T268+1)*R268-ERP_i)*Q268*Ramure*Pc/MaxiM</f>
        <v>2.3087700397275315E-7</v>
      </c>
      <c r="Q268" s="305">
        <f t="shared" si="80"/>
        <v>0.5</v>
      </c>
      <c r="R268" s="177">
        <f t="shared" si="81"/>
        <v>0.46183981718812284</v>
      </c>
      <c r="S268" s="811">
        <f t="shared" si="82"/>
        <v>-2</v>
      </c>
      <c r="T268" s="176">
        <f t="shared" si="83"/>
        <v>4</v>
      </c>
      <c r="U268" s="251">
        <f t="shared" si="84"/>
        <v>-1.5381601828118772</v>
      </c>
      <c r="V268" s="383">
        <f t="shared" si="85"/>
        <v>45.806464216777549</v>
      </c>
      <c r="W268" s="402">
        <f t="shared" si="86"/>
        <v>44.279488330802614</v>
      </c>
      <c r="X268" s="157">
        <f t="shared" si="87"/>
        <v>45911</v>
      </c>
      <c r="Y268" s="385">
        <f t="shared" si="88"/>
        <v>42.204947268566734</v>
      </c>
      <c r="Z268" s="385">
        <f t="shared" si="89"/>
        <v>44.729072885438732</v>
      </c>
      <c r="AA268" s="386">
        <f t="shared" si="90"/>
        <v>49.160607841967767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9.0144022848022962E-2</v>
      </c>
      <c r="AD268" s="231">
        <f>(INDEX(Models!$BJ268:$BT268,,AH268)*(1-AF268)+INDEX(Models!$BJ268:$BT268,,AH268+1)*AF268-ERP_i)*AE268*Ramure*Pc/MaxiM</f>
        <v>4.6303064688388537E-5</v>
      </c>
      <c r="AE268" s="305">
        <f t="shared" si="92"/>
        <v>0.5</v>
      </c>
      <c r="AF268" s="177">
        <f t="shared" si="93"/>
        <v>0.98682738356210176</v>
      </c>
      <c r="AG268" s="811">
        <f t="shared" si="99"/>
        <v>1</v>
      </c>
      <c r="AH268" s="176">
        <f t="shared" si="94"/>
        <v>7</v>
      </c>
      <c r="AI268" s="225">
        <f t="shared" si="95"/>
        <v>1.9868273835621018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'2024'!Wh/'2024'!Env_an*'2025'!Env_an</f>
        <v>31.011596109598663</v>
      </c>
      <c r="C269" s="841"/>
      <c r="D269" s="393">
        <f t="shared" si="77"/>
        <v>32.867007652093093</v>
      </c>
      <c r="E269" s="385">
        <f t="shared" si="100"/>
        <v>34.434419505738703</v>
      </c>
      <c r="F269" s="385">
        <f t="shared" si="78"/>
        <v>34.434423960438664</v>
      </c>
      <c r="G269" s="110">
        <f t="shared" si="101"/>
        <v>0.6808710767923094</v>
      </c>
      <c r="H269" s="414" t="b">
        <f>Wh_hp&gt;='2024'!Maxi_hp</f>
        <v>0</v>
      </c>
      <c r="I269" s="390">
        <f>IF(H269,Wh_hp,'2024'!Maxi_hp)</f>
        <v>50.761032411385656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5.6452098168914611E-2</v>
      </c>
      <c r="M269" s="845"/>
      <c r="N269" s="845"/>
      <c r="O269" s="48">
        <f>IF(t&lt;Tnet,'2024'!Resal+('2024'!Salim-'2024'!Resal)*(1-EXP(('2024'!Tnet-t)/('2024'!Tau_j))),Resal+(Salim-Resal)*(1-EXP((Tnet-t)/(Tau_j))))*Salcycl</f>
        <v>4.5518753507210741E-2</v>
      </c>
      <c r="P269" s="169">
        <f>(INDEX(Models!$BJ269:$BT269,,T269)*(1-R269)+INDEX(Models!$BJ269:$BT269,,T269+1)*R269-ERP_i)*Q269*Ramure*Pc/MaxiM</f>
        <v>2.3776372621618941E-7</v>
      </c>
      <c r="Q269" s="305">
        <f t="shared" si="80"/>
        <v>0.5</v>
      </c>
      <c r="R269" s="177">
        <f t="shared" si="81"/>
        <v>0.46226283156970971</v>
      </c>
      <c r="S269" s="811">
        <f t="shared" si="82"/>
        <v>-2</v>
      </c>
      <c r="T269" s="176">
        <f t="shared" si="83"/>
        <v>4</v>
      </c>
      <c r="U269" s="251">
        <f t="shared" si="84"/>
        <v>-1.5377371684302903</v>
      </c>
      <c r="V269" s="383">
        <f t="shared" si="85"/>
        <v>45.546938040257025</v>
      </c>
      <c r="W269" s="402">
        <f t="shared" si="86"/>
        <v>31.011596109598663</v>
      </c>
      <c r="X269" s="157">
        <f t="shared" si="87"/>
        <v>45912</v>
      </c>
      <c r="Y269" s="385">
        <f t="shared" si="88"/>
        <v>29.560563227924028</v>
      </c>
      <c r="Z269" s="385">
        <f t="shared" si="89"/>
        <v>31.329160046413818</v>
      </c>
      <c r="AA269" s="386">
        <f t="shared" si="90"/>
        <v>34.433382852081181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9.0151549123200336E-2</v>
      </c>
      <c r="AD269" s="231">
        <f>(INDEX(Models!$BJ269:$BT269,,AH269)*(1-AF269)+INDEX(Models!$BJ269:$BT269,,AH269+1)*AF269-ERP_i)*AE269*Ramure*Pc/MaxiM</f>
        <v>5.5567783340143827E-5</v>
      </c>
      <c r="AE269" s="305">
        <f t="shared" si="92"/>
        <v>0.5</v>
      </c>
      <c r="AF269" s="177">
        <f t="shared" si="93"/>
        <v>0.98725039794368863</v>
      </c>
      <c r="AG269" s="811">
        <f t="shared" si="99"/>
        <v>1</v>
      </c>
      <c r="AH269" s="176">
        <f t="shared" si="94"/>
        <v>7</v>
      </c>
      <c r="AI269" s="225">
        <f t="shared" si="95"/>
        <v>1.9872503979436886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'2024'!Wh/'2024'!Env_an*'2025'!Env_an</f>
        <v>10.996354298539748</v>
      </c>
      <c r="C270" s="841"/>
      <c r="D270" s="393">
        <f t="shared" si="77"/>
        <v>11.654517095375001</v>
      </c>
      <c r="E270" s="385">
        <f t="shared" si="100"/>
        <v>12.211025075263166</v>
      </c>
      <c r="F270" s="385">
        <f t="shared" si="78"/>
        <v>12.211025075263166</v>
      </c>
      <c r="G270" s="110">
        <f t="shared" si="101"/>
        <v>0.24283225991679469</v>
      </c>
      <c r="H270" s="414" t="b">
        <f>Wh_hp&gt;='2024'!Maxi_hp</f>
        <v>0</v>
      </c>
      <c r="I270" s="390">
        <f>IF(H270,Wh_hp,'2024'!Maxi_hp)</f>
        <v>48.245201516580117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5.647276428951653E-2</v>
      </c>
      <c r="M270" s="845"/>
      <c r="N270" s="845"/>
      <c r="O270" s="48">
        <f>IF(t&lt;Tnet,'2024'!Resal+('2024'!Salim-'2024'!Resal)*(1-EXP(('2024'!Tnet-t)/('2024'!Tau_j))),Resal+(Salim-Resal)*(1-EXP((Tnet-t)/(Tau_j))))*Salcycl</f>
        <v>4.5574223004056155E-2</v>
      </c>
      <c r="P270" s="169">
        <f>(INDEX(Models!$BJ270:$BT270,,T270)*(1-R270)+INDEX(Models!$BJ270:$BT270,,T270+1)*R270-ERP_i)*Q270*Ramure*Pc/MaxiM</f>
        <v>2.5203166246333465E-7</v>
      </c>
      <c r="Q270" s="305">
        <f t="shared" si="80"/>
        <v>0.5</v>
      </c>
      <c r="R270" s="177">
        <f t="shared" si="81"/>
        <v>0.46266950139791985</v>
      </c>
      <c r="S270" s="811">
        <f t="shared" si="82"/>
        <v>-2</v>
      </c>
      <c r="T270" s="176">
        <f t="shared" si="83"/>
        <v>4</v>
      </c>
      <c r="U270" s="251">
        <f t="shared" si="84"/>
        <v>-1.5373304986020802</v>
      </c>
      <c r="V270" s="383">
        <f t="shared" si="85"/>
        <v>45.283734257046987</v>
      </c>
      <c r="W270" s="402">
        <f t="shared" si="86"/>
        <v>10.996354298539748</v>
      </c>
      <c r="X270" s="157">
        <f t="shared" si="87"/>
        <v>45913</v>
      </c>
      <c r="Y270" s="385">
        <f t="shared" si="88"/>
        <v>10.482680849323359</v>
      </c>
      <c r="Z270" s="385">
        <f t="shared" si="89"/>
        <v>11.110098842488439</v>
      </c>
      <c r="AA270" s="386">
        <f t="shared" si="90"/>
        <v>12.211025075263166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9.0158379496325866E-2</v>
      </c>
      <c r="AD270" s="231">
        <f>(INDEX(Models!$BJ270:$BT270,,AH270)*(1-AF270)+INDEX(Models!$BJ270:$BT270,,AH270+1)*AF270-ERP_i)*AE270*Ramure*Pc/MaxiM</f>
        <v>6.6713978273603533E-5</v>
      </c>
      <c r="AE270" s="305">
        <f t="shared" si="92"/>
        <v>0.5</v>
      </c>
      <c r="AF270" s="177">
        <f t="shared" si="93"/>
        <v>0.98765706777189877</v>
      </c>
      <c r="AG270" s="811">
        <f t="shared" si="99"/>
        <v>1</v>
      </c>
      <c r="AH270" s="176">
        <f t="shared" si="94"/>
        <v>7</v>
      </c>
      <c r="AI270" s="225">
        <f t="shared" si="95"/>
        <v>1.9876570677718988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'2024'!Wh/'2024'!Env_an*'2025'!Env_an</f>
        <v>36.491451247776631</v>
      </c>
      <c r="C271" s="841"/>
      <c r="D271" s="393">
        <f t="shared" ref="D271:D334" si="102">Wh/(1-Ppv)</f>
        <v>38.676414565011463</v>
      </c>
      <c r="E271" s="385">
        <f t="shared" si="100"/>
        <v>40.525566205586074</v>
      </c>
      <c r="F271" s="385">
        <f t="shared" ref="F271:F334" si="103">Wh_sa/(1-Pvg*MEDIAN((-Sdif+Wh/Env_an)/Csdif,0,1))</f>
        <v>40.52557429931295</v>
      </c>
      <c r="G271" s="110">
        <f t="shared" si="101"/>
        <v>0.81061051044785759</v>
      </c>
      <c r="H271" s="414" t="b">
        <f>Wh_hp&gt;='2024'!Maxi_hp</f>
        <v>0</v>
      </c>
      <c r="I271" s="390">
        <f>IF(H271,Wh_hp,'2024'!Maxi_hp)</f>
        <v>47.954871485084247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5.6493429957477415E-2</v>
      </c>
      <c r="M271" s="845"/>
      <c r="N271" s="845"/>
      <c r="O271" s="48">
        <f>IF(t&lt;Tnet,'2024'!Resal+('2024'!Salim-'2024'!Resal)*(1-EXP(('2024'!Tnet-t)/('2024'!Tau_j))),Resal+(Salim-Resal)*(1-EXP((Tnet-t)/(Tau_j))))*Salcycl</f>
        <v>4.5629261074203592E-2</v>
      </c>
      <c r="P271" s="169">
        <f>(INDEX(Models!$BJ271:$BT271,,T271)*(1-R271)+INDEX(Models!$BJ271:$BT271,,T271+1)*R271-ERP_i)*Q271*Ramure*Pc/MaxiM</f>
        <v>2.7379631948698287E-7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0.46306043210235548</v>
      </c>
      <c r="S271" s="811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-1.5369395678976445</v>
      </c>
      <c r="V271" s="383">
        <f t="shared" ref="V271:V334" si="110">MaxiM*(1-Ppv)*(1-Pvg)*(1-Psa)</f>
        <v>45.01724080091882</v>
      </c>
      <c r="W271" s="402">
        <f t="shared" ref="W271:W334" si="111">Wh*(A271&gt;Tmaj)</f>
        <v>36.491451247776631</v>
      </c>
      <c r="X271" s="157">
        <f t="shared" ref="X271:X334" si="112">t</f>
        <v>45914</v>
      </c>
      <c r="Y271" s="385">
        <f t="shared" ref="Y271:Y334" si="113">Wh_pvt_s*(1-Ppv)</f>
        <v>34.786578897306363</v>
      </c>
      <c r="Z271" s="385">
        <f t="shared" ref="Z271:Z334" si="114">Wh_sa_s*(1-Psa_s)</f>
        <v>36.869461222446581</v>
      </c>
      <c r="AA271" s="386">
        <f t="shared" ref="AA271:AA334" si="115">Wh_hp*(1-Pvg_s*MEDIAN((-Sdif+Wh/Env_an)/Csdif,0,1))</f>
        <v>40.523216248421882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9.0164487526766632E-2</v>
      </c>
      <c r="AD271" s="231">
        <f>(INDEX(Models!$BJ271:$BT271,,AH271)*(1-AF271)+INDEX(Models!$BJ271:$BT271,,AH271+1)*AF271-ERP_i)*AE271*Ramure*Pc/MaxiM</f>
        <v>7.9768648594598222E-5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0.9880479984763344</v>
      </c>
      <c r="AG271" s="811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1.9880479984763344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'2024'!Wh/'2024'!Env_an*'2025'!Env_an</f>
        <v>40.083794789931353</v>
      </c>
      <c r="C272" s="841"/>
      <c r="D272" s="393">
        <f t="shared" si="102"/>
        <v>42.484783911290151</v>
      </c>
      <c r="E272" s="385">
        <f t="shared" si="100"/>
        <v>44.518563407341418</v>
      </c>
      <c r="F272" s="385">
        <f t="shared" si="103"/>
        <v>44.518574894553879</v>
      </c>
      <c r="G272" s="110">
        <f t="shared" si="101"/>
        <v>0.89577034493012009</v>
      </c>
      <c r="H272" s="414" t="b">
        <f>Wh_hp&gt;='2024'!Maxi_hp</f>
        <v>0</v>
      </c>
      <c r="I272" s="390">
        <f>IF(H272,Wh_hp,'2024'!Maxi_hp)</f>
        <v>48.916978336718785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5.6514095172807144E-2</v>
      </c>
      <c r="M272" s="845"/>
      <c r="N272" s="845"/>
      <c r="O272" s="48">
        <f>IF(t&lt;Tnet,'2024'!Resal+('2024'!Salim-'2024'!Resal)*(1-EXP(('2024'!Tnet-t)/('2024'!Tau_j))),Resal+(Salim-Resal)*(1-EXP((Tnet-t)/(Tau_j))))*Salcycl</f>
        <v>4.5683852765920296E-2</v>
      </c>
      <c r="P272" s="169">
        <f>(INDEX(Models!$BJ272:$BT272,,T272)*(1-R272)+INDEX(Models!$BJ272:$BT272,,T272+1)*R272-ERP_i)*Q272*Ramure*Pc/MaxiM</f>
        <v>3.031744014147661E-7</v>
      </c>
      <c r="Q272" s="305">
        <f t="shared" si="105"/>
        <v>0.5</v>
      </c>
      <c r="R272" s="177">
        <f t="shared" si="106"/>
        <v>0.46343620871225344</v>
      </c>
      <c r="S272" s="811">
        <f t="shared" si="107"/>
        <v>-2</v>
      </c>
      <c r="T272" s="176">
        <f t="shared" si="108"/>
        <v>4</v>
      </c>
      <c r="U272" s="251">
        <f t="shared" si="109"/>
        <v>-1.5365637912877466</v>
      </c>
      <c r="V272" s="383">
        <f t="shared" si="110"/>
        <v>44.747845479942846</v>
      </c>
      <c r="W272" s="402">
        <f t="shared" si="111"/>
        <v>40.083794789931353</v>
      </c>
      <c r="X272" s="157">
        <f t="shared" si="112"/>
        <v>45915</v>
      </c>
      <c r="Y272" s="385">
        <f t="shared" si="113"/>
        <v>38.21219358456289</v>
      </c>
      <c r="Z272" s="385">
        <f t="shared" si="114"/>
        <v>40.501075203197409</v>
      </c>
      <c r="AA272" s="386">
        <f t="shared" si="115"/>
        <v>44.514984496875819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9.0169845930421863E-2</v>
      </c>
      <c r="AD272" s="231">
        <f>(INDEX(Models!$BJ272:$BT272,,AH272)*(1-AF272)+INDEX(Models!$BJ272:$BT272,,AH272+1)*AF272-ERP_i)*AE272*Ramure*Pc/MaxiM</f>
        <v>9.4758991390321104E-5</v>
      </c>
      <c r="AE272" s="305">
        <f t="shared" si="117"/>
        <v>0.5</v>
      </c>
      <c r="AF272" s="177">
        <f t="shared" si="118"/>
        <v>0.98842377508623236</v>
      </c>
      <c r="AG272" s="811">
        <f t="shared" ref="AG272:AG335" si="124">INDEX(Echel_vg,AH272)</f>
        <v>1</v>
      </c>
      <c r="AH272" s="176">
        <f t="shared" si="119"/>
        <v>7</v>
      </c>
      <c r="AI272" s="225">
        <f t="shared" si="120"/>
        <v>1.9884237750862324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'2024'!Wh/'2024'!Env_an*'2025'!Env_an</f>
        <v>26.688313332470127</v>
      </c>
      <c r="C273" s="841"/>
      <c r="D273" s="393">
        <f t="shared" si="102"/>
        <v>28.287542772265805</v>
      </c>
      <c r="E273" s="385">
        <f t="shared" si="100"/>
        <v>29.643370749759121</v>
      </c>
      <c r="F273" s="385">
        <f t="shared" si="103"/>
        <v>29.643375073711361</v>
      </c>
      <c r="G273" s="110">
        <f t="shared" si="101"/>
        <v>0.60006175380241777</v>
      </c>
      <c r="H273" s="414" t="b">
        <f>Wh_hp&gt;='2024'!Maxi_hp</f>
        <v>0</v>
      </c>
      <c r="I273" s="390">
        <f>IF(H273,Wh_hp,'2024'!Maxi_hp)</f>
        <v>46.225866499783969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5.6534759935515599E-2</v>
      </c>
      <c r="M273" s="845"/>
      <c r="N273" s="845"/>
      <c r="O273" s="48">
        <f>IF(t&lt;Tnet,'2024'!Resal+('2024'!Salim-'2024'!Resal)*(1-EXP(('2024'!Tnet-t)/('2024'!Tau_j))),Resal+(Salim-Resal)*(1-EXP((Tnet-t)/(Tau_j))))*Salcycl</f>
        <v>4.573798266529229E-2</v>
      </c>
      <c r="P273" s="169">
        <f>(INDEX(Models!$BJ273:$BT273,,T273)*(1-R273)+INDEX(Models!$BJ273:$BT273,,T273+1)*R273-ERP_i)*Q273*Ramure*Pc/MaxiM</f>
        <v>3.4028316770053E-7</v>
      </c>
      <c r="Q273" s="305">
        <f t="shared" si="105"/>
        <v>0.5</v>
      </c>
      <c r="R273" s="177">
        <f t="shared" si="106"/>
        <v>0.46379739638414907</v>
      </c>
      <c r="S273" s="811">
        <f t="shared" si="107"/>
        <v>-2</v>
      </c>
      <c r="T273" s="176">
        <f t="shared" si="108"/>
        <v>4</v>
      </c>
      <c r="U273" s="251">
        <f t="shared" si="109"/>
        <v>-1.5362026036158509</v>
      </c>
      <c r="V273" s="383">
        <f t="shared" si="110"/>
        <v>44.475935976054991</v>
      </c>
      <c r="W273" s="402">
        <f t="shared" si="111"/>
        <v>26.688313332470127</v>
      </c>
      <c r="X273" s="157">
        <f t="shared" si="112"/>
        <v>45916</v>
      </c>
      <c r="Y273" s="385">
        <f t="shared" si="113"/>
        <v>25.44432274743005</v>
      </c>
      <c r="Z273" s="385">
        <f t="shared" si="114"/>
        <v>26.969009208745167</v>
      </c>
      <c r="AA273" s="386">
        <f t="shared" si="115"/>
        <v>29.641955555093741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9.0174426629192117E-2</v>
      </c>
      <c r="AD273" s="231">
        <f>(INDEX(Models!$BJ273:$BT273,,AH273)*(1-AF273)+INDEX(Models!$BJ273:$BT273,,AH273+1)*AF273-ERP_i)*AE273*Ramure*Pc/MaxiM</f>
        <v>1.1171221721979881E-4</v>
      </c>
      <c r="AE273" s="305">
        <f t="shared" si="117"/>
        <v>0.5</v>
      </c>
      <c r="AF273" s="177">
        <f t="shared" si="118"/>
        <v>0.98878496275812799</v>
      </c>
      <c r="AG273" s="811">
        <f t="shared" si="124"/>
        <v>1</v>
      </c>
      <c r="AH273" s="176">
        <f t="shared" si="119"/>
        <v>7</v>
      </c>
      <c r="AI273" s="225">
        <f t="shared" si="120"/>
        <v>1.988784962758128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'2024'!Wh/'2024'!Env_an*'2025'!Env_an</f>
        <v>46.15411566387678</v>
      </c>
      <c r="C274" s="841"/>
      <c r="D274" s="393">
        <f t="shared" si="102"/>
        <v>48.920855395211227</v>
      </c>
      <c r="E274" s="385">
        <f t="shared" si="100"/>
        <v>51.268524974059282</v>
      </c>
      <c r="F274" s="385">
        <f t="shared" si="103"/>
        <v>51.268544724739876</v>
      </c>
      <c r="G274" s="110">
        <f t="shared" si="101"/>
        <v>1.0441658803409344</v>
      </c>
      <c r="H274" s="414" t="b">
        <f>Wh_hp&gt;='2024'!Maxi_hp</f>
        <v>1</v>
      </c>
      <c r="I274" s="390">
        <f>IF(H274,Wh_hp,'2024'!Maxi_hp)</f>
        <v>51.268544724739876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5.6555424245612773E-2</v>
      </c>
      <c r="M274" s="845"/>
      <c r="N274" s="845"/>
      <c r="O274" s="48">
        <f>IF(t&lt;Tnet,'2024'!Resal+('2024'!Salim-'2024'!Resal)*(1-EXP(('2024'!Tnet-t)/('2024'!Tau_j))),Resal+(Salim-Resal)*(1-EXP((Tnet-t)/(Tau_j))))*Salcycl</f>
        <v>4.5791634926807816E-2</v>
      </c>
      <c r="P274" s="169">
        <f>(INDEX(Models!$BJ274:$BT274,,T274)*(1-R274)+INDEX(Models!$BJ274:$BT274,,T274+1)*R274-ERP_i)*Q274*Ramure*Pc/MaxiM</f>
        <v>3.8523973523701053E-7</v>
      </c>
      <c r="Q274" s="305">
        <f t="shared" si="105"/>
        <v>0.5</v>
      </c>
      <c r="R274" s="177">
        <f t="shared" si="106"/>
        <v>0.46414454092924751</v>
      </c>
      <c r="S274" s="811">
        <f t="shared" si="107"/>
        <v>-2</v>
      </c>
      <c r="T274" s="176">
        <f t="shared" si="108"/>
        <v>4</v>
      </c>
      <c r="U274" s="251">
        <f t="shared" si="109"/>
        <v>-1.5358554590707525</v>
      </c>
      <c r="V274" s="383">
        <f t="shared" si="110"/>
        <v>44.201899844502528</v>
      </c>
      <c r="W274" s="402">
        <f t="shared" si="111"/>
        <v>46.15411566387678</v>
      </c>
      <c r="X274" s="157">
        <f t="shared" si="112"/>
        <v>45917</v>
      </c>
      <c r="Y274" s="385">
        <f t="shared" si="113"/>
        <v>44.001448512269185</v>
      </c>
      <c r="Z274" s="385">
        <f t="shared" si="114"/>
        <v>46.639145152840811</v>
      </c>
      <c r="AA274" s="386">
        <f t="shared" si="115"/>
        <v>51.261846214976771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9.0178200815275875E-2</v>
      </c>
      <c r="AD274" s="231">
        <f>(INDEX(Models!$BJ274:$BT274,,AH274)*(1-AF274)+INDEX(Models!$BJ274:$BT274,,AH274+1)*AF274-ERP_i)*AE274*Ramure*Pc/MaxiM</f>
        <v>1.3065535210857396E-4</v>
      </c>
      <c r="AE274" s="305">
        <f t="shared" si="117"/>
        <v>0.5</v>
      </c>
      <c r="AF274" s="177">
        <f t="shared" si="118"/>
        <v>0.98913210730322643</v>
      </c>
      <c r="AG274" s="811">
        <f t="shared" si="124"/>
        <v>1</v>
      </c>
      <c r="AH274" s="176">
        <f t="shared" si="119"/>
        <v>7</v>
      </c>
      <c r="AI274" s="225">
        <f t="shared" si="120"/>
        <v>1.9891321073032264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'2024'!Wh/'2024'!Env_an*'2025'!Env_an</f>
        <v>44.624824754018348</v>
      </c>
      <c r="C275" s="841"/>
      <c r="D275" s="393">
        <f t="shared" si="102"/>
        <v>47.300926117394695</v>
      </c>
      <c r="E275" s="385">
        <f t="shared" si="100"/>
        <v>49.573618406990001</v>
      </c>
      <c r="F275" s="385">
        <f t="shared" si="103"/>
        <v>49.573640129498493</v>
      </c>
      <c r="G275" s="110">
        <f t="shared" si="101"/>
        <v>1.0159673549059569</v>
      </c>
      <c r="H275" s="414" t="b">
        <f>Wh_hp&gt;='2024'!Maxi_hp</f>
        <v>1</v>
      </c>
      <c r="I275" s="390">
        <f>IF(H275,Wh_hp,'2024'!Maxi_hp)</f>
        <v>49.573640129498493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5.6576088103108435E-2</v>
      </c>
      <c r="M275" s="845"/>
      <c r="N275" s="845"/>
      <c r="O275" s="48">
        <f>IF(t&lt;Tnet,'2024'!Resal+('2024'!Salim-'2024'!Resal)*(1-EXP(('2024'!Tnet-t)/('2024'!Tau_j))),Resal+(Salim-Resal)*(1-EXP((Tnet-t)/(Tau_j))))*Salcycl</f>
        <v>4.5844793311977543E-2</v>
      </c>
      <c r="P275" s="169">
        <f>(INDEX(Models!$BJ275:$BT275,,T275)*(1-R275)+INDEX(Models!$BJ275:$BT275,,T275+1)*R275-ERP_i)*Q275*Ramure*Pc/MaxiM</f>
        <v>4.381866740169669E-7</v>
      </c>
      <c r="Q275" s="305">
        <f t="shared" si="105"/>
        <v>0.5</v>
      </c>
      <c r="R275" s="177">
        <f t="shared" si="106"/>
        <v>0.46447816933910535</v>
      </c>
      <c r="S275" s="811">
        <f t="shared" si="107"/>
        <v>-2</v>
      </c>
      <c r="T275" s="176">
        <f t="shared" si="108"/>
        <v>4</v>
      </c>
      <c r="U275" s="251">
        <f t="shared" si="109"/>
        <v>-1.5355218306608946</v>
      </c>
      <c r="V275" s="383">
        <f t="shared" si="110"/>
        <v>43.923482913630686</v>
      </c>
      <c r="W275" s="402">
        <f t="shared" si="111"/>
        <v>44.624824754018348</v>
      </c>
      <c r="X275" s="157">
        <f t="shared" si="112"/>
        <v>45918</v>
      </c>
      <c r="Y275" s="385">
        <f t="shared" si="113"/>
        <v>42.544827838144691</v>
      </c>
      <c r="Z275" s="385">
        <f t="shared" si="114"/>
        <v>45.096194087981196</v>
      </c>
      <c r="AA275" s="386">
        <f t="shared" si="115"/>
        <v>49.566123568753923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9.0181139030822546E-2</v>
      </c>
      <c r="AD275" s="231">
        <f>(INDEX(Models!$BJ275:$BT275,,AH275)*(1-AF275)+INDEX(Models!$BJ275:$BT275,,AH275+1)*AF275-ERP_i)*AE275*Ramure*Pc/MaxiM</f>
        <v>1.5162414389861169E-4</v>
      </c>
      <c r="AE275" s="305">
        <f t="shared" si="117"/>
        <v>0.5</v>
      </c>
      <c r="AF275" s="177">
        <f t="shared" si="118"/>
        <v>0.98946573571308427</v>
      </c>
      <c r="AG275" s="811">
        <f t="shared" si="124"/>
        <v>1</v>
      </c>
      <c r="AH275" s="176">
        <f t="shared" si="119"/>
        <v>7</v>
      </c>
      <c r="AI275" s="225">
        <f t="shared" si="120"/>
        <v>1.9894657357130843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'2024'!Wh/'2024'!Env_an*'2025'!Env_an</f>
        <v>43.475567150616016</v>
      </c>
      <c r="C276" s="841"/>
      <c r="D276" s="393">
        <f t="shared" si="102"/>
        <v>46.083758159738061</v>
      </c>
      <c r="E276" s="385">
        <f t="shared" si="100"/>
        <v>48.300633654571641</v>
      </c>
      <c r="F276" s="385">
        <f t="shared" si="103"/>
        <v>48.300657515214404</v>
      </c>
      <c r="G276" s="110">
        <f t="shared" si="101"/>
        <v>0.99626197592385912</v>
      </c>
      <c r="H276" s="414" t="b">
        <f>Wh_hp&gt;='2024'!Maxi_hp</f>
        <v>1</v>
      </c>
      <c r="I276" s="390">
        <f>IF(H276,Wh_hp,'2024'!Maxi_hp)</f>
        <v>48.300657515214404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5.6596751508012577E-2</v>
      </c>
      <c r="M276" s="845"/>
      <c r="N276" s="845"/>
      <c r="O276" s="48">
        <f>IF(t&lt;Tnet,'2024'!Resal+('2024'!Salim-'2024'!Resal)*(1-EXP(('2024'!Tnet-t)/('2024'!Tau_j))),Resal+(Salim-Resal)*(1-EXP((Tnet-t)/(Tau_j))))*Salcycl</f>
        <v>4.5897441236234189E-2</v>
      </c>
      <c r="P276" s="169">
        <f>(INDEX(Models!$BJ276:$BT276,,T276)*(1-R276)+INDEX(Models!$BJ276:$BT276,,T276+1)*R276-ERP_i)*Q276*Ramure*Pc/MaxiM</f>
        <v>4.9665459282328677E-7</v>
      </c>
      <c r="Q276" s="305">
        <f t="shared" si="105"/>
        <v>0.5</v>
      </c>
      <c r="R276" s="177">
        <f t="shared" si="106"/>
        <v>0.46479879030836679</v>
      </c>
      <c r="S276" s="811">
        <f t="shared" si="107"/>
        <v>-2</v>
      </c>
      <c r="T276" s="176">
        <f t="shared" si="108"/>
        <v>4</v>
      </c>
      <c r="U276" s="251">
        <f t="shared" si="109"/>
        <v>-1.5352012096916332</v>
      </c>
      <c r="V276" s="383">
        <f t="shared" si="110"/>
        <v>43.63868950734188</v>
      </c>
      <c r="W276" s="402">
        <f t="shared" si="111"/>
        <v>43.475567150616016</v>
      </c>
      <c r="X276" s="157">
        <f t="shared" si="112"/>
        <v>45919</v>
      </c>
      <c r="Y276" s="385">
        <f t="shared" si="113"/>
        <v>41.450351995519455</v>
      </c>
      <c r="Z276" s="385">
        <f t="shared" si="114"/>
        <v>43.937046074175676</v>
      </c>
      <c r="AA276" s="386">
        <f t="shared" si="115"/>
        <v>48.292190931300844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9.0183211263300991E-2</v>
      </c>
      <c r="AD276" s="231">
        <f>(INDEX(Models!$BJ276:$BT276,,AH276)*(1-AF276)+INDEX(Models!$BJ276:$BT276,,AH276+1)*AF276-ERP_i)*AE276*Ramure*Pc/MaxiM</f>
        <v>1.7623028127282519E-4</v>
      </c>
      <c r="AE276" s="305">
        <f t="shared" si="117"/>
        <v>0.5</v>
      </c>
      <c r="AF276" s="177">
        <f t="shared" si="118"/>
        <v>0.98978635668234594</v>
      </c>
      <c r="AG276" s="811">
        <f t="shared" si="124"/>
        <v>1</v>
      </c>
      <c r="AH276" s="176">
        <f t="shared" si="119"/>
        <v>7</v>
      </c>
      <c r="AI276" s="225">
        <f t="shared" si="120"/>
        <v>1.9897863566823459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'2024'!Wh/'2024'!Env_an*'2025'!Env_an</f>
        <v>44.787204040901969</v>
      </c>
      <c r="C277" s="841"/>
      <c r="D277" s="393">
        <f t="shared" si="102"/>
        <v>47.475122741725528</v>
      </c>
      <c r="E277" s="385">
        <f t="shared" si="100"/>
        <v>49.761648694909667</v>
      </c>
      <c r="F277" s="385">
        <f t="shared" si="103"/>
        <v>49.761676374869346</v>
      </c>
      <c r="G277" s="110">
        <f t="shared" si="101"/>
        <v>1.0331941405201952</v>
      </c>
      <c r="H277" s="414" t="b">
        <f>Wh_hp&gt;='2024'!Maxi_hp</f>
        <v>0</v>
      </c>
      <c r="I277" s="390">
        <f>IF(H277,Wh_hp,'2024'!Maxi_hp)</f>
        <v>49.76167637486936</v>
      </c>
      <c r="J277" s="85">
        <f>IF(H277,An,'2024'!An_max)</f>
        <v>2022</v>
      </c>
      <c r="K277" s="197">
        <f t="shared" si="104"/>
        <v>45920</v>
      </c>
      <c r="L277" s="147">
        <f>IF(t&lt;Tvie,1-EXP((T0-t)*PertePVj)+'2024'!Pspv,1-EXP((T0-t)*PertePVj)+Pspv)</f>
        <v>5.6617414460335191E-2</v>
      </c>
      <c r="M277" s="845"/>
      <c r="N277" s="845"/>
      <c r="O277" s="48">
        <f>IF(t&lt;Tnet,'2024'!Resal+('2024'!Salim-'2024'!Resal)*(1-EXP(('2024'!Tnet-t)/('2024'!Tau_j))),Resal+(Salim-Resal)*(1-EXP((Tnet-t)/(Tau_j))))*Salcycl</f>
        <v>4.5949561824265531E-2</v>
      </c>
      <c r="P277" s="169">
        <f>(INDEX(Models!$BJ277:$BT277,,T277)*(1-R277)+INDEX(Models!$BJ277:$BT277,,T277+1)*R277-ERP_i)*Q277*Ramure*Pc/MaxiM</f>
        <v>5.562505465551826E-7</v>
      </c>
      <c r="Q277" s="305">
        <f t="shared" si="105"/>
        <v>0.5</v>
      </c>
      <c r="R277" s="177">
        <f t="shared" si="106"/>
        <v>0.46510689475342559</v>
      </c>
      <c r="S277" s="811">
        <f t="shared" si="107"/>
        <v>-2</v>
      </c>
      <c r="T277" s="176">
        <f t="shared" si="108"/>
        <v>4</v>
      </c>
      <c r="U277" s="251">
        <f t="shared" si="109"/>
        <v>-1.5348931052465744</v>
      </c>
      <c r="V277" s="383">
        <f t="shared" si="110"/>
        <v>43.348294656754824</v>
      </c>
      <c r="W277" s="402">
        <f t="shared" si="111"/>
        <v>44.787204040901969</v>
      </c>
      <c r="X277" s="157">
        <f t="shared" si="112"/>
        <v>45920</v>
      </c>
      <c r="Y277" s="385">
        <f t="shared" si="113"/>
        <v>42.701944452647538</v>
      </c>
      <c r="Z277" s="385">
        <f t="shared" si="114"/>
        <v>45.264715617174303</v>
      </c>
      <c r="AA277" s="386">
        <f t="shared" si="115"/>
        <v>49.751526543651885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9.0184387056764209E-2</v>
      </c>
      <c r="AD277" s="231">
        <f>(INDEX(Models!$BJ277:$BT277,,AH277)*(1-AF277)+INDEX(Models!$BJ277:$BT277,,AH277+1)*AF277-ERP_i)*AE277*Ramure*Pc/MaxiM</f>
        <v>2.039688361983481E-4</v>
      </c>
      <c r="AE277" s="305">
        <f t="shared" si="117"/>
        <v>0.5</v>
      </c>
      <c r="AF277" s="177">
        <f t="shared" si="118"/>
        <v>0.99009446112740451</v>
      </c>
      <c r="AG277" s="811">
        <f t="shared" si="124"/>
        <v>1</v>
      </c>
      <c r="AH277" s="176">
        <f t="shared" si="119"/>
        <v>7</v>
      </c>
      <c r="AI277" s="225">
        <f t="shared" si="120"/>
        <v>1.9900944611274045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'2024'!Wh/'2024'!Env_an*'2025'!Env_an</f>
        <v>43.696628932406945</v>
      </c>
      <c r="C278" s="841"/>
      <c r="D278" s="393">
        <f t="shared" si="102"/>
        <v>46.320110940663994</v>
      </c>
      <c r="E278" s="385">
        <f t="shared" si="100"/>
        <v>48.553633326445023</v>
      </c>
      <c r="F278" s="385">
        <f t="shared" si="103"/>
        <v>48.553663283529339</v>
      </c>
      <c r="G278" s="110">
        <f t="shared" si="101"/>
        <v>1.014947969107177</v>
      </c>
      <c r="H278" s="414" t="b">
        <f>Wh_hp&gt;='2024'!Maxi_hp</f>
        <v>1</v>
      </c>
      <c r="I278" s="390">
        <f>IF(H278,Wh_hp,'2024'!Maxi_hp)</f>
        <v>48.553663283529339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5.6638076960086048E-2</v>
      </c>
      <c r="M278" s="845"/>
      <c r="N278" s="845"/>
      <c r="O278" s="48">
        <f>IF(t&lt;Tnet,'2024'!Resal+('2024'!Salim-'2024'!Resal)*(1-EXP(('2024'!Tnet-t)/('2024'!Tau_j))),Resal+(Salim-Resal)*(1-EXP((Tnet-t)/(Tau_j))))*Salcycl</f>
        <v>4.6001137973839833E-2</v>
      </c>
      <c r="P278" s="169">
        <f>(INDEX(Models!$BJ278:$BT278,,T278)*(1-R278)+INDEX(Models!$BJ278:$BT278,,T278+1)*R278-ERP_i)*Q278*Ramure*Pc/MaxiM</f>
        <v>6.1698916806561855E-7</v>
      </c>
      <c r="Q278" s="305">
        <f t="shared" si="105"/>
        <v>0.5</v>
      </c>
      <c r="R278" s="177">
        <f t="shared" si="106"/>
        <v>0.46540295632601336</v>
      </c>
      <c r="S278" s="811">
        <f t="shared" si="107"/>
        <v>-2</v>
      </c>
      <c r="T278" s="176">
        <f t="shared" si="108"/>
        <v>4</v>
      </c>
      <c r="U278" s="251">
        <f t="shared" si="109"/>
        <v>-1.5345970436739866</v>
      </c>
      <c r="V278" s="383">
        <f t="shared" si="110"/>
        <v>43.053072928305596</v>
      </c>
      <c r="W278" s="402">
        <f t="shared" si="111"/>
        <v>43.696628932406945</v>
      </c>
      <c r="X278" s="157">
        <f t="shared" si="112"/>
        <v>45921</v>
      </c>
      <c r="Y278" s="385">
        <f t="shared" si="113"/>
        <v>41.663100779527902</v>
      </c>
      <c r="Z278" s="385">
        <f t="shared" si="114"/>
        <v>44.164492716932692</v>
      </c>
      <c r="AA278" s="386">
        <f t="shared" si="115"/>
        <v>48.542258624035711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9.0184635639005278E-2</v>
      </c>
      <c r="AD278" s="231">
        <f>(INDEX(Models!$BJ278:$BT278,,AH278)*(1-AF278)+INDEX(Models!$BJ278:$BT278,,AH278+1)*AF278-ERP_i)*AE278*Ramure*Pc/MaxiM</f>
        <v>2.348877246817356E-4</v>
      </c>
      <c r="AE278" s="305">
        <f t="shared" si="117"/>
        <v>0.5</v>
      </c>
      <c r="AF278" s="177">
        <f t="shared" si="118"/>
        <v>0.99039052269999228</v>
      </c>
      <c r="AG278" s="811">
        <f t="shared" si="124"/>
        <v>1</v>
      </c>
      <c r="AH278" s="176">
        <f t="shared" si="119"/>
        <v>7</v>
      </c>
      <c r="AI278" s="225">
        <f t="shared" si="120"/>
        <v>1.9903905226999923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'2024'!Wh/'2024'!Env_an*'2025'!Env_an</f>
        <v>42.55917453539395</v>
      </c>
      <c r="C279" s="841"/>
      <c r="D279" s="393">
        <f t="shared" si="102"/>
        <v>45.1153535790503</v>
      </c>
      <c r="E279" s="385">
        <f t="shared" si="100"/>
        <v>47.293312411032261</v>
      </c>
      <c r="F279" s="385">
        <f t="shared" si="103"/>
        <v>47.293344308799753</v>
      </c>
      <c r="G279" s="110">
        <f t="shared" si="101"/>
        <v>0.99544778982195858</v>
      </c>
      <c r="H279" s="414" t="b">
        <f>Wh_hp&gt;='2024'!Maxi_hp</f>
        <v>1</v>
      </c>
      <c r="I279" s="390">
        <f>IF(H279,Wh_hp,'2024'!Maxi_hp)</f>
        <v>47.293344308799753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5.6658739007275249E-2</v>
      </c>
      <c r="M279" s="845"/>
      <c r="N279" s="845"/>
      <c r="O279" s="48">
        <f>IF(t&lt;Tnet,'2024'!Resal+('2024'!Salim-'2024'!Resal)*(1-EXP(('2024'!Tnet-t)/('2024'!Tau_j))),Resal+(Salim-Resal)*(1-EXP((Tnet-t)/(Tau_j))))*Salcycl</f>
        <v>4.6052152428086246E-2</v>
      </c>
      <c r="P279" s="169">
        <f>(INDEX(Models!$BJ279:$BT279,,T279)*(1-R279)+INDEX(Models!$BJ279:$BT279,,T279+1)*R279-ERP_i)*Q279*Ramure*Pc/MaxiM</f>
        <v>6.7888117836275519E-7</v>
      </c>
      <c r="Q279" s="305">
        <f t="shared" si="105"/>
        <v>0.5</v>
      </c>
      <c r="R279" s="177">
        <f t="shared" si="106"/>
        <v>0.46568743192082351</v>
      </c>
      <c r="S279" s="811">
        <f t="shared" si="107"/>
        <v>-2</v>
      </c>
      <c r="T279" s="176">
        <f t="shared" si="108"/>
        <v>4</v>
      </c>
      <c r="U279" s="251">
        <f t="shared" si="109"/>
        <v>-1.5343125680791765</v>
      </c>
      <c r="V279" s="383">
        <f t="shared" si="110"/>
        <v>42.753798624750253</v>
      </c>
      <c r="W279" s="402">
        <f t="shared" si="111"/>
        <v>42.55917453539395</v>
      </c>
      <c r="X279" s="157">
        <f t="shared" si="112"/>
        <v>45922</v>
      </c>
      <c r="Y279" s="385">
        <f t="shared" si="113"/>
        <v>40.579469568109403</v>
      </c>
      <c r="Z279" s="385">
        <f t="shared" si="114"/>
        <v>43.016744041711497</v>
      </c>
      <c r="AA279" s="386">
        <f t="shared" si="115"/>
        <v>47.280703511462562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9.0183926064410724E-2</v>
      </c>
      <c r="AD279" s="231">
        <f>(INDEX(Models!$BJ279:$BT279,,AH279)*(1-AF279)+INDEX(Models!$BJ279:$BT279,,AH279+1)*AF279-ERP_i)*AE279*Ramure*Pc/MaxiM</f>
        <v>2.6903448316923138E-4</v>
      </c>
      <c r="AE279" s="305">
        <f t="shared" si="117"/>
        <v>0.5</v>
      </c>
      <c r="AF279" s="177">
        <f t="shared" si="118"/>
        <v>0.99067499829480243</v>
      </c>
      <c r="AG279" s="811">
        <f t="shared" si="124"/>
        <v>1</v>
      </c>
      <c r="AH279" s="176">
        <f t="shared" si="119"/>
        <v>7</v>
      </c>
      <c r="AI279" s="225">
        <f t="shared" si="120"/>
        <v>1.9906749982948024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'2024'!Wh/'2024'!Env_an*'2025'!Env_an</f>
        <v>26.890223676318392</v>
      </c>
      <c r="C280" s="841"/>
      <c r="D280" s="393">
        <f t="shared" si="102"/>
        <v>28.505922263837409</v>
      </c>
      <c r="E280" s="385">
        <f t="shared" si="100"/>
        <v>29.883635180191611</v>
      </c>
      <c r="F280" s="385">
        <f t="shared" si="103"/>
        <v>29.883645741491996</v>
      </c>
      <c r="G280" s="110">
        <f t="shared" si="101"/>
        <v>0.63343755251797684</v>
      </c>
      <c r="H280" s="414" t="b">
        <f>Wh_hp&gt;='2024'!Maxi_hp</f>
        <v>0</v>
      </c>
      <c r="I280" s="390">
        <f>IF(H280,Wh_hp,'2024'!Maxi_hp)</f>
        <v>44.303472000025792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5.6679400601912455E-2</v>
      </c>
      <c r="M280" s="845"/>
      <c r="N280" s="845"/>
      <c r="O280" s="48">
        <f>IF(t&lt;Tnet,'2024'!Resal+('2024'!Salim-'2024'!Resal)*(1-EXP(('2024'!Tnet-t)/('2024'!Tau_j))),Resal+(Salim-Resal)*(1-EXP((Tnet-t)/(Tau_j))))*Salcycl</f>
        <v>4.6102587856092531E-2</v>
      </c>
      <c r="P280" s="169">
        <f>(INDEX(Models!$BJ280:$BT280,,T280)*(1-R280)+INDEX(Models!$BJ280:$BT280,,T280+1)*R280-ERP_i)*Q280*Ramure*Pc/MaxiM</f>
        <v>7.4193699305565746E-7</v>
      </c>
      <c r="Q280" s="305">
        <f t="shared" si="105"/>
        <v>0.5</v>
      </c>
      <c r="R280" s="177">
        <f t="shared" si="106"/>
        <v>0.4659607621763886</v>
      </c>
      <c r="S280" s="811">
        <f t="shared" si="107"/>
        <v>-2</v>
      </c>
      <c r="T280" s="176">
        <f t="shared" si="108"/>
        <v>4</v>
      </c>
      <c r="U280" s="251">
        <f t="shared" si="109"/>
        <v>-1.5340392378236114</v>
      </c>
      <c r="V280" s="383">
        <f t="shared" si="110"/>
        <v>42.451245780984578</v>
      </c>
      <c r="W280" s="402">
        <f t="shared" si="111"/>
        <v>26.890223676318392</v>
      </c>
      <c r="X280" s="157">
        <f t="shared" si="112"/>
        <v>45923</v>
      </c>
      <c r="Y280" s="385">
        <f t="shared" si="113"/>
        <v>25.643890389507266</v>
      </c>
      <c r="Z280" s="385">
        <f t="shared" si="114"/>
        <v>27.184703064758764</v>
      </c>
      <c r="AA280" s="386">
        <f t="shared" si="115"/>
        <v>29.879283393464281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9.0182227372123738E-2</v>
      </c>
      <c r="AD280" s="231">
        <f>(INDEX(Models!$BJ280:$BT280,,AH280)*(1-AF280)+INDEX(Models!$BJ280:$BT280,,AH280+1)*AF280-ERP_i)*AE280*Ramure*Pc/MaxiM</f>
        <v>3.0645727897487759E-4</v>
      </c>
      <c r="AE280" s="305">
        <f t="shared" si="117"/>
        <v>0.5</v>
      </c>
      <c r="AF280" s="177">
        <f t="shared" si="118"/>
        <v>0.99094832855036774</v>
      </c>
      <c r="AG280" s="811">
        <f t="shared" si="124"/>
        <v>1</v>
      </c>
      <c r="AH280" s="176">
        <f t="shared" si="119"/>
        <v>7</v>
      </c>
      <c r="AI280" s="225">
        <f t="shared" si="120"/>
        <v>1.9909483285503677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'2024'!Wh/'2024'!Env_an*'2025'!Env_an</f>
        <v>16.857012344226419</v>
      </c>
      <c r="C281" s="841"/>
      <c r="D281" s="393">
        <f t="shared" si="102"/>
        <v>17.870257020680278</v>
      </c>
      <c r="E281" s="385">
        <f t="shared" si="100"/>
        <v>18.734919001136685</v>
      </c>
      <c r="F281" s="385">
        <f t="shared" si="103"/>
        <v>18.734921158012718</v>
      </c>
      <c r="G281" s="110">
        <f t="shared" si="101"/>
        <v>0.39996501295839287</v>
      </c>
      <c r="H281" s="414" t="b">
        <f>Wh_hp&gt;='2024'!Maxi_hp</f>
        <v>0</v>
      </c>
      <c r="I281" s="390">
        <f>IF(H281,Wh_hp,'2024'!Maxi_hp)</f>
        <v>40.249037915880088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5.6700061744007768E-2</v>
      </c>
      <c r="M281" s="845"/>
      <c r="N281" s="845"/>
      <c r="O281" s="48">
        <f>IF(t&lt;Tnet,'2024'!Resal+('2024'!Salim-'2024'!Resal)*(1-EXP(('2024'!Tnet-t)/('2024'!Tau_j))),Resal+(Salim-Resal)*(1-EXP((Tnet-t)/(Tau_j))))*Salcycl</f>
        <v>4.6152426941581511E-2</v>
      </c>
      <c r="P281" s="169">
        <f>(INDEX(Models!$BJ281:$BT281,,T281)*(1-R281)+INDEX(Models!$BJ281:$BT281,,T281+1)*R281-ERP_i)*Q281*Ramure*Pc/MaxiM</f>
        <v>8.0616163692328875E-7</v>
      </c>
      <c r="Q281" s="305">
        <f t="shared" si="105"/>
        <v>0.5</v>
      </c>
      <c r="R281" s="177">
        <f t="shared" si="106"/>
        <v>0.4662233719685247</v>
      </c>
      <c r="S281" s="811">
        <f t="shared" si="107"/>
        <v>-2</v>
      </c>
      <c r="T281" s="176">
        <f t="shared" si="108"/>
        <v>4</v>
      </c>
      <c r="U281" s="251">
        <f t="shared" si="109"/>
        <v>-1.5337766280314753</v>
      </c>
      <c r="V281" s="383">
        <f t="shared" si="110"/>
        <v>42.146188164668153</v>
      </c>
      <c r="W281" s="402">
        <f t="shared" si="111"/>
        <v>16.857012344226419</v>
      </c>
      <c r="X281" s="157">
        <f t="shared" si="112"/>
        <v>45924</v>
      </c>
      <c r="Y281" s="385">
        <f t="shared" si="113"/>
        <v>16.078141834241055</v>
      </c>
      <c r="Z281" s="385">
        <f t="shared" si="114"/>
        <v>17.044570005980194</v>
      </c>
      <c r="AA281" s="386">
        <f t="shared" si="115"/>
        <v>18.733992221619605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9.017950875893746E-2</v>
      </c>
      <c r="AD281" s="231">
        <f>(INDEX(Models!$BJ281:$BT281,,AH281)*(1-AF281)+INDEX(Models!$BJ281:$BT281,,AH281+1)*AF281-ERP_i)*AE281*Ramure*Pc/MaxiM</f>
        <v>3.4720256144925483E-4</v>
      </c>
      <c r="AE281" s="305">
        <f t="shared" si="117"/>
        <v>0.5</v>
      </c>
      <c r="AF281" s="177">
        <f t="shared" si="118"/>
        <v>0.99121093834250362</v>
      </c>
      <c r="AG281" s="811">
        <f t="shared" si="124"/>
        <v>1</v>
      </c>
      <c r="AH281" s="176">
        <f t="shared" si="119"/>
        <v>7</v>
      </c>
      <c r="AI281" s="225">
        <f t="shared" si="120"/>
        <v>1.9912109383425036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'2024'!Wh/'2024'!Env_an*'2025'!Env_an</f>
        <v>29.84084387392463</v>
      </c>
      <c r="C282" s="841"/>
      <c r="D282" s="393">
        <f t="shared" si="102"/>
        <v>31.635216190597525</v>
      </c>
      <c r="E282" s="385">
        <f t="shared" si="100"/>
        <v>33.167614803308147</v>
      </c>
      <c r="F282" s="385">
        <f t="shared" si="103"/>
        <v>33.167634298947419</v>
      </c>
      <c r="G282" s="110">
        <f t="shared" si="101"/>
        <v>0.71322332348936657</v>
      </c>
      <c r="H282" s="414" t="b">
        <f>Wh_hp&gt;='2024'!Maxi_hp</f>
        <v>0</v>
      </c>
      <c r="I282" s="390">
        <f>IF(H282,Wh_hp,'2024'!Maxi_hp)</f>
        <v>46.514117854235721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5.6720722433571069E-2</v>
      </c>
      <c r="M282" s="845"/>
      <c r="N282" s="845"/>
      <c r="O282" s="48">
        <f>IF(t&lt;Tnet,'2024'!Resal+('2024'!Salim-'2024'!Resal)*(1-EXP(('2024'!Tnet-t)/('2024'!Tau_j))),Resal+(Salim-Resal)*(1-EXP((Tnet-t)/(Tau_j))))*Salcycl</f>
        <v>4.6201652479326873E-2</v>
      </c>
      <c r="P282" s="169">
        <f>(INDEX(Models!$BJ282:$BT282,,T282)*(1-R282)+INDEX(Models!$BJ282:$BT282,,T282+1)*R282-ERP_i)*Q282*Ramure*Pc/MaxiM</f>
        <v>9.9571693160694629E-7</v>
      </c>
      <c r="Q282" s="305">
        <f t="shared" si="105"/>
        <v>0.5</v>
      </c>
      <c r="R282" s="177">
        <f t="shared" si="106"/>
        <v>0.46647567089574293</v>
      </c>
      <c r="S282" s="811">
        <f t="shared" si="107"/>
        <v>-2</v>
      </c>
      <c r="T282" s="176">
        <f t="shared" si="108"/>
        <v>4</v>
      </c>
      <c r="U282" s="251">
        <f t="shared" si="109"/>
        <v>-1.5335243291042571</v>
      </c>
      <c r="V282" s="383">
        <f t="shared" si="110"/>
        <v>41.839394083570575</v>
      </c>
      <c r="W282" s="402">
        <f t="shared" si="111"/>
        <v>29.84084387392463</v>
      </c>
      <c r="X282" s="157">
        <f t="shared" si="112"/>
        <v>45925</v>
      </c>
      <c r="Y282" s="385">
        <f t="shared" si="113"/>
        <v>28.458529417721646</v>
      </c>
      <c r="Z282" s="385">
        <f t="shared" si="114"/>
        <v>30.169781203231722</v>
      </c>
      <c r="AA282" s="386">
        <f t="shared" si="115"/>
        <v>33.16000959952104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9.0175739766146137E-2</v>
      </c>
      <c r="AD282" s="231">
        <f>(INDEX(Models!$BJ282:$BT282,,AH282)*(1-AF282)+INDEX(Models!$BJ282:$BT282,,AH282+1)*AF282-ERP_i)*AE282*Ramure*Pc/MaxiM</f>
        <v>3.8942258883833557E-4</v>
      </c>
      <c r="AE282" s="305">
        <f t="shared" si="117"/>
        <v>0.5</v>
      </c>
      <c r="AF282" s="177">
        <f t="shared" si="118"/>
        <v>0.99146323726972208</v>
      </c>
      <c r="AG282" s="811">
        <f t="shared" si="124"/>
        <v>1</v>
      </c>
      <c r="AH282" s="176">
        <f t="shared" si="119"/>
        <v>7</v>
      </c>
      <c r="AI282" s="225">
        <f t="shared" si="120"/>
        <v>1.9914632372697221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'2024'!Wh/'2024'!Env_an*'2025'!Env_an</f>
        <v>32.18244470987549</v>
      </c>
      <c r="C283" s="841"/>
      <c r="D283" s="393">
        <f t="shared" si="102"/>
        <v>34.11836808975297</v>
      </c>
      <c r="E283" s="385">
        <f t="shared" si="100"/>
        <v>35.772872286010909</v>
      </c>
      <c r="F283" s="385">
        <f t="shared" si="103"/>
        <v>35.772904064989156</v>
      </c>
      <c r="G283" s="110">
        <f t="shared" si="101"/>
        <v>0.77488954283701694</v>
      </c>
      <c r="H283" s="414" t="b">
        <f>Wh_hp&gt;='2024'!Maxi_hp</f>
        <v>0</v>
      </c>
      <c r="I283" s="390">
        <f>IF(H283,Wh_hp,'2024'!Maxi_hp)</f>
        <v>46.475483095151723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5.6741382670612239E-2</v>
      </c>
      <c r="M283" s="845"/>
      <c r="N283" s="845"/>
      <c r="O283" s="48">
        <f>IF(t&lt;Tnet,'2024'!Resal+('2024'!Salim-'2024'!Resal)*(1-EXP(('2024'!Tnet-t)/('2024'!Tau_j))),Resal+(Salim-Resal)*(1-EXP((Tnet-t)/(Tau_j))))*Salcycl</f>
        <v>4.6250247478867981E-2</v>
      </c>
      <c r="P283" s="169">
        <f>(INDEX(Models!$BJ283:$BT283,,T283)*(1-R283)+INDEX(Models!$BJ283:$BT283,,T283+1)*R283-ERP_i)*Q283*Ramure*Pc/MaxiM</f>
        <v>1.3094558705311402E-6</v>
      </c>
      <c r="Q283" s="305">
        <f t="shared" si="105"/>
        <v>0.5</v>
      </c>
      <c r="R283" s="177">
        <f t="shared" si="106"/>
        <v>0.46671805375612108</v>
      </c>
      <c r="S283" s="811">
        <f t="shared" si="107"/>
        <v>-2</v>
      </c>
      <c r="T283" s="176">
        <f t="shared" si="108"/>
        <v>4</v>
      </c>
      <c r="U283" s="251">
        <f t="shared" si="109"/>
        <v>-1.5332819462438789</v>
      </c>
      <c r="V283" s="383">
        <f t="shared" si="110"/>
        <v>41.531636934895367</v>
      </c>
      <c r="W283" s="402">
        <f t="shared" si="111"/>
        <v>32.18244470987549</v>
      </c>
      <c r="X283" s="157">
        <f t="shared" si="112"/>
        <v>45926</v>
      </c>
      <c r="Y283" s="385">
        <f t="shared" si="113"/>
        <v>30.691461454367687</v>
      </c>
      <c r="Z283" s="385">
        <f t="shared" si="114"/>
        <v>32.537695273077127</v>
      </c>
      <c r="AA283" s="386">
        <f t="shared" si="115"/>
        <v>35.762424979149571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9.0170890479394111E-2</v>
      </c>
      <c r="AD283" s="231">
        <f>(INDEX(Models!$BJ283:$BT283,,AH283)*(1-AF283)+INDEX(Models!$BJ283:$BT283,,AH283+1)*AF283-ERP_i)*AE283*Ramure*Pc/MaxiM</f>
        <v>4.3179174497882245E-4</v>
      </c>
      <c r="AE283" s="305">
        <f t="shared" si="117"/>
        <v>0.5</v>
      </c>
      <c r="AF283" s="177">
        <f t="shared" si="118"/>
        <v>0.99170562013009977</v>
      </c>
      <c r="AG283" s="811">
        <f t="shared" si="124"/>
        <v>1</v>
      </c>
      <c r="AH283" s="176">
        <f t="shared" si="119"/>
        <v>7</v>
      </c>
      <c r="AI283" s="225">
        <f t="shared" si="120"/>
        <v>1.9917056201300998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'2024'!Wh/'2024'!Env_an*'2025'!Env_an</f>
        <v>14.546376326853458</v>
      </c>
      <c r="C284" s="841"/>
      <c r="D284" s="393">
        <f t="shared" si="102"/>
        <v>15.421746135742907</v>
      </c>
      <c r="E284" s="385">
        <f t="shared" si="100"/>
        <v>16.17040678683578</v>
      </c>
      <c r="F284" s="385">
        <f t="shared" si="103"/>
        <v>16.170408923159101</v>
      </c>
      <c r="G284" s="110">
        <f t="shared" si="101"/>
        <v>0.3528639212207359</v>
      </c>
      <c r="H284" s="414" t="b">
        <f>Wh_hp&gt;='2024'!Maxi_hp</f>
        <v>0</v>
      </c>
      <c r="I284" s="390">
        <f>IF(H284,Wh_hp,'2024'!Maxi_hp)</f>
        <v>45.12039737403196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5.676204245514116E-2</v>
      </c>
      <c r="M284" s="845"/>
      <c r="N284" s="845"/>
      <c r="O284" s="48">
        <f>IF(t&lt;Tnet,'2024'!Resal+('2024'!Salim-'2024'!Resal)*(1-EXP(('2024'!Tnet-t)/('2024'!Tau_j))),Resal+(Salim-Resal)*(1-EXP((Tnet-t)/(Tau_j))))*Salcycl</f>
        <v>4.6298195274985479E-2</v>
      </c>
      <c r="P284" s="169">
        <f>(INDEX(Models!$BJ284:$BT284,,T284)*(1-R284)+INDEX(Models!$BJ284:$BT284,,T284+1)*R284-ERP_i)*Q284*Ramure*Pc/MaxiM</f>
        <v>1.7493630794118271E-6</v>
      </c>
      <c r="Q284" s="305">
        <f t="shared" si="105"/>
        <v>0.5</v>
      </c>
      <c r="R284" s="177">
        <f t="shared" si="106"/>
        <v>0.46695090101519021</v>
      </c>
      <c r="S284" s="811">
        <f t="shared" si="107"/>
        <v>-2</v>
      </c>
      <c r="T284" s="176">
        <f t="shared" si="108"/>
        <v>4</v>
      </c>
      <c r="U284" s="251">
        <f t="shared" si="109"/>
        <v>-1.5330490989848098</v>
      </c>
      <c r="V284" s="383">
        <f t="shared" si="110"/>
        <v>41.223689719823781</v>
      </c>
      <c r="W284" s="402">
        <f t="shared" si="111"/>
        <v>14.546376326853458</v>
      </c>
      <c r="X284" s="157">
        <f t="shared" si="112"/>
        <v>45927</v>
      </c>
      <c r="Y284" s="385">
        <f t="shared" si="113"/>
        <v>13.876801871071502</v>
      </c>
      <c r="Z284" s="385">
        <f t="shared" si="114"/>
        <v>14.711878121604901</v>
      </c>
      <c r="AA284" s="386">
        <f t="shared" si="115"/>
        <v>16.16982971402339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9.0164931740380067E-2</v>
      </c>
      <c r="AD284" s="231">
        <f>(INDEX(Models!$BJ284:$BT284,,AH284)*(1-AF284)+INDEX(Models!$BJ284:$BT284,,AH284+1)*AF284-ERP_i)*AE284*Ramure*Pc/MaxiM</f>
        <v>4.7429481646311321E-4</v>
      </c>
      <c r="AE284" s="305">
        <f t="shared" si="117"/>
        <v>0.5</v>
      </c>
      <c r="AF284" s="177">
        <f t="shared" si="118"/>
        <v>0.99193846738916913</v>
      </c>
      <c r="AG284" s="811">
        <f t="shared" si="124"/>
        <v>1</v>
      </c>
      <c r="AH284" s="176">
        <f t="shared" si="119"/>
        <v>7</v>
      </c>
      <c r="AI284" s="225">
        <f t="shared" si="120"/>
        <v>1.9919384673891691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'2024'!Wh/'2024'!Env_an*'2025'!Env_an</f>
        <v>16.714861511460157</v>
      </c>
      <c r="C285" s="841"/>
      <c r="D285" s="393">
        <f t="shared" si="102"/>
        <v>17.72111425769095</v>
      </c>
      <c r="E285" s="385">
        <f t="shared" si="100"/>
        <v>18.582320829435467</v>
      </c>
      <c r="F285" s="385">
        <f t="shared" si="103"/>
        <v>18.582327504879601</v>
      </c>
      <c r="G285" s="110">
        <f t="shared" si="101"/>
        <v>0.40851246315774958</v>
      </c>
      <c r="H285" s="414" t="b">
        <f>Wh_hp&gt;='2024'!Maxi_hp</f>
        <v>0</v>
      </c>
      <c r="I285" s="390">
        <f>IF(H285,Wh_hp,'2024'!Maxi_hp)</f>
        <v>42.169880552957594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5.6782701787167822E-2</v>
      </c>
      <c r="M285" s="845"/>
      <c r="N285" s="845"/>
      <c r="O285" s="48">
        <f>IF(t&lt;Tnet,'2024'!Resal+('2024'!Salim-'2024'!Resal)*(1-EXP(('2024'!Tnet-t)/('2024'!Tau_j))),Resal+(Salim-Resal)*(1-EXP((Tnet-t)/(Tau_j))))*Salcycl</f>
        <v>4.6345479644303515E-2</v>
      </c>
      <c r="P285" s="169">
        <f>(INDEX(Models!$BJ285:$BT285,,T285)*(1-R285)+INDEX(Models!$BJ285:$BT285,,T285+1)*R285-ERP_i)*Q285*Ramure*Pc/MaxiM</f>
        <v>2.3173694233306899E-6</v>
      </c>
      <c r="Q285" s="305">
        <f t="shared" si="105"/>
        <v>0.5</v>
      </c>
      <c r="R285" s="177">
        <f t="shared" si="106"/>
        <v>0.46717457926447681</v>
      </c>
      <c r="S285" s="811">
        <f t="shared" si="107"/>
        <v>-2</v>
      </c>
      <c r="T285" s="176">
        <f t="shared" si="108"/>
        <v>4</v>
      </c>
      <c r="U285" s="251">
        <f t="shared" si="109"/>
        <v>-1.5328254207355232</v>
      </c>
      <c r="V285" s="383">
        <f t="shared" si="110"/>
        <v>40.916325177250926</v>
      </c>
      <c r="W285" s="402">
        <f t="shared" si="111"/>
        <v>16.714861511460157</v>
      </c>
      <c r="X285" s="157">
        <f t="shared" si="112"/>
        <v>45928</v>
      </c>
      <c r="Y285" s="385">
        <f t="shared" si="113"/>
        <v>15.945682939034821</v>
      </c>
      <c r="Z285" s="385">
        <f t="shared" si="114"/>
        <v>16.905630303057439</v>
      </c>
      <c r="AA285" s="386">
        <f t="shared" si="115"/>
        <v>18.580838479733007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9.0157835369097869E-2</v>
      </c>
      <c r="AD285" s="231">
        <f>(INDEX(Models!$BJ285:$BT285,,AH285)*(1-AF285)+INDEX(Models!$BJ285:$BT285,,AH285+1)*AF285-ERP_i)*AE285*Ramure*Pc/MaxiM</f>
        <v>5.1691262431239021E-4</v>
      </c>
      <c r="AE285" s="305">
        <f t="shared" si="117"/>
        <v>0.5</v>
      </c>
      <c r="AF285" s="177">
        <f t="shared" si="118"/>
        <v>0.99216214563845573</v>
      </c>
      <c r="AG285" s="811">
        <f t="shared" si="124"/>
        <v>1</v>
      </c>
      <c r="AH285" s="176">
        <f t="shared" si="119"/>
        <v>7</v>
      </c>
      <c r="AI285" s="225">
        <f t="shared" si="120"/>
        <v>1.9921621456384557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'2024'!Wh/'2024'!Env_an*'2025'!Env_an</f>
        <v>22.924774053081819</v>
      </c>
      <c r="C286" s="841"/>
      <c r="D286" s="393">
        <f t="shared" si="102"/>
        <v>24.30540260330686</v>
      </c>
      <c r="E286" s="385">
        <f t="shared" si="100"/>
        <v>25.487836477797831</v>
      </c>
      <c r="F286" s="385">
        <f t="shared" si="103"/>
        <v>25.487865518353537</v>
      </c>
      <c r="G286" s="110">
        <f t="shared" si="101"/>
        <v>0.56450511659914793</v>
      </c>
      <c r="H286" s="414" t="b">
        <f>Wh_hp&gt;='2024'!Maxi_hp</f>
        <v>0</v>
      </c>
      <c r="I286" s="390">
        <f>IF(H286,Wh_hp,'2024'!Maxi_hp)</f>
        <v>44.457549596928516</v>
      </c>
      <c r="J286" s="85">
        <f>IF(H286,An,'2024'!An_max)</f>
        <v>2019</v>
      </c>
      <c r="K286" s="197">
        <f t="shared" si="104"/>
        <v>45929</v>
      </c>
      <c r="L286" s="147">
        <f>IF(t&lt;Tvie,1-EXP((T0-t)*PertePVj)+'2024'!Pspv,1-EXP((T0-t)*PertePVj)+Pspv)</f>
        <v>5.6803360666702107E-2</v>
      </c>
      <c r="M286" s="845"/>
      <c r="N286" s="845"/>
      <c r="O286" s="48">
        <f>IF(t&lt;Tnet,'2024'!Resal+('2024'!Salim-'2024'!Resal)*(1-EXP(('2024'!Tnet-t)/('2024'!Tau_j))),Resal+(Salim-Resal)*(1-EXP((Tnet-t)/(Tau_j))))*Salcycl</f>
        <v>4.6392084927293707E-2</v>
      </c>
      <c r="P286" s="169">
        <f>(INDEX(Models!$BJ286:$BT286,,T286)*(1-R286)+INDEX(Models!$BJ286:$BT286,,T286+1)*R286-ERP_i)*Q286*Ramure*Pc/MaxiM</f>
        <v>3.0153218822631902E-6</v>
      </c>
      <c r="Q286" s="305">
        <f t="shared" si="105"/>
        <v>0.5</v>
      </c>
      <c r="R286" s="177">
        <f t="shared" si="106"/>
        <v>0.46738944167038721</v>
      </c>
      <c r="S286" s="811">
        <f t="shared" si="107"/>
        <v>-2</v>
      </c>
      <c r="T286" s="176">
        <f t="shared" si="108"/>
        <v>4</v>
      </c>
      <c r="U286" s="251">
        <f t="shared" si="109"/>
        <v>-1.5326105583296128</v>
      </c>
      <c r="V286" s="383">
        <f t="shared" si="110"/>
        <v>40.610315785569746</v>
      </c>
      <c r="W286" s="402">
        <f t="shared" si="111"/>
        <v>22.924774053081819</v>
      </c>
      <c r="X286" s="157">
        <f t="shared" si="112"/>
        <v>45929</v>
      </c>
      <c r="Y286" s="385">
        <f t="shared" si="113"/>
        <v>21.868241821198634</v>
      </c>
      <c r="Z286" s="385">
        <f t="shared" si="114"/>
        <v>23.185241453633978</v>
      </c>
      <c r="AA286" s="386">
        <f t="shared" si="115"/>
        <v>25.482475801690637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9.0149574395131993E-2</v>
      </c>
      <c r="AD286" s="231">
        <f>(INDEX(Models!$BJ286:$BT286,,AH286)*(1-AF286)+INDEX(Models!$BJ286:$BT286,,AH286+1)*AF286-ERP_i)*AE286*Ramure*Pc/MaxiM</f>
        <v>5.5962188726275312E-4</v>
      </c>
      <c r="AE286" s="305">
        <f t="shared" si="117"/>
        <v>0.5</v>
      </c>
      <c r="AF286" s="177">
        <f t="shared" si="118"/>
        <v>0.9923770080443659</v>
      </c>
      <c r="AG286" s="811">
        <f t="shared" si="124"/>
        <v>1</v>
      </c>
      <c r="AH286" s="176">
        <f t="shared" si="119"/>
        <v>7</v>
      </c>
      <c r="AI286" s="225">
        <f t="shared" si="120"/>
        <v>1.9923770080443659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'2024'!Wh/'2024'!Env_an*'2025'!Env_an</f>
        <v>28.014280709040904</v>
      </c>
      <c r="C287" s="841"/>
      <c r="D287" s="393">
        <f t="shared" si="102"/>
        <v>29.70207180437686</v>
      </c>
      <c r="E287" s="385">
        <f t="shared" si="100"/>
        <v>31.148547954518556</v>
      </c>
      <c r="F287" s="385">
        <f t="shared" si="103"/>
        <v>31.148615541708985</v>
      </c>
      <c r="G287" s="110">
        <f t="shared" si="101"/>
        <v>0.69503131797376361</v>
      </c>
      <c r="H287" s="414" t="b">
        <f>Wh_hp&gt;='2024'!Maxi_hp</f>
        <v>0</v>
      </c>
      <c r="I287" s="390">
        <f>IF(H287,Wh_hp,'2024'!Maxi_hp)</f>
        <v>41.406216750872005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5.6824019093753786E-2</v>
      </c>
      <c r="M287" s="845"/>
      <c r="N287" s="845"/>
      <c r="O287" s="48">
        <f>IF(t&lt;Tnet,'2024'!Resal+('2024'!Salim-'2024'!Resal)*(1-EXP(('2024'!Tnet-t)/('2024'!Tau_j))),Resal+(Salim-Resal)*(1-EXP((Tnet-t)/(Tau_j))))*Salcycl</f>
        <v>4.6437996154869349E-2</v>
      </c>
      <c r="P287" s="169">
        <f>(INDEX(Models!$BJ287:$BT287,,T287)*(1-R287)+INDEX(Models!$BJ287:$BT287,,T287+1)*R287-ERP_i)*Q287*Ramure*Pc/MaxiM</f>
        <v>3.8449515997025265E-6</v>
      </c>
      <c r="Q287" s="305">
        <f t="shared" si="105"/>
        <v>0.5</v>
      </c>
      <c r="R287" s="177">
        <f t="shared" si="106"/>
        <v>0.46759582841319602</v>
      </c>
      <c r="S287" s="811">
        <f t="shared" si="107"/>
        <v>-2</v>
      </c>
      <c r="T287" s="176">
        <f t="shared" si="108"/>
        <v>4</v>
      </c>
      <c r="U287" s="251">
        <f t="shared" si="109"/>
        <v>-1.532404171586804</v>
      </c>
      <c r="V287" s="383">
        <f t="shared" si="110"/>
        <v>40.306433763695289</v>
      </c>
      <c r="W287" s="402">
        <f t="shared" si="111"/>
        <v>28.014280709040904</v>
      </c>
      <c r="X287" s="157">
        <f t="shared" si="112"/>
        <v>45930</v>
      </c>
      <c r="Y287" s="385">
        <f t="shared" si="113"/>
        <v>26.721346011187929</v>
      </c>
      <c r="Z287" s="385">
        <f t="shared" si="114"/>
        <v>28.331240990162673</v>
      </c>
      <c r="AA287" s="386">
        <f t="shared" si="115"/>
        <v>31.138026541850721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9.014012329636939E-2</v>
      </c>
      <c r="AD287" s="231">
        <f>(INDEX(Models!$BJ287:$BT287,,AH287)*(1-AF287)+INDEX(Models!$BJ287:$BT287,,AH287+1)*AF287-ERP_i)*AE287*Ramure*Pc/MaxiM</f>
        <v>6.0239509419832507E-4</v>
      </c>
      <c r="AE287" s="305">
        <f t="shared" si="117"/>
        <v>0.5</v>
      </c>
      <c r="AF287" s="177">
        <f t="shared" si="118"/>
        <v>0.99258339478717494</v>
      </c>
      <c r="AG287" s="811">
        <f t="shared" si="124"/>
        <v>1</v>
      </c>
      <c r="AH287" s="176">
        <f t="shared" si="119"/>
        <v>7</v>
      </c>
      <c r="AI287" s="225">
        <f t="shared" si="120"/>
        <v>1.9925833947871749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'2024'!Wh/'2024'!Env_an*'2025'!Env_an</f>
        <v>33.597576227261712</v>
      </c>
      <c r="C288" s="841"/>
      <c r="D288" s="393">
        <f t="shared" si="102"/>
        <v>35.622527287264127</v>
      </c>
      <c r="E288" s="385">
        <f t="shared" si="100"/>
        <v>37.359097665169919</v>
      </c>
      <c r="F288" s="385">
        <f t="shared" si="103"/>
        <v>37.359236182122444</v>
      </c>
      <c r="G288" s="110">
        <f t="shared" si="101"/>
        <v>0.83982403308388165</v>
      </c>
      <c r="H288" s="414" t="b">
        <f>Wh_hp&gt;='2024'!Maxi_hp</f>
        <v>0</v>
      </c>
      <c r="I288" s="390">
        <f>IF(H288,Wh_hp,'2024'!Maxi_hp)</f>
        <v>43.530133856028712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5.6844677068333072E-2</v>
      </c>
      <c r="M288" s="845"/>
      <c r="N288" s="845"/>
      <c r="O288" s="48">
        <f>IF(t&lt;Tnet,'2024'!Resal+('2024'!Salim-'2024'!Resal)*(1-EXP(('2024'!Tnet-t)/('2024'!Tau_j))),Resal+(Salim-Resal)*(1-EXP((Tnet-t)/(Tau_j))))*Salcycl</f>
        <v>4.6483199178678422E-2</v>
      </c>
      <c r="P288" s="169">
        <f>(INDEX(Models!$BJ288:$BT288,,T288)*(1-R288)+INDEX(Models!$BJ288:$BT288,,T288+1)*R288-ERP_i)*Q288*Ramure*Pc/MaxiM</f>
        <v>4.8078401615425833E-6</v>
      </c>
      <c r="Q288" s="305">
        <f t="shared" si="105"/>
        <v>0.5</v>
      </c>
      <c r="R288" s="177">
        <f t="shared" si="106"/>
        <v>0.4677940671159444</v>
      </c>
      <c r="S288" s="811">
        <f t="shared" si="107"/>
        <v>-2</v>
      </c>
      <c r="T288" s="176">
        <f t="shared" si="108"/>
        <v>4</v>
      </c>
      <c r="U288" s="251">
        <f t="shared" si="109"/>
        <v>-1.5322059328840556</v>
      </c>
      <c r="V288" s="383">
        <f t="shared" si="110"/>
        <v>40.005451072662041</v>
      </c>
      <c r="W288" s="402">
        <f t="shared" si="111"/>
        <v>33.597576227261712</v>
      </c>
      <c r="X288" s="157">
        <f t="shared" si="112"/>
        <v>45931</v>
      </c>
      <c r="Y288" s="385">
        <f t="shared" si="113"/>
        <v>32.043848485774348</v>
      </c>
      <c r="Z288" s="385">
        <f t="shared" si="114"/>
        <v>33.97515521215584</v>
      </c>
      <c r="AA288" s="386">
        <f t="shared" si="115"/>
        <v>37.340647545926068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9.0129458243350793E-2</v>
      </c>
      <c r="AD288" s="231">
        <f>(INDEX(Models!$BJ288:$BT288,,AH288)*(1-AF288)+INDEX(Models!$BJ288:$BT288,,AH288+1)*AF288-ERP_i)*AE288*Ramure*Pc/MaxiM</f>
        <v>6.4520038900900997E-4</v>
      </c>
      <c r="AE288" s="305">
        <f t="shared" si="117"/>
        <v>0.5</v>
      </c>
      <c r="AF288" s="177">
        <f t="shared" si="118"/>
        <v>0.99278163348992332</v>
      </c>
      <c r="AG288" s="811">
        <f t="shared" si="124"/>
        <v>1</v>
      </c>
      <c r="AH288" s="176">
        <f t="shared" si="119"/>
        <v>7</v>
      </c>
      <c r="AI288" s="225">
        <f t="shared" si="120"/>
        <v>1.9927816334899233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'2024'!Wh/'2024'!Env_an*'2025'!Env_an</f>
        <v>37.452607574639153</v>
      </c>
      <c r="C289" s="841"/>
      <c r="D289" s="393">
        <f t="shared" si="102"/>
        <v>39.710774026501916</v>
      </c>
      <c r="E289" s="385">
        <f t="shared" si="100"/>
        <v>41.648586148775507</v>
      </c>
      <c r="F289" s="385">
        <f t="shared" si="103"/>
        <v>41.648812169883385</v>
      </c>
      <c r="G289" s="110">
        <f t="shared" si="101"/>
        <v>0.94324265755541381</v>
      </c>
      <c r="H289" s="414" t="b">
        <f>Wh_hp&gt;='2024'!Maxi_hp</f>
        <v>0</v>
      </c>
      <c r="I289" s="390">
        <f>IF(H289,Wh_hp,'2024'!Maxi_hp)</f>
        <v>44.550821163435508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5.6865334590449512E-2</v>
      </c>
      <c r="M289" s="845"/>
      <c r="N289" s="845"/>
      <c r="O289" s="48">
        <f>IF(t&lt;Tnet,'2024'!Resal+('2024'!Salim-'2024'!Resal)*(1-EXP(('2024'!Tnet-t)/('2024'!Tau_j))),Resal+(Salim-Resal)*(1-EXP((Tnet-t)/(Tau_j))))*Salcycl</f>
        <v>4.652768080413125E-2</v>
      </c>
      <c r="P289" s="169">
        <f>(INDEX(Models!$BJ289:$BT289,,T289)*(1-R289)+INDEX(Models!$BJ289:$BT289,,T289+1)*R289-ERP_i)*Q289*Ramure*Pc/MaxiM</f>
        <v>5.9056713803950858E-6</v>
      </c>
      <c r="Q289" s="305">
        <f t="shared" si="105"/>
        <v>0.5</v>
      </c>
      <c r="R289" s="177">
        <f t="shared" si="106"/>
        <v>0.46798447326310066</v>
      </c>
      <c r="S289" s="811">
        <f t="shared" si="107"/>
        <v>-2</v>
      </c>
      <c r="T289" s="176">
        <f t="shared" si="108"/>
        <v>4</v>
      </c>
      <c r="U289" s="251">
        <f t="shared" si="109"/>
        <v>-1.5320155267368993</v>
      </c>
      <c r="V289" s="383">
        <f t="shared" si="110"/>
        <v>39.706208514598764</v>
      </c>
      <c r="W289" s="402">
        <f t="shared" si="111"/>
        <v>37.452607574639153</v>
      </c>
      <c r="X289" s="157">
        <f t="shared" si="112"/>
        <v>45932</v>
      </c>
      <c r="Y289" s="385">
        <f t="shared" si="113"/>
        <v>35.717984441089342</v>
      </c>
      <c r="Z289" s="385">
        <f t="shared" si="114"/>
        <v>37.871563575259984</v>
      </c>
      <c r="AA289" s="386">
        <f t="shared" si="115"/>
        <v>41.622479784147117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9.0117557347358129E-2</v>
      </c>
      <c r="AD289" s="231">
        <f>(INDEX(Models!$BJ289:$BT289,,AH289)*(1-AF289)+INDEX(Models!$BJ289:$BT289,,AH289+1)*AF289-ERP_i)*AE289*Ramure*Pc/MaxiM</f>
        <v>6.8803492858946446E-4</v>
      </c>
      <c r="AE289" s="305">
        <f t="shared" si="117"/>
        <v>0.5</v>
      </c>
      <c r="AF289" s="177">
        <f t="shared" si="118"/>
        <v>0.99297203963707958</v>
      </c>
      <c r="AG289" s="811">
        <f t="shared" si="124"/>
        <v>1</v>
      </c>
      <c r="AH289" s="176">
        <f t="shared" si="119"/>
        <v>7</v>
      </c>
      <c r="AI289" s="225">
        <f t="shared" si="120"/>
        <v>1.9929720396370796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'2024'!Wh/'2024'!Env_an*'2025'!Env_an</f>
        <v>34.065716788490597</v>
      </c>
      <c r="C290" s="841"/>
      <c r="D290" s="393">
        <f t="shared" si="102"/>
        <v>36.120465274876643</v>
      </c>
      <c r="E290" s="385">
        <f t="shared" si="100"/>
        <v>37.884815255909018</v>
      </c>
      <c r="F290" s="385">
        <f t="shared" si="103"/>
        <v>37.88503603476893</v>
      </c>
      <c r="G290" s="110">
        <f t="shared" si="101"/>
        <v>0.86445667417935146</v>
      </c>
      <c r="H290" s="414" t="b">
        <f>Wh_hp&gt;='2024'!Maxi_hp</f>
        <v>0</v>
      </c>
      <c r="I290" s="390">
        <f>IF(H290,Wh_hp,'2024'!Maxi_hp)</f>
        <v>42.516161138689995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5.6885991660113322E-2</v>
      </c>
      <c r="M290" s="845"/>
      <c r="N290" s="845"/>
      <c r="O290" s="48">
        <f>IF(t&lt;Tnet,'2024'!Resal+('2024'!Salim-'2024'!Resal)*(1-EXP(('2024'!Tnet-t)/('2024'!Tau_j))),Resal+(Salim-Resal)*(1-EXP((Tnet-t)/(Tau_j))))*Salcycl</f>
        <v>4.657142892513335E-2</v>
      </c>
      <c r="P290" s="169">
        <f>(INDEX(Models!$BJ290:$BT290,,T290)*(1-R290)+INDEX(Models!$BJ290:$BT290,,T290+1)*R290-ERP_i)*Q290*Ramure*Pc/MaxiM</f>
        <v>7.2269704407383357E-6</v>
      </c>
      <c r="Q290" s="305">
        <f t="shared" si="105"/>
        <v>0.5</v>
      </c>
      <c r="R290" s="177">
        <f t="shared" si="106"/>
        <v>0.46816735060888881</v>
      </c>
      <c r="S290" s="811">
        <f t="shared" si="107"/>
        <v>-2</v>
      </c>
      <c r="T290" s="176">
        <f t="shared" si="108"/>
        <v>4</v>
      </c>
      <c r="U290" s="251">
        <f t="shared" si="109"/>
        <v>-1.5318326493911112</v>
      </c>
      <c r="V290" s="383">
        <f t="shared" si="110"/>
        <v>39.407028871651086</v>
      </c>
      <c r="W290" s="402">
        <f t="shared" si="111"/>
        <v>34.065716788490597</v>
      </c>
      <c r="X290" s="157">
        <f t="shared" si="112"/>
        <v>45933</v>
      </c>
      <c r="Y290" s="385">
        <f t="shared" si="113"/>
        <v>32.491431330714491</v>
      </c>
      <c r="Z290" s="385">
        <f t="shared" si="114"/>
        <v>34.451223333971498</v>
      </c>
      <c r="AA290" s="386">
        <f t="shared" si="115"/>
        <v>37.862831041753829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9.0104400910225854E-2</v>
      </c>
      <c r="AD290" s="231">
        <f>(INDEX(Models!$BJ290:$BT290,,AH290)*(1-AF290)+INDEX(Models!$BJ290:$BT290,,AH290+1)*AF290-ERP_i)*AE290*Ramure*Pc/MaxiM</f>
        <v>7.2685776265911503E-4</v>
      </c>
      <c r="AE290" s="305">
        <f t="shared" si="117"/>
        <v>0.5</v>
      </c>
      <c r="AF290" s="177">
        <f t="shared" si="118"/>
        <v>0.99315491698286773</v>
      </c>
      <c r="AG290" s="811">
        <f t="shared" si="124"/>
        <v>1</v>
      </c>
      <c r="AH290" s="176">
        <f t="shared" si="119"/>
        <v>7</v>
      </c>
      <c r="AI290" s="225">
        <f t="shared" si="120"/>
        <v>1.9931549169828677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'2024'!Wh/'2024'!Env_an*'2025'!Env_an</f>
        <v>38.33234851565576</v>
      </c>
      <c r="C291" s="841"/>
      <c r="D291" s="393">
        <f t="shared" si="102"/>
        <v>40.645338497655004</v>
      </c>
      <c r="E291" s="385">
        <f t="shared" si="100"/>
        <v>42.632634570957315</v>
      </c>
      <c r="F291" s="385">
        <f t="shared" si="103"/>
        <v>42.632998176352956</v>
      </c>
      <c r="G291" s="110">
        <f t="shared" si="101"/>
        <v>0.98016838895797898</v>
      </c>
      <c r="H291" s="414" t="b">
        <f>Wh_hp&gt;='2024'!Maxi_hp</f>
        <v>1</v>
      </c>
      <c r="I291" s="390">
        <f>IF(H291,Wh_hp,'2024'!Maxi_hp)</f>
        <v>42.632998176352956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5.6906648277334271E-2</v>
      </c>
      <c r="M291" s="845"/>
      <c r="N291" s="845"/>
      <c r="O291" s="48">
        <f>IF(t&lt;Tnet,'2024'!Resal+('2024'!Salim-'2024'!Resal)*(1-EXP(('2024'!Tnet-t)/('2024'!Tau_j))),Resal+(Salim-Resal)*(1-EXP((Tnet-t)/(Tau_j))))*Salcycl</f>
        <v>4.6614432659437793E-2</v>
      </c>
      <c r="P291" s="169">
        <f>(INDEX(Models!$BJ291:$BT291,,T291)*(1-R291)+INDEX(Models!$BJ291:$BT291,,T291+1)*R291-ERP_i)*Q291*Ramure*Pc/MaxiM</f>
        <v>8.7773998709983662E-6</v>
      </c>
      <c r="Q291" s="305">
        <f t="shared" si="105"/>
        <v>0.5</v>
      </c>
      <c r="R291" s="177">
        <f t="shared" si="106"/>
        <v>0.4683429915752193</v>
      </c>
      <c r="S291" s="811">
        <f t="shared" si="107"/>
        <v>-2</v>
      </c>
      <c r="T291" s="176">
        <f t="shared" si="108"/>
        <v>4</v>
      </c>
      <c r="U291" s="251">
        <f t="shared" si="109"/>
        <v>-1.5316570084247807</v>
      </c>
      <c r="V291" s="383">
        <f t="shared" si="110"/>
        <v>39.107911880614822</v>
      </c>
      <c r="W291" s="402">
        <f t="shared" si="111"/>
        <v>38.33234851565576</v>
      </c>
      <c r="X291" s="157">
        <f t="shared" si="112"/>
        <v>45934</v>
      </c>
      <c r="Y291" s="385">
        <f t="shared" si="113"/>
        <v>36.557645483456454</v>
      </c>
      <c r="Z291" s="385">
        <f t="shared" si="114"/>
        <v>38.763549140368575</v>
      </c>
      <c r="AA291" s="386">
        <f t="shared" si="115"/>
        <v>42.601518758589599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9.0089971673772543E-2</v>
      </c>
      <c r="AD291" s="231">
        <f>(INDEX(Models!$BJ291:$BT291,,AH291)*(1-AF291)+INDEX(Models!$BJ291:$BT291,,AH291+1)*AF291-ERP_i)*AE291*Ramure*Pc/MaxiM</f>
        <v>7.5991016836081144E-4</v>
      </c>
      <c r="AE291" s="305">
        <f t="shared" si="117"/>
        <v>0.5</v>
      </c>
      <c r="AF291" s="177">
        <f t="shared" si="118"/>
        <v>0.99333055794919822</v>
      </c>
      <c r="AG291" s="811">
        <f t="shared" si="124"/>
        <v>1</v>
      </c>
      <c r="AH291" s="176">
        <f t="shared" si="119"/>
        <v>7</v>
      </c>
      <c r="AI291" s="225">
        <f t="shared" si="120"/>
        <v>1.9933305579491982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'2024'!Wh/'2024'!Env_an*'2025'!Env_an</f>
        <v>39.536402040343013</v>
      </c>
      <c r="C292" s="841"/>
      <c r="D292" s="393">
        <f t="shared" si="102"/>
        <v>41.922963337365125</v>
      </c>
      <c r="E292" s="385">
        <f t="shared" si="100"/>
        <v>43.974675824629038</v>
      </c>
      <c r="F292" s="385">
        <f t="shared" si="103"/>
        <v>43.975140189809309</v>
      </c>
      <c r="G292" s="110">
        <f t="shared" si="101"/>
        <v>1.018746872792742</v>
      </c>
      <c r="H292" s="414" t="b">
        <f>Wh_hp&gt;='2024'!Maxi_hp</f>
        <v>1</v>
      </c>
      <c r="I292" s="390">
        <f>IF(H292,Wh_hp,'2024'!Maxi_hp)</f>
        <v>43.975140189809309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5.692730444212224E-2</v>
      </c>
      <c r="M292" s="845"/>
      <c r="N292" s="845"/>
      <c r="O292" s="48">
        <f>IF(t&lt;Tnet,'2024'!Resal+('2024'!Salim-'2024'!Resal)*(1-EXP(('2024'!Tnet-t)/('2024'!Tau_j))),Resal+(Salim-Resal)*(1-EXP((Tnet-t)/(Tau_j))))*Salcycl</f>
        <v>4.6656682483485291E-2</v>
      </c>
      <c r="P292" s="169">
        <f>(INDEX(Models!$BJ292:$BT292,,T292)*(1-R292)+INDEX(Models!$BJ292:$BT292,,T292+1)*R292-ERP_i)*Q292*Ramure*Pc/MaxiM</f>
        <v>1.0559720293548219E-5</v>
      </c>
      <c r="Q292" s="305">
        <f t="shared" si="105"/>
        <v>0.5</v>
      </c>
      <c r="R292" s="177">
        <f t="shared" si="106"/>
        <v>0.46851167763920087</v>
      </c>
      <c r="S292" s="811">
        <f t="shared" si="107"/>
        <v>-2</v>
      </c>
      <c r="T292" s="176">
        <f t="shared" si="108"/>
        <v>4</v>
      </c>
      <c r="U292" s="251">
        <f t="shared" si="109"/>
        <v>-1.5314883223607991</v>
      </c>
      <c r="V292" s="383">
        <f t="shared" si="110"/>
        <v>38.808857328768902</v>
      </c>
      <c r="W292" s="402">
        <f t="shared" si="111"/>
        <v>39.536402040343013</v>
      </c>
      <c r="X292" s="157">
        <f t="shared" si="112"/>
        <v>45935</v>
      </c>
      <c r="Y292" s="385">
        <f t="shared" si="113"/>
        <v>37.70651435284357</v>
      </c>
      <c r="Z292" s="385">
        <f t="shared" si="114"/>
        <v>39.982616960973679</v>
      </c>
      <c r="AA292" s="386">
        <f t="shared" si="115"/>
        <v>43.940527217309999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9.0074255066678655E-2</v>
      </c>
      <c r="AD292" s="231">
        <f>(INDEX(Models!$BJ292:$BT292,,AH292)*(1-AF292)+INDEX(Models!$BJ292:$BT292,,AH292+1)*AF292-ERP_i)*AE292*Ramure*Pc/MaxiM</f>
        <v>7.8710317579223227E-4</v>
      </c>
      <c r="AE292" s="305">
        <f t="shared" si="117"/>
        <v>0.5</v>
      </c>
      <c r="AF292" s="177">
        <f t="shared" si="118"/>
        <v>0.99349924401317979</v>
      </c>
      <c r="AG292" s="811">
        <f t="shared" si="124"/>
        <v>1</v>
      </c>
      <c r="AH292" s="176">
        <f t="shared" si="119"/>
        <v>7</v>
      </c>
      <c r="AI292" s="225">
        <f t="shared" si="120"/>
        <v>1.9934992440131798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'2024'!Wh/'2024'!Env_an*'2025'!Env_an</f>
        <v>11.541844512645536</v>
      </c>
      <c r="C293" s="841"/>
      <c r="D293" s="393">
        <f t="shared" si="102"/>
        <v>12.238820367258077</v>
      </c>
      <c r="E293" s="385">
        <f t="shared" si="100"/>
        <v>12.838347716117672</v>
      </c>
      <c r="F293" s="385">
        <f t="shared" si="103"/>
        <v>12.838347716117672</v>
      </c>
      <c r="G293" s="110">
        <f t="shared" si="101"/>
        <v>0.2997076041176947</v>
      </c>
      <c r="H293" s="414" t="b">
        <f>Wh_hp&gt;='2024'!Maxi_hp</f>
        <v>0</v>
      </c>
      <c r="I293" s="390">
        <f>IF(H293,Wh_hp,'2024'!Maxi_hp)</f>
        <v>39.638043153684698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5.6947960154487332E-2</v>
      </c>
      <c r="M293" s="845"/>
      <c r="N293" s="845"/>
      <c r="O293" s="48">
        <f>IF(t&lt;Tnet,'2024'!Resal+('2024'!Salim-'2024'!Resal)*(1-EXP(('2024'!Tnet-t)/('2024'!Tau_j))),Resal+(Salim-Resal)*(1-EXP((Tnet-t)/(Tau_j))))*Salcycl</f>
        <v>4.669817036556273E-2</v>
      </c>
      <c r="P293" s="169">
        <f>(INDEX(Models!$BJ293:$BT293,,T293)*(1-R293)+INDEX(Models!$BJ293:$BT293,,T293+1)*R293-ERP_i)*Q293*Ramure*Pc/MaxiM</f>
        <v>1.2576583995968615E-5</v>
      </c>
      <c r="Q293" s="305">
        <f t="shared" si="105"/>
        <v>0.5</v>
      </c>
      <c r="R293" s="177">
        <f t="shared" si="106"/>
        <v>0.46867367971023999</v>
      </c>
      <c r="S293" s="811">
        <f t="shared" si="107"/>
        <v>-2</v>
      </c>
      <c r="T293" s="176">
        <f t="shared" si="108"/>
        <v>4</v>
      </c>
      <c r="U293" s="251">
        <f t="shared" si="109"/>
        <v>-1.53132632028976</v>
      </c>
      <c r="V293" s="383">
        <f t="shared" si="110"/>
        <v>38.509864938682526</v>
      </c>
      <c r="W293" s="402">
        <f t="shared" si="111"/>
        <v>11.541844512645536</v>
      </c>
      <c r="X293" s="157">
        <f t="shared" si="112"/>
        <v>45936</v>
      </c>
      <c r="Y293" s="385">
        <f t="shared" si="113"/>
        <v>11.016886290612032</v>
      </c>
      <c r="Z293" s="385">
        <f t="shared" si="114"/>
        <v>11.682161561748785</v>
      </c>
      <c r="AA293" s="386">
        <f t="shared" si="115"/>
        <v>12.838347716117672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9.0057239446581935E-2</v>
      </c>
      <c r="AD293" s="231">
        <f>(INDEX(Models!$BJ293:$BT293,,AH293)*(1-AF293)+INDEX(Models!$BJ293:$BT293,,AH293+1)*AF293-ERP_i)*AE293*Ramure*Pc/MaxiM</f>
        <v>8.0834967559904392E-4</v>
      </c>
      <c r="AE293" s="305">
        <f t="shared" si="117"/>
        <v>0.5</v>
      </c>
      <c r="AF293" s="177">
        <f t="shared" si="118"/>
        <v>0.99366124608421913</v>
      </c>
      <c r="AG293" s="811">
        <f t="shared" si="124"/>
        <v>1</v>
      </c>
      <c r="AH293" s="176">
        <f t="shared" si="119"/>
        <v>7</v>
      </c>
      <c r="AI293" s="225">
        <f t="shared" si="120"/>
        <v>1.9936612460842191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'2024'!Wh/'2024'!Env_an*'2025'!Env_an</f>
        <v>28.211256302577272</v>
      </c>
      <c r="C294" s="841"/>
      <c r="D294" s="393">
        <f t="shared" si="102"/>
        <v>29.915500972404462</v>
      </c>
      <c r="E294" s="385">
        <f t="shared" si="100"/>
        <v>31.382273603025101</v>
      </c>
      <c r="F294" s="385">
        <f t="shared" si="103"/>
        <v>31.382565024616706</v>
      </c>
      <c r="G294" s="110">
        <f t="shared" si="101"/>
        <v>0.73829913751930698</v>
      </c>
      <c r="H294" s="414" t="b">
        <f>Wh_hp&gt;='2024'!Maxi_hp</f>
        <v>0</v>
      </c>
      <c r="I294" s="390">
        <f>IF(H294,Wh_hp,'2024'!Maxi_hp)</f>
        <v>42.817625020301556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5.6968615414439094E-2</v>
      </c>
      <c r="M294" s="845"/>
      <c r="N294" s="845"/>
      <c r="O294" s="48">
        <f>IF(t&lt;Tnet,'2024'!Resal+('2024'!Salim-'2024'!Resal)*(1-EXP(('2024'!Tnet-t)/('2024'!Tau_j))),Resal+(Salim-Resal)*(1-EXP((Tnet-t)/(Tau_j))))*Salcycl</f>
        <v>4.6738889896086093E-2</v>
      </c>
      <c r="P294" s="169">
        <f>(INDEX(Models!$BJ294:$BT294,,T294)*(1-R294)+INDEX(Models!$BJ294:$BT294,,T294+1)*R294-ERP_i)*Q294*Ramure*Pc/MaxiM</f>
        <v>1.483052947276614E-5</v>
      </c>
      <c r="Q294" s="305">
        <f t="shared" si="105"/>
        <v>0.5</v>
      </c>
      <c r="R294" s="177">
        <f t="shared" si="106"/>
        <v>0.46882925849676305</v>
      </c>
      <c r="S294" s="811">
        <f t="shared" si="107"/>
        <v>-2</v>
      </c>
      <c r="T294" s="176">
        <f t="shared" si="108"/>
        <v>4</v>
      </c>
      <c r="U294" s="251">
        <f t="shared" si="109"/>
        <v>-1.531170741503237</v>
      </c>
      <c r="V294" s="383">
        <f t="shared" si="110"/>
        <v>38.210934365374705</v>
      </c>
      <c r="W294" s="402">
        <f t="shared" si="111"/>
        <v>28.211256302577272</v>
      </c>
      <c r="X294" s="157">
        <f t="shared" si="112"/>
        <v>45937</v>
      </c>
      <c r="Y294" s="385">
        <f t="shared" si="113"/>
        <v>26.916177984733903</v>
      </c>
      <c r="Z294" s="385">
        <f t="shared" si="114"/>
        <v>28.542186850507527</v>
      </c>
      <c r="AA294" s="386">
        <f t="shared" si="115"/>
        <v>31.366381884765836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9.00389163351345E-2</v>
      </c>
      <c r="AD294" s="231">
        <f>(INDEX(Models!$BJ294:$BT294,,AH294)*(1-AF294)+INDEX(Models!$BJ294:$BT294,,AH294+1)*AF294-ERP_i)*AE294*Ramure*Pc/MaxiM</f>
        <v>8.2356468921269748E-4</v>
      </c>
      <c r="AE294" s="305">
        <f t="shared" si="117"/>
        <v>0.5</v>
      </c>
      <c r="AF294" s="177">
        <f t="shared" si="118"/>
        <v>0.99381682487074174</v>
      </c>
      <c r="AG294" s="811">
        <f t="shared" si="124"/>
        <v>1</v>
      </c>
      <c r="AH294" s="176">
        <f t="shared" si="119"/>
        <v>7</v>
      </c>
      <c r="AI294" s="225">
        <f t="shared" si="120"/>
        <v>1.9938168248707417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'2024'!Wh/'2024'!Env_an*'2025'!Env_an</f>
        <v>15.376490656446771</v>
      </c>
      <c r="C295" s="841"/>
      <c r="D295" s="393">
        <f t="shared" si="102"/>
        <v>16.305743053492559</v>
      </c>
      <c r="E295" s="385">
        <f t="shared" si="100"/>
        <v>17.105938974484378</v>
      </c>
      <c r="F295" s="385">
        <f t="shared" si="103"/>
        <v>17.105983672863509</v>
      </c>
      <c r="G295" s="110">
        <f t="shared" si="101"/>
        <v>0.40557707353701905</v>
      </c>
      <c r="H295" s="414" t="b">
        <f>Wh_hp&gt;='2024'!Maxi_hp</f>
        <v>0</v>
      </c>
      <c r="I295" s="390">
        <f>IF(H295,Wh_hp,'2024'!Maxi_hp)</f>
        <v>40.412475476580589</v>
      </c>
      <c r="J295" s="85">
        <f>IF(H295,An,'2024'!An_max)</f>
        <v>2019</v>
      </c>
      <c r="K295" s="197">
        <f t="shared" si="104"/>
        <v>45938</v>
      </c>
      <c r="L295" s="147">
        <f>IF(t&lt;Tvie,1-EXP((T0-t)*PertePVj)+'2024'!Pspv,1-EXP((T0-t)*PertePVj)+Pspv)</f>
        <v>5.6989270221987853E-2</v>
      </c>
      <c r="M295" s="845"/>
      <c r="N295" s="845"/>
      <c r="O295" s="48">
        <f>IF(t&lt;Tnet,'2024'!Resal+('2024'!Salim-'2024'!Resal)*(1-EXP(('2024'!Tnet-t)/('2024'!Tau_j))),Resal+(Salim-Resal)*(1-EXP((Tnet-t)/(Tau_j))))*Salcycl</f>
        <v>4.6778836413798167E-2</v>
      </c>
      <c r="P295" s="169">
        <f>(INDEX(Models!$BJ295:$BT295,,T295)*(1-R295)+INDEX(Models!$BJ295:$BT295,,T295+1)*R295-ERP_i)*Q295*Ramure*Pc/MaxiM</f>
        <v>1.7323977027629431E-5</v>
      </c>
      <c r="Q295" s="305">
        <f t="shared" si="105"/>
        <v>0.5</v>
      </c>
      <c r="R295" s="177">
        <f t="shared" si="106"/>
        <v>0.46897866486262418</v>
      </c>
      <c r="S295" s="811">
        <f t="shared" si="107"/>
        <v>-2</v>
      </c>
      <c r="T295" s="176">
        <f t="shared" si="108"/>
        <v>4</v>
      </c>
      <c r="U295" s="251">
        <f t="shared" si="109"/>
        <v>-1.5310213351373758</v>
      </c>
      <c r="V295" s="383">
        <f t="shared" si="110"/>
        <v>37.912065193819046</v>
      </c>
      <c r="W295" s="402">
        <f t="shared" si="111"/>
        <v>15.376490656446771</v>
      </c>
      <c r="X295" s="157">
        <f t="shared" si="112"/>
        <v>45938</v>
      </c>
      <c r="Y295" s="385">
        <f t="shared" si="113"/>
        <v>14.677170188202313</v>
      </c>
      <c r="Z295" s="385">
        <f t="shared" si="114"/>
        <v>15.564160326847359</v>
      </c>
      <c r="AA295" s="386">
        <f t="shared" si="115"/>
        <v>17.103835274507809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9.0019280643753571E-2</v>
      </c>
      <c r="AD295" s="231">
        <f>(INDEX(Models!$BJ295:$BT295,,AH295)*(1-AF295)+INDEX(Models!$BJ295:$BT295,,AH295+1)*AF295-ERP_i)*AE295*Ramure*Pc/MaxiM</f>
        <v>8.3266562423565808E-4</v>
      </c>
      <c r="AE295" s="305">
        <f t="shared" si="117"/>
        <v>0.5</v>
      </c>
      <c r="AF295" s="177">
        <f t="shared" si="118"/>
        <v>0.9939662312366031</v>
      </c>
      <c r="AG295" s="811">
        <f t="shared" si="124"/>
        <v>1</v>
      </c>
      <c r="AH295" s="176">
        <f t="shared" si="119"/>
        <v>7</v>
      </c>
      <c r="AI295" s="225">
        <f t="shared" si="120"/>
        <v>1.9939662312366031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'2024'!Wh/'2024'!Env_an*'2025'!Env_an</f>
        <v>36.165249873337537</v>
      </c>
      <c r="C296" s="841"/>
      <c r="D296" s="393">
        <f t="shared" si="102"/>
        <v>38.351676031288314</v>
      </c>
      <c r="E296" s="385">
        <f t="shared" si="100"/>
        <v>40.235418123750584</v>
      </c>
      <c r="F296" s="385">
        <f t="shared" si="103"/>
        <v>40.236172512085183</v>
      </c>
      <c r="G296" s="110">
        <f t="shared" si="101"/>
        <v>0.96150148733045848</v>
      </c>
      <c r="H296" s="414" t="b">
        <f>Wh_hp&gt;='2024'!Maxi_hp</f>
        <v>1</v>
      </c>
      <c r="I296" s="390">
        <f>IF(H296,Wh_hp,'2024'!Maxi_hp)</f>
        <v>40.236172512085183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5.7009924577143156E-2</v>
      </c>
      <c r="M296" s="845"/>
      <c r="N296" s="845"/>
      <c r="O296" s="48">
        <f>IF(t&lt;Tnet,'2024'!Resal+('2024'!Salim-'2024'!Resal)*(1-EXP(('2024'!Tnet-t)/('2024'!Tau_j))),Resal+(Salim-Resal)*(1-EXP((Tnet-t)/(Tau_j))))*Salcycl</f>
        <v>4.6818007126669121E-2</v>
      </c>
      <c r="P296" s="169">
        <f>(INDEX(Models!$BJ296:$BT296,,T296)*(1-R296)+INDEX(Models!$BJ296:$BT296,,T296+1)*R296-ERP_i)*Q296*Ramure*Pc/MaxiM</f>
        <v>1.9840144405636842E-5</v>
      </c>
      <c r="Q296" s="305">
        <f t="shared" si="105"/>
        <v>0.5</v>
      </c>
      <c r="R296" s="177">
        <f t="shared" si="106"/>
        <v>0.46912214017328679</v>
      </c>
      <c r="S296" s="811">
        <f t="shared" si="107"/>
        <v>-2</v>
      </c>
      <c r="T296" s="176">
        <f t="shared" si="108"/>
        <v>4</v>
      </c>
      <c r="U296" s="251">
        <f t="shared" si="109"/>
        <v>-1.5308778598267132</v>
      </c>
      <c r="V296" s="383">
        <f t="shared" si="110"/>
        <v>37.613265177363296</v>
      </c>
      <c r="W296" s="402">
        <f t="shared" si="111"/>
        <v>36.165249873337537</v>
      </c>
      <c r="X296" s="157">
        <f t="shared" si="112"/>
        <v>45939</v>
      </c>
      <c r="Y296" s="385">
        <f t="shared" si="113"/>
        <v>34.500310046768085</v>
      </c>
      <c r="Z296" s="385">
        <f t="shared" si="114"/>
        <v>36.586079690496646</v>
      </c>
      <c r="AA296" s="386">
        <f t="shared" si="115"/>
        <v>40.204409433875696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8.9998330887812936E-2</v>
      </c>
      <c r="AD296" s="231">
        <f>(INDEX(Models!$BJ296:$BT296,,AH296)*(1-AF296)+INDEX(Models!$BJ296:$BT296,,AH296+1)*AF296-ERP_i)*AE296*Ramure*Pc/MaxiM</f>
        <v>8.3535763948113623E-4</v>
      </c>
      <c r="AE296" s="305">
        <f t="shared" si="117"/>
        <v>0.5</v>
      </c>
      <c r="AF296" s="177">
        <f t="shared" si="118"/>
        <v>0.99410970654726549</v>
      </c>
      <c r="AG296" s="811">
        <f t="shared" si="124"/>
        <v>1</v>
      </c>
      <c r="AH296" s="176">
        <f t="shared" si="119"/>
        <v>7</v>
      </c>
      <c r="AI296" s="225">
        <f t="shared" si="120"/>
        <v>1.9941097065472655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'2024'!Wh/'2024'!Env_an*'2025'!Env_an</f>
        <v>29.807071625771858</v>
      </c>
      <c r="C297" s="841"/>
      <c r="D297" s="393">
        <f t="shared" si="102"/>
        <v>31.609796612197972</v>
      </c>
      <c r="E297" s="385">
        <f t="shared" ref="E297:E360" si="125">Wh_pvt/(1-Psa)</f>
        <v>33.16372963409345</v>
      </c>
      <c r="F297" s="385">
        <f t="shared" si="103"/>
        <v>33.164255329044202</v>
      </c>
      <c r="G297" s="110">
        <f t="shared" ref="G297:G360" si="126">+Wh_hp/MaxiM</f>
        <v>0.7988007390447186</v>
      </c>
      <c r="H297" s="414" t="b">
        <f>Wh_hp&gt;='2024'!Maxi_hp</f>
        <v>1</v>
      </c>
      <c r="I297" s="390">
        <f>IF(H297,Wh_hp,'2024'!Maxi_hp)</f>
        <v>33.164255329044202</v>
      </c>
      <c r="J297" s="85">
        <f>IF(H297,An,'2024'!An_max)</f>
        <v>2025</v>
      </c>
      <c r="K297" s="197">
        <f t="shared" si="104"/>
        <v>45940</v>
      </c>
      <c r="L297" s="147">
        <f>IF(t&lt;Tvie,1-EXP((T0-t)*PertePVj)+'2024'!Pspv,1-EXP((T0-t)*PertePVj)+Pspv)</f>
        <v>5.7030578479915217E-2</v>
      </c>
      <c r="M297" s="845"/>
      <c r="N297" s="845"/>
      <c r="O297" s="48">
        <f>IF(t&lt;Tnet,'2024'!Resal+('2024'!Salim-'2024'!Resal)*(1-EXP(('2024'!Tnet-t)/('2024'!Tau_j))),Resal+(Salim-Resal)*(1-EXP((Tnet-t)/(Tau_j))))*Salcycl</f>
        <v>4.6856401226295898E-2</v>
      </c>
      <c r="P297" s="169">
        <f>(INDEX(Models!$BJ297:$BT297,,T297)*(1-R297)+INDEX(Models!$BJ297:$BT297,,T297+1)*R297-ERP_i)*Q297*Ramure*Pc/MaxiM</f>
        <v>2.2244879652566611E-5</v>
      </c>
      <c r="Q297" s="305">
        <f t="shared" si="105"/>
        <v>0.5</v>
      </c>
      <c r="R297" s="177">
        <f t="shared" si="106"/>
        <v>0.46925991663187783</v>
      </c>
      <c r="S297" s="811">
        <f t="shared" si="107"/>
        <v>-2</v>
      </c>
      <c r="T297" s="176">
        <f t="shared" si="108"/>
        <v>4</v>
      </c>
      <c r="U297" s="251">
        <f t="shared" si="109"/>
        <v>-1.5307400833681222</v>
      </c>
      <c r="V297" s="383">
        <f t="shared" si="110"/>
        <v>37.314538645849765</v>
      </c>
      <c r="W297" s="402">
        <f t="shared" si="111"/>
        <v>29.807071625771858</v>
      </c>
      <c r="X297" s="157">
        <f t="shared" si="112"/>
        <v>45940</v>
      </c>
      <c r="Y297" s="385">
        <f t="shared" si="113"/>
        <v>28.442163281771609</v>
      </c>
      <c r="Z297" s="385">
        <f t="shared" si="114"/>
        <v>30.162338918607031</v>
      </c>
      <c r="AA297" s="386">
        <f t="shared" si="115"/>
        <v>33.144555768210729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8.9976069387056698E-2</v>
      </c>
      <c r="AD297" s="231">
        <f>(INDEX(Models!$BJ297:$BT297,,AH297)*(1-AF297)+INDEX(Models!$BJ297:$BT297,,AH297+1)*AF297-ERP_i)*AE297*Ramure*Pc/MaxiM</f>
        <v>8.3359058199407787E-4</v>
      </c>
      <c r="AE297" s="305">
        <f t="shared" si="117"/>
        <v>0.5</v>
      </c>
      <c r="AF297" s="177">
        <f t="shared" si="118"/>
        <v>0.99424748300585675</v>
      </c>
      <c r="AG297" s="811">
        <f t="shared" si="124"/>
        <v>1</v>
      </c>
      <c r="AH297" s="176">
        <f t="shared" si="119"/>
        <v>7</v>
      </c>
      <c r="AI297" s="225">
        <f t="shared" si="120"/>
        <v>1.9942474830058567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'2024'!Wh/'2024'!Env_an*'2025'!Env_an</f>
        <v>21.675615482299285</v>
      </c>
      <c r="C298" s="841"/>
      <c r="D298" s="393">
        <f t="shared" si="102"/>
        <v>22.987055305954229</v>
      </c>
      <c r="E298" s="385">
        <f t="shared" si="125"/>
        <v>24.11804750802677</v>
      </c>
      <c r="F298" s="385">
        <f t="shared" si="103"/>
        <v>24.118288927909067</v>
      </c>
      <c r="G298" s="110">
        <f t="shared" si="126"/>
        <v>0.58556754030092228</v>
      </c>
      <c r="H298" s="414" t="b">
        <f>Wh_hp&gt;='2024'!Maxi_hp</f>
        <v>0</v>
      </c>
      <c r="I298" s="390">
        <f>IF(H298,Wh_hp,'2024'!Maxi_hp)</f>
        <v>42.375150802238252</v>
      </c>
      <c r="J298" s="85">
        <f>IF(H298,An,'2024'!An_max)</f>
        <v>2019</v>
      </c>
      <c r="K298" s="197">
        <f t="shared" si="104"/>
        <v>45941</v>
      </c>
      <c r="L298" s="147">
        <f>IF(t&lt;Tvie,1-EXP((T0-t)*PertePVj)+'2024'!Pspv,1-EXP((T0-t)*PertePVj)+Pspv)</f>
        <v>5.7051231930313695E-2</v>
      </c>
      <c r="M298" s="845"/>
      <c r="N298" s="845"/>
      <c r="O298" s="48">
        <f>IF(t&lt;Tnet,'2024'!Resal+('2024'!Salim-'2024'!Resal)*(1-EXP(('2024'!Tnet-t)/('2024'!Tau_j))),Resal+(Salim-Resal)*(1-EXP((Tnet-t)/(Tau_j))))*Salcycl</f>
        <v>4.6894019994617397E-2</v>
      </c>
      <c r="P298" s="169">
        <f>(INDEX(Models!$BJ298:$BT298,,T298)*(1-R298)+INDEX(Models!$BJ298:$BT298,,T298+1)*R298-ERP_i)*Q298*Ramure*Pc/MaxiM</f>
        <v>2.4535945783389446E-5</v>
      </c>
      <c r="Q298" s="305">
        <f t="shared" si="105"/>
        <v>0.5</v>
      </c>
      <c r="R298" s="177">
        <f t="shared" si="106"/>
        <v>0.46939221760524408</v>
      </c>
      <c r="S298" s="811">
        <f t="shared" si="107"/>
        <v>-2</v>
      </c>
      <c r="T298" s="176">
        <f t="shared" si="108"/>
        <v>4</v>
      </c>
      <c r="U298" s="251">
        <f t="shared" si="109"/>
        <v>-1.5306077823947559</v>
      </c>
      <c r="V298" s="383">
        <f t="shared" si="110"/>
        <v>37.015884803703067</v>
      </c>
      <c r="W298" s="402">
        <f t="shared" si="111"/>
        <v>21.675615482299285</v>
      </c>
      <c r="X298" s="157">
        <f t="shared" si="112"/>
        <v>45941</v>
      </c>
      <c r="Y298" s="385">
        <f t="shared" si="113"/>
        <v>20.689597650189551</v>
      </c>
      <c r="Z298" s="385">
        <f t="shared" si="114"/>
        <v>21.941380434213087</v>
      </c>
      <c r="AA298" s="386">
        <f t="shared" si="115"/>
        <v>24.110148638708139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8.9952502450074384E-2</v>
      </c>
      <c r="AD298" s="231">
        <f>(INDEX(Models!$BJ298:$BT298,,AH298)*(1-AF298)+INDEX(Models!$BJ298:$BT298,,AH298+1)*AF298-ERP_i)*AE298*Ramure*Pc/MaxiM</f>
        <v>8.273125336423474E-4</v>
      </c>
      <c r="AE298" s="305">
        <f t="shared" si="117"/>
        <v>0.5</v>
      </c>
      <c r="AF298" s="177">
        <f t="shared" si="118"/>
        <v>0.994379783979223</v>
      </c>
      <c r="AG298" s="811">
        <f t="shared" si="124"/>
        <v>1</v>
      </c>
      <c r="AH298" s="176">
        <f t="shared" si="119"/>
        <v>7</v>
      </c>
      <c r="AI298" s="225">
        <f t="shared" si="120"/>
        <v>1.994379783979223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'2024'!Wh/'2024'!Env_an*'2025'!Env_an</f>
        <v>27.073098328206807</v>
      </c>
      <c r="C299" s="841"/>
      <c r="D299" s="393">
        <f t="shared" si="102"/>
        <v>28.711730932054746</v>
      </c>
      <c r="E299" s="385">
        <f t="shared" si="125"/>
        <v>30.125549065595688</v>
      </c>
      <c r="F299" s="385">
        <f t="shared" si="103"/>
        <v>30.126051819129646</v>
      </c>
      <c r="G299" s="110">
        <f t="shared" si="126"/>
        <v>0.73733158303160218</v>
      </c>
      <c r="H299" s="414" t="b">
        <f>Wh_hp&gt;='2024'!Maxi_hp</f>
        <v>0</v>
      </c>
      <c r="I299" s="390">
        <f>IF(H299,Wh_hp,'2024'!Maxi_hp)</f>
        <v>39.768274465309958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5.7071884928348693E-2</v>
      </c>
      <c r="M299" s="845"/>
      <c r="N299" s="845"/>
      <c r="O299" s="48">
        <f>IF(t&lt;Tnet,'2024'!Resal+('2024'!Salim-'2024'!Resal)*(1-EXP(('2024'!Tnet-t)/('2024'!Tau_j))),Resal+(Salim-Resal)*(1-EXP((Tnet-t)/(Tau_j))))*Salcycl</f>
        <v>4.693086690179428E-2</v>
      </c>
      <c r="P299" s="169">
        <f>(INDEX(Models!$BJ299:$BT299,,T299)*(1-R299)+INDEX(Models!$BJ299:$BT299,,T299+1)*R299-ERP_i)*Q299*Ramure*Pc/MaxiM</f>
        <v>2.6711161436238904E-5</v>
      </c>
      <c r="Q299" s="305">
        <f t="shared" si="105"/>
        <v>0.5</v>
      </c>
      <c r="R299" s="177">
        <f t="shared" si="106"/>
        <v>0.46951925794014548</v>
      </c>
      <c r="S299" s="811">
        <f t="shared" si="107"/>
        <v>-2</v>
      </c>
      <c r="T299" s="176">
        <f t="shared" si="108"/>
        <v>4</v>
      </c>
      <c r="U299" s="251">
        <f t="shared" si="109"/>
        <v>-1.5304807420598545</v>
      </c>
      <c r="V299" s="383">
        <f t="shared" si="110"/>
        <v>36.717302768044611</v>
      </c>
      <c r="W299" s="402">
        <f t="shared" si="111"/>
        <v>27.073098328206807</v>
      </c>
      <c r="X299" s="157">
        <f t="shared" si="112"/>
        <v>45942</v>
      </c>
      <c r="Y299" s="385">
        <f t="shared" si="113"/>
        <v>25.838966237725476</v>
      </c>
      <c r="Z299" s="385">
        <f t="shared" si="114"/>
        <v>27.402901477555393</v>
      </c>
      <c r="AA299" s="386">
        <f t="shared" si="115"/>
        <v>30.110684268927734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8.9927640540756415E-2</v>
      </c>
      <c r="AD299" s="231">
        <f>(INDEX(Models!$BJ299:$BT299,,AH299)*(1-AF299)+INDEX(Models!$BJ299:$BT299,,AH299+1)*AF299-ERP_i)*AE299*Ramure*Pc/MaxiM</f>
        <v>8.1647385168869555E-4</v>
      </c>
      <c r="AE299" s="305">
        <f t="shared" si="117"/>
        <v>0.5</v>
      </c>
      <c r="AF299" s="177">
        <f t="shared" si="118"/>
        <v>0.9945068243141244</v>
      </c>
      <c r="AG299" s="811">
        <f t="shared" si="124"/>
        <v>1</v>
      </c>
      <c r="AH299" s="176">
        <f t="shared" si="119"/>
        <v>7</v>
      </c>
      <c r="AI299" s="225">
        <f t="shared" si="120"/>
        <v>1.9945068243141244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'2024'!Wh/'2024'!Env_an*'2025'!Env_an</f>
        <v>22.342671008743622</v>
      </c>
      <c r="C300" s="841"/>
      <c r="D300" s="393">
        <f t="shared" si="102"/>
        <v>23.695507668259918</v>
      </c>
      <c r="E300" s="385">
        <f t="shared" si="125"/>
        <v>24.863259055841649</v>
      </c>
      <c r="F300" s="385">
        <f t="shared" si="103"/>
        <v>24.86357939437719</v>
      </c>
      <c r="G300" s="110">
        <f t="shared" si="126"/>
        <v>0.61348318102670785</v>
      </c>
      <c r="H300" s="414" t="b">
        <f>Wh_hp&gt;='2024'!Maxi_hp</f>
        <v>0</v>
      </c>
      <c r="I300" s="390">
        <f>IF(H300,Wh_hp,'2024'!Maxi_hp)</f>
        <v>39.855056795061437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5.7092537474029981E-2</v>
      </c>
      <c r="M300" s="845"/>
      <c r="N300" s="845"/>
      <c r="O300" s="48">
        <f>IF(t&lt;Tnet,'2024'!Resal+('2024'!Salim-'2024'!Resal)*(1-EXP(('2024'!Tnet-t)/('2024'!Tau_j))),Resal+(Salim-Resal)*(1-EXP((Tnet-t)/(Tau_j))))*Salcycl</f>
        <v>4.6966947694146534E-2</v>
      </c>
      <c r="P300" s="169">
        <f>(INDEX(Models!$BJ300:$BT300,,T300)*(1-R300)+INDEX(Models!$BJ300:$BT300,,T300+1)*R300-ERP_i)*Q300*Ramure*Pc/MaxiM</f>
        <v>2.8768408025044331E-5</v>
      </c>
      <c r="Q300" s="305">
        <f t="shared" si="105"/>
        <v>0.5</v>
      </c>
      <c r="R300" s="177">
        <f t="shared" si="106"/>
        <v>0.46964124426973974</v>
      </c>
      <c r="S300" s="811">
        <f t="shared" si="107"/>
        <v>-2</v>
      </c>
      <c r="T300" s="176">
        <f t="shared" si="108"/>
        <v>4</v>
      </c>
      <c r="U300" s="251">
        <f t="shared" si="109"/>
        <v>-1.5303587557302603</v>
      </c>
      <c r="V300" s="383">
        <f t="shared" si="110"/>
        <v>36.418791568569141</v>
      </c>
      <c r="W300" s="402">
        <f t="shared" si="111"/>
        <v>22.342671008743622</v>
      </c>
      <c r="X300" s="157">
        <f t="shared" si="112"/>
        <v>45943</v>
      </c>
      <c r="Y300" s="385">
        <f t="shared" si="113"/>
        <v>21.328744751966802</v>
      </c>
      <c r="Z300" s="385">
        <f t="shared" si="114"/>
        <v>22.620188724383286</v>
      </c>
      <c r="AA300" s="386">
        <f t="shared" si="115"/>
        <v>24.854659891463374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8.9901498424749773E-2</v>
      </c>
      <c r="AD300" s="231">
        <f>(INDEX(Models!$BJ300:$BT300,,AH300)*(1-AF300)+INDEX(Models!$BJ300:$BT300,,AH300+1)*AF300-ERP_i)*AE300*Ramure*Pc/MaxiM</f>
        <v>8.0102725939961382E-4</v>
      </c>
      <c r="AE300" s="305">
        <f t="shared" si="117"/>
        <v>0.5</v>
      </c>
      <c r="AF300" s="177">
        <f t="shared" si="118"/>
        <v>0.99462881064371866</v>
      </c>
      <c r="AG300" s="811">
        <f t="shared" si="124"/>
        <v>1</v>
      </c>
      <c r="AH300" s="176">
        <f t="shared" si="119"/>
        <v>7</v>
      </c>
      <c r="AI300" s="225">
        <f t="shared" si="120"/>
        <v>1.9946288106437187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'2024'!Wh/'2024'!Env_an*'2025'!Env_an</f>
        <v>18.964853399744548</v>
      </c>
      <c r="C301" s="841"/>
      <c r="D301" s="393">
        <f t="shared" si="102"/>
        <v>20.113605567398643</v>
      </c>
      <c r="E301" s="385">
        <f t="shared" si="125"/>
        <v>21.105617510066306</v>
      </c>
      <c r="F301" s="385">
        <f t="shared" si="103"/>
        <v>21.105825860372207</v>
      </c>
      <c r="G301" s="110">
        <f t="shared" si="126"/>
        <v>0.52503528358690155</v>
      </c>
      <c r="H301" s="414" t="b">
        <f>Wh_hp&gt;='2024'!Maxi_hp</f>
        <v>0</v>
      </c>
      <c r="I301" s="390">
        <f>IF(H301,Wh_hp,'2024'!Maxi_hp)</f>
        <v>41.909965007378638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5.7113189567367439E-2</v>
      </c>
      <c r="M301" s="845"/>
      <c r="N301" s="845"/>
      <c r="O301" s="48">
        <f>IF(t&lt;Tnet,'2024'!Resal+('2024'!Salim-'2024'!Resal)*(1-EXP(('2024'!Tnet-t)/('2024'!Tau_j))),Resal+(Salim-Resal)*(1-EXP((Tnet-t)/(Tau_j))))*Salcycl</f>
        <v>4.7002270471097257E-2</v>
      </c>
      <c r="P301" s="169">
        <f>(INDEX(Models!$BJ301:$BT301,,T301)*(1-R301)+INDEX(Models!$BJ301:$BT301,,T301+1)*R301-ERP_i)*Q301*Ramure*Pc/MaxiM</f>
        <v>3.0705636505798743E-5</v>
      </c>
      <c r="Q301" s="305">
        <f t="shared" si="105"/>
        <v>0.5</v>
      </c>
      <c r="R301" s="177">
        <f t="shared" si="106"/>
        <v>0.46975837531052056</v>
      </c>
      <c r="S301" s="811">
        <f t="shared" si="107"/>
        <v>-2</v>
      </c>
      <c r="T301" s="176">
        <f t="shared" si="108"/>
        <v>4</v>
      </c>
      <c r="U301" s="251">
        <f t="shared" si="109"/>
        <v>-1.5302416246894794</v>
      </c>
      <c r="V301" s="383">
        <f t="shared" si="110"/>
        <v>36.12035014802197</v>
      </c>
      <c r="W301" s="402">
        <f t="shared" si="111"/>
        <v>18.964853399744548</v>
      </c>
      <c r="X301" s="157">
        <f t="shared" si="112"/>
        <v>45944</v>
      </c>
      <c r="Y301" s="385">
        <f t="shared" si="113"/>
        <v>18.107326705746186</v>
      </c>
      <c r="Z301" s="385">
        <f t="shared" si="114"/>
        <v>19.204136175622025</v>
      </c>
      <c r="AA301" s="386">
        <f t="shared" si="115"/>
        <v>21.100526945034893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8.9874095294056225E-2</v>
      </c>
      <c r="AD301" s="231">
        <f>(INDEX(Models!$BJ301:$BT301,,AH301)*(1-AF301)+INDEX(Models!$BJ301:$BT301,,AH301+1)*AF301-ERP_i)*AE301*Ramure*Pc/MaxiM</f>
        <v>7.8092790658564515E-4</v>
      </c>
      <c r="AE301" s="305">
        <f t="shared" si="117"/>
        <v>0.5</v>
      </c>
      <c r="AF301" s="177">
        <f t="shared" si="118"/>
        <v>0.99474594168449948</v>
      </c>
      <c r="AG301" s="811">
        <f t="shared" si="124"/>
        <v>1</v>
      </c>
      <c r="AH301" s="176">
        <f t="shared" si="119"/>
        <v>7</v>
      </c>
      <c r="AI301" s="225">
        <f t="shared" si="120"/>
        <v>1.9947459416844995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'2024'!Wh/'2024'!Env_an*'2025'!Env_an</f>
        <v>35.120725443917991</v>
      </c>
      <c r="C302" s="841"/>
      <c r="D302" s="393">
        <f t="shared" si="102"/>
        <v>37.2488980715232</v>
      </c>
      <c r="E302" s="385">
        <f t="shared" si="125"/>
        <v>39.087448350344836</v>
      </c>
      <c r="F302" s="385">
        <f t="shared" si="103"/>
        <v>39.088683998488683</v>
      </c>
      <c r="G302" s="110">
        <f t="shared" si="126"/>
        <v>0.98042308344512952</v>
      </c>
      <c r="H302" s="414" t="b">
        <f>Wh_hp&gt;='2024'!Maxi_hp</f>
        <v>1</v>
      </c>
      <c r="I302" s="390">
        <f>IF(H302,Wh_hp,'2024'!Maxi_hp)</f>
        <v>39.088683998488683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5.7133841208371172E-2</v>
      </c>
      <c r="M302" s="845"/>
      <c r="N302" s="845"/>
      <c r="O302" s="48">
        <f>IF(t&lt;Tnet,'2024'!Resal+('2024'!Salim-'2024'!Resal)*(1-EXP(('2024'!Tnet-t)/('2024'!Tau_j))),Resal+(Salim-Resal)*(1-EXP((Tnet-t)/(Tau_j))))*Salcycl</f>
        <v>4.7036845750137536E-2</v>
      </c>
      <c r="P302" s="169">
        <f>(INDEX(Models!$BJ302:$BT302,,T302)*(1-R302)+INDEX(Models!$BJ302:$BT302,,T302+1)*R302-ERP_i)*Q302*Ramure*Pc/MaxiM</f>
        <v>3.2520873647210436E-5</v>
      </c>
      <c r="Q302" s="305">
        <f t="shared" si="105"/>
        <v>0.5</v>
      </c>
      <c r="R302" s="177">
        <f t="shared" si="106"/>
        <v>0.4698708421498865</v>
      </c>
      <c r="S302" s="811">
        <f t="shared" si="107"/>
        <v>-2</v>
      </c>
      <c r="T302" s="176">
        <f t="shared" si="108"/>
        <v>4</v>
      </c>
      <c r="U302" s="251">
        <f t="shared" si="109"/>
        <v>-1.5301291578501135</v>
      </c>
      <c r="V302" s="383">
        <f t="shared" si="110"/>
        <v>35.821977363312477</v>
      </c>
      <c r="W302" s="402">
        <f t="shared" si="111"/>
        <v>35.120725443917991</v>
      </c>
      <c r="X302" s="157">
        <f t="shared" si="112"/>
        <v>45945</v>
      </c>
      <c r="Y302" s="385">
        <f t="shared" si="113"/>
        <v>33.519452894436867</v>
      </c>
      <c r="Z302" s="385">
        <f t="shared" si="114"/>
        <v>35.550594940638426</v>
      </c>
      <c r="AA302" s="386">
        <f t="shared" si="115"/>
        <v>39.059954302029794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8.9845454868056451E-2</v>
      </c>
      <c r="AD302" s="231">
        <f>(INDEX(Models!$BJ302:$BT302,,AH302)*(1-AF302)+INDEX(Models!$BJ302:$BT302,,AH302+1)*AF302-ERP_i)*AE302*Ramure*Pc/MaxiM</f>
        <v>7.5613339696592365E-4</v>
      </c>
      <c r="AE302" s="305">
        <f t="shared" si="117"/>
        <v>0.5</v>
      </c>
      <c r="AF302" s="177">
        <f t="shared" si="118"/>
        <v>0.99485840852386542</v>
      </c>
      <c r="AG302" s="811">
        <f t="shared" si="124"/>
        <v>1</v>
      </c>
      <c r="AH302" s="176">
        <f t="shared" si="119"/>
        <v>7</v>
      </c>
      <c r="AI302" s="225">
        <f t="shared" si="120"/>
        <v>1.9948584085238654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'2024'!Wh/'2024'!Env_an*'2025'!Env_an</f>
        <v>31.54142145561811</v>
      </c>
      <c r="C303" s="841"/>
      <c r="D303" s="393">
        <f t="shared" si="102"/>
        <v>33.453435585441454</v>
      </c>
      <c r="E303" s="385">
        <f t="shared" si="125"/>
        <v>35.105894122654803</v>
      </c>
      <c r="F303" s="385">
        <f t="shared" si="103"/>
        <v>35.106902920098428</v>
      </c>
      <c r="G303" s="110">
        <f t="shared" si="126"/>
        <v>0.88791471126350174</v>
      </c>
      <c r="H303" s="414" t="b">
        <f>Wh_hp&gt;='2024'!Maxi_hp</f>
        <v>0</v>
      </c>
      <c r="I303" s="390">
        <f>IF(H303,Wh_hp,'2024'!Maxi_hp)</f>
        <v>38.517225515333379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5.7154492397050949E-2</v>
      </c>
      <c r="M303" s="845"/>
      <c r="N303" s="845"/>
      <c r="O303" s="48">
        <f>IF(t&lt;Tnet,'2024'!Resal+('2024'!Salim-'2024'!Resal)*(1-EXP(('2024'!Tnet-t)/('2024'!Tau_j))),Resal+(Salim-Resal)*(1-EXP((Tnet-t)/(Tau_j))))*Salcycl</f>
        <v>4.7070686518904829E-2</v>
      </c>
      <c r="P303" s="169">
        <f>(INDEX(Models!$BJ303:$BT303,,T303)*(1-R303)+INDEX(Models!$BJ303:$BT303,,T303+1)*R303-ERP_i)*Q303*Ramure*Pc/MaxiM</f>
        <v>3.4213032817321024E-5</v>
      </c>
      <c r="Q303" s="305">
        <f t="shared" si="105"/>
        <v>0.5</v>
      </c>
      <c r="R303" s="177">
        <f t="shared" si="106"/>
        <v>0.46997882852451944</v>
      </c>
      <c r="S303" s="811">
        <f t="shared" si="107"/>
        <v>-2</v>
      </c>
      <c r="T303" s="176">
        <f t="shared" si="108"/>
        <v>4</v>
      </c>
      <c r="U303" s="251">
        <f t="shared" si="109"/>
        <v>-1.5300211714754806</v>
      </c>
      <c r="V303" s="383">
        <f t="shared" si="110"/>
        <v>35.522835995538891</v>
      </c>
      <c r="W303" s="402">
        <f t="shared" si="111"/>
        <v>31.54142145561811</v>
      </c>
      <c r="X303" s="157">
        <f t="shared" si="112"/>
        <v>45946</v>
      </c>
      <c r="Y303" s="385">
        <f t="shared" si="113"/>
        <v>30.109068396438939</v>
      </c>
      <c r="Z303" s="385">
        <f t="shared" si="114"/>
        <v>31.934254502614085</v>
      </c>
      <c r="AA303" s="386">
        <f t="shared" si="115"/>
        <v>35.085477947667293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8.9815605469405327E-2</v>
      </c>
      <c r="AD303" s="231">
        <f>(INDEX(Models!$BJ303:$BT303,,AH303)*(1-AF303)+INDEX(Models!$BJ303:$BT303,,AH303+1)*AF303-ERP_i)*AE303*Ramure*Pc/MaxiM</f>
        <v>7.2662087867935256E-4</v>
      </c>
      <c r="AE303" s="305">
        <f t="shared" si="117"/>
        <v>0.5</v>
      </c>
      <c r="AF303" s="177">
        <f t="shared" si="118"/>
        <v>0.99496639489849836</v>
      </c>
      <c r="AG303" s="811">
        <f t="shared" si="124"/>
        <v>1</v>
      </c>
      <c r="AH303" s="176">
        <f t="shared" si="119"/>
        <v>7</v>
      </c>
      <c r="AI303" s="225">
        <f t="shared" si="120"/>
        <v>1.9949663948984984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'2024'!Wh/'2024'!Env_an*'2025'!Env_an</f>
        <v>19.139854365208375</v>
      </c>
      <c r="C304" s="841"/>
      <c r="D304" s="393">
        <f t="shared" si="102"/>
        <v>20.300540684532255</v>
      </c>
      <c r="E304" s="385">
        <f t="shared" si="125"/>
        <v>21.304042203959256</v>
      </c>
      <c r="F304" s="385">
        <f t="shared" si="103"/>
        <v>21.304306269766684</v>
      </c>
      <c r="G304" s="110">
        <f t="shared" si="126"/>
        <v>0.54338818525887178</v>
      </c>
      <c r="H304" s="414" t="b">
        <f>Wh_hp&gt;='2024'!Maxi_hp</f>
        <v>0</v>
      </c>
      <c r="I304" s="390">
        <f>IF(H304,Wh_hp,'2024'!Maxi_hp)</f>
        <v>36.170374756257267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5.717514313341665E-2</v>
      </c>
      <c r="M304" s="845"/>
      <c r="N304" s="845"/>
      <c r="O304" s="48">
        <f>IF(t&lt;Tnet,'2024'!Resal+('2024'!Salim-'2024'!Resal)*(1-EXP(('2024'!Tnet-t)/('2024'!Tau_j))),Resal+(Salim-Resal)*(1-EXP((Tnet-t)/(Tau_j))))*Salcycl</f>
        <v>4.7103808273554135E-2</v>
      </c>
      <c r="P304" s="169">
        <f>(INDEX(Models!$BJ304:$BT304,,T304)*(1-R304)+INDEX(Models!$BJ304:$BT304,,T304+1)*R304-ERP_i)*Q304*Ramure*Pc/MaxiM</f>
        <v>3.5646818547610841E-5</v>
      </c>
      <c r="Q304" s="305">
        <f t="shared" si="105"/>
        <v>0.5</v>
      </c>
      <c r="R304" s="177">
        <f t="shared" si="106"/>
        <v>0.4700825110897644</v>
      </c>
      <c r="S304" s="811">
        <f t="shared" si="107"/>
        <v>-2</v>
      </c>
      <c r="T304" s="176">
        <f t="shared" si="108"/>
        <v>4</v>
      </c>
      <c r="U304" s="251">
        <f t="shared" si="109"/>
        <v>-1.5299174889102356</v>
      </c>
      <c r="V304" s="383">
        <f t="shared" si="110"/>
        <v>35.222350874620311</v>
      </c>
      <c r="W304" s="402">
        <f t="shared" si="111"/>
        <v>19.139854365208375</v>
      </c>
      <c r="X304" s="157">
        <f t="shared" si="112"/>
        <v>45947</v>
      </c>
      <c r="Y304" s="385">
        <f t="shared" si="113"/>
        <v>18.27838114885046</v>
      </c>
      <c r="Z304" s="385">
        <f t="shared" si="114"/>
        <v>19.386825682128769</v>
      </c>
      <c r="AA304" s="386">
        <f t="shared" si="115"/>
        <v>21.299161998038418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8.9784580073421202E-2</v>
      </c>
      <c r="AD304" s="231">
        <f>(INDEX(Models!$BJ304:$BT304,,AH304)*(1-AF304)+INDEX(Models!$BJ304:$BT304,,AH304+1)*AF304-ERP_i)*AE304*Ramure*Pc/MaxiM</f>
        <v>6.9443644613755083E-4</v>
      </c>
      <c r="AE304" s="305">
        <f t="shared" si="117"/>
        <v>0.5</v>
      </c>
      <c r="AF304" s="177">
        <f t="shared" si="118"/>
        <v>0.99507007746374332</v>
      </c>
      <c r="AG304" s="811">
        <f t="shared" si="124"/>
        <v>1</v>
      </c>
      <c r="AH304" s="176">
        <f t="shared" si="119"/>
        <v>7</v>
      </c>
      <c r="AI304" s="225">
        <f t="shared" si="120"/>
        <v>1.9950700774637433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'2024'!Wh/'2024'!Env_an*'2025'!Env_an</f>
        <v>32.489408354656028</v>
      </c>
      <c r="C305" s="841"/>
      <c r="D305" s="393">
        <f t="shared" si="102"/>
        <v>34.460398169439323</v>
      </c>
      <c r="E305" s="385">
        <f t="shared" si="125"/>
        <v>36.165083844900948</v>
      </c>
      <c r="F305" s="385">
        <f t="shared" si="103"/>
        <v>36.166279990059444</v>
      </c>
      <c r="G305" s="110">
        <f t="shared" si="126"/>
        <v>0.93036778969585299</v>
      </c>
      <c r="H305" s="414" t="b">
        <f>Wh_hp&gt;='2024'!Maxi_hp</f>
        <v>0</v>
      </c>
      <c r="I305" s="390">
        <f>IF(H305,Wh_hp,'2024'!Maxi_hp)</f>
        <v>37.794322636082605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5.7195793417478158E-2</v>
      </c>
      <c r="M305" s="845"/>
      <c r="N305" s="845"/>
      <c r="O305" s="48">
        <f>IF(t&lt;Tnet,'2024'!Resal+('2024'!Salim-'2024'!Resal)*(1-EXP(('2024'!Tnet-t)/('2024'!Tau_j))),Resal+(Salim-Resal)*(1-EXP((Tnet-t)/(Tau_j))))*Salcycl</f>
        <v>4.7136229042698014E-2</v>
      </c>
      <c r="P305" s="169">
        <f>(INDEX(Models!$BJ305:$BT305,,T305)*(1-R305)+INDEX(Models!$BJ305:$BT305,,T305+1)*R305-ERP_i)*Q305*Ramure*Pc/MaxiM</f>
        <v>3.6726685098502126E-5</v>
      </c>
      <c r="Q305" s="305">
        <f t="shared" si="105"/>
        <v>0.5</v>
      </c>
      <c r="R305" s="177">
        <f t="shared" si="106"/>
        <v>0.47018205968020488</v>
      </c>
      <c r="S305" s="811">
        <f t="shared" si="107"/>
        <v>-2</v>
      </c>
      <c r="T305" s="176">
        <f t="shared" si="108"/>
        <v>4</v>
      </c>
      <c r="U305" s="251">
        <f t="shared" si="109"/>
        <v>-1.5298179403197951</v>
      </c>
      <c r="V305" s="383">
        <f t="shared" si="110"/>
        <v>34.920909795530491</v>
      </c>
      <c r="W305" s="402">
        <f t="shared" si="111"/>
        <v>32.489408354656028</v>
      </c>
      <c r="X305" s="157">
        <f t="shared" si="112"/>
        <v>45948</v>
      </c>
      <c r="Y305" s="385">
        <f t="shared" si="113"/>
        <v>31.018813451385704</v>
      </c>
      <c r="Z305" s="385">
        <f t="shared" si="114"/>
        <v>32.900588727560674</v>
      </c>
      <c r="AA305" s="386">
        <f t="shared" si="115"/>
        <v>36.144659230955661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8.9752416329786366E-2</v>
      </c>
      <c r="AD305" s="231">
        <f>(INDEX(Models!$BJ305:$BT305,,AH305)*(1-AF305)+INDEX(Models!$BJ305:$BT305,,AH305+1)*AF305-ERP_i)*AE305*Ramure*Pc/MaxiM</f>
        <v>6.6384820066025282E-4</v>
      </c>
      <c r="AE305" s="305">
        <f t="shared" si="117"/>
        <v>0.5</v>
      </c>
      <c r="AF305" s="177">
        <f t="shared" si="118"/>
        <v>0.9951696260541838</v>
      </c>
      <c r="AG305" s="811">
        <f t="shared" si="124"/>
        <v>1</v>
      </c>
      <c r="AH305" s="176">
        <f t="shared" si="119"/>
        <v>7</v>
      </c>
      <c r="AI305" s="225">
        <f t="shared" si="120"/>
        <v>1.9951696260541838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'2024'!Wh/'2024'!Env_an*'2025'!Env_an</f>
        <v>14.965232451570262</v>
      </c>
      <c r="C306" s="841"/>
      <c r="D306" s="393">
        <f t="shared" si="102"/>
        <v>15.873455094133181</v>
      </c>
      <c r="E306" s="385">
        <f t="shared" si="125"/>
        <v>16.659237498634404</v>
      </c>
      <c r="F306" s="385">
        <f t="shared" si="103"/>
        <v>16.659355396017723</v>
      </c>
      <c r="G306" s="110">
        <f t="shared" si="126"/>
        <v>0.43227194338793751</v>
      </c>
      <c r="H306" s="414" t="b">
        <f>Wh_hp&gt;='2024'!Maxi_hp</f>
        <v>0</v>
      </c>
      <c r="I306" s="390">
        <f>IF(H306,Wh_hp,'2024'!Maxi_hp)</f>
        <v>37.715287299843339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5.7216443249245574E-2</v>
      </c>
      <c r="M306" s="845"/>
      <c r="N306" s="845"/>
      <c r="O306" s="48">
        <f>IF(t&lt;Tnet,'2024'!Resal+('2024'!Salim-'2024'!Resal)*(1-EXP(('2024'!Tnet-t)/('2024'!Tau_j))),Resal+(Salim-Resal)*(1-EXP((Tnet-t)/(Tau_j))))*Salcycl</f>
        <v>4.7167969396296576E-2</v>
      </c>
      <c r="P306" s="169">
        <f>(INDEX(Models!$BJ306:$BT306,,T306)*(1-R306)+INDEX(Models!$BJ306:$BT306,,T306+1)*R306-ERP_i)*Q306*Ramure*Pc/MaxiM</f>
        <v>3.7448391901530377E-5</v>
      </c>
      <c r="Q306" s="305">
        <f t="shared" si="105"/>
        <v>0.5</v>
      </c>
      <c r="R306" s="177">
        <f t="shared" si="106"/>
        <v>0.47027763756163488</v>
      </c>
      <c r="S306" s="811">
        <f t="shared" si="107"/>
        <v>-2</v>
      </c>
      <c r="T306" s="176">
        <f t="shared" si="108"/>
        <v>4</v>
      </c>
      <c r="U306" s="251">
        <f t="shared" si="109"/>
        <v>-1.5297223624383651</v>
      </c>
      <c r="V306" s="383">
        <f t="shared" si="110"/>
        <v>34.618897112177706</v>
      </c>
      <c r="W306" s="402">
        <f t="shared" si="111"/>
        <v>14.965232451570262</v>
      </c>
      <c r="X306" s="157">
        <f t="shared" si="112"/>
        <v>45949</v>
      </c>
      <c r="Y306" s="385">
        <f t="shared" si="113"/>
        <v>14.295307013887921</v>
      </c>
      <c r="Z306" s="385">
        <f t="shared" si="114"/>
        <v>15.162872656748299</v>
      </c>
      <c r="AA306" s="386">
        <f t="shared" si="115"/>
        <v>16.657356645421046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8.9719156555585197E-2</v>
      </c>
      <c r="AD306" s="231">
        <f>(INDEX(Models!$BJ306:$BT306,,AH306)*(1-AF306)+INDEX(Models!$BJ306:$BT306,,AH306+1)*AF306-ERP_i)*AE306*Ramure*Pc/MaxiM</f>
        <v>6.3487410449327016E-4</v>
      </c>
      <c r="AE306" s="305">
        <f t="shared" si="117"/>
        <v>0.5</v>
      </c>
      <c r="AF306" s="177">
        <f t="shared" si="118"/>
        <v>0.9952652039356138</v>
      </c>
      <c r="AG306" s="811">
        <f t="shared" si="124"/>
        <v>1</v>
      </c>
      <c r="AH306" s="176">
        <f t="shared" si="119"/>
        <v>7</v>
      </c>
      <c r="AI306" s="225">
        <f t="shared" si="120"/>
        <v>1.9952652039356138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'2024'!Wh/'2024'!Env_an*'2025'!Env_an</f>
        <v>6.1997426533946838</v>
      </c>
      <c r="C307" s="841"/>
      <c r="D307" s="393">
        <f t="shared" si="102"/>
        <v>6.5761418962500091</v>
      </c>
      <c r="E307" s="385">
        <f t="shared" si="125"/>
        <v>6.9019052857616225</v>
      </c>
      <c r="F307" s="385">
        <f t="shared" si="103"/>
        <v>6.9019052857616225</v>
      </c>
      <c r="G307" s="110">
        <f t="shared" si="126"/>
        <v>0.18065573887776851</v>
      </c>
      <c r="H307" s="414" t="b">
        <f>Wh_hp&gt;='2024'!Maxi_hp</f>
        <v>0</v>
      </c>
      <c r="I307" s="390">
        <f>IF(H307,Wh_hp,'2024'!Maxi_hp)</f>
        <v>31.908942257613869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5.723709262872867E-2</v>
      </c>
      <c r="M307" s="845"/>
      <c r="N307" s="845"/>
      <c r="O307" s="48">
        <f>IF(t&lt;Tnet,'2024'!Resal+('2024'!Salim-'2024'!Resal)*(1-EXP(('2024'!Tnet-t)/('2024'!Tau_j))),Resal+(Salim-Resal)*(1-EXP((Tnet-t)/(Tau_j))))*Salcycl</f>
        <v>4.7199052438991244E-2</v>
      </c>
      <c r="P307" s="169">
        <f>(INDEX(Models!$BJ307:$BT307,,T307)*(1-R307)+INDEX(Models!$BJ307:$BT307,,T307+1)*R307-ERP_i)*Q307*Ramure*Pc/MaxiM</f>
        <v>3.7807801266073049E-5</v>
      </c>
      <c r="Q307" s="305">
        <f t="shared" si="105"/>
        <v>0.5</v>
      </c>
      <c r="R307" s="177">
        <f t="shared" si="106"/>
        <v>0.47036940167462826</v>
      </c>
      <c r="S307" s="811">
        <f t="shared" si="107"/>
        <v>-2</v>
      </c>
      <c r="T307" s="176">
        <f t="shared" si="108"/>
        <v>4</v>
      </c>
      <c r="U307" s="251">
        <f t="shared" si="109"/>
        <v>-1.5296305983253717</v>
      </c>
      <c r="V307" s="383">
        <f t="shared" si="110"/>
        <v>34.316697013157857</v>
      </c>
      <c r="W307" s="402">
        <f t="shared" si="111"/>
        <v>6.1997426533946838</v>
      </c>
      <c r="X307" s="157">
        <f t="shared" si="112"/>
        <v>45950</v>
      </c>
      <c r="Y307" s="385">
        <f t="shared" si="113"/>
        <v>5.9232935191755445</v>
      </c>
      <c r="Z307" s="385">
        <f t="shared" si="114"/>
        <v>6.2829089613756732</v>
      </c>
      <c r="AA307" s="386">
        <f t="shared" si="115"/>
        <v>6.9019052857616225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8.9684847698926859E-2</v>
      </c>
      <c r="AD307" s="231">
        <f>(INDEX(Models!$BJ307:$BT307,,AH307)*(1-AF307)+INDEX(Models!$BJ307:$BT307,,AH307+1)*AF307-ERP_i)*AE307*Ramure*Pc/MaxiM</f>
        <v>6.0753264364266546E-4</v>
      </c>
      <c r="AE307" s="305">
        <f t="shared" si="117"/>
        <v>0.5</v>
      </c>
      <c r="AF307" s="177">
        <f t="shared" si="118"/>
        <v>0.99535696804860718</v>
      </c>
      <c r="AG307" s="811">
        <f t="shared" si="124"/>
        <v>1</v>
      </c>
      <c r="AH307" s="176">
        <f t="shared" si="119"/>
        <v>7</v>
      </c>
      <c r="AI307" s="225">
        <f t="shared" si="120"/>
        <v>1.9953569680486072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'2024'!Wh/'2024'!Env_an*'2025'!Env_an</f>
        <v>15.702132568843346</v>
      </c>
      <c r="C308" s="841"/>
      <c r="D308" s="393">
        <f t="shared" si="102"/>
        <v>16.655806428746217</v>
      </c>
      <c r="E308" s="385">
        <f t="shared" si="125"/>
        <v>17.481446471062149</v>
      </c>
      <c r="F308" s="385">
        <f t="shared" si="103"/>
        <v>17.481599052520995</v>
      </c>
      <c r="G308" s="110">
        <f t="shared" si="126"/>
        <v>0.46161450920379871</v>
      </c>
      <c r="H308" s="414" t="b">
        <f>Wh_hp&gt;='2024'!Maxi_hp</f>
        <v>0</v>
      </c>
      <c r="I308" s="390">
        <f>IF(H308,Wh_hp,'2024'!Maxi_hp)</f>
        <v>24.59946864863414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5.7257741555937325E-2</v>
      </c>
      <c r="M308" s="845"/>
      <c r="N308" s="845"/>
      <c r="O308" s="48">
        <f>IF(t&lt;Tnet,'2024'!Resal+('2024'!Salim-'2024'!Resal)*(1-EXP(('2024'!Tnet-t)/('2024'!Tau_j))),Resal+(Salim-Resal)*(1-EXP((Tnet-t)/(Tau_j))))*Salcycl</f>
        <v>4.7229503787495637E-2</v>
      </c>
      <c r="P308" s="169">
        <f>(INDEX(Models!$BJ308:$BT308,,T308)*(1-R308)+INDEX(Models!$BJ308:$BT308,,T308+1)*R308-ERP_i)*Q308*Ramure*Pc/MaxiM</f>
        <v>3.7800908385172459E-5</v>
      </c>
      <c r="Q308" s="305">
        <f t="shared" si="105"/>
        <v>0.5</v>
      </c>
      <c r="R308" s="177">
        <f t="shared" si="106"/>
        <v>0.47045750286991361</v>
      </c>
      <c r="S308" s="811">
        <f t="shared" si="107"/>
        <v>-2</v>
      </c>
      <c r="T308" s="176">
        <f t="shared" si="108"/>
        <v>4</v>
      </c>
      <c r="U308" s="251">
        <f t="shared" si="109"/>
        <v>-1.5295424971300864</v>
      </c>
      <c r="V308" s="383">
        <f t="shared" si="110"/>
        <v>34.014693531042141</v>
      </c>
      <c r="W308" s="402">
        <f t="shared" si="111"/>
        <v>15.702132568843346</v>
      </c>
      <c r="X308" s="157">
        <f t="shared" si="112"/>
        <v>45951</v>
      </c>
      <c r="Y308" s="385">
        <f t="shared" si="113"/>
        <v>15.001144550583437</v>
      </c>
      <c r="Z308" s="385">
        <f t="shared" si="114"/>
        <v>15.912243687200244</v>
      </c>
      <c r="AA308" s="386">
        <f t="shared" si="115"/>
        <v>17.479250473982184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8.9649541272632083E-2</v>
      </c>
      <c r="AD308" s="231">
        <f>(INDEX(Models!$BJ308:$BT308,,AH308)*(1-AF308)+INDEX(Models!$BJ308:$BT308,,AH308+1)*AF308-ERP_i)*AE308*Ramure*Pc/MaxiM</f>
        <v>5.8184266196290263E-4</v>
      </c>
      <c r="AE308" s="305">
        <f t="shared" si="117"/>
        <v>0.5</v>
      </c>
      <c r="AF308" s="177">
        <f t="shared" si="118"/>
        <v>0.99544506924389253</v>
      </c>
      <c r="AG308" s="811">
        <f t="shared" si="124"/>
        <v>1</v>
      </c>
      <c r="AH308" s="176">
        <f t="shared" si="119"/>
        <v>7</v>
      </c>
      <c r="AI308" s="225">
        <f t="shared" si="120"/>
        <v>1.9954450692438925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'2024'!Wh/'2024'!Env_an*'2025'!Env_an</f>
        <v>31.346516713995143</v>
      </c>
      <c r="C309" s="841"/>
      <c r="D309" s="393">
        <f t="shared" si="102"/>
        <v>33.251085349599641</v>
      </c>
      <c r="E309" s="385">
        <f t="shared" si="125"/>
        <v>34.900458380840099</v>
      </c>
      <c r="F309" s="385">
        <f t="shared" si="103"/>
        <v>34.901633541905234</v>
      </c>
      <c r="G309" s="110">
        <f t="shared" si="126"/>
        <v>0.92979407069105746</v>
      </c>
      <c r="H309" s="414" t="b">
        <f>Wh_hp&gt;='2024'!Maxi_hp</f>
        <v>1</v>
      </c>
      <c r="I309" s="390">
        <f>IF(H309,Wh_hp,'2024'!Maxi_hp)</f>
        <v>34.901633541905234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5.7278390030881421E-2</v>
      </c>
      <c r="M309" s="845"/>
      <c r="N309" s="845"/>
      <c r="O309" s="48">
        <f>IF(t&lt;Tnet,'2024'!Resal+('2024'!Salim-'2024'!Resal)*(1-EXP(('2024'!Tnet-t)/('2024'!Tau_j))),Resal+(Salim-Resal)*(1-EXP((Tnet-t)/(Tau_j))))*Salcycl</f>
        <v>4.7259351531782151E-2</v>
      </c>
      <c r="P309" s="169">
        <f>(INDEX(Models!$BJ309:$BT309,,T309)*(1-R309)+INDEX(Models!$BJ309:$BT309,,T309+1)*R309-ERP_i)*Q309*Ramure*Pc/MaxiM</f>
        <v>3.7423870863630237E-5</v>
      </c>
      <c r="Q309" s="305">
        <f t="shared" si="105"/>
        <v>0.5</v>
      </c>
      <c r="R309" s="177">
        <f t="shared" si="106"/>
        <v>0.47054208613575943</v>
      </c>
      <c r="S309" s="811">
        <f t="shared" si="107"/>
        <v>-2</v>
      </c>
      <c r="T309" s="176">
        <f t="shared" si="108"/>
        <v>4</v>
      </c>
      <c r="U309" s="251">
        <f t="shared" si="109"/>
        <v>-1.5294579138642406</v>
      </c>
      <c r="V309" s="383">
        <f t="shared" si="110"/>
        <v>33.713270548901832</v>
      </c>
      <c r="W309" s="402">
        <f t="shared" si="111"/>
        <v>31.346516713995143</v>
      </c>
      <c r="X309" s="157">
        <f t="shared" si="112"/>
        <v>45952</v>
      </c>
      <c r="Y309" s="385">
        <f t="shared" si="113"/>
        <v>29.938987305897751</v>
      </c>
      <c r="Z309" s="385">
        <f t="shared" si="114"/>
        <v>31.758036507594735</v>
      </c>
      <c r="AA309" s="386">
        <f t="shared" si="115"/>
        <v>34.884117125607908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8.9613293257703439E-2</v>
      </c>
      <c r="AD309" s="231">
        <f>(INDEX(Models!$BJ309:$BT309,,AH309)*(1-AF309)+INDEX(Models!$BJ309:$BT309,,AH309+1)*AF309-ERP_i)*AE309*Ramure*Pc/MaxiM</f>
        <v>5.5782319628560131E-4</v>
      </c>
      <c r="AE309" s="305">
        <f t="shared" si="117"/>
        <v>0.5</v>
      </c>
      <c r="AF309" s="177">
        <f t="shared" si="118"/>
        <v>0.99552965250973857</v>
      </c>
      <c r="AG309" s="811">
        <f t="shared" si="124"/>
        <v>1</v>
      </c>
      <c r="AH309" s="176">
        <f t="shared" si="119"/>
        <v>7</v>
      </c>
      <c r="AI309" s="225">
        <f t="shared" si="120"/>
        <v>1.9955296525097386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'2024'!Wh/'2024'!Env_an*'2025'!Env_an</f>
        <v>16.335416777470314</v>
      </c>
      <c r="C310" s="841"/>
      <c r="D310" s="393">
        <f t="shared" si="102"/>
        <v>17.328312409634105</v>
      </c>
      <c r="E310" s="385">
        <f t="shared" si="125"/>
        <v>18.188417694808354</v>
      </c>
      <c r="F310" s="385">
        <f t="shared" si="103"/>
        <v>18.188598222656971</v>
      </c>
      <c r="G310" s="110">
        <f t="shared" si="126"/>
        <v>0.48888372312460909</v>
      </c>
      <c r="H310" s="414" t="b">
        <f>Wh_hp&gt;='2024'!Maxi_hp</f>
        <v>0</v>
      </c>
      <c r="I310" s="390">
        <f>IF(H310,Wh_hp,'2024'!Maxi_hp)</f>
        <v>37.419724893736571</v>
      </c>
      <c r="J310" s="85">
        <f>IF(H310,An,'2024'!An_max)</f>
        <v>2018</v>
      </c>
      <c r="K310" s="197">
        <f t="shared" si="104"/>
        <v>45953</v>
      </c>
      <c r="L310" s="147">
        <f>IF(t&lt;Tvie,1-EXP((T0-t)*PertePVj)+'2024'!Pspv,1-EXP((T0-t)*PertePVj)+Pspv)</f>
        <v>5.729903805357095E-2</v>
      </c>
      <c r="M310" s="845"/>
      <c r="N310" s="845"/>
      <c r="O310" s="48">
        <f>IF(t&lt;Tnet,'2024'!Resal+('2024'!Salim-'2024'!Resal)*(1-EXP(('2024'!Tnet-t)/('2024'!Tau_j))),Resal+(Salim-Resal)*(1-EXP((Tnet-t)/(Tau_j))))*Salcycl</f>
        <v>4.7288626179931896E-2</v>
      </c>
      <c r="P310" s="169">
        <f>(INDEX(Models!$BJ310:$BT310,,T310)*(1-R310)+INDEX(Models!$BJ310:$BT310,,T310+1)*R310-ERP_i)*Q310*Ramure*Pc/MaxiM</f>
        <v>3.6780556415735695E-5</v>
      </c>
      <c r="Q310" s="305">
        <f t="shared" si="105"/>
        <v>0.5</v>
      </c>
      <c r="R310" s="177">
        <f t="shared" si="106"/>
        <v>0.47062329081758136</v>
      </c>
      <c r="S310" s="811">
        <f t="shared" si="107"/>
        <v>-2</v>
      </c>
      <c r="T310" s="176">
        <f t="shared" si="108"/>
        <v>4</v>
      </c>
      <c r="U310" s="251">
        <f t="shared" si="109"/>
        <v>-1.5293767091824186</v>
      </c>
      <c r="V310" s="383">
        <f t="shared" si="110"/>
        <v>33.412808218293904</v>
      </c>
      <c r="W310" s="402">
        <f t="shared" si="111"/>
        <v>16.335416777470314</v>
      </c>
      <c r="X310" s="157">
        <f t="shared" si="112"/>
        <v>45953</v>
      </c>
      <c r="Y310" s="385">
        <f t="shared" si="113"/>
        <v>15.60823897670134</v>
      </c>
      <c r="Z310" s="385">
        <f t="shared" si="114"/>
        <v>16.556935451168354</v>
      </c>
      <c r="AA310" s="386">
        <f t="shared" si="115"/>
        <v>18.185964378399465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8.9576163976544804E-2</v>
      </c>
      <c r="AD310" s="231">
        <f>(INDEX(Models!$BJ310:$BT310,,AH310)*(1-AF310)+INDEX(Models!$BJ310:$BT310,,AH310+1)*AF310-ERP_i)*AE310*Ramure*Pc/MaxiM</f>
        <v>5.3661669402024011E-4</v>
      </c>
      <c r="AE310" s="305">
        <f t="shared" si="117"/>
        <v>0.5</v>
      </c>
      <c r="AF310" s="177">
        <f t="shared" si="118"/>
        <v>0.99561085719156028</v>
      </c>
      <c r="AG310" s="811">
        <f t="shared" si="124"/>
        <v>1</v>
      </c>
      <c r="AH310" s="176">
        <f t="shared" si="119"/>
        <v>7</v>
      </c>
      <c r="AI310" s="225">
        <f t="shared" si="120"/>
        <v>1.9956108571915603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'2024'!Wh/'2024'!Env_an*'2025'!Env_an</f>
        <v>24.213299416336564</v>
      </c>
      <c r="C311" s="841"/>
      <c r="D311" s="393">
        <f t="shared" si="102"/>
        <v>25.685589321301126</v>
      </c>
      <c r="E311" s="385">
        <f t="shared" si="125"/>
        <v>26.961328210114097</v>
      </c>
      <c r="F311" s="385">
        <f t="shared" si="103"/>
        <v>26.961927804042372</v>
      </c>
      <c r="G311" s="110">
        <f t="shared" si="126"/>
        <v>0.73120722045540976</v>
      </c>
      <c r="H311" s="414" t="b">
        <f>Wh_hp&gt;='2024'!Maxi_hp</f>
        <v>0</v>
      </c>
      <c r="I311" s="390">
        <f>IF(H311,Wh_hp,'2024'!Maxi_hp)</f>
        <v>38.572719008292552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5.7319685624015904E-2</v>
      </c>
      <c r="M311" s="845"/>
      <c r="N311" s="845"/>
      <c r="O311" s="48">
        <f>IF(t&lt;Tnet,'2024'!Resal+('2024'!Salim-'2024'!Resal)*(1-EXP(('2024'!Tnet-t)/('2024'!Tau_j))),Resal+(Salim-Resal)*(1-EXP((Tnet-t)/(Tau_j))))*Salcycl</f>
        <v>4.7317360586649392E-2</v>
      </c>
      <c r="P311" s="169">
        <f>(INDEX(Models!$BJ311:$BT311,,T311)*(1-R311)+INDEX(Models!$BJ311:$BT311,,T311+1)*R311-ERP_i)*Q311*Ramure*Pc/MaxiM</f>
        <v>3.6100073993029379E-5</v>
      </c>
      <c r="Q311" s="305">
        <f t="shared" si="105"/>
        <v>0.5</v>
      </c>
      <c r="R311" s="177">
        <f t="shared" si="106"/>
        <v>0.47070125082997394</v>
      </c>
      <c r="S311" s="811">
        <f t="shared" si="107"/>
        <v>-2</v>
      </c>
      <c r="T311" s="176">
        <f t="shared" si="108"/>
        <v>4</v>
      </c>
      <c r="U311" s="251">
        <f t="shared" si="109"/>
        <v>-1.5292987491700261</v>
      </c>
      <c r="V311" s="383">
        <f t="shared" si="110"/>
        <v>33.113682548615465</v>
      </c>
      <c r="W311" s="402">
        <f t="shared" si="111"/>
        <v>24.213299416336564</v>
      </c>
      <c r="X311" s="157">
        <f t="shared" si="112"/>
        <v>45954</v>
      </c>
      <c r="Y311" s="385">
        <f t="shared" si="113"/>
        <v>23.133341280284395</v>
      </c>
      <c r="Z311" s="385">
        <f t="shared" si="114"/>
        <v>24.539964320351512</v>
      </c>
      <c r="AA311" s="386">
        <f t="shared" si="115"/>
        <v>26.953316222372177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8.953821793614769E-2</v>
      </c>
      <c r="AD311" s="231">
        <f>(INDEX(Models!$BJ311:$BT311,,AH311)*(1-AF311)+INDEX(Models!$BJ311:$BT311,,AH311+1)*AF311-ERP_i)*AE311*Ramure*Pc/MaxiM</f>
        <v>5.1848212737233839E-4</v>
      </c>
      <c r="AE311" s="305">
        <f t="shared" si="117"/>
        <v>0.5</v>
      </c>
      <c r="AF311" s="177">
        <f t="shared" si="118"/>
        <v>0.99568881720395286</v>
      </c>
      <c r="AG311" s="811">
        <f t="shared" si="124"/>
        <v>1</v>
      </c>
      <c r="AH311" s="176">
        <f t="shared" si="119"/>
        <v>7</v>
      </c>
      <c r="AI311" s="225">
        <f t="shared" si="120"/>
        <v>1.9956888172039529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'2024'!Wh/'2024'!Env_an*'2025'!Env_an</f>
        <v>20.882302404970364</v>
      </c>
      <c r="C312" s="841"/>
      <c r="D312" s="393">
        <f t="shared" si="102"/>
        <v>22.152536201869783</v>
      </c>
      <c r="E312" s="385">
        <f t="shared" si="125"/>
        <v>23.25348622355509</v>
      </c>
      <c r="F312" s="385">
        <f t="shared" si="103"/>
        <v>23.25388155633172</v>
      </c>
      <c r="G312" s="110">
        <f t="shared" si="126"/>
        <v>0.63632807580715933</v>
      </c>
      <c r="H312" s="414" t="b">
        <f>Wh_hp&gt;='2024'!Maxi_hp</f>
        <v>0</v>
      </c>
      <c r="I312" s="390">
        <f>IF(H312,Wh_hp,'2024'!Maxi_hp)</f>
        <v>35.926796289859503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5.7340332742225941E-2</v>
      </c>
      <c r="M312" s="845"/>
      <c r="N312" s="845"/>
      <c r="O312" s="48">
        <f>IF(t&lt;Tnet,'2024'!Resal+('2024'!Salim-'2024'!Resal)*(1-EXP(('2024'!Tnet-t)/('2024'!Tau_j))),Resal+(Salim-Resal)*(1-EXP((Tnet-t)/(Tau_j))))*Salcycl</f>
        <v>4.7345589865577936E-2</v>
      </c>
      <c r="P312" s="169">
        <f>(INDEX(Models!$BJ312:$BT312,,T312)*(1-R312)+INDEX(Models!$BJ312:$BT312,,T312+1)*R312-ERP_i)*Q312*Ramure*Pc/MaxiM</f>
        <v>3.5382391206178069E-5</v>
      </c>
      <c r="Q312" s="305">
        <f t="shared" si="105"/>
        <v>0.5</v>
      </c>
      <c r="R312" s="177">
        <f t="shared" si="106"/>
        <v>0.47077609486138217</v>
      </c>
      <c r="S312" s="811">
        <f t="shared" si="107"/>
        <v>-2</v>
      </c>
      <c r="T312" s="176">
        <f t="shared" si="108"/>
        <v>4</v>
      </c>
      <c r="U312" s="251">
        <f t="shared" si="109"/>
        <v>-1.5292239051386178</v>
      </c>
      <c r="V312" s="383">
        <f t="shared" si="110"/>
        <v>32.816277233064476</v>
      </c>
      <c r="W312" s="402">
        <f t="shared" si="111"/>
        <v>20.882302404970364</v>
      </c>
      <c r="X312" s="157">
        <f t="shared" si="112"/>
        <v>45955</v>
      </c>
      <c r="Y312" s="385">
        <f t="shared" si="113"/>
        <v>19.953794257951298</v>
      </c>
      <c r="Z312" s="385">
        <f t="shared" si="114"/>
        <v>21.167548534241948</v>
      </c>
      <c r="AA312" s="386">
        <f t="shared" si="115"/>
        <v>23.248256408283737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8.9499523641712694E-2</v>
      </c>
      <c r="AD312" s="231">
        <f>(INDEX(Models!$BJ312:$BT312,,AH312)*(1-AF312)+INDEX(Models!$BJ312:$BT312,,AH312+1)*AF312-ERP_i)*AE312*Ramure*Pc/MaxiM</f>
        <v>5.0345228271271353E-4</v>
      </c>
      <c r="AE312" s="305">
        <f t="shared" si="117"/>
        <v>0.5</v>
      </c>
      <c r="AF312" s="177">
        <f t="shared" si="118"/>
        <v>0.99576366123536109</v>
      </c>
      <c r="AG312" s="811">
        <f t="shared" si="124"/>
        <v>1</v>
      </c>
      <c r="AH312" s="176">
        <f t="shared" si="119"/>
        <v>7</v>
      </c>
      <c r="AI312" s="225">
        <f t="shared" si="120"/>
        <v>1.9957636612353611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'2024'!Wh/'2024'!Env_an*'2025'!Env_an</f>
        <v>13.089455877600809</v>
      </c>
      <c r="C313" s="841"/>
      <c r="D313" s="393">
        <f t="shared" si="102"/>
        <v>13.885968638751288</v>
      </c>
      <c r="E313" s="385">
        <f t="shared" si="125"/>
        <v>14.576506606751053</v>
      </c>
      <c r="F313" s="385">
        <f t="shared" si="103"/>
        <v>14.576580510772393</v>
      </c>
      <c r="G313" s="110">
        <f t="shared" si="126"/>
        <v>0.40248081856535672</v>
      </c>
      <c r="H313" s="414" t="b">
        <f>Wh_hp&gt;='2024'!Maxi_hp</f>
        <v>0</v>
      </c>
      <c r="I313" s="390">
        <f>IF(H313,Wh_hp,'2024'!Maxi_hp)</f>
        <v>37.208706699200022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5.7360979408211166E-2</v>
      </c>
      <c r="M313" s="845"/>
      <c r="N313" s="845"/>
      <c r="O313" s="48">
        <f>IF(t&lt;Tnet,'2024'!Resal+('2024'!Salim-'2024'!Resal)*(1-EXP(('2024'!Tnet-t)/('2024'!Tau_j))),Resal+(Salim-Resal)*(1-EXP((Tnet-t)/(Tau_j))))*Salcycl</f>
        <v>4.7373351285687641E-2</v>
      </c>
      <c r="P313" s="169">
        <f>(INDEX(Models!$BJ313:$BT313,,T313)*(1-R313)+INDEX(Models!$BJ313:$BT313,,T313+1)*R313-ERP_i)*Q313*Ramure*Pc/MaxiM</f>
        <v>3.4627206454746059E-5</v>
      </c>
      <c r="Q313" s="305">
        <f t="shared" si="105"/>
        <v>0.5</v>
      </c>
      <c r="R313" s="177">
        <f t="shared" si="106"/>
        <v>0.47084794657161178</v>
      </c>
      <c r="S313" s="811">
        <f t="shared" si="107"/>
        <v>-2</v>
      </c>
      <c r="T313" s="176">
        <f t="shared" si="108"/>
        <v>4</v>
      </c>
      <c r="U313" s="251">
        <f t="shared" si="109"/>
        <v>-1.5291520534283882</v>
      </c>
      <c r="V313" s="383">
        <f t="shared" si="110"/>
        <v>32.520975869673265</v>
      </c>
      <c r="W313" s="402">
        <f t="shared" si="111"/>
        <v>13.089455877600809</v>
      </c>
      <c r="X313" s="157">
        <f t="shared" si="112"/>
        <v>45956</v>
      </c>
      <c r="Y313" s="385">
        <f t="shared" si="113"/>
        <v>12.510330027386749</v>
      </c>
      <c r="Z313" s="385">
        <f t="shared" si="114"/>
        <v>13.271602123507218</v>
      </c>
      <c r="AA313" s="386">
        <f t="shared" si="115"/>
        <v>14.575531397986946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8.9460153381427779E-2</v>
      </c>
      <c r="AD313" s="231">
        <f>(INDEX(Models!$BJ313:$BT313,,AH313)*(1-AF313)+INDEX(Models!$BJ313:$BT313,,AH313+1)*AF313-ERP_i)*AE313*Ramure*Pc/MaxiM</f>
        <v>4.9155437494191004E-4</v>
      </c>
      <c r="AE313" s="305">
        <f t="shared" si="117"/>
        <v>0.5</v>
      </c>
      <c r="AF313" s="177">
        <f t="shared" si="118"/>
        <v>0.9958355129455907</v>
      </c>
      <c r="AG313" s="811">
        <f t="shared" si="124"/>
        <v>1</v>
      </c>
      <c r="AH313" s="176">
        <f t="shared" si="119"/>
        <v>7</v>
      </c>
      <c r="AI313" s="225">
        <f t="shared" si="120"/>
        <v>1.9958355129455907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'2024'!Wh/'2024'!Env_an*'2025'!Env_an</f>
        <v>13.980892120785297</v>
      </c>
      <c r="C314" s="841"/>
      <c r="D314" s="393">
        <f t="shared" si="102"/>
        <v>14.831974954880875</v>
      </c>
      <c r="E314" s="385">
        <f t="shared" si="125"/>
        <v>15.570003786618045</v>
      </c>
      <c r="F314" s="385">
        <f t="shared" si="103"/>
        <v>15.570104488608823</v>
      </c>
      <c r="G314" s="110">
        <f t="shared" si="126"/>
        <v>0.43379791641799881</v>
      </c>
      <c r="H314" s="414" t="b">
        <f>Wh_hp&gt;='2024'!Maxi_hp</f>
        <v>0</v>
      </c>
      <c r="I314" s="390">
        <f>IF(H314,Wh_hp,'2024'!Maxi_hp)</f>
        <v>29.570719829876996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5.7381625621981347E-2</v>
      </c>
      <c r="M314" s="845"/>
      <c r="N314" s="845"/>
      <c r="O314" s="48">
        <f>IF(t&lt;Tnet,'2024'!Resal+('2024'!Salim-'2024'!Resal)*(1-EXP(('2024'!Tnet-t)/('2024'!Tau_j))),Resal+(Salim-Resal)*(1-EXP((Tnet-t)/(Tau_j))))*Salcycl</f>
        <v>4.7400684152144178E-2</v>
      </c>
      <c r="P314" s="169">
        <f>(INDEX(Models!$BJ314:$BT314,,T314)*(1-R314)+INDEX(Models!$BJ314:$BT314,,T314+1)*R314-ERP_i)*Q314*Ramure*Pc/MaxiM</f>
        <v>3.3834260226594601E-5</v>
      </c>
      <c r="Q314" s="305">
        <f t="shared" si="105"/>
        <v>0.5</v>
      </c>
      <c r="R314" s="177">
        <f t="shared" si="106"/>
        <v>0.470916924782389</v>
      </c>
      <c r="S314" s="811">
        <f t="shared" si="107"/>
        <v>-2</v>
      </c>
      <c r="T314" s="176">
        <f t="shared" si="108"/>
        <v>4</v>
      </c>
      <c r="U314" s="251">
        <f t="shared" si="109"/>
        <v>-1.529083075217611</v>
      </c>
      <c r="V314" s="383">
        <f t="shared" si="110"/>
        <v>32.228161961059534</v>
      </c>
      <c r="W314" s="402">
        <f t="shared" si="111"/>
        <v>13.980892120785297</v>
      </c>
      <c r="X314" s="157">
        <f t="shared" si="112"/>
        <v>45957</v>
      </c>
      <c r="Y314" s="385">
        <f t="shared" si="113"/>
        <v>13.363042937731803</v>
      </c>
      <c r="Z314" s="385">
        <f t="shared" si="114"/>
        <v>14.176514378418871</v>
      </c>
      <c r="AA314" s="386">
        <f t="shared" si="115"/>
        <v>15.568667472628608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8.9420182983372926E-2</v>
      </c>
      <c r="AD314" s="231">
        <f>(INDEX(Models!$BJ314:$BT314,,AH314)*(1-AF314)+INDEX(Models!$BJ314:$BT314,,AH314+1)*AF314-ERP_i)*AE314*Ramure*Pc/MaxiM</f>
        <v>4.828144135842894E-4</v>
      </c>
      <c r="AE314" s="305">
        <f t="shared" si="117"/>
        <v>0.5</v>
      </c>
      <c r="AF314" s="177">
        <f t="shared" si="118"/>
        <v>0.99590449115636792</v>
      </c>
      <c r="AG314" s="811">
        <f t="shared" si="124"/>
        <v>1</v>
      </c>
      <c r="AH314" s="176">
        <f t="shared" si="119"/>
        <v>7</v>
      </c>
      <c r="AI314" s="225">
        <f t="shared" si="120"/>
        <v>1.9959044911563679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'2024'!Wh/'2024'!Env_an*'2025'!Env_an</f>
        <v>16.509523602215999</v>
      </c>
      <c r="C315" s="841"/>
      <c r="D315" s="393">
        <f t="shared" si="102"/>
        <v>17.514919780730544</v>
      </c>
      <c r="E315" s="385">
        <f t="shared" si="125"/>
        <v>18.386970193879641</v>
      </c>
      <c r="F315" s="385">
        <f t="shared" si="103"/>
        <v>18.387158244703265</v>
      </c>
      <c r="G315" s="110">
        <f t="shared" si="126"/>
        <v>0.5169088362858375</v>
      </c>
      <c r="H315" s="414" t="b">
        <f>Wh_hp&gt;='2024'!Maxi_hp</f>
        <v>0</v>
      </c>
      <c r="I315" s="390">
        <f>IF(H315,Wh_hp,'2024'!Maxi_hp)</f>
        <v>24.903019933810778</v>
      </c>
      <c r="J315" s="85">
        <f>IF(H315,An,'2024'!An_max)</f>
        <v>2020</v>
      </c>
      <c r="K315" s="197">
        <f t="shared" si="104"/>
        <v>45958</v>
      </c>
      <c r="L315" s="147">
        <f>IF(t&lt;Tvie,1-EXP((T0-t)*PertePVj)+'2024'!Pspv,1-EXP((T0-t)*PertePVj)+Pspv)</f>
        <v>5.7402271383546588E-2</v>
      </c>
      <c r="M315" s="845"/>
      <c r="N315" s="845"/>
      <c r="O315" s="48">
        <f>IF(t&lt;Tnet,'2024'!Resal+('2024'!Salim-'2024'!Resal)*(1-EXP(('2024'!Tnet-t)/('2024'!Tau_j))),Resal+(Salim-Resal)*(1-EXP((Tnet-t)/(Tau_j))))*Salcycl</f>
        <v>4.7427629672199746E-2</v>
      </c>
      <c r="P315" s="169">
        <f>(INDEX(Models!$BJ315:$BT315,,T315)*(1-R315)+INDEX(Models!$BJ315:$BT315,,T315+1)*R315-ERP_i)*Q315*Ramure*Pc/MaxiM</f>
        <v>3.3003336653858012E-5</v>
      </c>
      <c r="Q315" s="305">
        <f t="shared" si="105"/>
        <v>0.5</v>
      </c>
      <c r="R315" s="177">
        <f t="shared" si="106"/>
        <v>0.47098314366117111</v>
      </c>
      <c r="S315" s="811">
        <f t="shared" si="107"/>
        <v>-2</v>
      </c>
      <c r="T315" s="176">
        <f t="shared" si="108"/>
        <v>4</v>
      </c>
      <c r="U315" s="251">
        <f t="shared" si="109"/>
        <v>-1.5290168563388289</v>
      </c>
      <c r="V315" s="383">
        <f t="shared" si="110"/>
        <v>31.938218923351641</v>
      </c>
      <c r="W315" s="402">
        <f t="shared" si="111"/>
        <v>16.509523602215999</v>
      </c>
      <c r="X315" s="157">
        <f t="shared" si="112"/>
        <v>45958</v>
      </c>
      <c r="Y315" s="385">
        <f t="shared" si="113"/>
        <v>15.780257994680094</v>
      </c>
      <c r="Z315" s="385">
        <f t="shared" si="114"/>
        <v>16.741243391114875</v>
      </c>
      <c r="AA315" s="386">
        <f t="shared" si="115"/>
        <v>18.384438866219543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8.9379691545764542E-2</v>
      </c>
      <c r="AD315" s="231">
        <f>(INDEX(Models!$BJ315:$BT315,,AH315)*(1-AF315)+INDEX(Models!$BJ315:$BT315,,AH315+1)*AF315-ERP_i)*AE315*Ramure*Pc/MaxiM</f>
        <v>4.7725695564001765E-4</v>
      </c>
      <c r="AE315" s="305">
        <f t="shared" si="117"/>
        <v>0.5</v>
      </c>
      <c r="AF315" s="177">
        <f t="shared" si="118"/>
        <v>0.99597071003515003</v>
      </c>
      <c r="AG315" s="811">
        <f t="shared" si="124"/>
        <v>1</v>
      </c>
      <c r="AH315" s="176">
        <f t="shared" si="119"/>
        <v>7</v>
      </c>
      <c r="AI315" s="225">
        <f t="shared" si="120"/>
        <v>1.99597071003515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'2024'!Wh/'2024'!Env_an*'2025'!Env_an</f>
        <v>25.925107509987821</v>
      </c>
      <c r="C316" s="841"/>
      <c r="D316" s="393">
        <f t="shared" si="102"/>
        <v>27.504495885926016</v>
      </c>
      <c r="E316" s="385">
        <f t="shared" si="125"/>
        <v>28.874723688313203</v>
      </c>
      <c r="F316" s="385">
        <f t="shared" si="103"/>
        <v>28.875411757452152</v>
      </c>
      <c r="G316" s="110">
        <f t="shared" si="126"/>
        <v>0.81907232007761521</v>
      </c>
      <c r="H316" s="414" t="b">
        <f>Wh_hp&gt;='2024'!Maxi_hp</f>
        <v>0</v>
      </c>
      <c r="I316" s="390">
        <f>IF(H316,Wh_hp,'2024'!Maxi_hp)</f>
        <v>29.923980500554308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5.7422916692916548E-2</v>
      </c>
      <c r="M316" s="845"/>
      <c r="N316" s="845"/>
      <c r="O316" s="48">
        <f>IF(t&lt;Tnet,'2024'!Resal+('2024'!Salim-'2024'!Resal)*(1-EXP(('2024'!Tnet-t)/('2024'!Tau_j))),Resal+(Salim-Resal)*(1-EXP((Tnet-t)/(Tau_j))))*Salcycl</f>
        <v>4.7454230806779109E-2</v>
      </c>
      <c r="P316" s="169">
        <f>(INDEX(Models!$BJ316:$BT316,,T316)*(1-R316)+INDEX(Models!$BJ316:$BT316,,T316+1)*R316-ERP_i)*Q316*Ramure*Pc/MaxiM</f>
        <v>3.2134265038857927E-5</v>
      </c>
      <c r="Q316" s="305">
        <f t="shared" si="105"/>
        <v>0.5</v>
      </c>
      <c r="R316" s="177">
        <f t="shared" si="106"/>
        <v>0.47104671289840727</v>
      </c>
      <c r="S316" s="811">
        <f t="shared" si="107"/>
        <v>-2</v>
      </c>
      <c r="T316" s="176">
        <f t="shared" si="108"/>
        <v>4</v>
      </c>
      <c r="U316" s="251">
        <f t="shared" si="109"/>
        <v>-1.5289532871015927</v>
      </c>
      <c r="V316" s="383">
        <f t="shared" si="110"/>
        <v>31.651530092940789</v>
      </c>
      <c r="W316" s="402">
        <f t="shared" si="111"/>
        <v>25.925107509987821</v>
      </c>
      <c r="X316" s="157">
        <f t="shared" si="112"/>
        <v>45959</v>
      </c>
      <c r="Y316" s="385">
        <f t="shared" si="113"/>
        <v>24.777012816359175</v>
      </c>
      <c r="Z316" s="385">
        <f t="shared" si="114"/>
        <v>26.286457898411516</v>
      </c>
      <c r="AA316" s="386">
        <f t="shared" si="115"/>
        <v>28.865242943001835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8.9338761141988784E-2</v>
      </c>
      <c r="AD316" s="231">
        <f>(INDEX(Models!$BJ316:$BT316,,AH316)*(1-AF316)+INDEX(Models!$BJ316:$BT316,,AH316+1)*AF316-ERP_i)*AE316*Ramure*Pc/MaxiM</f>
        <v>4.7490486083661467E-4</v>
      </c>
      <c r="AE316" s="305">
        <f t="shared" si="117"/>
        <v>0.5</v>
      </c>
      <c r="AF316" s="177">
        <f t="shared" si="118"/>
        <v>0.99603427927238619</v>
      </c>
      <c r="AG316" s="811">
        <f t="shared" si="124"/>
        <v>1</v>
      </c>
      <c r="AH316" s="176">
        <f t="shared" si="119"/>
        <v>7</v>
      </c>
      <c r="AI316" s="225">
        <f t="shared" si="120"/>
        <v>1.9960342792723862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'2024'!Wh/'2024'!Env_an*'2025'!Env_an</f>
        <v>21.44573383346054</v>
      </c>
      <c r="C317" s="841"/>
      <c r="D317" s="393">
        <f t="shared" si="102"/>
        <v>22.752731782013583</v>
      </c>
      <c r="E317" s="385">
        <f t="shared" si="125"/>
        <v>23.886894230498559</v>
      </c>
      <c r="F317" s="385">
        <f t="shared" si="103"/>
        <v>23.887303139858542</v>
      </c>
      <c r="G317" s="110">
        <f t="shared" si="126"/>
        <v>0.68370103513481362</v>
      </c>
      <c r="H317" s="414" t="b">
        <f>Wh_hp&gt;='2024'!Maxi_hp</f>
        <v>0</v>
      </c>
      <c r="I317" s="390">
        <f>IF(H317,Wh_hp,'2024'!Maxi_hp)</f>
        <v>33.09982659368044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5.744356155010133E-2</v>
      </c>
      <c r="M317" s="845"/>
      <c r="N317" s="845"/>
      <c r="O317" s="48">
        <f>IF(t&lt;Tnet,'2024'!Resal+('2024'!Salim-'2024'!Resal)*(1-EXP(('2024'!Tnet-t)/('2024'!Tau_j))),Resal+(Salim-Resal)*(1-EXP((Tnet-t)/(Tau_j))))*Salcycl</f>
        <v>4.7480532108560541E-2</v>
      </c>
      <c r="P317" s="169">
        <f>(INDEX(Models!$BJ317:$BT317,,T317)*(1-R317)+INDEX(Models!$BJ317:$BT317,,T317+1)*R317-ERP_i)*Q317*Ramure*Pc/MaxiM</f>
        <v>3.1228712563677103E-5</v>
      </c>
      <c r="Q317" s="305">
        <f t="shared" si="105"/>
        <v>0.5</v>
      </c>
      <c r="R317" s="177">
        <f t="shared" si="106"/>
        <v>0.47110773787844984</v>
      </c>
      <c r="S317" s="811">
        <f t="shared" si="107"/>
        <v>-2</v>
      </c>
      <c r="T317" s="176">
        <f t="shared" si="108"/>
        <v>4</v>
      </c>
      <c r="U317" s="251">
        <f t="shared" si="109"/>
        <v>-1.5288922621215502</v>
      </c>
      <c r="V317" s="383">
        <f t="shared" si="110"/>
        <v>31.366679465836665</v>
      </c>
      <c r="W317" s="402">
        <f t="shared" si="111"/>
        <v>21.44573383346054</v>
      </c>
      <c r="X317" s="157">
        <f t="shared" si="112"/>
        <v>45960</v>
      </c>
      <c r="Y317" s="385">
        <f t="shared" si="113"/>
        <v>20.499239010008985</v>
      </c>
      <c r="Z317" s="385">
        <f t="shared" si="114"/>
        <v>21.748553374396813</v>
      </c>
      <c r="AA317" s="386">
        <f t="shared" si="115"/>
        <v>23.881072922542455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8.929747650209878E-2</v>
      </c>
      <c r="AD317" s="231">
        <f>(INDEX(Models!$BJ317:$BT317,,AH317)*(1-AF317)+INDEX(Models!$BJ317:$BT317,,AH317+1)*AF317-ERP_i)*AE317*Ramure*Pc/MaxiM</f>
        <v>4.7580633952887187E-4</v>
      </c>
      <c r="AE317" s="305">
        <f t="shared" si="117"/>
        <v>0.5</v>
      </c>
      <c r="AF317" s="177">
        <f t="shared" si="118"/>
        <v>0.99609530425242898</v>
      </c>
      <c r="AG317" s="811">
        <f t="shared" si="124"/>
        <v>1</v>
      </c>
      <c r="AH317" s="176">
        <f t="shared" si="119"/>
        <v>7</v>
      </c>
      <c r="AI317" s="225">
        <f t="shared" si="120"/>
        <v>1.996095304252429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'2024'!Wh/'2024'!Env_an*'2025'!Env_an</f>
        <v>20.93666995037524</v>
      </c>
      <c r="C318" s="841"/>
      <c r="D318" s="393">
        <f t="shared" si="102"/>
        <v>22.213129817092238</v>
      </c>
      <c r="E318" s="385">
        <f t="shared" si="125"/>
        <v>23.321032292841288</v>
      </c>
      <c r="F318" s="385">
        <f t="shared" si="103"/>
        <v>23.321410253071122</v>
      </c>
      <c r="G318" s="110">
        <f t="shared" si="126"/>
        <v>0.67357975138134252</v>
      </c>
      <c r="H318" s="414" t="b">
        <f>Wh_hp&gt;='2024'!Maxi_hp</f>
        <v>0</v>
      </c>
      <c r="I318" s="390">
        <f>IF(H318,Wh_hp,'2024'!Maxi_hp)</f>
        <v>33.51042975379562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5.7464205955110703E-2</v>
      </c>
      <c r="M318" s="845"/>
      <c r="N318" s="845"/>
      <c r="O318" s="48">
        <f>IF(t&lt;Tnet,'2024'!Resal+('2024'!Salim-'2024'!Resal)*(1-EXP(('2024'!Tnet-t)/('2024'!Tau_j))),Resal+(Salim-Resal)*(1-EXP((Tnet-t)/(Tau_j))))*Salcycl</f>
        <v>4.7506579547472942E-2</v>
      </c>
      <c r="P318" s="169">
        <f>(INDEX(Models!$BJ318:$BT318,,T318)*(1-R318)+INDEX(Models!$BJ318:$BT318,,T318+1)*R318-ERP_i)*Q318*Ramure*Pc/MaxiM</f>
        <v>3.0366512592487411E-5</v>
      </c>
      <c r="Q318" s="305">
        <f t="shared" si="105"/>
        <v>0.5</v>
      </c>
      <c r="R318" s="177">
        <f t="shared" si="106"/>
        <v>0.47116631984431079</v>
      </c>
      <c r="S318" s="811">
        <f t="shared" si="107"/>
        <v>-2</v>
      </c>
      <c r="T318" s="176">
        <f t="shared" si="108"/>
        <v>4</v>
      </c>
      <c r="U318" s="251">
        <f t="shared" si="109"/>
        <v>-1.5288336801556892</v>
      </c>
      <c r="V318" s="383">
        <f t="shared" si="110"/>
        <v>31.082248895897205</v>
      </c>
      <c r="W318" s="402">
        <f t="shared" si="111"/>
        <v>20.93666995037524</v>
      </c>
      <c r="X318" s="157">
        <f t="shared" si="112"/>
        <v>45961</v>
      </c>
      <c r="Y318" s="385">
        <f t="shared" si="113"/>
        <v>20.014170877398993</v>
      </c>
      <c r="Z318" s="385">
        <f t="shared" si="114"/>
        <v>21.23438813024622</v>
      </c>
      <c r="AA318" s="386">
        <f t="shared" si="115"/>
        <v>23.315428236647328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8.9255924672664522E-2</v>
      </c>
      <c r="AD318" s="231">
        <f>(INDEX(Models!$BJ318:$BT318,,AH318)*(1-AF318)+INDEX(Models!$BJ318:$BT318,,AH318+1)*AF318-ERP_i)*AE318*Ramure*Pc/MaxiM</f>
        <v>4.8061399777867518E-4</v>
      </c>
      <c r="AE318" s="305">
        <f t="shared" si="117"/>
        <v>0.5</v>
      </c>
      <c r="AF318" s="177">
        <f t="shared" si="118"/>
        <v>0.99615388621828971</v>
      </c>
      <c r="AG318" s="811">
        <f t="shared" si="124"/>
        <v>1</v>
      </c>
      <c r="AH318" s="176">
        <f t="shared" si="119"/>
        <v>7</v>
      </c>
      <c r="AI318" s="225">
        <f t="shared" si="120"/>
        <v>1.9961538862182897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'2024'!Wh/'2024'!Env_an*'2025'!Env_an</f>
        <v>22.271073376574225</v>
      </c>
      <c r="C319" s="841"/>
      <c r="D319" s="393">
        <f t="shared" si="102"/>
        <v>23.629406248164017</v>
      </c>
      <c r="E319" s="385">
        <f t="shared" si="125"/>
        <v>24.808620001762176</v>
      </c>
      <c r="F319" s="385">
        <f t="shared" si="103"/>
        <v>24.809065204171748</v>
      </c>
      <c r="G319" s="110">
        <f t="shared" si="126"/>
        <v>0.72311075753657073</v>
      </c>
      <c r="H319" s="414" t="b">
        <f>Wh_hp&gt;='2024'!Maxi_hp</f>
        <v>0</v>
      </c>
      <c r="I319" s="390">
        <f>IF(H319,Wh_hp,'2024'!Maxi_hp)</f>
        <v>32.377451552901285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5.7484849907954549E-2</v>
      </c>
      <c r="M319" s="845"/>
      <c r="N319" s="845"/>
      <c r="O319" s="48">
        <f>IF(t&lt;Tnet,'2024'!Resal+('2024'!Salim-'2024'!Resal)*(1-EXP(('2024'!Tnet-t)/('2024'!Tau_j))),Resal+(Salim-Resal)*(1-EXP((Tnet-t)/(Tau_j))))*Salcycl</f>
        <v>4.7532420324645219E-2</v>
      </c>
      <c r="P319" s="169">
        <f>(INDEX(Models!$BJ319:$BT319,,T319)*(1-R319)+INDEX(Models!$BJ319:$BT319,,T319+1)*R319-ERP_i)*Q319*Ramure*Pc/MaxiM</f>
        <v>2.9688097133141019E-5</v>
      </c>
      <c r="Q319" s="305">
        <f t="shared" si="105"/>
        <v>0.5</v>
      </c>
      <c r="R319" s="177">
        <f t="shared" si="106"/>
        <v>0.47122255605645247</v>
      </c>
      <c r="S319" s="811">
        <f t="shared" si="107"/>
        <v>-2</v>
      </c>
      <c r="T319" s="176">
        <f t="shared" si="108"/>
        <v>4</v>
      </c>
      <c r="U319" s="251">
        <f t="shared" si="109"/>
        <v>-1.5287774439435475</v>
      </c>
      <c r="V319" s="383">
        <f t="shared" si="110"/>
        <v>30.798617793663752</v>
      </c>
      <c r="W319" s="402">
        <f t="shared" si="111"/>
        <v>22.271073376574225</v>
      </c>
      <c r="X319" s="157">
        <f t="shared" si="112"/>
        <v>45962</v>
      </c>
      <c r="Y319" s="385">
        <f t="shared" si="113"/>
        <v>21.290559848033251</v>
      </c>
      <c r="Z319" s="385">
        <f t="shared" si="114"/>
        <v>22.589090314308503</v>
      </c>
      <c r="AA319" s="386">
        <f t="shared" si="115"/>
        <v>24.801759295977494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8.9214194657064372E-2</v>
      </c>
      <c r="AD319" s="231">
        <f>(INDEX(Models!$BJ319:$BT319,,AH319)*(1-AF319)+INDEX(Models!$BJ319:$BT319,,AH319+1)*AF319-ERP_i)*AE319*Ramure*Pc/MaxiM</f>
        <v>4.8719078660089274E-4</v>
      </c>
      <c r="AE319" s="305">
        <f t="shared" si="117"/>
        <v>0.5</v>
      </c>
      <c r="AF319" s="177">
        <f t="shared" si="118"/>
        <v>0.99621012243043139</v>
      </c>
      <c r="AG319" s="811">
        <f t="shared" si="124"/>
        <v>1</v>
      </c>
      <c r="AH319" s="176">
        <f t="shared" si="119"/>
        <v>7</v>
      </c>
      <c r="AI319" s="225">
        <f t="shared" si="120"/>
        <v>1.9962101224304314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'2024'!Wh/'2024'!Env_an*'2025'!Env_an</f>
        <v>26.766606200563007</v>
      </c>
      <c r="C320" s="841"/>
      <c r="D320" s="393">
        <f t="shared" si="102"/>
        <v>28.39974770502123</v>
      </c>
      <c r="E320" s="385">
        <f t="shared" si="125"/>
        <v>29.817826982215188</v>
      </c>
      <c r="F320" s="385">
        <f t="shared" si="103"/>
        <v>29.818544719634914</v>
      </c>
      <c r="G320" s="110">
        <f t="shared" si="126"/>
        <v>0.8771241311075586</v>
      </c>
      <c r="H320" s="414" t="b">
        <f>Wh_hp&gt;='2024'!Maxi_hp</f>
        <v>1</v>
      </c>
      <c r="I320" s="390">
        <f>IF(H320,Wh_hp,'2024'!Maxi_hp)</f>
        <v>29.818544719634914</v>
      </c>
      <c r="J320" s="85">
        <f>IF(H320,An,'2024'!An_max)</f>
        <v>2025</v>
      </c>
      <c r="K320" s="197">
        <f t="shared" si="104"/>
        <v>45963</v>
      </c>
      <c r="L320" s="147">
        <f>IF(t&lt;Tvie,1-EXP((T0-t)*PertePVj)+'2024'!Pspv,1-EXP((T0-t)*PertePVj)+Pspv)</f>
        <v>5.7505493408642971E-2</v>
      </c>
      <c r="M320" s="845"/>
      <c r="N320" s="845"/>
      <c r="O320" s="48">
        <f>IF(t&lt;Tnet,'2024'!Resal+('2024'!Salim-'2024'!Resal)*(1-EXP(('2024'!Tnet-t)/('2024'!Tau_j))),Resal+(Salim-Resal)*(1-EXP((Tnet-t)/(Tau_j))))*Salcycl</f>
        <v>4.7558102675951862E-2</v>
      </c>
      <c r="P320" s="169">
        <f>(INDEX(Models!$BJ320:$BT320,,T320)*(1-R320)+INDEX(Models!$BJ320:$BT320,,T320+1)*R320-ERP_i)*Q320*Ramure*Pc/MaxiM</f>
        <v>2.919473709754914E-5</v>
      </c>
      <c r="Q320" s="305">
        <f t="shared" si="105"/>
        <v>0.5</v>
      </c>
      <c r="R320" s="177">
        <f t="shared" si="106"/>
        <v>0.47127653994580676</v>
      </c>
      <c r="S320" s="811">
        <f t="shared" si="107"/>
        <v>-2</v>
      </c>
      <c r="T320" s="176">
        <f t="shared" si="108"/>
        <v>4</v>
      </c>
      <c r="U320" s="251">
        <f t="shared" si="109"/>
        <v>-1.5287234600541932</v>
      </c>
      <c r="V320" s="383">
        <f t="shared" si="110"/>
        <v>30.516169924745654</v>
      </c>
      <c r="W320" s="402">
        <f t="shared" si="111"/>
        <v>26.766606200563007</v>
      </c>
      <c r="X320" s="157">
        <f t="shared" si="112"/>
        <v>45963</v>
      </c>
      <c r="Y320" s="385">
        <f t="shared" si="113"/>
        <v>25.587272348088575</v>
      </c>
      <c r="Z320" s="385">
        <f t="shared" si="114"/>
        <v>27.148457809720266</v>
      </c>
      <c r="AA320" s="386">
        <f t="shared" si="115"/>
        <v>29.806361956226592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8.9172377038489473E-2</v>
      </c>
      <c r="AD320" s="231">
        <f>(INDEX(Models!$BJ320:$BT320,,AH320)*(1-AF320)+INDEX(Models!$BJ320:$BT320,,AH320+1)*AF320-ERP_i)*AE320*Ramure*Pc/MaxiM</f>
        <v>4.9554692991070305E-4</v>
      </c>
      <c r="AE320" s="305">
        <f t="shared" si="117"/>
        <v>0.5</v>
      </c>
      <c r="AF320" s="177">
        <f t="shared" si="118"/>
        <v>0.99626410631978546</v>
      </c>
      <c r="AG320" s="811">
        <f t="shared" si="124"/>
        <v>1</v>
      </c>
      <c r="AH320" s="176">
        <f t="shared" si="119"/>
        <v>7</v>
      </c>
      <c r="AI320" s="225">
        <f t="shared" si="120"/>
        <v>1.9962641063197855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'2024'!Wh/'2024'!Env_an*'2025'!Env_an</f>
        <v>9.191100212346953</v>
      </c>
      <c r="C321" s="841"/>
      <c r="D321" s="393">
        <f t="shared" si="102"/>
        <v>9.7521008994319178</v>
      </c>
      <c r="E321" s="385">
        <f t="shared" si="125"/>
        <v>10.239325650214328</v>
      </c>
      <c r="F321" s="385">
        <f t="shared" si="103"/>
        <v>10.239327334469495</v>
      </c>
      <c r="G321" s="110">
        <f t="shared" si="126"/>
        <v>0.30397712458645965</v>
      </c>
      <c r="H321" s="414" t="b">
        <f>Wh_hp&gt;='2024'!Maxi_hp</f>
        <v>0</v>
      </c>
      <c r="I321" s="390">
        <f>IF(H321,Wh_hp,'2024'!Maxi_hp)</f>
        <v>30.00122544451607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5.7526136457185739E-2</v>
      </c>
      <c r="M321" s="845"/>
      <c r="N321" s="845"/>
      <c r="O321" s="48">
        <f>IF(t&lt;Tnet,'2024'!Resal+('2024'!Salim-'2024'!Resal)*(1-EXP(('2024'!Tnet-t)/('2024'!Tau_j))),Resal+(Salim-Resal)*(1-EXP((Tnet-t)/(Tau_j))))*Salcycl</f>
        <v>4.7583675666396229E-2</v>
      </c>
      <c r="P321" s="169">
        <f>(INDEX(Models!$BJ321:$BT321,,T321)*(1-R321)+INDEX(Models!$BJ321:$BT321,,T321+1)*R321-ERP_i)*Q321*Ramure*Pc/MaxiM</f>
        <v>2.8887695181778991E-5</v>
      </c>
      <c r="Q321" s="305">
        <f t="shared" si="105"/>
        <v>0.5</v>
      </c>
      <c r="R321" s="177">
        <f t="shared" si="106"/>
        <v>0.47132836126119981</v>
      </c>
      <c r="S321" s="811">
        <f t="shared" si="107"/>
        <v>-2</v>
      </c>
      <c r="T321" s="176">
        <f t="shared" si="108"/>
        <v>4</v>
      </c>
      <c r="U321" s="251">
        <f t="shared" si="109"/>
        <v>-1.5286716387388002</v>
      </c>
      <c r="V321" s="383">
        <f t="shared" si="110"/>
        <v>30.235289010445165</v>
      </c>
      <c r="W321" s="402">
        <f t="shared" si="111"/>
        <v>9.191100212346953</v>
      </c>
      <c r="X321" s="157">
        <f t="shared" si="112"/>
        <v>45964</v>
      </c>
      <c r="Y321" s="385">
        <f t="shared" si="113"/>
        <v>8.7901365475755675</v>
      </c>
      <c r="Z321" s="385">
        <f t="shared" si="114"/>
        <v>9.3266634626162794</v>
      </c>
      <c r="AA321" s="386">
        <f t="shared" si="115"/>
        <v>10.239297850804936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8.9130563588099204E-2</v>
      </c>
      <c r="AD321" s="231">
        <f>(INDEX(Models!$BJ321:$BT321,,AH321)*(1-AF321)+INDEX(Models!$BJ321:$BT321,,AH321+1)*AF321-ERP_i)*AE321*Ramure*Pc/MaxiM</f>
        <v>5.056924458378834E-4</v>
      </c>
      <c r="AE321" s="305">
        <f t="shared" si="117"/>
        <v>0.5</v>
      </c>
      <c r="AF321" s="177">
        <f t="shared" si="118"/>
        <v>0.99631592763517873</v>
      </c>
      <c r="AG321" s="811">
        <f t="shared" si="124"/>
        <v>1</v>
      </c>
      <c r="AH321" s="176">
        <f t="shared" si="119"/>
        <v>7</v>
      </c>
      <c r="AI321" s="225">
        <f t="shared" si="120"/>
        <v>1.9963159276351787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'2024'!Wh/'2024'!Env_an*'2025'!Env_an</f>
        <v>16.119554525199732</v>
      </c>
      <c r="C322" s="841"/>
      <c r="D322" s="393">
        <f t="shared" si="102"/>
        <v>17.103824536789791</v>
      </c>
      <c r="E322" s="385">
        <f t="shared" si="125"/>
        <v>17.958829861463972</v>
      </c>
      <c r="F322" s="385">
        <f t="shared" si="103"/>
        <v>17.959005596728904</v>
      </c>
      <c r="G322" s="110">
        <f t="shared" si="126"/>
        <v>0.5380910499330771</v>
      </c>
      <c r="H322" s="414" t="b">
        <f>Wh_hp&gt;='2024'!Maxi_hp</f>
        <v>0</v>
      </c>
      <c r="I322" s="390">
        <f>IF(H322,Wh_hp,'2024'!Maxi_hp)</f>
        <v>23.180990079496752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5.7546779053592734E-2</v>
      </c>
      <c r="M322" s="845"/>
      <c r="N322" s="845"/>
      <c r="O322" s="48">
        <f>IF(t&lt;Tnet,'2024'!Resal+('2024'!Salim-'2024'!Resal)*(1-EXP(('2024'!Tnet-t)/('2024'!Tau_j))),Resal+(Salim-Resal)*(1-EXP((Tnet-t)/(Tau_j))))*Salcycl</f>
        <v>4.7609188976663233E-2</v>
      </c>
      <c r="P322" s="169">
        <f>(INDEX(Models!$BJ322:$BT322,,T322)*(1-R322)+INDEX(Models!$BJ322:$BT322,,T322+1)*R322-ERP_i)*Q322*Ramure*Pc/MaxiM</f>
        <v>2.8768218750315059E-5</v>
      </c>
      <c r="Q322" s="305">
        <f t="shared" si="105"/>
        <v>0.5</v>
      </c>
      <c r="R322" s="177">
        <f t="shared" si="106"/>
        <v>0.47137810621137222</v>
      </c>
      <c r="S322" s="811">
        <f t="shared" si="107"/>
        <v>-2</v>
      </c>
      <c r="T322" s="176">
        <f t="shared" si="108"/>
        <v>4</v>
      </c>
      <c r="U322" s="251">
        <f t="shared" si="109"/>
        <v>-1.5286218937886278</v>
      </c>
      <c r="V322" s="383">
        <f t="shared" si="110"/>
        <v>29.956358740626946</v>
      </c>
      <c r="W322" s="402">
        <f t="shared" si="111"/>
        <v>16.119554525199732</v>
      </c>
      <c r="X322" s="157">
        <f t="shared" si="112"/>
        <v>45965</v>
      </c>
      <c r="Y322" s="385">
        <f t="shared" si="113"/>
        <v>15.414932764413351</v>
      </c>
      <c r="Z322" s="385">
        <f t="shared" si="114"/>
        <v>16.356178133630596</v>
      </c>
      <c r="AA322" s="386">
        <f t="shared" si="115"/>
        <v>17.955843527950684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8.9088846860911397E-2</v>
      </c>
      <c r="AD322" s="231">
        <f>(INDEX(Models!$BJ322:$BT322,,AH322)*(1-AF322)+INDEX(Models!$BJ322:$BT322,,AH322+1)*AF322-ERP_i)*AE322*Ramure*Pc/MaxiM</f>
        <v>5.1763706249393303E-4</v>
      </c>
      <c r="AE322" s="305">
        <f t="shared" si="117"/>
        <v>0.5</v>
      </c>
      <c r="AF322" s="177">
        <f t="shared" si="118"/>
        <v>0.99636567258535114</v>
      </c>
      <c r="AG322" s="811">
        <f t="shared" si="124"/>
        <v>1</v>
      </c>
      <c r="AH322" s="176">
        <f t="shared" si="119"/>
        <v>7</v>
      </c>
      <c r="AI322" s="225">
        <f t="shared" si="120"/>
        <v>1.9963656725853511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'2024'!Wh/'2024'!Env_an*'2025'!Env_an</f>
        <v>28.069540713062651</v>
      </c>
      <c r="C323" s="841"/>
      <c r="D323" s="393">
        <f t="shared" si="102"/>
        <v>29.784136652767554</v>
      </c>
      <c r="E323" s="385">
        <f t="shared" si="125"/>
        <v>31.273857230985364</v>
      </c>
      <c r="F323" s="385">
        <f t="shared" si="103"/>
        <v>31.274689215653005</v>
      </c>
      <c r="G323" s="110">
        <f t="shared" si="126"/>
        <v>0.94574468770961129</v>
      </c>
      <c r="H323" s="414" t="b">
        <f>Wh_hp&gt;='2024'!Maxi_hp</f>
        <v>1</v>
      </c>
      <c r="I323" s="390">
        <f>IF(H323,Wh_hp,'2024'!Maxi_hp)</f>
        <v>31.274689215653005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5.7567421197873836E-2</v>
      </c>
      <c r="M323" s="845"/>
      <c r="N323" s="845"/>
      <c r="O323" s="48">
        <f>IF(t&lt;Tnet,'2024'!Resal+('2024'!Salim-'2024'!Resal)*(1-EXP(('2024'!Tnet-t)/('2024'!Tau_j))),Resal+(Salim-Resal)*(1-EXP((Tnet-t)/(Tau_j))))*Salcycl</f>
        <v>4.7634692683249658E-2</v>
      </c>
      <c r="P323" s="169">
        <f>(INDEX(Models!$BJ323:$BT323,,T323)*(1-R323)+INDEX(Models!$BJ323:$BT323,,T323+1)*R323-ERP_i)*Q323*Ramure*Pc/MaxiM</f>
        <v>2.8837532466475614E-5</v>
      </c>
      <c r="Q323" s="305">
        <f t="shared" si="105"/>
        <v>0.5</v>
      </c>
      <c r="R323" s="177">
        <f t="shared" si="106"/>
        <v>0.47142585760176159</v>
      </c>
      <c r="S323" s="811">
        <f t="shared" si="107"/>
        <v>-2</v>
      </c>
      <c r="T323" s="176">
        <f t="shared" si="108"/>
        <v>4</v>
      </c>
      <c r="U323" s="251">
        <f t="shared" si="109"/>
        <v>-1.5285741423982384</v>
      </c>
      <c r="V323" s="383">
        <f t="shared" si="110"/>
        <v>29.67976277277398</v>
      </c>
      <c r="W323" s="402">
        <f t="shared" si="111"/>
        <v>28.069540713062651</v>
      </c>
      <c r="X323" s="157">
        <f t="shared" si="112"/>
        <v>45966</v>
      </c>
      <c r="Y323" s="385">
        <f t="shared" si="113"/>
        <v>26.836517990825996</v>
      </c>
      <c r="Z323" s="385">
        <f t="shared" si="114"/>
        <v>28.475796141233157</v>
      </c>
      <c r="AA323" s="386">
        <f t="shared" si="115"/>
        <v>31.259358207742295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8.9047319782135134E-2</v>
      </c>
      <c r="AD323" s="231">
        <f>(INDEX(Models!$BJ323:$BT323,,AH323)*(1-AF323)+INDEX(Models!$BJ323:$BT323,,AH323+1)*AF323-ERP_i)*AE323*Ramure*Pc/MaxiM</f>
        <v>5.3139012720307313E-4</v>
      </c>
      <c r="AE323" s="305">
        <f t="shared" si="117"/>
        <v>0.5</v>
      </c>
      <c r="AF323" s="177">
        <f t="shared" si="118"/>
        <v>0.99641342397574051</v>
      </c>
      <c r="AG323" s="811">
        <f t="shared" si="124"/>
        <v>1</v>
      </c>
      <c r="AH323" s="176">
        <f t="shared" si="119"/>
        <v>7</v>
      </c>
      <c r="AI323" s="225">
        <f t="shared" si="120"/>
        <v>1.9964134239757405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'2024'!Wh/'2024'!Env_an*'2025'!Env_an</f>
        <v>28.918385124292467</v>
      </c>
      <c r="C324" s="841"/>
      <c r="D324" s="393">
        <f t="shared" si="102"/>
        <v>30.685503849807734</v>
      </c>
      <c r="E324" s="385">
        <f t="shared" si="125"/>
        <v>32.221172572095931</v>
      </c>
      <c r="F324" s="385">
        <f t="shared" si="103"/>
        <v>32.22208948922934</v>
      </c>
      <c r="G324" s="110">
        <f t="shared" si="126"/>
        <v>0.98342106848441069</v>
      </c>
      <c r="H324" s="414" t="b">
        <f>Wh_hp&gt;='2024'!Maxi_hp</f>
        <v>1</v>
      </c>
      <c r="I324" s="390">
        <f>IF(H324,Wh_hp,'2024'!Maxi_hp)</f>
        <v>32.22208948922934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5.7588062890039149E-2</v>
      </c>
      <c r="M324" s="845"/>
      <c r="N324" s="845"/>
      <c r="O324" s="48">
        <f>IF(t&lt;Tnet,'2024'!Resal+('2024'!Salim-'2024'!Resal)*(1-EXP(('2024'!Tnet-t)/('2024'!Tau_j))),Resal+(Salim-Resal)*(1-EXP((Tnet-t)/(Tau_j))))*Salcycl</f>
        <v>4.7660237033648863E-2</v>
      </c>
      <c r="P324" s="169">
        <f>(INDEX(Models!$BJ324:$BT324,,T324)*(1-R324)+INDEX(Models!$BJ324:$BT324,,T324+1)*R324-ERP_i)*Q324*Ramure*Pc/MaxiM</f>
        <v>2.9146447868647905E-5</v>
      </c>
      <c r="Q324" s="305">
        <f t="shared" si="105"/>
        <v>0.5</v>
      </c>
      <c r="R324" s="177">
        <f t="shared" si="106"/>
        <v>0.47147169496623076</v>
      </c>
      <c r="S324" s="811">
        <f t="shared" si="107"/>
        <v>-2</v>
      </c>
      <c r="T324" s="176">
        <f t="shared" si="108"/>
        <v>4</v>
      </c>
      <c r="U324" s="251">
        <f t="shared" si="109"/>
        <v>-1.5285283050337692</v>
      </c>
      <c r="V324" s="383">
        <f t="shared" si="110"/>
        <v>29.405883287064565</v>
      </c>
      <c r="W324" s="402">
        <f t="shared" si="111"/>
        <v>28.918385124292467</v>
      </c>
      <c r="X324" s="157">
        <f t="shared" si="112"/>
        <v>45967</v>
      </c>
      <c r="Y324" s="385">
        <f t="shared" si="113"/>
        <v>27.648906377939227</v>
      </c>
      <c r="Z324" s="385">
        <f t="shared" si="114"/>
        <v>29.338450935509687</v>
      </c>
      <c r="AA324" s="386">
        <f t="shared" si="115"/>
        <v>32.204880996119059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8.9006075226758311E-2</v>
      </c>
      <c r="AD324" s="231">
        <f>(INDEX(Models!$BJ324:$BT324,,AH324)*(1-AF324)+INDEX(Models!$BJ324:$BT324,,AH324+1)*AF324-ERP_i)*AE324*Ramure*Pc/MaxiM</f>
        <v>5.4701393294999639E-4</v>
      </c>
      <c r="AE324" s="305">
        <f t="shared" si="117"/>
        <v>0.5</v>
      </c>
      <c r="AF324" s="177">
        <f t="shared" si="118"/>
        <v>0.99645926134020968</v>
      </c>
      <c r="AG324" s="811">
        <f t="shared" si="124"/>
        <v>1</v>
      </c>
      <c r="AH324" s="176">
        <f t="shared" si="119"/>
        <v>7</v>
      </c>
      <c r="AI324" s="225">
        <f t="shared" si="120"/>
        <v>1.9964592613402097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'2024'!Wh/'2024'!Env_an*'2025'!Env_an</f>
        <v>26.7252433773434</v>
      </c>
      <c r="C325" s="841"/>
      <c r="D325" s="393">
        <f t="shared" si="102"/>
        <v>28.358966699362274</v>
      </c>
      <c r="E325" s="385">
        <f t="shared" si="125"/>
        <v>29.779004502868887</v>
      </c>
      <c r="F325" s="385">
        <f t="shared" si="103"/>
        <v>29.779781428954571</v>
      </c>
      <c r="G325" s="110">
        <f t="shared" si="126"/>
        <v>0.91728339217500754</v>
      </c>
      <c r="H325" s="414" t="b">
        <f>Wh_hp&gt;='2024'!Maxi_hp</f>
        <v>1</v>
      </c>
      <c r="I325" s="390">
        <f>IF(H325,Wh_hp,'2024'!Maxi_hp)</f>
        <v>29.779781428954571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5.7608704130098332E-2</v>
      </c>
      <c r="M325" s="845"/>
      <c r="N325" s="845"/>
      <c r="O325" s="48">
        <f>IF(t&lt;Tnet,'2024'!Resal+('2024'!Salim-'2024'!Resal)*(1-EXP(('2024'!Tnet-t)/('2024'!Tau_j))),Resal+(Salim-Resal)*(1-EXP((Tnet-t)/(Tau_j))))*Salcycl</f>
        <v>4.7685872218119638E-2</v>
      </c>
      <c r="P325" s="169">
        <f>(INDEX(Models!$BJ325:$BT325,,T325)*(1-R325)+INDEX(Models!$BJ325:$BT325,,T325+1)*R325-ERP_i)*Q325*Ramure*Pc/MaxiM</f>
        <v>2.9584851166137118E-5</v>
      </c>
      <c r="Q325" s="305">
        <f t="shared" si="105"/>
        <v>0.5</v>
      </c>
      <c r="R325" s="177">
        <f t="shared" si="106"/>
        <v>0.47151569469390187</v>
      </c>
      <c r="S325" s="811">
        <f t="shared" si="107"/>
        <v>-2</v>
      </c>
      <c r="T325" s="176">
        <f t="shared" si="108"/>
        <v>4</v>
      </c>
      <c r="U325" s="251">
        <f t="shared" si="109"/>
        <v>-1.5284843053060981</v>
      </c>
      <c r="V325" s="383">
        <f t="shared" si="110"/>
        <v>29.135107183496803</v>
      </c>
      <c r="W325" s="402">
        <f t="shared" si="111"/>
        <v>26.7252433773434</v>
      </c>
      <c r="X325" s="157">
        <f t="shared" si="112"/>
        <v>45968</v>
      </c>
      <c r="Y325" s="385">
        <f t="shared" si="113"/>
        <v>25.554767321602426</v>
      </c>
      <c r="Z325" s="385">
        <f t="shared" si="114"/>
        <v>27.11693903965163</v>
      </c>
      <c r="AA325" s="386">
        <f t="shared" si="115"/>
        <v>29.764987249877883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8.8965205595279345E-2</v>
      </c>
      <c r="AD325" s="231">
        <f>(INDEX(Models!$BJ325:$BT325,,AH325)*(1-AF325)+INDEX(Models!$BJ325:$BT325,,AH325+1)*AF325-ERP_i)*AE325*Ramure*Pc/MaxiM</f>
        <v>5.633529291560089E-4</v>
      </c>
      <c r="AE325" s="305">
        <f t="shared" si="117"/>
        <v>0.5</v>
      </c>
      <c r="AF325" s="177">
        <f t="shared" si="118"/>
        <v>0.99650326106788079</v>
      </c>
      <c r="AG325" s="811">
        <f t="shared" si="124"/>
        <v>1</v>
      </c>
      <c r="AH325" s="176">
        <f t="shared" si="119"/>
        <v>7</v>
      </c>
      <c r="AI325" s="225">
        <f t="shared" si="120"/>
        <v>1.9965032610678808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'2024'!Wh/'2024'!Env_an*'2025'!Env_an</f>
        <v>20.121445761069715</v>
      </c>
      <c r="C326" s="841"/>
      <c r="D326" s="393">
        <f t="shared" si="102"/>
        <v>21.351944325261449</v>
      </c>
      <c r="E326" s="385">
        <f t="shared" si="125"/>
        <v>22.421721617772967</v>
      </c>
      <c r="F326" s="385">
        <f t="shared" si="103"/>
        <v>22.42210508439728</v>
      </c>
      <c r="G326" s="110">
        <f t="shared" si="126"/>
        <v>0.69701087635737968</v>
      </c>
      <c r="H326" s="414" t="b">
        <f>Wh_hp&gt;='2024'!Maxi_hp</f>
        <v>0</v>
      </c>
      <c r="I326" s="390">
        <f>IF(H326,Wh_hp,'2024'!Maxi_hp)</f>
        <v>27.215230575971084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5.7629344918061376E-2</v>
      </c>
      <c r="M326" s="845"/>
      <c r="N326" s="845"/>
      <c r="O326" s="48">
        <f>IF(t&lt;Tnet,'2024'!Resal+('2024'!Salim-'2024'!Resal)*(1-EXP(('2024'!Tnet-t)/('2024'!Tau_j))),Resal+(Salim-Resal)*(1-EXP((Tnet-t)/(Tau_j))))*Salcycl</f>
        <v>4.7711648139612095E-2</v>
      </c>
      <c r="P326" s="169">
        <f>(INDEX(Models!$BJ326:$BT326,,T326)*(1-R326)+INDEX(Models!$BJ326:$BT326,,T326+1)*R326-ERP_i)*Q326*Ramure*Pc/MaxiM</f>
        <v>3.0153440395945966E-5</v>
      </c>
      <c r="Q326" s="305">
        <f t="shared" si="105"/>
        <v>0.5</v>
      </c>
      <c r="R326" s="177">
        <f t="shared" si="106"/>
        <v>0.47155793015126801</v>
      </c>
      <c r="S326" s="811">
        <f t="shared" si="107"/>
        <v>-2</v>
      </c>
      <c r="T326" s="176">
        <f t="shared" si="108"/>
        <v>4</v>
      </c>
      <c r="U326" s="251">
        <f t="shared" si="109"/>
        <v>-1.528442069848732</v>
      </c>
      <c r="V326" s="383">
        <f t="shared" si="110"/>
        <v>28.867818033597818</v>
      </c>
      <c r="W326" s="402">
        <f t="shared" si="111"/>
        <v>20.121445761069715</v>
      </c>
      <c r="X326" s="157">
        <f t="shared" si="112"/>
        <v>45969</v>
      </c>
      <c r="Y326" s="385">
        <f t="shared" si="113"/>
        <v>19.244621429280507</v>
      </c>
      <c r="Z326" s="385">
        <f t="shared" si="114"/>
        <v>20.421499041273943</v>
      </c>
      <c r="AA326" s="386">
        <f t="shared" si="115"/>
        <v>22.414723938059304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8.8924802388529248E-2</v>
      </c>
      <c r="AD326" s="231">
        <f>(INDEX(Models!$BJ326:$BT326,,AH326)*(1-AF326)+INDEX(Models!$BJ326:$BT326,,AH326+1)*AF326-ERP_i)*AE326*Ramure*Pc/MaxiM</f>
        <v>5.8040763405118852E-4</v>
      </c>
      <c r="AE326" s="305">
        <f t="shared" si="117"/>
        <v>0.5</v>
      </c>
      <c r="AF326" s="177">
        <f t="shared" si="118"/>
        <v>0.99654549652524693</v>
      </c>
      <c r="AG326" s="811">
        <f t="shared" si="124"/>
        <v>1</v>
      </c>
      <c r="AH326" s="176">
        <f t="shared" si="119"/>
        <v>7</v>
      </c>
      <c r="AI326" s="225">
        <f t="shared" si="120"/>
        <v>1.9965454965252469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'2024'!Wh/'2024'!Env_an*'2025'!Env_an</f>
        <v>9.4088519391474055</v>
      </c>
      <c r="C327" s="841"/>
      <c r="D327" s="393">
        <f t="shared" si="102"/>
        <v>9.984455660758746</v>
      </c>
      <c r="E327" s="385">
        <f t="shared" si="125"/>
        <v>10.484983770725387</v>
      </c>
      <c r="F327" s="385">
        <f t="shared" si="103"/>
        <v>10.484997140307893</v>
      </c>
      <c r="G327" s="110">
        <f t="shared" si="126"/>
        <v>0.32892051028090125</v>
      </c>
      <c r="H327" s="414" t="b">
        <f>Wh_hp&gt;='2024'!Maxi_hp</f>
        <v>0</v>
      </c>
      <c r="I327" s="390">
        <f>IF(H327,Wh_hp,'2024'!Maxi_hp)</f>
        <v>21.819080346731017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5.7649985253938163E-2</v>
      </c>
      <c r="M327" s="845"/>
      <c r="N327" s="845"/>
      <c r="O327" s="48">
        <f>IF(t&lt;Tnet,'2024'!Resal+('2024'!Salim-'2024'!Resal)*(1-EXP(('2024'!Tnet-t)/('2024'!Tau_j))),Resal+(Salim-Resal)*(1-EXP((Tnet-t)/(Tau_j))))*Salcycl</f>
        <v>4.773761418345171E-2</v>
      </c>
      <c r="P327" s="169">
        <f>(INDEX(Models!$BJ327:$BT327,,T327)*(1-R327)+INDEX(Models!$BJ327:$BT327,,T327+1)*R327-ERP_i)*Q327*Ramure*Pc/MaxiM</f>
        <v>3.0852868151000472E-5</v>
      </c>
      <c r="Q327" s="305">
        <f t="shared" si="105"/>
        <v>0.5</v>
      </c>
      <c r="R327" s="177">
        <f t="shared" si="106"/>
        <v>0.47159847179973746</v>
      </c>
      <c r="S327" s="811">
        <f t="shared" si="107"/>
        <v>-2</v>
      </c>
      <c r="T327" s="176">
        <f t="shared" si="108"/>
        <v>4</v>
      </c>
      <c r="U327" s="251">
        <f t="shared" si="109"/>
        <v>-1.5284015282002625</v>
      </c>
      <c r="V327" s="383">
        <f t="shared" si="110"/>
        <v>28.604399397478357</v>
      </c>
      <c r="W327" s="402">
        <f t="shared" si="111"/>
        <v>9.4088519391474055</v>
      </c>
      <c r="X327" s="157">
        <f t="shared" si="112"/>
        <v>45970</v>
      </c>
      <c r="Y327" s="385">
        <f t="shared" si="113"/>
        <v>9.0020835413478295</v>
      </c>
      <c r="Z327" s="385">
        <f t="shared" si="114"/>
        <v>9.5528024624413579</v>
      </c>
      <c r="AA327" s="386">
        <f t="shared" si="115"/>
        <v>10.484737929738886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8.888495578455885E-2</v>
      </c>
      <c r="AD327" s="231">
        <f>(INDEX(Models!$BJ327:$BT327,,AH327)*(1-AF327)+INDEX(Models!$BJ327:$BT327,,AH327+1)*AF327-ERP_i)*AE327*Ramure*Pc/MaxiM</f>
        <v>5.9817795396317546E-4</v>
      </c>
      <c r="AE327" s="305">
        <f t="shared" si="117"/>
        <v>0.5</v>
      </c>
      <c r="AF327" s="177">
        <f t="shared" si="118"/>
        <v>0.99658603817371638</v>
      </c>
      <c r="AG327" s="811">
        <f t="shared" si="124"/>
        <v>1</v>
      </c>
      <c r="AH327" s="176">
        <f t="shared" si="119"/>
        <v>7</v>
      </c>
      <c r="AI327" s="225">
        <f t="shared" si="120"/>
        <v>1.9965860381737164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'2024'!Wh/'2024'!Env_an*'2025'!Env_an</f>
        <v>19.539433214376881</v>
      </c>
      <c r="C328" s="841"/>
      <c r="D328" s="393">
        <f t="shared" si="102"/>
        <v>20.735247924573006</v>
      </c>
      <c r="E328" s="385">
        <f t="shared" si="125"/>
        <v>21.775320385899473</v>
      </c>
      <c r="F328" s="385">
        <f t="shared" si="103"/>
        <v>21.775704125607593</v>
      </c>
      <c r="G328" s="110">
        <f t="shared" si="126"/>
        <v>0.68932780322272769</v>
      </c>
      <c r="H328" s="414" t="b">
        <f>Wh_hp&gt;='2024'!Maxi_hp</f>
        <v>0</v>
      </c>
      <c r="I328" s="390">
        <f>IF(H328,Wh_hp,'2024'!Maxi_hp)</f>
        <v>21.789231727925742</v>
      </c>
      <c r="J328" s="85">
        <f>IF(H328,An,'2024'!An_max)</f>
        <v>2018</v>
      </c>
      <c r="K328" s="197">
        <f t="shared" si="104"/>
        <v>45971</v>
      </c>
      <c r="L328" s="147">
        <f>IF(t&lt;Tvie,1-EXP((T0-t)*PertePVj)+'2024'!Pspv,1-EXP((T0-t)*PertePVj)+Pspv)</f>
        <v>5.7670625137738685E-2</v>
      </c>
      <c r="M328" s="845"/>
      <c r="N328" s="845"/>
      <c r="O328" s="48">
        <f>IF(t&lt;Tnet,'2024'!Resal+('2024'!Salim-'2024'!Resal)*(1-EXP(('2024'!Tnet-t)/('2024'!Tau_j))),Resal+(Salim-Resal)*(1-EXP((Tnet-t)/(Tau_j))))*Salcycl</f>
        <v>4.7763818988397662E-2</v>
      </c>
      <c r="P328" s="169">
        <f>(INDEX(Models!$BJ328:$BT328,,T328)*(1-R328)+INDEX(Models!$BJ328:$BT328,,T328+1)*R328-ERP_i)*Q328*Ramure*Pc/MaxiM</f>
        <v>3.1683732797789783E-5</v>
      </c>
      <c r="Q328" s="305">
        <f t="shared" si="105"/>
        <v>0.5</v>
      </c>
      <c r="R328" s="177">
        <f t="shared" si="106"/>
        <v>0.47163738730877269</v>
      </c>
      <c r="S328" s="811">
        <f t="shared" si="107"/>
        <v>-2</v>
      </c>
      <c r="T328" s="176">
        <f t="shared" si="108"/>
        <v>4</v>
      </c>
      <c r="U328" s="251">
        <f t="shared" si="109"/>
        <v>-1.5283626126912273</v>
      </c>
      <c r="V328" s="383">
        <f t="shared" si="110"/>
        <v>28.345234832107391</v>
      </c>
      <c r="W328" s="402">
        <f t="shared" si="111"/>
        <v>19.539433214376881</v>
      </c>
      <c r="X328" s="157">
        <f t="shared" si="112"/>
        <v>45971</v>
      </c>
      <c r="Y328" s="385">
        <f t="shared" si="113"/>
        <v>18.690368207850458</v>
      </c>
      <c r="Z328" s="385">
        <f t="shared" si="114"/>
        <v>19.834220078921341</v>
      </c>
      <c r="AA328" s="386">
        <f t="shared" si="115"/>
        <v>21.768235368265834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8.884575422057131E-2</v>
      </c>
      <c r="AD328" s="231">
        <f>(INDEX(Models!$BJ328:$BT328,,AH328)*(1-AF328)+INDEX(Models!$BJ328:$BT328,,AH328+1)*AF328-ERP_i)*AE328*Ramure*Pc/MaxiM</f>
        <v>6.1666308421924403E-4</v>
      </c>
      <c r="AE328" s="305">
        <f t="shared" si="117"/>
        <v>0.5</v>
      </c>
      <c r="AF328" s="177">
        <f t="shared" si="118"/>
        <v>0.99662495368275161</v>
      </c>
      <c r="AG328" s="811">
        <f t="shared" si="124"/>
        <v>1</v>
      </c>
      <c r="AH328" s="176">
        <f t="shared" si="119"/>
        <v>7</v>
      </c>
      <c r="AI328" s="225">
        <f t="shared" si="120"/>
        <v>1.9966249536827516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'2024'!Wh/'2024'!Env_an*'2025'!Env_an</f>
        <v>26.463902250532126</v>
      </c>
      <c r="C329" s="841"/>
      <c r="D329" s="393">
        <f t="shared" si="102"/>
        <v>28.084110075071255</v>
      </c>
      <c r="E329" s="385">
        <f t="shared" si="125"/>
        <v>29.493619290495044</v>
      </c>
      <c r="F329" s="385">
        <f t="shared" si="103"/>
        <v>29.494502522363131</v>
      </c>
      <c r="G329" s="110">
        <f t="shared" si="126"/>
        <v>0.94208486572892591</v>
      </c>
      <c r="H329" s="414" t="b">
        <f>Wh_hp&gt;='2024'!Maxi_hp</f>
        <v>1</v>
      </c>
      <c r="I329" s="390">
        <f>IF(H329,Wh_hp,'2024'!Maxi_hp)</f>
        <v>29.494502522363131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5.7691264569472711E-2</v>
      </c>
      <c r="M329" s="845"/>
      <c r="N329" s="845"/>
      <c r="O329" s="48">
        <f>IF(t&lt;Tnet,'2024'!Resal+('2024'!Salim-'2024'!Resal)*(1-EXP(('2024'!Tnet-t)/('2024'!Tau_j))),Resal+(Salim-Resal)*(1-EXP((Tnet-t)/(Tau_j))))*Salcycl</f>
        <v>4.7790310220693591E-2</v>
      </c>
      <c r="P329" s="169">
        <f>(INDEX(Models!$BJ329:$BT329,,T329)*(1-R329)+INDEX(Models!$BJ329:$BT329,,T329+1)*R329-ERP_i)*Q329*Ramure*Pc/MaxiM</f>
        <v>3.2646568611645059E-5</v>
      </c>
      <c r="Q329" s="305">
        <f t="shared" si="105"/>
        <v>0.5</v>
      </c>
      <c r="R329" s="177">
        <f t="shared" si="106"/>
        <v>0.47167474166476975</v>
      </c>
      <c r="S329" s="811">
        <f t="shared" si="107"/>
        <v>-2</v>
      </c>
      <c r="T329" s="176">
        <f t="shared" si="108"/>
        <v>4</v>
      </c>
      <c r="U329" s="251">
        <f t="shared" si="109"/>
        <v>-1.5283252583352303</v>
      </c>
      <c r="V329" s="383">
        <f t="shared" si="110"/>
        <v>28.09070789063863</v>
      </c>
      <c r="W329" s="402">
        <f t="shared" si="111"/>
        <v>26.463902250532126</v>
      </c>
      <c r="X329" s="157">
        <f t="shared" si="112"/>
        <v>45972</v>
      </c>
      <c r="Y329" s="385">
        <f t="shared" si="113"/>
        <v>25.309942210918763</v>
      </c>
      <c r="Z329" s="385">
        <f t="shared" si="114"/>
        <v>26.859500776414873</v>
      </c>
      <c r="AA329" s="386">
        <f t="shared" si="115"/>
        <v>29.477299702107839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8.8807283982860072E-2</v>
      </c>
      <c r="AD329" s="231">
        <f>(INDEX(Models!$BJ329:$BT329,,AH329)*(1-AF329)+INDEX(Models!$BJ329:$BT329,,AH329+1)*AF329-ERP_i)*AE329*Ramure*Pc/MaxiM</f>
        <v>6.3586139956113314E-4</v>
      </c>
      <c r="AE329" s="305">
        <f t="shared" si="117"/>
        <v>0.5</v>
      </c>
      <c r="AF329" s="177">
        <f t="shared" si="118"/>
        <v>0.99666230803874867</v>
      </c>
      <c r="AG329" s="811">
        <f t="shared" si="124"/>
        <v>1</v>
      </c>
      <c r="AH329" s="176">
        <f t="shared" si="119"/>
        <v>7</v>
      </c>
      <c r="AI329" s="225">
        <f t="shared" si="120"/>
        <v>1.9966623080387487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'2024'!Wh/'2024'!Env_an*'2025'!Env_an</f>
        <v>26.508332756342746</v>
      </c>
      <c r="C330" s="841"/>
      <c r="D330" s="393">
        <f t="shared" si="102"/>
        <v>28.131876924039478</v>
      </c>
      <c r="E330" s="385">
        <f t="shared" si="125"/>
        <v>29.544615786502021</v>
      </c>
      <c r="F330" s="385">
        <f t="shared" si="103"/>
        <v>29.545544526554973</v>
      </c>
      <c r="G330" s="110">
        <f t="shared" si="126"/>
        <v>0.95212381493277942</v>
      </c>
      <c r="H330" s="414" t="b">
        <f>Wh_hp&gt;='2024'!Maxi_hp</f>
        <v>1</v>
      </c>
      <c r="I330" s="390">
        <f>IF(H330,Wh_hp,'2024'!Maxi_hp)</f>
        <v>29.545544526554973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5.7711903549150234E-2</v>
      </c>
      <c r="M330" s="845"/>
      <c r="N330" s="845"/>
      <c r="O330" s="48">
        <f>IF(t&lt;Tnet,'2024'!Resal+('2024'!Salim-'2024'!Resal)*(1-EXP(('2024'!Tnet-t)/('2024'!Tau_j))),Resal+(Salim-Resal)*(1-EXP((Tnet-t)/(Tau_j))))*Salcycl</f>
        <v>4.7817134352716117E-2</v>
      </c>
      <c r="P330" s="169">
        <f>(INDEX(Models!$BJ330:$BT330,,T330)*(1-R330)+INDEX(Models!$BJ330:$BT330,,T330+1)*R330-ERP_i)*Q330*Ramure*Pc/MaxiM</f>
        <v>3.3741834670774704E-5</v>
      </c>
      <c r="Q330" s="305">
        <f t="shared" si="105"/>
        <v>0.5</v>
      </c>
      <c r="R330" s="177">
        <f t="shared" si="106"/>
        <v>0.47171059727583309</v>
      </c>
      <c r="S330" s="811">
        <f t="shared" si="107"/>
        <v>-2</v>
      </c>
      <c r="T330" s="176">
        <f t="shared" si="108"/>
        <v>4</v>
      </c>
      <c r="U330" s="251">
        <f t="shared" si="109"/>
        <v>-1.5282894027241669</v>
      </c>
      <c r="V330" s="383">
        <f t="shared" si="110"/>
        <v>27.841202127994716</v>
      </c>
      <c r="W330" s="402">
        <f t="shared" si="111"/>
        <v>26.508332756342746</v>
      </c>
      <c r="X330" s="157">
        <f t="shared" si="112"/>
        <v>45973</v>
      </c>
      <c r="Y330" s="385">
        <f t="shared" si="113"/>
        <v>25.353533131937088</v>
      </c>
      <c r="Z330" s="385">
        <f t="shared" si="114"/>
        <v>26.90634979623723</v>
      </c>
      <c r="AA330" s="386">
        <f t="shared" si="115"/>
        <v>29.527494524826416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8.8769628807664466E-2</v>
      </c>
      <c r="AD330" s="231">
        <f>(INDEX(Models!$BJ330:$BT330,,AH330)*(1-AF330)+INDEX(Models!$BJ330:$BT330,,AH330+1)*AF330-ERP_i)*AE330*Ramure*Pc/MaxiM</f>
        <v>6.5577033336461767E-4</v>
      </c>
      <c r="AE330" s="305">
        <f t="shared" si="117"/>
        <v>0.5</v>
      </c>
      <c r="AF330" s="177">
        <f t="shared" si="118"/>
        <v>0.99669816364981179</v>
      </c>
      <c r="AG330" s="811">
        <f t="shared" si="124"/>
        <v>1</v>
      </c>
      <c r="AH330" s="176">
        <f t="shared" si="119"/>
        <v>7</v>
      </c>
      <c r="AI330" s="225">
        <f t="shared" si="120"/>
        <v>1.9966981636498118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'2024'!Wh/'2024'!Env_an*'2025'!Env_an</f>
        <v>25.606456280141089</v>
      </c>
      <c r="C331" s="841"/>
      <c r="D331" s="393">
        <f t="shared" si="102"/>
        <v>27.175358827076938</v>
      </c>
      <c r="E331" s="385">
        <f t="shared" si="125"/>
        <v>28.540878206504633</v>
      </c>
      <c r="F331" s="385">
        <f t="shared" si="103"/>
        <v>28.54177355295138</v>
      </c>
      <c r="G331" s="110">
        <f t="shared" si="126"/>
        <v>0.92790367380459571</v>
      </c>
      <c r="H331" s="414" t="b">
        <f>Wh_hp&gt;='2024'!Maxi_hp</f>
        <v>0</v>
      </c>
      <c r="I331" s="390">
        <f>IF(H331,Wh_hp,'2024'!Maxi_hp)</f>
        <v>29.179515996539571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5.7732542076781246E-2</v>
      </c>
      <c r="M331" s="845"/>
      <c r="N331" s="845"/>
      <c r="O331" s="48">
        <f>IF(t&lt;Tnet,'2024'!Resal+('2024'!Salim-'2024'!Resal)*(1-EXP(('2024'!Tnet-t)/('2024'!Tau_j))),Resal+(Salim-Resal)*(1-EXP((Tnet-t)/(Tau_j))))*Salcycl</f>
        <v>4.7844336447800159E-2</v>
      </c>
      <c r="P331" s="169">
        <f>(INDEX(Models!$BJ331:$BT331,,T331)*(1-R331)+INDEX(Models!$BJ331:$BT331,,T331+1)*R331-ERP_i)*Q331*Ramure*Pc/MaxiM</f>
        <v>3.4971387431250799E-5</v>
      </c>
      <c r="Q331" s="305">
        <f t="shared" si="105"/>
        <v>0.5</v>
      </c>
      <c r="R331" s="177">
        <f t="shared" si="106"/>
        <v>0.47174501407258362</v>
      </c>
      <c r="S331" s="811">
        <f t="shared" si="107"/>
        <v>-2</v>
      </c>
      <c r="T331" s="176">
        <f t="shared" si="108"/>
        <v>4</v>
      </c>
      <c r="U331" s="251">
        <f t="shared" si="109"/>
        <v>-1.5282549859274164</v>
      </c>
      <c r="V331" s="383">
        <f t="shared" si="110"/>
        <v>27.595929160859576</v>
      </c>
      <c r="W331" s="402">
        <f t="shared" si="111"/>
        <v>25.606456280141089</v>
      </c>
      <c r="X331" s="157">
        <f t="shared" si="112"/>
        <v>45974</v>
      </c>
      <c r="Y331" s="385">
        <f t="shared" si="113"/>
        <v>24.492733988045117</v>
      </c>
      <c r="Z331" s="385">
        <f t="shared" si="114"/>
        <v>25.993398988889759</v>
      </c>
      <c r="AA331" s="386">
        <f t="shared" si="115"/>
        <v>28.524455803104999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8.8732869495786335E-2</v>
      </c>
      <c r="AD331" s="231">
        <f>(INDEX(Models!$BJ331:$BT331,,AH331)*(1-AF331)+INDEX(Models!$BJ331:$BT331,,AH331+1)*AF331-ERP_i)*AE331*Ramure*Pc/MaxiM</f>
        <v>6.764149693291358E-4</v>
      </c>
      <c r="AE331" s="305">
        <f t="shared" si="117"/>
        <v>0.5</v>
      </c>
      <c r="AF331" s="177">
        <f t="shared" si="118"/>
        <v>0.99673258044656254</v>
      </c>
      <c r="AG331" s="811">
        <f t="shared" si="124"/>
        <v>1</v>
      </c>
      <c r="AH331" s="176">
        <f t="shared" si="119"/>
        <v>7</v>
      </c>
      <c r="AI331" s="225">
        <f t="shared" si="120"/>
        <v>1.9967325804465625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'2024'!Wh/'2024'!Env_an*'2025'!Env_an</f>
        <v>9.0166273916728112</v>
      </c>
      <c r="C332" s="841"/>
      <c r="D332" s="393">
        <f t="shared" si="102"/>
        <v>9.5692839728882664</v>
      </c>
      <c r="E332" s="385">
        <f t="shared" si="125"/>
        <v>10.050417139709166</v>
      </c>
      <c r="F332" s="385">
        <f t="shared" si="103"/>
        <v>10.050432612201554</v>
      </c>
      <c r="G332" s="110">
        <f t="shared" si="126"/>
        <v>0.32961701702737511</v>
      </c>
      <c r="H332" s="414" t="b">
        <f>Wh_hp&gt;='2024'!Maxi_hp</f>
        <v>0</v>
      </c>
      <c r="I332" s="390">
        <f>IF(H332,Wh_hp,'2024'!Maxi_hp)</f>
        <v>19.900379192311398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5.7753180152375405E-2</v>
      </c>
      <c r="M332" s="845"/>
      <c r="N332" s="845"/>
      <c r="O332" s="48">
        <f>IF(t&lt;Tnet,'2024'!Resal+('2024'!Salim-'2024'!Resal)*(1-EXP(('2024'!Tnet-t)/('2024'!Tau_j))),Resal+(Salim-Resal)*(1-EXP((Tnet-t)/(Tau_j))))*Salcycl</f>
        <v>4.7871959952780888E-2</v>
      </c>
      <c r="P332" s="169">
        <f>(INDEX(Models!$BJ332:$BT332,,T332)*(1-R332)+INDEX(Models!$BJ332:$BT332,,T332+1)*R332-ERP_i)*Q332*Ramure*Pc/MaxiM</f>
        <v>3.6371726361472619E-5</v>
      </c>
      <c r="Q332" s="305">
        <f t="shared" si="105"/>
        <v>0.5</v>
      </c>
      <c r="R332" s="177">
        <f t="shared" si="106"/>
        <v>0.47177804960514536</v>
      </c>
      <c r="S332" s="811">
        <f t="shared" si="107"/>
        <v>-2</v>
      </c>
      <c r="T332" s="176">
        <f t="shared" si="108"/>
        <v>4</v>
      </c>
      <c r="U332" s="251">
        <f t="shared" si="109"/>
        <v>-1.5282219503948546</v>
      </c>
      <c r="V332" s="383">
        <f t="shared" si="110"/>
        <v>27.353907280523792</v>
      </c>
      <c r="W332" s="402">
        <f t="shared" si="111"/>
        <v>9.0166273916728112</v>
      </c>
      <c r="X332" s="157">
        <f t="shared" si="112"/>
        <v>45975</v>
      </c>
      <c r="Y332" s="385">
        <f t="shared" si="113"/>
        <v>8.6297731372240207</v>
      </c>
      <c r="Z332" s="385">
        <f t="shared" si="114"/>
        <v>9.1587182418080051</v>
      </c>
      <c r="AA332" s="386">
        <f t="shared" si="115"/>
        <v>10.050135993663675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8.8697083543713584E-2</v>
      </c>
      <c r="AD332" s="231">
        <f>(INDEX(Models!$BJ332:$BT332,,AH332)*(1-AF332)+INDEX(Models!$BJ332:$BT332,,AH332+1)*AF332-ERP_i)*AE332*Ramure*Pc/MaxiM</f>
        <v>6.972715205598157E-4</v>
      </c>
      <c r="AE332" s="305">
        <f t="shared" si="117"/>
        <v>0.5</v>
      </c>
      <c r="AF332" s="177">
        <f t="shared" si="118"/>
        <v>0.99676561597912428</v>
      </c>
      <c r="AG332" s="811">
        <f t="shared" si="124"/>
        <v>1</v>
      </c>
      <c r="AH332" s="176">
        <f t="shared" si="119"/>
        <v>7</v>
      </c>
      <c r="AI332" s="225">
        <f t="shared" si="120"/>
        <v>1.9967656159791243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'2024'!Wh/'2024'!Env_an*'2025'!Env_an</f>
        <v>11.724856707727255</v>
      </c>
      <c r="C333" s="841"/>
      <c r="D333" s="393">
        <f t="shared" si="102"/>
        <v>12.443781470868888</v>
      </c>
      <c r="E333" s="385">
        <f t="shared" si="125"/>
        <v>13.069826781443558</v>
      </c>
      <c r="F333" s="385">
        <f t="shared" si="103"/>
        <v>13.069920388597676</v>
      </c>
      <c r="G333" s="110">
        <f t="shared" si="126"/>
        <v>0.43239519406139365</v>
      </c>
      <c r="H333" s="414" t="b">
        <f>Wh_hp&gt;='2024'!Maxi_hp</f>
        <v>0</v>
      </c>
      <c r="I333" s="390">
        <f>IF(H333,Wh_hp,'2024'!Maxi_hp)</f>
        <v>27.219183293094108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5.7773817775942815E-2</v>
      </c>
      <c r="M333" s="845"/>
      <c r="N333" s="845"/>
      <c r="O333" s="48">
        <f>IF(t&lt;Tnet,'2024'!Resal+('2024'!Salim-'2024'!Resal)*(1-EXP(('2024'!Tnet-t)/('2024'!Tau_j))),Resal+(Salim-Resal)*(1-EXP((Tnet-t)/(Tau_j))))*Salcycl</f>
        <v>4.7900046499738086E-2</v>
      </c>
      <c r="P333" s="169">
        <f>(INDEX(Models!$BJ333:$BT333,,T333)*(1-R333)+INDEX(Models!$BJ333:$BT333,,T333+1)*R333-ERP_i)*Q333*Ramure*Pc/MaxiM</f>
        <v>3.7863292247639689E-5</v>
      </c>
      <c r="Q333" s="305">
        <f t="shared" si="105"/>
        <v>0.5</v>
      </c>
      <c r="R333" s="177">
        <f t="shared" si="106"/>
        <v>0.47180975913644052</v>
      </c>
      <c r="S333" s="811">
        <f t="shared" si="107"/>
        <v>-2</v>
      </c>
      <c r="T333" s="176">
        <f t="shared" si="108"/>
        <v>4</v>
      </c>
      <c r="U333" s="251">
        <f t="shared" si="109"/>
        <v>-1.5281902408635595</v>
      </c>
      <c r="V333" s="383">
        <f t="shared" si="110"/>
        <v>27.115233698866767</v>
      </c>
      <c r="W333" s="402">
        <f t="shared" si="111"/>
        <v>11.724856707727255</v>
      </c>
      <c r="X333" s="157">
        <f t="shared" si="112"/>
        <v>45976</v>
      </c>
      <c r="Y333" s="385">
        <f t="shared" si="113"/>
        <v>11.221436629916127</v>
      </c>
      <c r="Z333" s="385">
        <f t="shared" si="114"/>
        <v>11.909493539469189</v>
      </c>
      <c r="AA333" s="386">
        <f t="shared" si="115"/>
        <v>13.068146006515619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8.866234479387812E-2</v>
      </c>
      <c r="AD333" s="231">
        <f>(INDEX(Models!$BJ333:$BT333,,AH333)*(1-AF333)+INDEX(Models!$BJ333:$BT333,,AH333+1)*AF333-ERP_i)*AE333*Ramure*Pc/MaxiM</f>
        <v>7.1772235748853461E-4</v>
      </c>
      <c r="AE333" s="305">
        <f t="shared" si="117"/>
        <v>0.5</v>
      </c>
      <c r="AF333" s="177">
        <f t="shared" si="118"/>
        <v>0.99679732551041944</v>
      </c>
      <c r="AG333" s="811">
        <f t="shared" si="124"/>
        <v>1</v>
      </c>
      <c r="AH333" s="176">
        <f t="shared" si="119"/>
        <v>7</v>
      </c>
      <c r="AI333" s="225">
        <f t="shared" si="120"/>
        <v>1.9967973255104194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'2024'!Wh/'2024'!Env_an*'2025'!Env_an</f>
        <v>26.031161947446119</v>
      </c>
      <c r="C334" s="841"/>
      <c r="D334" s="393">
        <f t="shared" si="102"/>
        <v>27.627901453281584</v>
      </c>
      <c r="E334" s="385">
        <f t="shared" si="125"/>
        <v>29.018729571945038</v>
      </c>
      <c r="F334" s="385">
        <f t="shared" si="103"/>
        <v>29.019822672351918</v>
      </c>
      <c r="G334" s="110">
        <f t="shared" si="126"/>
        <v>0.96841935523330824</v>
      </c>
      <c r="H334" s="414" t="b">
        <f>Wh_hp&gt;='2024'!Maxi_hp</f>
        <v>1</v>
      </c>
      <c r="I334" s="390">
        <f>IF(H334,Wh_hp,'2024'!Maxi_hp)</f>
        <v>29.019822672351918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5.7794454947493246E-2</v>
      </c>
      <c r="M334" s="845"/>
      <c r="N334" s="845"/>
      <c r="O334" s="48">
        <f>IF(t&lt;Tnet,'2024'!Resal+('2024'!Salim-'2024'!Resal)*(1-EXP(('2024'!Tnet-t)/('2024'!Tau_j))),Resal+(Salim-Resal)*(1-EXP((Tnet-t)/(Tau_j))))*Salcycl</f>
        <v>4.7928635718363331E-2</v>
      </c>
      <c r="P334" s="169">
        <f>(INDEX(Models!$BJ334:$BT334,,T334)*(1-R334)+INDEX(Models!$BJ334:$BT334,,T334+1)*R334-ERP_i)*Q334*Ramure*Pc/MaxiM</f>
        <v>3.944692957411701E-5</v>
      </c>
      <c r="Q334" s="305">
        <f t="shared" si="105"/>
        <v>0.5</v>
      </c>
      <c r="R334" s="177">
        <f t="shared" si="106"/>
        <v>0.47184019573193003</v>
      </c>
      <c r="S334" s="811">
        <f t="shared" si="107"/>
        <v>-2</v>
      </c>
      <c r="T334" s="176">
        <f t="shared" si="108"/>
        <v>4</v>
      </c>
      <c r="U334" s="251">
        <f t="shared" si="109"/>
        <v>-1.52815980426807</v>
      </c>
      <c r="V334" s="383">
        <f t="shared" si="110"/>
        <v>26.880003462378529</v>
      </c>
      <c r="W334" s="402">
        <f t="shared" si="111"/>
        <v>26.031161947446119</v>
      </c>
      <c r="X334" s="157">
        <f t="shared" si="112"/>
        <v>45977</v>
      </c>
      <c r="Y334" s="385">
        <f t="shared" si="113"/>
        <v>24.901739433043115</v>
      </c>
      <c r="Z334" s="385">
        <f t="shared" si="114"/>
        <v>26.429200681105527</v>
      </c>
      <c r="AA334" s="386">
        <f t="shared" si="115"/>
        <v>28.99937857509957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8.8628723106533594E-2</v>
      </c>
      <c r="AD334" s="231">
        <f>(INDEX(Models!$BJ334:$BT334,,AH334)*(1-AF334)+INDEX(Models!$BJ334:$BT334,,AH334+1)*AF334-ERP_i)*AE334*Ramure*Pc/MaxiM</f>
        <v>7.3777016223213149E-4</v>
      </c>
      <c r="AE334" s="305">
        <f t="shared" si="117"/>
        <v>0.5</v>
      </c>
      <c r="AF334" s="177">
        <f t="shared" si="118"/>
        <v>0.99682776210590895</v>
      </c>
      <c r="AG334" s="811">
        <f t="shared" si="124"/>
        <v>1</v>
      </c>
      <c r="AH334" s="176">
        <f t="shared" si="119"/>
        <v>7</v>
      </c>
      <c r="AI334" s="225">
        <f t="shared" si="120"/>
        <v>1.996827762105909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'2024'!Wh/'2024'!Env_an*'2025'!Env_an</f>
        <v>12.18479593945977</v>
      </c>
      <c r="C335" s="841"/>
      <c r="D335" s="393">
        <f t="shared" ref="D335:D379" si="127">Wh/(1-Ppv)</f>
        <v>12.932488975034321</v>
      </c>
      <c r="E335" s="385">
        <f t="shared" si="125"/>
        <v>13.583944598690326</v>
      </c>
      <c r="F335" s="385">
        <f t="shared" ref="F335:F379" si="128">Wh_sa/(1-Pvg*MEDIAN((-Sdif+Wh/Env_an)/Csdif,0,1))</f>
        <v>13.584070085409387</v>
      </c>
      <c r="G335" s="110">
        <f t="shared" si="126"/>
        <v>0.45722999494400568</v>
      </c>
      <c r="H335" s="414" t="b">
        <f>Wh_hp&gt;='2024'!Maxi_hp</f>
        <v>0</v>
      </c>
      <c r="I335" s="390">
        <f>IF(H335,Wh_hp,'2024'!Maxi_hp)</f>
        <v>28.670073792979203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5.7815091667036689E-2</v>
      </c>
      <c r="M335" s="845"/>
      <c r="N335" s="845"/>
      <c r="O335" s="48">
        <f>IF(t&lt;Tnet,'2024'!Resal+('2024'!Salim-'2024'!Resal)*(1-EXP(('2024'!Tnet-t)/('2024'!Tau_j))),Resal+(Salim-Resal)*(1-EXP((Tnet-t)/(Tau_j))))*Salcycl</f>
        <v>4.7957765060291438E-2</v>
      </c>
      <c r="P335" s="169">
        <f>(INDEX(Models!$BJ335:$BT335,,T335)*(1-R335)+INDEX(Models!$BJ335:$BT335,,T335+1)*R335-ERP_i)*Q335*Ramure*Pc/MaxiM</f>
        <v>4.1123514269212812E-5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0.47186941034592422</v>
      </c>
      <c r="S335" s="811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-1.5281305896540758</v>
      </c>
      <c r="V335" s="383">
        <f t="shared" ref="V335:V379" si="135">MaxiM*(1-Ppv)*(1-Pvg)*(1-Psa)</f>
        <v>26.64831168011726</v>
      </c>
      <c r="W335" s="402">
        <f t="shared" ref="W335:W379" si="136">Wh*(A335&gt;Tmaj)</f>
        <v>12.18479593945977</v>
      </c>
      <c r="X335" s="157">
        <f t="shared" ref="X335:X379" si="137">t</f>
        <v>45978</v>
      </c>
      <c r="Y335" s="385">
        <f t="shared" ref="Y335:Y379" si="138">Wh_pvt_s*(1-Ppv)</f>
        <v>11.662803374009135</v>
      </c>
      <c r="Z335" s="385">
        <f t="shared" ref="Z335:Z379" si="139">Wh_sa_s*(1-Psa_s)</f>
        <v>12.378465491072756</v>
      </c>
      <c r="AA335" s="386">
        <f t="shared" ref="AA335:AA379" si="140">Wh_hp*(1-Pvg_s*MEDIAN((-Sdif+Wh/Env_an)/Csdif,0,1))</f>
        <v>13.581758856716741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8.8596284055574098E-2</v>
      </c>
      <c r="AD335" s="231">
        <f>(INDEX(Models!$BJ335:$BT335,,AH335)*(1-AF335)+INDEX(Models!$BJ335:$BT335,,AH335+1)*AF335-ERP_i)*AE335*Ramure*Pc/MaxiM</f>
        <v>7.5741757241949085E-4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0.99685697671990314</v>
      </c>
      <c r="AG335" s="811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1.9968569767199031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'2024'!Wh/'2024'!Env_an*'2025'!Env_an</f>
        <v>14.463056626293421</v>
      </c>
      <c r="C336" s="841"/>
      <c r="D336" s="393">
        <f t="shared" si="127"/>
        <v>15.35088631050235</v>
      </c>
      <c r="E336" s="385">
        <f t="shared" si="125"/>
        <v>16.124668343013738</v>
      </c>
      <c r="F336" s="385">
        <f t="shared" si="128"/>
        <v>16.124912818662292</v>
      </c>
      <c r="G336" s="110">
        <f t="shared" si="126"/>
        <v>0.54740790070084322</v>
      </c>
      <c r="H336" s="414" t="b">
        <f>Wh_hp&gt;='2024'!Maxi_hp</f>
        <v>0</v>
      </c>
      <c r="I336" s="390">
        <f>IF(H336,Wh_hp,'2024'!Maxi_hp)</f>
        <v>27.452705708144066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5.7835727934583026E-2</v>
      </c>
      <c r="M336" s="845"/>
      <c r="N336" s="845"/>
      <c r="O336" s="48">
        <f>IF(t&lt;Tnet,'2024'!Resal+('2024'!Salim-'2024'!Resal)*(1-EXP(('2024'!Tnet-t)/('2024'!Tau_j))),Resal+(Salim-Resal)*(1-EXP((Tnet-t)/(Tau_j))))*Salcycl</f>
        <v>4.798746963664785E-2</v>
      </c>
      <c r="P336" s="169">
        <f>(INDEX(Models!$BJ336:$BT336,,T336)*(1-R336)+INDEX(Models!$BJ336:$BT336,,T336+1)*R336-ERP_i)*Q336*Ramure*Pc/MaxiM</f>
        <v>4.2893951723266247E-5</v>
      </c>
      <c r="Q336" s="305">
        <f t="shared" si="130"/>
        <v>0.5</v>
      </c>
      <c r="R336" s="177">
        <f t="shared" si="131"/>
        <v>0.47189745190458776</v>
      </c>
      <c r="S336" s="811">
        <f t="shared" si="132"/>
        <v>-2</v>
      </c>
      <c r="T336" s="176">
        <f t="shared" si="133"/>
        <v>4</v>
      </c>
      <c r="U336" s="251">
        <f t="shared" si="134"/>
        <v>-1.5281025480954122</v>
      </c>
      <c r="V336" s="383">
        <f t="shared" si="135"/>
        <v>26.420253532488989</v>
      </c>
      <c r="W336" s="402">
        <f t="shared" si="136"/>
        <v>14.463056626293421</v>
      </c>
      <c r="X336" s="157">
        <f t="shared" si="137"/>
        <v>45979</v>
      </c>
      <c r="Y336" s="385">
        <f t="shared" si="138"/>
        <v>13.843006615738549</v>
      </c>
      <c r="Z336" s="385">
        <f t="shared" si="139"/>
        <v>14.692773888986306</v>
      </c>
      <c r="AA336" s="386">
        <f t="shared" si="140"/>
        <v>16.120486176276284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8.8565088650432347E-2</v>
      </c>
      <c r="AD336" s="231">
        <f>(INDEX(Models!$BJ336:$BT336,,AH336)*(1-AF336)+INDEX(Models!$BJ336:$BT336,,AH336+1)*AF336-ERP_i)*AE336*Ramure*Pc/MaxiM</f>
        <v>7.7666706653466144E-4</v>
      </c>
      <c r="AE336" s="305">
        <f t="shared" si="142"/>
        <v>0.5</v>
      </c>
      <c r="AF336" s="177">
        <f t="shared" si="143"/>
        <v>0.99688501827856646</v>
      </c>
      <c r="AG336" s="811">
        <f t="shared" ref="AG336:AG379" si="149">INDEX(Echel_vg,AH336)</f>
        <v>1</v>
      </c>
      <c r="AH336" s="176">
        <f t="shared" si="144"/>
        <v>7</v>
      </c>
      <c r="AI336" s="225">
        <f t="shared" si="145"/>
        <v>1.9968850182785665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'2024'!Wh/'2024'!Env_an*'2025'!Env_an</f>
        <v>7.4071661513095908</v>
      </c>
      <c r="C337" s="841"/>
      <c r="D337" s="393">
        <f t="shared" si="127"/>
        <v>7.8620349024415628</v>
      </c>
      <c r="E337" s="385">
        <f t="shared" si="125"/>
        <v>8.2585942829232035</v>
      </c>
      <c r="F337" s="385">
        <f t="shared" si="128"/>
        <v>8.2585942829232035</v>
      </c>
      <c r="G337" s="110">
        <f t="shared" si="126"/>
        <v>0.28274759610469014</v>
      </c>
      <c r="H337" s="414" t="b">
        <f>Wh_hp&gt;='2024'!Maxi_hp</f>
        <v>0</v>
      </c>
      <c r="I337" s="390">
        <f>IF(H337,Wh_hp,'2024'!Maxi_hp)</f>
        <v>29.080430360791048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5.7856363750142137E-2</v>
      </c>
      <c r="M337" s="845"/>
      <c r="N337" s="845"/>
      <c r="O337" s="48">
        <f>IF(t&lt;Tnet,'2024'!Resal+('2024'!Salim-'2024'!Resal)*(1-EXP(('2024'!Tnet-t)/('2024'!Tau_j))),Resal+(Salim-Resal)*(1-EXP((Tnet-t)/(Tau_j))))*Salcycl</f>
        <v>4.8017782069962066E-2</v>
      </c>
      <c r="P337" s="169">
        <f>(INDEX(Models!$BJ337:$BT337,,T337)*(1-R337)+INDEX(Models!$BJ337:$BT337,,T337+1)*R337-ERP_i)*Q337*Ramure*Pc/MaxiM</f>
        <v>4.4759173629987595E-5</v>
      </c>
      <c r="Q337" s="305">
        <f t="shared" si="130"/>
        <v>0.5</v>
      </c>
      <c r="R337" s="177">
        <f t="shared" si="131"/>
        <v>0.47192436738575827</v>
      </c>
      <c r="S337" s="811">
        <f t="shared" si="132"/>
        <v>-2</v>
      </c>
      <c r="T337" s="176">
        <f t="shared" si="133"/>
        <v>4</v>
      </c>
      <c r="U337" s="251">
        <f t="shared" si="134"/>
        <v>-1.5280756326142417</v>
      </c>
      <c r="V337" s="383">
        <f t="shared" si="135"/>
        <v>26.195924261478996</v>
      </c>
      <c r="W337" s="402">
        <f t="shared" si="136"/>
        <v>7.4071661513095908</v>
      </c>
      <c r="X337" s="157">
        <f t="shared" si="137"/>
        <v>45980</v>
      </c>
      <c r="Y337" s="385">
        <f t="shared" si="138"/>
        <v>7.0919090070435828</v>
      </c>
      <c r="Z337" s="385">
        <f t="shared" si="139"/>
        <v>7.527418043465719</v>
      </c>
      <c r="AA337" s="386">
        <f t="shared" si="140"/>
        <v>8.2585942829232035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8.8535193085993127E-2</v>
      </c>
      <c r="AD337" s="231">
        <f>(INDEX(Models!$BJ337:$BT337,,AH337)*(1-AF337)+INDEX(Models!$BJ337:$BT337,,AH337+1)*AF337-ERP_i)*AE337*Ramure*Pc/MaxiM</f>
        <v>7.9552084684465861E-4</v>
      </c>
      <c r="AE337" s="305">
        <f t="shared" si="142"/>
        <v>0.5</v>
      </c>
      <c r="AF337" s="177">
        <f t="shared" si="143"/>
        <v>0.99691193375973697</v>
      </c>
      <c r="AG337" s="811">
        <f t="shared" si="149"/>
        <v>1</v>
      </c>
      <c r="AH337" s="176">
        <f t="shared" si="144"/>
        <v>7</v>
      </c>
      <c r="AI337" s="225">
        <f t="shared" si="145"/>
        <v>1.996911933759737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'2024'!Wh/'2024'!Env_an*'2025'!Env_an</f>
        <v>14.804835529037115</v>
      </c>
      <c r="C338" s="841"/>
      <c r="D338" s="393">
        <f t="shared" si="127"/>
        <v>15.71433402550397</v>
      </c>
      <c r="E338" s="385">
        <f t="shared" si="125"/>
        <v>16.507498397986488</v>
      </c>
      <c r="F338" s="385">
        <f t="shared" si="128"/>
        <v>16.507795216391042</v>
      </c>
      <c r="G338" s="110">
        <f t="shared" si="126"/>
        <v>0.56993921578053663</v>
      </c>
      <c r="H338" s="414" t="b">
        <f>Wh_hp&gt;='2024'!Maxi_hp</f>
        <v>0</v>
      </c>
      <c r="I338" s="390">
        <f>IF(H338,Wh_hp,'2024'!Maxi_hp)</f>
        <v>30.110087627610774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5.7876999113723904E-2</v>
      </c>
      <c r="M338" s="845"/>
      <c r="N338" s="845"/>
      <c r="O338" s="48">
        <f>IF(t&lt;Tnet,'2024'!Resal+('2024'!Salim-'2024'!Resal)*(1-EXP(('2024'!Tnet-t)/('2024'!Tau_j))),Resal+(Salim-Resal)*(1-EXP((Tnet-t)/(Tau_j))))*Salcycl</f>
        <v>4.8048732361486435E-2</v>
      </c>
      <c r="P338" s="169">
        <f>(INDEX(Models!$BJ338:$BT338,,T338)*(1-R338)+INDEX(Models!$BJ338:$BT338,,T338+1)*R338-ERP_i)*Q338*Ramure*Pc/MaxiM</f>
        <v>4.6623787088039151E-5</v>
      </c>
      <c r="Q338" s="305">
        <f t="shared" si="130"/>
        <v>0.5</v>
      </c>
      <c r="R338" s="177">
        <f t="shared" si="131"/>
        <v>0.47195020189569714</v>
      </c>
      <c r="S338" s="811">
        <f t="shared" si="132"/>
        <v>-2</v>
      </c>
      <c r="T338" s="176">
        <f t="shared" si="133"/>
        <v>4</v>
      </c>
      <c r="U338" s="251">
        <f t="shared" si="134"/>
        <v>-1.5280497981043029</v>
      </c>
      <c r="V338" s="383">
        <f t="shared" si="135"/>
        <v>25.975421680672532</v>
      </c>
      <c r="W338" s="402">
        <f t="shared" si="136"/>
        <v>14.804835529037115</v>
      </c>
      <c r="X338" s="157">
        <f t="shared" si="137"/>
        <v>45981</v>
      </c>
      <c r="Y338" s="385">
        <f t="shared" si="138"/>
        <v>14.171438252744869</v>
      </c>
      <c r="Z338" s="385">
        <f t="shared" si="139"/>
        <v>15.042025552304191</v>
      </c>
      <c r="AA338" s="386">
        <f t="shared" si="140"/>
        <v>16.502616862665281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8.8506648522239051E-2</v>
      </c>
      <c r="AD338" s="231">
        <f>(INDEX(Models!$BJ338:$BT338,,AH338)*(1-AF338)+INDEX(Models!$BJ338:$BT338,,AH338+1)*AF338-ERP_i)*AE338*Ramure*Pc/MaxiM</f>
        <v>8.1340798910408134E-4</v>
      </c>
      <c r="AE338" s="305">
        <f t="shared" si="142"/>
        <v>0.5</v>
      </c>
      <c r="AF338" s="177">
        <f t="shared" si="143"/>
        <v>0.99693776826967606</v>
      </c>
      <c r="AG338" s="811">
        <f t="shared" si="149"/>
        <v>1</v>
      </c>
      <c r="AH338" s="176">
        <f t="shared" si="144"/>
        <v>7</v>
      </c>
      <c r="AI338" s="225">
        <f t="shared" si="145"/>
        <v>1.9969377682696761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'2024'!Wh/'2024'!Env_an*'2025'!Env_an</f>
        <v>3.1288039918153534</v>
      </c>
      <c r="C339" s="841"/>
      <c r="D339" s="393">
        <f t="shared" si="127"/>
        <v>3.3210870759022209</v>
      </c>
      <c r="E339" s="385">
        <f t="shared" si="125"/>
        <v>3.4888312980397145</v>
      </c>
      <c r="F339" s="385">
        <f t="shared" si="128"/>
        <v>3.4888312980397145</v>
      </c>
      <c r="G339" s="110">
        <f t="shared" si="126"/>
        <v>0.12145935712225228</v>
      </c>
      <c r="H339" s="414" t="b">
        <f>Wh_hp&gt;='2024'!Maxi_hp</f>
        <v>0</v>
      </c>
      <c r="I339" s="390">
        <f>IF(H339,Wh_hp,'2024'!Maxi_hp)</f>
        <v>29.084066217541494</v>
      </c>
      <c r="J339" s="85">
        <f>IF(H339,An,'2024'!An_max)</f>
        <v>2019</v>
      </c>
      <c r="K339" s="197">
        <f t="shared" si="129"/>
        <v>45982</v>
      </c>
      <c r="L339" s="147">
        <f>IF(t&lt;Tvie,1-EXP((T0-t)*PertePVj)+'2024'!Pspv,1-EXP((T0-t)*PertePVj)+Pspv)</f>
        <v>5.7897634025338207E-2</v>
      </c>
      <c r="M339" s="845"/>
      <c r="N339" s="845"/>
      <c r="O339" s="48">
        <f>IF(t&lt;Tnet,'2024'!Resal+('2024'!Salim-'2024'!Resal)*(1-EXP(('2024'!Tnet-t)/('2024'!Tau_j))),Resal+(Salim-Resal)*(1-EXP((Tnet-t)/(Tau_j))))*Salcycl</f>
        <v>4.8080347774839417E-2</v>
      </c>
      <c r="P339" s="169">
        <f>(INDEX(Models!$BJ339:$BT339,,T339)*(1-R339)+INDEX(Models!$BJ339:$BT339,,T339+1)*R339-ERP_i)*Q339*Ramure*Pc/MaxiM</f>
        <v>4.8436916090406748E-5</v>
      </c>
      <c r="Q339" s="305">
        <f t="shared" si="130"/>
        <v>0.5</v>
      </c>
      <c r="R339" s="177">
        <f t="shared" si="131"/>
        <v>0.47197499874288229</v>
      </c>
      <c r="S339" s="811">
        <f t="shared" si="132"/>
        <v>-2</v>
      </c>
      <c r="T339" s="176">
        <f t="shared" si="133"/>
        <v>4</v>
      </c>
      <c r="U339" s="251">
        <f t="shared" si="134"/>
        <v>-1.5280250012571177</v>
      </c>
      <c r="V339" s="383">
        <f t="shared" si="135"/>
        <v>25.758842433604034</v>
      </c>
      <c r="W339" s="402">
        <f t="shared" si="136"/>
        <v>3.1288039918153534</v>
      </c>
      <c r="X339" s="157">
        <f t="shared" si="137"/>
        <v>45982</v>
      </c>
      <c r="Y339" s="385">
        <f t="shared" si="138"/>
        <v>2.9960185920673776</v>
      </c>
      <c r="Z339" s="385">
        <f t="shared" si="139"/>
        <v>3.1801412460819112</v>
      </c>
      <c r="AA339" s="386">
        <f t="shared" si="140"/>
        <v>3.4888312980397145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8.8479500895112986E-2</v>
      </c>
      <c r="AD339" s="231">
        <f>(INDEX(Models!$BJ339:$BT339,,AH339)*(1-AF339)+INDEX(Models!$BJ339:$BT339,,AH339+1)*AF339-ERP_i)*AE339*Ramure*Pc/MaxiM</f>
        <v>8.3027113950111134E-4</v>
      </c>
      <c r="AE339" s="305">
        <f t="shared" si="142"/>
        <v>0.5</v>
      </c>
      <c r="AF339" s="177">
        <f t="shared" si="143"/>
        <v>0.99696256511686121</v>
      </c>
      <c r="AG339" s="811">
        <f t="shared" si="149"/>
        <v>1</v>
      </c>
      <c r="AH339" s="176">
        <f t="shared" si="144"/>
        <v>7</v>
      </c>
      <c r="AI339" s="225">
        <f t="shared" si="145"/>
        <v>1.9969625651168612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'2024'!Wh/'2024'!Env_an*'2025'!Env_an</f>
        <v>7.7781516248660596</v>
      </c>
      <c r="C340" s="841"/>
      <c r="D340" s="393">
        <f t="shared" si="127"/>
        <v>8.2563448209081134</v>
      </c>
      <c r="E340" s="385">
        <f t="shared" si="125"/>
        <v>8.6736574917671341</v>
      </c>
      <c r="F340" s="385">
        <f t="shared" si="128"/>
        <v>8.6736602739678599</v>
      </c>
      <c r="G340" s="110">
        <f t="shared" si="126"/>
        <v>0.30445775639657374</v>
      </c>
      <c r="H340" s="414" t="b">
        <f>Wh_hp&gt;='2024'!Maxi_hp</f>
        <v>0</v>
      </c>
      <c r="I340" s="390">
        <f>IF(H340,Wh_hp,'2024'!Maxi_hp)</f>
        <v>29.591035421411469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5.7918268484995039E-2</v>
      </c>
      <c r="M340" s="845"/>
      <c r="N340" s="845"/>
      <c r="O340" s="48">
        <f>IF(t&lt;Tnet,'2024'!Resal+('2024'!Salim-'2024'!Resal)*(1-EXP(('2024'!Tnet-t)/('2024'!Tau_j))),Resal+(Salim-Resal)*(1-EXP((Tnet-t)/(Tau_j))))*Salcycl</f>
        <v>4.8112652736763704E-2</v>
      </c>
      <c r="P340" s="169">
        <f>(INDEX(Models!$BJ340:$BT340,,T340)*(1-R340)+INDEX(Models!$BJ340:$BT340,,T340+1)*R340-ERP_i)*Q340*Ramure*Pc/MaxiM</f>
        <v>5.0198500587018787E-5</v>
      </c>
      <c r="Q340" s="305">
        <f t="shared" si="130"/>
        <v>0.5</v>
      </c>
      <c r="R340" s="177">
        <f t="shared" si="131"/>
        <v>0.47199879950895096</v>
      </c>
      <c r="S340" s="811">
        <f t="shared" si="132"/>
        <v>-2</v>
      </c>
      <c r="T340" s="176">
        <f t="shared" si="133"/>
        <v>4</v>
      </c>
      <c r="U340" s="251">
        <f t="shared" si="134"/>
        <v>-1.528001200491049</v>
      </c>
      <c r="V340" s="383">
        <f t="shared" si="135"/>
        <v>25.546281888825419</v>
      </c>
      <c r="W340" s="402">
        <f t="shared" si="136"/>
        <v>7.7781516248660596</v>
      </c>
      <c r="X340" s="157">
        <f t="shared" si="137"/>
        <v>45983</v>
      </c>
      <c r="Y340" s="385">
        <f t="shared" si="138"/>
        <v>7.448474433392148</v>
      </c>
      <c r="Z340" s="385">
        <f t="shared" si="139"/>
        <v>7.9063993963813664</v>
      </c>
      <c r="AA340" s="386">
        <f t="shared" si="140"/>
        <v>8.6736133793720427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8.8453790759834658E-2</v>
      </c>
      <c r="AD340" s="231">
        <f>(INDEX(Models!$BJ340:$BT340,,AH340)*(1-AF340)+INDEX(Models!$BJ340:$BT340,,AH340+1)*AF340-ERP_i)*AE340*Ramure*Pc/MaxiM</f>
        <v>8.461065995357624E-4</v>
      </c>
      <c r="AE340" s="305">
        <f t="shared" si="142"/>
        <v>0.5</v>
      </c>
      <c r="AF340" s="177">
        <f t="shared" si="143"/>
        <v>0.99698636588292988</v>
      </c>
      <c r="AG340" s="811">
        <f t="shared" si="149"/>
        <v>1</v>
      </c>
      <c r="AH340" s="176">
        <f t="shared" si="144"/>
        <v>7</v>
      </c>
      <c r="AI340" s="225">
        <f t="shared" si="145"/>
        <v>1.9969863658829299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'2024'!Wh/'2024'!Env_an*'2025'!Env_an</f>
        <v>11.657166191081613</v>
      </c>
      <c r="C341" s="841"/>
      <c r="D341" s="393">
        <f t="shared" si="127"/>
        <v>12.37410845424634</v>
      </c>
      <c r="E341" s="385">
        <f t="shared" si="125"/>
        <v>13.000002256721208</v>
      </c>
      <c r="F341" s="385">
        <f t="shared" si="128"/>
        <v>13.000156566844534</v>
      </c>
      <c r="G341" s="110">
        <f t="shared" si="126"/>
        <v>0.4600511144944146</v>
      </c>
      <c r="H341" s="414" t="b">
        <f>Wh_hp&gt;='2024'!Maxi_hp</f>
        <v>0</v>
      </c>
      <c r="I341" s="390">
        <f>IF(H341,Wh_hp,'2024'!Maxi_hp)</f>
        <v>29.56301535081597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5.7938902492704281E-2</v>
      </c>
      <c r="M341" s="845"/>
      <c r="N341" s="845"/>
      <c r="O341" s="48">
        <f>IF(t&lt;Tnet,'2024'!Resal+('2024'!Salim-'2024'!Resal)*(1-EXP(('2024'!Tnet-t)/('2024'!Tau_j))),Resal+(Salim-Resal)*(1-EXP((Tnet-t)/(Tau_j))))*Salcycl</f>
        <v>4.8145668755655187E-2</v>
      </c>
      <c r="P341" s="169">
        <f>(INDEX(Models!$BJ341:$BT341,,T341)*(1-R341)+INDEX(Models!$BJ341:$BT341,,T341+1)*R341-ERP_i)*Q341*Ramure*Pc/MaxiM</f>
        <v>5.1908107104403503E-5</v>
      </c>
      <c r="Q341" s="305">
        <f t="shared" si="130"/>
        <v>0.5</v>
      </c>
      <c r="R341" s="177">
        <f t="shared" si="131"/>
        <v>0.47202164411690051</v>
      </c>
      <c r="S341" s="811">
        <f t="shared" si="132"/>
        <v>-2</v>
      </c>
      <c r="T341" s="176">
        <f t="shared" si="133"/>
        <v>4</v>
      </c>
      <c r="U341" s="251">
        <f t="shared" si="134"/>
        <v>-1.5279783558830995</v>
      </c>
      <c r="V341" s="383">
        <f t="shared" si="135"/>
        <v>25.337835483623529</v>
      </c>
      <c r="W341" s="402">
        <f t="shared" si="136"/>
        <v>11.657166191081613</v>
      </c>
      <c r="X341" s="157">
        <f t="shared" si="137"/>
        <v>45984</v>
      </c>
      <c r="Y341" s="385">
        <f t="shared" si="138"/>
        <v>11.161752399323912</v>
      </c>
      <c r="Z341" s="385">
        <f t="shared" si="139"/>
        <v>11.84822558627889</v>
      </c>
      <c r="AA341" s="386">
        <f t="shared" si="140"/>
        <v>12.997597308524822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8.8429553167652511E-2</v>
      </c>
      <c r="AD341" s="231">
        <f>(INDEX(Models!$BJ341:$BT341,,AH341)*(1-AF341)+INDEX(Models!$BJ341:$BT341,,AH341+1)*AF341-ERP_i)*AE341*Ramure*Pc/MaxiM</f>
        <v>8.6090434058058566E-4</v>
      </c>
      <c r="AE341" s="305">
        <f t="shared" si="142"/>
        <v>0.5</v>
      </c>
      <c r="AF341" s="177">
        <f t="shared" si="143"/>
        <v>0.99700921049087965</v>
      </c>
      <c r="AG341" s="811">
        <f t="shared" si="149"/>
        <v>1</v>
      </c>
      <c r="AH341" s="176">
        <f t="shared" si="144"/>
        <v>7</v>
      </c>
      <c r="AI341" s="225">
        <f t="shared" si="145"/>
        <v>1.9970092104908796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'2024'!Wh/'2024'!Env_an*'2025'!Env_an</f>
        <v>12.830729824633901</v>
      </c>
      <c r="C342" s="841"/>
      <c r="D342" s="393">
        <f t="shared" si="127"/>
        <v>13.620147239550155</v>
      </c>
      <c r="E342" s="385">
        <f t="shared" si="125"/>
        <v>14.309574141400617</v>
      </c>
      <c r="F342" s="385">
        <f t="shared" si="128"/>
        <v>14.309804643335207</v>
      </c>
      <c r="G342" s="110">
        <f t="shared" si="126"/>
        <v>0.51048197906264781</v>
      </c>
      <c r="H342" s="414" t="b">
        <f>Wh_hp&gt;='2024'!Maxi_hp</f>
        <v>0</v>
      </c>
      <c r="I342" s="390">
        <f>IF(H342,Wh_hp,'2024'!Maxi_hp)</f>
        <v>27.223770958160259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5.7959536048475702E-2</v>
      </c>
      <c r="M342" s="845"/>
      <c r="N342" s="845"/>
      <c r="O342" s="48">
        <f>IF(t&lt;Tnet,'2024'!Resal+('2024'!Salim-'2024'!Resal)*(1-EXP(('2024'!Tnet-t)/('2024'!Tau_j))),Resal+(Salim-Resal)*(1-EXP((Tnet-t)/(Tau_j))))*Salcycl</f>
        <v>4.817941435837738E-2</v>
      </c>
      <c r="P342" s="169">
        <f>(INDEX(Models!$BJ342:$BT342,,T342)*(1-R342)+INDEX(Models!$BJ342:$BT342,,T342+1)*R342-ERP_i)*Q342*Ramure*Pc/MaxiM</f>
        <v>5.3565422813162648E-5</v>
      </c>
      <c r="Q342" s="305">
        <f t="shared" si="130"/>
        <v>0.5</v>
      </c>
      <c r="R342" s="177">
        <f t="shared" si="131"/>
        <v>0.47204357089664861</v>
      </c>
      <c r="S342" s="811">
        <f t="shared" si="132"/>
        <v>-2</v>
      </c>
      <c r="T342" s="176">
        <f t="shared" si="133"/>
        <v>4</v>
      </c>
      <c r="U342" s="251">
        <f t="shared" si="134"/>
        <v>-1.5279564291033514</v>
      </c>
      <c r="V342" s="383">
        <f t="shared" si="135"/>
        <v>25.133598710030405</v>
      </c>
      <c r="W342" s="402">
        <f t="shared" si="136"/>
        <v>12.830729824633901</v>
      </c>
      <c r="X342" s="157">
        <f t="shared" si="137"/>
        <v>45985</v>
      </c>
      <c r="Y342" s="385">
        <f t="shared" si="138"/>
        <v>12.285422215155121</v>
      </c>
      <c r="Z342" s="385">
        <f t="shared" si="139"/>
        <v>13.041289291992989</v>
      </c>
      <c r="AA342" s="386">
        <f t="shared" si="140"/>
        <v>14.306040834274183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8.8406817576748592E-2</v>
      </c>
      <c r="AD342" s="231">
        <f>(INDEX(Models!$BJ342:$BT342,,AH342)*(1-AF342)+INDEX(Models!$BJ342:$BT342,,AH342+1)*AF342-ERP_i)*AE342*Ramure*Pc/MaxiM</f>
        <v>8.7465653639515217E-4</v>
      </c>
      <c r="AE342" s="305">
        <f t="shared" si="142"/>
        <v>0.5</v>
      </c>
      <c r="AF342" s="177">
        <f t="shared" si="143"/>
        <v>0.99703113727062753</v>
      </c>
      <c r="AG342" s="811">
        <f t="shared" si="149"/>
        <v>1</v>
      </c>
      <c r="AH342" s="176">
        <f t="shared" si="144"/>
        <v>7</v>
      </c>
      <c r="AI342" s="225">
        <f t="shared" si="145"/>
        <v>1.9970311372706275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'2024'!Wh/'2024'!Env_an*'2025'!Env_an</f>
        <v>4.9682996814534075</v>
      </c>
      <c r="C343" s="841"/>
      <c r="D343" s="393">
        <f t="shared" si="127"/>
        <v>5.2740924540650713</v>
      </c>
      <c r="E343" s="385">
        <f t="shared" si="125"/>
        <v>5.5412581482591214</v>
      </c>
      <c r="F343" s="385">
        <f t="shared" si="128"/>
        <v>5.5412581482591214</v>
      </c>
      <c r="G343" s="110">
        <f t="shared" si="126"/>
        <v>0.19924969547209329</v>
      </c>
      <c r="H343" s="414" t="b">
        <f>Wh_hp&gt;='2024'!Maxi_hp</f>
        <v>0</v>
      </c>
      <c r="I343" s="390">
        <f>IF(H343,Wh_hp,'2024'!Maxi_hp)</f>
        <v>26.38503248912658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5.7980169152319405E-2</v>
      </c>
      <c r="M343" s="845"/>
      <c r="N343" s="845"/>
      <c r="O343" s="48">
        <f>IF(t&lt;Tnet,'2024'!Resal+('2024'!Salim-'2024'!Resal)*(1-EXP(('2024'!Tnet-t)/('2024'!Tau_j))),Resal+(Salim-Resal)*(1-EXP((Tnet-t)/(Tau_j))))*Salcycl</f>
        <v>4.8213905045731323E-2</v>
      </c>
      <c r="P343" s="169">
        <f>(INDEX(Models!$BJ343:$BT343,,T343)*(1-R343)+INDEX(Models!$BJ343:$BT343,,T343+1)*R343-ERP_i)*Q343*Ramure*Pc/MaxiM</f>
        <v>5.5170336810717766E-5</v>
      </c>
      <c r="Q343" s="305">
        <f t="shared" si="130"/>
        <v>0.5</v>
      </c>
      <c r="R343" s="177">
        <f t="shared" si="131"/>
        <v>0.472064616648046</v>
      </c>
      <c r="S343" s="811">
        <f t="shared" si="132"/>
        <v>-2</v>
      </c>
      <c r="T343" s="176">
        <f t="shared" si="133"/>
        <v>4</v>
      </c>
      <c r="U343" s="251">
        <f t="shared" si="134"/>
        <v>-1.527935383351954</v>
      </c>
      <c r="V343" s="383">
        <f t="shared" si="135"/>
        <v>24.933667110083096</v>
      </c>
      <c r="W343" s="402">
        <f t="shared" si="136"/>
        <v>4.9682996814534075</v>
      </c>
      <c r="X343" s="157">
        <f t="shared" si="137"/>
        <v>45986</v>
      </c>
      <c r="Y343" s="385">
        <f t="shared" si="138"/>
        <v>4.7586043948293213</v>
      </c>
      <c r="Z343" s="385">
        <f t="shared" si="139"/>
        <v>5.0514906788610494</v>
      </c>
      <c r="AA343" s="386">
        <f t="shared" si="140"/>
        <v>5.5412581482591214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8.8385607797741891E-2</v>
      </c>
      <c r="AD343" s="231">
        <f>(INDEX(Models!$BJ343:$BT343,,AH343)*(1-AF343)+INDEX(Models!$BJ343:$BT343,,AH343+1)*AF343-ERP_i)*AE343*Ramure*Pc/MaxiM</f>
        <v>8.8735866583173598E-4</v>
      </c>
      <c r="AE343" s="305">
        <f t="shared" si="142"/>
        <v>0.5</v>
      </c>
      <c r="AF343" s="177">
        <f t="shared" si="143"/>
        <v>0.99705218302202492</v>
      </c>
      <c r="AG343" s="811">
        <f t="shared" si="149"/>
        <v>1</v>
      </c>
      <c r="AH343" s="176">
        <f t="shared" si="144"/>
        <v>7</v>
      </c>
      <c r="AI343" s="225">
        <f t="shared" si="145"/>
        <v>1.9970521830220249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'2024'!Wh/'2024'!Env_an*'2025'!Env_an</f>
        <v>9.9592512880238111</v>
      </c>
      <c r="C344" s="841"/>
      <c r="D344" s="393">
        <f t="shared" si="127"/>
        <v>10.572462595614864</v>
      </c>
      <c r="E344" s="385">
        <f t="shared" si="125"/>
        <v>11.108435187532457</v>
      </c>
      <c r="F344" s="385">
        <f t="shared" si="128"/>
        <v>11.108527531260739</v>
      </c>
      <c r="G344" s="110">
        <f t="shared" si="126"/>
        <v>0.40256747906783374</v>
      </c>
      <c r="H344" s="414" t="b">
        <f>Wh_hp&gt;='2024'!Maxi_hp</f>
        <v>0</v>
      </c>
      <c r="I344" s="390">
        <f>IF(H344,Wh_hp,'2024'!Maxi_hp)</f>
        <v>26.793324525882319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5.8000801804245161E-2</v>
      </c>
      <c r="M344" s="845"/>
      <c r="N344" s="845"/>
      <c r="O344" s="48">
        <f>IF(t&lt;Tnet,'2024'!Resal+('2024'!Salim-'2024'!Resal)*(1-EXP(('2024'!Tnet-t)/('2024'!Tau_j))),Resal+(Salim-Resal)*(1-EXP((Tnet-t)/(Tau_j))))*Salcycl</f>
        <v>4.8249153266802326E-2</v>
      </c>
      <c r="P344" s="169">
        <f>(INDEX(Models!$BJ344:$BT344,,T344)*(1-R344)+INDEX(Models!$BJ344:$BT344,,T344+1)*R344-ERP_i)*Q344*Ramure*Pc/MaxiM</f>
        <v>5.6722681462863871E-5</v>
      </c>
      <c r="Q344" s="305">
        <f t="shared" si="130"/>
        <v>0.5</v>
      </c>
      <c r="R344" s="177">
        <f t="shared" si="131"/>
        <v>0.47208481670144442</v>
      </c>
      <c r="S344" s="811">
        <f t="shared" si="132"/>
        <v>-2</v>
      </c>
      <c r="T344" s="176">
        <f t="shared" si="133"/>
        <v>4</v>
      </c>
      <c r="U344" s="251">
        <f t="shared" si="134"/>
        <v>-1.5279151832985556</v>
      </c>
      <c r="V344" s="383">
        <f t="shared" si="135"/>
        <v>24.73813627862738</v>
      </c>
      <c r="W344" s="402">
        <f t="shared" si="136"/>
        <v>9.9592512880238111</v>
      </c>
      <c r="X344" s="157">
        <f t="shared" si="137"/>
        <v>45987</v>
      </c>
      <c r="Y344" s="385">
        <f t="shared" si="138"/>
        <v>9.5382861630462212</v>
      </c>
      <c r="Z344" s="385">
        <f t="shared" si="139"/>
        <v>10.125577793818982</v>
      </c>
      <c r="AA344" s="386">
        <f t="shared" si="140"/>
        <v>11.107063963520545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8.8365941973963927E-2</v>
      </c>
      <c r="AD344" s="231">
        <f>(INDEX(Models!$BJ344:$BT344,,AH344)*(1-AF344)+INDEX(Models!$BJ344:$BT344,,AH344+1)*AF344-ERP_i)*AE344*Ramure*Pc/MaxiM</f>
        <v>8.9900514383490127E-4</v>
      </c>
      <c r="AE344" s="305">
        <f t="shared" si="142"/>
        <v>0.5</v>
      </c>
      <c r="AF344" s="177">
        <f t="shared" si="143"/>
        <v>0.99707238307542312</v>
      </c>
      <c r="AG344" s="811">
        <f t="shared" si="149"/>
        <v>1</v>
      </c>
      <c r="AH344" s="176">
        <f t="shared" si="144"/>
        <v>7</v>
      </c>
      <c r="AI344" s="225">
        <f t="shared" si="145"/>
        <v>1.9970723830754231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'2024'!Wh/'2024'!Env_an*'2025'!Env_an</f>
        <v>14.16710096889242</v>
      </c>
      <c r="C345" s="841"/>
      <c r="D345" s="393">
        <f t="shared" si="127"/>
        <v>15.039727527044954</v>
      </c>
      <c r="E345" s="385">
        <f t="shared" si="125"/>
        <v>15.802766782518448</v>
      </c>
      <c r="F345" s="385">
        <f t="shared" si="128"/>
        <v>15.803131204521749</v>
      </c>
      <c r="G345" s="110">
        <f t="shared" si="126"/>
        <v>0.57719346354205059</v>
      </c>
      <c r="H345" s="414" t="b">
        <f>Wh_hp&gt;='2024'!Maxi_hp</f>
        <v>0</v>
      </c>
      <c r="I345" s="390">
        <f>IF(H345,Wh_hp,'2024'!Maxi_hp)</f>
        <v>25.130362962848679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5.8021434004262851E-2</v>
      </c>
      <c r="M345" s="845"/>
      <c r="N345" s="845"/>
      <c r="O345" s="48">
        <f>IF(t&lt;Tnet,'2024'!Resal+('2024'!Salim-'2024'!Resal)*(1-EXP(('2024'!Tnet-t)/('2024'!Tau_j))),Resal+(Salim-Resal)*(1-EXP((Tnet-t)/(Tau_j))))*Salcycl</f>
        <v>4.8285168412255011E-2</v>
      </c>
      <c r="P345" s="169">
        <f>(INDEX(Models!$BJ345:$BT345,,T345)*(1-R345)+INDEX(Models!$BJ345:$BT345,,T345+1)*R345-ERP_i)*Q345*Ramure*Pc/MaxiM</f>
        <v>5.8229719096996333E-5</v>
      </c>
      <c r="Q345" s="305">
        <f t="shared" si="130"/>
        <v>0.5</v>
      </c>
      <c r="R345" s="177">
        <f t="shared" si="131"/>
        <v>0.472104204975905</v>
      </c>
      <c r="S345" s="811">
        <f t="shared" si="132"/>
        <v>-2</v>
      </c>
      <c r="T345" s="176">
        <f t="shared" si="133"/>
        <v>4</v>
      </c>
      <c r="U345" s="251">
        <f t="shared" si="134"/>
        <v>-1.527895795024095</v>
      </c>
      <c r="V345" s="383">
        <f t="shared" si="135"/>
        <v>24.543941677919669</v>
      </c>
      <c r="W345" s="402">
        <f t="shared" si="136"/>
        <v>14.16710096889242</v>
      </c>
      <c r="X345" s="157">
        <f t="shared" si="137"/>
        <v>45988</v>
      </c>
      <c r="Y345" s="385">
        <f t="shared" si="138"/>
        <v>13.5661572774519</v>
      </c>
      <c r="Z345" s="385">
        <f t="shared" si="139"/>
        <v>14.401768540361132</v>
      </c>
      <c r="AA345" s="386">
        <f t="shared" si="140"/>
        <v>15.797437943220901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8.8347832596404482E-2</v>
      </c>
      <c r="AD345" s="231">
        <f>(INDEX(Models!$BJ345:$BT345,,AH345)*(1-AF345)+INDEX(Models!$BJ345:$BT345,,AH345+1)*AF345-ERP_i)*AE345*Ramure*Pc/MaxiM</f>
        <v>9.0970633850510256E-4</v>
      </c>
      <c r="AE345" s="305">
        <f t="shared" si="142"/>
        <v>0.5</v>
      </c>
      <c r="AF345" s="177">
        <f t="shared" si="143"/>
        <v>0.99709177134988369</v>
      </c>
      <c r="AG345" s="811">
        <f t="shared" si="149"/>
        <v>1</v>
      </c>
      <c r="AH345" s="176">
        <f t="shared" si="144"/>
        <v>7</v>
      </c>
      <c r="AI345" s="225">
        <f t="shared" si="145"/>
        <v>1.9970917713498837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'2024'!Wh/'2024'!Env_an*'2025'!Env_an</f>
        <v>10.269543887655905</v>
      </c>
      <c r="C346" s="841"/>
      <c r="D346" s="393">
        <f t="shared" si="127"/>
        <v>10.902338113281706</v>
      </c>
      <c r="E346" s="385">
        <f t="shared" si="125"/>
        <v>11.455910106874333</v>
      </c>
      <c r="F346" s="385">
        <f t="shared" si="128"/>
        <v>11.456028915099822</v>
      </c>
      <c r="G346" s="110">
        <f t="shared" si="126"/>
        <v>0.42174623286430502</v>
      </c>
      <c r="H346" s="414" t="b">
        <f>Wh_hp&gt;='2024'!Maxi_hp</f>
        <v>0</v>
      </c>
      <c r="I346" s="390">
        <f>IF(H346,Wh_hp,'2024'!Maxi_hp)</f>
        <v>18.630206084198146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5.8042065752382355E-2</v>
      </c>
      <c r="M346" s="845"/>
      <c r="N346" s="845"/>
      <c r="O346" s="48">
        <f>IF(t&lt;Tnet,'2024'!Resal+('2024'!Salim-'2024'!Resal)*(1-EXP(('2024'!Tnet-t)/('2024'!Tau_j))),Resal+(Salim-Resal)*(1-EXP((Tnet-t)/(Tau_j))))*Salcycl</f>
        <v>4.8321956826498182E-2</v>
      </c>
      <c r="P346" s="169">
        <f>(INDEX(Models!$BJ346:$BT346,,T346)*(1-R346)+INDEX(Models!$BJ346:$BT346,,T346+1)*R346-ERP_i)*Q346*Ramure*Pc/MaxiM</f>
        <v>5.9618470097576511E-5</v>
      </c>
      <c r="Q346" s="305">
        <f t="shared" si="130"/>
        <v>0.5</v>
      </c>
      <c r="R346" s="177">
        <f t="shared" si="131"/>
        <v>0.47212281403513967</v>
      </c>
      <c r="S346" s="811">
        <f t="shared" si="132"/>
        <v>-2</v>
      </c>
      <c r="T346" s="176">
        <f t="shared" si="133"/>
        <v>4</v>
      </c>
      <c r="U346" s="251">
        <f t="shared" si="134"/>
        <v>-1.5278771859648603</v>
      </c>
      <c r="V346" s="383">
        <f t="shared" si="135"/>
        <v>24.348855617738216</v>
      </c>
      <c r="W346" s="402">
        <f t="shared" si="136"/>
        <v>10.269543887655905</v>
      </c>
      <c r="X346" s="157">
        <f t="shared" si="137"/>
        <v>45989</v>
      </c>
      <c r="Y346" s="385">
        <f t="shared" si="138"/>
        <v>9.8363327286102109</v>
      </c>
      <c r="Z346" s="385">
        <f t="shared" si="139"/>
        <v>10.442433118276044</v>
      </c>
      <c r="AA346" s="386">
        <f t="shared" si="140"/>
        <v>11.454197083053224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8.8331286552953678E-2</v>
      </c>
      <c r="AD346" s="231">
        <f>(INDEX(Models!$BJ346:$BT346,,AH346)*(1-AF346)+INDEX(Models!$BJ346:$BT346,,AH346+1)*AF346-ERP_i)*AE346*Ramure*Pc/MaxiM</f>
        <v>9.1922106945039044E-4</v>
      </c>
      <c r="AE346" s="305">
        <f t="shared" si="142"/>
        <v>0.5</v>
      </c>
      <c r="AF346" s="177">
        <f t="shared" si="143"/>
        <v>0.99711038040911859</v>
      </c>
      <c r="AG346" s="811">
        <f t="shared" si="149"/>
        <v>1</v>
      </c>
      <c r="AH346" s="176">
        <f t="shared" si="144"/>
        <v>7</v>
      </c>
      <c r="AI346" s="225">
        <f t="shared" si="145"/>
        <v>1.9971103804091186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'2024'!Wh/'2024'!Env_an*'2025'!Env_an</f>
        <v>14.288778498486012</v>
      </c>
      <c r="C347" s="841"/>
      <c r="D347" s="393">
        <f t="shared" si="127"/>
        <v>15.169564315708454</v>
      </c>
      <c r="E347" s="385">
        <f t="shared" si="125"/>
        <v>15.940436187639687</v>
      </c>
      <c r="F347" s="385">
        <f t="shared" si="128"/>
        <v>15.940840215587055</v>
      </c>
      <c r="G347" s="110">
        <f t="shared" si="126"/>
        <v>0.59154330663455723</v>
      </c>
      <c r="H347" s="414" t="b">
        <f>Wh_hp&gt;='2024'!Maxi_hp</f>
        <v>0</v>
      </c>
      <c r="I347" s="390">
        <f>IF(H347,Wh_hp,'2024'!Maxi_hp)</f>
        <v>26.41641779115476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5.8062697048613776E-2</v>
      </c>
      <c r="M347" s="845"/>
      <c r="N347" s="845"/>
      <c r="O347" s="48">
        <f>IF(t&lt;Tnet,'2024'!Resal+('2024'!Salim-'2024'!Resal)*(1-EXP(('2024'!Tnet-t)/('2024'!Tau_j))),Resal+(Salim-Resal)*(1-EXP((Tnet-t)/(Tau_j))))*Salcycl</f>
        <v>4.835952183849087E-2</v>
      </c>
      <c r="P347" s="169">
        <f>(INDEX(Models!$BJ347:$BT347,,T347)*(1-R347)+INDEX(Models!$BJ347:$BT347,,T347+1)*R347-ERP_i)*Q347*Ramure*Pc/MaxiM</f>
        <v>6.0850461458163831E-5</v>
      </c>
      <c r="Q347" s="305">
        <f t="shared" si="130"/>
        <v>0.5</v>
      </c>
      <c r="R347" s="177">
        <f t="shared" si="131"/>
        <v>0.47214067514126867</v>
      </c>
      <c r="S347" s="811">
        <f t="shared" si="132"/>
        <v>-2</v>
      </c>
      <c r="T347" s="176">
        <f t="shared" si="133"/>
        <v>4</v>
      </c>
      <c r="U347" s="251">
        <f t="shared" si="134"/>
        <v>-1.5278593248587313</v>
      </c>
      <c r="V347" s="383">
        <f t="shared" si="135"/>
        <v>24.154226752784858</v>
      </c>
      <c r="W347" s="402">
        <f t="shared" si="136"/>
        <v>14.288778498486012</v>
      </c>
      <c r="X347" s="157">
        <f t="shared" si="137"/>
        <v>45990</v>
      </c>
      <c r="Y347" s="385">
        <f t="shared" si="138"/>
        <v>13.683886963793363</v>
      </c>
      <c r="Z347" s="385">
        <f t="shared" si="139"/>
        <v>14.5273861868698</v>
      </c>
      <c r="AA347" s="386">
        <f t="shared" si="140"/>
        <v>15.934678079590689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8.8316305211296631E-2</v>
      </c>
      <c r="AD347" s="231">
        <f>(INDEX(Models!$BJ347:$BT347,,AH347)*(1-AF347)+INDEX(Models!$BJ347:$BT347,,AH347+1)*AF347-ERP_i)*AE347*Ramure*Pc/MaxiM</f>
        <v>9.2807643973570641E-4</v>
      </c>
      <c r="AE347" s="305">
        <f t="shared" si="142"/>
        <v>0.5</v>
      </c>
      <c r="AF347" s="177">
        <f t="shared" si="143"/>
        <v>0.99712824151524782</v>
      </c>
      <c r="AG347" s="811">
        <f t="shared" si="149"/>
        <v>1</v>
      </c>
      <c r="AH347" s="176">
        <f t="shared" si="144"/>
        <v>7</v>
      </c>
      <c r="AI347" s="225">
        <f t="shared" si="145"/>
        <v>1.9971282415152478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'2024'!Wh/'2024'!Env_an*'2025'!Env_an</f>
        <v>3.9810033339481818</v>
      </c>
      <c r="C348" s="841"/>
      <c r="D348" s="393">
        <f t="shared" si="127"/>
        <v>4.2264920579894003</v>
      </c>
      <c r="E348" s="385">
        <f t="shared" si="125"/>
        <v>4.4414486866485374</v>
      </c>
      <c r="F348" s="385">
        <f t="shared" si="128"/>
        <v>4.4414486866485374</v>
      </c>
      <c r="G348" s="110">
        <f t="shared" si="126"/>
        <v>0.16613204521801436</v>
      </c>
      <c r="H348" s="414" t="b">
        <f>Wh_hp&gt;='2024'!Maxi_hp</f>
        <v>0</v>
      </c>
      <c r="I348" s="390">
        <f>IF(H348,Wh_hp,'2024'!Maxi_hp)</f>
        <v>25.687652657075112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5.8083327892966774E-2</v>
      </c>
      <c r="M348" s="845"/>
      <c r="N348" s="845"/>
      <c r="O348" s="48">
        <f>IF(t&lt;Tnet,'2024'!Resal+('2024'!Salim-'2024'!Resal)*(1-EXP(('2024'!Tnet-t)/('2024'!Tau_j))),Resal+(Salim-Resal)*(1-EXP((Tnet-t)/(Tau_j))))*Salcycl</f>
        <v>4.8397863810814519E-2</v>
      </c>
      <c r="P348" s="169">
        <f>(INDEX(Models!$BJ348:$BT348,,T348)*(1-R348)+INDEX(Models!$BJ348:$BT348,,T348+1)*R348-ERP_i)*Q348*Ramure*Pc/MaxiM</f>
        <v>6.1921707010025793E-5</v>
      </c>
      <c r="Q348" s="305">
        <f t="shared" si="130"/>
        <v>0.5</v>
      </c>
      <c r="R348" s="177">
        <f t="shared" si="131"/>
        <v>0.47215781830647785</v>
      </c>
      <c r="S348" s="811">
        <f t="shared" si="132"/>
        <v>-2</v>
      </c>
      <c r="T348" s="176">
        <f t="shared" si="133"/>
        <v>4</v>
      </c>
      <c r="U348" s="251">
        <f t="shared" si="134"/>
        <v>-1.5278421816935221</v>
      </c>
      <c r="V348" s="383">
        <f t="shared" si="135"/>
        <v>23.961402619237017</v>
      </c>
      <c r="W348" s="402">
        <f t="shared" si="136"/>
        <v>3.9810033339481818</v>
      </c>
      <c r="X348" s="157">
        <f t="shared" si="137"/>
        <v>45991</v>
      </c>
      <c r="Y348" s="385">
        <f t="shared" si="138"/>
        <v>3.8140616946842463</v>
      </c>
      <c r="Z348" s="385">
        <f t="shared" si="139"/>
        <v>4.0492559561052568</v>
      </c>
      <c r="AA348" s="386">
        <f t="shared" si="140"/>
        <v>4.4414486866485374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8.8302884534555925E-2</v>
      </c>
      <c r="AD348" s="231">
        <f>(INDEX(Models!$BJ348:$BT348,,AH348)*(1-AF348)+INDEX(Models!$BJ348:$BT348,,AH348+1)*AF348-ERP_i)*AE348*Ramure*Pc/MaxiM</f>
        <v>9.3622218017084039E-4</v>
      </c>
      <c r="AE348" s="305">
        <f t="shared" si="142"/>
        <v>0.5</v>
      </c>
      <c r="AF348" s="177">
        <f t="shared" si="143"/>
        <v>0.99714538468045677</v>
      </c>
      <c r="AG348" s="811">
        <f t="shared" si="149"/>
        <v>1</v>
      </c>
      <c r="AH348" s="176">
        <f t="shared" si="144"/>
        <v>7</v>
      </c>
      <c r="AI348" s="225">
        <f t="shared" si="145"/>
        <v>1.9971453846804568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'2024'!Wh/'2024'!Env_an*'2025'!Env_an</f>
        <v>3.4256048311637928</v>
      </c>
      <c r="C349" s="841"/>
      <c r="D349" s="393">
        <f t="shared" si="127"/>
        <v>3.6369245431036195</v>
      </c>
      <c r="E349" s="385">
        <f t="shared" si="125"/>
        <v>3.8220532612678073</v>
      </c>
      <c r="F349" s="385">
        <f t="shared" si="128"/>
        <v>3.8220532612678073</v>
      </c>
      <c r="G349" s="110">
        <f t="shared" si="126"/>
        <v>0.14409508844546054</v>
      </c>
      <c r="H349" s="414" t="b">
        <f>Wh_hp&gt;='2024'!Maxi_hp</f>
        <v>0</v>
      </c>
      <c r="I349" s="390">
        <f>IF(H349,Wh_hp,'2024'!Maxi_hp)</f>
        <v>26.512351889003813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5.8103958285451229E-2</v>
      </c>
      <c r="M349" s="845"/>
      <c r="N349" s="845"/>
      <c r="O349" s="48">
        <f>IF(t&lt;Tnet,'2024'!Resal+('2024'!Salim-'2024'!Resal)*(1-EXP(('2024'!Tnet-t)/('2024'!Tau_j))),Resal+(Salim-Resal)*(1-EXP((Tnet-t)/(Tau_j))))*Salcycl</f>
        <v>4.8436980206492231E-2</v>
      </c>
      <c r="P349" s="169">
        <f>(INDEX(Models!$BJ349:$BT349,,T349)*(1-R349)+INDEX(Models!$BJ349:$BT349,,T349+1)*R349-ERP_i)*Q349*Ramure*Pc/MaxiM</f>
        <v>6.2827637989750846E-5</v>
      </c>
      <c r="Q349" s="305">
        <f t="shared" si="130"/>
        <v>0.5</v>
      </c>
      <c r="R349" s="177">
        <f t="shared" si="131"/>
        <v>0.47217427234265341</v>
      </c>
      <c r="S349" s="811">
        <f t="shared" si="132"/>
        <v>-2</v>
      </c>
      <c r="T349" s="176">
        <f t="shared" si="133"/>
        <v>4</v>
      </c>
      <c r="U349" s="251">
        <f t="shared" si="134"/>
        <v>-1.5278257276573466</v>
      </c>
      <c r="V349" s="383">
        <f t="shared" si="135"/>
        <v>23.771730497254676</v>
      </c>
      <c r="W349" s="402">
        <f t="shared" si="136"/>
        <v>3.4256048311637928</v>
      </c>
      <c r="X349" s="157">
        <f t="shared" si="137"/>
        <v>45992</v>
      </c>
      <c r="Y349" s="385">
        <f t="shared" si="138"/>
        <v>3.2821312281832324</v>
      </c>
      <c r="Z349" s="385">
        <f t="shared" si="139"/>
        <v>3.4846002985729885</v>
      </c>
      <c r="AA349" s="386">
        <f t="shared" si="140"/>
        <v>3.8220532612678073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8.8291015228522271E-2</v>
      </c>
      <c r="AD349" s="231">
        <f>(INDEX(Models!$BJ349:$BT349,,AH349)*(1-AF349)+INDEX(Models!$BJ349:$BT349,,AH349+1)*AF349-ERP_i)*AE349*Ramure*Pc/MaxiM</f>
        <v>9.4360291961517425E-4</v>
      </c>
      <c r="AE349" s="305">
        <f t="shared" si="142"/>
        <v>0.5</v>
      </c>
      <c r="AF349" s="177">
        <f t="shared" si="143"/>
        <v>0.99716183871663233</v>
      </c>
      <c r="AG349" s="811">
        <f t="shared" si="149"/>
        <v>1</v>
      </c>
      <c r="AH349" s="176">
        <f t="shared" si="144"/>
        <v>7</v>
      </c>
      <c r="AI349" s="225">
        <f t="shared" si="145"/>
        <v>1.9971618387166323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'2024'!Wh/'2024'!Env_an*'2025'!Env_an</f>
        <v>5.6807262646060037</v>
      </c>
      <c r="C350" s="841"/>
      <c r="D350" s="393">
        <f t="shared" si="127"/>
        <v>6.0312926673677119</v>
      </c>
      <c r="E350" s="385">
        <f t="shared" si="125"/>
        <v>6.3385665043582131</v>
      </c>
      <c r="F350" s="385">
        <f t="shared" si="128"/>
        <v>6.3385665043582131</v>
      </c>
      <c r="G350" s="110">
        <f t="shared" si="126"/>
        <v>0.24083061753569551</v>
      </c>
      <c r="H350" s="414" t="b">
        <f>Wh_hp&gt;='2024'!Maxi_hp</f>
        <v>0</v>
      </c>
      <c r="I350" s="390">
        <f>IF(H350,Wh_hp,'2024'!Maxi_hp)</f>
        <v>10.56169638849005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5.8124588226077356E-2</v>
      </c>
      <c r="M350" s="845"/>
      <c r="N350" s="845"/>
      <c r="O350" s="48">
        <f>IF(t&lt;Tnet,'2024'!Resal+('2024'!Salim-'2024'!Resal)*(1-EXP(('2024'!Tnet-t)/('2024'!Tau_j))),Resal+(Salim-Resal)*(1-EXP((Tnet-t)/(Tau_j))))*Salcycl</f>
        <v>4.8476865672897676E-2</v>
      </c>
      <c r="P350" s="169">
        <f>(INDEX(Models!$BJ350:$BT350,,T350)*(1-R350)+INDEX(Models!$BJ350:$BT350,,T350+1)*R350-ERP_i)*Q350*Ramure*Pc/MaxiM</f>
        <v>6.3563174089106427E-5</v>
      </c>
      <c r="Q350" s="305">
        <f t="shared" si="130"/>
        <v>0.5</v>
      </c>
      <c r="R350" s="177">
        <f t="shared" si="131"/>
        <v>0.47219006490907534</v>
      </c>
      <c r="S350" s="811">
        <f t="shared" si="132"/>
        <v>-2</v>
      </c>
      <c r="T350" s="176">
        <f t="shared" si="133"/>
        <v>4</v>
      </c>
      <c r="U350" s="251">
        <f t="shared" si="134"/>
        <v>-1.5278099350909247</v>
      </c>
      <c r="V350" s="383">
        <f t="shared" si="135"/>
        <v>23.586557381025525</v>
      </c>
      <c r="W350" s="402">
        <f t="shared" si="136"/>
        <v>5.6807262646060037</v>
      </c>
      <c r="X350" s="157">
        <f t="shared" si="137"/>
        <v>45993</v>
      </c>
      <c r="Y350" s="385">
        <f t="shared" si="138"/>
        <v>5.4430919056454883</v>
      </c>
      <c r="Z350" s="385">
        <f t="shared" si="139"/>
        <v>5.7789935246255135</v>
      </c>
      <c r="AA350" s="386">
        <f t="shared" si="140"/>
        <v>6.3385665043582131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8.8280682919072317E-2</v>
      </c>
      <c r="AD350" s="231">
        <f>(INDEX(Models!$BJ350:$BT350,,AH350)*(1-AF350)+INDEX(Models!$BJ350:$BT350,,AH350+1)*AF350-ERP_i)*AE350*Ramure*Pc/MaxiM</f>
        <v>9.5015845941083565E-4</v>
      </c>
      <c r="AE350" s="305">
        <f t="shared" si="142"/>
        <v>0.5</v>
      </c>
      <c r="AF350" s="177">
        <f t="shared" si="143"/>
        <v>0.99717763128305426</v>
      </c>
      <c r="AG350" s="811">
        <f t="shared" si="149"/>
        <v>1</v>
      </c>
      <c r="AH350" s="176">
        <f t="shared" si="144"/>
        <v>7</v>
      </c>
      <c r="AI350" s="225">
        <f t="shared" si="145"/>
        <v>1.9971776312830543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'2024'!Wh/'2024'!Env_an*'2025'!Env_an</f>
        <v>8.4854935016743589</v>
      </c>
      <c r="C351" s="841"/>
      <c r="D351" s="393">
        <f t="shared" si="127"/>
        <v>9.0093437558247569</v>
      </c>
      <c r="E351" s="385">
        <f t="shared" si="125"/>
        <v>9.4687436403653251</v>
      </c>
      <c r="F351" s="385">
        <f t="shared" si="128"/>
        <v>9.4687978654146399</v>
      </c>
      <c r="G351" s="110">
        <f t="shared" si="126"/>
        <v>0.36249475006394599</v>
      </c>
      <c r="H351" s="414" t="b">
        <f>Wh_hp&gt;='2024'!Maxi_hp</f>
        <v>0</v>
      </c>
      <c r="I351" s="390">
        <f>IF(H351,Wh_hp,'2024'!Maxi_hp)</f>
        <v>17.22212353344614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5.8145217714854702E-2</v>
      </c>
      <c r="M351" s="845"/>
      <c r="N351" s="845"/>
      <c r="O351" s="48">
        <f>IF(t&lt;Tnet,'2024'!Resal+('2024'!Salim-'2024'!Resal)*(1-EXP(('2024'!Tnet-t)/('2024'!Tau_j))),Resal+(Salim-Resal)*(1-EXP((Tnet-t)/(Tau_j))))*Salcycl</f>
        <v>4.8517512141963967E-2</v>
      </c>
      <c r="P351" s="169">
        <f>(INDEX(Models!$BJ351:$BT351,,T351)*(1-R351)+INDEX(Models!$BJ351:$BT351,,T351+1)*R351-ERP_i)*Q351*Ramure*Pc/MaxiM</f>
        <v>6.4122806987622634E-5</v>
      </c>
      <c r="Q351" s="305">
        <f t="shared" si="130"/>
        <v>0.5</v>
      </c>
      <c r="R351" s="177">
        <f t="shared" si="131"/>
        <v>0.47220522255823782</v>
      </c>
      <c r="S351" s="811">
        <f t="shared" si="132"/>
        <v>-2</v>
      </c>
      <c r="T351" s="176">
        <f t="shared" si="133"/>
        <v>4</v>
      </c>
      <c r="U351" s="251">
        <f t="shared" si="134"/>
        <v>-1.5277947774417622</v>
      </c>
      <c r="V351" s="383">
        <f t="shared" si="135"/>
        <v>23.407229974032106</v>
      </c>
      <c r="W351" s="402">
        <f t="shared" si="136"/>
        <v>8.4854935016743589</v>
      </c>
      <c r="X351" s="157">
        <f t="shared" si="137"/>
        <v>45994</v>
      </c>
      <c r="Y351" s="385">
        <f t="shared" si="138"/>
        <v>8.1303094138971463</v>
      </c>
      <c r="Z351" s="385">
        <f t="shared" si="139"/>
        <v>8.6322324490100701</v>
      </c>
      <c r="AA351" s="386">
        <f t="shared" si="140"/>
        <v>9.4679895787190222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8.8271868358142755E-2</v>
      </c>
      <c r="AD351" s="231">
        <f>(INDEX(Models!$BJ351:$BT351,,AH351)*(1-AF351)+INDEX(Models!$BJ351:$BT351,,AH351+1)*AF351-ERP_i)*AE351*Ramure*Pc/MaxiM</f>
        <v>9.5582415193021665E-4</v>
      </c>
      <c r="AE351" s="305">
        <f t="shared" si="142"/>
        <v>0.5</v>
      </c>
      <c r="AF351" s="177">
        <f t="shared" si="143"/>
        <v>0.99719278893221674</v>
      </c>
      <c r="AG351" s="811">
        <f t="shared" si="149"/>
        <v>1</v>
      </c>
      <c r="AH351" s="176">
        <f t="shared" si="144"/>
        <v>7</v>
      </c>
      <c r="AI351" s="225">
        <f t="shared" si="145"/>
        <v>1.9971927889322167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'2024'!Wh/'2024'!Env_an*'2025'!Env_an</f>
        <v>16.84795149083029</v>
      </c>
      <c r="C352" s="841"/>
      <c r="D352" s="393">
        <f t="shared" si="127"/>
        <v>17.88844822915469</v>
      </c>
      <c r="E352" s="385">
        <f t="shared" si="125"/>
        <v>18.801424909380149</v>
      </c>
      <c r="F352" s="385">
        <f t="shared" si="128"/>
        <v>18.802161730519916</v>
      </c>
      <c r="G352" s="110">
        <f t="shared" si="126"/>
        <v>0.72508957883058789</v>
      </c>
      <c r="H352" s="414" t="b">
        <f>Wh_hp&gt;='2024'!Maxi_hp</f>
        <v>1</v>
      </c>
      <c r="I352" s="390">
        <f>IF(H352,Wh_hp,'2024'!Maxi_hp)</f>
        <v>18.802161730519916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5.816584675179326E-2</v>
      </c>
      <c r="M352" s="845"/>
      <c r="N352" s="845"/>
      <c r="O352" s="48">
        <f>IF(t&lt;Tnet,'2024'!Resal+('2024'!Salim-'2024'!Resal)*(1-EXP(('2024'!Tnet-t)/('2024'!Tau_j))),Resal+(Salim-Resal)*(1-EXP((Tnet-t)/(Tau_j))))*Salcycl</f>
        <v>4.8558908945777218E-2</v>
      </c>
      <c r="P352" s="169">
        <f>(INDEX(Models!$BJ352:$BT352,,T352)*(1-R352)+INDEX(Models!$BJ352:$BT352,,T352+1)*R352-ERP_i)*Q352*Ramure*Pc/MaxiM</f>
        <v>6.4528727701867897E-5</v>
      </c>
      <c r="Q352" s="305">
        <f t="shared" si="130"/>
        <v>0.5</v>
      </c>
      <c r="R352" s="177">
        <f t="shared" si="131"/>
        <v>0.47221977077987276</v>
      </c>
      <c r="S352" s="811">
        <f t="shared" si="132"/>
        <v>-2</v>
      </c>
      <c r="T352" s="176">
        <f t="shared" si="133"/>
        <v>4</v>
      </c>
      <c r="U352" s="251">
        <f t="shared" si="134"/>
        <v>-1.5277802292201272</v>
      </c>
      <c r="V352" s="383">
        <f t="shared" si="135"/>
        <v>23.235094019327114</v>
      </c>
      <c r="W352" s="402">
        <f t="shared" si="136"/>
        <v>16.84795149083029</v>
      </c>
      <c r="X352" s="157">
        <f t="shared" si="137"/>
        <v>45995</v>
      </c>
      <c r="Y352" s="385">
        <f t="shared" si="138"/>
        <v>16.136064145802337</v>
      </c>
      <c r="Z352" s="385">
        <f t="shared" si="139"/>
        <v>17.132596105325042</v>
      </c>
      <c r="AA352" s="386">
        <f t="shared" si="140"/>
        <v>18.79119218330964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8.8264547656415532E-2</v>
      </c>
      <c r="AD352" s="231">
        <f>(INDEX(Models!$BJ352:$BT352,,AH352)*(1-AF352)+INDEX(Models!$BJ352:$BT352,,AH352+1)*AF352-ERP_i)*AE352*Ramure*Pc/MaxiM</f>
        <v>9.6068216116414174E-4</v>
      </c>
      <c r="AE352" s="305">
        <f t="shared" si="142"/>
        <v>0.5</v>
      </c>
      <c r="AF352" s="177">
        <f t="shared" si="143"/>
        <v>0.9972073371538519</v>
      </c>
      <c r="AG352" s="811">
        <f t="shared" si="149"/>
        <v>1</v>
      </c>
      <c r="AH352" s="176">
        <f t="shared" si="144"/>
        <v>7</v>
      </c>
      <c r="AI352" s="225">
        <f t="shared" si="145"/>
        <v>1.9972073371538519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'2024'!Wh/'2024'!Env_an*'2025'!Env_an</f>
        <v>22.931961283509811</v>
      </c>
      <c r="C353" s="841"/>
      <c r="D353" s="393">
        <f t="shared" si="127"/>
        <v>24.34872794135439</v>
      </c>
      <c r="E353" s="385">
        <f t="shared" si="125"/>
        <v>25.592552693943922</v>
      </c>
      <c r="F353" s="385">
        <f t="shared" si="128"/>
        <v>25.594198791491184</v>
      </c>
      <c r="G353" s="110">
        <f t="shared" si="126"/>
        <v>0.99395163398369579</v>
      </c>
      <c r="H353" s="414" t="b">
        <f>Wh_hp&gt;='2024'!Maxi_hp</f>
        <v>1</v>
      </c>
      <c r="I353" s="390">
        <f>IF(H353,Wh_hp,'2024'!Maxi_hp)</f>
        <v>25.594198791491184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5.8186475336903021E-2</v>
      </c>
      <c r="M353" s="845"/>
      <c r="N353" s="845"/>
      <c r="O353" s="48">
        <f>IF(t&lt;Tnet,'2024'!Resal+('2024'!Salim-'2024'!Resal)*(1-EXP(('2024'!Tnet-t)/('2024'!Tau_j))),Resal+(Salim-Resal)*(1-EXP((Tnet-t)/(Tau_j))))*Salcycl</f>
        <v>4.8601042946523482E-2</v>
      </c>
      <c r="P353" s="169">
        <f>(INDEX(Models!$BJ353:$BT353,,T353)*(1-R353)+INDEX(Models!$BJ353:$BT353,,T353+1)*R353-ERP_i)*Q353*Ramure*Pc/MaxiM</f>
        <v>6.4875768830141063E-5</v>
      </c>
      <c r="Q353" s="305">
        <f t="shared" si="130"/>
        <v>0.5</v>
      </c>
      <c r="R353" s="177">
        <f t="shared" si="131"/>
        <v>0.47223373404324187</v>
      </c>
      <c r="S353" s="811">
        <f t="shared" si="132"/>
        <v>-2</v>
      </c>
      <c r="T353" s="176">
        <f t="shared" si="133"/>
        <v>4</v>
      </c>
      <c r="U353" s="251">
        <f t="shared" si="134"/>
        <v>-1.5277662659567581</v>
      </c>
      <c r="V353" s="383">
        <f t="shared" si="135"/>
        <v>23.071493264922992</v>
      </c>
      <c r="W353" s="402">
        <f t="shared" si="136"/>
        <v>22.931961283509811</v>
      </c>
      <c r="X353" s="157">
        <f t="shared" si="137"/>
        <v>45996</v>
      </c>
      <c r="Y353" s="385">
        <f t="shared" si="138"/>
        <v>21.956459390767279</v>
      </c>
      <c r="Z353" s="385">
        <f t="shared" si="139"/>
        <v>23.312958261691438</v>
      </c>
      <c r="AA353" s="386">
        <f t="shared" si="140"/>
        <v>25.569707186631369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8.8258692540672826E-2</v>
      </c>
      <c r="AD353" s="231">
        <f>(INDEX(Models!$BJ353:$BT353,,AH353)*(1-AF353)+INDEX(Models!$BJ353:$BT353,,AH353+1)*AF353-ERP_i)*AE353*Ramure*Pc/MaxiM</f>
        <v>9.6525974284352009E-4</v>
      </c>
      <c r="AE353" s="305">
        <f t="shared" si="142"/>
        <v>0.5</v>
      </c>
      <c r="AF353" s="177">
        <f t="shared" si="143"/>
        <v>0.99722130041722079</v>
      </c>
      <c r="AG353" s="811">
        <f t="shared" si="149"/>
        <v>1</v>
      </c>
      <c r="AH353" s="176">
        <f t="shared" si="144"/>
        <v>7</v>
      </c>
      <c r="AI353" s="225">
        <f t="shared" si="145"/>
        <v>1.9972213004172208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'2024'!Wh/'2024'!Env_an*'2025'!Env_an</f>
        <v>10.620652960838333</v>
      </c>
      <c r="C354" s="841"/>
      <c r="D354" s="393">
        <f t="shared" si="127"/>
        <v>11.277057832960844</v>
      </c>
      <c r="E354" s="385">
        <f t="shared" si="125"/>
        <v>11.853666379297779</v>
      </c>
      <c r="F354" s="385">
        <f t="shared" si="128"/>
        <v>11.85384670270361</v>
      </c>
      <c r="G354" s="110">
        <f t="shared" si="126"/>
        <v>0.46340114575646651</v>
      </c>
      <c r="H354" s="414" t="b">
        <f>Wh_hp&gt;='2024'!Maxi_hp</f>
        <v>0</v>
      </c>
      <c r="I354" s="390">
        <f>IF(H354,Wh_hp,'2024'!Maxi_hp)</f>
        <v>20.632916228723204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5.8207103470193866E-2</v>
      </c>
      <c r="M354" s="845"/>
      <c r="N354" s="845"/>
      <c r="O354" s="48">
        <f>IF(t&lt;Tnet,'2024'!Resal+('2024'!Salim-'2024'!Resal)*(1-EXP(('2024'!Tnet-t)/('2024'!Tau_j))),Resal+(Salim-Resal)*(1-EXP((Tnet-t)/(Tau_j))))*Salcycl</f>
        <v>4.8643898679650015E-2</v>
      </c>
      <c r="P354" s="169">
        <f>(INDEX(Models!$BJ354:$BT354,,T354)*(1-R354)+INDEX(Models!$BJ354:$BT354,,T354+1)*R354-ERP_i)*Q354*Ramure*Pc/MaxiM</f>
        <v>6.5158971574483994E-5</v>
      </c>
      <c r="Q354" s="305">
        <f t="shared" si="130"/>
        <v>0.5</v>
      </c>
      <c r="R354" s="177">
        <f t="shared" si="131"/>
        <v>0.4722471358377649</v>
      </c>
      <c r="S354" s="811">
        <f t="shared" si="132"/>
        <v>-2</v>
      </c>
      <c r="T354" s="176">
        <f t="shared" si="133"/>
        <v>4</v>
      </c>
      <c r="U354" s="251">
        <f t="shared" si="134"/>
        <v>-1.5277528641622351</v>
      </c>
      <c r="V354" s="383">
        <f t="shared" si="135"/>
        <v>22.917773473327351</v>
      </c>
      <c r="W354" s="402">
        <f t="shared" si="136"/>
        <v>10.620652960838333</v>
      </c>
      <c r="X354" s="157">
        <f t="shared" si="137"/>
        <v>45997</v>
      </c>
      <c r="Y354" s="385">
        <f t="shared" si="138"/>
        <v>10.176305710623902</v>
      </c>
      <c r="Z354" s="385">
        <f t="shared" si="139"/>
        <v>10.805247892737572</v>
      </c>
      <c r="AA354" s="386">
        <f t="shared" si="140"/>
        <v>11.851163701360553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8.825427063360082E-2</v>
      </c>
      <c r="AD354" s="231">
        <f>(INDEX(Models!$BJ354:$BT354,,AH354)*(1-AF354)+INDEX(Models!$BJ354:$BT354,,AH354+1)*AF354-ERP_i)*AE354*Ramure*Pc/MaxiM</f>
        <v>9.6948927645424472E-4</v>
      </c>
      <c r="AE354" s="305">
        <f t="shared" si="142"/>
        <v>0.5</v>
      </c>
      <c r="AF354" s="177">
        <f t="shared" si="143"/>
        <v>0.9972347022117436</v>
      </c>
      <c r="AG354" s="811">
        <f t="shared" si="149"/>
        <v>1</v>
      </c>
      <c r="AH354" s="176">
        <f t="shared" si="144"/>
        <v>7</v>
      </c>
      <c r="AI354" s="225">
        <f t="shared" si="145"/>
        <v>1.9972347022117436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'2024'!Wh/'2024'!Env_an*'2025'!Env_an</f>
        <v>19.270910045511599</v>
      </c>
      <c r="C355" s="841"/>
      <c r="D355" s="393">
        <f t="shared" si="127"/>
        <v>20.462388501922693</v>
      </c>
      <c r="E355" s="385">
        <f t="shared" si="125"/>
        <v>21.509638115200229</v>
      </c>
      <c r="F355" s="385">
        <f t="shared" si="128"/>
        <v>21.510735238277935</v>
      </c>
      <c r="G355" s="110">
        <f t="shared" si="126"/>
        <v>0.84612057809544594</v>
      </c>
      <c r="H355" s="414" t="b">
        <f>Wh_hp&gt;='2024'!Maxi_hp</f>
        <v>1</v>
      </c>
      <c r="I355" s="390">
        <f>IF(H355,Wh_hp,'2024'!Maxi_hp)</f>
        <v>21.510735238277935</v>
      </c>
      <c r="J355" s="85">
        <f>IF(H355,An,'2024'!An_max)</f>
        <v>2025</v>
      </c>
      <c r="K355" s="197">
        <f t="shared" si="129"/>
        <v>45998</v>
      </c>
      <c r="L355" s="147">
        <f>IF(t&lt;Tvie,1-EXP((T0-t)*PertePVj)+'2024'!Pspv,1-EXP((T0-t)*PertePVj)+Pspv)</f>
        <v>5.8227731151675677E-2</v>
      </c>
      <c r="M355" s="845"/>
      <c r="N355" s="845"/>
      <c r="O355" s="48">
        <f>IF(t&lt;Tnet,'2024'!Resal+('2024'!Salim-'2024'!Resal)*(1-EXP(('2024'!Tnet-t)/('2024'!Tau_j))),Resal+(Salim-Resal)*(1-EXP((Tnet-t)/(Tau_j))))*Salcycl</f>
        <v>4.868745850900557E-2</v>
      </c>
      <c r="P355" s="169">
        <f>(INDEX(Models!$BJ355:$BT355,,T355)*(1-R355)+INDEX(Models!$BJ355:$BT355,,T355+1)*R355-ERP_i)*Q355*Ramure*Pc/MaxiM</f>
        <v>6.5373227219512017E-5</v>
      </c>
      <c r="Q355" s="305">
        <f t="shared" si="130"/>
        <v>0.5</v>
      </c>
      <c r="R355" s="177">
        <f t="shared" si="131"/>
        <v>0.47225999871204971</v>
      </c>
      <c r="S355" s="811">
        <f t="shared" si="132"/>
        <v>-2</v>
      </c>
      <c r="T355" s="176">
        <f t="shared" si="133"/>
        <v>4</v>
      </c>
      <c r="U355" s="251">
        <f t="shared" si="134"/>
        <v>-1.5277400012879503</v>
      </c>
      <c r="V355" s="383">
        <f t="shared" si="135"/>
        <v>22.775280040234588</v>
      </c>
      <c r="W355" s="402">
        <f t="shared" si="136"/>
        <v>19.270910045511599</v>
      </c>
      <c r="X355" s="157">
        <f t="shared" si="137"/>
        <v>45998</v>
      </c>
      <c r="Y355" s="385">
        <f t="shared" si="138"/>
        <v>18.456375651672072</v>
      </c>
      <c r="Z355" s="385">
        <f t="shared" si="139"/>
        <v>19.597493218017586</v>
      </c>
      <c r="AA355" s="386">
        <f t="shared" si="140"/>
        <v>21.494400871671225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8.8251245753664595E-2</v>
      </c>
      <c r="AD355" s="231">
        <f>(INDEX(Models!$BJ355:$BT355,,AH355)*(1-AF355)+INDEX(Models!$BJ355:$BT355,,AH355+1)*AF355-ERP_i)*AE355*Ramure*Pc/MaxiM</f>
        <v>9.7330033554738954E-4</v>
      </c>
      <c r="AE355" s="305">
        <f t="shared" si="142"/>
        <v>0.5</v>
      </c>
      <c r="AF355" s="177">
        <f t="shared" si="143"/>
        <v>0.99724756508602885</v>
      </c>
      <c r="AG355" s="811">
        <f t="shared" si="149"/>
        <v>1</v>
      </c>
      <c r="AH355" s="176">
        <f t="shared" si="144"/>
        <v>7</v>
      </c>
      <c r="AI355" s="225">
        <f t="shared" si="145"/>
        <v>1.9972475650860289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'2024'!Wh/'2024'!Env_an*'2025'!Env_an</f>
        <v>3.9784232032774978</v>
      </c>
      <c r="C356" s="841"/>
      <c r="D356" s="393">
        <f t="shared" si="127"/>
        <v>4.2244929846254973</v>
      </c>
      <c r="E356" s="385">
        <f t="shared" si="125"/>
        <v>4.4409058906171284</v>
      </c>
      <c r="F356" s="385">
        <f t="shared" si="128"/>
        <v>4.4409058906171284</v>
      </c>
      <c r="G356" s="110">
        <f t="shared" si="126"/>
        <v>0.17567231947163425</v>
      </c>
      <c r="H356" s="414" t="b">
        <f>Wh_hp&gt;='2024'!Maxi_hp</f>
        <v>0</v>
      </c>
      <c r="I356" s="390">
        <f>IF(H356,Wh_hp,'2024'!Maxi_hp)</f>
        <v>16.757981515209075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5.8248358381358223E-2</v>
      </c>
      <c r="M356" s="845"/>
      <c r="N356" s="845"/>
      <c r="O356" s="48">
        <f>IF(t&lt;Tnet,'2024'!Resal+('2024'!Salim-'2024'!Resal)*(1-EXP(('2024'!Tnet-t)/('2024'!Tau_j))),Resal+(Salim-Resal)*(1-EXP((Tnet-t)/(Tau_j))))*Salcycl</f>
        <v>4.8731702792638533E-2</v>
      </c>
      <c r="P356" s="169">
        <f>(INDEX(Models!$BJ356:$BT356,,T356)*(1-R356)+INDEX(Models!$BJ356:$BT356,,T356+1)*R356-ERP_i)*Q356*Ramure*Pc/MaxiM</f>
        <v>6.5513340201532629E-5</v>
      </c>
      <c r="Q356" s="305">
        <f t="shared" si="130"/>
        <v>0.5</v>
      </c>
      <c r="R356" s="177">
        <f t="shared" si="131"/>
        <v>0.47227234431138387</v>
      </c>
      <c r="S356" s="811">
        <f t="shared" si="132"/>
        <v>-2</v>
      </c>
      <c r="T356" s="176">
        <f t="shared" si="133"/>
        <v>4</v>
      </c>
      <c r="U356" s="251">
        <f t="shared" si="134"/>
        <v>-1.5277276556886161</v>
      </c>
      <c r="V356" s="383">
        <f t="shared" si="135"/>
        <v>22.645357990659807</v>
      </c>
      <c r="W356" s="402">
        <f t="shared" si="136"/>
        <v>3.9784232032774978</v>
      </c>
      <c r="X356" s="157">
        <f t="shared" si="137"/>
        <v>45999</v>
      </c>
      <c r="Y356" s="385">
        <f t="shared" si="138"/>
        <v>3.8131503427649811</v>
      </c>
      <c r="Z356" s="385">
        <f t="shared" si="139"/>
        <v>4.0489978187997675</v>
      </c>
      <c r="AA356" s="386">
        <f t="shared" si="140"/>
        <v>4.4409058906171284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8.8249578232539178E-2</v>
      </c>
      <c r="AD356" s="231">
        <f>(INDEX(Models!$BJ356:$BT356,,AH356)*(1-AF356)+INDEX(Models!$BJ356:$BT356,,AH356+1)*AF356-ERP_i)*AE356*Ramure*Pc/MaxiM</f>
        <v>9.7662020220905103E-4</v>
      </c>
      <c r="AE356" s="305">
        <f t="shared" si="142"/>
        <v>0.5</v>
      </c>
      <c r="AF356" s="177">
        <f t="shared" si="143"/>
        <v>0.99725991068536279</v>
      </c>
      <c r="AG356" s="811">
        <f t="shared" si="149"/>
        <v>1</v>
      </c>
      <c r="AH356" s="176">
        <f t="shared" si="144"/>
        <v>7</v>
      </c>
      <c r="AI356" s="225">
        <f t="shared" si="145"/>
        <v>1.9972599106853628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'2024'!Wh/'2024'!Env_an*'2025'!Env_an</f>
        <v>4.8136636058458215</v>
      </c>
      <c r="C357" s="841"/>
      <c r="D357" s="393">
        <f t="shared" si="127"/>
        <v>5.1115058652494705</v>
      </c>
      <c r="E357" s="385">
        <f t="shared" si="125"/>
        <v>5.3736124650597361</v>
      </c>
      <c r="F357" s="385">
        <f t="shared" si="128"/>
        <v>5.3736124650597361</v>
      </c>
      <c r="G357" s="110">
        <f t="shared" si="126"/>
        <v>0.21364786533671826</v>
      </c>
      <c r="H357" s="414" t="b">
        <f>Wh_hp&gt;='2024'!Maxi_hp</f>
        <v>0</v>
      </c>
      <c r="I357" s="390">
        <f>IF(H357,Wh_hp,'2024'!Maxi_hp)</f>
        <v>11.880379374635188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5.8268985159251607E-2</v>
      </c>
      <c r="M357" s="845"/>
      <c r="N357" s="845"/>
      <c r="O357" s="48">
        <f>IF(t&lt;Tnet,'2024'!Resal+('2024'!Salim-'2024'!Resal)*(1-EXP(('2024'!Tnet-t)/('2024'!Tau_j))),Resal+(Salim-Resal)*(1-EXP((Tnet-t)/(Tau_j))))*Salcycl</f>
        <v>4.8776610057858272E-2</v>
      </c>
      <c r="P357" s="169">
        <f>(INDEX(Models!$BJ357:$BT357,,T357)*(1-R357)+INDEX(Models!$BJ357:$BT357,,T357+1)*R357-ERP_i)*Q357*Ramure*Pc/MaxiM</f>
        <v>6.5574101027292264E-5</v>
      </c>
      <c r="Q357" s="305">
        <f t="shared" si="130"/>
        <v>0.5</v>
      </c>
      <c r="R357" s="177">
        <f t="shared" si="131"/>
        <v>0.47228419341374384</v>
      </c>
      <c r="S357" s="811">
        <f t="shared" si="132"/>
        <v>-2</v>
      </c>
      <c r="T357" s="176">
        <f t="shared" si="133"/>
        <v>4</v>
      </c>
      <c r="U357" s="251">
        <f t="shared" si="134"/>
        <v>-1.5277158065862562</v>
      </c>
      <c r="V357" s="383">
        <f t="shared" si="135"/>
        <v>22.529351962380606</v>
      </c>
      <c r="W357" s="402">
        <f t="shared" si="136"/>
        <v>4.8136636058458215</v>
      </c>
      <c r="X357" s="157">
        <f t="shared" si="137"/>
        <v>46000</v>
      </c>
      <c r="Y357" s="385">
        <f t="shared" si="138"/>
        <v>4.6139125345676657</v>
      </c>
      <c r="Z357" s="385">
        <f t="shared" si="139"/>
        <v>4.8993953282380769</v>
      </c>
      <c r="AA357" s="386">
        <f t="shared" si="140"/>
        <v>5.3736124650597361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8.8249225247468158E-2</v>
      </c>
      <c r="AD357" s="231">
        <f>(INDEX(Models!$BJ357:$BT357,,AH357)*(1-AF357)+INDEX(Models!$BJ357:$BT357,,AH357+1)*AF357-ERP_i)*AE357*Ramure*Pc/MaxiM</f>
        <v>9.7937450829596964E-4</v>
      </c>
      <c r="AE357" s="305">
        <f t="shared" si="142"/>
        <v>0.5</v>
      </c>
      <c r="AF357" s="177">
        <f t="shared" si="143"/>
        <v>0.99727175978772298</v>
      </c>
      <c r="AG357" s="811">
        <f t="shared" si="149"/>
        <v>1</v>
      </c>
      <c r="AH357" s="176">
        <f t="shared" si="144"/>
        <v>7</v>
      </c>
      <c r="AI357" s="225">
        <f t="shared" si="145"/>
        <v>1.997271759787723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'2024'!Wh/'2024'!Env_an*'2025'!Env_an</f>
        <v>11.331086963175601</v>
      </c>
      <c r="C358" s="841"/>
      <c r="D358" s="393">
        <f t="shared" si="127"/>
        <v>12.032454034035021</v>
      </c>
      <c r="E358" s="385">
        <f t="shared" si="125"/>
        <v>12.650057110680565</v>
      </c>
      <c r="F358" s="385">
        <f t="shared" si="128"/>
        <v>12.650300202264498</v>
      </c>
      <c r="G358" s="110">
        <f t="shared" si="126"/>
        <v>0.50518350714608706</v>
      </c>
      <c r="H358" s="414" t="b">
        <f>Wh_hp&gt;='2024'!Maxi_hp</f>
        <v>0</v>
      </c>
      <c r="I358" s="390">
        <f>IF(H358,Wh_hp,'2024'!Maxi_hp)</f>
        <v>21.95872257479607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5.8289611485365489E-2</v>
      </c>
      <c r="M358" s="845"/>
      <c r="N358" s="845"/>
      <c r="O358" s="48">
        <f>IF(t&lt;Tnet,'2024'!Resal+('2024'!Salim-'2024'!Resal)*(1-EXP(('2024'!Tnet-t)/('2024'!Tau_j))),Resal+(Salim-Resal)*(1-EXP((Tnet-t)/(Tau_j))))*Salcycl</f>
        <v>4.8822157184104417E-2</v>
      </c>
      <c r="P358" s="169">
        <f>(INDEX(Models!$BJ358:$BT358,,T358)*(1-R358)+INDEX(Models!$BJ358:$BT358,,T358+1)*R358-ERP_i)*Q358*Ramure*Pc/MaxiM</f>
        <v>6.5550368622939282E-5</v>
      </c>
      <c r="Q358" s="305">
        <f t="shared" si="130"/>
        <v>0.5</v>
      </c>
      <c r="R358" s="177">
        <f t="shared" si="131"/>
        <v>0.4722955659643886</v>
      </c>
      <c r="S358" s="811">
        <f t="shared" si="132"/>
        <v>-2</v>
      </c>
      <c r="T358" s="176">
        <f t="shared" si="133"/>
        <v>4</v>
      </c>
      <c r="U358" s="251">
        <f t="shared" si="134"/>
        <v>-1.5277044340356114</v>
      </c>
      <c r="V358" s="383">
        <f t="shared" si="135"/>
        <v>22.428606193806083</v>
      </c>
      <c r="W358" s="402">
        <f t="shared" si="136"/>
        <v>11.331086963175601</v>
      </c>
      <c r="X358" s="157">
        <f t="shared" si="137"/>
        <v>46001</v>
      </c>
      <c r="Y358" s="385">
        <f t="shared" si="138"/>
        <v>10.858477160165542</v>
      </c>
      <c r="Z358" s="385">
        <f t="shared" si="139"/>
        <v>11.530590819214263</v>
      </c>
      <c r="AA358" s="386">
        <f t="shared" si="140"/>
        <v>12.646660383318446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8.825014116583163E-2</v>
      </c>
      <c r="AD358" s="231">
        <f>(INDEX(Models!$BJ358:$BT358,,AH358)*(1-AF358)+INDEX(Models!$BJ358:$BT358,,AH358+1)*AF358-ERP_i)*AE358*Ramure*Pc/MaxiM</f>
        <v>9.8148800454229382E-4</v>
      </c>
      <c r="AE358" s="305">
        <f t="shared" si="142"/>
        <v>0.5</v>
      </c>
      <c r="AF358" s="177">
        <f t="shared" si="143"/>
        <v>0.9972831323383673</v>
      </c>
      <c r="AG358" s="811">
        <f t="shared" si="149"/>
        <v>1</v>
      </c>
      <c r="AH358" s="176">
        <f t="shared" si="144"/>
        <v>7</v>
      </c>
      <c r="AI358" s="225">
        <f t="shared" si="145"/>
        <v>1.9972831323383673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'2024'!Wh/'2024'!Env_an*'2025'!Env_an</f>
        <v>15.830015905003693</v>
      </c>
      <c r="C359" s="841"/>
      <c r="D359" s="393">
        <f t="shared" si="127"/>
        <v>16.810224060012956</v>
      </c>
      <c r="E359" s="385">
        <f t="shared" si="125"/>
        <v>17.673918770957275</v>
      </c>
      <c r="F359" s="385">
        <f t="shared" si="128"/>
        <v>17.674593958315157</v>
      </c>
      <c r="G359" s="110">
        <f t="shared" si="126"/>
        <v>0.70855702620642735</v>
      </c>
      <c r="H359" s="414" t="b">
        <f>Wh_hp&gt;='2024'!Maxi_hp</f>
        <v>0</v>
      </c>
      <c r="I359" s="390">
        <f>IF(H359,Wh_hp,'2024'!Maxi_hp)</f>
        <v>18.260406248134906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5.8310237359709971E-2</v>
      </c>
      <c r="M359" s="845"/>
      <c r="N359" s="845"/>
      <c r="O359" s="48">
        <f>IF(t&lt;Tnet,'2024'!Resal+('2024'!Salim-'2024'!Resal)*(1-EXP(('2024'!Tnet-t)/('2024'!Tau_j))),Resal+(Salim-Resal)*(1-EXP((Tnet-t)/(Tau_j))))*Salcycl</f>
        <v>4.8868319592120617E-2</v>
      </c>
      <c r="P359" s="169">
        <f>(INDEX(Models!$BJ359:$BT359,,T359)*(1-R359)+INDEX(Models!$BJ359:$BT359,,T359+1)*R359-ERP_i)*Q359*Ramure*Pc/MaxiM</f>
        <v>6.5448498774452134E-5</v>
      </c>
      <c r="Q359" s="305">
        <f t="shared" si="130"/>
        <v>0.5</v>
      </c>
      <c r="R359" s="177">
        <f t="shared" si="131"/>
        <v>0.4723064811090798</v>
      </c>
      <c r="S359" s="811">
        <f t="shared" si="132"/>
        <v>-2</v>
      </c>
      <c r="T359" s="176">
        <f t="shared" si="133"/>
        <v>4</v>
      </c>
      <c r="U359" s="251">
        <f t="shared" si="134"/>
        <v>-1.5276935188909202</v>
      </c>
      <c r="V359" s="383">
        <f t="shared" si="135"/>
        <v>22.340593593590359</v>
      </c>
      <c r="W359" s="402">
        <f t="shared" si="136"/>
        <v>15.830015905003693</v>
      </c>
      <c r="X359" s="157">
        <f t="shared" si="137"/>
        <v>46002</v>
      </c>
      <c r="Y359" s="385">
        <f t="shared" si="138"/>
        <v>15.166407335504754</v>
      </c>
      <c r="Z359" s="385">
        <f t="shared" si="139"/>
        <v>16.105524279016795</v>
      </c>
      <c r="AA359" s="386">
        <f t="shared" si="140"/>
        <v>17.664452445141546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8.8252277899138656E-2</v>
      </c>
      <c r="AD359" s="231">
        <f>(INDEX(Models!$BJ359:$BT359,,AH359)*(1-AF359)+INDEX(Models!$BJ359:$BT359,,AH359+1)*AF359-ERP_i)*AE359*Ramure*Pc/MaxiM</f>
        <v>9.8305574707018158E-4</v>
      </c>
      <c r="AE359" s="305">
        <f t="shared" si="142"/>
        <v>0.5</v>
      </c>
      <c r="AF359" s="177">
        <f t="shared" si="143"/>
        <v>0.99729404748305872</v>
      </c>
      <c r="AG359" s="811">
        <f t="shared" si="149"/>
        <v>1</v>
      </c>
      <c r="AH359" s="176">
        <f t="shared" si="144"/>
        <v>7</v>
      </c>
      <c r="AI359" s="225">
        <f t="shared" si="145"/>
        <v>1.9972940474830587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'2024'!Wh/'2024'!Env_an*'2025'!Env_an</f>
        <v>5.5130697574957157</v>
      </c>
      <c r="C360" s="841"/>
      <c r="D360" s="393">
        <f t="shared" si="127"/>
        <v>5.8545719930727058</v>
      </c>
      <c r="E360" s="385">
        <f t="shared" si="125"/>
        <v>6.1556773924742174</v>
      </c>
      <c r="F360" s="385">
        <f t="shared" si="128"/>
        <v>6.1556773924742174</v>
      </c>
      <c r="G360" s="110">
        <f t="shared" si="126"/>
        <v>0.24762817997088585</v>
      </c>
      <c r="H360" s="414" t="b">
        <f>Wh_hp&gt;='2024'!Maxi_hp</f>
        <v>0</v>
      </c>
      <c r="I360" s="390">
        <f>IF(H360,Wh_hp,'2024'!Maxi_hp)</f>
        <v>23.792403120855759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5.8330862782294823E-2</v>
      </c>
      <c r="M360" s="845"/>
      <c r="N360" s="845"/>
      <c r="O360" s="48">
        <f>IF(t&lt;Tnet,'2024'!Resal+('2024'!Salim-'2024'!Resal)*(1-EXP(('2024'!Tnet-t)/('2024'!Tau_j))),Resal+(Salim-Resal)*(1-EXP((Tnet-t)/(Tau_j))))*Salcycl</f>
        <v>4.8915071437894968E-2</v>
      </c>
      <c r="P360" s="169">
        <f>(INDEX(Models!$BJ360:$BT360,,T360)*(1-R360)+INDEX(Models!$BJ360:$BT360,,T360+1)*R360-ERP_i)*Q360*Ramure*Pc/MaxiM</f>
        <v>6.5277291463018236E-5</v>
      </c>
      <c r="Q360" s="305">
        <f t="shared" si="130"/>
        <v>0.5</v>
      </c>
      <c r="R360" s="177">
        <f t="shared" si="131"/>
        <v>0.47231695722599465</v>
      </c>
      <c r="S360" s="811">
        <f t="shared" si="132"/>
        <v>-2</v>
      </c>
      <c r="T360" s="176">
        <f t="shared" si="133"/>
        <v>4</v>
      </c>
      <c r="U360" s="251">
        <f t="shared" si="134"/>
        <v>-1.5276830427740054</v>
      </c>
      <c r="V360" s="383">
        <f t="shared" si="135"/>
        <v>22.262045781229101</v>
      </c>
      <c r="W360" s="402">
        <f t="shared" si="136"/>
        <v>5.5130697574957157</v>
      </c>
      <c r="X360" s="157">
        <f t="shared" si="137"/>
        <v>46003</v>
      </c>
      <c r="Y360" s="385">
        <f t="shared" si="138"/>
        <v>5.285028085817836</v>
      </c>
      <c r="Z360" s="385">
        <f t="shared" si="139"/>
        <v>5.6124044815073795</v>
      </c>
      <c r="AA360" s="386">
        <f t="shared" si="140"/>
        <v>6.1556773924742174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8.8255585263618652E-2</v>
      </c>
      <c r="AD360" s="231">
        <f>(INDEX(Models!$BJ360:$BT360,,AH360)*(1-AF360)+INDEX(Models!$BJ360:$BT360,,AH360+1)*AF360-ERP_i)*AE360*Ramure*Pc/MaxiM</f>
        <v>9.8420937182263691E-4</v>
      </c>
      <c r="AE360" s="305">
        <f t="shared" si="142"/>
        <v>0.5</v>
      </c>
      <c r="AF360" s="177">
        <f t="shared" si="143"/>
        <v>0.99730452359997335</v>
      </c>
      <c r="AG360" s="811">
        <f t="shared" si="149"/>
        <v>1</v>
      </c>
      <c r="AH360" s="176">
        <f t="shared" si="144"/>
        <v>7</v>
      </c>
      <c r="AI360" s="225">
        <f t="shared" si="145"/>
        <v>1.9973045235999733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'2024'!Wh/'2024'!Env_an*'2025'!Env_an</f>
        <v>5.2334013954722503</v>
      </c>
      <c r="C361" s="841"/>
      <c r="D361" s="393">
        <f t="shared" si="127"/>
        <v>5.5577015493656097</v>
      </c>
      <c r="E361" s="385">
        <f t="shared" ref="E361:E379" si="150">Wh_pvt/(1-Psa)</f>
        <v>5.8438293779768067</v>
      </c>
      <c r="F361" s="385">
        <f t="shared" si="128"/>
        <v>5.8438293779768067</v>
      </c>
      <c r="G361" s="110">
        <f t="shared" ref="G361:G379" si="151">+Wh_hp/MaxiM</f>
        <v>0.23579575231448388</v>
      </c>
      <c r="H361" s="414" t="b">
        <f>Wh_hp&gt;='2024'!Maxi_hp</f>
        <v>0</v>
      </c>
      <c r="I361" s="390">
        <f>IF(H361,Wh_hp,'2024'!Maxi_hp)</f>
        <v>25.480851358483925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5.8351487753130038E-2</v>
      </c>
      <c r="M361" s="845"/>
      <c r="N361" s="845"/>
      <c r="O361" s="48">
        <f>IF(t&lt;Tnet,'2024'!Resal+('2024'!Salim-'2024'!Resal)*(1-EXP(('2024'!Tnet-t)/('2024'!Tau_j))),Resal+(Salim-Resal)*(1-EXP((Tnet-t)/(Tau_j))))*Salcycl</f>
        <v>4.8962385809809009E-2</v>
      </c>
      <c r="P361" s="169">
        <f>(INDEX(Models!$BJ361:$BT361,,T361)*(1-R361)+INDEX(Models!$BJ361:$BT361,,T361+1)*R361-ERP_i)*Q361*Ramure*Pc/MaxiM</f>
        <v>6.5122318026820296E-5</v>
      </c>
      <c r="Q361" s="305">
        <f t="shared" si="130"/>
        <v>0.5</v>
      </c>
      <c r="R361" s="177">
        <f t="shared" si="131"/>
        <v>0.4723270119563705</v>
      </c>
      <c r="S361" s="811">
        <f t="shared" si="132"/>
        <v>-2</v>
      </c>
      <c r="T361" s="176">
        <f t="shared" si="133"/>
        <v>4</v>
      </c>
      <c r="U361" s="251">
        <f t="shared" si="134"/>
        <v>-1.5276729880436295</v>
      </c>
      <c r="V361" s="383">
        <f t="shared" si="135"/>
        <v>22.193192764824754</v>
      </c>
      <c r="W361" s="402">
        <f t="shared" si="136"/>
        <v>5.2334013954722503</v>
      </c>
      <c r="X361" s="157">
        <f t="shared" si="137"/>
        <v>46004</v>
      </c>
      <c r="Y361" s="385">
        <f t="shared" si="138"/>
        <v>5.0171531154423556</v>
      </c>
      <c r="Z361" s="385">
        <f t="shared" si="139"/>
        <v>5.3280529307808422</v>
      </c>
      <c r="AA361" s="386">
        <f t="shared" si="140"/>
        <v>5.8438293779768067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8.8260011344570011E-2</v>
      </c>
      <c r="AD361" s="231">
        <f>(INDEX(Models!$BJ361:$BT361,,AH361)*(1-AF361)+INDEX(Models!$BJ361:$BT361,,AH361+1)*AF361-ERP_i)*AE361*Ramure*Pc/MaxiM</f>
        <v>9.8519854104377452E-4</v>
      </c>
      <c r="AE361" s="305">
        <f t="shared" si="142"/>
        <v>0.5</v>
      </c>
      <c r="AF361" s="177">
        <f t="shared" si="143"/>
        <v>0.99731457833034942</v>
      </c>
      <c r="AG361" s="811">
        <f t="shared" si="149"/>
        <v>1</v>
      </c>
      <c r="AH361" s="176">
        <f t="shared" si="144"/>
        <v>7</v>
      </c>
      <c r="AI361" s="225">
        <f t="shared" si="145"/>
        <v>1.9973145783303494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'2024'!Wh/'2024'!Env_an*'2025'!Env_an</f>
        <v>16.605992818195745</v>
      </c>
      <c r="C362" s="841"/>
      <c r="D362" s="393">
        <f t="shared" si="127"/>
        <v>17.635408885634611</v>
      </c>
      <c r="E362" s="385">
        <f t="shared" si="150"/>
        <v>18.544267807434132</v>
      </c>
      <c r="F362" s="385">
        <f t="shared" si="128"/>
        <v>18.545042928721578</v>
      </c>
      <c r="G362" s="110">
        <f t="shared" si="151"/>
        <v>0.75022173625912758</v>
      </c>
      <c r="H362" s="414" t="b">
        <f>Wh_hp&gt;='2024'!Maxi_hp</f>
        <v>0</v>
      </c>
      <c r="I362" s="390">
        <f>IF(H362,Wh_hp,'2024'!Maxi_hp)</f>
        <v>22.845836803064749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5.8372112272225496E-2</v>
      </c>
      <c r="M362" s="845"/>
      <c r="N362" s="845"/>
      <c r="O362" s="48">
        <f>IF(t&lt;Tnet,'2024'!Resal+('2024'!Salim-'2024'!Resal)*(1-EXP(('2024'!Tnet-t)/('2024'!Tau_j))),Resal+(Salim-Resal)*(1-EXP((Tnet-t)/(Tau_j))))*Salcycl</f>
        <v>4.901023492742973E-2</v>
      </c>
      <c r="P362" s="169">
        <f>(INDEX(Models!$BJ362:$BT362,,T362)*(1-R362)+INDEX(Models!$BJ362:$BT362,,T362+1)*R362-ERP_i)*Q362*Ramure*Pc/MaxiM</f>
        <v>6.4982531032111793E-5</v>
      </c>
      <c r="Q362" s="305">
        <f t="shared" si="130"/>
        <v>0.5</v>
      </c>
      <c r="R362" s="177">
        <f t="shared" si="131"/>
        <v>0.47233666223393977</v>
      </c>
      <c r="S362" s="811">
        <f t="shared" si="132"/>
        <v>-2</v>
      </c>
      <c r="T362" s="176">
        <f t="shared" si="133"/>
        <v>4</v>
      </c>
      <c r="U362" s="251">
        <f t="shared" si="134"/>
        <v>-1.5276633377660602</v>
      </c>
      <c r="V362" s="383">
        <f t="shared" si="135"/>
        <v>22.134266411533364</v>
      </c>
      <c r="W362" s="402">
        <f t="shared" si="136"/>
        <v>16.605992818195745</v>
      </c>
      <c r="X362" s="157">
        <f t="shared" si="137"/>
        <v>46005</v>
      </c>
      <c r="Y362" s="385">
        <f t="shared" si="138"/>
        <v>15.911093482381244</v>
      </c>
      <c r="Z362" s="385">
        <f t="shared" si="139"/>
        <v>16.897432297567164</v>
      </c>
      <c r="AA362" s="386">
        <f t="shared" si="140"/>
        <v>18.533281729058846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8.8265502861632289E-2</v>
      </c>
      <c r="AD362" s="231">
        <f>(INDEX(Models!$BJ362:$BT362,,AH362)*(1-AF362)+INDEX(Models!$BJ362:$BT362,,AH362+1)*AF362-ERP_i)*AE362*Ramure*Pc/MaxiM</f>
        <v>9.8600378345707032E-4</v>
      </c>
      <c r="AE362" s="305">
        <f t="shared" si="142"/>
        <v>0.5</v>
      </c>
      <c r="AF362" s="177">
        <f t="shared" si="143"/>
        <v>0.99732422860791869</v>
      </c>
      <c r="AG362" s="811">
        <f t="shared" si="149"/>
        <v>1</v>
      </c>
      <c r="AH362" s="176">
        <f t="shared" si="144"/>
        <v>7</v>
      </c>
      <c r="AI362" s="225">
        <f t="shared" si="145"/>
        <v>1.9973242286079187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'2024'!Wh/'2024'!Env_an*'2025'!Env_an</f>
        <v>5.5083182317302004</v>
      </c>
      <c r="C363" s="841"/>
      <c r="D363" s="393">
        <f t="shared" si="127"/>
        <v>5.8499105139834366</v>
      </c>
      <c r="E363" s="385">
        <f t="shared" si="150"/>
        <v>6.1517044631355313</v>
      </c>
      <c r="F363" s="385">
        <f t="shared" si="128"/>
        <v>6.1517044631355313</v>
      </c>
      <c r="G363" s="110">
        <f t="shared" si="151"/>
        <v>0.24939264930027727</v>
      </c>
      <c r="H363" s="414" t="b">
        <f>Wh_hp&gt;='2024'!Maxi_hp</f>
        <v>0</v>
      </c>
      <c r="I363" s="390">
        <f>IF(H363,Wh_hp,'2024'!Maxi_hp)</f>
        <v>25.557265904120406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5.8392736339590967E-2</v>
      </c>
      <c r="M363" s="845"/>
      <c r="N363" s="845"/>
      <c r="O363" s="48">
        <f>IF(t&lt;Tnet,'2024'!Resal+('2024'!Salim-'2024'!Resal)*(1-EXP(('2024'!Tnet-t)/('2024'!Tau_j))),Resal+(Salim-Resal)*(1-EXP((Tnet-t)/(Tau_j))))*Salcycl</f>
        <v>4.9058590340386697E-2</v>
      </c>
      <c r="P363" s="169">
        <f>(INDEX(Models!$BJ363:$BT363,,T363)*(1-R363)+INDEX(Models!$BJ363:$BT363,,T363+1)*R363-ERP_i)*Q363*Ramure*Pc/MaxiM</f>
        <v>6.4856865458950942E-5</v>
      </c>
      <c r="Q363" s="305">
        <f t="shared" si="130"/>
        <v>0.5</v>
      </c>
      <c r="R363" s="177">
        <f t="shared" si="131"/>
        <v>0.47234592431319622</v>
      </c>
      <c r="S363" s="811">
        <f t="shared" si="132"/>
        <v>-2</v>
      </c>
      <c r="T363" s="176">
        <f t="shared" si="133"/>
        <v>4</v>
      </c>
      <c r="U363" s="251">
        <f t="shared" si="134"/>
        <v>-1.5276540756868038</v>
      </c>
      <c r="V363" s="383">
        <f t="shared" si="135"/>
        <v>22.085498489748861</v>
      </c>
      <c r="W363" s="402">
        <f t="shared" si="136"/>
        <v>5.5083182317302004</v>
      </c>
      <c r="X363" s="157">
        <f t="shared" si="137"/>
        <v>46006</v>
      </c>
      <c r="Y363" s="385">
        <f t="shared" si="138"/>
        <v>5.2811749318010381</v>
      </c>
      <c r="Z363" s="385">
        <f t="shared" si="139"/>
        <v>5.6086811727332808</v>
      </c>
      <c r="AA363" s="386">
        <f t="shared" si="140"/>
        <v>6.1517044631355313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8.8272005532182271E-2</v>
      </c>
      <c r="AD363" s="231">
        <f>(INDEX(Models!$BJ363:$BT363,,AH363)*(1-AF363)+INDEX(Models!$BJ363:$BT363,,AH363+1)*AF363-ERP_i)*AE363*Ramure*Pc/MaxiM</f>
        <v>9.8660580028683571E-4</v>
      </c>
      <c r="AE363" s="305">
        <f t="shared" si="142"/>
        <v>0.5</v>
      </c>
      <c r="AF363" s="177">
        <f t="shared" si="143"/>
        <v>0.99733349068717514</v>
      </c>
      <c r="AG363" s="811">
        <f t="shared" si="149"/>
        <v>1</v>
      </c>
      <c r="AH363" s="176">
        <f t="shared" si="144"/>
        <v>7</v>
      </c>
      <c r="AI363" s="225">
        <f t="shared" si="145"/>
        <v>1.9973334906871751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'2024'!Wh/'2024'!Env_an*'2025'!Env_an</f>
        <v>4.6936506159656952</v>
      </c>
      <c r="C364" s="841"/>
      <c r="D364" s="393">
        <f t="shared" si="127"/>
        <v>4.9848313647935321</v>
      </c>
      <c r="E364" s="385">
        <f t="shared" si="150"/>
        <v>5.2422655156061735</v>
      </c>
      <c r="F364" s="385">
        <f t="shared" si="128"/>
        <v>5.2422655156061735</v>
      </c>
      <c r="G364" s="110">
        <f t="shared" si="151"/>
        <v>0.21287798971689489</v>
      </c>
      <c r="H364" s="414" t="b">
        <f>Wh_hp&gt;='2024'!Maxi_hp</f>
        <v>0</v>
      </c>
      <c r="I364" s="390">
        <f>IF(H364,Wh_hp,'2024'!Maxi_hp)</f>
        <v>25.18523938599883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5.8413359955236444E-2</v>
      </c>
      <c r="M364" s="845"/>
      <c r="N364" s="845"/>
      <c r="O364" s="48">
        <f>IF(t&lt;Tnet,'2024'!Resal+('2024'!Salim-'2024'!Resal)*(1-EXP(('2024'!Tnet-t)/('2024'!Tau_j))),Resal+(Salim-Resal)*(1-EXP((Tnet-t)/(Tau_j))))*Salcycl</f>
        <v>4.9107423125795975E-2</v>
      </c>
      <c r="P364" s="169">
        <f>(INDEX(Models!$BJ364:$BT364,,T364)*(1-R364)+INDEX(Models!$BJ364:$BT364,,T364+1)*R364-ERP_i)*Q364*Ramure*Pc/MaxiM</f>
        <v>6.4744243452067454E-5</v>
      </c>
      <c r="Q364" s="305">
        <f t="shared" si="130"/>
        <v>0.5</v>
      </c>
      <c r="R364" s="177">
        <f t="shared" si="131"/>
        <v>0.47235481379654143</v>
      </c>
      <c r="S364" s="811">
        <f t="shared" si="132"/>
        <v>-2</v>
      </c>
      <c r="T364" s="176">
        <f t="shared" si="133"/>
        <v>4</v>
      </c>
      <c r="U364" s="251">
        <f t="shared" si="134"/>
        <v>-1.5276451862034586</v>
      </c>
      <c r="V364" s="383">
        <f t="shared" si="135"/>
        <v>22.047120678606504</v>
      </c>
      <c r="W364" s="402">
        <f t="shared" si="136"/>
        <v>4.6936506159656952</v>
      </c>
      <c r="X364" s="157">
        <f t="shared" si="137"/>
        <v>46007</v>
      </c>
      <c r="Y364" s="385">
        <f t="shared" si="138"/>
        <v>4.5002955722224582</v>
      </c>
      <c r="Z364" s="385">
        <f t="shared" si="139"/>
        <v>4.7794811234880221</v>
      </c>
      <c r="AA364" s="386">
        <f t="shared" si="140"/>
        <v>5.2422655156061735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8.8279464430110685E-2</v>
      </c>
      <c r="AD364" s="231">
        <f>(INDEX(Models!$BJ364:$BT364,,AH364)*(1-AF364)+INDEX(Models!$BJ364:$BT364,,AH364+1)*AF364-ERP_i)*AE364*Ramure*Pc/MaxiM</f>
        <v>9.8698562455990153E-4</v>
      </c>
      <c r="AE364" s="305">
        <f t="shared" si="142"/>
        <v>0.5</v>
      </c>
      <c r="AF364" s="177">
        <f t="shared" si="143"/>
        <v>0.99734238017052035</v>
      </c>
      <c r="AG364" s="811">
        <f t="shared" si="149"/>
        <v>1</v>
      </c>
      <c r="AH364" s="176">
        <f t="shared" si="144"/>
        <v>7</v>
      </c>
      <c r="AI364" s="225">
        <f t="shared" si="145"/>
        <v>1.9973423801705203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'2024'!Wh/'2024'!Env_an*'2025'!Env_an</f>
        <v>3.4300416664738265</v>
      </c>
      <c r="C365" s="841"/>
      <c r="D365" s="393">
        <f t="shared" si="127"/>
        <v>3.642911495294503</v>
      </c>
      <c r="E365" s="385">
        <f t="shared" si="150"/>
        <v>3.8312427620160165</v>
      </c>
      <c r="F365" s="385">
        <f t="shared" si="128"/>
        <v>3.8312427620160165</v>
      </c>
      <c r="G365" s="110">
        <f t="shared" si="151"/>
        <v>0.15576380179940344</v>
      </c>
      <c r="H365" s="414" t="b">
        <f>Wh_hp&gt;='2024'!Maxi_hp</f>
        <v>0</v>
      </c>
      <c r="I365" s="390">
        <f>IF(H365,Wh_hp,'2024'!Maxi_hp)</f>
        <v>25.601732712427946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5.8433983119171917E-2</v>
      </c>
      <c r="M365" s="845"/>
      <c r="N365" s="845"/>
      <c r="O365" s="48">
        <f>IF(t&lt;Tnet,'2024'!Resal+('2024'!Salim-'2024'!Resal)*(1-EXP(('2024'!Tnet-t)/('2024'!Tau_j))),Resal+(Salim-Resal)*(1-EXP((Tnet-t)/(Tau_j))))*Salcycl</f>
        <v>4.9156704082727681E-2</v>
      </c>
      <c r="P365" s="169">
        <f>(INDEX(Models!$BJ365:$BT365,,T365)*(1-R365)+INDEX(Models!$BJ365:$BT365,,T365+1)*R365-ERP_i)*Q365*Ramure*Pc/MaxiM</f>
        <v>6.4643579326499978E-5</v>
      </c>
      <c r="Q365" s="305">
        <f t="shared" si="130"/>
        <v>0.5</v>
      </c>
      <c r="R365" s="177">
        <f t="shared" si="131"/>
        <v>0.47236334566035398</v>
      </c>
      <c r="S365" s="811">
        <f t="shared" si="132"/>
        <v>-2</v>
      </c>
      <c r="T365" s="176">
        <f t="shared" si="133"/>
        <v>4</v>
      </c>
      <c r="U365" s="251">
        <f t="shared" si="134"/>
        <v>-1.527636654339646</v>
      </c>
      <c r="V365" s="383">
        <f t="shared" si="135"/>
        <v>22.019364555060591</v>
      </c>
      <c r="W365" s="402">
        <f t="shared" si="136"/>
        <v>3.4300416664738265</v>
      </c>
      <c r="X365" s="157">
        <f t="shared" si="137"/>
        <v>46008</v>
      </c>
      <c r="Y365" s="385">
        <f t="shared" si="138"/>
        <v>3.2888813159666905</v>
      </c>
      <c r="Z365" s="385">
        <f t="shared" si="139"/>
        <v>3.4929906740495253</v>
      </c>
      <c r="AA365" s="386">
        <f t="shared" si="140"/>
        <v>3.8312427620160165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8.8287824337318049E-2</v>
      </c>
      <c r="AD365" s="231">
        <f>(INDEX(Models!$BJ365:$BT365,,AH365)*(1-AF365)+INDEX(Models!$BJ365:$BT365,,AH365+1)*AF365-ERP_i)*AE365*Ramure*Pc/MaxiM</f>
        <v>9.8712478398985961E-4</v>
      </c>
      <c r="AE365" s="305">
        <f t="shared" si="142"/>
        <v>0.5</v>
      </c>
      <c r="AF365" s="177">
        <f t="shared" si="143"/>
        <v>0.9973509120343329</v>
      </c>
      <c r="AG365" s="811">
        <f t="shared" si="149"/>
        <v>1</v>
      </c>
      <c r="AH365" s="176">
        <f t="shared" si="144"/>
        <v>7</v>
      </c>
      <c r="AI365" s="225">
        <f t="shared" si="145"/>
        <v>1.9973509120343329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'2024'!Wh/'2024'!Env_an*'2025'!Env_an</f>
        <v>20.597047149263584</v>
      </c>
      <c r="C366" s="841"/>
      <c r="D366" s="393">
        <f t="shared" si="127"/>
        <v>21.875787696302492</v>
      </c>
      <c r="E366" s="385">
        <f t="shared" si="150"/>
        <v>23.007924944536384</v>
      </c>
      <c r="F366" s="385">
        <f t="shared" si="128"/>
        <v>23.009274839041456</v>
      </c>
      <c r="G366" s="110">
        <f t="shared" si="151"/>
        <v>0.93611916166993381</v>
      </c>
      <c r="H366" s="414" t="b">
        <f>Wh_hp&gt;='2024'!Maxi_hp</f>
        <v>0</v>
      </c>
      <c r="I366" s="390">
        <f>IF(H366,Wh_hp,'2024'!Maxi_hp)</f>
        <v>25.724211482819697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5.8454605831407047E-2</v>
      </c>
      <c r="M366" s="845"/>
      <c r="N366" s="845"/>
      <c r="O366" s="48">
        <f>IF(t&lt;Tnet,'2024'!Resal+('2024'!Salim-'2024'!Resal)*(1-EXP(('2024'!Tnet-t)/('2024'!Tau_j))),Resal+(Salim-Resal)*(1-EXP((Tnet-t)/(Tau_j))))*Salcycl</f>
        <v>4.9206403922259702E-2</v>
      </c>
      <c r="P366" s="169">
        <f>(INDEX(Models!$BJ366:$BT366,,T366)*(1-R366)+INDEX(Models!$BJ366:$BT366,,T366+1)*R366-ERP_i)*Q366*Ramure*Pc/MaxiM</f>
        <v>6.4558390532669287E-5</v>
      </c>
      <c r="Q366" s="305">
        <f t="shared" si="130"/>
        <v>0.5</v>
      </c>
      <c r="R366" s="177">
        <f t="shared" si="131"/>
        <v>0.47237153428002321</v>
      </c>
      <c r="S366" s="811">
        <f t="shared" si="132"/>
        <v>-2</v>
      </c>
      <c r="T366" s="176">
        <f t="shared" si="133"/>
        <v>4</v>
      </c>
      <c r="U366" s="251">
        <f t="shared" si="134"/>
        <v>-1.5276284657199768</v>
      </c>
      <c r="V366" s="383">
        <f t="shared" si="135"/>
        <v>22.002461490637938</v>
      </c>
      <c r="W366" s="402">
        <f t="shared" si="136"/>
        <v>20.597047149263584</v>
      </c>
      <c r="X366" s="157">
        <f t="shared" si="137"/>
        <v>46009</v>
      </c>
      <c r="Y366" s="385">
        <f t="shared" si="138"/>
        <v>19.733670892038127</v>
      </c>
      <c r="Z366" s="385">
        <f t="shared" si="139"/>
        <v>20.958809861168117</v>
      </c>
      <c r="AA366" s="386">
        <f t="shared" si="140"/>
        <v>22.988638353487726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8.8297030085370626E-2</v>
      </c>
      <c r="AD366" s="231">
        <f>(INDEX(Models!$BJ366:$BT366,,AH366)*(1-AF366)+INDEX(Models!$BJ366:$BT366,,AH366+1)*AF366-ERP_i)*AE366*Ramure*Pc/MaxiM</f>
        <v>9.8693511870256425E-4</v>
      </c>
      <c r="AE366" s="305">
        <f t="shared" si="142"/>
        <v>0.5</v>
      </c>
      <c r="AF366" s="177">
        <f t="shared" si="143"/>
        <v>0.99735910065400213</v>
      </c>
      <c r="AG366" s="811">
        <f t="shared" si="149"/>
        <v>1</v>
      </c>
      <c r="AH366" s="176">
        <f t="shared" si="144"/>
        <v>7</v>
      </c>
      <c r="AI366" s="225">
        <f t="shared" si="145"/>
        <v>1.9973591006540021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'2024'!Wh/'2024'!Env_an*'2025'!Env_an</f>
        <v>16.668298375649606</v>
      </c>
      <c r="C367" s="841"/>
      <c r="D367" s="393">
        <f t="shared" si="127"/>
        <v>17.70351548145722</v>
      </c>
      <c r="E367" s="385">
        <f t="shared" si="150"/>
        <v>18.620706173140945</v>
      </c>
      <c r="F367" s="385">
        <f t="shared" si="128"/>
        <v>18.621491125822512</v>
      </c>
      <c r="G367" s="110">
        <f t="shared" si="151"/>
        <v>0.75774863392499059</v>
      </c>
      <c r="H367" s="414" t="b">
        <f>Wh_hp&gt;='2024'!Maxi_hp</f>
        <v>0</v>
      </c>
      <c r="I367" s="390">
        <f>IF(H367,Wh_hp,'2024'!Maxi_hp)</f>
        <v>25.408167099175618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5.8475228091951936E-2</v>
      </c>
      <c r="M367" s="845"/>
      <c r="N367" s="845"/>
      <c r="O367" s="48">
        <f>IF(t&lt;Tnet,'2024'!Resal+('2024'!Salim-'2024'!Resal)*(1-EXP(('2024'!Tnet-t)/('2024'!Tau_j))),Resal+(Salim-Resal)*(1-EXP((Tnet-t)/(Tau_j))))*Salcycl</f>
        <v>4.9256493451720305E-2</v>
      </c>
      <c r="P367" s="169">
        <f>(INDEX(Models!$BJ367:$BT367,,T367)*(1-R367)+INDEX(Models!$BJ367:$BT367,,T367+1)*R367-ERP_i)*Q367*Ramure*Pc/MaxiM</f>
        <v>6.4459060173641542E-5</v>
      </c>
      <c r="Q367" s="305">
        <f t="shared" si="130"/>
        <v>0.5</v>
      </c>
      <c r="R367" s="177">
        <f t="shared" si="131"/>
        <v>0.47237939345398949</v>
      </c>
      <c r="S367" s="811">
        <f t="shared" si="132"/>
        <v>-2</v>
      </c>
      <c r="T367" s="176">
        <f t="shared" si="133"/>
        <v>4</v>
      </c>
      <c r="U367" s="251">
        <f t="shared" si="134"/>
        <v>-1.5276206065460105</v>
      </c>
      <c r="V367" s="383">
        <f t="shared" si="135"/>
        <v>21.996643491705068</v>
      </c>
      <c r="W367" s="402">
        <f t="shared" si="136"/>
        <v>16.668298375649606</v>
      </c>
      <c r="X367" s="157">
        <f t="shared" si="137"/>
        <v>46010</v>
      </c>
      <c r="Y367" s="385">
        <f t="shared" si="138"/>
        <v>15.974034620969141</v>
      </c>
      <c r="Z367" s="385">
        <f t="shared" si="139"/>
        <v>16.966133125310069</v>
      </c>
      <c r="AA367" s="386">
        <f t="shared" si="140"/>
        <v>18.609481070518008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8.830702688488215E-2</v>
      </c>
      <c r="AD367" s="231">
        <f>(INDEX(Models!$BJ367:$BT367,,AH367)*(1-AF367)+INDEX(Models!$BJ367:$BT367,,AH367+1)*AF367-ERP_i)*AE367*Ramure*Pc/MaxiM</f>
        <v>9.8624655439664673E-4</v>
      </c>
      <c r="AE367" s="305">
        <f t="shared" si="142"/>
        <v>0.5</v>
      </c>
      <c r="AF367" s="177">
        <f t="shared" si="143"/>
        <v>0.99736695982796841</v>
      </c>
      <c r="AG367" s="811">
        <f t="shared" si="149"/>
        <v>1</v>
      </c>
      <c r="AH367" s="176">
        <f t="shared" si="144"/>
        <v>7</v>
      </c>
      <c r="AI367" s="225">
        <f t="shared" si="145"/>
        <v>1.9973669598279684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'2024'!Wh/'2024'!Env_an*'2025'!Env_an</f>
        <v>4.3817954517668474</v>
      </c>
      <c r="C368" s="841"/>
      <c r="D368" s="393">
        <f t="shared" si="127"/>
        <v>4.6540373202871628</v>
      </c>
      <c r="E368" s="385">
        <f t="shared" si="150"/>
        <v>4.895415286458225</v>
      </c>
      <c r="F368" s="385">
        <f t="shared" si="128"/>
        <v>4.895415286458225</v>
      </c>
      <c r="G368" s="110">
        <f t="shared" si="151"/>
        <v>0.19914031748413685</v>
      </c>
      <c r="H368" s="414" t="b">
        <f>Wh_hp&gt;='2024'!Maxi_hp</f>
        <v>0</v>
      </c>
      <c r="I368" s="390">
        <f>IF(H368,Wh_hp,'2024'!Maxi_hp)</f>
        <v>22.549218247197125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5.8495849900816355E-2</v>
      </c>
      <c r="M368" s="845"/>
      <c r="N368" s="845"/>
      <c r="O368" s="48">
        <f>IF(t&lt;Tnet,'2024'!Resal+('2024'!Salim-'2024'!Resal)*(1-EXP(('2024'!Tnet-t)/('2024'!Tau_j))),Resal+(Salim-Resal)*(1-EXP((Tnet-t)/(Tau_j))))*Salcycl</f>
        <v>4.9306943751792752E-2</v>
      </c>
      <c r="P368" s="169">
        <f>(INDEX(Models!$BJ368:$BT368,,T368)*(1-R368)+INDEX(Models!$BJ368:$BT368,,T368+1)*R368-ERP_i)*Q368*Ramure*Pc/MaxiM</f>
        <v>6.4344612051008433E-5</v>
      </c>
      <c r="Q368" s="305">
        <f t="shared" si="130"/>
        <v>0.5</v>
      </c>
      <c r="R368" s="177">
        <f t="shared" si="131"/>
        <v>0.47238693642682783</v>
      </c>
      <c r="S368" s="811">
        <f t="shared" si="132"/>
        <v>-2</v>
      </c>
      <c r="T368" s="176">
        <f t="shared" si="133"/>
        <v>4</v>
      </c>
      <c r="U368" s="251">
        <f t="shared" si="134"/>
        <v>-1.5276130635731722</v>
      </c>
      <c r="V368" s="383">
        <f t="shared" si="135"/>
        <v>22.002141817351674</v>
      </c>
      <c r="W368" s="402">
        <f t="shared" si="136"/>
        <v>4.3817954517668474</v>
      </c>
      <c r="X368" s="157">
        <f t="shared" si="137"/>
        <v>46011</v>
      </c>
      <c r="Y368" s="385">
        <f t="shared" si="138"/>
        <v>4.2019924976078125</v>
      </c>
      <c r="Z368" s="385">
        <f t="shared" si="139"/>
        <v>4.4630631709537862</v>
      </c>
      <c r="AA368" s="386">
        <f t="shared" si="140"/>
        <v>4.895415286458225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8.8317760640331727E-2</v>
      </c>
      <c r="AD368" s="231">
        <f>(INDEX(Models!$BJ368:$BT368,,AH368)*(1-AF368)+INDEX(Models!$BJ368:$BT368,,AH368+1)*AF368-ERP_i)*AE368*Ramure*Pc/MaxiM</f>
        <v>9.8504416293102698E-4</v>
      </c>
      <c r="AE368" s="305">
        <f t="shared" si="142"/>
        <v>0.5</v>
      </c>
      <c r="AF368" s="177">
        <f t="shared" si="143"/>
        <v>0.99737450280080675</v>
      </c>
      <c r="AG368" s="811">
        <f t="shared" si="149"/>
        <v>1</v>
      </c>
      <c r="AH368" s="176">
        <f t="shared" si="144"/>
        <v>7</v>
      </c>
      <c r="AI368" s="225">
        <f t="shared" si="145"/>
        <v>1.9973745028008068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'2024'!Wh/'2024'!Env_an*'2025'!Env_an</f>
        <v>19.762242034214136</v>
      </c>
      <c r="C369" s="841"/>
      <c r="D369" s="393">
        <f t="shared" si="127"/>
        <v>20.990534014567881</v>
      </c>
      <c r="E369" s="385">
        <f t="shared" si="150"/>
        <v>22.080370920040593</v>
      </c>
      <c r="F369" s="385">
        <f t="shared" si="128"/>
        <v>22.081581243363594</v>
      </c>
      <c r="G369" s="110">
        <f t="shared" si="151"/>
        <v>0.89749252042965044</v>
      </c>
      <c r="H369" s="414" t="b">
        <f>Wh_hp&gt;='2024'!Maxi_hp</f>
        <v>1</v>
      </c>
      <c r="I369" s="390">
        <f>IF(H369,Wh_hp,'2024'!Maxi_hp)</f>
        <v>22.081581243363594</v>
      </c>
      <c r="J369" s="85">
        <f>IF(H369,An,'2024'!An_max)</f>
        <v>2025</v>
      </c>
      <c r="K369" s="197">
        <f t="shared" si="129"/>
        <v>46012</v>
      </c>
      <c r="L369" s="147">
        <f>IF(t&lt;Tvie,1-EXP((T0-t)*PertePVj)+'2024'!Pspv,1-EXP((T0-t)*PertePVj)+Pspv)</f>
        <v>5.8516471258010183E-2</v>
      </c>
      <c r="M369" s="845"/>
      <c r="N369" s="845"/>
      <c r="O369" s="48">
        <f>IF(t&lt;Tnet,'2024'!Resal+('2024'!Salim-'2024'!Resal)*(1-EXP(('2024'!Tnet-t)/('2024'!Tau_j))),Resal+(Salim-Resal)*(1-EXP((Tnet-t)/(Tau_j))))*Salcycl</f>
        <v>4.9357726345237982E-2</v>
      </c>
      <c r="P369" s="169">
        <f>(INDEX(Models!$BJ369:$BT369,,T369)*(1-R369)+INDEX(Models!$BJ369:$BT369,,T369+1)*R369-ERP_i)*Q369*Ramure*Pc/MaxiM</f>
        <v>6.4214139231880547E-5</v>
      </c>
      <c r="Q369" s="305">
        <f t="shared" si="130"/>
        <v>0.5</v>
      </c>
      <c r="R369" s="177">
        <f t="shared" si="131"/>
        <v>0.47239417591141475</v>
      </c>
      <c r="S369" s="811">
        <f t="shared" si="132"/>
        <v>-2</v>
      </c>
      <c r="T369" s="176">
        <f t="shared" si="133"/>
        <v>4</v>
      </c>
      <c r="U369" s="251">
        <f t="shared" si="134"/>
        <v>-1.5276058240885853</v>
      </c>
      <c r="V369" s="383">
        <f t="shared" si="135"/>
        <v>22.01918763200565</v>
      </c>
      <c r="W369" s="402">
        <f t="shared" si="136"/>
        <v>19.762242034214136</v>
      </c>
      <c r="X369" s="157">
        <f t="shared" si="137"/>
        <v>46012</v>
      </c>
      <c r="Y369" s="385">
        <f t="shared" si="138"/>
        <v>18.9372224900942</v>
      </c>
      <c r="Z369" s="385">
        <f t="shared" si="139"/>
        <v>20.114236640335189</v>
      </c>
      <c r="AA369" s="386">
        <f t="shared" si="140"/>
        <v>22.063047495240607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8.8329178248191198E-2</v>
      </c>
      <c r="AD369" s="231">
        <f>(INDEX(Models!$BJ369:$BT369,,AH369)*(1-AF369)+INDEX(Models!$BJ369:$BT369,,AH369+1)*AF369-ERP_i)*AE369*Ramure*Pc/MaxiM</f>
        <v>9.8331467289881056E-4</v>
      </c>
      <c r="AE369" s="305">
        <f t="shared" si="142"/>
        <v>0.5</v>
      </c>
      <c r="AF369" s="177">
        <f t="shared" si="143"/>
        <v>0.99738174228539367</v>
      </c>
      <c r="AG369" s="811">
        <f t="shared" si="149"/>
        <v>1</v>
      </c>
      <c r="AH369" s="176">
        <f t="shared" si="144"/>
        <v>7</v>
      </c>
      <c r="AI369" s="225">
        <f t="shared" si="145"/>
        <v>1.9973817422853937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'2024'!Wh/'2024'!Env_an*'2025'!Env_an</f>
        <v>16.332210851383174</v>
      </c>
      <c r="C370" s="841"/>
      <c r="D370" s="393">
        <f t="shared" si="127"/>
        <v>17.347694439620213</v>
      </c>
      <c r="E370" s="385">
        <f t="shared" si="150"/>
        <v>18.249374371822892</v>
      </c>
      <c r="F370" s="385">
        <f t="shared" si="128"/>
        <v>18.250110577939591</v>
      </c>
      <c r="G370" s="110">
        <f t="shared" si="151"/>
        <v>0.74073904383121558</v>
      </c>
      <c r="H370" s="414" t="b">
        <f>Wh_hp&gt;='2024'!Maxi_hp</f>
        <v>0</v>
      </c>
      <c r="I370" s="390">
        <f>IF(H370,Wh_hp,'2024'!Maxi_hp)</f>
        <v>25.041754314682116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5.8537092163543414E-2</v>
      </c>
      <c r="M370" s="845"/>
      <c r="N370" s="845"/>
      <c r="O370" s="48">
        <f>IF(t&lt;Tnet,'2024'!Resal+('2024'!Salim-'2024'!Resal)*(1-EXP(('2024'!Tnet-t)/('2024'!Tau_j))),Resal+(Salim-Resal)*(1-EXP((Tnet-t)/(Tau_j))))*Salcycl</f>
        <v>4.940881335608286E-2</v>
      </c>
      <c r="P370" s="169">
        <f>(INDEX(Models!$BJ370:$BT370,,T370)*(1-R370)+INDEX(Models!$BJ370:$BT370,,T370+1)*R370-ERP_i)*Q370*Ramure*Pc/MaxiM</f>
        <v>6.406681244418519E-5</v>
      </c>
      <c r="Q370" s="305">
        <f t="shared" si="130"/>
        <v>0.5</v>
      </c>
      <c r="R370" s="177">
        <f t="shared" si="131"/>
        <v>0.47240112411021196</v>
      </c>
      <c r="S370" s="811">
        <f t="shared" si="132"/>
        <v>-2</v>
      </c>
      <c r="T370" s="176">
        <f t="shared" si="133"/>
        <v>4</v>
      </c>
      <c r="U370" s="251">
        <f t="shared" si="134"/>
        <v>-1.527598875889788</v>
      </c>
      <c r="V370" s="383">
        <f t="shared" si="135"/>
        <v>22.04801199216304</v>
      </c>
      <c r="W370" s="402">
        <f t="shared" si="136"/>
        <v>16.332210851383174</v>
      </c>
      <c r="X370" s="157">
        <f t="shared" si="137"/>
        <v>46013</v>
      </c>
      <c r="Y370" s="385">
        <f t="shared" si="138"/>
        <v>15.654264769326304</v>
      </c>
      <c r="Z370" s="385">
        <f t="shared" si="139"/>
        <v>16.627595881924684</v>
      </c>
      <c r="AA370" s="386">
        <f t="shared" si="140"/>
        <v>18.238837150870562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8.834122787641488E-2</v>
      </c>
      <c r="AD370" s="231">
        <f>(INDEX(Models!$BJ370:$BT370,,AH370)*(1-AF370)+INDEX(Models!$BJ370:$BT370,,AH370+1)*AF370-ERP_i)*AE370*Ramure*Pc/MaxiM</f>
        <v>9.8104664068015602E-4</v>
      </c>
      <c r="AE370" s="305">
        <f t="shared" si="142"/>
        <v>0.5</v>
      </c>
      <c r="AF370" s="177">
        <f t="shared" si="143"/>
        <v>0.99738869048419088</v>
      </c>
      <c r="AG370" s="811">
        <f t="shared" si="149"/>
        <v>1</v>
      </c>
      <c r="AH370" s="176">
        <f t="shared" si="144"/>
        <v>7</v>
      </c>
      <c r="AI370" s="225">
        <f t="shared" si="145"/>
        <v>1.9973886904841909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'2024'!Wh/'2024'!Env_an*'2025'!Env_an</f>
        <v>16.866368503912707</v>
      </c>
      <c r="C371" s="841"/>
      <c r="D371" s="393">
        <f t="shared" si="127"/>
        <v>17.915456666818194</v>
      </c>
      <c r="E371" s="385">
        <f t="shared" si="150"/>
        <v>18.847665553539017</v>
      </c>
      <c r="F371" s="385">
        <f t="shared" si="128"/>
        <v>18.848463181961819</v>
      </c>
      <c r="G371" s="110">
        <f t="shared" si="151"/>
        <v>0.7635529973486449</v>
      </c>
      <c r="H371" s="414" t="b">
        <f>Wh_hp&gt;='2024'!Maxi_hp</f>
        <v>0</v>
      </c>
      <c r="I371" s="390">
        <f>IF(H371,Wh_hp,'2024'!Maxi_hp)</f>
        <v>19.829576058520093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5.8557712617425928E-2</v>
      </c>
      <c r="M371" s="845"/>
      <c r="N371" s="845"/>
      <c r="O371" s="48">
        <f>IF(t&lt;Tnet,'2024'!Resal+('2024'!Salim-'2024'!Resal)*(1-EXP(('2024'!Tnet-t)/('2024'!Tau_j))),Resal+(Salim-Resal)*(1-EXP((Tnet-t)/(Tau_j))))*Salcycl</f>
        <v>4.9460177658223609E-2</v>
      </c>
      <c r="P371" s="169">
        <f>(INDEX(Models!$BJ371:$BT371,,T371)*(1-R371)+INDEX(Models!$BJ371:$BT371,,T371+1)*R371-ERP_i)*Q371*Ramure*Pc/MaxiM</f>
        <v>6.3901033428806202E-5</v>
      </c>
      <c r="Q371" s="305">
        <f t="shared" si="130"/>
        <v>0.5</v>
      </c>
      <c r="R371" s="177">
        <f t="shared" si="131"/>
        <v>0.47240112411021196</v>
      </c>
      <c r="S371" s="811">
        <f t="shared" si="132"/>
        <v>-2</v>
      </c>
      <c r="T371" s="176">
        <f t="shared" si="133"/>
        <v>4</v>
      </c>
      <c r="U371" s="251">
        <f t="shared" si="134"/>
        <v>-1.527598875889788</v>
      </c>
      <c r="V371" s="383">
        <f t="shared" si="135"/>
        <v>22.088845854739208</v>
      </c>
      <c r="W371" s="402">
        <f t="shared" si="136"/>
        <v>16.866368503912707</v>
      </c>
      <c r="X371" s="157">
        <f t="shared" si="137"/>
        <v>46014</v>
      </c>
      <c r="Y371" s="385">
        <f t="shared" si="138"/>
        <v>16.166444199071979</v>
      </c>
      <c r="Z371" s="385">
        <f t="shared" si="139"/>
        <v>17.171997068475019</v>
      </c>
      <c r="AA371" s="386">
        <f t="shared" si="140"/>
        <v>18.83625268665034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8.8353859223539583E-2</v>
      </c>
      <c r="AD371" s="231">
        <f>(INDEX(Models!$BJ371:$BT371,,AH371)*(1-AF371)+INDEX(Models!$BJ371:$BT371,,AH371+1)*AF371-ERP_i)*AE371*Ramure*Pc/MaxiM</f>
        <v>9.7822901839295399E-4</v>
      </c>
      <c r="AE371" s="305">
        <f t="shared" si="142"/>
        <v>0.5</v>
      </c>
      <c r="AF371" s="177">
        <f t="shared" si="143"/>
        <v>0.99738869048419088</v>
      </c>
      <c r="AG371" s="811">
        <f t="shared" si="149"/>
        <v>1</v>
      </c>
      <c r="AH371" s="176">
        <f t="shared" si="144"/>
        <v>7</v>
      </c>
      <c r="AI371" s="225">
        <f t="shared" si="145"/>
        <v>1.9973886904841909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'2024'!Wh/'2024'!Env_an*'2025'!Env_an</f>
        <v>20.269317806945391</v>
      </c>
      <c r="C372" s="841"/>
      <c r="D372" s="393">
        <f t="shared" si="127"/>
        <v>21.530540999070322</v>
      </c>
      <c r="E372" s="385">
        <f t="shared" si="150"/>
        <v>22.652086412844426</v>
      </c>
      <c r="F372" s="385">
        <f t="shared" si="128"/>
        <v>22.653355426259242</v>
      </c>
      <c r="G372" s="110">
        <f t="shared" si="151"/>
        <v>0.91542024001396005</v>
      </c>
      <c r="H372" s="414" t="b">
        <f>Wh_hp&gt;='2024'!Maxi_hp</f>
        <v>1</v>
      </c>
      <c r="I372" s="390">
        <f>IF(H372,Wh_hp,'2024'!Maxi_hp)</f>
        <v>22.653355426259242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5.8578332619667495E-2</v>
      </c>
      <c r="M372" s="845"/>
      <c r="N372" s="845"/>
      <c r="O372" s="48">
        <f>IF(t&lt;Tnet,'2024'!Resal+('2024'!Salim-'2024'!Resal)*(1-EXP(('2024'!Tnet-t)/('2024'!Tau_j))),Resal+(Salim-Resal)*(1-EXP((Tnet-t)/(Tau_j))))*Salcycl</f>
        <v>4.9511793012503844E-2</v>
      </c>
      <c r="P372" s="169">
        <f>(INDEX(Models!$BJ372:$BT372,,T372)*(1-R372)+INDEX(Models!$BJ372:$BT372,,T372+1)*R372-ERP_i)*Q372*Ramure*Pc/MaxiM</f>
        <v>6.3716948039416527E-5</v>
      </c>
      <c r="Q372" s="305">
        <f t="shared" si="130"/>
        <v>0.5</v>
      </c>
      <c r="R372" s="177">
        <f t="shared" si="131"/>
        <v>0.47240112411021196</v>
      </c>
      <c r="S372" s="811">
        <f t="shared" si="132"/>
        <v>-2</v>
      </c>
      <c r="T372" s="176">
        <f t="shared" si="133"/>
        <v>4</v>
      </c>
      <c r="U372" s="251">
        <f t="shared" si="134"/>
        <v>-1.527598875889788</v>
      </c>
      <c r="V372" s="383">
        <f t="shared" si="135"/>
        <v>22.141920044670101</v>
      </c>
      <c r="W372" s="402">
        <f t="shared" si="136"/>
        <v>20.269317806945391</v>
      </c>
      <c r="X372" s="157">
        <f t="shared" si="137"/>
        <v>46015</v>
      </c>
      <c r="Y372" s="385">
        <f t="shared" si="138"/>
        <v>19.425149626425384</v>
      </c>
      <c r="Z372" s="385">
        <f t="shared" si="139"/>
        <v>20.633845915698117</v>
      </c>
      <c r="AA372" s="386">
        <f t="shared" si="140"/>
        <v>22.633939812826664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8.8367023755850621E-2</v>
      </c>
      <c r="AD372" s="231">
        <f>(INDEX(Models!$BJ372:$BT372,,AH372)*(1-AF372)+INDEX(Models!$BJ372:$BT372,,AH372+1)*AF372-ERP_i)*AE372*Ramure*Pc/MaxiM</f>
        <v>9.7485465306466012E-4</v>
      </c>
      <c r="AE372" s="305">
        <f t="shared" si="142"/>
        <v>0.5</v>
      </c>
      <c r="AF372" s="177">
        <f t="shared" si="143"/>
        <v>0.99738869048419088</v>
      </c>
      <c r="AG372" s="811">
        <f t="shared" si="149"/>
        <v>1</v>
      </c>
      <c r="AH372" s="176">
        <f t="shared" si="144"/>
        <v>7</v>
      </c>
      <c r="AI372" s="225">
        <f t="shared" si="145"/>
        <v>1.9973886904841909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'2024'!Wh/'2024'!Env_an*'2025'!Env_an</f>
        <v>12.060140934857744</v>
      </c>
      <c r="C373" s="841"/>
      <c r="D373" s="393">
        <f t="shared" si="127"/>
        <v>12.810842905540456</v>
      </c>
      <c r="E373" s="385">
        <f t="shared" si="150"/>
        <v>13.478906496430188</v>
      </c>
      <c r="F373" s="385">
        <f t="shared" si="128"/>
        <v>13.479203686736819</v>
      </c>
      <c r="G373" s="110">
        <f t="shared" si="151"/>
        <v>0.54299613961638971</v>
      </c>
      <c r="H373" s="414" t="b">
        <f>Wh_hp&gt;='2024'!Maxi_hp</f>
        <v>0</v>
      </c>
      <c r="I373" s="390">
        <f>IF(H373,Wh_hp,'2024'!Maxi_hp)</f>
        <v>16.332134440633631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5.8598952170278107E-2</v>
      </c>
      <c r="M373" s="845"/>
      <c r="N373" s="845"/>
      <c r="O373" s="48">
        <f>IF(t&lt;Tnet,'2024'!Resal+('2024'!Salim-'2024'!Resal)*(1-EXP(('2024'!Tnet-t)/('2024'!Tau_j))),Resal+(Salim-Resal)*(1-EXP((Tnet-t)/(Tau_j))))*Salcycl</f>
        <v>4.9563634191443176E-2</v>
      </c>
      <c r="P373" s="169">
        <f>(INDEX(Models!$BJ373:$BT373,,T373)*(1-R373)+INDEX(Models!$BJ373:$BT373,,T373+1)*R373-ERP_i)*Q373*Ramure*Pc/MaxiM</f>
        <v>6.3508058109306228E-5</v>
      </c>
      <c r="Q373" s="305">
        <f t="shared" si="130"/>
        <v>0.5</v>
      </c>
      <c r="R373" s="177">
        <f t="shared" si="131"/>
        <v>0.47240112411021196</v>
      </c>
      <c r="S373" s="811">
        <f t="shared" si="132"/>
        <v>-2</v>
      </c>
      <c r="T373" s="176">
        <f t="shared" si="133"/>
        <v>4</v>
      </c>
      <c r="U373" s="251">
        <f t="shared" si="134"/>
        <v>-1.527598875889788</v>
      </c>
      <c r="V373" s="383">
        <f t="shared" si="135"/>
        <v>22.209441339575637</v>
      </c>
      <c r="W373" s="402">
        <f t="shared" si="136"/>
        <v>12.060140934857744</v>
      </c>
      <c r="X373" s="157">
        <f t="shared" si="137"/>
        <v>46016</v>
      </c>
      <c r="Y373" s="385">
        <f t="shared" si="138"/>
        <v>11.563945506422764</v>
      </c>
      <c r="Z373" s="385">
        <f t="shared" si="139"/>
        <v>12.28376103158366</v>
      </c>
      <c r="AA373" s="386">
        <f t="shared" si="140"/>
        <v>13.47466063263089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8.8380674921288219E-2</v>
      </c>
      <c r="AD373" s="231">
        <f>(INDEX(Models!$BJ373:$BT373,,AH373)*(1-AF373)+INDEX(Models!$BJ373:$BT373,,AH373+1)*AF373-ERP_i)*AE373*Ramure*Pc/MaxiM</f>
        <v>9.7082757316397088E-4</v>
      </c>
      <c r="AE373" s="305">
        <f t="shared" si="142"/>
        <v>0.5</v>
      </c>
      <c r="AF373" s="177">
        <f t="shared" si="143"/>
        <v>0.99738869048419088</v>
      </c>
      <c r="AG373" s="811">
        <f t="shared" si="149"/>
        <v>1</v>
      </c>
      <c r="AH373" s="176">
        <f t="shared" si="144"/>
        <v>7</v>
      </c>
      <c r="AI373" s="225">
        <f t="shared" si="145"/>
        <v>1.9973886904841909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'2024'!Wh/'2024'!Env_an*'2025'!Env_an</f>
        <v>20.551271038550691</v>
      </c>
      <c r="C374" s="841"/>
      <c r="D374" s="393">
        <f t="shared" si="127"/>
        <v>21.83099458128747</v>
      </c>
      <c r="E374" s="385">
        <f t="shared" si="150"/>
        <v>22.9707014889132</v>
      </c>
      <c r="F374" s="385">
        <f t="shared" si="128"/>
        <v>22.971992741195407</v>
      </c>
      <c r="G374" s="110">
        <f t="shared" si="151"/>
        <v>0.92187571148518532</v>
      </c>
      <c r="H374" s="414" t="b">
        <f>Wh_hp&gt;='2024'!Maxi_hp</f>
        <v>0</v>
      </c>
      <c r="I374" s="390">
        <f>IF(H374,Wh_hp,'2024'!Maxi_hp)</f>
        <v>24.2954595694269</v>
      </c>
      <c r="J374" s="85">
        <f>IF(H374,An,'2024'!An_max)</f>
        <v>2018</v>
      </c>
      <c r="K374" s="197">
        <f t="shared" si="129"/>
        <v>46017</v>
      </c>
      <c r="L374" s="147">
        <f>IF(t&lt;Tvie,1-EXP((T0-t)*PertePVj)+'2024'!Pspv,1-EXP((T0-t)*PertePVj)+Pspv)</f>
        <v>5.8619571269267756E-2</v>
      </c>
      <c r="M374" s="845"/>
      <c r="N374" s="845"/>
      <c r="O374" s="48">
        <f>IF(t&lt;Tnet,'2024'!Resal+('2024'!Salim-'2024'!Resal)*(1-EXP(('2024'!Tnet-t)/('2024'!Tau_j))),Resal+(Salim-Resal)*(1-EXP((Tnet-t)/(Tau_j))))*Salcycl</f>
        <v>4.9615677090915571E-2</v>
      </c>
      <c r="P374" s="169">
        <f>(INDEX(Models!$BJ374:$BT374,,T374)*(1-R374)+INDEX(Models!$BJ374:$BT374,,T374+1)*R374-ERP_i)*Q374*Ramure*Pc/MaxiM</f>
        <v>6.327065504437418E-5</v>
      </c>
      <c r="Q374" s="305">
        <f t="shared" si="130"/>
        <v>0.5</v>
      </c>
      <c r="R374" s="177">
        <f t="shared" si="131"/>
        <v>0.47240112411021196</v>
      </c>
      <c r="S374" s="811">
        <f t="shared" si="132"/>
        <v>-2</v>
      </c>
      <c r="T374" s="176">
        <f t="shared" si="133"/>
        <v>4</v>
      </c>
      <c r="U374" s="251">
        <f t="shared" si="134"/>
        <v>-1.527598875889788</v>
      </c>
      <c r="V374" s="383">
        <f t="shared" si="135"/>
        <v>22.292729557633088</v>
      </c>
      <c r="W374" s="402">
        <f t="shared" si="136"/>
        <v>20.551271038550691</v>
      </c>
      <c r="X374" s="157">
        <f t="shared" si="137"/>
        <v>46017</v>
      </c>
      <c r="Y374" s="385">
        <f t="shared" si="138"/>
        <v>19.696893514919541</v>
      </c>
      <c r="Z374" s="385">
        <f t="shared" si="139"/>
        <v>20.92341513990997</v>
      </c>
      <c r="AA374" s="386">
        <f t="shared" si="140"/>
        <v>22.952276284972768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8.8394768338995955E-2</v>
      </c>
      <c r="AD374" s="231">
        <f>(INDEX(Models!$BJ374:$BT374,,AH374)*(1-AF374)+INDEX(Models!$BJ374:$BT374,,AH374+1)*AF374-ERP_i)*AE374*Ramure*Pc/MaxiM</f>
        <v>9.6609556285019152E-4</v>
      </c>
      <c r="AE374" s="305">
        <f t="shared" si="142"/>
        <v>0.5</v>
      </c>
      <c r="AF374" s="177">
        <f t="shared" si="143"/>
        <v>0.99738869048419088</v>
      </c>
      <c r="AG374" s="811">
        <f t="shared" si="149"/>
        <v>1</v>
      </c>
      <c r="AH374" s="176">
        <f t="shared" si="144"/>
        <v>7</v>
      </c>
      <c r="AI374" s="225">
        <f t="shared" si="145"/>
        <v>1.9973886904841909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'2024'!Wh/'2024'!Env_an*'2025'!Env_an</f>
        <v>7.4063658208212617</v>
      </c>
      <c r="C375" s="841"/>
      <c r="D375" s="393">
        <f t="shared" si="127"/>
        <v>7.8677310646663949</v>
      </c>
      <c r="E375" s="385">
        <f t="shared" si="150"/>
        <v>8.2789280241772119</v>
      </c>
      <c r="F375" s="385">
        <f t="shared" si="128"/>
        <v>8.2789509707740798</v>
      </c>
      <c r="G375" s="110">
        <f t="shared" si="151"/>
        <v>0.33075895650320331</v>
      </c>
      <c r="H375" s="414" t="b">
        <f>Wh_hp&gt;='2024'!Maxi_hp</f>
        <v>0</v>
      </c>
      <c r="I375" s="390">
        <f>IF(H375,Wh_hp,'2024'!Maxi_hp)</f>
        <v>24.678488393426758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5.8640189916646102E-2</v>
      </c>
      <c r="M375" s="845"/>
      <c r="N375" s="845"/>
      <c r="O375" s="48">
        <f>IF(t&lt;Tnet,'2024'!Resal+('2024'!Salim-'2024'!Resal)*(1-EXP(('2024'!Tnet-t)/('2024'!Tau_j))),Resal+(Salim-Resal)*(1-EXP((Tnet-t)/(Tau_j))))*Salcycl</f>
        <v>4.9667898828204098E-2</v>
      </c>
      <c r="P375" s="169">
        <f>(INDEX(Models!$BJ375:$BT375,,T375)*(1-R375)+INDEX(Models!$BJ375:$BT375,,T375+1)*R375-ERP_i)*Q375*Ramure*Pc/MaxiM</f>
        <v>6.3035913653930475E-5</v>
      </c>
      <c r="Q375" s="305">
        <f t="shared" si="130"/>
        <v>0.5</v>
      </c>
      <c r="R375" s="177">
        <f t="shared" si="131"/>
        <v>0.47240112411021196</v>
      </c>
      <c r="S375" s="811">
        <f t="shared" si="132"/>
        <v>-2</v>
      </c>
      <c r="T375" s="176">
        <f t="shared" si="133"/>
        <v>4</v>
      </c>
      <c r="U375" s="251">
        <f t="shared" si="134"/>
        <v>-1.527598875889788</v>
      </c>
      <c r="V375" s="383">
        <f t="shared" si="135"/>
        <v>22.390684620952182</v>
      </c>
      <c r="W375" s="402">
        <f t="shared" si="136"/>
        <v>7.4063658208212617</v>
      </c>
      <c r="X375" s="157">
        <f t="shared" si="137"/>
        <v>46018</v>
      </c>
      <c r="Y375" s="385">
        <f t="shared" si="138"/>
        <v>7.1041564744849159</v>
      </c>
      <c r="Z375" s="385">
        <f t="shared" si="139"/>
        <v>7.5466961712077651</v>
      </c>
      <c r="AA375" s="386">
        <f t="shared" si="140"/>
        <v>8.2786011927501857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8.8409261963648053E-2</v>
      </c>
      <c r="AD375" s="231">
        <f>(INDEX(Models!$BJ375:$BT375,,AH375)*(1-AF375)+INDEX(Models!$BJ375:$BT375,,AH375+1)*AF375-ERP_i)*AE375*Ramure*Pc/MaxiM</f>
        <v>9.608648044289762E-4</v>
      </c>
      <c r="AE375" s="305">
        <f t="shared" si="142"/>
        <v>0.5</v>
      </c>
      <c r="AF375" s="177">
        <f t="shared" si="143"/>
        <v>0.99738869048419088</v>
      </c>
      <c r="AG375" s="811">
        <f t="shared" si="149"/>
        <v>1</v>
      </c>
      <c r="AH375" s="176">
        <f t="shared" si="144"/>
        <v>7</v>
      </c>
      <c r="AI375" s="225">
        <f t="shared" si="145"/>
        <v>1.9973886904841909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'2024'!Wh/'2024'!Env_an*'2025'!Env_an</f>
        <v>19.740643455698201</v>
      </c>
      <c r="C376" s="841"/>
      <c r="D376" s="393">
        <f t="shared" si="127"/>
        <v>20.970807999733008</v>
      </c>
      <c r="E376" s="385">
        <f t="shared" si="150"/>
        <v>22.068036926808119</v>
      </c>
      <c r="F376" s="385">
        <f t="shared" si="128"/>
        <v>22.069179928956952</v>
      </c>
      <c r="G376" s="110">
        <f t="shared" si="151"/>
        <v>0.87726620200275673</v>
      </c>
      <c r="H376" s="414" t="b">
        <f>Wh_hp&gt;='2024'!Maxi_hp</f>
        <v>1</v>
      </c>
      <c r="I376" s="390">
        <f>IF(H376,Wh_hp,'2024'!Maxi_hp)</f>
        <v>22.069179928956952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5.8660808112423246E-2</v>
      </c>
      <c r="M376" s="845"/>
      <c r="N376" s="845"/>
      <c r="O376" s="48">
        <f>IF(t&lt;Tnet,'2024'!Resal+('2024'!Salim-'2024'!Resal)*(1-EXP(('2024'!Tnet-t)/('2024'!Tau_j))),Resal+(Salim-Resal)*(1-EXP((Tnet-t)/(Tau_j))))*Salcycl</f>
        <v>4.9720277825990165E-2</v>
      </c>
      <c r="P376" s="169">
        <f>(INDEX(Models!$BJ376:$BT376,,T376)*(1-R376)+INDEX(Models!$BJ376:$BT376,,T376+1)*R376-ERP_i)*Q376*Ramure*Pc/MaxiM</f>
        <v>6.2802291903698681E-5</v>
      </c>
      <c r="Q376" s="305">
        <f t="shared" si="130"/>
        <v>0.5</v>
      </c>
      <c r="R376" s="177">
        <f t="shared" si="131"/>
        <v>0.47240112411021196</v>
      </c>
      <c r="S376" s="811">
        <f t="shared" si="132"/>
        <v>-2</v>
      </c>
      <c r="T376" s="176">
        <f t="shared" si="133"/>
        <v>4</v>
      </c>
      <c r="U376" s="251">
        <f t="shared" si="134"/>
        <v>-1.527598875889788</v>
      </c>
      <c r="V376" s="383">
        <f t="shared" si="135"/>
        <v>22.502207476838258</v>
      </c>
      <c r="W376" s="402">
        <f t="shared" si="136"/>
        <v>19.740643455698201</v>
      </c>
      <c r="X376" s="157">
        <f t="shared" si="137"/>
        <v>46019</v>
      </c>
      <c r="Y376" s="385">
        <f t="shared" si="138"/>
        <v>18.922691052505115</v>
      </c>
      <c r="Z376" s="385">
        <f t="shared" si="139"/>
        <v>20.101883800844696</v>
      </c>
      <c r="AA376" s="386">
        <f t="shared" si="140"/>
        <v>22.051794215502468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8.8424116223929719E-2</v>
      </c>
      <c r="AD376" s="231">
        <f>(INDEX(Models!$BJ376:$BT376,,AH376)*(1-AF376)+INDEX(Models!$BJ376:$BT376,,AH376+1)*AF376-ERP_i)*AE376*Ramure*Pc/MaxiM</f>
        <v>9.5525861647430266E-4</v>
      </c>
      <c r="AE376" s="305">
        <f t="shared" si="142"/>
        <v>0.5</v>
      </c>
      <c r="AF376" s="177">
        <f t="shared" si="143"/>
        <v>0.99738869048419088</v>
      </c>
      <c r="AG376" s="811">
        <f t="shared" si="149"/>
        <v>1</v>
      </c>
      <c r="AH376" s="176">
        <f t="shared" si="144"/>
        <v>7</v>
      </c>
      <c r="AI376" s="225">
        <f t="shared" si="145"/>
        <v>1.9973886904841909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'2024'!Wh/'2024'!Env_an*'2025'!Env_an</f>
        <v>9.7040956781121004</v>
      </c>
      <c r="C377" s="841"/>
      <c r="D377" s="393">
        <f t="shared" si="127"/>
        <v>10.309045146530673</v>
      </c>
      <c r="E377" s="385">
        <f t="shared" si="150"/>
        <v>10.849031768566455</v>
      </c>
      <c r="F377" s="385">
        <f t="shared" si="128"/>
        <v>10.849156763944446</v>
      </c>
      <c r="G377" s="110">
        <f t="shared" si="151"/>
        <v>0.42886567695101119</v>
      </c>
      <c r="H377" s="414" t="b">
        <f>Wh_hp&gt;='2024'!Maxi_hp</f>
        <v>0</v>
      </c>
      <c r="I377" s="390">
        <f>IF(H377,Wh_hp,'2024'!Maxi_hp)</f>
        <v>24.70046719987749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5.8681425856608849E-2</v>
      </c>
      <c r="M377" s="845"/>
      <c r="N377" s="845"/>
      <c r="O377" s="48">
        <f>IF(t&lt;Tnet,'2024'!Resal+('2024'!Salim-'2024'!Resal)*(1-EXP(('2024'!Tnet-t)/('2024'!Tau_j))),Resal+(Salim-Resal)*(1-EXP((Tnet-t)/(Tau_j))))*Salcycl</f>
        <v>4.9772793881968057E-2</v>
      </c>
      <c r="P377" s="169">
        <f>(INDEX(Models!$BJ377:$BT377,,T377)*(1-R377)+INDEX(Models!$BJ377:$BT377,,T377+1)*R377-ERP_i)*Q377*Ramure*Pc/MaxiM</f>
        <v>6.2572710117030604E-5</v>
      </c>
      <c r="Q377" s="305">
        <f t="shared" si="130"/>
        <v>0.5</v>
      </c>
      <c r="R377" s="177">
        <f t="shared" si="131"/>
        <v>0.47240112411021196</v>
      </c>
      <c r="S377" s="811">
        <f t="shared" si="132"/>
        <v>-2</v>
      </c>
      <c r="T377" s="176">
        <f t="shared" si="133"/>
        <v>4</v>
      </c>
      <c r="U377" s="251">
        <f t="shared" si="134"/>
        <v>-1.527598875889788</v>
      </c>
      <c r="V377" s="383">
        <f t="shared" si="135"/>
        <v>22.626199262944141</v>
      </c>
      <c r="W377" s="402">
        <f t="shared" si="136"/>
        <v>9.7040956781121004</v>
      </c>
      <c r="X377" s="157">
        <f t="shared" si="137"/>
        <v>46020</v>
      </c>
      <c r="Y377" s="385">
        <f t="shared" si="138"/>
        <v>9.3076981249890434</v>
      </c>
      <c r="Z377" s="385">
        <f t="shared" si="139"/>
        <v>9.88793632746399</v>
      </c>
      <c r="AA377" s="386">
        <f t="shared" si="140"/>
        <v>10.847260378647833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8.8439294134785837E-2</v>
      </c>
      <c r="AD377" s="231">
        <f>(INDEX(Models!$BJ377:$BT377,,AH377)*(1-AF377)+INDEX(Models!$BJ377:$BT377,,AH377+1)*AF377-ERP_i)*AE377*Ramure*Pc/MaxiM</f>
        <v>9.4933084200103884E-4</v>
      </c>
      <c r="AE377" s="305">
        <f t="shared" si="142"/>
        <v>0.5</v>
      </c>
      <c r="AF377" s="177">
        <f t="shared" si="143"/>
        <v>0.99738869048419088</v>
      </c>
      <c r="AG377" s="811">
        <f t="shared" si="149"/>
        <v>1</v>
      </c>
      <c r="AH377" s="176">
        <f t="shared" si="144"/>
        <v>7</v>
      </c>
      <c r="AI377" s="225">
        <f t="shared" si="145"/>
        <v>1.9973886904841909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'2024'!Wh/'2024'!Env_an*'2025'!Env_an</f>
        <v>12.777475076439423</v>
      </c>
      <c r="C378" s="841"/>
      <c r="D378" s="393">
        <f t="shared" si="127"/>
        <v>13.574315107607196</v>
      </c>
      <c r="E378" s="385">
        <f t="shared" si="150"/>
        <v>14.286127529422055</v>
      </c>
      <c r="F378" s="385">
        <f t="shared" si="128"/>
        <v>14.2864601165873</v>
      </c>
      <c r="G378" s="110">
        <f t="shared" si="151"/>
        <v>0.56134004191484332</v>
      </c>
      <c r="H378" s="414" t="b">
        <f>Wh_hp&gt;='2024'!Maxi_hp</f>
        <v>0</v>
      </c>
      <c r="I378" s="390">
        <f>IF(H378,Wh_hp,'2024'!Maxi_hp)</f>
        <v>26.021620495154139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5.8702043149213123E-2</v>
      </c>
      <c r="M378" s="845"/>
      <c r="N378" s="845"/>
      <c r="O378" s="48">
        <f>IF(t&lt;Tnet,'2024'!Resal+('2024'!Salim-'2024'!Resal)*(1-EXP(('2024'!Tnet-t)/('2024'!Tau_j))),Resal+(Salim-Resal)*(1-EXP((Tnet-t)/(Tau_j))))*Salcycl</f>
        <v>4.9825428223911096E-2</v>
      </c>
      <c r="P378" s="169">
        <f>(INDEX(Models!$BJ378:$BT378,,T378)*(1-R378)+INDEX(Models!$BJ378:$BT378,,T378+1)*R378-ERP_i)*Q378*Ramure*Pc/MaxiM</f>
        <v>6.2350004521322862E-5</v>
      </c>
      <c r="Q378" s="305">
        <f t="shared" si="130"/>
        <v>0.5</v>
      </c>
      <c r="R378" s="177">
        <f t="shared" si="131"/>
        <v>0.47240112411021196</v>
      </c>
      <c r="S378" s="811">
        <f t="shared" si="132"/>
        <v>-2</v>
      </c>
      <c r="T378" s="176">
        <f t="shared" si="133"/>
        <v>4</v>
      </c>
      <c r="U378" s="251">
        <f t="shared" si="134"/>
        <v>-1.527598875889788</v>
      </c>
      <c r="V378" s="383">
        <f t="shared" si="135"/>
        <v>22.76156143033926</v>
      </c>
      <c r="W378" s="402">
        <f t="shared" si="136"/>
        <v>12.777475076439423</v>
      </c>
      <c r="X378" s="157">
        <f t="shared" si="137"/>
        <v>46021</v>
      </c>
      <c r="Y378" s="385">
        <f t="shared" si="138"/>
        <v>12.253975726250992</v>
      </c>
      <c r="Z378" s="385">
        <f t="shared" si="139"/>
        <v>13.018168834922346</v>
      </c>
      <c r="AA378" s="386">
        <f t="shared" si="140"/>
        <v>14.281429251583571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8.8454761383294417E-2</v>
      </c>
      <c r="AD378" s="231">
        <f>(INDEX(Models!$BJ378:$BT378,,AH378)*(1-AF378)+INDEX(Models!$BJ378:$BT378,,AH378+1)*AF378-ERP_i)*AE378*Ramure*Pc/MaxiM</f>
        <v>9.4313457796064439E-4</v>
      </c>
      <c r="AE378" s="305">
        <f t="shared" si="142"/>
        <v>0.5</v>
      </c>
      <c r="AF378" s="177">
        <f t="shared" si="143"/>
        <v>0.99738869048419088</v>
      </c>
      <c r="AG378" s="811">
        <f t="shared" si="149"/>
        <v>1</v>
      </c>
      <c r="AH378" s="176">
        <f t="shared" si="144"/>
        <v>7</v>
      </c>
      <c r="AI378" s="225">
        <f t="shared" si="145"/>
        <v>1.9973886904841909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'2024'!Wh/'2024'!Env_an*'2025'!Env_an</f>
        <v>11.857110792536652</v>
      </c>
      <c r="C379" s="841"/>
      <c r="D379" s="393">
        <f t="shared" si="127"/>
        <v>12.596830167412485</v>
      </c>
      <c r="E379" s="385">
        <f t="shared" si="150"/>
        <v>13.258120889506953</v>
      </c>
      <c r="F379" s="385">
        <f t="shared" si="128"/>
        <v>13.258377002184892</v>
      </c>
      <c r="G379" s="110">
        <f t="shared" si="151"/>
        <v>0.51759295222762103</v>
      </c>
      <c r="H379" s="414" t="b">
        <f>Wh_hp&gt;='2024'!Maxi_hp</f>
        <v>0</v>
      </c>
      <c r="I379" s="390">
        <f>IF(H379,Wh_hp,'2024'!Maxi_hp)</f>
        <v>25.489311551615195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5.8722659990245618E-2</v>
      </c>
      <c r="M379" s="845"/>
      <c r="N379" s="845"/>
      <c r="O379" s="48">
        <f>IF(t&lt;Tnet,'2024'!Resal+('2024'!Salim-'2024'!Resal)*(1-EXP(('2024'!Tnet-t)/('2024'!Tau_j))),Resal+(Salim-Resal)*(1-EXP((Tnet-t)/(Tau_j))))*Salcycl</f>
        <v>4.9878163550148555E-2</v>
      </c>
      <c r="P379" s="169">
        <f>(INDEX(Models!$BJ379:$BT379,,T379)*(1-R379)+INDEX(Models!$BJ379:$BT379,,T379+1)*R379-ERP_i)*Q379*Ramure*Pc/MaxiM</f>
        <v>6.2136915708607332E-5</v>
      </c>
      <c r="Q379" s="306">
        <f t="shared" si="130"/>
        <v>0.5</v>
      </c>
      <c r="R379" s="177">
        <f t="shared" si="131"/>
        <v>0.47240112411021196</v>
      </c>
      <c r="S379" s="811">
        <f t="shared" si="132"/>
        <v>-2</v>
      </c>
      <c r="T379" s="176">
        <f t="shared" si="133"/>
        <v>4</v>
      </c>
      <c r="U379" s="307">
        <f t="shared" si="134"/>
        <v>-1.527598875889788</v>
      </c>
      <c r="V379" s="383">
        <f t="shared" si="135"/>
        <v>22.907195725445181</v>
      </c>
      <c r="W379" s="402">
        <f t="shared" si="136"/>
        <v>11.857110792536652</v>
      </c>
      <c r="X379" s="157">
        <f t="shared" si="137"/>
        <v>46022</v>
      </c>
      <c r="Y379" s="385">
        <f t="shared" si="138"/>
        <v>11.372402304586387</v>
      </c>
      <c r="Z379" s="385">
        <f t="shared" si="139"/>
        <v>12.081882587833821</v>
      </c>
      <c r="AA379" s="386">
        <f t="shared" si="140"/>
        <v>13.254516071522382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8.8470486388257524E-2</v>
      </c>
      <c r="AD379" s="231">
        <f>(INDEX(Models!$BJ379:$BT379,,AH379)*(1-AF379)+INDEX(Models!$BJ379:$BT379,,AH379+1)*AF379-ERP_i)*AE379*Ramure*Pc/MaxiM</f>
        <v>9.3672177833533364E-4</v>
      </c>
      <c r="AE379" s="306">
        <f t="shared" si="142"/>
        <v>0.5</v>
      </c>
      <c r="AF379" s="177">
        <f t="shared" si="143"/>
        <v>0.99738869048419088</v>
      </c>
      <c r="AG379" s="811">
        <f t="shared" si="149"/>
        <v>1</v>
      </c>
      <c r="AH379" s="176">
        <f t="shared" si="144"/>
        <v>7</v>
      </c>
      <c r="AI379" s="222">
        <f t="shared" si="145"/>
        <v>1.9973886904841909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9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16.688760379988651</v>
      </c>
      <c r="J380" s="85">
        <f>IF(H380,An,'2024'!An_max)</f>
        <v>2024</v>
      </c>
      <c r="K380" s="234"/>
      <c r="L380" s="214"/>
      <c r="M380" s="850"/>
      <c r="N380" s="850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1.7471537348696724</v>
      </c>
      <c r="C381" s="375"/>
      <c r="D381" s="373">
        <f>MIN(D15:D380)</f>
        <v>1.8417753750985557</v>
      </c>
      <c r="E381" s="373">
        <f>MIN(E15:E380)</f>
        <v>1.8925351633067642</v>
      </c>
      <c r="F381" s="374">
        <f>MIN(F15:F380)</f>
        <v>1.8925351633067642</v>
      </c>
      <c r="G381" s="125">
        <f>+MIN(G15:G380)</f>
        <v>6.8463428829248774E-2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5.1188217318522411E-2</v>
      </c>
      <c r="M381" s="847"/>
      <c r="N381" s="847"/>
      <c r="O381" s="47">
        <f t="shared" si="152"/>
        <v>2.6142030543304832E-2</v>
      </c>
      <c r="P381" s="168">
        <f t="shared" si="152"/>
        <v>0</v>
      </c>
      <c r="Q381" s="310">
        <f t="shared" si="152"/>
        <v>0.5</v>
      </c>
      <c r="R381" s="311">
        <f t="shared" si="152"/>
        <v>5.6515871126228134E-4</v>
      </c>
      <c r="S381" s="811">
        <f t="shared" si="152"/>
        <v>-3</v>
      </c>
      <c r="T381" s="176">
        <f t="shared" si="152"/>
        <v>3</v>
      </c>
      <c r="U381" s="252">
        <f>MIN(U15:U380)</f>
        <v>-2.0026106892122759</v>
      </c>
      <c r="V381" s="57">
        <f>MIN(V15:V380)</f>
        <v>21.996643491705068</v>
      </c>
      <c r="W381" s="58"/>
      <c r="X381" s="112" t="s">
        <v>7</v>
      </c>
      <c r="Y381" s="373">
        <f>MIN(Y15:Y380)</f>
        <v>1.6513700639065614</v>
      </c>
      <c r="Z381" s="373">
        <f>MIN(Z15:Z380)</f>
        <v>1.7408042911031569</v>
      </c>
      <c r="AA381" s="373">
        <f>MIN(AA15:AA380)</f>
        <v>1.8925351633067642</v>
      </c>
      <c r="AB381" s="200" t="s">
        <v>7</v>
      </c>
      <c r="AC381" s="47">
        <f t="shared" ref="AC381:AH381" si="153">MIN(AC15:AC380)</f>
        <v>7.9950504380151804E-2</v>
      </c>
      <c r="AD381" s="168">
        <f t="shared" si="153"/>
        <v>8.7021491887001941E-6</v>
      </c>
      <c r="AE381" s="310">
        <f t="shared" si="153"/>
        <v>0.5</v>
      </c>
      <c r="AF381" s="311">
        <f t="shared" si="153"/>
        <v>0.4973899635203618</v>
      </c>
      <c r="AG381" s="811">
        <f t="shared" si="153"/>
        <v>1</v>
      </c>
      <c r="AH381" s="176">
        <f t="shared" si="153"/>
        <v>7</v>
      </c>
      <c r="AI381" s="226">
        <f>MIN(AI15:AI380)</f>
        <v>1.4973899635203618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29.598498408237898</v>
      </c>
      <c r="C382" s="375"/>
      <c r="D382" s="375">
        <f>AVERAGE(D15:D380)</f>
        <v>31.316088251888825</v>
      </c>
      <c r="E382" s="375">
        <f>AVERAGE(E15:E380)</f>
        <v>32.605662015766832</v>
      </c>
      <c r="F382" s="376">
        <f>AVERAGE(F15:F380)</f>
        <v>32.607219130995269</v>
      </c>
      <c r="G382" s="126">
        <f>AVERAGE(G15:G380)</f>
        <v>0.6722925583219973</v>
      </c>
      <c r="H382" s="94"/>
      <c r="I382" s="376">
        <f>AVERAGE(I15:I380)</f>
        <v>43.922101449565815</v>
      </c>
      <c r="J382" s="59">
        <f>AVERAGE(J15:J380)</f>
        <v>2020.5300546448088</v>
      </c>
      <c r="K382" s="200" t="s">
        <v>8</v>
      </c>
      <c r="L382" s="147">
        <f t="shared" ref="L382:V382" si="154">AVERAGE(L15:L380)</f>
        <v>5.4960430668607028E-2</v>
      </c>
      <c r="M382" s="845"/>
      <c r="N382" s="845"/>
      <c r="O382" s="48">
        <f t="shared" si="154"/>
        <v>3.9548074488668469E-2</v>
      </c>
      <c r="P382" s="169">
        <f t="shared" si="154"/>
        <v>1.1034074559712076E-4</v>
      </c>
      <c r="Q382" s="312">
        <f t="shared" si="154"/>
        <v>0.5</v>
      </c>
      <c r="R382" s="177">
        <f t="shared" si="154"/>
        <v>0.38851583909699017</v>
      </c>
      <c r="S382" s="811">
        <f t="shared" si="154"/>
        <v>-1.2767123287671234</v>
      </c>
      <c r="T382" s="176">
        <f t="shared" si="154"/>
        <v>4.7232876712328764</v>
      </c>
      <c r="U382" s="251">
        <f>AVERAGE(U15:U380)</f>
        <v>-0.88819648967013365</v>
      </c>
      <c r="V382" s="59">
        <f t="shared" si="154"/>
        <v>42.705546219271469</v>
      </c>
      <c r="X382" s="112" t="s">
        <v>8</v>
      </c>
      <c r="Y382" s="375">
        <f>AVERAGE(Y15:Y380)</f>
        <v>28.141571198131459</v>
      </c>
      <c r="Z382" s="375">
        <f>AVERAGE(Z15:Z380)</f>
        <v>29.774785959356898</v>
      </c>
      <c r="AA382" s="375">
        <f>AVERAGE(AA15:AA380)</f>
        <v>32.600225222221745</v>
      </c>
      <c r="AB382" s="200" t="s">
        <v>8</v>
      </c>
      <c r="AC382" s="48">
        <f t="shared" ref="AC382:AH382" si="155">AVERAGE(AC15:AC380)</f>
        <v>8.6269124662982824E-2</v>
      </c>
      <c r="AD382" s="169">
        <f t="shared" si="155"/>
        <v>3.9378486202432079E-4</v>
      </c>
      <c r="AE382" s="312">
        <f t="shared" si="155"/>
        <v>0.5</v>
      </c>
      <c r="AF382" s="177">
        <f t="shared" si="155"/>
        <v>0.77727356051950536</v>
      </c>
      <c r="AG382" s="811">
        <f t="shared" si="155"/>
        <v>1</v>
      </c>
      <c r="AH382" s="176">
        <f t="shared" si="155"/>
        <v>7</v>
      </c>
      <c r="AI382" s="225">
        <f>AVERAGE(AI15:AI380)</f>
        <v>1.7772735605195054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56.777500093054542</v>
      </c>
      <c r="C383" s="377"/>
      <c r="D383" s="377">
        <f>MAX(D15:D380)</f>
        <v>60.034930616538006</v>
      </c>
      <c r="E383" s="377">
        <f>MAX(E15:E380)</f>
        <v>62.395636222244207</v>
      </c>
      <c r="F383" s="378">
        <f>MAX(F15:F380)</f>
        <v>62.396103176132826</v>
      </c>
      <c r="G383" s="127">
        <f>+MAX(G15:G380)</f>
        <v>1.0441658803409344</v>
      </c>
      <c r="H383" s="94"/>
      <c r="I383" s="378">
        <f>MAX(I15:I380)</f>
        <v>66.115436428019962</v>
      </c>
      <c r="J383" s="60">
        <f>MAX(J15:J380)</f>
        <v>2025</v>
      </c>
      <c r="K383" s="200" t="s">
        <v>9</v>
      </c>
      <c r="L383" s="148">
        <f t="shared" ref="L383:T383" si="156">MAX(L15:L380)</f>
        <v>5.8722659990245618E-2</v>
      </c>
      <c r="M383" s="848"/>
      <c r="N383" s="848"/>
      <c r="O383" s="49">
        <f t="shared" si="156"/>
        <v>4.9878163550148555E-2</v>
      </c>
      <c r="P383" s="170">
        <f t="shared" si="156"/>
        <v>7.6962231496880795E-4</v>
      </c>
      <c r="Q383" s="313">
        <f t="shared" si="156"/>
        <v>0.5</v>
      </c>
      <c r="R383" s="314">
        <f t="shared" si="156"/>
        <v>0.99946757390644869</v>
      </c>
      <c r="S383" s="812">
        <f t="shared" si="156"/>
        <v>1</v>
      </c>
      <c r="T383" s="233">
        <f t="shared" si="156"/>
        <v>7</v>
      </c>
      <c r="U383" s="253">
        <f>MAX(U15:U380)</f>
        <v>1.5213937526780386</v>
      </c>
      <c r="V383" s="60">
        <f>MAX(V15:V380)</f>
        <v>58.01408340472441</v>
      </c>
      <c r="X383" s="112" t="s">
        <v>9</v>
      </c>
      <c r="Y383" s="377">
        <f>MAX(Y15:Y380)</f>
        <v>53.90489624442236</v>
      </c>
      <c r="Z383" s="377">
        <f>MAX(Z15:Z380)</f>
        <v>56.997520155373138</v>
      </c>
      <c r="AA383" s="377">
        <f>MAX(AA15:AA380)</f>
        <v>62.375896947630082</v>
      </c>
      <c r="AB383" s="200" t="s">
        <v>9</v>
      </c>
      <c r="AC383" s="49">
        <f t="shared" ref="AC383:AH383" si="157">MAX(AC15:AC380)</f>
        <v>9.0184635639005278E-2</v>
      </c>
      <c r="AD383" s="170">
        <f t="shared" si="157"/>
        <v>9.8712478398985961E-4</v>
      </c>
      <c r="AE383" s="313">
        <f t="shared" si="157"/>
        <v>0.5</v>
      </c>
      <c r="AF383" s="314">
        <f t="shared" si="157"/>
        <v>0.99738869048419088</v>
      </c>
      <c r="AG383" s="812">
        <f t="shared" si="157"/>
        <v>1</v>
      </c>
      <c r="AH383" s="233">
        <f t="shared" si="157"/>
        <v>7</v>
      </c>
      <c r="AI383" s="227">
        <f>MAX(AI15:AI380)</f>
        <v>1.9973886904841909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'2025'!An+1</f>
        <v>2026</v>
      </c>
      <c r="K1" s="1271"/>
      <c r="L1" s="113" t="str">
        <f>"Calcul pertes et enveloppes en "&amp;TEXT(An,0)</f>
        <v>Calcul pertes et enveloppes en 2026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2026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107.65932441623025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397.57701501811749</v>
      </c>
      <c r="AK4" s="834">
        <f>AM12-AK12</f>
        <v>2.6146527978014884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505.31533849794596</v>
      </c>
      <c r="AA5" s="237">
        <f>Wh_Pvg_s-Wh_Pvg</f>
        <v>2.6146527978014884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2807.612081233663</v>
      </c>
      <c r="AK5" s="516">
        <f>SUMIF(AK15:AK380,"VRAI",Wh)</f>
        <v>0</v>
      </c>
      <c r="AL5" s="516">
        <f>SUMIF(AJ15:AJ380,"VRAI",Wh_s)</f>
        <v>2699.3914071924705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8075.5208898731762</v>
      </c>
      <c r="AK6" s="516">
        <f>SUMIF(AK15:AK380,"FAUX",Wh)</f>
        <v>10883.132971106836</v>
      </c>
      <c r="AL6" s="516">
        <f>SUMIF(AJ15:AJ380,"FAUX",Wh_s)</f>
        <v>7675.650753885272</v>
      </c>
      <c r="AM6" s="516">
        <f>SUMIF(AK15:AK380,"FAUX",Wh_s)</f>
        <v>10375.042161077745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AND(YEAR(Tnet)=An,Resal_2026="I")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2987.2652325666227</v>
      </c>
      <c r="AK7" s="516">
        <f>SUMIF(AK15:AK380,"VRAI",Wh_sa)</f>
        <v>0</v>
      </c>
      <c r="AL7" s="516">
        <f>SUMIF(AJ15:AJ380,"VRAI",Wh_pvt_s)</f>
        <v>2872.1222895362839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AND(YEAR(Tnet)=An,Resal_2026&lt;&gt;"I")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8620.1999057224712</v>
      </c>
      <c r="AK8" s="516">
        <f>SUMIF(AK15:AK380,"FAUX",Wh_sa)</f>
        <v>11901.551277291526</v>
      </c>
      <c r="AL8" s="516">
        <f>SUMIF(AJ15:AJ380,"FAUX",Wh_pvt_s)</f>
        <v>8193.3881624830228</v>
      </c>
      <c r="AM8" s="516">
        <f>SUMIF(AK15:AK380,"FAUX",Wh_sa_s)</f>
        <v>11898.539848787301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11607.46513828909</v>
      </c>
      <c r="E9" s="184">
        <f>SUM(E$15:E$380)</f>
        <v>11901.551277291526</v>
      </c>
      <c r="F9" s="184">
        <f>SUM(F$15:F$380)</f>
        <v>11901.814759230418</v>
      </c>
      <c r="H9" s="1272">
        <f>+SUM(Wh)</f>
        <v>10883.132971106836</v>
      </c>
      <c r="I9" s="1273"/>
      <c r="J9" s="1274"/>
      <c r="K9" s="191"/>
      <c r="L9" s="232"/>
      <c r="M9" s="232"/>
      <c r="N9" s="232"/>
      <c r="O9" s="223">
        <f>Tnet_2026</f>
        <v>46142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10375.042161077745</v>
      </c>
      <c r="Y9" s="1267"/>
      <c r="Z9" s="516">
        <f>SUM(Z$15:Z$380)</f>
        <v>11065.510452019314</v>
      </c>
      <c r="AA9" s="516">
        <f>SUM(AA$15:AA$380)</f>
        <v>11898.539848787301</v>
      </c>
      <c r="AB9" s="516">
        <f>F9</f>
        <v>11901.814759230418</v>
      </c>
      <c r="AC9" s="325">
        <f>IF(An_Tnet,Tnet,'2025'!Tnet_s)</f>
        <v>46142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3156.4568295822701</v>
      </c>
      <c r="AK9" s="516">
        <f>SUMIF(AK15:AK380,"VRAI",Wh_hp)</f>
        <v>0</v>
      </c>
      <c r="AL9" s="516">
        <f>SUMIF(AJ15:AJ380,"VRAI",Wh_sa_s)</f>
        <v>3155.862354347048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5.0000000000000001E-3</v>
      </c>
      <c r="P10" s="421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IF(OR(Inflex,GainD),'2025'!Resal_s+('2025'!Salim-'2025'!Resal_s)*(1-EXP(('2025'!Tnet_s-Tnet)/('2025'!Tau_j))),IF(Acti_net,'2025'!Resal+('2025'!Salim-'2025'!Resal)*(1-EXP(('2025'!Tnet-Tnet)/'2025'!Tau_j)),'2025'!Resal_s))</f>
        <v>5.6091202501577835E-2</v>
      </c>
      <c r="AD10" s="428"/>
      <c r="AE10" s="428"/>
      <c r="AF10" s="260"/>
      <c r="AG10" s="261"/>
      <c r="AH10" s="262"/>
      <c r="AI10" s="473"/>
      <c r="AJ10" s="516">
        <f>SUMIF(AJ15:AJ380,"FAUX",Wh_sa)</f>
        <v>8745.0944477092544</v>
      </c>
      <c r="AK10" s="516">
        <f>SUMIF(AK15:AK380,"FAUX",Wh_hp)</f>
        <v>11901.814759230418</v>
      </c>
      <c r="AL10" s="516">
        <f>SUMIF(AJ15:AJ380,"FAUX",Wh_sa_s)</f>
        <v>8742.6774944402623</v>
      </c>
      <c r="AM10" s="516">
        <f>SUMIF(AK15:AK380,"FAUX",Wh_hp)</f>
        <v>11901.814759230418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724.33216718225412</v>
      </c>
      <c r="E11" s="51">
        <f>(E$9-D$9)*Prod_an/D$9</f>
        <v>275.73449651511783</v>
      </c>
      <c r="F11" s="186">
        <f>(F$9-E$9)*Prod_an/E$9</f>
        <v>0.24093573263099266</v>
      </c>
      <c r="G11" s="185" t="s">
        <v>6</v>
      </c>
      <c r="K11" s="194"/>
      <c r="L11" s="211">
        <f>Tvie_2026</f>
        <v>43259</v>
      </c>
      <c r="M11" s="844"/>
      <c r="N11" s="844"/>
      <c r="O11" s="202">
        <f>IF(An_Tnet,Salim_2026,'2025'!Salim)</f>
        <v>0.11</v>
      </c>
      <c r="P11" s="256">
        <f>Ttai_2026</f>
        <v>45747</v>
      </c>
      <c r="Q11" s="272">
        <f>Dens_2026</f>
        <v>0.5</v>
      </c>
      <c r="R11" s="277"/>
      <c r="S11" s="230"/>
      <c r="T11" s="230"/>
      <c r="U11" s="266">
        <f>Htf_2026</f>
        <v>-1.027598875889788</v>
      </c>
      <c r="V11" s="428"/>
      <c r="W11" s="519"/>
      <c r="X11" s="526" t="s">
        <v>43</v>
      </c>
      <c r="Y11" s="50">
        <f>Z$9-Prod_an_s</f>
        <v>690.46829094156965</v>
      </c>
      <c r="Z11" s="51">
        <f>(AA$9-Z$9)*Prod_an_s/Z$9</f>
        <v>781.04983501306378</v>
      </c>
      <c r="AA11" s="186">
        <f>(AB$9-AA$9)*Prod_an_s/AA$9</f>
        <v>2.8555885304324811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159.0164698620396</v>
      </c>
      <c r="AK11" s="834">
        <f>IF($AK7=0,0,($AK9-$AK7)*$AK5/$AK7)</f>
        <v>0</v>
      </c>
      <c r="AL11" s="833">
        <f>IF($AL7=0,0,($AL9-$AL7)*$AL5/$AL7)</f>
        <v>266.67579427826985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4.4165880340934383E-2</v>
      </c>
      <c r="K12" s="191"/>
      <c r="L12" s="212">
        <f>Pspv_2026</f>
        <v>0</v>
      </c>
      <c r="M12" s="212"/>
      <c r="N12" s="212"/>
      <c r="O12" s="205">
        <f>IF(An_Tnet,Tau_2026*365,'2025'!Tau_j)</f>
        <v>1095</v>
      </c>
      <c r="P12" s="281">
        <f>INDEX(Croivg,MIN(MAX(Ttai-$A$15,0)+1,366))</f>
        <v>2.3909964587625958E-6</v>
      </c>
      <c r="Q12" s="280">
        <f>'2025'!Df</f>
        <v>0.5</v>
      </c>
      <c r="R12" s="278"/>
      <c r="S12" s="279"/>
      <c r="T12" s="279"/>
      <c r="U12" s="267">
        <f>'2025'!Hdf</f>
        <v>-1.527598875889788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'2025'!Df_s</f>
        <v>0.5</v>
      </c>
      <c r="AF12" s="203"/>
      <c r="AG12" s="203"/>
      <c r="AH12" s="203"/>
      <c r="AI12" s="297">
        <f>'2025'!Hdf_s</f>
        <v>1.9973886904841909</v>
      </c>
      <c r="AJ12" s="833">
        <f>IF($AJ8=0,0,($AJ10-$AJ8)*$AJ6/$AJ8)</f>
        <v>117.00291105498199</v>
      </c>
      <c r="AK12" s="834">
        <f>IF($AK8=0,0,($AK10-$AK8)*$AK6/$AK8)</f>
        <v>0.24093573263099266</v>
      </c>
      <c r="AL12" s="833">
        <f>IF($AL8=0,0,($AL10-$AL8)*$AL6/$AL8)</f>
        <v>514.5799260730995</v>
      </c>
      <c r="AM12" s="834">
        <f>IF($AM8=0,0,($AM10-$AM8)*$AM6/$AM8)</f>
        <v>2.8555885304324811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276.01938091702158</v>
      </c>
      <c r="AK13" s="73">
        <f>+AK11+AK12</f>
        <v>0.24093573263099266</v>
      </c>
      <c r="AL13" s="73">
        <f>+AL11+AL12</f>
        <v>781.25572035136929</v>
      </c>
      <c r="AM13" s="73">
        <f>+AM11+AM12</f>
        <v>2.8555885304324811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2026</v>
      </c>
      <c r="W14" s="372" t="s">
        <v>116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'2025'!Wh/'2025'!Env_an*'2026'!Env_an</f>
        <v>21.934015533523219</v>
      </c>
      <c r="C15" s="841"/>
      <c r="D15" s="393">
        <f t="shared" ref="D15:D78" si="0">Wh/(1-Ppv)</f>
        <v>23.302904492581042</v>
      </c>
      <c r="E15" s="400">
        <f t="shared" ref="E15:E79" si="1">Wh_pvt/(1-Psa)</f>
        <v>24.527591260742113</v>
      </c>
      <c r="F15" s="400">
        <f t="shared" ref="F15:F78" si="2">Wh_sa/(1-Pvg*MEDIAN((-Sdif+Wh/Env_an)/Csdif,0,1))</f>
        <v>24.52900434144814</v>
      </c>
      <c r="G15" s="123">
        <f>+Wh_hp/MaxiM</f>
        <v>0.95108475435450757</v>
      </c>
      <c r="H15" s="414" t="b">
        <f>Wh_hp&gt;='2025'!Maxi_hp</f>
        <v>1</v>
      </c>
      <c r="I15" s="396">
        <f>IF(H15,Wh_hp,'2025'!Maxi_hp)</f>
        <v>24.52900434144814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5.8743276379716436E-2</v>
      </c>
      <c r="M15" s="845"/>
      <c r="N15" s="845"/>
      <c r="O15" s="48">
        <f>IF(t&lt;Tnet,'2025'!Resal+('2025'!Salim-'2025'!Resal)*(1-EXP(('2025'!Tnet-t)/('2025'!Tau_j))),Resal+(Salim-Resal)*(1-EXP((Tnet-t)/(Tau_j))))*Salcycl</f>
        <v>4.9930984055546336E-2</v>
      </c>
      <c r="P15" s="302">
        <f>(INDEX(Models!$BJ15:$BT15,,T15)*(1-R15)+INDEX(Models!$BJ15:$BT15,,T15+1)*R15-ERP_i)*Q15*Ramure*Pc/MaxiM</f>
        <v>6.1936236854216075E-5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0.47240231960844126</v>
      </c>
      <c r="S15" s="810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-1.5275976803915587</v>
      </c>
      <c r="V15" s="382">
        <f t="shared" ref="V15:V78" si="9">MaxiM*(1-Ppv)*(1-Pvg)*(1-Psa)</f>
        <v>23.062004205595663</v>
      </c>
      <c r="W15" s="402">
        <f t="shared" ref="W15:W78" si="10">Wh*(A15&gt;Tmaj)</f>
        <v>21.934015533523219</v>
      </c>
      <c r="X15" s="156">
        <f t="shared" ref="X15:X78" si="11">t</f>
        <v>46023</v>
      </c>
      <c r="Y15" s="385">
        <f t="shared" ref="Y15:Y78" si="12">Wh_pvt_s*(1-Ppv)</f>
        <v>21.026900135514495</v>
      </c>
      <c r="Z15" s="385">
        <f>Wh_sa_s*(1-Psa_s)</f>
        <v>22.33917655816613</v>
      </c>
      <c r="AA15" s="386">
        <f t="shared" ref="AA15:AA78" si="13">Wh_hp*(1-Pvg_s*MEDIAN((-Sdif+Wh/Env_an)/Csdif,0,1))</f>
        <v>24.507783039835143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8.8486440333837749E-2</v>
      </c>
      <c r="AD15" s="231">
        <f>(INDEX(Models!$BJ15:$BT15,,AH15)*(1-AF15)+INDEX(Models!$BJ15:$BT15,,AH15+1)*AF15-ERP_i)*AE15*Ramure*Pc/MaxiM</f>
        <v>9.3014330848342384E-4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0.99738988598242018</v>
      </c>
      <c r="AG15" s="810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1.9973898859824202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'2025'!Wh/'2025'!Env_an*'2026'!Env_an</f>
        <v>15.771426930169728</v>
      </c>
      <c r="C16" s="841"/>
      <c r="D16" s="393">
        <f t="shared" si="0"/>
        <v>16.75607937417978</v>
      </c>
      <c r="E16" s="385">
        <f t="shared" si="1"/>
        <v>17.637678920446767</v>
      </c>
      <c r="F16" s="385">
        <f t="shared" si="2"/>
        <v>17.63826799994802</v>
      </c>
      <c r="G16" s="110">
        <f t="shared" ref="G16:G79" si="21">+Wh_hp/MaxiM</f>
        <v>0.67905511178089673</v>
      </c>
      <c r="H16" s="414" t="b">
        <f>Wh_hp&gt;='2025'!Maxi_hp</f>
        <v>0</v>
      </c>
      <c r="I16" s="390">
        <f>IF(H16,Wh_hp,'2025'!Maxi_hp)</f>
        <v>24.297474136240545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5.8763892317635458E-2</v>
      </c>
      <c r="M16" s="845"/>
      <c r="N16" s="845"/>
      <c r="O16" s="48">
        <f>IF(t&lt;Tnet,'2025'!Resal+('2025'!Salim-'2025'!Resal)*(1-EXP(('2025'!Tnet-t)/('2025'!Tau_j))),Resal+(Salim-Resal)*(1-EXP((Tnet-t)/(Tau_j))))*Salcycl</f>
        <v>4.9983875443212596E-2</v>
      </c>
      <c r="P16" s="169">
        <f>(INDEX(Models!$BJ16:$BT16,,T16)*(1-R16)+INDEX(Models!$BJ16:$BT16,,T16+1)*R16-ERP_i)*Q16*Ramure*Pc/MaxiM</f>
        <v>6.167251464071641E-5</v>
      </c>
      <c r="Q16" s="305">
        <f t="shared" si="4"/>
        <v>0.5</v>
      </c>
      <c r="R16" s="177">
        <f t="shared" si="5"/>
        <v>0.47243153422243567</v>
      </c>
      <c r="S16" s="811">
        <f t="shared" si="6"/>
        <v>-2</v>
      </c>
      <c r="T16" s="176">
        <f t="shared" si="7"/>
        <v>4</v>
      </c>
      <c r="U16" s="251">
        <f t="shared" si="8"/>
        <v>-1.5275684657775643</v>
      </c>
      <c r="V16" s="383">
        <f t="shared" si="9"/>
        <v>23.224891042285098</v>
      </c>
      <c r="W16" s="402">
        <f t="shared" si="10"/>
        <v>15.771426930169728</v>
      </c>
      <c r="X16" s="157">
        <f t="shared" si="11"/>
        <v>46024</v>
      </c>
      <c r="Y16" s="385">
        <f t="shared" si="12"/>
        <v>15.12490910814012</v>
      </c>
      <c r="Z16" s="385">
        <f t="shared" ref="Z16:Z78" si="22">Wh_sa_s*(1-Psa_s)</f>
        <v>16.069197712126304</v>
      </c>
      <c r="AA16" s="386">
        <f t="shared" si="13"/>
        <v>17.629449806847877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8.8502597177792741E-2</v>
      </c>
      <c r="AD16" s="231">
        <f>(INDEX(Models!$BJ16:$BT16,,AH16)*(1-AF16)+INDEX(Models!$BJ16:$BT16,,AH16+1)*AF16-ERP_i)*AE16*Ramure*Pc/MaxiM</f>
        <v>9.2320330603320306E-4</v>
      </c>
      <c r="AE16" s="305">
        <f t="shared" si="15"/>
        <v>0.5</v>
      </c>
      <c r="AF16" s="177">
        <f t="shared" ref="AF16:AF78" si="23">(Hp_vg_s-AG16)/(INDEX(Echel_vg,AH16+1)-AG16)</f>
        <v>0.99741910059641459</v>
      </c>
      <c r="AG16" s="811">
        <f t="shared" ref="AG16:AG79" si="24">INDEX(Echel_vg,AH16)</f>
        <v>1</v>
      </c>
      <c r="AH16" s="176">
        <f t="shared" si="16"/>
        <v>7</v>
      </c>
      <c r="AI16" s="225">
        <f t="shared" si="17"/>
        <v>1.9974191005964146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'2025'!Wh/'2025'!Env_an*'2026'!Env_an</f>
        <v>16.972107846887059</v>
      </c>
      <c r="C17" s="841"/>
      <c r="D17" s="393">
        <f t="shared" si="0"/>
        <v>18.032116967485049</v>
      </c>
      <c r="E17" s="385">
        <f t="shared" si="1"/>
        <v>18.981911552529095</v>
      </c>
      <c r="F17" s="385">
        <f t="shared" si="2"/>
        <v>18.982619355844655</v>
      </c>
      <c r="G17" s="110">
        <f t="shared" si="21"/>
        <v>0.72544878540273927</v>
      </c>
      <c r="H17" s="414" t="b">
        <f>Wh_hp&gt;='2025'!Maxi_hp</f>
        <v>0</v>
      </c>
      <c r="I17" s="390">
        <f>IF(H17,Wh_hp,'2025'!Maxi_hp)</f>
        <v>27.383515682442006</v>
      </c>
      <c r="J17" s="85">
        <f>IF(H17,An,'2025'!An_max)</f>
        <v>2019</v>
      </c>
      <c r="K17" s="197">
        <f t="shared" si="3"/>
        <v>46025</v>
      </c>
      <c r="L17" s="147">
        <f>IF(t&lt;Tvie,1-EXP((T0-t)*PertePVj)+'2025'!Pspv,1-EXP((T0-t)*PertePVj)+Pspv)</f>
        <v>5.8784507804012454E-2</v>
      </c>
      <c r="M17" s="845"/>
      <c r="N17" s="845"/>
      <c r="O17" s="48">
        <f>IF(t&lt;Tnet,'2025'!Resal+('2025'!Salim-'2025'!Resal)*(1-EXP(('2025'!Tnet-t)/('2025'!Tau_j))),Resal+(Salim-Resal)*(1-EXP((Tnet-t)/(Tau_j))))*Salcycl</f>
        <v>5.0036824922276985E-2</v>
      </c>
      <c r="P17" s="169">
        <f>(INDEX(Models!$BJ17:$BT17,,T17)*(1-R17)+INDEX(Models!$BJ17:$BT17,,T17+1)*R17-ERP_i)*Q17*Ramure*Pc/MaxiM</f>
        <v>6.1346443178307073E-5</v>
      </c>
      <c r="Q17" s="305">
        <f t="shared" si="4"/>
        <v>0.5</v>
      </c>
      <c r="R17" s="177">
        <f t="shared" si="5"/>
        <v>0.47246197081792518</v>
      </c>
      <c r="S17" s="811">
        <f t="shared" si="6"/>
        <v>-2</v>
      </c>
      <c r="T17" s="176">
        <f t="shared" si="7"/>
        <v>4</v>
      </c>
      <c r="U17" s="251">
        <f t="shared" si="8"/>
        <v>-1.5275380291820748</v>
      </c>
      <c r="V17" s="383">
        <f t="shared" si="9"/>
        <v>23.394758985408984</v>
      </c>
      <c r="W17" s="402">
        <f t="shared" si="10"/>
        <v>16.972107846887059</v>
      </c>
      <c r="X17" s="157">
        <f t="shared" si="11"/>
        <v>46025</v>
      </c>
      <c r="Y17" s="385">
        <f t="shared" si="12"/>
        <v>16.27612476434604</v>
      </c>
      <c r="Z17" s="385">
        <f t="shared" si="22"/>
        <v>17.292665600277743</v>
      </c>
      <c r="AA17" s="386">
        <f t="shared" si="13"/>
        <v>18.972051355101286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8.8518933635079983E-2</v>
      </c>
      <c r="AD17" s="231">
        <f>(INDEX(Models!$BJ17:$BT17,,AH17)*(1-AF17)+INDEX(Models!$BJ17:$BT17,,AH17+1)*AF17-ERP_i)*AE17*Ramure*Pc/MaxiM</f>
        <v>9.1594549341689549E-4</v>
      </c>
      <c r="AE17" s="305">
        <f t="shared" si="15"/>
        <v>0.5</v>
      </c>
      <c r="AF17" s="177">
        <f>(Hp_vg_s-AG17)/(INDEX(Echel_vg,AH17+1)-AG17)</f>
        <v>0.9974495371919041</v>
      </c>
      <c r="AG17" s="811">
        <f>INDEX(Echel_vg,AH17)</f>
        <v>1</v>
      </c>
      <c r="AH17" s="176">
        <f t="shared" si="16"/>
        <v>7</v>
      </c>
      <c r="AI17" s="225">
        <f t="shared" si="17"/>
        <v>1.9974495371919041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'2025'!Wh/'2025'!Env_an*'2026'!Env_an</f>
        <v>17.933087724531692</v>
      </c>
      <c r="C18" s="841"/>
      <c r="D18" s="393">
        <f t="shared" si="0"/>
        <v>19.053533077678829</v>
      </c>
      <c r="E18" s="385">
        <f t="shared" si="1"/>
        <v>20.058247087732539</v>
      </c>
      <c r="F18" s="385">
        <f t="shared" si="2"/>
        <v>20.059052115833115</v>
      </c>
      <c r="G18" s="110">
        <f t="shared" si="21"/>
        <v>0.76081142921555978</v>
      </c>
      <c r="H18" s="414" t="b">
        <f>Wh_hp&gt;='2025'!Maxi_hp</f>
        <v>0</v>
      </c>
      <c r="I18" s="390">
        <f>IF(H18,Wh_hp,'2025'!Maxi_hp)</f>
        <v>24.454097030053351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5.8805122838857415E-2</v>
      </c>
      <c r="M18" s="845"/>
      <c r="N18" s="845"/>
      <c r="O18" s="48">
        <f>IF(t&lt;Tnet,'2025'!Resal+('2025'!Salim-'2025'!Resal)*(1-EXP(('2025'!Tnet-t)/('2025'!Tau_j))),Resal+(Salim-Resal)*(1-EXP((Tnet-t)/(Tau_j))))*Salcycl</f>
        <v>5.0089821192211094E-2</v>
      </c>
      <c r="P18" s="169">
        <f>(INDEX(Models!$BJ18:$BT18,,T18)*(1-R18)+INDEX(Models!$BJ18:$BT18,,T18+1)*R18-ERP_i)*Q18*Ramure*Pc/MaxiM</f>
        <v>6.096218093359992E-5</v>
      </c>
      <c r="Q18" s="305">
        <f t="shared" si="4"/>
        <v>0.5</v>
      </c>
      <c r="R18" s="177">
        <f t="shared" si="5"/>
        <v>0.47249368034922035</v>
      </c>
      <c r="S18" s="811">
        <f t="shared" si="6"/>
        <v>-2</v>
      </c>
      <c r="T18" s="176">
        <f t="shared" si="7"/>
        <v>4</v>
      </c>
      <c r="U18" s="251">
        <f t="shared" si="8"/>
        <v>-1.5275063196507797</v>
      </c>
      <c r="V18" s="383">
        <f t="shared" si="9"/>
        <v>23.5705110198695</v>
      </c>
      <c r="W18" s="402">
        <f t="shared" si="10"/>
        <v>17.933087724531692</v>
      </c>
      <c r="X18" s="157">
        <f t="shared" si="11"/>
        <v>46026</v>
      </c>
      <c r="Y18" s="385">
        <f t="shared" si="12"/>
        <v>17.197683505163919</v>
      </c>
      <c r="Z18" s="385">
        <f>Wh_sa_s*(1-Psa_s)</f>
        <v>18.272181375483086</v>
      </c>
      <c r="AA18" s="386">
        <f t="shared" si="13"/>
        <v>20.047056089298895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8.8535429137809221E-2</v>
      </c>
      <c r="AD18" s="231">
        <f>(INDEX(Models!$BJ18:$BT18,,AH18)*(1-AF18)+INDEX(Models!$BJ18:$BT18,,AH18+1)*AF18-ERP_i)*AE18*Ramure*Pc/MaxiM</f>
        <v>9.0842038873029855E-4</v>
      </c>
      <c r="AE18" s="305">
        <f t="shared" si="15"/>
        <v>0.5</v>
      </c>
      <c r="AF18" s="177">
        <f t="shared" si="23"/>
        <v>0.99748124672319927</v>
      </c>
      <c r="AG18" s="811">
        <f t="shared" si="24"/>
        <v>1</v>
      </c>
      <c r="AH18" s="176">
        <f t="shared" si="16"/>
        <v>7</v>
      </c>
      <c r="AI18" s="225">
        <f t="shared" si="17"/>
        <v>1.9974812467231993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'2025'!Wh/'2025'!Env_an*'2026'!Env_an</f>
        <v>14.277921971341483</v>
      </c>
      <c r="C19" s="841"/>
      <c r="D19" s="393">
        <f t="shared" si="0"/>
        <v>15.170327684306955</v>
      </c>
      <c r="E19" s="385">
        <f t="shared" si="1"/>
        <v>15.971167616949613</v>
      </c>
      <c r="F19" s="385">
        <f t="shared" si="2"/>
        <v>15.971583486999927</v>
      </c>
      <c r="G19" s="110">
        <f t="shared" si="21"/>
        <v>0.60112834226184009</v>
      </c>
      <c r="H19" s="414" t="b">
        <f>Wh_hp&gt;='2025'!Maxi_hp</f>
        <v>0</v>
      </c>
      <c r="I19" s="390">
        <f>IF(H19,Wh_hp,'2025'!Maxi_hp)</f>
        <v>27.046839831733369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5.8825737422180224E-2</v>
      </c>
      <c r="M19" s="845"/>
      <c r="N19" s="845"/>
      <c r="O19" s="48">
        <f>IF(t&lt;Tnet,'2025'!Resal+('2025'!Salim-'2025'!Resal)*(1-EXP(('2025'!Tnet-t)/('2025'!Tau_j))),Resal+(Salim-Resal)*(1-EXP((Tnet-t)/(Tau_j))))*Salcycl</f>
        <v>5.0142854414273109E-2</v>
      </c>
      <c r="P19" s="169">
        <f>(INDEX(Models!$BJ19:$BT19,,T19)*(1-R19)+INDEX(Models!$BJ19:$BT19,,T19+1)*R19-ERP_i)*Q19*Ramure*Pc/MaxiM</f>
        <v>6.0523798555209998E-5</v>
      </c>
      <c r="Q19" s="305">
        <f t="shared" si="4"/>
        <v>0.5</v>
      </c>
      <c r="R19" s="177">
        <f t="shared" si="5"/>
        <v>0.47252671588178186</v>
      </c>
      <c r="S19" s="811">
        <f t="shared" si="6"/>
        <v>-2</v>
      </c>
      <c r="T19" s="176">
        <f t="shared" si="7"/>
        <v>4</v>
      </c>
      <c r="U19" s="251">
        <f t="shared" si="8"/>
        <v>-1.5274732841182181</v>
      </c>
      <c r="V19" s="383">
        <f t="shared" si="9"/>
        <v>23.751050434604572</v>
      </c>
      <c r="W19" s="402">
        <f t="shared" si="10"/>
        <v>14.277921971341483</v>
      </c>
      <c r="X19" s="157">
        <f t="shared" si="11"/>
        <v>46027</v>
      </c>
      <c r="Y19" s="385">
        <f t="shared" si="12"/>
        <v>13.695615951764712</v>
      </c>
      <c r="Z19" s="385">
        <f t="shared" si="22"/>
        <v>14.551626087025841</v>
      </c>
      <c r="AA19" s="386">
        <f t="shared" si="13"/>
        <v>15.965394775251253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8.8552065772715099E-2</v>
      </c>
      <c r="AD19" s="231">
        <f>(INDEX(Models!$BJ19:$BT19,,AH19)*(1-AF19)+INDEX(Models!$BJ19:$BT19,,AH19+1)*AF19-ERP_i)*AE19*Ramure*Pc/MaxiM</f>
        <v>9.0067640819317099E-4</v>
      </c>
      <c r="AE19" s="305">
        <f t="shared" si="15"/>
        <v>0.5</v>
      </c>
      <c r="AF19" s="177">
        <f t="shared" si="23"/>
        <v>0.99751428225576078</v>
      </c>
      <c r="AG19" s="811">
        <f t="shared" si="24"/>
        <v>1</v>
      </c>
      <c r="AH19" s="176">
        <f t="shared" si="16"/>
        <v>7</v>
      </c>
      <c r="AI19" s="225">
        <f t="shared" si="17"/>
        <v>1.9975142822557608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'2025'!Wh/'2025'!Env_an*'2026'!Env_an</f>
        <v>20.58939024511232</v>
      </c>
      <c r="C20" s="841"/>
      <c r="D20" s="393">
        <f t="shared" si="0"/>
        <v>21.876757614560173</v>
      </c>
      <c r="E20" s="385">
        <f t="shared" si="1"/>
        <v>23.032915931843284</v>
      </c>
      <c r="F20" s="385">
        <f t="shared" si="2"/>
        <v>23.034022631171609</v>
      </c>
      <c r="G20" s="110">
        <f t="shared" si="21"/>
        <v>0.86020061898819467</v>
      </c>
      <c r="H20" s="414" t="b">
        <f>Wh_hp&gt;='2025'!Maxi_hp</f>
        <v>0</v>
      </c>
      <c r="I20" s="390">
        <f>IF(H20,Wh_hp,'2025'!Maxi_hp)</f>
        <v>26.739364860323523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5.8846351553990761E-2</v>
      </c>
      <c r="M20" s="845"/>
      <c r="N20" s="845"/>
      <c r="O20" s="48">
        <f>IF(t&lt;Tnet,'2025'!Resal+('2025'!Salim-'2025'!Resal)*(1-EXP(('2025'!Tnet-t)/('2025'!Tau_j))),Resal+(Salim-Resal)*(1-EXP((Tnet-t)/(Tau_j))))*Salcycl</f>
        <v>5.0195916170766276E-2</v>
      </c>
      <c r="P20" s="169">
        <f>(INDEX(Models!$BJ20:$BT20,,T20)*(1-R20)+INDEX(Models!$BJ20:$BT20,,T20+1)*R20-ERP_i)*Q20*Ramure*Pc/MaxiM</f>
        <v>6.0035249153966065E-5</v>
      </c>
      <c r="Q20" s="305">
        <f t="shared" si="4"/>
        <v>0.5</v>
      </c>
      <c r="R20" s="177">
        <f t="shared" si="5"/>
        <v>0.47256113267853261</v>
      </c>
      <c r="S20" s="811">
        <f t="shared" si="6"/>
        <v>-2</v>
      </c>
      <c r="T20" s="176">
        <f t="shared" si="7"/>
        <v>4</v>
      </c>
      <c r="U20" s="251">
        <f t="shared" si="8"/>
        <v>-1.5274388673214674</v>
      </c>
      <c r="V20" s="383">
        <f t="shared" si="9"/>
        <v>23.935280832636884</v>
      </c>
      <c r="W20" s="402">
        <f t="shared" si="10"/>
        <v>20.58939024511232</v>
      </c>
      <c r="X20" s="157">
        <f t="shared" si="11"/>
        <v>46028</v>
      </c>
      <c r="Y20" s="385">
        <f t="shared" si="12"/>
        <v>19.744393277093572</v>
      </c>
      <c r="Z20" s="385">
        <f t="shared" si="22"/>
        <v>20.978926564960599</v>
      </c>
      <c r="AA20" s="386">
        <f t="shared" si="13"/>
        <v>23.017565356549625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8.856882819750235E-2</v>
      </c>
      <c r="AD20" s="231">
        <f>(INDEX(Models!$BJ20:$BT20,,AH20)*(1-AF20)+INDEX(Models!$BJ20:$BT20,,AH20+1)*AF20-ERP_i)*AE20*Ramure*Pc/MaxiM</f>
        <v>8.9275971986248215E-4</v>
      </c>
      <c r="AE20" s="305">
        <f t="shared" si="15"/>
        <v>0.5</v>
      </c>
      <c r="AF20" s="177">
        <f t="shared" si="23"/>
        <v>0.99754869905251153</v>
      </c>
      <c r="AG20" s="811">
        <f t="shared" si="24"/>
        <v>1</v>
      </c>
      <c r="AH20" s="176">
        <f t="shared" si="16"/>
        <v>7</v>
      </c>
      <c r="AI20" s="225">
        <f t="shared" si="17"/>
        <v>1.9975486990525115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'2025'!Wh/'2025'!Env_an*'2026'!Env_an</f>
        <v>10.529347710206013</v>
      </c>
      <c r="C21" s="841"/>
      <c r="D21" s="393">
        <f t="shared" si="0"/>
        <v>11.187948272188041</v>
      </c>
      <c r="E21" s="385">
        <f t="shared" si="1"/>
        <v>11.779875214947994</v>
      </c>
      <c r="F21" s="385">
        <f t="shared" si="2"/>
        <v>11.78001189533355</v>
      </c>
      <c r="G21" s="110">
        <f t="shared" si="21"/>
        <v>0.43648109825795967</v>
      </c>
      <c r="H21" s="414" t="b">
        <f>Wh_hp&gt;='2025'!Maxi_hp</f>
        <v>0</v>
      </c>
      <c r="I21" s="390">
        <f>IF(H21,Wh_hp,'2025'!Maxi_hp)</f>
        <v>14.932480243717823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5.8866965234298907E-2</v>
      </c>
      <c r="M21" s="845"/>
      <c r="N21" s="845"/>
      <c r="O21" s="48">
        <f>IF(t&lt;Tnet,'2025'!Resal+('2025'!Salim-'2025'!Resal)*(1-EXP(('2025'!Tnet-t)/('2025'!Tau_j))),Resal+(Salim-Resal)*(1-EXP((Tnet-t)/(Tau_j))))*Salcycl</f>
        <v>5.0248999412899654E-2</v>
      </c>
      <c r="P21" s="169">
        <f>(INDEX(Models!$BJ21:$BT21,,T21)*(1-R21)+INDEX(Models!$BJ21:$BT21,,T21+1)*R21-ERP_i)*Q21*Ramure*Pc/MaxiM</f>
        <v>5.950034348345893E-5</v>
      </c>
      <c r="Q21" s="305">
        <f t="shared" si="4"/>
        <v>0.5</v>
      </c>
      <c r="R21" s="177">
        <f t="shared" si="5"/>
        <v>0.47259698828959573</v>
      </c>
      <c r="S21" s="811">
        <f t="shared" si="6"/>
        <v>-2</v>
      </c>
      <c r="T21" s="176">
        <f t="shared" si="7"/>
        <v>4</v>
      </c>
      <c r="U21" s="251">
        <f t="shared" si="8"/>
        <v>-1.5274030117104043</v>
      </c>
      <c r="V21" s="383">
        <f t="shared" si="9"/>
        <v>24.122106125163118</v>
      </c>
      <c r="W21" s="402">
        <f t="shared" si="10"/>
        <v>10.529347710206013</v>
      </c>
      <c r="X21" s="157">
        <f t="shared" si="11"/>
        <v>46029</v>
      </c>
      <c r="Y21" s="385">
        <f t="shared" si="12"/>
        <v>10.102704536398312</v>
      </c>
      <c r="Z21" s="385">
        <f t="shared" si="22"/>
        <v>10.734618978615941</v>
      </c>
      <c r="AA21" s="386">
        <f t="shared" si="13"/>
        <v>11.777979586540926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8.8585703537580149E-2</v>
      </c>
      <c r="AD21" s="231">
        <f>(INDEX(Models!$BJ21:$BT21,,AH21)*(1-AF21)+INDEX(Models!$BJ21:$BT21,,AH21+1)*AF21-ERP_i)*AE21*Ramure*Pc/MaxiM</f>
        <v>8.8471415071294894E-4</v>
      </c>
      <c r="AE21" s="305">
        <f t="shared" si="15"/>
        <v>0.5</v>
      </c>
      <c r="AF21" s="177">
        <f t="shared" si="23"/>
        <v>0.99758455466357465</v>
      </c>
      <c r="AG21" s="811">
        <f t="shared" si="24"/>
        <v>1</v>
      </c>
      <c r="AH21" s="176">
        <f t="shared" si="16"/>
        <v>7</v>
      </c>
      <c r="AI21" s="225">
        <f t="shared" si="17"/>
        <v>1.9975845546635747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'2025'!Wh/'2025'!Env_an*'2026'!Env_an</f>
        <v>7.3864782334234933</v>
      </c>
      <c r="C22" s="841"/>
      <c r="D22" s="393">
        <f t="shared" si="0"/>
        <v>7.8486672414343346</v>
      </c>
      <c r="E22" s="385">
        <f t="shared" si="1"/>
        <v>8.2643830508584522</v>
      </c>
      <c r="F22" s="385">
        <f t="shared" si="2"/>
        <v>8.2643857220974617</v>
      </c>
      <c r="G22" s="110">
        <f t="shared" si="21"/>
        <v>0.30382207247203907</v>
      </c>
      <c r="H22" s="414" t="b">
        <f>Wh_hp&gt;='2025'!Maxi_hp</f>
        <v>0</v>
      </c>
      <c r="I22" s="390">
        <f>IF(H22,Wh_hp,'2025'!Maxi_hp)</f>
        <v>20.323342747491672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5.8887578463114543E-2</v>
      </c>
      <c r="M22" s="845"/>
      <c r="N22" s="845"/>
      <c r="O22" s="48">
        <f>IF(t&lt;Tnet,'2025'!Resal+('2025'!Salim-'2025'!Resal)*(1-EXP(('2025'!Tnet-t)/('2025'!Tau_j))),Resal+(Salim-Resal)*(1-EXP((Tnet-t)/(Tau_j))))*Salcycl</f>
        <v>5.0302098398129727E-2</v>
      </c>
      <c r="P22" s="169">
        <f>(INDEX(Models!$BJ22:$BT22,,T22)*(1-R22)+INDEX(Models!$BJ22:$BT22,,T22+1)*R22-ERP_i)*Q22*Ramure*Pc/MaxiM</f>
        <v>5.8922729603372499E-5</v>
      </c>
      <c r="Q22" s="305">
        <f t="shared" si="4"/>
        <v>0.5</v>
      </c>
      <c r="R22" s="177">
        <f t="shared" si="5"/>
        <v>0.47263434264559301</v>
      </c>
      <c r="S22" s="811">
        <f t="shared" si="6"/>
        <v>-2</v>
      </c>
      <c r="T22" s="176">
        <f t="shared" si="7"/>
        <v>4</v>
      </c>
      <c r="U22" s="251">
        <f t="shared" si="8"/>
        <v>-1.527365657354407</v>
      </c>
      <c r="V22" s="383">
        <f t="shared" si="9"/>
        <v>24.310430539844454</v>
      </c>
      <c r="W22" s="402">
        <f t="shared" si="10"/>
        <v>7.3864782334234933</v>
      </c>
      <c r="X22" s="157">
        <f t="shared" si="11"/>
        <v>46030</v>
      </c>
      <c r="Y22" s="385">
        <f t="shared" si="12"/>
        <v>7.0885554768298231</v>
      </c>
      <c r="Z22" s="385">
        <f t="shared" si="22"/>
        <v>7.532102769671071</v>
      </c>
      <c r="AA22" s="386">
        <f t="shared" si="13"/>
        <v>8.2643459826327117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8.8602681264848923E-2</v>
      </c>
      <c r="AD22" s="231">
        <f>(INDEX(Models!$BJ22:$BT22,,AH22)*(1-AF22)+INDEX(Models!$BJ22:$BT22,,AH22+1)*AF22-ERP_i)*AE22*Ramure*Pc/MaxiM</f>
        <v>8.7658114014305371E-4</v>
      </c>
      <c r="AE22" s="305">
        <f t="shared" si="15"/>
        <v>0.5</v>
      </c>
      <c r="AF22" s="177">
        <f t="shared" si="23"/>
        <v>0.99762190901957193</v>
      </c>
      <c r="AG22" s="811">
        <f t="shared" si="24"/>
        <v>1</v>
      </c>
      <c r="AH22" s="176">
        <f t="shared" si="16"/>
        <v>7</v>
      </c>
      <c r="AI22" s="225">
        <f t="shared" si="17"/>
        <v>1.9976219090195719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'2025'!Wh/'2025'!Env_an*'2026'!Env_an</f>
        <v>2.1802891313174109</v>
      </c>
      <c r="C23" s="841"/>
      <c r="D23" s="393">
        <f t="shared" si="0"/>
        <v>2.3167656024880685</v>
      </c>
      <c r="E23" s="385">
        <f t="shared" si="1"/>
        <v>2.439612814720312</v>
      </c>
      <c r="F23" s="385">
        <f t="shared" si="2"/>
        <v>2.439612814720312</v>
      </c>
      <c r="G23" s="110">
        <f t="shared" si="21"/>
        <v>8.8976996529951474E-2</v>
      </c>
      <c r="H23" s="414" t="b">
        <f>Wh_hp&gt;='2025'!Maxi_hp</f>
        <v>0</v>
      </c>
      <c r="I23" s="390">
        <f>IF(H23,Wh_hp,'2025'!Maxi_hp)</f>
        <v>26.033603222307448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5.8908191240447549E-2</v>
      </c>
      <c r="M23" s="845"/>
      <c r="N23" s="845"/>
      <c r="O23" s="48">
        <f>IF(t&lt;Tnet,'2025'!Resal+('2025'!Salim-'2025'!Resal)*(1-EXP(('2025'!Tnet-t)/('2025'!Tau_j))),Resal+(Salim-Resal)*(1-EXP((Tnet-t)/(Tau_j))))*Salcycl</f>
        <v>5.0355208617940975E-2</v>
      </c>
      <c r="P23" s="169">
        <f>(INDEX(Models!$BJ23:$BT23,,T23)*(1-R23)+INDEX(Models!$BJ23:$BT23,,T23+1)*R23-ERP_i)*Q23*Ramure*Pc/MaxiM</f>
        <v>5.8297841351726706E-5</v>
      </c>
      <c r="Q23" s="305">
        <f t="shared" si="4"/>
        <v>0.5</v>
      </c>
      <c r="R23" s="177">
        <f t="shared" si="5"/>
        <v>0.47267325815462802</v>
      </c>
      <c r="S23" s="811">
        <f t="shared" si="6"/>
        <v>-2</v>
      </c>
      <c r="T23" s="176">
        <f t="shared" si="7"/>
        <v>4</v>
      </c>
      <c r="U23" s="251">
        <f t="shared" si="8"/>
        <v>-1.527326741845372</v>
      </c>
      <c r="V23" s="383">
        <f t="shared" si="9"/>
        <v>24.502535601251111</v>
      </c>
      <c r="W23" s="402">
        <f t="shared" si="10"/>
        <v>2.1802891313174109</v>
      </c>
      <c r="X23" s="157">
        <f t="shared" si="11"/>
        <v>46031</v>
      </c>
      <c r="Y23" s="385">
        <f t="shared" si="12"/>
        <v>2.0924375776421242</v>
      </c>
      <c r="Z23" s="385">
        <f t="shared" si="22"/>
        <v>2.2234149295169763</v>
      </c>
      <c r="AA23" s="386">
        <f t="shared" si="13"/>
        <v>2.439612814720312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8.8619753060332124E-2</v>
      </c>
      <c r="AD23" s="231">
        <f>(INDEX(Models!$BJ23:$BT23,,AH23)*(1-AF23)+INDEX(Models!$BJ23:$BT23,,AH23+1)*AF23-ERP_i)*AE23*Ramure*Pc/MaxiM</f>
        <v>8.6828005771416063E-4</v>
      </c>
      <c r="AE23" s="305">
        <f t="shared" si="15"/>
        <v>0.5</v>
      </c>
      <c r="AF23" s="177">
        <f t="shared" si="23"/>
        <v>0.99766082452860694</v>
      </c>
      <c r="AG23" s="811">
        <f t="shared" si="24"/>
        <v>1</v>
      </c>
      <c r="AH23" s="176">
        <f t="shared" si="16"/>
        <v>7</v>
      </c>
      <c r="AI23" s="225">
        <f t="shared" si="17"/>
        <v>1.9976608245286069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'2025'!Wh/'2025'!Env_an*'2026'!Env_an</f>
        <v>1.6923364315875087</v>
      </c>
      <c r="C24" s="841"/>
      <c r="D24" s="393">
        <f t="shared" si="0"/>
        <v>1.7983086061934854</v>
      </c>
      <c r="E24" s="385">
        <f t="shared" si="1"/>
        <v>1.8937704034160432</v>
      </c>
      <c r="F24" s="385">
        <f t="shared" si="2"/>
        <v>1.8937704034160432</v>
      </c>
      <c r="G24" s="110">
        <f t="shared" si="21"/>
        <v>6.8508114272852833E-2</v>
      </c>
      <c r="H24" s="414" t="b">
        <f>Wh_hp&gt;='2025'!Maxi_hp</f>
        <v>0</v>
      </c>
      <c r="I24" s="390">
        <f>IF(H24,Wh_hp,'2025'!Maxi_hp)</f>
        <v>13.230713123965954</v>
      </c>
      <c r="J24" s="85">
        <f>IF(H24,An,'2025'!An_max)</f>
        <v>2019</v>
      </c>
      <c r="K24" s="197">
        <f t="shared" si="3"/>
        <v>46032</v>
      </c>
      <c r="L24" s="147">
        <f>IF(t&lt;Tvie,1-EXP((T0-t)*PertePVj)+'2025'!Pspv,1-EXP((T0-t)*PertePVj)+Pspv)</f>
        <v>5.8928803566307808E-2</v>
      </c>
      <c r="M24" s="845"/>
      <c r="N24" s="845"/>
      <c r="O24" s="48">
        <f>IF(t&lt;Tnet,'2025'!Resal+('2025'!Salim-'2025'!Resal)*(1-EXP(('2025'!Tnet-t)/('2025'!Tau_j))),Resal+(Salim-Resal)*(1-EXP((Tnet-t)/(Tau_j))))*Salcycl</f>
        <v>5.0408326717093457E-2</v>
      </c>
      <c r="P24" s="169">
        <f>(INDEX(Models!$BJ24:$BT24,,T24)*(1-R24)+INDEX(Models!$BJ24:$BT24,,T24+1)*R24-ERP_i)*Q24*Ramure*Pc/MaxiM</f>
        <v>5.7530027230697331E-5</v>
      </c>
      <c r="Q24" s="305">
        <f t="shared" si="4"/>
        <v>0.5</v>
      </c>
      <c r="R24" s="177">
        <f t="shared" si="5"/>
        <v>0.47271379980309769</v>
      </c>
      <c r="S24" s="811">
        <f t="shared" si="6"/>
        <v>-2</v>
      </c>
      <c r="T24" s="176">
        <f t="shared" si="7"/>
        <v>4</v>
      </c>
      <c r="U24" s="251">
        <f t="shared" si="8"/>
        <v>-1.5272862001969023</v>
      </c>
      <c r="V24" s="383">
        <f t="shared" si="9"/>
        <v>24.701293991054804</v>
      </c>
      <c r="W24" s="402">
        <f t="shared" si="10"/>
        <v>1.6923364315875087</v>
      </c>
      <c r="X24" s="157">
        <f t="shared" si="11"/>
        <v>46032</v>
      </c>
      <c r="Y24" s="385">
        <f t="shared" si="12"/>
        <v>1.6242064863238639</v>
      </c>
      <c r="Z24" s="385">
        <f t="shared" si="22"/>
        <v>1.7259124415655254</v>
      </c>
      <c r="AA24" s="386">
        <f t="shared" si="13"/>
        <v>1.8937704034160432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8.863691266255419E-2</v>
      </c>
      <c r="AD24" s="231">
        <f>(INDEX(Models!$BJ24:$BT24,,AH24)*(1-AF24)+INDEX(Models!$BJ24:$BT24,,AH24+1)*AF24-ERP_i)*AE24*Ramure*Pc/MaxiM</f>
        <v>8.5918087170535414E-4</v>
      </c>
      <c r="AE24" s="305">
        <f t="shared" si="15"/>
        <v>0.5</v>
      </c>
      <c r="AF24" s="177">
        <f t="shared" si="23"/>
        <v>0.99770136617707661</v>
      </c>
      <c r="AG24" s="811">
        <f t="shared" si="24"/>
        <v>1</v>
      </c>
      <c r="AH24" s="176">
        <f t="shared" si="16"/>
        <v>7</v>
      </c>
      <c r="AI24" s="225">
        <f t="shared" si="17"/>
        <v>1.9977013661770766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'2025'!Wh/'2025'!Env_an*'2026'!Env_an</f>
        <v>24.38855962398905</v>
      </c>
      <c r="C25" s="841"/>
      <c r="D25" s="393">
        <f t="shared" si="0"/>
        <v>25.916311008308341</v>
      </c>
      <c r="E25" s="385">
        <f t="shared" si="1"/>
        <v>27.29358488854804</v>
      </c>
      <c r="F25" s="385">
        <f t="shared" si="2"/>
        <v>27.295083858202702</v>
      </c>
      <c r="G25" s="110">
        <f t="shared" si="21"/>
        <v>0.97920319093400865</v>
      </c>
      <c r="H25" s="414" t="b">
        <f>Wh_hp&gt;='2025'!Maxi_hp</f>
        <v>0</v>
      </c>
      <c r="I25" s="390">
        <f>IF(H25,Wh_hp,'2025'!Maxi_hp)</f>
        <v>27.813177241518638</v>
      </c>
      <c r="J25" s="85">
        <f>IF(H25,An,'2025'!An_max)</f>
        <v>2020</v>
      </c>
      <c r="K25" s="197">
        <f t="shared" si="3"/>
        <v>46033</v>
      </c>
      <c r="L25" s="147">
        <f>IF(t&lt;Tvie,1-EXP((T0-t)*PertePVj)+'2025'!Pspv,1-EXP((T0-t)*PertePVj)+Pspv)</f>
        <v>5.8949415440705311E-2</v>
      </c>
      <c r="M25" s="845"/>
      <c r="N25" s="845"/>
      <c r="O25" s="48">
        <f>IF(t&lt;Tnet,'2025'!Resal+('2025'!Salim-'2025'!Resal)*(1-EXP(('2025'!Tnet-t)/('2025'!Tau_j))),Resal+(Salim-Resal)*(1-EXP((Tnet-t)/(Tau_j))))*Salcycl</f>
        <v>5.0461450405424081E-2</v>
      </c>
      <c r="P25" s="169">
        <f>(INDEX(Models!$BJ25:$BT25,,T25)*(1-R25)+INDEX(Models!$BJ25:$BT25,,T25+1)*R25-ERP_i)*Q25*Ramure*Pc/MaxiM</f>
        <v>5.6598598558088411E-5</v>
      </c>
      <c r="Q25" s="305">
        <f t="shared" si="4"/>
        <v>0.5</v>
      </c>
      <c r="R25" s="177">
        <f t="shared" si="5"/>
        <v>0.47275603526046361</v>
      </c>
      <c r="S25" s="811">
        <f t="shared" si="6"/>
        <v>-2</v>
      </c>
      <c r="T25" s="176">
        <f t="shared" si="7"/>
        <v>4</v>
      </c>
      <c r="U25" s="251">
        <f t="shared" si="8"/>
        <v>-1.5272439647395364</v>
      </c>
      <c r="V25" s="383">
        <f t="shared" si="9"/>
        <v>24.90649421970577</v>
      </c>
      <c r="W25" s="402">
        <f t="shared" si="10"/>
        <v>24.38855962398905</v>
      </c>
      <c r="X25" s="157">
        <f t="shared" si="11"/>
        <v>46033</v>
      </c>
      <c r="Y25" s="385">
        <f t="shared" si="12"/>
        <v>23.389591310055394</v>
      </c>
      <c r="Z25" s="385">
        <f t="shared" si="22"/>
        <v>24.854765188854351</v>
      </c>
      <c r="AA25" s="386">
        <f t="shared" si="13"/>
        <v>27.272593982194415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8.865415570365634E-2</v>
      </c>
      <c r="AD25" s="231">
        <f>(INDEX(Models!$BJ25:$BT25,,AH25)*(1-AF25)+INDEX(Models!$BJ25:$BT25,,AH25+1)*AF25-ERP_i)*AE25*Ramure*Pc/MaxiM</f>
        <v>8.4918027516671163E-4</v>
      </c>
      <c r="AE25" s="305">
        <f t="shared" si="15"/>
        <v>0.5</v>
      </c>
      <c r="AF25" s="177">
        <f t="shared" si="23"/>
        <v>0.99774360163444253</v>
      </c>
      <c r="AG25" s="811">
        <f t="shared" si="24"/>
        <v>1</v>
      </c>
      <c r="AH25" s="176">
        <f t="shared" si="16"/>
        <v>7</v>
      </c>
      <c r="AI25" s="225">
        <f t="shared" si="17"/>
        <v>1.9977436016344425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'2025'!Wh/'2025'!Env_an*'2026'!Env_an</f>
        <v>20.808655901056206</v>
      </c>
      <c r="C26" s="841"/>
      <c r="D26" s="393">
        <f t="shared" si="0"/>
        <v>22.112638805439136</v>
      </c>
      <c r="E26" s="385">
        <f t="shared" si="1"/>
        <v>23.289076695166859</v>
      </c>
      <c r="F26" s="385">
        <f t="shared" si="2"/>
        <v>23.290052643248366</v>
      </c>
      <c r="G26" s="110">
        <f t="shared" si="21"/>
        <v>0.82842724650909072</v>
      </c>
      <c r="H26" s="414" t="b">
        <f>Wh_hp&gt;='2025'!Maxi_hp</f>
        <v>0</v>
      </c>
      <c r="I26" s="390">
        <f>IF(H26,Wh_hp,'2025'!Maxi_hp)</f>
        <v>27.969146072299974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5.8970026863649827E-2</v>
      </c>
      <c r="M26" s="845"/>
      <c r="N26" s="845"/>
      <c r="O26" s="48">
        <f>IF(t&lt;Tnet,'2025'!Resal+('2025'!Salim-'2025'!Resal)*(1-EXP(('2025'!Tnet-t)/('2025'!Tau_j))),Resal+(Salim-Resal)*(1-EXP((Tnet-t)/(Tau_j))))*Salcycl</f>
        <v>5.0514578363334839E-2</v>
      </c>
      <c r="P26" s="169">
        <f>(INDEX(Models!$BJ26:$BT26,,T26)*(1-R26)+INDEX(Models!$BJ26:$BT26,,T26+1)*R26-ERP_i)*Q26*Ramure*Pc/MaxiM</f>
        <v>5.5508541852021942E-5</v>
      </c>
      <c r="Q26" s="305">
        <f t="shared" si="4"/>
        <v>0.5</v>
      </c>
      <c r="R26" s="177">
        <f t="shared" si="5"/>
        <v>0.47280003498813472</v>
      </c>
      <c r="S26" s="811">
        <f t="shared" si="6"/>
        <v>-2</v>
      </c>
      <c r="T26" s="176">
        <f t="shared" si="7"/>
        <v>4</v>
      </c>
      <c r="U26" s="251">
        <f t="shared" si="8"/>
        <v>-1.5271999650118653</v>
      </c>
      <c r="V26" s="383">
        <f t="shared" si="9"/>
        <v>25.117924218668719</v>
      </c>
      <c r="W26" s="402">
        <f t="shared" si="10"/>
        <v>20.808655901056206</v>
      </c>
      <c r="X26" s="157">
        <f t="shared" si="11"/>
        <v>46034</v>
      </c>
      <c r="Y26" s="385">
        <f t="shared" si="12"/>
        <v>19.960616804902088</v>
      </c>
      <c r="Z26" s="385">
        <f t="shared" si="22"/>
        <v>21.211456993633828</v>
      </c>
      <c r="AA26" s="386">
        <f t="shared" si="13"/>
        <v>23.275313476218216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8.8671479535309045E-2</v>
      </c>
      <c r="AD26" s="231">
        <f>(INDEX(Models!$BJ26:$BT26,,AH26)*(1-AF26)+INDEX(Models!$BJ26:$BT26,,AH26+1)*AF26-ERP_i)*AE26*Ramure*Pc/MaxiM</f>
        <v>8.383126986582064E-4</v>
      </c>
      <c r="AE26" s="305">
        <f t="shared" si="15"/>
        <v>0.5</v>
      </c>
      <c r="AF26" s="177">
        <f t="shared" si="23"/>
        <v>0.99778760136211364</v>
      </c>
      <c r="AG26" s="811">
        <f t="shared" si="24"/>
        <v>1</v>
      </c>
      <c r="AH26" s="176">
        <f t="shared" si="16"/>
        <v>7</v>
      </c>
      <c r="AI26" s="225">
        <f t="shared" si="17"/>
        <v>1.9977876013621136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'2025'!Wh/'2025'!Env_an*'2026'!Env_an</f>
        <v>5.0110700606092591</v>
      </c>
      <c r="C27" s="841"/>
      <c r="D27" s="393">
        <f t="shared" si="0"/>
        <v>5.3252074443563346</v>
      </c>
      <c r="E27" s="385">
        <f t="shared" si="1"/>
        <v>5.6088333009545739</v>
      </c>
      <c r="F27" s="385">
        <f t="shared" si="2"/>
        <v>5.6088333009545739</v>
      </c>
      <c r="G27" s="110">
        <f t="shared" si="21"/>
        <v>0.19777874758620803</v>
      </c>
      <c r="H27" s="414" t="b">
        <f>Wh_hp&gt;='2025'!Maxi_hp</f>
        <v>0</v>
      </c>
      <c r="I27" s="390">
        <f>IF(H27,Wh_hp,'2025'!Maxi_hp)</f>
        <v>16.029400800100351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5.8990637835151238E-2</v>
      </c>
      <c r="M27" s="845"/>
      <c r="N27" s="845"/>
      <c r="O27" s="48">
        <f>IF(t&lt;Tnet,'2025'!Resal+('2025'!Salim-'2025'!Resal)*(1-EXP(('2025'!Tnet-t)/('2025'!Tau_j))),Resal+(Salim-Resal)*(1-EXP((Tnet-t)/(Tau_j))))*Salcycl</f>
        <v>5.0567710142137574E-2</v>
      </c>
      <c r="P27" s="169">
        <f>(INDEX(Models!$BJ27:$BT27,,T27)*(1-R27)+INDEX(Models!$BJ27:$BT27,,T27+1)*R27-ERP_i)*Q27*Ramure*Pc/MaxiM</f>
        <v>5.4264897068923106E-5</v>
      </c>
      <c r="Q27" s="305">
        <f t="shared" si="4"/>
        <v>0.5</v>
      </c>
      <c r="R27" s="177">
        <f t="shared" si="5"/>
        <v>0.47284587235260389</v>
      </c>
      <c r="S27" s="811">
        <f t="shared" si="6"/>
        <v>-2</v>
      </c>
      <c r="T27" s="176">
        <f t="shared" si="7"/>
        <v>4</v>
      </c>
      <c r="U27" s="251">
        <f t="shared" si="8"/>
        <v>-1.5271541276473961</v>
      </c>
      <c r="V27" s="383">
        <f t="shared" si="9"/>
        <v>25.335371957616942</v>
      </c>
      <c r="W27" s="402">
        <f t="shared" si="10"/>
        <v>5.0110700606092591</v>
      </c>
      <c r="X27" s="157">
        <f t="shared" si="11"/>
        <v>46035</v>
      </c>
      <c r="Y27" s="385">
        <f t="shared" si="12"/>
        <v>4.8098678577169327</v>
      </c>
      <c r="Z27" s="385">
        <f t="shared" si="22"/>
        <v>5.1113921402987339</v>
      </c>
      <c r="AA27" s="386">
        <f t="shared" si="13"/>
        <v>5.6088333009545739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8.8688883046529429E-2</v>
      </c>
      <c r="AD27" s="231">
        <f>(INDEX(Models!$BJ27:$BT27,,AH27)*(1-AF27)+INDEX(Models!$BJ27:$BT27,,AH27+1)*AF27-ERP_i)*AE27*Ramure*Pc/MaxiM</f>
        <v>8.2661261332716467E-4</v>
      </c>
      <c r="AE27" s="305">
        <f t="shared" si="15"/>
        <v>0.5</v>
      </c>
      <c r="AF27" s="177">
        <f t="shared" si="23"/>
        <v>0.99783343872658281</v>
      </c>
      <c r="AG27" s="811">
        <f t="shared" si="24"/>
        <v>1</v>
      </c>
      <c r="AH27" s="176">
        <f t="shared" si="16"/>
        <v>7</v>
      </c>
      <c r="AI27" s="225">
        <f t="shared" si="17"/>
        <v>1.9978334387265828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'2025'!Wh/'2025'!Env_an*'2026'!Env_an</f>
        <v>24.774260557415946</v>
      </c>
      <c r="C28" s="841"/>
      <c r="D28" s="393">
        <f t="shared" si="0"/>
        <v>26.327902978768158</v>
      </c>
      <c r="E28" s="385">
        <f t="shared" si="1"/>
        <v>27.731705367152479</v>
      </c>
      <c r="F28" s="385">
        <f t="shared" si="2"/>
        <v>27.733107406829991</v>
      </c>
      <c r="G28" s="110">
        <f t="shared" si="21"/>
        <v>0.96930890007654469</v>
      </c>
      <c r="H28" s="414" t="b">
        <f>Wh_hp&gt;='2025'!Maxi_hp</f>
        <v>0</v>
      </c>
      <c r="I28" s="390">
        <f>IF(H28,Wh_hp,'2025'!Maxi_hp)</f>
        <v>27.813666688911876</v>
      </c>
      <c r="J28" s="85">
        <f>IF(H28,An,'2025'!An_max)</f>
        <v>2020</v>
      </c>
      <c r="K28" s="197">
        <f t="shared" si="3"/>
        <v>46036</v>
      </c>
      <c r="L28" s="147">
        <f>IF(t&lt;Tvie,1-EXP((T0-t)*PertePVj)+'2025'!Pspv,1-EXP((T0-t)*PertePVj)+Pspv)</f>
        <v>5.9011248355219537E-2</v>
      </c>
      <c r="M28" s="845"/>
      <c r="N28" s="845"/>
      <c r="O28" s="48">
        <f>IF(t&lt;Tnet,'2025'!Resal+('2025'!Salim-'2025'!Resal)*(1-EXP(('2025'!Tnet-t)/('2025'!Tau_j))),Resal+(Salim-Resal)*(1-EXP((Tnet-t)/(Tau_j))))*Salcycl</f>
        <v>5.0620846060447769E-2</v>
      </c>
      <c r="P28" s="169">
        <f>(INDEX(Models!$BJ28:$BT28,,T28)*(1-R28)+INDEX(Models!$BJ28:$BT28,,T28+1)*R28-ERP_i)*Q28*Ramure*Pc/MaxiM</f>
        <v>5.2872732134902662E-5</v>
      </c>
      <c r="Q28" s="305">
        <f t="shared" si="4"/>
        <v>0.5</v>
      </c>
      <c r="R28" s="177">
        <f t="shared" si="5"/>
        <v>0.47289362374299349</v>
      </c>
      <c r="S28" s="811">
        <f t="shared" si="6"/>
        <v>-2</v>
      </c>
      <c r="T28" s="176">
        <f t="shared" si="7"/>
        <v>4</v>
      </c>
      <c r="U28" s="251">
        <f t="shared" si="8"/>
        <v>-1.5271063762570065</v>
      </c>
      <c r="V28" s="383">
        <f t="shared" si="9"/>
        <v>25.558625455410901</v>
      </c>
      <c r="W28" s="402">
        <f t="shared" si="10"/>
        <v>24.774260557415946</v>
      </c>
      <c r="X28" s="157">
        <f t="shared" si="11"/>
        <v>46036</v>
      </c>
      <c r="Y28" s="385">
        <f t="shared" si="12"/>
        <v>23.763100544233378</v>
      </c>
      <c r="Z28" s="385">
        <f t="shared" si="22"/>
        <v>25.253331139928285</v>
      </c>
      <c r="AA28" s="386">
        <f t="shared" si="13"/>
        <v>27.711519329132216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8.8706366475537063E-2</v>
      </c>
      <c r="AD28" s="231">
        <f>(INDEX(Models!$BJ28:$BT28,,AH28)*(1-AF28)+INDEX(Models!$BJ28:$BT28,,AH28+1)*AF28-ERP_i)*AE28*Ramure*Pc/MaxiM</f>
        <v>8.1411437046369185E-4</v>
      </c>
      <c r="AE28" s="305">
        <f t="shared" si="15"/>
        <v>0.5</v>
      </c>
      <c r="AF28" s="177">
        <f t="shared" si="23"/>
        <v>0.99788119011697241</v>
      </c>
      <c r="AG28" s="811">
        <f t="shared" si="24"/>
        <v>1</v>
      </c>
      <c r="AH28" s="176">
        <f t="shared" si="16"/>
        <v>7</v>
      </c>
      <c r="AI28" s="225">
        <f t="shared" si="17"/>
        <v>1.9978811901169724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'2025'!Wh/'2025'!Env_an*'2026'!Env_an</f>
        <v>26.326199007092811</v>
      </c>
      <c r="C29" s="841"/>
      <c r="D29" s="393">
        <f t="shared" si="0"/>
        <v>27.977779314606803</v>
      </c>
      <c r="E29" s="385">
        <f t="shared" si="1"/>
        <v>29.471202657848181</v>
      </c>
      <c r="F29" s="385">
        <f t="shared" si="2"/>
        <v>29.472715702164702</v>
      </c>
      <c r="G29" s="110">
        <f t="shared" si="21"/>
        <v>1.0208910053719742</v>
      </c>
      <c r="H29" s="414" t="b">
        <f>Wh_hp&gt;='2025'!Maxi_hp</f>
        <v>1</v>
      </c>
      <c r="I29" s="390">
        <f>IF(H29,Wh_hp,'2025'!Maxi_hp)</f>
        <v>29.472715702164702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5.9031858423864492E-2</v>
      </c>
      <c r="M29" s="845"/>
      <c r="N29" s="845"/>
      <c r="O29" s="48">
        <f>IF(t&lt;Tnet,'2025'!Resal+('2025'!Salim-'2025'!Resal)*(1-EXP(('2025'!Tnet-t)/('2025'!Tau_j))),Resal+(Salim-Resal)*(1-EXP((Tnet-t)/(Tau_j))))*Salcycl</f>
        <v>5.0673987097831545E-2</v>
      </c>
      <c r="P29" s="169">
        <f>(INDEX(Models!$BJ29:$BT29,,T29)*(1-R29)+INDEX(Models!$BJ29:$BT29,,T29+1)*R29-ERP_i)*Q29*Ramure*Pc/MaxiM</f>
        <v>5.1337119110797519E-5</v>
      </c>
      <c r="Q29" s="305">
        <f t="shared" si="4"/>
        <v>0.5</v>
      </c>
      <c r="R29" s="177">
        <f t="shared" si="5"/>
        <v>0.47294336869316567</v>
      </c>
      <c r="S29" s="811">
        <f t="shared" si="6"/>
        <v>-2</v>
      </c>
      <c r="T29" s="176">
        <f t="shared" si="7"/>
        <v>4</v>
      </c>
      <c r="U29" s="251">
        <f t="shared" si="8"/>
        <v>-1.5270566313068343</v>
      </c>
      <c r="V29" s="383">
        <f t="shared" si="9"/>
        <v>25.787472774824316</v>
      </c>
      <c r="W29" s="402">
        <f t="shared" si="10"/>
        <v>26.326199007092811</v>
      </c>
      <c r="X29" s="157">
        <f t="shared" si="11"/>
        <v>46037</v>
      </c>
      <c r="Y29" s="385">
        <f t="shared" si="12"/>
        <v>25.252076419259279</v>
      </c>
      <c r="Z29" s="385">
        <f t="shared" si="22"/>
        <v>26.836271392739906</v>
      </c>
      <c r="AA29" s="386">
        <f t="shared" si="13"/>
        <v>29.449112417275128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8.8723931217787849E-2</v>
      </c>
      <c r="AD29" s="231">
        <f>(INDEX(Models!$BJ29:$BT29,,AH29)*(1-AF29)+INDEX(Models!$BJ29:$BT29,,AH29+1)*AF29-ERP_i)*AE29*Ramure*Pc/MaxiM</f>
        <v>8.0085205340753622E-4</v>
      </c>
      <c r="AE29" s="305">
        <f t="shared" si="15"/>
        <v>0.5</v>
      </c>
      <c r="AF29" s="177">
        <f t="shared" si="23"/>
        <v>0.99793093506714459</v>
      </c>
      <c r="AG29" s="811">
        <f t="shared" si="24"/>
        <v>1</v>
      </c>
      <c r="AH29" s="176">
        <f t="shared" si="16"/>
        <v>7</v>
      </c>
      <c r="AI29" s="225">
        <f t="shared" si="17"/>
        <v>1.9979309350671446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'2025'!Wh/'2025'!Env_an*'2026'!Env_an</f>
        <v>25.856307446620985</v>
      </c>
      <c r="C30" s="841"/>
      <c r="D30" s="393">
        <f t="shared" si="0"/>
        <v>27.479010857058356</v>
      </c>
      <c r="E30" s="385">
        <f t="shared" si="1"/>
        <v>28.947431095999939</v>
      </c>
      <c r="F30" s="385">
        <f t="shared" si="2"/>
        <v>28.948856614941636</v>
      </c>
      <c r="G30" s="110">
        <f t="shared" si="21"/>
        <v>0.99364355746615263</v>
      </c>
      <c r="H30" s="414" t="b">
        <f>Wh_hp&gt;='2025'!Maxi_hp</f>
        <v>0</v>
      </c>
      <c r="I30" s="390">
        <f>IF(H30,Wh_hp,'2025'!Maxi_hp)</f>
        <v>29.178076379468706</v>
      </c>
      <c r="J30" s="85">
        <f>IF(H30,An,'2025'!An_max)</f>
        <v>2019</v>
      </c>
      <c r="K30" s="197">
        <f t="shared" si="3"/>
        <v>46038</v>
      </c>
      <c r="L30" s="147">
        <f>IF(t&lt;Tvie,1-EXP((T0-t)*PertePVj)+'2025'!Pspv,1-EXP((T0-t)*PertePVj)+Pspv)</f>
        <v>5.9052468041096096E-2</v>
      </c>
      <c r="M30" s="845"/>
      <c r="N30" s="845"/>
      <c r="O30" s="48">
        <f>IF(t&lt;Tnet,'2025'!Resal+('2025'!Salim-'2025'!Resal)*(1-EXP(('2025'!Tnet-t)/('2025'!Tau_j))),Resal+(Salim-Resal)*(1-EXP((Tnet-t)/(Tau_j))))*Salcycl</f>
        <v>5.0727134786910183E-2</v>
      </c>
      <c r="P30" s="169">
        <f>(INDEX(Models!$BJ30:$BT30,,T30)*(1-R30)+INDEX(Models!$BJ30:$BT30,,T30+1)*R30-ERP_i)*Q30*Ramure*Pc/MaxiM</f>
        <v>4.9693888313298862E-5</v>
      </c>
      <c r="Q30" s="305">
        <f t="shared" si="4"/>
        <v>0.5</v>
      </c>
      <c r="R30" s="177">
        <f t="shared" si="5"/>
        <v>0.47299519000855894</v>
      </c>
      <c r="S30" s="811">
        <f t="shared" si="6"/>
        <v>-2</v>
      </c>
      <c r="T30" s="176">
        <f t="shared" si="7"/>
        <v>4</v>
      </c>
      <c r="U30" s="251">
        <f t="shared" si="8"/>
        <v>-1.5270048099914411</v>
      </c>
      <c r="V30" s="383">
        <f t="shared" si="9"/>
        <v>26.021701227647529</v>
      </c>
      <c r="W30" s="402">
        <f t="shared" si="10"/>
        <v>25.856307446620985</v>
      </c>
      <c r="X30" s="157">
        <f t="shared" si="11"/>
        <v>46038</v>
      </c>
      <c r="Y30" s="385">
        <f t="shared" si="12"/>
        <v>24.802749941796282</v>
      </c>
      <c r="Z30" s="385">
        <f t="shared" si="22"/>
        <v>26.359333649731649</v>
      </c>
      <c r="AA30" s="386">
        <f t="shared" si="13"/>
        <v>28.926299127195723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8.874157963231058E-2</v>
      </c>
      <c r="AD30" s="231">
        <f>(INDEX(Models!$BJ30:$BT30,,AH30)*(1-AF30)+INDEX(Models!$BJ30:$BT30,,AH30+1)*AF30-ERP_i)*AE30*Ramure*Pc/MaxiM</f>
        <v>7.8635873848145992E-4</v>
      </c>
      <c r="AE30" s="305">
        <f t="shared" si="15"/>
        <v>0.5</v>
      </c>
      <c r="AF30" s="177">
        <f t="shared" si="23"/>
        <v>0.99798275638253786</v>
      </c>
      <c r="AG30" s="811">
        <f t="shared" si="24"/>
        <v>1</v>
      </c>
      <c r="AH30" s="176">
        <f t="shared" si="16"/>
        <v>7</v>
      </c>
      <c r="AI30" s="225">
        <f t="shared" si="17"/>
        <v>1.9979827563825379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'2025'!Wh/'2025'!Env_an*'2026'!Env_an</f>
        <v>13.235477193310127</v>
      </c>
      <c r="C31" s="841"/>
      <c r="D31" s="393">
        <f t="shared" si="0"/>
        <v>14.066424153346084</v>
      </c>
      <c r="E31" s="385">
        <f t="shared" si="1"/>
        <v>14.818933932295499</v>
      </c>
      <c r="F31" s="385">
        <f t="shared" si="2"/>
        <v>14.819141293469155</v>
      </c>
      <c r="G31" s="110">
        <f t="shared" si="21"/>
        <v>0.50397844335436348</v>
      </c>
      <c r="H31" s="414" t="b">
        <f>Wh_hp&gt;='2025'!Maxi_hp</f>
        <v>1</v>
      </c>
      <c r="I31" s="390">
        <f>IF(H31,Wh_hp,'2025'!Maxi_hp)</f>
        <v>14.819141293469155</v>
      </c>
      <c r="J31" s="85">
        <f>IF(H31,An,'2025'!An_max)</f>
        <v>2026</v>
      </c>
      <c r="K31" s="197">
        <f t="shared" si="3"/>
        <v>46039</v>
      </c>
      <c r="L31" s="147">
        <f>IF(t&lt;Tvie,1-EXP((T0-t)*PertePVj)+'2025'!Pspv,1-EXP((T0-t)*PertePVj)+Pspv)</f>
        <v>5.9073077206924229E-2</v>
      </c>
      <c r="M31" s="845"/>
      <c r="N31" s="845"/>
      <c r="O31" s="48">
        <f>IF(t&lt;Tnet,'2025'!Resal+('2025'!Salim-'2025'!Resal)*(1-EXP(('2025'!Tnet-t)/('2025'!Tau_j))),Resal+(Salim-Resal)*(1-EXP((Tnet-t)/(Tau_j))))*Salcycl</f>
        <v>5.0780291105113805E-2</v>
      </c>
      <c r="P31" s="169">
        <f>(INDEX(Models!$BJ31:$BT31,,T31)*(1-R31)+INDEX(Models!$BJ31:$BT31,,T31+1)*R31-ERP_i)*Q31*Ramure*Pc/MaxiM</f>
        <v>4.80155228832378E-5</v>
      </c>
      <c r="Q31" s="305">
        <f t="shared" si="4"/>
        <v>0.5</v>
      </c>
      <c r="R31" s="177">
        <f t="shared" si="5"/>
        <v>0.47304917389791301</v>
      </c>
      <c r="S31" s="811">
        <f t="shared" si="6"/>
        <v>-2</v>
      </c>
      <c r="T31" s="176">
        <f t="shared" si="7"/>
        <v>4</v>
      </c>
      <c r="U31" s="251">
        <f t="shared" si="8"/>
        <v>-1.526950826102087</v>
      </c>
      <c r="V31" s="383">
        <f t="shared" si="9"/>
        <v>26.261097184736123</v>
      </c>
      <c r="W31" s="402">
        <f t="shared" si="10"/>
        <v>13.235477193310127</v>
      </c>
      <c r="X31" s="157">
        <f t="shared" si="11"/>
        <v>46039</v>
      </c>
      <c r="Y31" s="385">
        <f t="shared" si="12"/>
        <v>12.703238429055832</v>
      </c>
      <c r="Z31" s="385">
        <f t="shared" si="22"/>
        <v>13.500770486348884</v>
      </c>
      <c r="AA31" s="386">
        <f t="shared" si="13"/>
        <v>14.815811789728548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8.8759314848434412E-2</v>
      </c>
      <c r="AD31" s="231">
        <f>(INDEX(Models!$BJ31:$BT31,,AH31)*(1-AF31)+INDEX(Models!$BJ31:$BT31,,AH31+1)*AF31-ERP_i)*AE31*Ramure*Pc/MaxiM</f>
        <v>7.7096334009083239E-4</v>
      </c>
      <c r="AE31" s="305">
        <f t="shared" si="15"/>
        <v>0.5</v>
      </c>
      <c r="AF31" s="177">
        <f t="shared" si="23"/>
        <v>0.99803674027189193</v>
      </c>
      <c r="AG31" s="811">
        <f t="shared" si="24"/>
        <v>1</v>
      </c>
      <c r="AH31" s="176">
        <f t="shared" si="16"/>
        <v>7</v>
      </c>
      <c r="AI31" s="225">
        <f t="shared" si="17"/>
        <v>1.9980367402718919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'2025'!Wh/'2025'!Env_an*'2026'!Env_an</f>
        <v>3.4943684816888467</v>
      </c>
      <c r="C32" s="841"/>
      <c r="D32" s="393">
        <f t="shared" si="0"/>
        <v>3.7138325350814747</v>
      </c>
      <c r="E32" s="385">
        <f t="shared" si="1"/>
        <v>3.9127301397423633</v>
      </c>
      <c r="F32" s="385">
        <f t="shared" si="2"/>
        <v>3.9127301397423633</v>
      </c>
      <c r="G32" s="110">
        <f t="shared" si="21"/>
        <v>0.13182974926487362</v>
      </c>
      <c r="H32" s="414" t="b">
        <f>Wh_hp&gt;='2025'!Maxi_hp</f>
        <v>0</v>
      </c>
      <c r="I32" s="390">
        <f>IF(H32,Wh_hp,'2025'!Maxi_hp)</f>
        <v>28.469265740450702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5.9093685921358663E-2</v>
      </c>
      <c r="M32" s="845"/>
      <c r="N32" s="845"/>
      <c r="O32" s="48">
        <f>IF(t&lt;Tnet,'2025'!Resal+('2025'!Salim-'2025'!Resal)*(1-EXP(('2025'!Tnet-t)/('2025'!Tau_j))),Resal+(Salim-Resal)*(1-EXP((Tnet-t)/(Tau_j))))*Salcycl</f>
        <v>5.0833458367252671E-2</v>
      </c>
      <c r="P32" s="169">
        <f>(INDEX(Models!$BJ32:$BT32,,T32)*(1-R32)+INDEX(Models!$BJ32:$BT32,,T32+1)*R32-ERP_i)*Q32*Ramure*Pc/MaxiM</f>
        <v>4.6304265952858412E-5</v>
      </c>
      <c r="Q32" s="305">
        <f t="shared" si="4"/>
        <v>0.5</v>
      </c>
      <c r="R32" s="177">
        <f t="shared" si="5"/>
        <v>0.47310541011005469</v>
      </c>
      <c r="S32" s="811">
        <f t="shared" si="6"/>
        <v>-2</v>
      </c>
      <c r="T32" s="176">
        <f t="shared" si="7"/>
        <v>4</v>
      </c>
      <c r="U32" s="251">
        <f t="shared" si="8"/>
        <v>-1.5268945898899453</v>
      </c>
      <c r="V32" s="383">
        <f t="shared" si="9"/>
        <v>26.505448861172752</v>
      </c>
      <c r="W32" s="402">
        <f t="shared" si="10"/>
        <v>3.4943684816888467</v>
      </c>
      <c r="X32" s="157">
        <f t="shared" si="11"/>
        <v>46040</v>
      </c>
      <c r="Y32" s="385">
        <f t="shared" si="12"/>
        <v>3.3546783415816268</v>
      </c>
      <c r="Z32" s="385">
        <f t="shared" si="22"/>
        <v>3.5653691460946466</v>
      </c>
      <c r="AA32" s="386">
        <f t="shared" si="13"/>
        <v>3.9127301397423633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8.8777140574941182E-2</v>
      </c>
      <c r="AD32" s="231">
        <f>(INDEX(Models!$BJ32:$BT32,,AH32)*(1-AF32)+INDEX(Models!$BJ32:$BT32,,AH32+1)*AF32-ERP_i)*AE32*Ramure*Pc/MaxiM</f>
        <v>7.5470428801302915E-4</v>
      </c>
      <c r="AE32" s="305">
        <f t="shared" si="15"/>
        <v>0.5</v>
      </c>
      <c r="AF32" s="177">
        <f t="shared" si="23"/>
        <v>0.99809297648403361</v>
      </c>
      <c r="AG32" s="811">
        <f t="shared" si="24"/>
        <v>1</v>
      </c>
      <c r="AH32" s="176">
        <f t="shared" si="16"/>
        <v>7</v>
      </c>
      <c r="AI32" s="225">
        <f t="shared" si="17"/>
        <v>1.9980929764840336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'2025'!Wh/'2025'!Env_an*'2026'!Env_an</f>
        <v>10.107487279337047</v>
      </c>
      <c r="C33" s="841"/>
      <c r="D33" s="393">
        <f t="shared" si="0"/>
        <v>10.742524003566984</v>
      </c>
      <c r="E33" s="385">
        <f t="shared" si="1"/>
        <v>11.318483593579563</v>
      </c>
      <c r="F33" s="385">
        <f t="shared" si="2"/>
        <v>11.318539641578871</v>
      </c>
      <c r="G33" s="110">
        <f t="shared" si="21"/>
        <v>0.37777084575695213</v>
      </c>
      <c r="H33" s="414" t="b">
        <f>Wh_hp&gt;='2025'!Maxi_hp</f>
        <v>0</v>
      </c>
      <c r="I33" s="390">
        <f>IF(H33,Wh_hp,'2025'!Maxi_hp)</f>
        <v>30.474199442688686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5.9114294184409388E-2</v>
      </c>
      <c r="M33" s="845"/>
      <c r="N33" s="845"/>
      <c r="O33" s="48">
        <f>IF(t&lt;Tnet,'2025'!Resal+('2025'!Salim-'2025'!Resal)*(1-EXP(('2025'!Tnet-t)/('2025'!Tau_j))),Resal+(Salim-Resal)*(1-EXP((Tnet-t)/(Tau_j))))*Salcycl</f>
        <v>5.0886639120040149E-2</v>
      </c>
      <c r="P33" s="169">
        <f>(INDEX(Models!$BJ33:$BT33,,T33)*(1-R33)+INDEX(Models!$BJ33:$BT33,,T33+1)*R33-ERP_i)*Q33*Ramure*Pc/MaxiM</f>
        <v>4.4562277573273737E-5</v>
      </c>
      <c r="Q33" s="305">
        <f t="shared" si="4"/>
        <v>0.5</v>
      </c>
      <c r="R33" s="177">
        <f t="shared" si="5"/>
        <v>0.47316399207591564</v>
      </c>
      <c r="S33" s="811">
        <f t="shared" si="6"/>
        <v>-2</v>
      </c>
      <c r="T33" s="176">
        <f t="shared" si="7"/>
        <v>4</v>
      </c>
      <c r="U33" s="251">
        <f t="shared" si="8"/>
        <v>-1.5268360079240844</v>
      </c>
      <c r="V33" s="383">
        <f t="shared" si="9"/>
        <v>26.754544532063203</v>
      </c>
      <c r="W33" s="402">
        <f t="shared" si="10"/>
        <v>10.107487279337047</v>
      </c>
      <c r="X33" s="157">
        <f t="shared" si="11"/>
        <v>46041</v>
      </c>
      <c r="Y33" s="385">
        <f t="shared" si="12"/>
        <v>9.7030380202928939</v>
      </c>
      <c r="Z33" s="385">
        <f t="shared" si="22"/>
        <v>10.312663865885796</v>
      </c>
      <c r="AA33" s="386">
        <f t="shared" si="13"/>
        <v>11.317611904327022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8.879506091360205E-2</v>
      </c>
      <c r="AD33" s="231">
        <f>(INDEX(Models!$BJ33:$BT33,,AH33)*(1-AF33)+INDEX(Models!$BJ33:$BT33,,AH33+1)*AF33-ERP_i)*AE33*Ramure*Pc/MaxiM</f>
        <v>7.3761928065316739E-4</v>
      </c>
      <c r="AE33" s="305">
        <f t="shared" si="15"/>
        <v>0.5</v>
      </c>
      <c r="AF33" s="177">
        <f t="shared" si="23"/>
        <v>0.99815155844989456</v>
      </c>
      <c r="AG33" s="811">
        <f t="shared" si="24"/>
        <v>1</v>
      </c>
      <c r="AH33" s="176">
        <f t="shared" si="16"/>
        <v>7</v>
      </c>
      <c r="AI33" s="225">
        <f t="shared" si="17"/>
        <v>1.9981515584498946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'2025'!Wh/'2025'!Env_an*'2026'!Env_an</f>
        <v>6.3582762277768996</v>
      </c>
      <c r="C34" s="841"/>
      <c r="D34" s="393">
        <f t="shared" si="0"/>
        <v>6.7579042322499365</v>
      </c>
      <c r="E34" s="385">
        <f t="shared" si="1"/>
        <v>7.1206278472903133</v>
      </c>
      <c r="F34" s="385">
        <f t="shared" si="2"/>
        <v>7.1206278472903133</v>
      </c>
      <c r="G34" s="110">
        <f t="shared" si="21"/>
        <v>0.23541037959078076</v>
      </c>
      <c r="H34" s="414" t="b">
        <f>Wh_hp&gt;='2025'!Maxi_hp</f>
        <v>0</v>
      </c>
      <c r="I34" s="390">
        <f>IF(H34,Wh_hp,'2025'!Maxi_hp)</f>
        <v>12.344744575403277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5.9134901996086287E-2</v>
      </c>
      <c r="M34" s="845"/>
      <c r="N34" s="845"/>
      <c r="O34" s="48">
        <f>IF(t&lt;Tnet,'2025'!Resal+('2025'!Salim-'2025'!Resal)*(1-EXP(('2025'!Tnet-t)/('2025'!Tau_j))),Resal+(Salim-Resal)*(1-EXP((Tnet-t)/(Tau_j))))*Salcycl</f>
        <v>5.0939836039655892E-2</v>
      </c>
      <c r="P34" s="169">
        <f>(INDEX(Models!$BJ34:$BT34,,T34)*(1-R34)+INDEX(Models!$BJ34:$BT34,,T34+1)*R34-ERP_i)*Q34*Ramure*Pc/MaxiM</f>
        <v>4.2791870137673588E-5</v>
      </c>
      <c r="Q34" s="305">
        <f t="shared" si="4"/>
        <v>0.5</v>
      </c>
      <c r="R34" s="177">
        <f t="shared" si="5"/>
        <v>0.47322501705595843</v>
      </c>
      <c r="S34" s="811">
        <f t="shared" si="6"/>
        <v>-2</v>
      </c>
      <c r="T34" s="176">
        <f t="shared" si="7"/>
        <v>4</v>
      </c>
      <c r="U34" s="251">
        <f t="shared" si="8"/>
        <v>-1.5267749829440416</v>
      </c>
      <c r="V34" s="383">
        <f t="shared" si="9"/>
        <v>27.008172521103468</v>
      </c>
      <c r="W34" s="402">
        <f t="shared" si="10"/>
        <v>6.3582762277768996</v>
      </c>
      <c r="X34" s="157">
        <f t="shared" si="11"/>
        <v>46042</v>
      </c>
      <c r="Y34" s="385">
        <f t="shared" si="12"/>
        <v>6.1045425267701132</v>
      </c>
      <c r="Z34" s="385">
        <f t="shared" si="22"/>
        <v>6.4882229553643409</v>
      </c>
      <c r="AA34" s="386">
        <f t="shared" si="13"/>
        <v>7.1206278472903133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8.8813080178965997E-2</v>
      </c>
      <c r="AD34" s="231">
        <f>(INDEX(Models!$BJ34:$BT34,,AH34)*(1-AF34)+INDEX(Models!$BJ34:$BT34,,AH34+1)*AF34-ERP_i)*AE34*Ramure*Pc/MaxiM</f>
        <v>7.1974919491263139E-4</v>
      </c>
      <c r="AE34" s="305">
        <f t="shared" si="15"/>
        <v>0.5</v>
      </c>
      <c r="AF34" s="177">
        <f t="shared" si="23"/>
        <v>0.99821258342993735</v>
      </c>
      <c r="AG34" s="811">
        <f t="shared" si="24"/>
        <v>1</v>
      </c>
      <c r="AH34" s="176">
        <f t="shared" si="16"/>
        <v>7</v>
      </c>
      <c r="AI34" s="225">
        <f t="shared" si="17"/>
        <v>1.9982125834299374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'2025'!Wh/'2025'!Env_an*'2026'!Env_an</f>
        <v>20.309593954538276</v>
      </c>
      <c r="C35" s="841"/>
      <c r="D35" s="393">
        <f t="shared" si="0"/>
        <v>21.586557774967837</v>
      </c>
      <c r="E35" s="385">
        <f t="shared" si="1"/>
        <v>22.746469682514793</v>
      </c>
      <c r="F35" s="385">
        <f t="shared" si="2"/>
        <v>22.747062321791933</v>
      </c>
      <c r="G35" s="110">
        <f t="shared" si="21"/>
        <v>0.7448544046986082</v>
      </c>
      <c r="H35" s="414" t="b">
        <f>Wh_hp&gt;='2025'!Maxi_hp</f>
        <v>1</v>
      </c>
      <c r="I35" s="390">
        <f>IF(H35,Wh_hp,'2025'!Maxi_hp)</f>
        <v>22.747062321791933</v>
      </c>
      <c r="J35" s="85">
        <f>IF(H35,An,'2025'!An_max)</f>
        <v>2026</v>
      </c>
      <c r="K35" s="197">
        <f t="shared" si="3"/>
        <v>46043</v>
      </c>
      <c r="L35" s="147">
        <f>IF(t&lt;Tvie,1-EXP((T0-t)*PertePVj)+'2025'!Pspv,1-EXP((T0-t)*PertePVj)+Pspv)</f>
        <v>5.9155509356399127E-2</v>
      </c>
      <c r="M35" s="845"/>
      <c r="N35" s="845"/>
      <c r="O35" s="48">
        <f>IF(t&lt;Tnet,'2025'!Resal+('2025'!Salim-'2025'!Resal)*(1-EXP(('2025'!Tnet-t)/('2025'!Tau_j))),Resal+(Salim-Resal)*(1-EXP((Tnet-t)/(Tau_j))))*Salcycl</f>
        <v>5.0993051833383159E-2</v>
      </c>
      <c r="P35" s="169">
        <f>(INDEX(Models!$BJ35:$BT35,,T35)*(1-R35)+INDEX(Models!$BJ35:$BT35,,T35+1)*R35-ERP_i)*Q35*Ramure*Pc/MaxiM</f>
        <v>4.0995330571778409E-5</v>
      </c>
      <c r="Q35" s="305">
        <f t="shared" si="4"/>
        <v>0.5</v>
      </c>
      <c r="R35" s="177">
        <f t="shared" si="5"/>
        <v>0.47328858629319459</v>
      </c>
      <c r="S35" s="811">
        <f t="shared" si="6"/>
        <v>-2</v>
      </c>
      <c r="T35" s="176">
        <f t="shared" si="7"/>
        <v>4</v>
      </c>
      <c r="U35" s="251">
        <f t="shared" si="8"/>
        <v>-1.5267114137068054</v>
      </c>
      <c r="V35" s="383">
        <f t="shared" si="9"/>
        <v>27.266121210852152</v>
      </c>
      <c r="W35" s="402">
        <f t="shared" si="10"/>
        <v>20.309593954538276</v>
      </c>
      <c r="X35" s="157">
        <f t="shared" si="11"/>
        <v>46043</v>
      </c>
      <c r="Y35" s="385">
        <f t="shared" si="12"/>
        <v>19.491642778801353</v>
      </c>
      <c r="Z35" s="385">
        <f t="shared" si="22"/>
        <v>20.71717799555563</v>
      </c>
      <c r="AA35" s="386">
        <f t="shared" si="13"/>
        <v>22.736926525074317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8.8831202726160172E-2</v>
      </c>
      <c r="AD35" s="231">
        <f>(INDEX(Models!$BJ35:$BT35,,AH35)*(1-AF35)+INDEX(Models!$BJ35:$BT35,,AH35+1)*AF35-ERP_i)*AE35*Ramure*Pc/MaxiM</f>
        <v>7.0113533320392276E-4</v>
      </c>
      <c r="AE35" s="305">
        <f t="shared" si="15"/>
        <v>0.5</v>
      </c>
      <c r="AF35" s="177">
        <f t="shared" si="23"/>
        <v>0.99827615266717351</v>
      </c>
      <c r="AG35" s="811">
        <f t="shared" si="24"/>
        <v>1</v>
      </c>
      <c r="AH35" s="176">
        <f t="shared" si="16"/>
        <v>7</v>
      </c>
      <c r="AI35" s="225">
        <f t="shared" si="17"/>
        <v>1.9982761526671735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'2025'!Wh/'2025'!Env_an*'2026'!Env_an</f>
        <v>27.403372665317601</v>
      </c>
      <c r="C36" s="841"/>
      <c r="D36" s="393">
        <f t="shared" si="0"/>
        <v>29.126995114684696</v>
      </c>
      <c r="E36" s="385">
        <f t="shared" si="1"/>
        <v>30.693799688586576</v>
      </c>
      <c r="F36" s="385">
        <f t="shared" si="2"/>
        <v>30.694994365394528</v>
      </c>
      <c r="G36" s="110">
        <f t="shared" si="21"/>
        <v>0.99546597888261523</v>
      </c>
      <c r="H36" s="414" t="b">
        <f>Wh_hp&gt;='2025'!Maxi_hp</f>
        <v>1</v>
      </c>
      <c r="I36" s="390">
        <f>IF(H36,Wh_hp,'2025'!Maxi_hp)</f>
        <v>30.694994365394528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5.9176116265358014E-2</v>
      </c>
      <c r="M36" s="845"/>
      <c r="N36" s="845"/>
      <c r="O36" s="48">
        <f>IF(t&lt;Tnet,'2025'!Resal+('2025'!Salim-'2025'!Resal)*(1-EXP(('2025'!Tnet-t)/('2025'!Tau_j))),Resal+(Salim-Resal)*(1-EXP((Tnet-t)/(Tau_j))))*Salcycl</f>
        <v>5.1046289146289475E-2</v>
      </c>
      <c r="P36" s="169">
        <f>(INDEX(Models!$BJ36:$BT36,,T36)*(1-R36)+INDEX(Models!$BJ36:$BT36,,T36+1)*R36-ERP_i)*Q36*Ramure*Pc/MaxiM</f>
        <v>3.9174626757258548E-5</v>
      </c>
      <c r="Q36" s="305">
        <f t="shared" si="4"/>
        <v>0.5</v>
      </c>
      <c r="R36" s="177">
        <f t="shared" si="5"/>
        <v>0.4733548051719767</v>
      </c>
      <c r="S36" s="811">
        <f t="shared" si="6"/>
        <v>-2</v>
      </c>
      <c r="T36" s="176">
        <f t="shared" si="7"/>
        <v>4</v>
      </c>
      <c r="U36" s="251">
        <f t="shared" si="8"/>
        <v>-1.5266451948280233</v>
      </c>
      <c r="V36" s="383">
        <f t="shared" si="9"/>
        <v>27.528179057248366</v>
      </c>
      <c r="W36" s="402">
        <f t="shared" si="10"/>
        <v>27.403372665317601</v>
      </c>
      <c r="X36" s="157">
        <f t="shared" si="11"/>
        <v>46044</v>
      </c>
      <c r="Y36" s="385">
        <f t="shared" si="12"/>
        <v>26.294913811641177</v>
      </c>
      <c r="Z36" s="385">
        <f t="shared" si="22"/>
        <v>27.948816209110628</v>
      </c>
      <c r="AA36" s="386">
        <f t="shared" si="13"/>
        <v>30.674201624700366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8.8849432788337734E-2</v>
      </c>
      <c r="AD36" s="231">
        <f>(INDEX(Models!$BJ36:$BT36,,AH36)*(1-AF36)+INDEX(Models!$BJ36:$BT36,,AH36+1)*AF36-ERP_i)*AE36*Ramure*Pc/MaxiM</f>
        <v>6.8181440413988225E-4</v>
      </c>
      <c r="AE36" s="305">
        <f t="shared" si="15"/>
        <v>0.5</v>
      </c>
      <c r="AF36" s="177">
        <f t="shared" si="23"/>
        <v>0.99834237154595562</v>
      </c>
      <c r="AG36" s="811">
        <f t="shared" si="24"/>
        <v>1</v>
      </c>
      <c r="AH36" s="176">
        <f t="shared" si="16"/>
        <v>7</v>
      </c>
      <c r="AI36" s="225">
        <f t="shared" si="17"/>
        <v>1.9983423715459556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'2025'!Wh/'2025'!Env_an*'2026'!Env_an</f>
        <v>27.466757707478166</v>
      </c>
      <c r="C37" s="841"/>
      <c r="D37" s="393">
        <f t="shared" si="0"/>
        <v>29.195006406626653</v>
      </c>
      <c r="E37" s="385">
        <f t="shared" si="1"/>
        <v>30.767196307268701</v>
      </c>
      <c r="F37" s="385">
        <f t="shared" si="2"/>
        <v>30.768325353150232</v>
      </c>
      <c r="G37" s="110">
        <f t="shared" si="21"/>
        <v>0.98812821314122778</v>
      </c>
      <c r="H37" s="414" t="b">
        <f>Wh_hp&gt;='2025'!Maxi_hp</f>
        <v>1</v>
      </c>
      <c r="I37" s="390">
        <f>IF(H37,Wh_hp,'2025'!Maxi_hp)</f>
        <v>30.768325353150232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5.9196722722972606E-2</v>
      </c>
      <c r="M37" s="845"/>
      <c r="N37" s="845"/>
      <c r="O37" s="48">
        <f>IF(t&lt;Tnet,'2025'!Resal+('2025'!Salim-'2025'!Resal)*(1-EXP(('2025'!Tnet-t)/('2025'!Tau_j))),Resal+(Salim-Resal)*(1-EXP((Tnet-t)/(Tau_j))))*Salcycl</f>
        <v>5.1099550473847392E-2</v>
      </c>
      <c r="P37" s="169">
        <f>(INDEX(Models!$BJ37:$BT37,,T37)*(1-R37)+INDEX(Models!$BJ37:$BT37,,T37+1)*R37-ERP_i)*Q37*Ramure*Pc/MaxiM</f>
        <v>3.7328110978122822E-5</v>
      </c>
      <c r="Q37" s="305">
        <f t="shared" si="4"/>
        <v>0.5</v>
      </c>
      <c r="R37" s="177">
        <f t="shared" si="5"/>
        <v>0.47342378338275393</v>
      </c>
      <c r="S37" s="811">
        <f t="shared" si="6"/>
        <v>-2</v>
      </c>
      <c r="T37" s="176">
        <f t="shared" si="7"/>
        <v>4</v>
      </c>
      <c r="U37" s="251">
        <f t="shared" si="8"/>
        <v>-1.5265762166172461</v>
      </c>
      <c r="V37" s="383">
        <f t="shared" si="9"/>
        <v>27.796737259395591</v>
      </c>
      <c r="W37" s="402">
        <f t="shared" si="10"/>
        <v>27.466757707478166</v>
      </c>
      <c r="X37" s="157">
        <f t="shared" si="11"/>
        <v>46045</v>
      </c>
      <c r="Y37" s="385">
        <f t="shared" si="12"/>
        <v>26.357333494685221</v>
      </c>
      <c r="Z37" s="385">
        <f t="shared" si="22"/>
        <v>28.015775594416944</v>
      </c>
      <c r="AA37" s="386">
        <f t="shared" si="13"/>
        <v>30.748309416528652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8.8867774325272195E-2</v>
      </c>
      <c r="AD37" s="231">
        <f>(INDEX(Models!$BJ37:$BT37,,AH37)*(1-AF37)+INDEX(Models!$BJ37:$BT37,,AH37+1)*AF37-ERP_i)*AE37*Ramure*Pc/MaxiM</f>
        <v>6.6175973515597379E-4</v>
      </c>
      <c r="AE37" s="305">
        <f t="shared" si="15"/>
        <v>0.5</v>
      </c>
      <c r="AF37" s="177">
        <f t="shared" si="23"/>
        <v>0.99841134975673285</v>
      </c>
      <c r="AG37" s="811">
        <f t="shared" si="24"/>
        <v>1</v>
      </c>
      <c r="AH37" s="176">
        <f t="shared" si="16"/>
        <v>7</v>
      </c>
      <c r="AI37" s="225">
        <f t="shared" si="17"/>
        <v>1.9984113497567328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'2025'!Wh/'2025'!Env_an*'2026'!Env_an</f>
        <v>28.084238326930787</v>
      </c>
      <c r="C38" s="841"/>
      <c r="D38" s="393">
        <f t="shared" si="0"/>
        <v>29.851993648008477</v>
      </c>
      <c r="E38" s="385">
        <f t="shared" si="1"/>
        <v>31.461329965559472</v>
      </c>
      <c r="F38" s="385">
        <f t="shared" si="2"/>
        <v>31.462446805790833</v>
      </c>
      <c r="G38" s="110">
        <f t="shared" si="21"/>
        <v>1.0003758637461395</v>
      </c>
      <c r="H38" s="414" t="b">
        <f>Wh_hp&gt;='2025'!Maxi_hp</f>
        <v>1</v>
      </c>
      <c r="I38" s="390">
        <f>IF(H38,Wh_hp,'2025'!Maxi_hp)</f>
        <v>31.462446805790833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5.9217328729253005E-2</v>
      </c>
      <c r="M38" s="845"/>
      <c r="N38" s="845"/>
      <c r="O38" s="48">
        <f>IF(t&lt;Tnet,'2025'!Resal+('2025'!Salim-'2025'!Resal)*(1-EXP(('2025'!Tnet-t)/('2025'!Tau_j))),Resal+(Salim-Resal)*(1-EXP((Tnet-t)/(Tau_j))))*Salcycl</f>
        <v>5.1152838081312033E-2</v>
      </c>
      <c r="P38" s="169">
        <f>(INDEX(Models!$BJ38:$BT38,,T38)*(1-R38)+INDEX(Models!$BJ38:$BT38,,T38+1)*R38-ERP_i)*Q38*Ramure*Pc/MaxiM</f>
        <v>3.5497564390142114E-5</v>
      </c>
      <c r="Q38" s="305">
        <f t="shared" si="4"/>
        <v>0.5</v>
      </c>
      <c r="R38" s="177">
        <f t="shared" si="5"/>
        <v>0.47349563509298331</v>
      </c>
      <c r="S38" s="811">
        <f t="shared" si="6"/>
        <v>-2</v>
      </c>
      <c r="T38" s="176">
        <f t="shared" si="7"/>
        <v>4</v>
      </c>
      <c r="U38" s="251">
        <f t="shared" si="8"/>
        <v>-1.5265043649070167</v>
      </c>
      <c r="V38" s="383">
        <f t="shared" si="9"/>
        <v>28.073686445975255</v>
      </c>
      <c r="W38" s="402">
        <f t="shared" si="10"/>
        <v>28.084238326930787</v>
      </c>
      <c r="X38" s="157">
        <f t="shared" si="11"/>
        <v>46046</v>
      </c>
      <c r="Y38" s="385">
        <f t="shared" si="12"/>
        <v>26.951065375265561</v>
      </c>
      <c r="Z38" s="385">
        <f t="shared" si="22"/>
        <v>28.647493409781713</v>
      </c>
      <c r="AA38" s="386">
        <f t="shared" si="13"/>
        <v>31.442279088363225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8.8886230884448192E-2</v>
      </c>
      <c r="AD38" s="231">
        <f>(INDEX(Models!$BJ38:$BT38,,AH38)*(1-AF38)+INDEX(Models!$BJ38:$BT38,,AH38+1)*AF38-ERP_i)*AE38*Ramure*Pc/MaxiM</f>
        <v>6.4100918635146996E-4</v>
      </c>
      <c r="AE38" s="305">
        <f t="shared" si="15"/>
        <v>0.5</v>
      </c>
      <c r="AF38" s="177">
        <f t="shared" si="23"/>
        <v>0.99848320146696223</v>
      </c>
      <c r="AG38" s="811">
        <f t="shared" si="24"/>
        <v>1</v>
      </c>
      <c r="AH38" s="176">
        <f t="shared" si="16"/>
        <v>7</v>
      </c>
      <c r="AI38" s="225">
        <f t="shared" si="17"/>
        <v>1.9984832014669622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'2025'!Wh/'2025'!Env_an*'2026'!Env_an</f>
        <v>26.746812872994006</v>
      </c>
      <c r="C39" s="841"/>
      <c r="D39" s="393">
        <f t="shared" si="0"/>
        <v>28.43100699712349</v>
      </c>
      <c r="E39" s="385">
        <f t="shared" si="1"/>
        <v>29.965420955147522</v>
      </c>
      <c r="F39" s="385">
        <f t="shared" si="2"/>
        <v>29.966350611851741</v>
      </c>
      <c r="G39" s="110">
        <f t="shared" si="21"/>
        <v>0.9431793205711313</v>
      </c>
      <c r="H39" s="414" t="b">
        <f>Wh_hp&gt;='2025'!Maxi_hp</f>
        <v>1</v>
      </c>
      <c r="I39" s="390">
        <f>IF(H39,Wh_hp,'2025'!Maxi_hp)</f>
        <v>29.966350611851741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5.9237934284208871E-2</v>
      </c>
      <c r="M39" s="845"/>
      <c r="N39" s="845"/>
      <c r="O39" s="48">
        <f>IF(t&lt;Tnet,'2025'!Resal+('2025'!Salim-'2025'!Resal)*(1-EXP(('2025'!Tnet-t)/('2025'!Tau_j))),Resal+(Salim-Resal)*(1-EXP((Tnet-t)/(Tau_j))))*Salcycl</f>
        <v>5.1206153930584024E-2</v>
      </c>
      <c r="P39" s="169">
        <f>(INDEX(Models!$BJ39:$BT39,,T39)*(1-R39)+INDEX(Models!$BJ39:$BT39,,T39+1)*R39-ERP_i)*Q39*Ramure*Pc/MaxiM</f>
        <v>3.3763928430795082E-5</v>
      </c>
      <c r="Q39" s="305">
        <f t="shared" si="4"/>
        <v>0.5</v>
      </c>
      <c r="R39" s="177">
        <f t="shared" si="5"/>
        <v>0.47357047912439154</v>
      </c>
      <c r="S39" s="811">
        <f t="shared" si="6"/>
        <v>-2</v>
      </c>
      <c r="T39" s="176">
        <f t="shared" si="7"/>
        <v>4</v>
      </c>
      <c r="U39" s="251">
        <f t="shared" si="8"/>
        <v>-1.5264295208756085</v>
      </c>
      <c r="V39" s="383">
        <f t="shared" si="9"/>
        <v>28.358064034836143</v>
      </c>
      <c r="W39" s="402">
        <f t="shared" si="10"/>
        <v>26.746812872994006</v>
      </c>
      <c r="X39" s="157">
        <f t="shared" si="11"/>
        <v>46047</v>
      </c>
      <c r="Y39" s="385">
        <f t="shared" si="12"/>
        <v>25.670238078151275</v>
      </c>
      <c r="Z39" s="385">
        <f t="shared" si="22"/>
        <v>27.286642407950133</v>
      </c>
      <c r="AA39" s="386">
        <f t="shared" si="13"/>
        <v>29.949277059024695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8.8904805475837803E-2</v>
      </c>
      <c r="AD39" s="231">
        <f>(INDEX(Models!$BJ39:$BT39,,AH39)*(1-AF39)+INDEX(Models!$BJ39:$BT39,,AH39+1)*AF39-ERP_i)*AE39*Ramure*Pc/MaxiM</f>
        <v>6.2008934383618011E-4</v>
      </c>
      <c r="AE39" s="305">
        <f t="shared" si="15"/>
        <v>0.5</v>
      </c>
      <c r="AF39" s="177">
        <f t="shared" si="23"/>
        <v>0.99855804549837046</v>
      </c>
      <c r="AG39" s="811">
        <f t="shared" si="24"/>
        <v>1</v>
      </c>
      <c r="AH39" s="176">
        <f t="shared" si="16"/>
        <v>7</v>
      </c>
      <c r="AI39" s="225">
        <f t="shared" si="17"/>
        <v>1.9985580454983705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'2025'!Wh/'2025'!Env_an*'2026'!Env_an</f>
        <v>27.701302133015634</v>
      </c>
      <c r="C40" s="841"/>
      <c r="D40" s="393">
        <f t="shared" si="0"/>
        <v>29.446243514121427</v>
      </c>
      <c r="E40" s="385">
        <f t="shared" si="1"/>
        <v>31.037194577630199</v>
      </c>
      <c r="F40" s="385">
        <f t="shared" si="2"/>
        <v>31.038144615723599</v>
      </c>
      <c r="G40" s="110">
        <f t="shared" si="21"/>
        <v>0.96692195622603982</v>
      </c>
      <c r="H40" s="414" t="b">
        <f>Wh_hp&gt;='2025'!Maxi_hp</f>
        <v>1</v>
      </c>
      <c r="I40" s="390">
        <f>IF(H40,Wh_hp,'2025'!Maxi_hp)</f>
        <v>31.038144615723599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5.9258539387850195E-2</v>
      </c>
      <c r="M40" s="845"/>
      <c r="N40" s="845"/>
      <c r="O40" s="48">
        <f>IF(t&lt;Tnet,'2025'!Resal+('2025'!Salim-'2025'!Resal)*(1-EXP(('2025'!Tnet-t)/('2025'!Tau_j))),Resal+(Salim-Resal)*(1-EXP((Tnet-t)/(Tau_j))))*Salcycl</f>
        <v>5.125949961519511E-2</v>
      </c>
      <c r="P40" s="169">
        <f>(INDEX(Models!$BJ40:$BT40,,T40)*(1-R40)+INDEX(Models!$BJ40:$BT40,,T40+1)*R40-ERP_i)*Q40*Ramure*Pc/MaxiM</f>
        <v>3.2126790102164626E-5</v>
      </c>
      <c r="Q40" s="305">
        <f t="shared" si="4"/>
        <v>0.5</v>
      </c>
      <c r="R40" s="177">
        <f t="shared" si="5"/>
        <v>0.47364843913678434</v>
      </c>
      <c r="S40" s="811">
        <f t="shared" si="6"/>
        <v>-2</v>
      </c>
      <c r="T40" s="176">
        <f t="shared" si="7"/>
        <v>4</v>
      </c>
      <c r="U40" s="251">
        <f t="shared" si="8"/>
        <v>-1.5263515608632157</v>
      </c>
      <c r="V40" s="383">
        <f t="shared" si="9"/>
        <v>28.648909977721551</v>
      </c>
      <c r="W40" s="402">
        <f t="shared" si="10"/>
        <v>27.701302133015634</v>
      </c>
      <c r="X40" s="157">
        <f t="shared" si="11"/>
        <v>46048</v>
      </c>
      <c r="Y40" s="385">
        <f t="shared" si="12"/>
        <v>26.587220853039028</v>
      </c>
      <c r="Z40" s="385">
        <f t="shared" si="22"/>
        <v>28.261984792015504</v>
      </c>
      <c r="AA40" s="386">
        <f t="shared" si="13"/>
        <v>31.02043001474394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8.8923500461384739E-2</v>
      </c>
      <c r="AD40" s="231">
        <f>(INDEX(Models!$BJ40:$BT40,,AH40)*(1-AF40)+INDEX(Models!$BJ40:$BT40,,AH40+1)*AF40-ERP_i)*AE40*Ramure*Pc/MaxiM</f>
        <v>5.9904257668338956E-4</v>
      </c>
      <c r="AE40" s="305">
        <f t="shared" si="15"/>
        <v>0.5</v>
      </c>
      <c r="AF40" s="177">
        <f t="shared" si="23"/>
        <v>0.99863600551076326</v>
      </c>
      <c r="AG40" s="811">
        <f t="shared" si="24"/>
        <v>1</v>
      </c>
      <c r="AH40" s="176">
        <f t="shared" si="16"/>
        <v>7</v>
      </c>
      <c r="AI40" s="225">
        <f t="shared" si="17"/>
        <v>1.9986360055107633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'2025'!Wh/'2025'!Env_an*'2026'!Env_an</f>
        <v>25.809768500008335</v>
      </c>
      <c r="C41" s="841"/>
      <c r="D41" s="393">
        <f t="shared" si="0"/>
        <v>27.436160617141574</v>
      </c>
      <c r="E41" s="385">
        <f t="shared" si="1"/>
        <v>28.920135977235002</v>
      </c>
      <c r="F41" s="385">
        <f t="shared" si="2"/>
        <v>28.920883648600167</v>
      </c>
      <c r="G41" s="110">
        <f t="shared" si="21"/>
        <v>0.89167077053031218</v>
      </c>
      <c r="H41" s="414" t="b">
        <f>Wh_hp&gt;='2025'!Maxi_hp</f>
        <v>1</v>
      </c>
      <c r="I41" s="390">
        <f>IF(H41,Wh_hp,'2025'!Maxi_hp)</f>
        <v>28.920883648600167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5.9279144040186971E-2</v>
      </c>
      <c r="M41" s="845"/>
      <c r="N41" s="845"/>
      <c r="O41" s="48">
        <f>IF(t&lt;Tnet,'2025'!Resal+('2025'!Salim-'2025'!Resal)*(1-EXP(('2025'!Tnet-t)/('2025'!Tau_j))),Resal+(Salim-Resal)*(1-EXP((Tnet-t)/(Tau_j))))*Salcycl</f>
        <v>5.1312876303955292E-2</v>
      </c>
      <c r="P41" s="169">
        <f>(INDEX(Models!$BJ41:$BT41,,T41)*(1-R41)+INDEX(Models!$BJ41:$BT41,,T41+1)*R41-ERP_i)*Q41*Ramure*Pc/MaxiM</f>
        <v>3.0585389599536273E-5</v>
      </c>
      <c r="Q41" s="305">
        <f t="shared" si="4"/>
        <v>0.5</v>
      </c>
      <c r="R41" s="177">
        <f t="shared" si="5"/>
        <v>0.47372964381860605</v>
      </c>
      <c r="S41" s="811">
        <f t="shared" si="6"/>
        <v>-2</v>
      </c>
      <c r="T41" s="176">
        <f t="shared" si="7"/>
        <v>4</v>
      </c>
      <c r="U41" s="251">
        <f t="shared" si="8"/>
        <v>-1.526270356181394</v>
      </c>
      <c r="V41" s="383">
        <f t="shared" si="9"/>
        <v>28.945264541482675</v>
      </c>
      <c r="W41" s="402">
        <f t="shared" si="10"/>
        <v>25.809768500008335</v>
      </c>
      <c r="X41" s="157">
        <f t="shared" si="11"/>
        <v>46049</v>
      </c>
      <c r="Y41" s="385">
        <f t="shared" si="12"/>
        <v>24.774563493799548</v>
      </c>
      <c r="Z41" s="385">
        <f t="shared" si="22"/>
        <v>26.335722586401232</v>
      </c>
      <c r="AA41" s="386">
        <f t="shared" si="13"/>
        <v>28.90675649974137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8.8942317460042289E-2</v>
      </c>
      <c r="AD41" s="231">
        <f>(INDEX(Models!$BJ41:$BT41,,AH41)*(1-AF41)+INDEX(Models!$BJ41:$BT41,,AH41+1)*AF41-ERP_i)*AE41*Ramure*Pc/MaxiM</f>
        <v>5.7790678085161849E-4</v>
      </c>
      <c r="AE41" s="305">
        <f t="shared" si="15"/>
        <v>0.5</v>
      </c>
      <c r="AF41" s="177">
        <f t="shared" si="23"/>
        <v>0.99871721019258497</v>
      </c>
      <c r="AG41" s="811">
        <f t="shared" si="24"/>
        <v>1</v>
      </c>
      <c r="AH41" s="176">
        <f t="shared" si="16"/>
        <v>7</v>
      </c>
      <c r="AI41" s="225">
        <f t="shared" si="17"/>
        <v>1.998717210192585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'2025'!Wh/'2025'!Env_an*'2026'!Env_an</f>
        <v>4.2157535905136889</v>
      </c>
      <c r="C42" s="841"/>
      <c r="D42" s="393">
        <f t="shared" si="0"/>
        <v>4.4815057534339404</v>
      </c>
      <c r="E42" s="385">
        <f t="shared" si="1"/>
        <v>4.724168750408503</v>
      </c>
      <c r="F42" s="385">
        <f t="shared" si="2"/>
        <v>4.724168750408503</v>
      </c>
      <c r="G42" s="110">
        <f t="shared" si="21"/>
        <v>0.14414301066980945</v>
      </c>
      <c r="H42" s="414" t="b">
        <f>Wh_hp&gt;='2025'!Maxi_hp</f>
        <v>0</v>
      </c>
      <c r="I42" s="390">
        <f>IF(H42,Wh_hp,'2025'!Maxi_hp)</f>
        <v>18.517028420857695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5.9299748241228967E-2</v>
      </c>
      <c r="M42" s="845"/>
      <c r="N42" s="845"/>
      <c r="O42" s="48">
        <f>IF(t&lt;Tnet,'2025'!Resal+('2025'!Salim-'2025'!Resal)*(1-EXP(('2025'!Tnet-t)/('2025'!Tau_j))),Resal+(Salim-Resal)*(1-EXP((Tnet-t)/(Tau_j))))*Salcycl</f>
        <v>5.1366284693699749E-2</v>
      </c>
      <c r="P42" s="169">
        <f>(INDEX(Models!$BJ42:$BT42,,T42)*(1-R42)+INDEX(Models!$BJ42:$BT42,,T42+1)*R42-ERP_i)*Q42*Ramure*Pc/MaxiM</f>
        <v>2.9138672213840867E-5</v>
      </c>
      <c r="Q42" s="305">
        <f t="shared" si="4"/>
        <v>0.5</v>
      </c>
      <c r="R42" s="177">
        <f t="shared" si="5"/>
        <v>0.47381422708445209</v>
      </c>
      <c r="S42" s="811">
        <f t="shared" si="6"/>
        <v>-2</v>
      </c>
      <c r="T42" s="176">
        <f t="shared" si="7"/>
        <v>4</v>
      </c>
      <c r="U42" s="251">
        <f t="shared" si="8"/>
        <v>-1.5261857729155479</v>
      </c>
      <c r="V42" s="383">
        <f t="shared" si="9"/>
        <v>29.246168298152782</v>
      </c>
      <c r="W42" s="402">
        <f t="shared" si="10"/>
        <v>4.2157535905136889</v>
      </c>
      <c r="X42" s="157">
        <f t="shared" si="11"/>
        <v>46050</v>
      </c>
      <c r="Y42" s="385">
        <f t="shared" si="12"/>
        <v>4.0486805273677664</v>
      </c>
      <c r="Z42" s="385">
        <f t="shared" si="22"/>
        <v>4.3039007588210918</v>
      </c>
      <c r="AA42" s="386">
        <f t="shared" si="13"/>
        <v>4.724168750408503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8.896125726903166E-2</v>
      </c>
      <c r="AD42" s="231">
        <f>(INDEX(Models!$BJ42:$BT42,,AH42)*(1-AF42)+INDEX(Models!$BJ42:$BT42,,AH42+1)*AF42-ERP_i)*AE42*Ramure*Pc/MaxiM</f>
        <v>5.5671548416789333E-4</v>
      </c>
      <c r="AE42" s="305">
        <f t="shared" si="15"/>
        <v>0.5</v>
      </c>
      <c r="AF42" s="177">
        <f t="shared" si="23"/>
        <v>0.99880179345843101</v>
      </c>
      <c r="AG42" s="811">
        <f t="shared" si="24"/>
        <v>1</v>
      </c>
      <c r="AH42" s="176">
        <f t="shared" si="16"/>
        <v>7</v>
      </c>
      <c r="AI42" s="225">
        <f t="shared" si="17"/>
        <v>1.998801793458431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'2025'!Wh/'2025'!Env_an*'2026'!Env_an</f>
        <v>9.2443213386318988</v>
      </c>
      <c r="C43" s="841"/>
      <c r="D43" s="393">
        <f t="shared" si="0"/>
        <v>9.8272789872703985</v>
      </c>
      <c r="E43" s="385">
        <f t="shared" si="1"/>
        <v>10.359986651603979</v>
      </c>
      <c r="F43" s="385">
        <f t="shared" si="2"/>
        <v>10.359991927419728</v>
      </c>
      <c r="G43" s="110">
        <f t="shared" si="21"/>
        <v>0.31282105104647023</v>
      </c>
      <c r="H43" s="414" t="b">
        <f>Wh_hp&gt;='2025'!Maxi_hp</f>
        <v>0</v>
      </c>
      <c r="I43" s="390">
        <f>IF(H43,Wh_hp,'2025'!Maxi_hp)</f>
        <v>20.355528257182332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5.9320351990985953E-2</v>
      </c>
      <c r="M43" s="845"/>
      <c r="N43" s="845"/>
      <c r="O43" s="48">
        <f>IF(t&lt;Tnet,'2025'!Resal+('2025'!Salim-'2025'!Resal)*(1-EXP(('2025'!Tnet-t)/('2025'!Tau_j))),Resal+(Salim-Resal)*(1-EXP((Tnet-t)/(Tau_j))))*Salcycl</f>
        <v>5.141972497147039E-2</v>
      </c>
      <c r="P43" s="169">
        <f>(INDEX(Models!$BJ43:$BT43,,T43)*(1-R43)+INDEX(Models!$BJ43:$BT43,,T43+1)*R43-ERP_i)*Q43*Ramure*Pc/MaxiM</f>
        <v>2.7785337386065719E-5</v>
      </c>
      <c r="Q43" s="305">
        <f t="shared" si="4"/>
        <v>0.5</v>
      </c>
      <c r="R43" s="177">
        <f t="shared" si="5"/>
        <v>0.47390232827973722</v>
      </c>
      <c r="S43" s="811">
        <f t="shared" si="6"/>
        <v>-2</v>
      </c>
      <c r="T43" s="176">
        <f t="shared" si="7"/>
        <v>4</v>
      </c>
      <c r="U43" s="251">
        <f t="shared" si="8"/>
        <v>-1.5260976717202628</v>
      </c>
      <c r="V43" s="383">
        <f t="shared" si="9"/>
        <v>29.550662139436902</v>
      </c>
      <c r="W43" s="402">
        <f t="shared" si="10"/>
        <v>9.2443213386318988</v>
      </c>
      <c r="X43" s="157">
        <f t="shared" si="11"/>
        <v>46051</v>
      </c>
      <c r="Y43" s="385">
        <f t="shared" si="12"/>
        <v>8.8781946281787594</v>
      </c>
      <c r="Z43" s="385">
        <f t="shared" si="22"/>
        <v>9.4380639008931588</v>
      </c>
      <c r="AA43" s="386">
        <f t="shared" si="13"/>
        <v>10.359890248298333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8.8980319801803862E-2</v>
      </c>
      <c r="AD43" s="231">
        <f>(INDEX(Models!$BJ43:$BT43,,AH43)*(1-AF43)+INDEX(Models!$BJ43:$BT43,,AH43+1)*AF43-ERP_i)*AE43*Ramure*Pc/MaxiM</f>
        <v>5.3549798308109419E-4</v>
      </c>
      <c r="AE43" s="305">
        <f t="shared" si="15"/>
        <v>0.5</v>
      </c>
      <c r="AF43" s="177">
        <f t="shared" si="23"/>
        <v>0.99888989465371614</v>
      </c>
      <c r="AG43" s="811">
        <f t="shared" si="24"/>
        <v>1</v>
      </c>
      <c r="AH43" s="176">
        <f t="shared" si="16"/>
        <v>7</v>
      </c>
      <c r="AI43" s="225">
        <f t="shared" si="17"/>
        <v>1.9988898946537161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'2025'!Wh/'2025'!Env_an*'2026'!Env_an</f>
        <v>4.3970531083125186</v>
      </c>
      <c r="C44" s="841"/>
      <c r="D44" s="393">
        <f t="shared" si="0"/>
        <v>4.6744387703895613</v>
      </c>
      <c r="E44" s="385">
        <f t="shared" si="1"/>
        <v>4.9281040393928963</v>
      </c>
      <c r="F44" s="385">
        <f t="shared" si="2"/>
        <v>4.9281040393928963</v>
      </c>
      <c r="G44" s="110">
        <f t="shared" si="21"/>
        <v>0.14726263676786441</v>
      </c>
      <c r="H44" s="414" t="b">
        <f>Wh_hp&gt;='2025'!Maxi_hp</f>
        <v>0</v>
      </c>
      <c r="I44" s="390">
        <f>IF(H44,Wh_hp,'2025'!Maxi_hp)</f>
        <v>12.271638358981564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5.9340955289468034E-2</v>
      </c>
      <c r="M44" s="845"/>
      <c r="N44" s="845"/>
      <c r="O44" s="48">
        <f>IF(t&lt;Tnet,'2025'!Resal+('2025'!Salim-'2025'!Resal)*(1-EXP(('2025'!Tnet-t)/('2025'!Tau_j))),Resal+(Salim-Resal)*(1-EXP((Tnet-t)/(Tau_j))))*Salcycl</f>
        <v>5.1473196786361697E-2</v>
      </c>
      <c r="P44" s="169">
        <f>(INDEX(Models!$BJ44:$BT44,,T44)*(1-R44)+INDEX(Models!$BJ44:$BT44,,T44+1)*R44-ERP_i)*Q44*Ramure*Pc/MaxiM</f>
        <v>2.6587214053595363E-5</v>
      </c>
      <c r="Q44" s="305">
        <f t="shared" si="4"/>
        <v>0.5</v>
      </c>
      <c r="R44" s="177">
        <f t="shared" si="5"/>
        <v>0.47399409239273083</v>
      </c>
      <c r="S44" s="811">
        <f t="shared" si="6"/>
        <v>-2</v>
      </c>
      <c r="T44" s="176">
        <f t="shared" si="7"/>
        <v>4</v>
      </c>
      <c r="U44" s="251">
        <f t="shared" si="8"/>
        <v>-1.5260059076072692</v>
      </c>
      <c r="V44" s="383">
        <f t="shared" si="9"/>
        <v>29.857785378726973</v>
      </c>
      <c r="W44" s="402">
        <f t="shared" si="10"/>
        <v>4.3970531083125186</v>
      </c>
      <c r="X44" s="157">
        <f t="shared" si="11"/>
        <v>46052</v>
      </c>
      <c r="Y44" s="385">
        <f t="shared" si="12"/>
        <v>4.2230936952445184</v>
      </c>
      <c r="Z44" s="385">
        <f t="shared" si="22"/>
        <v>4.4895052240146018</v>
      </c>
      <c r="AA44" s="386">
        <f t="shared" si="13"/>
        <v>4.9281040393928963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8.8999504043004427E-2</v>
      </c>
      <c r="AD44" s="231">
        <f>(INDEX(Models!$BJ44:$BT44,,AH44)*(1-AF44)+INDEX(Models!$BJ44:$BT44,,AH44+1)*AF44-ERP_i)*AE44*Ramure*Pc/MaxiM</f>
        <v>5.1476624640582808E-4</v>
      </c>
      <c r="AE44" s="305">
        <f t="shared" si="15"/>
        <v>0.5</v>
      </c>
      <c r="AF44" s="177">
        <f t="shared" si="23"/>
        <v>0.99898165876670975</v>
      </c>
      <c r="AG44" s="811">
        <f t="shared" si="24"/>
        <v>1</v>
      </c>
      <c r="AH44" s="176">
        <f t="shared" si="16"/>
        <v>7</v>
      </c>
      <c r="AI44" s="225">
        <f t="shared" si="17"/>
        <v>1.9989816587667097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'2025'!Wh/'2025'!Env_an*'2026'!Env_an</f>
        <v>8.9933499556638985</v>
      </c>
      <c r="C45" s="841"/>
      <c r="D45" s="393">
        <f t="shared" si="0"/>
        <v>9.560899869081398</v>
      </c>
      <c r="E45" s="385">
        <f t="shared" si="1"/>
        <v>10.080304697381793</v>
      </c>
      <c r="F45" s="385">
        <f t="shared" si="2"/>
        <v>10.080304697381793</v>
      </c>
      <c r="G45" s="110">
        <f t="shared" si="21"/>
        <v>0.29811534476307605</v>
      </c>
      <c r="H45" s="414" t="b">
        <f>Wh_hp&gt;='2025'!Maxi_hp</f>
        <v>0</v>
      </c>
      <c r="I45" s="390">
        <f>IF(H45,Wh_hp,'2025'!Maxi_hp)</f>
        <v>23.585730416186674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5.9361558136684978E-2</v>
      </c>
      <c r="M45" s="845"/>
      <c r="N45" s="845"/>
      <c r="O45" s="48">
        <f>IF(t&lt;Tnet,'2025'!Resal+('2025'!Salim-'2025'!Resal)*(1-EXP(('2025'!Tnet-t)/('2025'!Tau_j))),Resal+(Salim-Resal)*(1-EXP((Tnet-t)/(Tau_j))))*Salcycl</f>
        <v>5.1526699231155465E-2</v>
      </c>
      <c r="P45" s="169">
        <f>(INDEX(Models!$BJ45:$BT45,,T45)*(1-R45)+INDEX(Models!$BJ45:$BT45,,T45+1)*R45-ERP_i)*Q45*Ramure*Pc/MaxiM</f>
        <v>2.5514148437028348E-5</v>
      </c>
      <c r="Q45" s="305">
        <f t="shared" si="4"/>
        <v>0.5</v>
      </c>
      <c r="R45" s="177">
        <f t="shared" si="5"/>
        <v>0.47408967027416082</v>
      </c>
      <c r="S45" s="811">
        <f t="shared" si="6"/>
        <v>-2</v>
      </c>
      <c r="T45" s="176">
        <f t="shared" si="7"/>
        <v>4</v>
      </c>
      <c r="U45" s="251">
        <f t="shared" si="8"/>
        <v>-1.5259103297258392</v>
      </c>
      <c r="V45" s="383">
        <f t="shared" si="9"/>
        <v>30.166580338712084</v>
      </c>
      <c r="W45" s="402">
        <f t="shared" si="10"/>
        <v>8.9933499556638985</v>
      </c>
      <c r="X45" s="157">
        <f t="shared" si="11"/>
        <v>46053</v>
      </c>
      <c r="Y45" s="385">
        <f t="shared" si="12"/>
        <v>8.6378527006061248</v>
      </c>
      <c r="Z45" s="385">
        <f t="shared" si="22"/>
        <v>9.1829679887368432</v>
      </c>
      <c r="AA45" s="386">
        <f t="shared" si="13"/>
        <v>10.080304697381793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8.90188080205572E-2</v>
      </c>
      <c r="AD45" s="231">
        <f>(INDEX(Models!$BJ45:$BT45,,AH45)*(1-AF45)+INDEX(Models!$BJ45:$BT45,,AH45+1)*AF45-ERP_i)*AE45*Ramure*Pc/MaxiM</f>
        <v>4.9495822421634817E-4</v>
      </c>
      <c r="AE45" s="305">
        <f t="shared" si="15"/>
        <v>0.5</v>
      </c>
      <c r="AF45" s="177">
        <f t="shared" si="23"/>
        <v>0.99907723664813974</v>
      </c>
      <c r="AG45" s="811">
        <f t="shared" si="24"/>
        <v>1</v>
      </c>
      <c r="AH45" s="176">
        <f t="shared" si="16"/>
        <v>7</v>
      </c>
      <c r="AI45" s="225">
        <f t="shared" si="17"/>
        <v>1.9990772366481397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'2025'!Wh/'2025'!Env_an*'2026'!Env_an</f>
        <v>13.056361338219405</v>
      </c>
      <c r="C46" s="841"/>
      <c r="D46" s="393">
        <f t="shared" si="0"/>
        <v>13.880622703916474</v>
      </c>
      <c r="E46" s="385">
        <f t="shared" si="1"/>
        <v>14.63552654128989</v>
      </c>
      <c r="F46" s="385">
        <f t="shared" si="2"/>
        <v>14.635592490443898</v>
      </c>
      <c r="G46" s="110">
        <f t="shared" si="21"/>
        <v>0.42840469200391068</v>
      </c>
      <c r="H46" s="414" t="b">
        <f>Wh_hp&gt;='2025'!Maxi_hp</f>
        <v>0</v>
      </c>
      <c r="I46" s="390">
        <f>IF(H46,Wh_hp,'2025'!Maxi_hp)</f>
        <v>27.944973498874095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5.9382160532646777E-2</v>
      </c>
      <c r="M46" s="845"/>
      <c r="N46" s="845"/>
      <c r="O46" s="48">
        <f>IF(t&lt;Tnet,'2025'!Resal+('2025'!Salim-'2025'!Resal)*(1-EXP(('2025'!Tnet-t)/('2025'!Tau_j))),Resal+(Salim-Resal)*(1-EXP((Tnet-t)/(Tau_j))))*Salcycl</f>
        <v>5.1580230833764271E-2</v>
      </c>
      <c r="P46" s="169">
        <f>(INDEX(Models!$BJ46:$BT46,,T46)*(1-R46)+INDEX(Models!$BJ46:$BT46,,T46+1)*R46-ERP_i)*Q46*Ramure*Pc/MaxiM</f>
        <v>2.4563316534652082E-5</v>
      </c>
      <c r="Q46" s="305">
        <f t="shared" si="4"/>
        <v>0.5</v>
      </c>
      <c r="R46" s="177">
        <f t="shared" si="5"/>
        <v>0.4741892188646013</v>
      </c>
      <c r="S46" s="811">
        <f t="shared" si="6"/>
        <v>-2</v>
      </c>
      <c r="T46" s="176">
        <f t="shared" si="7"/>
        <v>4</v>
      </c>
      <c r="U46" s="251">
        <f t="shared" si="8"/>
        <v>-1.5258107811353987</v>
      </c>
      <c r="V46" s="383">
        <f t="shared" si="9"/>
        <v>30.476088862247046</v>
      </c>
      <c r="W46" s="402">
        <f t="shared" si="10"/>
        <v>13.056361338219405</v>
      </c>
      <c r="X46" s="157">
        <f t="shared" si="11"/>
        <v>46054</v>
      </c>
      <c r="Y46" s="385">
        <f t="shared" si="12"/>
        <v>12.5396594466987</v>
      </c>
      <c r="Z46" s="385">
        <f t="shared" si="22"/>
        <v>13.331300896652751</v>
      </c>
      <c r="AA46" s="386">
        <f t="shared" si="13"/>
        <v>14.634314323657625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8.9038228794801819E-2</v>
      </c>
      <c r="AD46" s="231">
        <f>(INDEX(Models!$BJ46:$BT46,,AH46)*(1-AF46)+INDEX(Models!$BJ46:$BT46,,AH46+1)*AF46-ERP_i)*AE46*Ramure*Pc/MaxiM</f>
        <v>4.7606395909021034E-4</v>
      </c>
      <c r="AE46" s="305">
        <f t="shared" si="15"/>
        <v>0.5</v>
      </c>
      <c r="AF46" s="177">
        <f t="shared" si="23"/>
        <v>0.99917678523858022</v>
      </c>
      <c r="AG46" s="811">
        <f t="shared" si="24"/>
        <v>1</v>
      </c>
      <c r="AH46" s="176">
        <f t="shared" si="16"/>
        <v>7</v>
      </c>
      <c r="AI46" s="225">
        <f t="shared" si="17"/>
        <v>1.9991767852385802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'2025'!Wh/'2025'!Env_an*'2026'!Env_an</f>
        <v>5.2449622063808192</v>
      </c>
      <c r="C47" s="841"/>
      <c r="D47" s="393">
        <f t="shared" si="0"/>
        <v>5.5762041362093528</v>
      </c>
      <c r="E47" s="385">
        <f t="shared" si="1"/>
        <v>5.8798005188447613</v>
      </c>
      <c r="F47" s="385">
        <f t="shared" si="2"/>
        <v>5.8798005188447613</v>
      </c>
      <c r="G47" s="110">
        <f t="shared" si="21"/>
        <v>0.17036795760765655</v>
      </c>
      <c r="H47" s="414" t="b">
        <f>Wh_hp&gt;='2025'!Maxi_hp</f>
        <v>0</v>
      </c>
      <c r="I47" s="390">
        <f>IF(H47,Wh_hp,'2025'!Maxi_hp)</f>
        <v>29.540538398179784</v>
      </c>
      <c r="J47" s="85">
        <f>IF(H47,An,'2025'!An_max)</f>
        <v>2020</v>
      </c>
      <c r="K47" s="197">
        <f t="shared" si="3"/>
        <v>46055</v>
      </c>
      <c r="L47" s="147">
        <f>IF(t&lt;Tvie,1-EXP((T0-t)*PertePVj)+'2025'!Pspv,1-EXP((T0-t)*PertePVj)+Pspv)</f>
        <v>5.9402762477363091E-2</v>
      </c>
      <c r="M47" s="845"/>
      <c r="N47" s="845"/>
      <c r="O47" s="48">
        <f>IF(t&lt;Tnet,'2025'!Resal+('2025'!Salim-'2025'!Resal)*(1-EXP(('2025'!Tnet-t)/('2025'!Tau_j))),Resal+(Salim-Resal)*(1-EXP((Tnet-t)/(Tau_j))))*Salcycl</f>
        <v>5.1633789558401089E-2</v>
      </c>
      <c r="P47" s="169">
        <f>(INDEX(Models!$BJ47:$BT47,,T47)*(1-R47)+INDEX(Models!$BJ47:$BT47,,T47+1)*R47-ERP_i)*Q47*Ramure*Pc/MaxiM</f>
        <v>2.3731867578948051E-5</v>
      </c>
      <c r="Q47" s="305">
        <f t="shared" si="4"/>
        <v>0.5</v>
      </c>
      <c r="R47" s="177">
        <f t="shared" si="5"/>
        <v>0.47429290142984604</v>
      </c>
      <c r="S47" s="811">
        <f t="shared" si="6"/>
        <v>-2</v>
      </c>
      <c r="T47" s="176">
        <f t="shared" si="7"/>
        <v>4</v>
      </c>
      <c r="U47" s="251">
        <f t="shared" si="8"/>
        <v>-1.525707098570154</v>
      </c>
      <c r="V47" s="383">
        <f t="shared" si="9"/>
        <v>30.785353110299724</v>
      </c>
      <c r="W47" s="402">
        <f t="shared" si="10"/>
        <v>5.2449622063808192</v>
      </c>
      <c r="X47" s="157">
        <f t="shared" si="11"/>
        <v>46055</v>
      </c>
      <c r="Y47" s="385">
        <f t="shared" si="12"/>
        <v>5.0379880213627581</v>
      </c>
      <c r="Z47" s="385">
        <f t="shared" si="22"/>
        <v>5.3561586408991673</v>
      </c>
      <c r="AA47" s="386">
        <f t="shared" si="13"/>
        <v>5.8798005188447613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8.9057762464444509E-2</v>
      </c>
      <c r="AD47" s="231">
        <f>(INDEX(Models!$BJ47:$BT47,,AH47)*(1-AF47)+INDEX(Models!$BJ47:$BT47,,AH47+1)*AF47-ERP_i)*AE47*Ramure*Pc/MaxiM</f>
        <v>4.5807126045487885E-4</v>
      </c>
      <c r="AE47" s="305">
        <f t="shared" si="15"/>
        <v>0.5</v>
      </c>
      <c r="AF47" s="177">
        <f t="shared" si="23"/>
        <v>0.99928046780382496</v>
      </c>
      <c r="AG47" s="811">
        <f t="shared" si="24"/>
        <v>1</v>
      </c>
      <c r="AH47" s="176">
        <f t="shared" si="16"/>
        <v>7</v>
      </c>
      <c r="AI47" s="225">
        <f t="shared" si="17"/>
        <v>1.999280467803825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'2025'!Wh/'2025'!Env_an*'2026'!Env_an</f>
        <v>9.88601908092412</v>
      </c>
      <c r="C48" s="841"/>
      <c r="D48" s="393">
        <f t="shared" si="0"/>
        <v>10.510593929549483</v>
      </c>
      <c r="E48" s="385">
        <f t="shared" si="1"/>
        <v>11.083469341501624</v>
      </c>
      <c r="F48" s="385">
        <f t="shared" si="2"/>
        <v>11.083475881647029</v>
      </c>
      <c r="G48" s="110">
        <f t="shared" si="21"/>
        <v>0.31793861138876489</v>
      </c>
      <c r="H48" s="414" t="b">
        <f>Wh_hp&gt;='2025'!Maxi_hp</f>
        <v>0</v>
      </c>
      <c r="I48" s="390">
        <f>IF(H48,Wh_hp,'2025'!Maxi_hp)</f>
        <v>27.40840746637317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5.9423363970844023E-2</v>
      </c>
      <c r="M48" s="845"/>
      <c r="N48" s="845"/>
      <c r="O48" s="48">
        <f>IF(t&lt;Tnet,'2025'!Resal+('2025'!Salim-'2025'!Resal)*(1-EXP(('2025'!Tnet-t)/('2025'!Tau_j))),Resal+(Salim-Resal)*(1-EXP((Tnet-t)/(Tau_j))))*Salcycl</f>
        <v>5.1687372816292446E-2</v>
      </c>
      <c r="P48" s="169">
        <f>(INDEX(Models!$BJ48:$BT48,,T48)*(1-R48)+INDEX(Models!$BJ48:$BT48,,T48+1)*R48-ERP_i)*Q48*Ramure*Pc/MaxiM</f>
        <v>2.3016964368757347E-5</v>
      </c>
      <c r="Q48" s="305">
        <f t="shared" si="4"/>
        <v>0.5</v>
      </c>
      <c r="R48" s="177">
        <f t="shared" si="5"/>
        <v>0.4744008878044792</v>
      </c>
      <c r="S48" s="811">
        <f t="shared" si="6"/>
        <v>-2</v>
      </c>
      <c r="T48" s="176">
        <f t="shared" si="7"/>
        <v>4</v>
      </c>
      <c r="U48" s="251">
        <f t="shared" si="8"/>
        <v>-1.5255991121955208</v>
      </c>
      <c r="V48" s="383">
        <f t="shared" si="9"/>
        <v>31.093415565389027</v>
      </c>
      <c r="W48" s="402">
        <f t="shared" si="10"/>
        <v>9.88601908092412</v>
      </c>
      <c r="X48" s="157">
        <f t="shared" si="11"/>
        <v>46056</v>
      </c>
      <c r="Y48" s="385">
        <f t="shared" si="12"/>
        <v>9.496131775096794</v>
      </c>
      <c r="Z48" s="385">
        <f t="shared" si="22"/>
        <v>10.096074483825934</v>
      </c>
      <c r="AA48" s="386">
        <f t="shared" si="13"/>
        <v>11.083350583521701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8.907740418891115E-2</v>
      </c>
      <c r="AD48" s="231">
        <f>(INDEX(Models!$BJ48:$BT48,,AH48)*(1-AF48)+INDEX(Models!$BJ48:$BT48,,AH48+1)*AF48-ERP_i)*AE48*Ramure*Pc/MaxiM</f>
        <v>4.4096611129876609E-4</v>
      </c>
      <c r="AE48" s="305">
        <f t="shared" si="15"/>
        <v>0.5</v>
      </c>
      <c r="AF48" s="177">
        <f t="shared" si="23"/>
        <v>0.99938845417845812</v>
      </c>
      <c r="AG48" s="811">
        <f t="shared" si="24"/>
        <v>1</v>
      </c>
      <c r="AH48" s="176">
        <f t="shared" si="16"/>
        <v>7</v>
      </c>
      <c r="AI48" s="225">
        <f t="shared" si="17"/>
        <v>1.9993884541784581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'2025'!Wh/'2025'!Env_an*'2026'!Env_an</f>
        <v>9.7890490638835033</v>
      </c>
      <c r="C49" s="841"/>
      <c r="D49" s="393">
        <f t="shared" si="0"/>
        <v>10.407725536543751</v>
      </c>
      <c r="E49" s="385">
        <f t="shared" si="1"/>
        <v>10.97561456251403</v>
      </c>
      <c r="F49" s="385">
        <f t="shared" si="2"/>
        <v>10.975618695746272</v>
      </c>
      <c r="G49" s="110">
        <f t="shared" si="21"/>
        <v>0.31175304505855705</v>
      </c>
      <c r="H49" s="414" t="b">
        <f>Wh_hp&gt;='2025'!Maxi_hp</f>
        <v>0</v>
      </c>
      <c r="I49" s="390">
        <f>IF(H49,Wh_hp,'2025'!Maxi_hp)</f>
        <v>27.911356460515268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5.9443965013099342E-2</v>
      </c>
      <c r="M49" s="845"/>
      <c r="N49" s="845"/>
      <c r="O49" s="48">
        <f>IF(t&lt;Tnet,'2025'!Resal+('2025'!Salim-'2025'!Resal)*(1-EXP(('2025'!Tnet-t)/('2025'!Tau_j))),Resal+(Salim-Resal)*(1-EXP((Tnet-t)/(Tau_j))))*Salcycl</f>
        <v>5.1740977485656363E-2</v>
      </c>
      <c r="P49" s="169">
        <f>(INDEX(Models!$BJ49:$BT49,,T49)*(1-R49)+INDEX(Models!$BJ49:$BT49,,T49+1)*R49-ERP_i)*Q49*Ramure*Pc/MaxiM</f>
        <v>2.241581933108022E-5</v>
      </c>
      <c r="Q49" s="305">
        <f t="shared" si="4"/>
        <v>0.5</v>
      </c>
      <c r="R49" s="177">
        <f t="shared" si="5"/>
        <v>0.47451335464384514</v>
      </c>
      <c r="S49" s="811">
        <f t="shared" si="6"/>
        <v>-2</v>
      </c>
      <c r="T49" s="176">
        <f t="shared" si="7"/>
        <v>4</v>
      </c>
      <c r="U49" s="251">
        <f t="shared" si="8"/>
        <v>-1.5254866453561549</v>
      </c>
      <c r="V49" s="383">
        <f t="shared" si="9"/>
        <v>31.399319030864863</v>
      </c>
      <c r="W49" s="402">
        <f t="shared" si="10"/>
        <v>9.7890490638835033</v>
      </c>
      <c r="X49" s="157">
        <f t="shared" si="11"/>
        <v>46057</v>
      </c>
      <c r="Y49" s="385">
        <f t="shared" si="12"/>
        <v>9.4033510134116813</v>
      </c>
      <c r="Z49" s="385">
        <f t="shared" si="22"/>
        <v>9.9976510315439562</v>
      </c>
      <c r="AA49" s="386">
        <f t="shared" si="13"/>
        <v>10.97554037961255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8.9097148226529088E-2</v>
      </c>
      <c r="AD49" s="231">
        <f>(INDEX(Models!$BJ49:$BT49,,AH49)*(1-AF49)+INDEX(Models!$BJ49:$BT49,,AH49+1)*AF49-ERP_i)*AE49*Ramure*Pc/MaxiM</f>
        <v>4.2473304228373153E-4</v>
      </c>
      <c r="AE49" s="305">
        <f t="shared" si="15"/>
        <v>0.5</v>
      </c>
      <c r="AF49" s="177">
        <f t="shared" si="23"/>
        <v>0.99950092101782406</v>
      </c>
      <c r="AG49" s="811">
        <f t="shared" si="24"/>
        <v>1</v>
      </c>
      <c r="AH49" s="176">
        <f t="shared" si="16"/>
        <v>7</v>
      </c>
      <c r="AI49" s="225">
        <f t="shared" si="17"/>
        <v>1.9995009210178241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'2025'!Wh/'2025'!Env_an*'2026'!Env_an</f>
        <v>9.4711585451452205</v>
      </c>
      <c r="C50" s="841"/>
      <c r="D50" s="393">
        <f t="shared" si="0"/>
        <v>10.069964616728001</v>
      </c>
      <c r="E50" s="385">
        <f t="shared" si="1"/>
        <v>10.620024539089217</v>
      </c>
      <c r="F50" s="385">
        <f t="shared" si="2"/>
        <v>10.620024539089217</v>
      </c>
      <c r="G50" s="110">
        <f t="shared" si="21"/>
        <v>0.2987483132605665</v>
      </c>
      <c r="H50" s="414" t="b">
        <f>Wh_hp&gt;='2025'!Maxi_hp</f>
        <v>0</v>
      </c>
      <c r="I50" s="390">
        <f>IF(H50,Wh_hp,'2025'!Maxi_hp)</f>
        <v>35.533389786711119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5.9464565604139041E-2</v>
      </c>
      <c r="M50" s="845"/>
      <c r="N50" s="845"/>
      <c r="O50" s="48">
        <f>IF(t&lt;Tnet,'2025'!Resal+('2025'!Salim-'2025'!Resal)*(1-EXP(('2025'!Tnet-t)/('2025'!Tau_j))),Resal+(Salim-Resal)*(1-EXP((Tnet-t)/(Tau_j))))*Salcycl</f>
        <v>5.1794599940575156E-2</v>
      </c>
      <c r="P50" s="169">
        <f>(INDEX(Models!$BJ50:$BT50,,T50)*(1-R50)+INDEX(Models!$BJ50:$BT50,,T50+1)*R50-ERP_i)*Q50*Ramure*Pc/MaxiM</f>
        <v>2.1925726650510624E-5</v>
      </c>
      <c r="Q50" s="305">
        <f t="shared" si="4"/>
        <v>0.5</v>
      </c>
      <c r="R50" s="177">
        <f t="shared" si="5"/>
        <v>0.47463048568462596</v>
      </c>
      <c r="S50" s="811">
        <f t="shared" si="6"/>
        <v>-2</v>
      </c>
      <c r="T50" s="176">
        <f t="shared" si="7"/>
        <v>4</v>
      </c>
      <c r="U50" s="251">
        <f t="shared" si="8"/>
        <v>-1.525369514315374</v>
      </c>
      <c r="V50" s="383">
        <f t="shared" si="9"/>
        <v>31.702106631984183</v>
      </c>
      <c r="W50" s="402">
        <f t="shared" si="10"/>
        <v>9.4711585451452205</v>
      </c>
      <c r="X50" s="157">
        <f t="shared" si="11"/>
        <v>46058</v>
      </c>
      <c r="Y50" s="385">
        <f t="shared" si="12"/>
        <v>9.0983635215599694</v>
      </c>
      <c r="Z50" s="385">
        <f t="shared" si="22"/>
        <v>9.6735999398089341</v>
      </c>
      <c r="AA50" s="386">
        <f t="shared" si="13"/>
        <v>10.620024539089217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8.9116987987812105E-2</v>
      </c>
      <c r="AD50" s="231">
        <f>(INDEX(Models!$BJ50:$BT50,,AH50)*(1-AF50)+INDEX(Models!$BJ50:$BT50,,AH50+1)*AF50-ERP_i)*AE50*Ramure*Pc/MaxiM</f>
        <v>4.0935547362954859E-4</v>
      </c>
      <c r="AE50" s="305">
        <f t="shared" si="15"/>
        <v>0.5</v>
      </c>
      <c r="AF50" s="177">
        <f t="shared" si="23"/>
        <v>0.99961805205860488</v>
      </c>
      <c r="AG50" s="811">
        <f t="shared" si="24"/>
        <v>1</v>
      </c>
      <c r="AH50" s="176">
        <f t="shared" si="16"/>
        <v>7</v>
      </c>
      <c r="AI50" s="225">
        <f t="shared" si="17"/>
        <v>1.9996180520586049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'2025'!Wh/'2025'!Env_an*'2026'!Env_an</f>
        <v>21.668521322718458</v>
      </c>
      <c r="C51" s="841"/>
      <c r="D51" s="393">
        <f t="shared" si="0"/>
        <v>23.039000059854292</v>
      </c>
      <c r="E51" s="385">
        <f t="shared" si="1"/>
        <v>24.298852711937858</v>
      </c>
      <c r="F51" s="385">
        <f t="shared" si="2"/>
        <v>24.299134699487706</v>
      </c>
      <c r="G51" s="110">
        <f t="shared" si="21"/>
        <v>0.67707530857719056</v>
      </c>
      <c r="H51" s="414" t="b">
        <f>Wh_hp&gt;='2025'!Maxi_hp</f>
        <v>0</v>
      </c>
      <c r="I51" s="390">
        <f>IF(H51,Wh_hp,'2025'!Maxi_hp)</f>
        <v>37.103452774243969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5.948516574397289E-2</v>
      </c>
      <c r="M51" s="845"/>
      <c r="N51" s="845"/>
      <c r="O51" s="48">
        <f>IF(t&lt;Tnet,'2025'!Resal+('2025'!Salim-'2025'!Resal)*(1-EXP(('2025'!Tnet-t)/('2025'!Tau_j))),Resal+(Salim-Resal)*(1-EXP((Tnet-t)/(Tau_j))))*Salcycl</f>
        <v>5.1848236088307575E-2</v>
      </c>
      <c r="P51" s="169">
        <f>(INDEX(Models!$BJ51:$BT51,,T51)*(1-R51)+INDEX(Models!$BJ51:$BT51,,T51+1)*R51-ERP_i)*Q51*Ramure*Pc/MaxiM</f>
        <v>2.1542758878532525E-5</v>
      </c>
      <c r="Q51" s="305">
        <f t="shared" si="4"/>
        <v>0.5</v>
      </c>
      <c r="R51" s="177">
        <f t="shared" si="5"/>
        <v>0.47475247201421999</v>
      </c>
      <c r="S51" s="811">
        <f t="shared" si="6"/>
        <v>-2</v>
      </c>
      <c r="T51" s="176">
        <f t="shared" si="7"/>
        <v>4</v>
      </c>
      <c r="U51" s="251">
        <f t="shared" si="8"/>
        <v>-1.52524752798578</v>
      </c>
      <c r="V51" s="383">
        <f t="shared" si="9"/>
        <v>32.002800435490613</v>
      </c>
      <c r="W51" s="402">
        <f t="shared" si="10"/>
        <v>21.668521322718458</v>
      </c>
      <c r="X51" s="157">
        <f t="shared" si="11"/>
        <v>46059</v>
      </c>
      <c r="Y51" s="385">
        <f t="shared" si="12"/>
        <v>20.812161545259002</v>
      </c>
      <c r="Z51" s="385">
        <f t="shared" si="22"/>
        <v>22.128477709468548</v>
      </c>
      <c r="AA51" s="386">
        <f t="shared" si="13"/>
        <v>24.293967008515125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8.9136916102979996E-2</v>
      </c>
      <c r="AD51" s="231">
        <f>(INDEX(Models!$BJ51:$BT51,,AH51)*(1-AF51)+INDEX(Models!$BJ51:$BT51,,AH51+1)*AF51-ERP_i)*AE51*Ramure*Pc/MaxiM</f>
        <v>3.9479161630200733E-4</v>
      </c>
      <c r="AE51" s="305">
        <f t="shared" si="15"/>
        <v>0.5</v>
      </c>
      <c r="AF51" s="177">
        <f t="shared" si="23"/>
        <v>0.99974003838819891</v>
      </c>
      <c r="AG51" s="811">
        <f t="shared" si="24"/>
        <v>1</v>
      </c>
      <c r="AH51" s="176">
        <f t="shared" si="16"/>
        <v>7</v>
      </c>
      <c r="AI51" s="225">
        <f t="shared" si="17"/>
        <v>1.9997400383881989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'2025'!Wh/'2025'!Env_an*'2026'!Env_an</f>
        <v>9.2979675240578956</v>
      </c>
      <c r="C52" s="841"/>
      <c r="D52" s="393">
        <f t="shared" si="0"/>
        <v>9.8862568023447768</v>
      </c>
      <c r="E52" s="385">
        <f t="shared" si="1"/>
        <v>10.427461682019235</v>
      </c>
      <c r="F52" s="385">
        <f t="shared" si="2"/>
        <v>10.427461682019235</v>
      </c>
      <c r="G52" s="110">
        <f t="shared" si="21"/>
        <v>0.28782824175854871</v>
      </c>
      <c r="H52" s="414" t="b">
        <f>Wh_hp&gt;='2025'!Maxi_hp</f>
        <v>0</v>
      </c>
      <c r="I52" s="390">
        <f>IF(H52,Wh_hp,'2025'!Maxi_hp)</f>
        <v>25.358898167859724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5.9505765432610769E-2</v>
      </c>
      <c r="M52" s="845"/>
      <c r="N52" s="845"/>
      <c r="O52" s="48">
        <f>IF(t&lt;Tnet,'2025'!Resal+('2025'!Salim-'2025'!Resal)*(1-EXP(('2025'!Tnet-t)/('2025'!Tau_j))),Resal+(Salim-Resal)*(1-EXP((Tnet-t)/(Tau_j))))*Salcycl</f>
        <v>5.1901881414505031E-2</v>
      </c>
      <c r="P52" s="169">
        <f>(INDEX(Models!$BJ52:$BT52,,T52)*(1-R52)+INDEX(Models!$BJ52:$BT52,,T52+1)*R52-ERP_i)*Q52*Ramure*Pc/MaxiM</f>
        <v>2.1344983715023255E-5</v>
      </c>
      <c r="Q52" s="305">
        <f t="shared" si="4"/>
        <v>0.5</v>
      </c>
      <c r="R52" s="177">
        <f t="shared" si="5"/>
        <v>0.47487951234912162</v>
      </c>
      <c r="S52" s="811">
        <f t="shared" si="6"/>
        <v>-2</v>
      </c>
      <c r="T52" s="176">
        <f t="shared" si="7"/>
        <v>4</v>
      </c>
      <c r="U52" s="251">
        <f t="shared" si="8"/>
        <v>-1.5251204876508784</v>
      </c>
      <c r="V52" s="383">
        <f t="shared" si="9"/>
        <v>32.303185407678512</v>
      </c>
      <c r="W52" s="402">
        <f t="shared" si="10"/>
        <v>9.2979675240578956</v>
      </c>
      <c r="X52" s="157">
        <f t="shared" si="11"/>
        <v>46060</v>
      </c>
      <c r="Y52" s="385">
        <f t="shared" si="12"/>
        <v>8.9326085238118527</v>
      </c>
      <c r="Z52" s="385">
        <f t="shared" si="22"/>
        <v>9.4977812680804945</v>
      </c>
      <c r="AA52" s="386">
        <f t="shared" si="13"/>
        <v>10.427461682019235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8.9156924502714799E-2</v>
      </c>
      <c r="AD52" s="231">
        <f>(INDEX(Models!$BJ52:$BT52,,AH52)*(1-AF52)+INDEX(Models!$BJ52:$BT52,,AH52+1)*AF52-ERP_i)*AE52*Ramure*Pc/MaxiM</f>
        <v>3.8184718357703177E-4</v>
      </c>
      <c r="AE52" s="305">
        <f t="shared" si="15"/>
        <v>0.5</v>
      </c>
      <c r="AF52" s="177">
        <f t="shared" si="23"/>
        <v>0.99986707872310054</v>
      </c>
      <c r="AG52" s="811">
        <f t="shared" si="24"/>
        <v>1</v>
      </c>
      <c r="AH52" s="176">
        <f t="shared" si="16"/>
        <v>7</v>
      </c>
      <c r="AI52" s="225">
        <f t="shared" si="17"/>
        <v>1.9998670787231005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'2025'!Wh/'2025'!Env_an*'2026'!Env_an</f>
        <v>32.590087265402168</v>
      </c>
      <c r="C53" s="841"/>
      <c r="D53" s="393">
        <f t="shared" si="0"/>
        <v>34.65284516345735</v>
      </c>
      <c r="E53" s="385">
        <f t="shared" si="1"/>
        <v>36.551919554274797</v>
      </c>
      <c r="F53" s="385">
        <f t="shared" si="2"/>
        <v>36.552697340822597</v>
      </c>
      <c r="G53" s="110">
        <f t="shared" si="21"/>
        <v>0.99958999618708788</v>
      </c>
      <c r="H53" s="414" t="b">
        <f>Wh_hp&gt;='2025'!Maxi_hp</f>
        <v>1</v>
      </c>
      <c r="I53" s="390">
        <f>IF(H53,Wh_hp,'2025'!Maxi_hp)</f>
        <v>36.552697340822597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5.952636467006267E-2</v>
      </c>
      <c r="M53" s="845"/>
      <c r="N53" s="845"/>
      <c r="O53" s="48">
        <f>IF(t&lt;Tnet,'2025'!Resal+('2025'!Salim-'2025'!Resal)*(1-EXP(('2025'!Tnet-t)/('2025'!Tau_j))),Resal+(Salim-Resal)*(1-EXP((Tnet-t)/(Tau_j))))*Salcycl</f>
        <v>5.1955531035724985E-2</v>
      </c>
      <c r="P53" s="169">
        <f>(INDEX(Models!$BJ53:$BT53,,T53)*(1-R53)+INDEX(Models!$BJ53:$BT53,,T53+1)*R53-ERP_i)*Q53*Ramure*Pc/MaxiM</f>
        <v>2.1290969544612226E-5</v>
      </c>
      <c r="Q53" s="305">
        <f t="shared" si="4"/>
        <v>0.5</v>
      </c>
      <c r="R53" s="177">
        <f t="shared" si="5"/>
        <v>0.47501181332248787</v>
      </c>
      <c r="S53" s="811">
        <f t="shared" si="6"/>
        <v>-2</v>
      </c>
      <c r="T53" s="176">
        <f t="shared" si="7"/>
        <v>4</v>
      </c>
      <c r="U53" s="251">
        <f t="shared" si="8"/>
        <v>-1.5249881866775121</v>
      </c>
      <c r="V53" s="383">
        <f t="shared" si="9"/>
        <v>32.603454399607799</v>
      </c>
      <c r="W53" s="402">
        <f t="shared" si="10"/>
        <v>32.590087265402168</v>
      </c>
      <c r="X53" s="157">
        <f t="shared" si="11"/>
        <v>46061</v>
      </c>
      <c r="Y53" s="385">
        <f t="shared" si="12"/>
        <v>31.299631775915302</v>
      </c>
      <c r="Z53" s="385">
        <f t="shared" si="22"/>
        <v>33.28071154800076</v>
      </c>
      <c r="AA53" s="386">
        <f t="shared" si="13"/>
        <v>36.539164813394379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8.9177004511037744E-2</v>
      </c>
      <c r="AD53" s="231">
        <f>(INDEX(Models!$BJ53:$BT53,,AH53)*(1-AF53)+INDEX(Models!$BJ53:$BT53,,AH53+1)*AF53-ERP_i)*AE53*Ramure*Pc/MaxiM</f>
        <v>3.7043663219534168E-4</v>
      </c>
      <c r="AE53" s="305">
        <f t="shared" si="15"/>
        <v>0.5</v>
      </c>
      <c r="AF53" s="177">
        <f t="shared" si="23"/>
        <v>0.99999937969646679</v>
      </c>
      <c r="AG53" s="811">
        <f t="shared" si="24"/>
        <v>1</v>
      </c>
      <c r="AH53" s="176">
        <f t="shared" si="16"/>
        <v>7</v>
      </c>
      <c r="AI53" s="225">
        <f t="shared" si="17"/>
        <v>1.9999993796964668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'2025'!Wh/'2025'!Env_an*'2026'!Env_an</f>
        <v>32.80442752377531</v>
      </c>
      <c r="C54" s="841"/>
      <c r="D54" s="393">
        <f t="shared" si="0"/>
        <v>34.881515874878374</v>
      </c>
      <c r="E54" s="385">
        <f t="shared" si="1"/>
        <v>36.795204267900928</v>
      </c>
      <c r="F54" s="385">
        <f t="shared" si="2"/>
        <v>36.795987454131286</v>
      </c>
      <c r="G54" s="110">
        <f t="shared" si="21"/>
        <v>0.99697984609527457</v>
      </c>
      <c r="H54" s="414" t="b">
        <f>Wh_hp&gt;='2025'!Maxi_hp</f>
        <v>1</v>
      </c>
      <c r="I54" s="390">
        <f>IF(H54,Wh_hp,'2025'!Maxi_hp)</f>
        <v>36.795987454131286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5.9546963456338253E-2</v>
      </c>
      <c r="M54" s="845"/>
      <c r="N54" s="845"/>
      <c r="O54" s="48">
        <f>IF(t&lt;Tnet,'2025'!Resal+('2025'!Salim-'2025'!Resal)*(1-EXP(('2025'!Tnet-t)/('2025'!Tau_j))),Resal+(Salim-Resal)*(1-EXP((Tnet-t)/(Tau_j))))*Salcycl</f>
        <v>5.2009179758569814E-2</v>
      </c>
      <c r="P54" s="169">
        <f>(INDEX(Models!$BJ54:$BT54,,T54)*(1-R54)+INDEX(Models!$BJ54:$BT54,,T54+1)*R54-ERP_i)*Q54*Ramure*Pc/MaxiM</f>
        <v>2.1376782755959883E-5</v>
      </c>
      <c r="Q54" s="305">
        <f t="shared" si="4"/>
        <v>0.5</v>
      </c>
      <c r="R54" s="177">
        <f t="shared" si="5"/>
        <v>0.47514958978107891</v>
      </c>
      <c r="S54" s="811">
        <f t="shared" si="6"/>
        <v>-2</v>
      </c>
      <c r="T54" s="176">
        <f t="shared" si="7"/>
        <v>4</v>
      </c>
      <c r="U54" s="251">
        <f t="shared" si="8"/>
        <v>-1.5248504102189211</v>
      </c>
      <c r="V54" s="383">
        <f t="shared" si="9"/>
        <v>32.903799035379535</v>
      </c>
      <c r="W54" s="402">
        <f t="shared" si="10"/>
        <v>32.80442752377531</v>
      </c>
      <c r="X54" s="157">
        <f t="shared" si="11"/>
        <v>46062</v>
      </c>
      <c r="Y54" s="385">
        <f t="shared" si="12"/>
        <v>31.506925861919811</v>
      </c>
      <c r="Z54" s="385">
        <f t="shared" si="22"/>
        <v>33.5018598884146</v>
      </c>
      <c r="AA54" s="386">
        <f t="shared" si="13"/>
        <v>36.782778815628021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8.9197146949089187E-2</v>
      </c>
      <c r="AD54" s="231">
        <f>(INDEX(Models!$BJ54:$BT54,,AH54)*(1-AF54)+INDEX(Models!$BJ54:$BT54,,AH54+1)*AF54-ERP_i)*AE54*Ramure*Pc/MaxiM</f>
        <v>3.6052497457413741E-4</v>
      </c>
      <c r="AE54" s="305">
        <f t="shared" si="15"/>
        <v>0.5</v>
      </c>
      <c r="AF54" s="177">
        <f t="shared" si="23"/>
        <v>1.3715615505782708E-4</v>
      </c>
      <c r="AG54" s="811">
        <f t="shared" si="24"/>
        <v>2</v>
      </c>
      <c r="AH54" s="176">
        <f t="shared" si="16"/>
        <v>8</v>
      </c>
      <c r="AI54" s="225">
        <f t="shared" si="17"/>
        <v>2.0001371561550578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'2025'!Wh/'2025'!Env_an*'2026'!Env_an</f>
        <v>30.4958091755562</v>
      </c>
      <c r="C55" s="841"/>
      <c r="D55" s="393">
        <f t="shared" si="0"/>
        <v>32.427432249836308</v>
      </c>
      <c r="E55" s="385">
        <f t="shared" si="1"/>
        <v>34.20841908870365</v>
      </c>
      <c r="F55" s="385">
        <f t="shared" si="2"/>
        <v>34.209071855181072</v>
      </c>
      <c r="G55" s="110">
        <f t="shared" si="21"/>
        <v>0.9184241369309889</v>
      </c>
      <c r="H55" s="414" t="b">
        <f>Wh_hp&gt;='2025'!Maxi_hp</f>
        <v>1</v>
      </c>
      <c r="I55" s="390">
        <f>IF(H55,Wh_hp,'2025'!Maxi_hp)</f>
        <v>34.209071855181072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5.9567561791447732E-2</v>
      </c>
      <c r="M55" s="845"/>
      <c r="N55" s="845"/>
      <c r="O55" s="48">
        <f>IF(t&lt;Tnet,'2025'!Resal+('2025'!Salim-'2025'!Resal)*(1-EXP(('2025'!Tnet-t)/('2025'!Tau_j))),Resal+(Salim-Resal)*(1-EXP((Tnet-t)/(Tau_j))))*Salcycl</f>
        <v>5.2062822144723492E-2</v>
      </c>
      <c r="P55" s="169">
        <f>(INDEX(Models!$BJ55:$BT55,,T55)*(1-R55)+INDEX(Models!$BJ55:$BT55,,T55+1)*R55-ERP_i)*Q55*Ramure*Pc/MaxiM</f>
        <v>2.1598646523110129E-5</v>
      </c>
      <c r="Q55" s="305">
        <f t="shared" si="4"/>
        <v>0.5</v>
      </c>
      <c r="R55" s="177">
        <f t="shared" si="5"/>
        <v>0.47529306509174152</v>
      </c>
      <c r="S55" s="811">
        <f t="shared" si="6"/>
        <v>-2</v>
      </c>
      <c r="T55" s="176">
        <f t="shared" si="7"/>
        <v>4</v>
      </c>
      <c r="U55" s="251">
        <f t="shared" si="8"/>
        <v>-1.5247069349082585</v>
      </c>
      <c r="V55" s="383">
        <f t="shared" si="9"/>
        <v>33.204410893413389</v>
      </c>
      <c r="W55" s="402">
        <f t="shared" si="10"/>
        <v>30.4958091755562</v>
      </c>
      <c r="X55" s="157">
        <f t="shared" si="11"/>
        <v>46063</v>
      </c>
      <c r="Y55" s="385">
        <f t="shared" si="12"/>
        <v>29.291967488903207</v>
      </c>
      <c r="Z55" s="385">
        <f t="shared" si="22"/>
        <v>31.147338499618364</v>
      </c>
      <c r="AA55" s="386">
        <f t="shared" si="13"/>
        <v>34.198431683486049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8.9217342248504874E-2</v>
      </c>
      <c r="AD55" s="231">
        <f>(INDEX(Models!$BJ55:$BT55,,AH55)*(1-AF55)+INDEX(Models!$BJ55:$BT55,,AH55+1)*AF55-ERP_i)*AE55*Ramure*Pc/MaxiM</f>
        <v>3.520605229217677E-4</v>
      </c>
      <c r="AE55" s="305">
        <f t="shared" si="15"/>
        <v>0.5</v>
      </c>
      <c r="AF55" s="177">
        <f t="shared" si="23"/>
        <v>2.806314657202158E-4</v>
      </c>
      <c r="AG55" s="811">
        <f t="shared" si="24"/>
        <v>2</v>
      </c>
      <c r="AH55" s="176">
        <f t="shared" si="16"/>
        <v>8</v>
      </c>
      <c r="AI55" s="225">
        <f t="shared" si="17"/>
        <v>2.0002806314657202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'2025'!Wh/'2025'!Env_an*'2026'!Env_an</f>
        <v>17.024039127116509</v>
      </c>
      <c r="C56" s="841"/>
      <c r="D56" s="393">
        <f t="shared" si="0"/>
        <v>18.102748601336589</v>
      </c>
      <c r="E56" s="385">
        <f t="shared" si="1"/>
        <v>19.098072385189962</v>
      </c>
      <c r="F56" s="385">
        <f t="shared" si="2"/>
        <v>19.098197023875027</v>
      </c>
      <c r="G56" s="110">
        <f t="shared" si="21"/>
        <v>0.50808929570926586</v>
      </c>
      <c r="H56" s="414" t="b">
        <f>Wh_hp&gt;='2025'!Maxi_hp</f>
        <v>0</v>
      </c>
      <c r="I56" s="390">
        <f>IF(H56,Wh_hp,'2025'!Maxi_hp)</f>
        <v>30.625815125737557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5.9588159675400654E-2</v>
      </c>
      <c r="M56" s="845"/>
      <c r="N56" s="845"/>
      <c r="O56" s="48">
        <f>IF(t&lt;Tnet,'2025'!Resal+('2025'!Salim-'2025'!Resal)*(1-EXP(('2025'!Tnet-t)/('2025'!Tau_j))),Resal+(Salim-Resal)*(1-EXP((Tnet-t)/(Tau_j))))*Salcycl</f>
        <v>5.2116452581110591E-2</v>
      </c>
      <c r="P56" s="169">
        <f>(INDEX(Models!$BJ56:$BT56,,T56)*(1-R56)+INDEX(Models!$BJ56:$BT56,,T56+1)*R56-ERP_i)*Q56*Ramure*Pc/MaxiM</f>
        <v>2.1952926844126021E-5</v>
      </c>
      <c r="Q56" s="305">
        <f t="shared" si="4"/>
        <v>0.5</v>
      </c>
      <c r="R56" s="177">
        <f t="shared" si="5"/>
        <v>0.47544247145760266</v>
      </c>
      <c r="S56" s="811">
        <f t="shared" si="6"/>
        <v>-2</v>
      </c>
      <c r="T56" s="176">
        <f t="shared" si="7"/>
        <v>4</v>
      </c>
      <c r="U56" s="251">
        <f t="shared" si="8"/>
        <v>-1.5245575285423973</v>
      </c>
      <c r="V56" s="383">
        <f t="shared" si="9"/>
        <v>33.505481504909632</v>
      </c>
      <c r="W56" s="402">
        <f t="shared" si="10"/>
        <v>17.024039127116509</v>
      </c>
      <c r="X56" s="157">
        <f t="shared" si="11"/>
        <v>46064</v>
      </c>
      <c r="Y56" s="385">
        <f t="shared" si="12"/>
        <v>16.355770771338054</v>
      </c>
      <c r="Z56" s="385">
        <f t="shared" si="22"/>
        <v>17.392136157805687</v>
      </c>
      <c r="AA56" s="386">
        <f t="shared" si="13"/>
        <v>19.096238257994898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8.9237580573009664E-2</v>
      </c>
      <c r="AD56" s="231">
        <f>(INDEX(Models!$BJ56:$BT56,,AH56)*(1-AF56)+INDEX(Models!$BJ56:$BT56,,AH56+1)*AF56-ERP_i)*AE56*Ramure*Pc/MaxiM</f>
        <v>3.4500238869753441E-4</v>
      </c>
      <c r="AE56" s="305">
        <f t="shared" si="15"/>
        <v>0.5</v>
      </c>
      <c r="AF56" s="177">
        <f t="shared" si="23"/>
        <v>4.300378315815756E-4</v>
      </c>
      <c r="AG56" s="811">
        <f t="shared" si="24"/>
        <v>2</v>
      </c>
      <c r="AH56" s="176">
        <f t="shared" si="16"/>
        <v>8</v>
      </c>
      <c r="AI56" s="225">
        <f t="shared" si="17"/>
        <v>2.0004300378315816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'2025'!Wh/'2025'!Env_an*'2026'!Env_an</f>
        <v>25.864027411641317</v>
      </c>
      <c r="C57" s="841"/>
      <c r="D57" s="393">
        <f t="shared" si="0"/>
        <v>27.503475396162731</v>
      </c>
      <c r="E57" s="385">
        <f t="shared" si="1"/>
        <v>29.017310374825236</v>
      </c>
      <c r="F57" s="385">
        <f t="shared" si="2"/>
        <v>29.017742896837365</v>
      </c>
      <c r="G57" s="110">
        <f t="shared" si="21"/>
        <v>0.76503912883471659</v>
      </c>
      <c r="H57" s="414" t="b">
        <f>Wh_hp&gt;='2025'!Maxi_hp</f>
        <v>0</v>
      </c>
      <c r="I57" s="390">
        <f>IF(H57,Wh_hp,'2025'!Maxi_hp)</f>
        <v>38.463815462769276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5.9608757108207122E-2</v>
      </c>
      <c r="M57" s="845"/>
      <c r="N57" s="845"/>
      <c r="O57" s="48">
        <f>IF(t&lt;Tnet,'2025'!Resal+('2025'!Salim-'2025'!Resal)*(1-EXP(('2025'!Tnet-t)/('2025'!Tau_j))),Resal+(Salim-Resal)*(1-EXP((Tnet-t)/(Tau_j))))*Salcycl</f>
        <v>5.2170065354364255E-2</v>
      </c>
      <c r="P57" s="169">
        <f>(INDEX(Models!$BJ57:$BT57,,T57)*(1-R57)+INDEX(Models!$BJ57:$BT57,,T57+1)*R57-ERP_i)*Q57*Ramure*Pc/MaxiM</f>
        <v>2.2436119754348707E-5</v>
      </c>
      <c r="Q57" s="305">
        <f t="shared" si="4"/>
        <v>0.5</v>
      </c>
      <c r="R57" s="177">
        <f t="shared" si="5"/>
        <v>0.47559805024412549</v>
      </c>
      <c r="S57" s="811">
        <f t="shared" si="6"/>
        <v>-2</v>
      </c>
      <c r="T57" s="176">
        <f t="shared" si="7"/>
        <v>4</v>
      </c>
      <c r="U57" s="251">
        <f t="shared" si="8"/>
        <v>-1.5244019497558745</v>
      </c>
      <c r="V57" s="383">
        <f t="shared" si="9"/>
        <v>33.807202350858994</v>
      </c>
      <c r="W57" s="402">
        <f t="shared" si="10"/>
        <v>25.864027411641317</v>
      </c>
      <c r="X57" s="157">
        <f t="shared" si="11"/>
        <v>46065</v>
      </c>
      <c r="Y57" s="385">
        <f t="shared" si="12"/>
        <v>24.846757995933661</v>
      </c>
      <c r="Z57" s="385">
        <f t="shared" si="22"/>
        <v>26.421724132104323</v>
      </c>
      <c r="AA57" s="386">
        <f t="shared" si="13"/>
        <v>29.011201676109021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8.9257851946793129E-2</v>
      </c>
      <c r="AD57" s="231">
        <f>(INDEX(Models!$BJ57:$BT57,,AH57)*(1-AF57)+INDEX(Models!$BJ57:$BT57,,AH57+1)*AF57-ERP_i)*AE57*Ramure*Pc/MaxiM</f>
        <v>3.3931131245168618E-4</v>
      </c>
      <c r="AE57" s="305">
        <f t="shared" si="15"/>
        <v>0.5</v>
      </c>
      <c r="AF57" s="177">
        <f t="shared" si="23"/>
        <v>5.8561661810463406E-4</v>
      </c>
      <c r="AG57" s="811">
        <f t="shared" si="24"/>
        <v>2</v>
      </c>
      <c r="AH57" s="176">
        <f t="shared" si="16"/>
        <v>8</v>
      </c>
      <c r="AI57" s="225">
        <f t="shared" si="17"/>
        <v>2.0005856166181046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'2025'!Wh/'2025'!Env_an*'2026'!Env_an</f>
        <v>30.574134360922184</v>
      </c>
      <c r="C58" s="841"/>
      <c r="D58" s="393">
        <f t="shared" si="0"/>
        <v>32.512854898114654</v>
      </c>
      <c r="E58" s="385">
        <f t="shared" si="1"/>
        <v>34.304353617107793</v>
      </c>
      <c r="F58" s="385">
        <f t="shared" si="2"/>
        <v>34.305024203272083</v>
      </c>
      <c r="G58" s="110">
        <f t="shared" si="21"/>
        <v>0.89634236893571184</v>
      </c>
      <c r="H58" s="414" t="b">
        <f>Wh_hp&gt;='2025'!Maxi_hp</f>
        <v>0</v>
      </c>
      <c r="I58" s="390">
        <f>IF(H58,Wh_hp,'2025'!Maxi_hp)</f>
        <v>39.79279391744533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5.9629354089877018E-2</v>
      </c>
      <c r="M58" s="845"/>
      <c r="N58" s="845"/>
      <c r="O58" s="48">
        <f>IF(t&lt;Tnet,'2025'!Resal+('2025'!Salim-'2025'!Resal)*(1-EXP(('2025'!Tnet-t)/('2025'!Tau_j))),Resal+(Salim-Resal)*(1-EXP((Tnet-t)/(Tau_j))))*Salcycl</f>
        <v>5.2223654728760449E-2</v>
      </c>
      <c r="P58" s="169">
        <f>(INDEX(Models!$BJ58:$BT58,,T58)*(1-R58)+INDEX(Models!$BJ58:$BT58,,T58+1)*R58-ERP_i)*Q58*Ramure*Pc/MaxiM</f>
        <v>2.2945472987219637E-5</v>
      </c>
      <c r="Q58" s="305">
        <f t="shared" si="4"/>
        <v>0.5</v>
      </c>
      <c r="R58" s="177">
        <f t="shared" si="5"/>
        <v>0.47576005231516461</v>
      </c>
      <c r="S58" s="811">
        <f t="shared" si="6"/>
        <v>-2</v>
      </c>
      <c r="T58" s="176">
        <f t="shared" si="7"/>
        <v>4</v>
      </c>
      <c r="U58" s="251">
        <f t="shared" si="8"/>
        <v>-1.5242399476848354</v>
      </c>
      <c r="V58" s="383">
        <f t="shared" si="9"/>
        <v>34.10976824945643</v>
      </c>
      <c r="W58" s="402">
        <f t="shared" si="10"/>
        <v>30.574134360922184</v>
      </c>
      <c r="X58" s="157">
        <f t="shared" si="11"/>
        <v>46066</v>
      </c>
      <c r="Y58" s="385">
        <f t="shared" si="12"/>
        <v>29.370953451902395</v>
      </c>
      <c r="Z58" s="385">
        <f t="shared" si="22"/>
        <v>31.233379710056962</v>
      </c>
      <c r="AA58" s="386">
        <f t="shared" si="13"/>
        <v>34.295190772231173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8.9278146388191482E-2</v>
      </c>
      <c r="AD58" s="231">
        <f>(INDEX(Models!$BJ58:$BT58,,AH58)*(1-AF58)+INDEX(Models!$BJ58:$BT58,,AH58+1)*AF58-ERP_i)*AE58*Ramure*Pc/MaxiM</f>
        <v>3.3647089417625789E-4</v>
      </c>
      <c r="AE58" s="305">
        <f t="shared" si="15"/>
        <v>0.5</v>
      </c>
      <c r="AF58" s="177">
        <f t="shared" si="23"/>
        <v>7.4761868914352547E-4</v>
      </c>
      <c r="AG58" s="811">
        <f t="shared" si="24"/>
        <v>2</v>
      </c>
      <c r="AH58" s="176">
        <f t="shared" si="16"/>
        <v>8</v>
      </c>
      <c r="AI58" s="225">
        <f t="shared" si="17"/>
        <v>2.0007476186891435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'2025'!Wh/'2025'!Env_an*'2026'!Env_an</f>
        <v>14.97449797607767</v>
      </c>
      <c r="C59" s="841"/>
      <c r="D59" s="393">
        <f t="shared" si="0"/>
        <v>15.924386866313752</v>
      </c>
      <c r="E59" s="385">
        <f t="shared" si="1"/>
        <v>16.802789928452889</v>
      </c>
      <c r="F59" s="385">
        <f t="shared" si="2"/>
        <v>16.802865915098952</v>
      </c>
      <c r="G59" s="110">
        <f t="shared" si="21"/>
        <v>0.43512779588523404</v>
      </c>
      <c r="H59" s="414" t="b">
        <f>Wh_hp&gt;='2025'!Maxi_hp</f>
        <v>0</v>
      </c>
      <c r="I59" s="390">
        <f>IF(H59,Wh_hp,'2025'!Maxi_hp)</f>
        <v>40.073233720515397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5.9649950620420111E-2</v>
      </c>
      <c r="M59" s="845"/>
      <c r="N59" s="845"/>
      <c r="O59" s="48">
        <f>IF(t&lt;Tnet,'2025'!Resal+('2025'!Salim-'2025'!Resal)*(1-EXP(('2025'!Tnet-t)/('2025'!Tau_j))),Resal+(Salim-Resal)*(1-EXP((Tnet-t)/(Tau_j))))*Salcycl</f>
        <v>5.227721502675562E-2</v>
      </c>
      <c r="P59" s="169">
        <f>(INDEX(Models!$BJ59:$BT59,,T59)*(1-R59)+INDEX(Models!$BJ59:$BT59,,T59+1)*R59-ERP_i)*Q59*Ramure*Pc/MaxiM</f>
        <v>2.3425066158064002E-5</v>
      </c>
      <c r="Q59" s="305">
        <f t="shared" si="4"/>
        <v>0.5</v>
      </c>
      <c r="R59" s="177">
        <f t="shared" si="5"/>
        <v>0.4759287383791464</v>
      </c>
      <c r="S59" s="811">
        <f t="shared" si="6"/>
        <v>-2</v>
      </c>
      <c r="T59" s="176">
        <f t="shared" si="7"/>
        <v>4</v>
      </c>
      <c r="U59" s="251">
        <f t="shared" si="8"/>
        <v>-1.5240712616208536</v>
      </c>
      <c r="V59" s="383">
        <f t="shared" si="9"/>
        <v>34.413372476124003</v>
      </c>
      <c r="W59" s="402">
        <f t="shared" si="10"/>
        <v>14.97449797607767</v>
      </c>
      <c r="X59" s="157">
        <f t="shared" si="11"/>
        <v>46067</v>
      </c>
      <c r="Y59" s="385">
        <f t="shared" si="12"/>
        <v>14.388675464153456</v>
      </c>
      <c r="Z59" s="385">
        <f t="shared" si="22"/>
        <v>15.301403422743217</v>
      </c>
      <c r="AA59" s="386">
        <f t="shared" si="13"/>
        <v>16.801776049182031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8.9298454047175388E-2</v>
      </c>
      <c r="AD59" s="231">
        <f>(INDEX(Models!$BJ59:$BT59,,AH59)*(1-AF59)+INDEX(Models!$BJ59:$BT59,,AH59+1)*AF59-ERP_i)*AE59*Ramure*Pc/MaxiM</f>
        <v>3.3598247231259948E-4</v>
      </c>
      <c r="AE59" s="305">
        <f t="shared" si="15"/>
        <v>0.5</v>
      </c>
      <c r="AF59" s="177">
        <f t="shared" si="23"/>
        <v>9.1630475312509674E-4</v>
      </c>
      <c r="AG59" s="811">
        <f t="shared" si="24"/>
        <v>2</v>
      </c>
      <c r="AH59" s="176">
        <f t="shared" si="16"/>
        <v>8</v>
      </c>
      <c r="AI59" s="225">
        <f t="shared" si="17"/>
        <v>2.0009163047531251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'2025'!Wh/'2025'!Env_an*'2026'!Env_an</f>
        <v>18.827089255763667</v>
      </c>
      <c r="C60" s="841"/>
      <c r="D60" s="393">
        <f t="shared" si="0"/>
        <v>20.021801071622978</v>
      </c>
      <c r="E60" s="385">
        <f t="shared" si="1"/>
        <v>21.127414311877093</v>
      </c>
      <c r="F60" s="385">
        <f t="shared" si="2"/>
        <v>21.127588905249734</v>
      </c>
      <c r="G60" s="110">
        <f t="shared" si="21"/>
        <v>0.54227442333375053</v>
      </c>
      <c r="H60" s="414" t="b">
        <f>Wh_hp&gt;='2025'!Maxi_hp</f>
        <v>0</v>
      </c>
      <c r="I60" s="390">
        <f>IF(H60,Wh_hp,'2025'!Maxi_hp)</f>
        <v>40.326165520091415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5.9670546699846283E-2</v>
      </c>
      <c r="M60" s="845"/>
      <c r="N60" s="845"/>
      <c r="O60" s="48">
        <f>IF(t&lt;Tnet,'2025'!Resal+('2025'!Salim-'2025'!Resal)*(1-EXP(('2025'!Tnet-t)/('2025'!Tau_j))),Resal+(Salim-Resal)*(1-EXP((Tnet-t)/(Tau_j))))*Salcycl</f>
        <v>5.2330740711255729E-2</v>
      </c>
      <c r="P60" s="169">
        <f>(INDEX(Models!$BJ60:$BT60,,T60)*(1-R60)+INDEX(Models!$BJ60:$BT60,,T60+1)*R60-ERP_i)*Q60*Ramure*Pc/MaxiM</f>
        <v>2.3875535011230506E-5</v>
      </c>
      <c r="Q60" s="305">
        <f t="shared" si="4"/>
        <v>0.5</v>
      </c>
      <c r="R60" s="177">
        <f t="shared" si="5"/>
        <v>0.47610437934547689</v>
      </c>
      <c r="S60" s="811">
        <f t="shared" si="6"/>
        <v>-2</v>
      </c>
      <c r="T60" s="176">
        <f t="shared" si="7"/>
        <v>4</v>
      </c>
      <c r="U60" s="251">
        <f t="shared" si="8"/>
        <v>-1.5238956206545231</v>
      </c>
      <c r="V60" s="383">
        <f t="shared" si="9"/>
        <v>34.718206352707128</v>
      </c>
      <c r="W60" s="402">
        <f t="shared" si="10"/>
        <v>18.827089255763667</v>
      </c>
      <c r="X60" s="157">
        <f t="shared" si="11"/>
        <v>46068</v>
      </c>
      <c r="Y60" s="385">
        <f t="shared" si="12"/>
        <v>18.090292433339016</v>
      </c>
      <c r="Z60" s="385">
        <f t="shared" si="22"/>
        <v>19.238249285768767</v>
      </c>
      <c r="AA60" s="386">
        <f t="shared" si="13"/>
        <v>21.125118816201169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8.9318765345136608E-2</v>
      </c>
      <c r="AD60" s="231">
        <f>(INDEX(Models!$BJ60:$BT60,,AH60)*(1-AF60)+INDEX(Models!$BJ60:$BT60,,AH60+1)*AF60-ERP_i)*AE60*Ramure*Pc/MaxiM</f>
        <v>3.3778313957763946E-4</v>
      </c>
      <c r="AE60" s="305">
        <f t="shared" si="15"/>
        <v>0.5</v>
      </c>
      <c r="AF60" s="177">
        <f t="shared" si="23"/>
        <v>1.0919457194558113E-3</v>
      </c>
      <c r="AG60" s="811">
        <f t="shared" si="24"/>
        <v>2</v>
      </c>
      <c r="AH60" s="176">
        <f t="shared" si="16"/>
        <v>8</v>
      </c>
      <c r="AI60" s="225">
        <f t="shared" si="17"/>
        <v>2.0010919457194558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'2025'!Wh/'2025'!Env_an*'2026'!Env_an</f>
        <v>9.8624444739511414</v>
      </c>
      <c r="C61" s="841"/>
      <c r="D61" s="393">
        <f t="shared" si="0"/>
        <v>10.488515973751586</v>
      </c>
      <c r="E61" s="385">
        <f t="shared" si="1"/>
        <v>11.068321430178914</v>
      </c>
      <c r="F61" s="385">
        <f t="shared" si="2"/>
        <v>11.068321430178914</v>
      </c>
      <c r="G61" s="110">
        <f t="shared" si="21"/>
        <v>0.28158048747533249</v>
      </c>
      <c r="H61" s="414" t="b">
        <f>Wh_hp&gt;='2025'!Maxi_hp</f>
        <v>0</v>
      </c>
      <c r="I61" s="390">
        <f>IF(H61,Wh_hp,'2025'!Maxi_hp)</f>
        <v>40.772992464506032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5.9691142328165525E-2</v>
      </c>
      <c r="M61" s="845"/>
      <c r="N61" s="845"/>
      <c r="O61" s="48">
        <f>IF(t&lt;Tnet,'2025'!Resal+('2025'!Salim-'2025'!Resal)*(1-EXP(('2025'!Tnet-t)/('2025'!Tau_j))),Resal+(Salim-Resal)*(1-EXP((Tnet-t)/(Tau_j))))*Salcycl</f>
        <v>5.2384226468742565E-2</v>
      </c>
      <c r="P61" s="169">
        <f>(INDEX(Models!$BJ61:$BT61,,T61)*(1-R61)+INDEX(Models!$BJ61:$BT61,,T61+1)*R61-ERP_i)*Q61*Ramure*Pc/MaxiM</f>
        <v>2.4297489507791145E-5</v>
      </c>
      <c r="Q61" s="305">
        <f t="shared" si="4"/>
        <v>0.5</v>
      </c>
      <c r="R61" s="177">
        <f t="shared" si="5"/>
        <v>0.47628725669126482</v>
      </c>
      <c r="S61" s="811">
        <f t="shared" si="6"/>
        <v>-2</v>
      </c>
      <c r="T61" s="176">
        <f t="shared" si="7"/>
        <v>4</v>
      </c>
      <c r="U61" s="251">
        <f t="shared" si="8"/>
        <v>-1.5237127433087352</v>
      </c>
      <c r="V61" s="383">
        <f t="shared" si="9"/>
        <v>35.024461139815244</v>
      </c>
      <c r="W61" s="402">
        <f t="shared" si="10"/>
        <v>9.8624444739511414</v>
      </c>
      <c r="X61" s="157">
        <f t="shared" si="11"/>
        <v>46069</v>
      </c>
      <c r="Y61" s="385">
        <f t="shared" si="12"/>
        <v>9.4778317294695835</v>
      </c>
      <c r="Z61" s="385">
        <f t="shared" si="22"/>
        <v>10.079487874799243</v>
      </c>
      <c r="AA61" s="386">
        <f t="shared" si="13"/>
        <v>11.068321430178914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8.9339071115473401E-2</v>
      </c>
      <c r="AD61" s="231">
        <f>(INDEX(Models!$BJ61:$BT61,,AH61)*(1-AF61)+INDEX(Models!$BJ61:$BT61,,AH61+1)*AF61-ERP_i)*AE61*Ramure*Pc/MaxiM</f>
        <v>3.4181183564024908E-4</v>
      </c>
      <c r="AE61" s="305">
        <f t="shared" si="15"/>
        <v>0.5</v>
      </c>
      <c r="AF61" s="177">
        <f t="shared" si="23"/>
        <v>1.2748230652439574E-3</v>
      </c>
      <c r="AG61" s="811">
        <f t="shared" si="24"/>
        <v>2</v>
      </c>
      <c r="AH61" s="176">
        <f t="shared" si="16"/>
        <v>8</v>
      </c>
      <c r="AI61" s="225">
        <f t="shared" si="17"/>
        <v>2.001274823065244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'2025'!Wh/'2025'!Env_an*'2026'!Env_an</f>
        <v>10.670265365955562</v>
      </c>
      <c r="C62" s="841"/>
      <c r="D62" s="393">
        <f t="shared" si="0"/>
        <v>11.347866172068375</v>
      </c>
      <c r="E62" s="385">
        <f t="shared" si="1"/>
        <v>11.975851910071675</v>
      </c>
      <c r="F62" s="385">
        <f t="shared" si="2"/>
        <v>11.975852753766349</v>
      </c>
      <c r="G62" s="110">
        <f t="shared" si="21"/>
        <v>0.30198979931671188</v>
      </c>
      <c r="H62" s="414" t="b">
        <f>Wh_hp&gt;='2025'!Maxi_hp</f>
        <v>0</v>
      </c>
      <c r="I62" s="390">
        <f>IF(H62,Wh_hp,'2025'!Maxi_hp)</f>
        <v>41.216821259374889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5.9711737505387608E-2</v>
      </c>
      <c r="M62" s="845"/>
      <c r="N62" s="845"/>
      <c r="O62" s="48">
        <f>IF(t&lt;Tnet,'2025'!Resal+('2025'!Salim-'2025'!Resal)*(1-EXP(('2025'!Tnet-t)/('2025'!Tau_j))),Resal+(Salim-Resal)*(1-EXP((Tnet-t)/(Tau_j))))*Salcycl</f>
        <v>5.2437667292392333E-2</v>
      </c>
      <c r="P62" s="169">
        <f>(INDEX(Models!$BJ62:$BT62,,T62)*(1-R62)+INDEX(Models!$BJ62:$BT62,,T62+1)*R62-ERP_i)*Q62*Ramure*Pc/MaxiM</f>
        <v>2.4691516981274428E-5</v>
      </c>
      <c r="Q62" s="305">
        <f t="shared" si="4"/>
        <v>0.5</v>
      </c>
      <c r="R62" s="177">
        <f t="shared" si="5"/>
        <v>0.4764776628384213</v>
      </c>
      <c r="S62" s="811">
        <f t="shared" si="6"/>
        <v>-2</v>
      </c>
      <c r="T62" s="176">
        <f t="shared" si="7"/>
        <v>4</v>
      </c>
      <c r="U62" s="251">
        <f t="shared" si="8"/>
        <v>-1.5235223371615787</v>
      </c>
      <c r="V62" s="383">
        <f t="shared" si="9"/>
        <v>35.332328034778754</v>
      </c>
      <c r="W62" s="402">
        <f t="shared" si="10"/>
        <v>10.670265365955562</v>
      </c>
      <c r="X62" s="157">
        <f t="shared" si="11"/>
        <v>46070</v>
      </c>
      <c r="Y62" s="385">
        <f t="shared" si="12"/>
        <v>10.254489814066327</v>
      </c>
      <c r="Z62" s="385">
        <f t="shared" si="22"/>
        <v>10.905687354706378</v>
      </c>
      <c r="AA62" s="386">
        <f t="shared" si="13"/>
        <v>11.975840862496637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8.9359362743499357E-2</v>
      </c>
      <c r="AD62" s="231">
        <f>(INDEX(Models!$BJ62:$BT62,,AH62)*(1-AF62)+INDEX(Models!$BJ62:$BT62,,AH62+1)*AF62-ERP_i)*AE62*Ramure*Pc/MaxiM</f>
        <v>3.4800917580449426E-4</v>
      </c>
      <c r="AE62" s="305">
        <f t="shared" si="15"/>
        <v>0.5</v>
      </c>
      <c r="AF62" s="177">
        <f t="shared" si="23"/>
        <v>1.4652292124002209E-3</v>
      </c>
      <c r="AG62" s="811">
        <f t="shared" si="24"/>
        <v>2</v>
      </c>
      <c r="AH62" s="176">
        <f t="shared" si="16"/>
        <v>8</v>
      </c>
      <c r="AI62" s="225">
        <f t="shared" si="17"/>
        <v>2.0014652292124002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'2025'!Wh/'2025'!Env_an*'2026'!Env_an</f>
        <v>27.173349766840914</v>
      </c>
      <c r="C63" s="841"/>
      <c r="D63" s="393">
        <f t="shared" si="0"/>
        <v>28.89958965762483</v>
      </c>
      <c r="E63" s="385">
        <f t="shared" si="1"/>
        <v>30.500598351965209</v>
      </c>
      <c r="F63" s="385">
        <f t="shared" si="2"/>
        <v>30.501103224862849</v>
      </c>
      <c r="G63" s="110">
        <f t="shared" si="21"/>
        <v>0.76239043924853267</v>
      </c>
      <c r="H63" s="414" t="b">
        <f>Wh_hp&gt;='2025'!Maxi_hp</f>
        <v>0</v>
      </c>
      <c r="I63" s="390">
        <f>IF(H63,Wh_hp,'2025'!Maxi_hp)</f>
        <v>40.739227562492772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5.9732332231522411E-2</v>
      </c>
      <c r="M63" s="845"/>
      <c r="N63" s="845"/>
      <c r="O63" s="48">
        <f>IF(t&lt;Tnet,'2025'!Resal+('2025'!Salim-'2025'!Resal)*(1-EXP(('2025'!Tnet-t)/('2025'!Tau_j))),Resal+(Salim-Resal)*(1-EXP((Tnet-t)/(Tau_j))))*Salcycl</f>
        <v>5.2491058564338777E-2</v>
      </c>
      <c r="P63" s="169">
        <f>(INDEX(Models!$BJ63:$BT63,,T63)*(1-R63)+INDEX(Models!$BJ63:$BT63,,T63+1)*R63-ERP_i)*Q63*Ramure*Pc/MaxiM</f>
        <v>2.505818512080584E-5</v>
      </c>
      <c r="Q63" s="305">
        <f t="shared" si="4"/>
        <v>0.5</v>
      </c>
      <c r="R63" s="177">
        <f t="shared" si="5"/>
        <v>0.47667590154116946</v>
      </c>
      <c r="S63" s="811">
        <f t="shared" si="6"/>
        <v>-2</v>
      </c>
      <c r="T63" s="176">
        <f t="shared" si="7"/>
        <v>4</v>
      </c>
      <c r="U63" s="251">
        <f t="shared" si="8"/>
        <v>-1.5233240984588305</v>
      </c>
      <c r="V63" s="383">
        <f t="shared" si="9"/>
        <v>35.64199816679124</v>
      </c>
      <c r="W63" s="402">
        <f t="shared" si="10"/>
        <v>27.173349766840914</v>
      </c>
      <c r="X63" s="157">
        <f t="shared" si="11"/>
        <v>46071</v>
      </c>
      <c r="Y63" s="385">
        <f t="shared" si="12"/>
        <v>26.1097178069184</v>
      </c>
      <c r="Z63" s="385">
        <f t="shared" si="22"/>
        <v>27.768388408892314</v>
      </c>
      <c r="AA63" s="386">
        <f t="shared" si="13"/>
        <v>30.493924135650055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8.9379632304238343E-2</v>
      </c>
      <c r="AD63" s="231">
        <f>(INDEX(Models!$BJ63:$BT63,,AH63)*(1-AF63)+INDEX(Models!$BJ63:$BT63,,AH63+1)*AF63-ERP_i)*AE63*Ramure*Pc/MaxiM</f>
        <v>3.5631729754955464E-4</v>
      </c>
      <c r="AE63" s="305">
        <f t="shared" si="15"/>
        <v>0.5</v>
      </c>
      <c r="AF63" s="177">
        <f t="shared" si="23"/>
        <v>1.6634679151485976E-3</v>
      </c>
      <c r="AG63" s="811">
        <f t="shared" si="24"/>
        <v>2</v>
      </c>
      <c r="AH63" s="176">
        <f t="shared" si="16"/>
        <v>8</v>
      </c>
      <c r="AI63" s="225">
        <f t="shared" si="17"/>
        <v>2.0016634679151486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'2025'!Wh/'2025'!Env_an*'2026'!Env_an</f>
        <v>19.692872241159083</v>
      </c>
      <c r="C64" s="841"/>
      <c r="D64" s="393">
        <f t="shared" si="0"/>
        <v>20.944358984273823</v>
      </c>
      <c r="E64" s="385">
        <f t="shared" si="1"/>
        <v>22.105900159186699</v>
      </c>
      <c r="F64" s="385">
        <f t="shared" si="2"/>
        <v>22.106098856328675</v>
      </c>
      <c r="G64" s="110">
        <f t="shared" si="21"/>
        <v>0.54772025055205686</v>
      </c>
      <c r="H64" s="414" t="b">
        <f>Wh_hp&gt;='2025'!Maxi_hp</f>
        <v>0</v>
      </c>
      <c r="I64" s="390">
        <f>IF(H64,Wh_hp,'2025'!Maxi_hp)</f>
        <v>38.479174675338513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5.9752926506579929E-2</v>
      </c>
      <c r="M64" s="845"/>
      <c r="N64" s="845"/>
      <c r="O64" s="48">
        <f>IF(t&lt;Tnet,'2025'!Resal+('2025'!Salim-'2025'!Resal)*(1-EXP(('2025'!Tnet-t)/('2025'!Tau_j))),Resal+(Salim-Resal)*(1-EXP((Tnet-t)/(Tau_j))))*Salcycl</f>
        <v>5.2544396136258192E-2</v>
      </c>
      <c r="P64" s="169">
        <f>(INDEX(Models!$BJ64:$BT64,,T64)*(1-R64)+INDEX(Models!$BJ64:$BT64,,T64+1)*R64-ERP_i)*Q64*Ramure*Pc/MaxiM</f>
        <v>2.5398044775774708E-5</v>
      </c>
      <c r="Q64" s="305">
        <f t="shared" si="4"/>
        <v>0.5</v>
      </c>
      <c r="R64" s="177">
        <f t="shared" si="5"/>
        <v>0.47688228828397849</v>
      </c>
      <c r="S64" s="811">
        <f t="shared" si="6"/>
        <v>-2</v>
      </c>
      <c r="T64" s="176">
        <f t="shared" si="7"/>
        <v>4</v>
      </c>
      <c r="U64" s="251">
        <f t="shared" si="8"/>
        <v>-1.5231177117160215</v>
      </c>
      <c r="V64" s="383">
        <f t="shared" si="9"/>
        <v>35.953662593622681</v>
      </c>
      <c r="W64" s="402">
        <f t="shared" si="10"/>
        <v>19.692872241159083</v>
      </c>
      <c r="X64" s="157">
        <f t="shared" si="11"/>
        <v>46072</v>
      </c>
      <c r="Y64" s="385">
        <f t="shared" si="12"/>
        <v>18.92454488019888</v>
      </c>
      <c r="Z64" s="385">
        <f t="shared" si="22"/>
        <v>20.12720423567616</v>
      </c>
      <c r="AA64" s="386">
        <f t="shared" si="13"/>
        <v>22.103230201913568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8.9399872696721644E-2</v>
      </c>
      <c r="AD64" s="231">
        <f>(INDEX(Models!$BJ64:$BT64,,AH64)*(1-AF64)+INDEX(Models!$BJ64:$BT64,,AH64+1)*AF64-ERP_i)*AE64*Ramure*Pc/MaxiM</f>
        <v>3.6667972451845702E-4</v>
      </c>
      <c r="AE64" s="305">
        <f t="shared" si="15"/>
        <v>0.5</v>
      </c>
      <c r="AF64" s="177">
        <f t="shared" si="23"/>
        <v>1.8698546579574149E-3</v>
      </c>
      <c r="AG64" s="811">
        <f t="shared" si="24"/>
        <v>2</v>
      </c>
      <c r="AH64" s="176">
        <f t="shared" si="16"/>
        <v>8</v>
      </c>
      <c r="AI64" s="225">
        <f t="shared" si="17"/>
        <v>2.0018698546579574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'2025'!Wh/'2025'!Env_an*'2026'!Env_an</f>
        <v>18.783964770187001</v>
      </c>
      <c r="C65" s="841"/>
      <c r="D65" s="393">
        <f t="shared" si="0"/>
        <v>19.978127798305756</v>
      </c>
      <c r="E65" s="385">
        <f t="shared" si="1"/>
        <v>21.087269157784522</v>
      </c>
      <c r="F65" s="385">
        <f t="shared" si="2"/>
        <v>21.087437954083512</v>
      </c>
      <c r="G65" s="110">
        <f t="shared" si="21"/>
        <v>0.5179169089396769</v>
      </c>
      <c r="H65" s="414" t="b">
        <f>Wh_hp&gt;='2025'!Maxi_hp</f>
        <v>0</v>
      </c>
      <c r="I65" s="390">
        <f>IF(H65,Wh_hp,'2025'!Maxi_hp)</f>
        <v>40.655100676030095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5.9773520330569929E-2</v>
      </c>
      <c r="M65" s="845"/>
      <c r="N65" s="845"/>
      <c r="O65" s="48">
        <f>IF(t&lt;Tnet,'2025'!Resal+('2025'!Salim-'2025'!Resal)*(1-EXP(('2025'!Tnet-t)/('2025'!Tau_j))),Resal+(Salim-Resal)*(1-EXP((Tnet-t)/(Tau_j))))*Salcycl</f>
        <v>5.2597676407488539E-2</v>
      </c>
      <c r="P65" s="169">
        <f>(INDEX(Models!$BJ65:$BT65,,T65)*(1-R65)+INDEX(Models!$BJ65:$BT65,,T65+1)*R65-ERP_i)*Q65*Ramure*Pc/MaxiM</f>
        <v>2.5711530881813863E-5</v>
      </c>
      <c r="Q65" s="305">
        <f t="shared" si="4"/>
        <v>0.5</v>
      </c>
      <c r="R65" s="177">
        <f t="shared" si="5"/>
        <v>0.47709715068988867</v>
      </c>
      <c r="S65" s="811">
        <f t="shared" si="6"/>
        <v>-2</v>
      </c>
      <c r="T65" s="176">
        <f t="shared" si="7"/>
        <v>4</v>
      </c>
      <c r="U65" s="251">
        <f t="shared" si="8"/>
        <v>-1.5229028493101113</v>
      </c>
      <c r="V65" s="383">
        <f t="shared" si="9"/>
        <v>36.267655750861472</v>
      </c>
      <c r="W65" s="402">
        <f t="shared" si="10"/>
        <v>18.783964770187001</v>
      </c>
      <c r="X65" s="157">
        <f t="shared" si="11"/>
        <v>46073</v>
      </c>
      <c r="Y65" s="385">
        <f t="shared" si="12"/>
        <v>18.051908127422212</v>
      </c>
      <c r="Z65" s="385">
        <f t="shared" si="22"/>
        <v>19.199531727471662</v>
      </c>
      <c r="AA65" s="386">
        <f t="shared" si="13"/>
        <v>21.084949556679632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8.9420077773469414E-2</v>
      </c>
      <c r="AD65" s="231">
        <f>(INDEX(Models!$BJ65:$BT65,,AH65)*(1-AF65)+INDEX(Models!$BJ65:$BT65,,AH65+1)*AF65-ERP_i)*AE65*Ramure*Pc/MaxiM</f>
        <v>3.7903974838078054E-4</v>
      </c>
      <c r="AE65" s="305">
        <f t="shared" si="15"/>
        <v>0.5</v>
      </c>
      <c r="AF65" s="177">
        <f t="shared" si="23"/>
        <v>2.0847170638678136E-3</v>
      </c>
      <c r="AG65" s="811">
        <f t="shared" si="24"/>
        <v>2</v>
      </c>
      <c r="AH65" s="176">
        <f t="shared" si="16"/>
        <v>8</v>
      </c>
      <c r="AI65" s="225">
        <f t="shared" si="17"/>
        <v>2.0020847170638678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'2025'!Wh/'2025'!Env_an*'2026'!Env_an</f>
        <v>20.765370276400784</v>
      </c>
      <c r="C66" s="841"/>
      <c r="D66" s="393">
        <f t="shared" si="0"/>
        <v>22.085981995067346</v>
      </c>
      <c r="E66" s="385">
        <f t="shared" si="1"/>
        <v>23.313456371191361</v>
      </c>
      <c r="F66" s="385">
        <f t="shared" si="2"/>
        <v>23.313686701061581</v>
      </c>
      <c r="G66" s="110">
        <f t="shared" si="21"/>
        <v>0.56759893409420725</v>
      </c>
      <c r="H66" s="414" t="b">
        <f>Wh_hp&gt;='2025'!Maxi_hp</f>
        <v>0</v>
      </c>
      <c r="I66" s="390">
        <f>IF(H66,Wh_hp,'2025'!Maxi_hp)</f>
        <v>38.737384022485628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5.9794113703502294E-2</v>
      </c>
      <c r="M66" s="845"/>
      <c r="N66" s="845"/>
      <c r="O66" s="48">
        <f>IF(t&lt;Tnet,'2025'!Resal+('2025'!Salim-'2025'!Resal)*(1-EXP(('2025'!Tnet-t)/('2025'!Tau_j))),Resal+(Salim-Resal)*(1-EXP((Tnet-t)/(Tau_j))))*Salcycl</f>
        <v>5.2650896399935615E-2</v>
      </c>
      <c r="P66" s="169">
        <f>(INDEX(Models!$BJ66:$BT66,,T66)*(1-R66)+INDEX(Models!$BJ66:$BT66,,T66+1)*R66-ERP_i)*Q66*Ramure*Pc/MaxiM</f>
        <v>2.5842722420835166E-5</v>
      </c>
      <c r="Q66" s="305">
        <f t="shared" si="4"/>
        <v>0.5</v>
      </c>
      <c r="R66" s="177">
        <f t="shared" si="5"/>
        <v>0.47732082893917549</v>
      </c>
      <c r="S66" s="811">
        <f t="shared" si="6"/>
        <v>-2</v>
      </c>
      <c r="T66" s="176">
        <f t="shared" si="7"/>
        <v>4</v>
      </c>
      <c r="U66" s="251">
        <f t="shared" si="8"/>
        <v>-1.5226791710608245</v>
      </c>
      <c r="V66" s="383">
        <f t="shared" si="9"/>
        <v>36.5839989218616</v>
      </c>
      <c r="W66" s="402">
        <f t="shared" si="10"/>
        <v>20.765370276400784</v>
      </c>
      <c r="X66" s="157">
        <f t="shared" si="11"/>
        <v>46074</v>
      </c>
      <c r="Y66" s="385">
        <f t="shared" si="12"/>
        <v>19.956165023489973</v>
      </c>
      <c r="Z66" s="385">
        <f t="shared" si="22"/>
        <v>21.225313853434773</v>
      </c>
      <c r="AA66" s="386">
        <f t="shared" si="13"/>
        <v>23.310182201406679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8.9440242463917352E-2</v>
      </c>
      <c r="AD66" s="231">
        <f>(INDEX(Models!$BJ66:$BT66,,AH66)*(1-AF66)+INDEX(Models!$BJ66:$BT66,,AH66+1)*AF66-ERP_i)*AE66*Ramure*Pc/MaxiM</f>
        <v>3.932004638373191E-4</v>
      </c>
      <c r="AE66" s="305">
        <f t="shared" si="15"/>
        <v>0.5</v>
      </c>
      <c r="AF66" s="177">
        <f t="shared" si="23"/>
        <v>2.3083953131544099E-3</v>
      </c>
      <c r="AG66" s="811">
        <f t="shared" si="24"/>
        <v>2</v>
      </c>
      <c r="AH66" s="176">
        <f t="shared" si="16"/>
        <v>8</v>
      </c>
      <c r="AI66" s="225">
        <f t="shared" si="17"/>
        <v>2.0023083953131544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'2025'!Wh/'2025'!Env_an*'2026'!Env_an</f>
        <v>32.095609653844683</v>
      </c>
      <c r="C67" s="841"/>
      <c r="D67" s="393">
        <f t="shared" si="0"/>
        <v>34.137536377157858</v>
      </c>
      <c r="E67" s="385">
        <f t="shared" si="1"/>
        <v>36.036823038402417</v>
      </c>
      <c r="F67" s="385">
        <f t="shared" si="2"/>
        <v>36.037577555526049</v>
      </c>
      <c r="G67" s="110">
        <f t="shared" si="21"/>
        <v>0.86973881026861033</v>
      </c>
      <c r="H67" s="414" t="b">
        <f>Wh_hp&gt;='2025'!Maxi_hp</f>
        <v>0</v>
      </c>
      <c r="I67" s="390">
        <f>IF(H67,Wh_hp,'2025'!Maxi_hp)</f>
        <v>40.196901311599696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5.9814706625387015E-2</v>
      </c>
      <c r="M67" s="845"/>
      <c r="N67" s="845"/>
      <c r="O67" s="48">
        <f>IF(t&lt;Tnet,'2025'!Resal+('2025'!Salim-'2025'!Resal)*(1-EXP(('2025'!Tnet-t)/('2025'!Tau_j))),Resal+(Salim-Resal)*(1-EXP((Tnet-t)/(Tau_j))))*Salcycl</f>
        <v>5.2704053829068016E-2</v>
      </c>
      <c r="P67" s="169">
        <f>(INDEX(Models!$BJ67:$BT67,,T67)*(1-R67)+INDEX(Models!$BJ67:$BT67,,T67+1)*R67-ERP_i)*Q67*Ramure*Pc/MaxiM</f>
        <v>2.5723648856624904E-5</v>
      </c>
      <c r="Q67" s="305">
        <f t="shared" si="4"/>
        <v>0.5</v>
      </c>
      <c r="R67" s="177">
        <f t="shared" si="5"/>
        <v>0.47755367619824463</v>
      </c>
      <c r="S67" s="811">
        <f t="shared" si="6"/>
        <v>-2</v>
      </c>
      <c r="T67" s="176">
        <f t="shared" si="7"/>
        <v>4</v>
      </c>
      <c r="U67" s="251">
        <f t="shared" si="8"/>
        <v>-1.5224463238017554</v>
      </c>
      <c r="V67" s="383">
        <f t="shared" si="9"/>
        <v>36.902407527202207</v>
      </c>
      <c r="W67" s="402">
        <f t="shared" si="10"/>
        <v>32.095609653844683</v>
      </c>
      <c r="X67" s="157">
        <f t="shared" si="11"/>
        <v>46075</v>
      </c>
      <c r="Y67" s="385">
        <f t="shared" si="12"/>
        <v>30.840650185477962</v>
      </c>
      <c r="Z67" s="385">
        <f t="shared" si="22"/>
        <v>32.802736229558988</v>
      </c>
      <c r="AA67" s="386">
        <f t="shared" si="13"/>
        <v>36.025599427715186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8.9460362890639036E-2</v>
      </c>
      <c r="AD67" s="231">
        <f>(INDEX(Models!$BJ67:$BT67,,AH67)*(1-AF67)+INDEX(Models!$BJ67:$BT67,,AH67+1)*AF67-ERP_i)*AE67*Ramure*Pc/MaxiM</f>
        <v>4.0836866933093133E-4</v>
      </c>
      <c r="AE67" s="305">
        <f t="shared" si="15"/>
        <v>0.5</v>
      </c>
      <c r="AF67" s="177">
        <f t="shared" si="23"/>
        <v>2.5412425722235454E-3</v>
      </c>
      <c r="AG67" s="811">
        <f t="shared" si="24"/>
        <v>2</v>
      </c>
      <c r="AH67" s="176">
        <f t="shared" si="16"/>
        <v>8</v>
      </c>
      <c r="AI67" s="225">
        <f t="shared" si="17"/>
        <v>2.0025412425722235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'2025'!Wh/'2025'!Env_an*'2026'!Env_an</f>
        <v>33.209475017345632</v>
      </c>
      <c r="C68" s="841"/>
      <c r="D68" s="393">
        <f t="shared" si="0"/>
        <v>35.323039660414672</v>
      </c>
      <c r="E68" s="385">
        <f t="shared" si="1"/>
        <v>37.290373376686077</v>
      </c>
      <c r="F68" s="385">
        <f t="shared" si="2"/>
        <v>37.291173435720637</v>
      </c>
      <c r="G68" s="110">
        <f t="shared" si="21"/>
        <v>0.89218244582780826</v>
      </c>
      <c r="H68" s="414" t="b">
        <f>Wh_hp&gt;='2025'!Maxi_hp</f>
        <v>0</v>
      </c>
      <c r="I68" s="390">
        <f>IF(H68,Wh_hp,'2025'!Maxi_hp)</f>
        <v>40.899659056750139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5.9835299096233863E-2</v>
      </c>
      <c r="M68" s="845"/>
      <c r="N68" s="845"/>
      <c r="O68" s="48">
        <f>IF(t&lt;Tnet,'2025'!Resal+('2025'!Salim-'2025'!Resal)*(1-EXP(('2025'!Tnet-t)/('2025'!Tau_j))),Resal+(Salim-Resal)*(1-EXP((Tnet-t)/(Tau_j))))*Salcycl</f>
        <v>5.2757147170357399E-2</v>
      </c>
      <c r="P68" s="169">
        <f>(INDEX(Models!$BJ68:$BT68,,T68)*(1-R68)+INDEX(Models!$BJ68:$BT68,,T68+1)*R68-ERP_i)*Q68*Ramure*Pc/MaxiM</f>
        <v>2.536039065436427E-5</v>
      </c>
      <c r="Q68" s="305">
        <f t="shared" si="4"/>
        <v>0.5</v>
      </c>
      <c r="R68" s="177">
        <f t="shared" si="5"/>
        <v>0.47779605905862255</v>
      </c>
      <c r="S68" s="811">
        <f t="shared" si="6"/>
        <v>-2</v>
      </c>
      <c r="T68" s="176">
        <f t="shared" si="7"/>
        <v>4</v>
      </c>
      <c r="U68" s="251">
        <f t="shared" si="8"/>
        <v>-1.5222039409413775</v>
      </c>
      <c r="V68" s="383">
        <f t="shared" si="9"/>
        <v>37.222594384506209</v>
      </c>
      <c r="W68" s="402">
        <f t="shared" si="10"/>
        <v>33.209475017345632</v>
      </c>
      <c r="X68" s="157">
        <f t="shared" si="11"/>
        <v>46076</v>
      </c>
      <c r="Y68" s="385">
        <f t="shared" si="12"/>
        <v>31.911210171084772</v>
      </c>
      <c r="Z68" s="385">
        <f t="shared" si="22"/>
        <v>33.942148796279</v>
      </c>
      <c r="AA68" s="386">
        <f t="shared" si="13"/>
        <v>37.277780902324722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8.9480436477314712E-2</v>
      </c>
      <c r="AD68" s="231">
        <f>(INDEX(Models!$BJ68:$BT68,,AH68)*(1-AF68)+INDEX(Models!$BJ68:$BT68,,AH68+1)*AF68-ERP_i)*AE68*Ramure*Pc/MaxiM</f>
        <v>4.2451852188420467E-4</v>
      </c>
      <c r="AE68" s="305">
        <f t="shared" si="15"/>
        <v>0.5</v>
      </c>
      <c r="AF68" s="177">
        <f t="shared" si="23"/>
        <v>2.7836254326012444E-3</v>
      </c>
      <c r="AG68" s="811">
        <f t="shared" si="24"/>
        <v>2</v>
      </c>
      <c r="AH68" s="176">
        <f t="shared" si="16"/>
        <v>8</v>
      </c>
      <c r="AI68" s="225">
        <f t="shared" si="17"/>
        <v>2.0027836254326012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'2025'!Wh/'2025'!Env_an*'2026'!Env_an</f>
        <v>20.41701425363544</v>
      </c>
      <c r="C69" s="841"/>
      <c r="D69" s="393">
        <f t="shared" si="0"/>
        <v>21.716898569808244</v>
      </c>
      <c r="E69" s="385">
        <f t="shared" si="1"/>
        <v>22.927715240532176</v>
      </c>
      <c r="F69" s="385">
        <f t="shared" si="2"/>
        <v>22.927912962007444</v>
      </c>
      <c r="G69" s="110">
        <f t="shared" si="21"/>
        <v>0.54380291659405855</v>
      </c>
      <c r="H69" s="414" t="b">
        <f>Wh_hp&gt;='2025'!Maxi_hp</f>
        <v>0</v>
      </c>
      <c r="I69" s="390">
        <f>IF(H69,Wh_hp,'2025'!Maxi_hp)</f>
        <v>41.03378848015074</v>
      </c>
      <c r="J69" s="85">
        <f>IF(H69,An,'2025'!An_max)</f>
        <v>2019</v>
      </c>
      <c r="K69" s="197">
        <f t="shared" si="3"/>
        <v>46077</v>
      </c>
      <c r="L69" s="147">
        <f>IF(t&lt;Tvie,1-EXP((T0-t)*PertePVj)+'2025'!Pspv,1-EXP((T0-t)*PertePVj)+Pspv)</f>
        <v>5.9855891116052717E-2</v>
      </c>
      <c r="M69" s="845"/>
      <c r="N69" s="845"/>
      <c r="O69" s="48">
        <f>IF(t&lt;Tnet,'2025'!Resal+('2025'!Salim-'2025'!Resal)*(1-EXP(('2025'!Tnet-t)/('2025'!Tau_j))),Resal+(Salim-Resal)*(1-EXP((Tnet-t)/(Tau_j))))*Salcycl</f>
        <v>5.2810175720580291E-2</v>
      </c>
      <c r="P69" s="169">
        <f>(INDEX(Models!$BJ69:$BT69,,T69)*(1-R69)+INDEX(Models!$BJ69:$BT69,,T69+1)*R69-ERP_i)*Q69*Ramure*Pc/MaxiM</f>
        <v>2.4758984658983567E-5</v>
      </c>
      <c r="Q69" s="305">
        <f t="shared" si="4"/>
        <v>0.5</v>
      </c>
      <c r="R69" s="177">
        <f t="shared" si="5"/>
        <v>0.47804835798584078</v>
      </c>
      <c r="S69" s="811">
        <f t="shared" si="6"/>
        <v>-2</v>
      </c>
      <c r="T69" s="176">
        <f t="shared" si="7"/>
        <v>4</v>
      </c>
      <c r="U69" s="251">
        <f t="shared" si="8"/>
        <v>-1.5219516420141592</v>
      </c>
      <c r="V69" s="383">
        <f t="shared" si="9"/>
        <v>37.544272367237305</v>
      </c>
      <c r="W69" s="402">
        <f t="shared" si="10"/>
        <v>20.41701425363544</v>
      </c>
      <c r="X69" s="157">
        <f t="shared" si="11"/>
        <v>46077</v>
      </c>
      <c r="Y69" s="385">
        <f t="shared" si="12"/>
        <v>19.623292389154155</v>
      </c>
      <c r="Z69" s="385">
        <f t="shared" si="22"/>
        <v>20.872643038149892</v>
      </c>
      <c r="AA69" s="386">
        <f t="shared" si="13"/>
        <v>22.924386194734033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8.9500462047504975E-2</v>
      </c>
      <c r="AD69" s="231">
        <f>(INDEX(Models!$BJ69:$BT69,,AH69)*(1-AF69)+INDEX(Models!$BJ69:$BT69,,AH69+1)*AF69-ERP_i)*AE69*Ramure*Pc/MaxiM</f>
        <v>4.416271763074806E-4</v>
      </c>
      <c r="AE69" s="305">
        <f t="shared" si="15"/>
        <v>0.5</v>
      </c>
      <c r="AF69" s="177">
        <f t="shared" si="23"/>
        <v>3.0359243598199193E-3</v>
      </c>
      <c r="AG69" s="811">
        <f t="shared" si="24"/>
        <v>2</v>
      </c>
      <c r="AH69" s="176">
        <f t="shared" si="16"/>
        <v>8</v>
      </c>
      <c r="AI69" s="225">
        <f t="shared" si="17"/>
        <v>2.0030359243598199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'2025'!Wh/'2025'!Env_an*'2026'!Env_an</f>
        <v>29.737114426884112</v>
      </c>
      <c r="C70" s="841"/>
      <c r="D70" s="393">
        <f t="shared" si="0"/>
        <v>31.631071746624219</v>
      </c>
      <c r="E70" s="385">
        <f t="shared" si="1"/>
        <v>33.396516460198903</v>
      </c>
      <c r="F70" s="385">
        <f t="shared" si="2"/>
        <v>33.397070420443988</v>
      </c>
      <c r="G70" s="110">
        <f t="shared" si="21"/>
        <v>0.78529524261771599</v>
      </c>
      <c r="H70" s="414" t="b">
        <f>Wh_hp&gt;='2025'!Maxi_hp</f>
        <v>0</v>
      </c>
      <c r="I70" s="390">
        <f>IF(H70,Wh_hp,'2025'!Maxi_hp)</f>
        <v>42.028165575806206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5.9876482684853571E-2</v>
      </c>
      <c r="M70" s="845"/>
      <c r="N70" s="845"/>
      <c r="O70" s="48">
        <f>IF(t&lt;Tnet,'2025'!Resal+('2025'!Salim-'2025'!Resal)*(1-EXP(('2025'!Tnet-t)/('2025'!Tau_j))),Resal+(Salim-Resal)*(1-EXP((Tnet-t)/(Tau_j))))*Salcycl</f>
        <v>5.286313965346337E-2</v>
      </c>
      <c r="P70" s="169">
        <f>(INDEX(Models!$BJ70:$BT70,,T70)*(1-R70)+INDEX(Models!$BJ70:$BT70,,T70+1)*R70-ERP_i)*Q70*Ramure*Pc/MaxiM</f>
        <v>2.3925282551382521E-5</v>
      </c>
      <c r="Q70" s="305">
        <f t="shared" si="4"/>
        <v>0.5</v>
      </c>
      <c r="R70" s="177">
        <f t="shared" si="5"/>
        <v>0.47831096777797688</v>
      </c>
      <c r="S70" s="811">
        <f t="shared" si="6"/>
        <v>-2</v>
      </c>
      <c r="T70" s="176">
        <f t="shared" si="7"/>
        <v>4</v>
      </c>
      <c r="U70" s="251">
        <f t="shared" si="8"/>
        <v>-1.5216890322220231</v>
      </c>
      <c r="V70" s="383">
        <f t="shared" si="9"/>
        <v>37.867154406151982</v>
      </c>
      <c r="W70" s="402">
        <f t="shared" si="10"/>
        <v>29.737114426884112</v>
      </c>
      <c r="X70" s="157">
        <f t="shared" si="11"/>
        <v>46078</v>
      </c>
      <c r="Y70" s="385">
        <f t="shared" si="12"/>
        <v>28.577554668137175</v>
      </c>
      <c r="Z70" s="385">
        <f t="shared" si="22"/>
        <v>30.397659607272075</v>
      </c>
      <c r="AA70" s="386">
        <f t="shared" si="13"/>
        <v>33.38642726299198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8.9520439913403985E-2</v>
      </c>
      <c r="AD70" s="231">
        <f>(INDEX(Models!$BJ70:$BT70,,AH70)*(1-AF70)+INDEX(Models!$BJ70:$BT70,,AH70+1)*AF70-ERP_i)*AE70*Ramure*Pc/MaxiM</f>
        <v>4.5967296667313623E-4</v>
      </c>
      <c r="AE70" s="305">
        <f t="shared" si="15"/>
        <v>0.5</v>
      </c>
      <c r="AF70" s="177">
        <f t="shared" si="23"/>
        <v>3.2985341519555789E-3</v>
      </c>
      <c r="AG70" s="811">
        <f t="shared" si="24"/>
        <v>2</v>
      </c>
      <c r="AH70" s="176">
        <f t="shared" si="16"/>
        <v>8</v>
      </c>
      <c r="AI70" s="225">
        <f t="shared" si="17"/>
        <v>2.0032985341519556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'2025'!Wh/'2025'!Env_an*'2026'!Env_an</f>
        <v>38.295906042382043</v>
      </c>
      <c r="C71" s="841"/>
      <c r="D71" s="393">
        <f t="shared" si="0"/>
        <v>40.735865164558234</v>
      </c>
      <c r="E71" s="385">
        <f t="shared" si="1"/>
        <v>43.011883727326158</v>
      </c>
      <c r="F71" s="385">
        <f t="shared" si="2"/>
        <v>43.012867213846988</v>
      </c>
      <c r="G71" s="110">
        <f t="shared" si="21"/>
        <v>1.0027480999671898</v>
      </c>
      <c r="H71" s="414" t="b">
        <f>Wh_hp&gt;='2025'!Maxi_hp</f>
        <v>1</v>
      </c>
      <c r="I71" s="390">
        <f>IF(H71,Wh_hp,'2025'!Maxi_hp)</f>
        <v>43.012867213846988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5.9897073802646195E-2</v>
      </c>
      <c r="M71" s="845"/>
      <c r="N71" s="845"/>
      <c r="O71" s="48">
        <f>IF(t&lt;Tnet,'2025'!Resal+('2025'!Salim-'2025'!Resal)*(1-EXP(('2025'!Tnet-t)/('2025'!Tau_j))),Resal+(Salim-Resal)*(1-EXP((Tnet-t)/(Tau_j))))*Salcycl</f>
        <v>5.2916040069222375E-2</v>
      </c>
      <c r="P71" s="169">
        <f>(INDEX(Models!$BJ71:$BT71,,T71)*(1-R71)+INDEX(Models!$BJ71:$BT71,,T71+1)*R71-ERP_i)*Q71*Ramure*Pc/MaxiM</f>
        <v>2.2864937506723007E-5</v>
      </c>
      <c r="Q71" s="305">
        <f t="shared" si="4"/>
        <v>0.5</v>
      </c>
      <c r="R71" s="177">
        <f t="shared" si="5"/>
        <v>0.47858429803354219</v>
      </c>
      <c r="S71" s="811">
        <f t="shared" si="6"/>
        <v>-2</v>
      </c>
      <c r="T71" s="176">
        <f t="shared" si="7"/>
        <v>4</v>
      </c>
      <c r="U71" s="251">
        <f t="shared" si="8"/>
        <v>-1.5214157019664578</v>
      </c>
      <c r="V71" s="383">
        <f t="shared" si="9"/>
        <v>38.190953484364712</v>
      </c>
      <c r="W71" s="402">
        <f t="shared" si="10"/>
        <v>38.295906042382043</v>
      </c>
      <c r="X71" s="157">
        <f t="shared" si="11"/>
        <v>46079</v>
      </c>
      <c r="Y71" s="385">
        <f t="shared" si="12"/>
        <v>36.798199724136104</v>
      </c>
      <c r="Z71" s="385">
        <f t="shared" si="22"/>
        <v>39.142735011986481</v>
      </c>
      <c r="AA71" s="386">
        <f t="shared" si="13"/>
        <v>42.992279730170715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8.9540371953868186E-2</v>
      </c>
      <c r="AD71" s="231">
        <f>(INDEX(Models!$BJ71:$BT71,,AH71)*(1-AF71)+INDEX(Models!$BJ71:$BT71,,AH71+1)*AF71-ERP_i)*AE71*Ramure*Pc/MaxiM</f>
        <v>4.7863546445110907E-4</v>
      </c>
      <c r="AE71" s="305">
        <f t="shared" si="15"/>
        <v>0.5</v>
      </c>
      <c r="AF71" s="177">
        <f t="shared" si="23"/>
        <v>3.5718644075211081E-3</v>
      </c>
      <c r="AG71" s="811">
        <f t="shared" si="24"/>
        <v>2</v>
      </c>
      <c r="AH71" s="176">
        <f t="shared" si="16"/>
        <v>8</v>
      </c>
      <c r="AI71" s="225">
        <f t="shared" si="17"/>
        <v>2.0035718644075211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'2025'!Wh/'2025'!Env_an*'2026'!Env_an</f>
        <v>26.688437491497183</v>
      </c>
      <c r="C72" s="841"/>
      <c r="D72" s="393">
        <f t="shared" si="0"/>
        <v>28.389468116571809</v>
      </c>
      <c r="E72" s="385">
        <f t="shared" si="1"/>
        <v>29.97733388922018</v>
      </c>
      <c r="F72" s="385">
        <f t="shared" si="2"/>
        <v>29.977698101395195</v>
      </c>
      <c r="G72" s="110">
        <f t="shared" si="21"/>
        <v>0.69292277228583499</v>
      </c>
      <c r="H72" s="414" t="b">
        <f>Wh_hp&gt;='2025'!Maxi_hp</f>
        <v>0</v>
      </c>
      <c r="I72" s="390">
        <f>IF(H72,Wh_hp,'2025'!Maxi_hp)</f>
        <v>42.246597609719124</v>
      </c>
      <c r="J72" s="85">
        <f>IF(H72,An,'2025'!An_max)</f>
        <v>2019</v>
      </c>
      <c r="K72" s="197">
        <f t="shared" si="3"/>
        <v>46080</v>
      </c>
      <c r="L72" s="147">
        <f>IF(t&lt;Tvie,1-EXP((T0-t)*PertePVj)+'2025'!Pspv,1-EXP((T0-t)*PertePVj)+Pspv)</f>
        <v>5.9917664469440468E-2</v>
      </c>
      <c r="M72" s="845"/>
      <c r="N72" s="845"/>
      <c r="O72" s="48">
        <f>IF(t&lt;Tnet,'2025'!Resal+('2025'!Salim-'2025'!Resal)*(1-EXP(('2025'!Tnet-t)/('2025'!Tau_j))),Resal+(Salim-Resal)*(1-EXP((Tnet-t)/(Tau_j))))*Salcycl</f>
        <v>5.2968879037617329E-2</v>
      </c>
      <c r="P72" s="169">
        <f>(INDEX(Models!$BJ72:$BT72,,T72)*(1-R72)+INDEX(Models!$BJ72:$BT72,,T72+1)*R72-ERP_i)*Q72*Ramure*Pc/MaxiM</f>
        <v>2.1644110695099251E-5</v>
      </c>
      <c r="Q72" s="305">
        <f t="shared" si="4"/>
        <v>0.5</v>
      </c>
      <c r="R72" s="177">
        <f t="shared" si="5"/>
        <v>0.47886877362835234</v>
      </c>
      <c r="S72" s="811">
        <f t="shared" si="6"/>
        <v>-2</v>
      </c>
      <c r="T72" s="176">
        <f t="shared" si="7"/>
        <v>4</v>
      </c>
      <c r="U72" s="251">
        <f t="shared" si="8"/>
        <v>-1.5211312263716477</v>
      </c>
      <c r="V72" s="383">
        <f t="shared" si="9"/>
        <v>38.515380296120966</v>
      </c>
      <c r="W72" s="402">
        <f t="shared" si="10"/>
        <v>26.688437491497183</v>
      </c>
      <c r="X72" s="157">
        <f t="shared" si="11"/>
        <v>46080</v>
      </c>
      <c r="Y72" s="385">
        <f t="shared" si="12"/>
        <v>25.650422109746401</v>
      </c>
      <c r="Z72" s="385">
        <f t="shared" si="22"/>
        <v>27.285293149636654</v>
      </c>
      <c r="AA72" s="386">
        <f t="shared" si="13"/>
        <v>29.969356566113206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8.9560261681142062E-2</v>
      </c>
      <c r="AD72" s="231">
        <f>(INDEX(Models!$BJ72:$BT72,,AH72)*(1-AF72)+INDEX(Models!$BJ72:$BT72,,AH72+1)*AF72-ERP_i)*AE72*Ramure*Pc/MaxiM</f>
        <v>4.9571410676659618E-4</v>
      </c>
      <c r="AE72" s="305">
        <f t="shared" si="15"/>
        <v>0.5</v>
      </c>
      <c r="AF72" s="177">
        <f t="shared" si="23"/>
        <v>3.8563400023310379E-3</v>
      </c>
      <c r="AG72" s="811">
        <f t="shared" si="24"/>
        <v>2</v>
      </c>
      <c r="AH72" s="176">
        <f t="shared" si="16"/>
        <v>8</v>
      </c>
      <c r="AI72" s="225">
        <f t="shared" si="17"/>
        <v>2.003856340002331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'2025'!Wh/'2025'!Env_an*'2026'!Env_an</f>
        <v>32.978702790567304</v>
      </c>
      <c r="C73" s="841"/>
      <c r="D73" s="393">
        <f t="shared" si="0"/>
        <v>35.081421996940527</v>
      </c>
      <c r="E73" s="385">
        <f t="shared" si="1"/>
        <v>37.04564349738979</v>
      </c>
      <c r="F73" s="385">
        <f t="shared" si="2"/>
        <v>37.046234992652799</v>
      </c>
      <c r="G73" s="110">
        <f t="shared" si="21"/>
        <v>0.84908433004777228</v>
      </c>
      <c r="H73" s="414" t="b">
        <f>Wh_hp&gt;='2025'!Maxi_hp</f>
        <v>1</v>
      </c>
      <c r="I73" s="390">
        <f>IF(H73,Wh_hp,'2025'!Maxi_hp)</f>
        <v>37.046234992652799</v>
      </c>
      <c r="J73" s="85">
        <f>IF(H73,An,'2025'!An_max)</f>
        <v>2026</v>
      </c>
      <c r="K73" s="197">
        <f t="shared" si="3"/>
        <v>46081</v>
      </c>
      <c r="L73" s="147">
        <f>IF(t&lt;Tvie,1-EXP((T0-t)*PertePVj)+'2025'!Pspv,1-EXP((T0-t)*PertePVj)+Pspv)</f>
        <v>5.9938254685246273E-2</v>
      </c>
      <c r="M73" s="845"/>
      <c r="N73" s="845"/>
      <c r="O73" s="48">
        <f>IF(t&lt;Tnet,'2025'!Resal+('2025'!Salim-'2025'!Resal)*(1-EXP(('2025'!Tnet-t)/('2025'!Tau_j))),Resal+(Salim-Resal)*(1-EXP((Tnet-t)/(Tau_j))))*Salcycl</f>
        <v>5.3021659634220258E-2</v>
      </c>
      <c r="P73" s="169">
        <f>(INDEX(Models!$BJ73:$BT73,,T73)*(1-R73)+INDEX(Models!$BJ73:$BT73,,T73+1)*R73-ERP_i)*Q73*Ramure*Pc/MaxiM</f>
        <v>2.0354631146778292E-5</v>
      </c>
      <c r="Q73" s="305">
        <f t="shared" si="4"/>
        <v>0.5</v>
      </c>
      <c r="R73" s="177">
        <f t="shared" si="5"/>
        <v>0.47916483520093989</v>
      </c>
      <c r="S73" s="811">
        <f t="shared" si="6"/>
        <v>-2</v>
      </c>
      <c r="T73" s="176">
        <f t="shared" si="7"/>
        <v>4</v>
      </c>
      <c r="U73" s="251">
        <f t="shared" si="8"/>
        <v>-1.5208351647990601</v>
      </c>
      <c r="V73" s="383">
        <f t="shared" si="9"/>
        <v>38.840144498319546</v>
      </c>
      <c r="W73" s="402">
        <f t="shared" si="10"/>
        <v>32.978702790567304</v>
      </c>
      <c r="X73" s="157">
        <f t="shared" si="11"/>
        <v>46081</v>
      </c>
      <c r="Y73" s="385">
        <f t="shared" si="12"/>
        <v>31.693379231577694</v>
      </c>
      <c r="Z73" s="385">
        <f t="shared" si="22"/>
        <v>33.714146320214361</v>
      </c>
      <c r="AA73" s="386">
        <f t="shared" si="13"/>
        <v>37.031425663706784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8.9580114295830904E-2</v>
      </c>
      <c r="AD73" s="231">
        <f>(INDEX(Models!$BJ73:$BT73,,AH73)*(1-AF73)+INDEX(Models!$BJ73:$BT73,,AH73+1)*AF73-ERP_i)*AE73*Ramure*Pc/MaxiM</f>
        <v>5.0962103516189524E-4</v>
      </c>
      <c r="AE73" s="305">
        <f t="shared" si="15"/>
        <v>0.5</v>
      </c>
      <c r="AF73" s="177">
        <f t="shared" si="23"/>
        <v>4.1524015749190291E-3</v>
      </c>
      <c r="AG73" s="811">
        <f t="shared" si="24"/>
        <v>2</v>
      </c>
      <c r="AH73" s="176">
        <f t="shared" si="16"/>
        <v>8</v>
      </c>
      <c r="AI73" s="225">
        <f t="shared" si="17"/>
        <v>2.004152401574919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'2025'!Wh/'2025'!Env_an*'2026'!Env_an</f>
        <v>38.282921830198113</v>
      </c>
      <c r="C74" s="841"/>
      <c r="D74" s="393">
        <f t="shared" si="0"/>
        <v>40.724729554848587</v>
      </c>
      <c r="E74" s="385">
        <f t="shared" si="1"/>
        <v>43.007316468623976</v>
      </c>
      <c r="F74" s="385">
        <f t="shared" si="2"/>
        <v>43.008107255244283</v>
      </c>
      <c r="G74" s="110">
        <f t="shared" si="21"/>
        <v>0.97747831764541671</v>
      </c>
      <c r="H74" s="414" t="b">
        <f>Wh_hp&gt;='2025'!Maxi_hp</f>
        <v>1</v>
      </c>
      <c r="I74" s="390">
        <f>IF(H74,Wh_hp,'2025'!Maxi_hp)</f>
        <v>43.008107255244283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5.995884445007349E-2</v>
      </c>
      <c r="M74" s="845"/>
      <c r="N74" s="845"/>
      <c r="O74" s="48">
        <f>IF(t&lt;Tnet,'2025'!Resal+('2025'!Salim-'2025'!Resal)*(1-EXP(('2025'!Tnet-t)/('2025'!Tau_j))),Resal+(Salim-Resal)*(1-EXP((Tnet-t)/(Tau_j))))*Salcycl</f>
        <v>5.3074385969667563E-2</v>
      </c>
      <c r="P74" s="169">
        <f>(INDEX(Models!$BJ74:$BT74,,T74)*(1-R74)+INDEX(Models!$BJ74:$BT74,,T74+1)*R74-ERP_i)*Q74*Ramure*Pc/MaxiM</f>
        <v>1.8998146800487765E-5</v>
      </c>
      <c r="Q74" s="305">
        <f t="shared" si="4"/>
        <v>0.5</v>
      </c>
      <c r="R74" s="177">
        <f t="shared" si="5"/>
        <v>0.47947293964599869</v>
      </c>
      <c r="S74" s="811">
        <f t="shared" si="6"/>
        <v>-2</v>
      </c>
      <c r="T74" s="176">
        <f t="shared" si="7"/>
        <v>4</v>
      </c>
      <c r="U74" s="251">
        <f t="shared" si="8"/>
        <v>-1.5205270603540013</v>
      </c>
      <c r="V74" s="383">
        <f t="shared" si="9"/>
        <v>39.164959200763477</v>
      </c>
      <c r="W74" s="402">
        <f t="shared" si="10"/>
        <v>38.282921830198113</v>
      </c>
      <c r="X74" s="157">
        <f t="shared" si="11"/>
        <v>46082</v>
      </c>
      <c r="Y74" s="385">
        <f t="shared" si="12"/>
        <v>36.788380513807631</v>
      </c>
      <c r="Z74" s="385">
        <f t="shared" si="22"/>
        <v>39.134861592614349</v>
      </c>
      <c r="AA74" s="386">
        <f t="shared" si="13"/>
        <v>42.986444280375053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8.9599936729800628E-2</v>
      </c>
      <c r="AD74" s="231">
        <f>(INDEX(Models!$BJ74:$BT74,,AH74)*(1-AF74)+INDEX(Models!$BJ74:$BT74,,AH74+1)*AF74-ERP_i)*AE74*Ramure*Pc/MaxiM</f>
        <v>5.2043922612442825E-4</v>
      </c>
      <c r="AE74" s="305">
        <f t="shared" si="15"/>
        <v>0.5</v>
      </c>
      <c r="AF74" s="177">
        <f t="shared" si="23"/>
        <v>4.4605060199778279E-3</v>
      </c>
      <c r="AG74" s="811">
        <f t="shared" si="24"/>
        <v>2</v>
      </c>
      <c r="AH74" s="176">
        <f t="shared" si="16"/>
        <v>8</v>
      </c>
      <c r="AI74" s="225">
        <f t="shared" si="17"/>
        <v>2.0044605060199778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'2025'!Wh/'2025'!Env_an*'2026'!Env_an</f>
        <v>10.542535198991324</v>
      </c>
      <c r="C75" s="841"/>
      <c r="D75" s="393">
        <f t="shared" si="0"/>
        <v>11.215217600190005</v>
      </c>
      <c r="E75" s="385">
        <f t="shared" si="1"/>
        <v>11.844480039984511</v>
      </c>
      <c r="F75" s="385">
        <f t="shared" si="2"/>
        <v>11.844480039984511</v>
      </c>
      <c r="G75" s="110">
        <f t="shared" si="21"/>
        <v>0.26696564595271094</v>
      </c>
      <c r="H75" s="414" t="b">
        <f>Wh_hp&gt;='2025'!Maxi_hp</f>
        <v>0</v>
      </c>
      <c r="I75" s="390">
        <f>IF(H75,Wh_hp,'2025'!Maxi_hp)</f>
        <v>29.154269715170336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5.9979433763932111E-2</v>
      </c>
      <c r="M75" s="845"/>
      <c r="N75" s="845"/>
      <c r="O75" s="48">
        <f>IF(t&lt;Tnet,'2025'!Resal+('2025'!Salim-'2025'!Resal)*(1-EXP(('2025'!Tnet-t)/('2025'!Tau_j))),Resal+(Salim-Resal)*(1-EXP((Tnet-t)/(Tau_j))))*Salcycl</f>
        <v>5.3127063211744721E-2</v>
      </c>
      <c r="P75" s="169">
        <f>(INDEX(Models!$BJ75:$BT75,,T75)*(1-R75)+INDEX(Models!$BJ75:$BT75,,T75+1)*R75-ERP_i)*Q75*Ramure*Pc/MaxiM</f>
        <v>1.7576198688978121E-5</v>
      </c>
      <c r="Q75" s="305">
        <f t="shared" si="4"/>
        <v>0.5</v>
      </c>
      <c r="R75" s="177">
        <f t="shared" si="5"/>
        <v>0.47979356061526035</v>
      </c>
      <c r="S75" s="811">
        <f t="shared" si="6"/>
        <v>-2</v>
      </c>
      <c r="T75" s="176">
        <f t="shared" si="7"/>
        <v>4</v>
      </c>
      <c r="U75" s="251">
        <f t="shared" si="8"/>
        <v>-1.5202064393847396</v>
      </c>
      <c r="V75" s="383">
        <f t="shared" si="9"/>
        <v>39.48953755332775</v>
      </c>
      <c r="W75" s="402">
        <f t="shared" si="10"/>
        <v>10.542535198991324</v>
      </c>
      <c r="X75" s="157">
        <f t="shared" si="11"/>
        <v>46083</v>
      </c>
      <c r="Y75" s="385">
        <f t="shared" si="12"/>
        <v>10.136223760459462</v>
      </c>
      <c r="Z75" s="385">
        <f t="shared" si="22"/>
        <v>10.78298084588284</v>
      </c>
      <c r="AA75" s="386">
        <f t="shared" si="13"/>
        <v>11.844480039984511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8.9619737676813957E-2</v>
      </c>
      <c r="AD75" s="231">
        <f>(INDEX(Models!$BJ75:$BT75,,AH75)*(1-AF75)+INDEX(Models!$BJ75:$BT75,,AH75+1)*AF75-ERP_i)*AE75*Ramure*Pc/MaxiM</f>
        <v>5.2824959046961369E-4</v>
      </c>
      <c r="AE75" s="305">
        <f t="shared" si="15"/>
        <v>0.5</v>
      </c>
      <c r="AF75" s="177">
        <f t="shared" si="23"/>
        <v>4.7811269892390484E-3</v>
      </c>
      <c r="AG75" s="811">
        <f t="shared" si="24"/>
        <v>2</v>
      </c>
      <c r="AH75" s="176">
        <f t="shared" si="16"/>
        <v>8</v>
      </c>
      <c r="AI75" s="225">
        <f t="shared" si="17"/>
        <v>2.004781126989239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'2025'!Wh/'2025'!Env_an*'2026'!Env_an</f>
        <v>33.977405441007477</v>
      </c>
      <c r="C76" s="841"/>
      <c r="D76" s="393">
        <f t="shared" si="0"/>
        <v>36.14617687114994</v>
      </c>
      <c r="E76" s="385">
        <f t="shared" si="1"/>
        <v>38.176385507931393</v>
      </c>
      <c r="F76" s="385">
        <f t="shared" si="2"/>
        <v>38.176871146223185</v>
      </c>
      <c r="G76" s="110">
        <f t="shared" si="21"/>
        <v>0.85340931607811188</v>
      </c>
      <c r="H76" s="414" t="b">
        <f>Wh_hp&gt;='2025'!Maxi_hp</f>
        <v>0</v>
      </c>
      <c r="I76" s="390">
        <f>IF(H76,Wh_hp,'2025'!Maxi_hp)</f>
        <v>39.010447727103518</v>
      </c>
      <c r="J76" s="85">
        <f>IF(H76,An,'2025'!An_max)</f>
        <v>2019</v>
      </c>
      <c r="K76" s="197">
        <f t="shared" si="3"/>
        <v>46084</v>
      </c>
      <c r="L76" s="147">
        <f>IF(t&lt;Tvie,1-EXP((T0-t)*PertePVj)+'2025'!Pspv,1-EXP((T0-t)*PertePVj)+Pspv)</f>
        <v>6.0000022626831906E-2</v>
      </c>
      <c r="M76" s="845"/>
      <c r="N76" s="845"/>
      <c r="O76" s="48">
        <f>IF(t&lt;Tnet,'2025'!Resal+('2025'!Salim-'2025'!Resal)*(1-EXP(('2025'!Tnet-t)/('2025'!Tau_j))),Resal+(Salim-Resal)*(1-EXP((Tnet-t)/(Tau_j))))*Salcycl</f>
        <v>5.3179697600226186E-2</v>
      </c>
      <c r="P76" s="169">
        <f>(INDEX(Models!$BJ76:$BT76,,T76)*(1-R76)+INDEX(Models!$BJ76:$BT76,,T76+1)*R76-ERP_i)*Q76*Ramure*Pc/MaxiM</f>
        <v>1.6090217261919515E-5</v>
      </c>
      <c r="Q76" s="305">
        <f t="shared" si="4"/>
        <v>0.5</v>
      </c>
      <c r="R76" s="177">
        <f t="shared" si="5"/>
        <v>0.4801271890251182</v>
      </c>
      <c r="S76" s="811">
        <f t="shared" si="6"/>
        <v>-2</v>
      </c>
      <c r="T76" s="176">
        <f t="shared" si="7"/>
        <v>4</v>
      </c>
      <c r="U76" s="251">
        <f t="shared" si="8"/>
        <v>-1.5198728109748818</v>
      </c>
      <c r="V76" s="383">
        <f t="shared" si="9"/>
        <v>39.813592743297029</v>
      </c>
      <c r="W76" s="402">
        <f t="shared" si="10"/>
        <v>33.977405441007477</v>
      </c>
      <c r="X76" s="157">
        <f t="shared" si="11"/>
        <v>46084</v>
      </c>
      <c r="Y76" s="385">
        <f t="shared" si="12"/>
        <v>32.65566104755397</v>
      </c>
      <c r="Z76" s="385">
        <f t="shared" si="22"/>
        <v>34.740065780437874</v>
      </c>
      <c r="AA76" s="386">
        <f t="shared" si="13"/>
        <v>38.160780080077132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8.9639527610839709E-2</v>
      </c>
      <c r="AD76" s="231">
        <f>(INDEX(Models!$BJ76:$BT76,,AH76)*(1-AF76)+INDEX(Models!$BJ76:$BT76,,AH76+1)*AF76-ERP_i)*AE76*Ramure*Pc/MaxiM</f>
        <v>5.331308396429199E-4</v>
      </c>
      <c r="AE76" s="305">
        <f t="shared" si="15"/>
        <v>0.5</v>
      </c>
      <c r="AF76" s="177">
        <f t="shared" si="23"/>
        <v>5.114755399096893E-3</v>
      </c>
      <c r="AG76" s="811">
        <f t="shared" si="24"/>
        <v>2</v>
      </c>
      <c r="AH76" s="176">
        <f t="shared" si="16"/>
        <v>8</v>
      </c>
      <c r="AI76" s="225">
        <f t="shared" si="17"/>
        <v>2.0051147553990969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'2025'!Wh/'2025'!Env_an*'2026'!Env_an</f>
        <v>3.9080704073154227</v>
      </c>
      <c r="C77" s="841"/>
      <c r="D77" s="393">
        <f t="shared" si="0"/>
        <v>4.1576128723782748</v>
      </c>
      <c r="E77" s="385">
        <f t="shared" si="1"/>
        <v>4.3913758959124918</v>
      </c>
      <c r="F77" s="385">
        <f t="shared" si="2"/>
        <v>4.3913758959124918</v>
      </c>
      <c r="G77" s="110">
        <f t="shared" si="21"/>
        <v>9.7367250969852728E-2</v>
      </c>
      <c r="H77" s="414" t="b">
        <f>Wh_hp&gt;='2025'!Maxi_hp</f>
        <v>0</v>
      </c>
      <c r="I77" s="390">
        <f>IF(H77,Wh_hp,'2025'!Maxi_hp)</f>
        <v>30.286197485540761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6.0020611038782645E-2</v>
      </c>
      <c r="M77" s="845"/>
      <c r="N77" s="845"/>
      <c r="O77" s="48">
        <f>IF(t&lt;Tnet,'2025'!Resal+('2025'!Salim-'2025'!Resal)*(1-EXP(('2025'!Tnet-t)/('2025'!Tau_j))),Resal+(Salim-Resal)*(1-EXP((Tnet-t)/(Tau_j))))*Salcycl</f>
        <v>5.3232296454467642E-2</v>
      </c>
      <c r="P77" s="169">
        <f>(INDEX(Models!$BJ77:$BT77,,T77)*(1-R77)+INDEX(Models!$BJ77:$BT77,,T77+1)*R77-ERP_i)*Q77*Ramure*Pc/MaxiM</f>
        <v>1.4541518649718496E-5</v>
      </c>
      <c r="Q77" s="305">
        <f t="shared" si="4"/>
        <v>0.5</v>
      </c>
      <c r="R77" s="177">
        <f t="shared" si="5"/>
        <v>0.48047433357021641</v>
      </c>
      <c r="S77" s="811">
        <f t="shared" si="6"/>
        <v>-2</v>
      </c>
      <c r="T77" s="176">
        <f t="shared" si="7"/>
        <v>4</v>
      </c>
      <c r="U77" s="251">
        <f t="shared" si="8"/>
        <v>-1.5195256664297836</v>
      </c>
      <c r="V77" s="383">
        <f t="shared" si="9"/>
        <v>40.136837993369312</v>
      </c>
      <c r="W77" s="402">
        <f t="shared" si="10"/>
        <v>3.9080704073154227</v>
      </c>
      <c r="X77" s="157">
        <f t="shared" si="11"/>
        <v>46085</v>
      </c>
      <c r="Y77" s="385">
        <f t="shared" si="12"/>
        <v>3.7577068413729111</v>
      </c>
      <c r="Z77" s="385">
        <f t="shared" si="22"/>
        <v>3.9976481245249413</v>
      </c>
      <c r="AA77" s="386">
        <f t="shared" si="13"/>
        <v>4.3913758959124918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8.9659318792097417E-2</v>
      </c>
      <c r="AD77" s="231">
        <f>(INDEX(Models!$BJ77:$BT77,,AH77)*(1-AF77)+INDEX(Models!$BJ77:$BT77,,AH77+1)*AF77-ERP_i)*AE77*Ramure*Pc/MaxiM</f>
        <v>5.3515935833317932E-4</v>
      </c>
      <c r="AE77" s="305">
        <f t="shared" si="15"/>
        <v>0.5</v>
      </c>
      <c r="AF77" s="177">
        <f t="shared" si="23"/>
        <v>5.4618999441955474E-3</v>
      </c>
      <c r="AG77" s="811">
        <f t="shared" si="24"/>
        <v>2</v>
      </c>
      <c r="AH77" s="176">
        <f t="shared" si="16"/>
        <v>8</v>
      </c>
      <c r="AI77" s="225">
        <f t="shared" si="17"/>
        <v>2.0054618999441955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'2025'!Wh/'2025'!Env_an*'2026'!Env_an</f>
        <v>12.937774055283377</v>
      </c>
      <c r="C78" s="841"/>
      <c r="D78" s="393">
        <f t="shared" si="0"/>
        <v>13.764192687505405</v>
      </c>
      <c r="E78" s="385">
        <f t="shared" si="1"/>
        <v>14.538895835492513</v>
      </c>
      <c r="F78" s="385">
        <f t="shared" si="2"/>
        <v>14.538901146698382</v>
      </c>
      <c r="G78" s="110">
        <f t="shared" si="21"/>
        <v>0.31977102195232399</v>
      </c>
      <c r="H78" s="414" t="b">
        <f>Wh_hp&gt;='2025'!Maxi_hp</f>
        <v>0</v>
      </c>
      <c r="I78" s="390">
        <f>IF(H78,Wh_hp,'2025'!Maxi_hp)</f>
        <v>44.531611979407565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6.0041198999794432E-2</v>
      </c>
      <c r="M78" s="845"/>
      <c r="N78" s="845"/>
      <c r="O78" s="48">
        <f>IF(t&lt;Tnet,'2025'!Resal+('2025'!Salim-'2025'!Resal)*(1-EXP(('2025'!Tnet-t)/('2025'!Tau_j))),Resal+(Salim-Resal)*(1-EXP((Tnet-t)/(Tau_j))))*Salcycl</f>
        <v>5.328486817381916E-2</v>
      </c>
      <c r="P78" s="169">
        <f>(INDEX(Models!$BJ78:$BT78,,T78)*(1-R78)+INDEX(Models!$BJ78:$BT78,,T78+1)*R78-ERP_i)*Q78*Ramure*Pc/MaxiM</f>
        <v>1.2931300853370584E-5</v>
      </c>
      <c r="Q78" s="305">
        <f t="shared" si="4"/>
        <v>0.5</v>
      </c>
      <c r="R78" s="177">
        <f t="shared" si="5"/>
        <v>0.48083552124211204</v>
      </c>
      <c r="S78" s="811">
        <f t="shared" si="6"/>
        <v>-2</v>
      </c>
      <c r="T78" s="176">
        <f t="shared" si="7"/>
        <v>4</v>
      </c>
      <c r="U78" s="251">
        <f t="shared" si="8"/>
        <v>-1.519164478757888</v>
      </c>
      <c r="V78" s="383">
        <f t="shared" si="9"/>
        <v>40.458986559458708</v>
      </c>
      <c r="W78" s="402">
        <f t="shared" si="10"/>
        <v>12.937774055283377</v>
      </c>
      <c r="X78" s="157">
        <f t="shared" si="11"/>
        <v>46086</v>
      </c>
      <c r="Y78" s="385">
        <f t="shared" si="12"/>
        <v>12.440228211534057</v>
      </c>
      <c r="Z78" s="385">
        <f t="shared" si="22"/>
        <v>13.234865398671166</v>
      </c>
      <c r="AA78" s="386">
        <f t="shared" si="13"/>
        <v>14.53868165163853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8.9679125261018469E-2</v>
      </c>
      <c r="AD78" s="231">
        <f>(INDEX(Models!$BJ78:$BT78,,AH78)*(1-AF78)+INDEX(Models!$BJ78:$BT78,,AH78+1)*AF78-ERP_i)*AE78*Ramure*Pc/MaxiM</f>
        <v>5.3440908232360042E-4</v>
      </c>
      <c r="AE78" s="305">
        <f t="shared" si="15"/>
        <v>0.5</v>
      </c>
      <c r="AF78" s="177">
        <f t="shared" si="23"/>
        <v>5.8230876160911826E-3</v>
      </c>
      <c r="AG78" s="811">
        <f t="shared" si="24"/>
        <v>2</v>
      </c>
      <c r="AH78" s="176">
        <f t="shared" si="16"/>
        <v>8</v>
      </c>
      <c r="AI78" s="225">
        <f t="shared" si="17"/>
        <v>2.0058230876160912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'2025'!Wh/'2025'!Env_an*'2026'!Env_an</f>
        <v>15.458229747790861</v>
      </c>
      <c r="C79" s="841"/>
      <c r="D79" s="393">
        <f t="shared" ref="D79:D142" si="25">Wh/(1-Ppv)</f>
        <v>16.446006265020632</v>
      </c>
      <c r="E79" s="385">
        <f t="shared" si="1"/>
        <v>17.372616866063183</v>
      </c>
      <c r="F79" s="385">
        <f t="shared" ref="F79:F142" si="26">Wh_sa/(1-Pvg*MEDIAN((-Sdif+Wh/Env_an)/Csdif,0,1))</f>
        <v>17.37263895895159</v>
      </c>
      <c r="G79" s="110">
        <f t="shared" si="21"/>
        <v>0.3790520095714261</v>
      </c>
      <c r="H79" s="414" t="b">
        <f>Wh_hp&gt;='2025'!Maxi_hp</f>
        <v>0</v>
      </c>
      <c r="I79" s="390">
        <f>IF(H79,Wh_hp,'2025'!Maxi_hp)</f>
        <v>23.382336400970807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6.0061786509877035E-2</v>
      </c>
      <c r="M79" s="845"/>
      <c r="N79" s="845"/>
      <c r="O79" s="48">
        <f>IF(t&lt;Tnet,'2025'!Resal+('2025'!Salim-'2025'!Resal)*(1-EXP(('2025'!Tnet-t)/('2025'!Tau_j))),Resal+(Salim-Resal)*(1-EXP((Tnet-t)/(Tau_j))))*Salcycl</f>
        <v>5.3337422230997078E-2</v>
      </c>
      <c r="P79" s="169">
        <f>(INDEX(Models!$BJ79:$BT79,,T79)*(1-R79)+INDEX(Models!$BJ79:$BT79,,T79+1)*R79-ERP_i)*Q79*Ramure*Pc/MaxiM</f>
        <v>1.1260327705916706E-5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0.48121129785201022</v>
      </c>
      <c r="S79" s="811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-1.5187887021479898</v>
      </c>
      <c r="V79" s="383">
        <f t="shared" ref="V79:V142" si="33">MaxiM*(1-Ppv)*(1-Pvg)*(1-Psa)</f>
        <v>40.780882176728788</v>
      </c>
      <c r="W79" s="402">
        <f t="shared" ref="W79:W142" si="34">Wh*(A79&gt;Tmaj)</f>
        <v>15.458229747790861</v>
      </c>
      <c r="X79" s="157">
        <f t="shared" ref="X79:X142" si="35">t</f>
        <v>46087</v>
      </c>
      <c r="Y79" s="385">
        <f t="shared" ref="Y79:Y142" si="36">Wh_pvt_s*(1-Ppv)</f>
        <v>14.863602965286319</v>
      </c>
      <c r="Z79" s="385">
        <f t="shared" ref="Z79:Z142" si="37">Wh_sa_s*(1-Psa_s)</f>
        <v>15.813382998969335</v>
      </c>
      <c r="AA79" s="386">
        <f t="shared" ref="AA79:AA142" si="38">Wh_hp*(1-Pvg_s*MEDIAN((-Sdif+Wh/Env_an)/Csdif,0,1))</f>
        <v>17.371597255304181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8.9698962820420294E-2</v>
      </c>
      <c r="AD79" s="231">
        <f>(INDEX(Models!$BJ79:$BT79,,AH79)*(1-AF79)+INDEX(Models!$BJ79:$BT79,,AH79+1)*AF79-ERP_i)*AE79*Ramure*Pc/MaxiM</f>
        <v>5.3093666282500438E-4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6.1988642259893645E-3</v>
      </c>
      <c r="AG79" s="811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2.0061988642259894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'2025'!Wh/'2025'!Env_an*'2026'!Env_an</f>
        <v>36.105938024209337</v>
      </c>
      <c r="C80" s="841"/>
      <c r="D80" s="393">
        <f t="shared" si="25"/>
        <v>38.413938635569835</v>
      </c>
      <c r="E80" s="385">
        <f t="shared" ref="E80:E143" si="47">Wh_pvt/(1-Psa)</f>
        <v>40.580531986784536</v>
      </c>
      <c r="F80" s="385">
        <f t="shared" si="26"/>
        <v>40.580854397404131</v>
      </c>
      <c r="G80" s="110">
        <f t="shared" ref="G80:G143" si="48">+Wh_hp/MaxiM</f>
        <v>0.87841523458306425</v>
      </c>
      <c r="H80" s="414" t="b">
        <f>Wh_hp&gt;='2025'!Maxi_hp</f>
        <v>0</v>
      </c>
      <c r="I80" s="390">
        <f>IF(H80,Wh_hp,'2025'!Maxi_hp)</f>
        <v>42.685529835046331</v>
      </c>
      <c r="J80" s="85">
        <f>IF(H80,An,'2025'!An_max)</f>
        <v>2019</v>
      </c>
      <c r="K80" s="197">
        <f t="shared" si="27"/>
        <v>46088</v>
      </c>
      <c r="L80" s="147">
        <f>IF(t&lt;Tvie,1-EXP((T0-t)*PertePVj)+'2025'!Pspv,1-EXP((T0-t)*PertePVj)+Pspv)</f>
        <v>6.0082373569040337E-2</v>
      </c>
      <c r="M80" s="845"/>
      <c r="N80" s="845"/>
      <c r="O80" s="48">
        <f>IF(t&lt;Tnet,'2025'!Resal+('2025'!Salim-'2025'!Resal)*(1-EXP(('2025'!Tnet-t)/('2025'!Tau_j))),Resal+(Salim-Resal)*(1-EXP((Tnet-t)/(Tau_j))))*Salcycl</f>
        <v>5.3389969158617052E-2</v>
      </c>
      <c r="P80" s="169">
        <f>(INDEX(Models!$BJ80:$BT80,,T80)*(1-R80)+INDEX(Models!$BJ80:$BT80,,T80+1)*R80-ERP_i)*Q80*Ramure*Pc/MaxiM</f>
        <v>9.6149131825764413E-6</v>
      </c>
      <c r="Q80" s="305">
        <f t="shared" si="28"/>
        <v>0.5</v>
      </c>
      <c r="R80" s="177">
        <f t="shared" si="29"/>
        <v>0.48160222855644585</v>
      </c>
      <c r="S80" s="811">
        <f t="shared" si="30"/>
        <v>-2</v>
      </c>
      <c r="T80" s="176">
        <f t="shared" si="31"/>
        <v>4</v>
      </c>
      <c r="U80" s="251">
        <f t="shared" si="32"/>
        <v>-1.5183977714435541</v>
      </c>
      <c r="V80" s="383">
        <f t="shared" si="33"/>
        <v>41.10342842959458</v>
      </c>
      <c r="W80" s="402">
        <f t="shared" si="34"/>
        <v>36.105938024209337</v>
      </c>
      <c r="X80" s="157">
        <f t="shared" si="35"/>
        <v>46088</v>
      </c>
      <c r="Y80" s="385">
        <f t="shared" si="36"/>
        <v>34.705525269398898</v>
      </c>
      <c r="Z80" s="385">
        <f t="shared" si="37"/>
        <v>36.924007267724264</v>
      </c>
      <c r="AA80" s="386">
        <f t="shared" si="38"/>
        <v>40.563299841391171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8.971884900629655E-2</v>
      </c>
      <c r="AD80" s="231">
        <f>(INDEX(Models!$BJ80:$BT80,,AH80)*(1-AF80)+INDEX(Models!$BJ80:$BT80,,AH80+1)*AF80-ERP_i)*AE80*Ramure*Pc/MaxiM</f>
        <v>5.2351108109759614E-4</v>
      </c>
      <c r="AE80" s="305">
        <f t="shared" si="40"/>
        <v>0.5</v>
      </c>
      <c r="AF80" s="177">
        <f t="shared" si="41"/>
        <v>6.5897949304245529E-3</v>
      </c>
      <c r="AG80" s="811">
        <f t="shared" ref="AG80:AG143" si="49">INDEX(Echel_vg,AH80)</f>
        <v>2</v>
      </c>
      <c r="AH80" s="176">
        <f t="shared" si="42"/>
        <v>8</v>
      </c>
      <c r="AI80" s="225">
        <f t="shared" si="43"/>
        <v>2.0065897949304246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'2025'!Wh/'2025'!Env_an*'2026'!Env_an</f>
        <v>31.203247986471546</v>
      </c>
      <c r="C81" s="841"/>
      <c r="D81" s="393">
        <f t="shared" si="25"/>
        <v>33.19858097686685</v>
      </c>
      <c r="E81" s="385">
        <f t="shared" si="47"/>
        <v>35.072968833784692</v>
      </c>
      <c r="F81" s="385">
        <f t="shared" si="26"/>
        <v>35.07315355008631</v>
      </c>
      <c r="G81" s="110">
        <f t="shared" si="48"/>
        <v>0.75321866094573886</v>
      </c>
      <c r="H81" s="414" t="b">
        <f>Wh_hp&gt;='2025'!Maxi_hp</f>
        <v>1</v>
      </c>
      <c r="I81" s="390">
        <f>IF(H81,Wh_hp,'2025'!Maxi_hp)</f>
        <v>35.07315355008631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6.0102960177294107E-2</v>
      </c>
      <c r="M81" s="845"/>
      <c r="N81" s="845"/>
      <c r="O81" s="48">
        <f>IF(t&lt;Tnet,'2025'!Resal+('2025'!Salim-'2025'!Resal)*(1-EXP(('2025'!Tnet-t)/('2025'!Tau_j))),Resal+(Salim-Resal)*(1-EXP((Tnet-t)/(Tau_j))))*Salcycl</f>
        <v>5.3442520529151841E-2</v>
      </c>
      <c r="P81" s="169">
        <f>(INDEX(Models!$BJ81:$BT81,,T81)*(1-R81)+INDEX(Models!$BJ81:$BT81,,T81+1)*R81-ERP_i)*Q81*Ramure*Pc/MaxiM</f>
        <v>8.1342702076846629E-6</v>
      </c>
      <c r="Q81" s="305">
        <f t="shared" si="28"/>
        <v>0.5</v>
      </c>
      <c r="R81" s="177">
        <f t="shared" si="29"/>
        <v>0.48200889838465599</v>
      </c>
      <c r="S81" s="811">
        <f t="shared" si="30"/>
        <v>-2</v>
      </c>
      <c r="T81" s="176">
        <f t="shared" si="31"/>
        <v>4</v>
      </c>
      <c r="U81" s="251">
        <f t="shared" si="32"/>
        <v>-1.517991101615344</v>
      </c>
      <c r="V81" s="383">
        <f t="shared" si="33"/>
        <v>41.426427839991057</v>
      </c>
      <c r="W81" s="402">
        <f t="shared" si="34"/>
        <v>31.203247986471546</v>
      </c>
      <c r="X81" s="157">
        <f t="shared" si="35"/>
        <v>46089</v>
      </c>
      <c r="Y81" s="385">
        <f t="shared" si="36"/>
        <v>29.99694573594066</v>
      </c>
      <c r="Z81" s="385">
        <f t="shared" si="37"/>
        <v>31.915140132369206</v>
      </c>
      <c r="AA81" s="386">
        <f t="shared" si="38"/>
        <v>35.061518868679791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8.9738803047725926E-2</v>
      </c>
      <c r="AD81" s="231">
        <f>(INDEX(Models!$BJ81:$BT81,,AH81)*(1-AF81)+INDEX(Models!$BJ81:$BT81,,AH81+1)*AF81-ERP_i)*AE81*Ramure*Pc/MaxiM</f>
        <v>5.1235132747945043E-4</v>
      </c>
      <c r="AE81" s="305">
        <f t="shared" si="40"/>
        <v>0.5</v>
      </c>
      <c r="AF81" s="177">
        <f t="shared" si="41"/>
        <v>6.9964647586346906E-3</v>
      </c>
      <c r="AG81" s="811">
        <f t="shared" si="49"/>
        <v>2</v>
      </c>
      <c r="AH81" s="176">
        <f t="shared" si="42"/>
        <v>8</v>
      </c>
      <c r="AI81" s="225">
        <f t="shared" si="43"/>
        <v>2.0069964647586347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'2025'!Wh/'2025'!Env_an*'2026'!Env_an</f>
        <v>27.842568101238616</v>
      </c>
      <c r="C82" s="841"/>
      <c r="D82" s="393">
        <f t="shared" si="25"/>
        <v>29.623646802361669</v>
      </c>
      <c r="E82" s="385">
        <f t="shared" si="47"/>
        <v>31.297932483868564</v>
      </c>
      <c r="F82" s="385">
        <f t="shared" si="26"/>
        <v>31.298044277856004</v>
      </c>
      <c r="G82" s="110">
        <f t="shared" si="48"/>
        <v>0.6668906684391781</v>
      </c>
      <c r="H82" s="414" t="b">
        <f>Wh_hp&gt;='2025'!Maxi_hp</f>
        <v>0</v>
      </c>
      <c r="I82" s="390">
        <f>IF(H82,Wh_hp,'2025'!Maxi_hp)</f>
        <v>44.010087492548095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6.0123546334648448E-2</v>
      </c>
      <c r="M82" s="845"/>
      <c r="N82" s="845"/>
      <c r="O82" s="48">
        <f>IF(t&lt;Tnet,'2025'!Resal+('2025'!Salim-'2025'!Resal)*(1-EXP(('2025'!Tnet-t)/('2025'!Tau_j))),Resal+(Salim-Resal)*(1-EXP((Tnet-t)/(Tau_j))))*Salcycl</f>
        <v>5.3495088928632875E-2</v>
      </c>
      <c r="P82" s="169">
        <f>(INDEX(Models!$BJ82:$BT82,,T82)*(1-R82)+INDEX(Models!$BJ82:$BT82,,T82+1)*R82-ERP_i)*Q82*Ramure*Pc/MaxiM</f>
        <v>6.8149089851634024E-6</v>
      </c>
      <c r="Q82" s="305">
        <f t="shared" si="28"/>
        <v>0.5</v>
      </c>
      <c r="R82" s="177">
        <f t="shared" si="29"/>
        <v>0.48243191276624287</v>
      </c>
      <c r="S82" s="811">
        <f t="shared" si="30"/>
        <v>-2</v>
      </c>
      <c r="T82" s="176">
        <f t="shared" si="31"/>
        <v>4</v>
      </c>
      <c r="U82" s="251">
        <f t="shared" si="32"/>
        <v>-1.5175680872337571</v>
      </c>
      <c r="V82" s="383">
        <f t="shared" si="33"/>
        <v>41.749688705090065</v>
      </c>
      <c r="W82" s="402">
        <f t="shared" si="34"/>
        <v>27.842568101238616</v>
      </c>
      <c r="X82" s="157">
        <f t="shared" si="35"/>
        <v>46090</v>
      </c>
      <c r="Y82" s="385">
        <f t="shared" si="36"/>
        <v>26.768939571584021</v>
      </c>
      <c r="Z82" s="385">
        <f t="shared" si="37"/>
        <v>28.481338655937066</v>
      </c>
      <c r="AA82" s="386">
        <f t="shared" si="38"/>
        <v>31.28988238450393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8.9758845816492142E-2</v>
      </c>
      <c r="AD82" s="231">
        <f>(INDEX(Models!$BJ82:$BT82,,AH82)*(1-AF82)+INDEX(Models!$BJ82:$BT82,,AH82+1)*AF82-ERP_i)*AE82*Ramure*Pc/MaxiM</f>
        <v>4.9754518659688557E-4</v>
      </c>
      <c r="AE82" s="305">
        <f t="shared" si="40"/>
        <v>0.5</v>
      </c>
      <c r="AF82" s="177">
        <f t="shared" si="41"/>
        <v>7.4194791402217852E-3</v>
      </c>
      <c r="AG82" s="811">
        <f t="shared" si="49"/>
        <v>2</v>
      </c>
      <c r="AH82" s="176">
        <f t="shared" si="42"/>
        <v>8</v>
      </c>
      <c r="AI82" s="225">
        <f t="shared" si="43"/>
        <v>2.0074194791402218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'2025'!Wh/'2025'!Env_an*'2026'!Env_an</f>
        <v>24.186882794057389</v>
      </c>
      <c r="C83" s="841"/>
      <c r="D83" s="393">
        <f t="shared" si="25"/>
        <v>25.734672324369015</v>
      </c>
      <c r="E83" s="385">
        <f t="shared" si="47"/>
        <v>27.190669826706664</v>
      </c>
      <c r="F83" s="385">
        <f t="shared" si="26"/>
        <v>27.19073019047875</v>
      </c>
      <c r="G83" s="110">
        <f t="shared" si="48"/>
        <v>0.57487672958639213</v>
      </c>
      <c r="H83" s="414" t="b">
        <f>Wh_hp&gt;='2025'!Maxi_hp</f>
        <v>0</v>
      </c>
      <c r="I83" s="390">
        <f>IF(H83,Wh_hp,'2025'!Maxi_hp)</f>
        <v>43.468612982947825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6.0144132041113019E-2</v>
      </c>
      <c r="M83" s="845"/>
      <c r="N83" s="845"/>
      <c r="O83" s="48">
        <f>IF(t&lt;Tnet,'2025'!Resal+('2025'!Salim-'2025'!Resal)*(1-EXP(('2025'!Tnet-t)/('2025'!Tau_j))),Resal+(Salim-Resal)*(1-EXP((Tnet-t)/(Tau_j))))*Salcycl</f>
        <v>5.3547687924464786E-2</v>
      </c>
      <c r="P83" s="169">
        <f>(INDEX(Models!$BJ83:$BT83,,T83)*(1-R83)+INDEX(Models!$BJ83:$BT83,,T83+1)*R83-ERP_i)*Q83*Ramure*Pc/MaxiM</f>
        <v>5.6534355650065714E-6</v>
      </c>
      <c r="Q83" s="305">
        <f t="shared" si="28"/>
        <v>0.5</v>
      </c>
      <c r="R83" s="177">
        <f t="shared" si="29"/>
        <v>0.48287189805757968</v>
      </c>
      <c r="S83" s="811">
        <f t="shared" si="30"/>
        <v>-2</v>
      </c>
      <c r="T83" s="176">
        <f t="shared" si="31"/>
        <v>4</v>
      </c>
      <c r="U83" s="251">
        <f t="shared" si="32"/>
        <v>-1.5171281019424203</v>
      </c>
      <c r="V83" s="383">
        <f t="shared" si="33"/>
        <v>42.073019319260759</v>
      </c>
      <c r="W83" s="402">
        <f t="shared" si="34"/>
        <v>24.186882794057389</v>
      </c>
      <c r="X83" s="157">
        <f t="shared" si="35"/>
        <v>46091</v>
      </c>
      <c r="Y83" s="385">
        <f t="shared" si="36"/>
        <v>23.256655090597352</v>
      </c>
      <c r="Z83" s="385">
        <f t="shared" si="37"/>
        <v>24.744916623337708</v>
      </c>
      <c r="AA83" s="386">
        <f t="shared" si="38"/>
        <v>27.185613842139265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8.9778999767087711E-2</v>
      </c>
      <c r="AD83" s="231">
        <f>(INDEX(Models!$BJ83:$BT83,,AH83)*(1-AF83)+INDEX(Models!$BJ83:$BT83,,AH83+1)*AF83-ERP_i)*AE83*Ramure*Pc/MaxiM</f>
        <v>4.7917723934928807E-4</v>
      </c>
      <c r="AE83" s="305">
        <f t="shared" si="40"/>
        <v>0.5</v>
      </c>
      <c r="AF83" s="177">
        <f t="shared" si="41"/>
        <v>7.8594644315583828E-3</v>
      </c>
      <c r="AG83" s="811">
        <f t="shared" si="49"/>
        <v>2</v>
      </c>
      <c r="AH83" s="176">
        <f t="shared" si="42"/>
        <v>8</v>
      </c>
      <c r="AI83" s="225">
        <f t="shared" si="43"/>
        <v>2.0078594644315584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'2025'!Wh/'2025'!Env_an*'2026'!Env_an</f>
        <v>15.347476867556152</v>
      </c>
      <c r="C84" s="841"/>
      <c r="D84" s="393">
        <f t="shared" si="25"/>
        <v>16.329964569335303</v>
      </c>
      <c r="E84" s="385">
        <f t="shared" si="47"/>
        <v>17.254829140339901</v>
      </c>
      <c r="F84" s="385">
        <f t="shared" si="26"/>
        <v>17.254836241723996</v>
      </c>
      <c r="G84" s="110">
        <f t="shared" si="48"/>
        <v>0.36199946562047219</v>
      </c>
      <c r="H84" s="414" t="b">
        <f>Wh_hp&gt;='2025'!Maxi_hp</f>
        <v>0</v>
      </c>
      <c r="I84" s="390">
        <f>IF(H84,Wh_hp,'2025'!Maxi_hp)</f>
        <v>34.137173352401021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6.0164717296697812E-2</v>
      </c>
      <c r="M84" s="845"/>
      <c r="N84" s="845"/>
      <c r="O84" s="48">
        <f>IF(t&lt;Tnet,'2025'!Resal+('2025'!Salim-'2025'!Resal)*(1-EXP(('2025'!Tnet-t)/('2025'!Tau_j))),Resal+(Salim-Resal)*(1-EXP((Tnet-t)/(Tau_j))))*Salcycl</f>
        <v>5.3600332027766331E-2</v>
      </c>
      <c r="P84" s="169">
        <f>(INDEX(Models!$BJ84:$BT84,,T84)*(1-R84)+INDEX(Models!$BJ84:$BT84,,T84+1)*R84-ERP_i)*Q84*Ramure*Pc/MaxiM</f>
        <v>4.6465596442752699E-6</v>
      </c>
      <c r="Q84" s="305">
        <f t="shared" si="28"/>
        <v>0.5</v>
      </c>
      <c r="R84" s="177">
        <f t="shared" si="29"/>
        <v>0.48332950206524439</v>
      </c>
      <c r="S84" s="811">
        <f t="shared" si="30"/>
        <v>-2</v>
      </c>
      <c r="T84" s="176">
        <f t="shared" si="31"/>
        <v>4</v>
      </c>
      <c r="U84" s="251">
        <f t="shared" si="32"/>
        <v>-1.5166704979347556</v>
      </c>
      <c r="V84" s="383">
        <f t="shared" si="33"/>
        <v>42.39622797412185</v>
      </c>
      <c r="W84" s="402">
        <f t="shared" si="34"/>
        <v>15.347476867556152</v>
      </c>
      <c r="X84" s="157">
        <f t="shared" si="35"/>
        <v>46092</v>
      </c>
      <c r="Y84" s="385">
        <f t="shared" si="36"/>
        <v>14.759857519088257</v>
      </c>
      <c r="Z84" s="385">
        <f t="shared" si="37"/>
        <v>15.704728041953938</v>
      </c>
      <c r="AA84" s="386">
        <f t="shared" si="38"/>
        <v>17.254137301672245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8.9799288867843829E-2</v>
      </c>
      <c r="AD84" s="231">
        <f>(INDEX(Models!$BJ84:$BT84,,AH84)*(1-AF84)+INDEX(Models!$BJ84:$BT84,,AH84+1)*AF84-ERP_i)*AE84*Ramure*Pc/MaxiM</f>
        <v>4.5732868327446848E-4</v>
      </c>
      <c r="AE84" s="305">
        <f t="shared" si="40"/>
        <v>0.5</v>
      </c>
      <c r="AF84" s="177">
        <f t="shared" si="41"/>
        <v>8.3170684392235295E-3</v>
      </c>
      <c r="AG84" s="811">
        <f t="shared" si="49"/>
        <v>2</v>
      </c>
      <c r="AH84" s="176">
        <f t="shared" si="42"/>
        <v>8</v>
      </c>
      <c r="AI84" s="225">
        <f t="shared" si="43"/>
        <v>2.0083170684392235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'2025'!Wh/'2025'!Env_an*'2026'!Env_an</f>
        <v>14.260030916541183</v>
      </c>
      <c r="C85" s="841"/>
      <c r="D85" s="393">
        <f t="shared" si="25"/>
        <v>15.173236754464913</v>
      </c>
      <c r="E85" s="385">
        <f t="shared" si="47"/>
        <v>16.033481737780178</v>
      </c>
      <c r="F85" s="385">
        <f t="shared" si="26"/>
        <v>16.033484673595119</v>
      </c>
      <c r="G85" s="110">
        <f t="shared" si="48"/>
        <v>0.33380787054439431</v>
      </c>
      <c r="H85" s="414" t="b">
        <f>Wh_hp&gt;='2025'!Maxi_hp</f>
        <v>0</v>
      </c>
      <c r="I85" s="390">
        <f>IF(H85,Wh_hp,'2025'!Maxi_hp)</f>
        <v>42.294025676295831</v>
      </c>
      <c r="J85" s="85">
        <f>IF(H85,An,'2025'!An_max)</f>
        <v>2019</v>
      </c>
      <c r="K85" s="197">
        <f t="shared" si="27"/>
        <v>46093</v>
      </c>
      <c r="L85" s="147">
        <f>IF(t&lt;Tvie,1-EXP((T0-t)*PertePVj)+'2025'!Pspv,1-EXP((T0-t)*PertePVj)+Pspv)</f>
        <v>6.0185302101412708E-2</v>
      </c>
      <c r="M85" s="845"/>
      <c r="N85" s="845"/>
      <c r="O85" s="48">
        <f>IF(t&lt;Tnet,'2025'!Resal+('2025'!Salim-'2025'!Resal)*(1-EXP(('2025'!Tnet-t)/('2025'!Tau_j))),Resal+(Salim-Resal)*(1-EXP((Tnet-t)/(Tau_j))))*Salcycl</f>
        <v>5.3653036650688553E-2</v>
      </c>
      <c r="P85" s="169">
        <f>(INDEX(Models!$BJ85:$BT85,,T85)*(1-R85)+INDEX(Models!$BJ85:$BT85,,T85+1)*R85-ERP_i)*Q85*Ramure*Pc/MaxiM</f>
        <v>3.7911023316041235E-6</v>
      </c>
      <c r="Q85" s="305">
        <f t="shared" si="28"/>
        <v>0.5</v>
      </c>
      <c r="R85" s="177">
        <f t="shared" si="29"/>
        <v>0.4838053945645997</v>
      </c>
      <c r="S85" s="811">
        <f t="shared" si="30"/>
        <v>-2</v>
      </c>
      <c r="T85" s="176">
        <f t="shared" si="31"/>
        <v>4</v>
      </c>
      <c r="U85" s="251">
        <f t="shared" si="32"/>
        <v>-1.5161946054354003</v>
      </c>
      <c r="V85" s="383">
        <f t="shared" si="33"/>
        <v>42.719122958741316</v>
      </c>
      <c r="W85" s="402">
        <f t="shared" si="34"/>
        <v>14.260030916541183</v>
      </c>
      <c r="X85" s="157">
        <f t="shared" si="35"/>
        <v>46093</v>
      </c>
      <c r="Y85" s="385">
        <f t="shared" si="36"/>
        <v>13.714769199578926</v>
      </c>
      <c r="Z85" s="385">
        <f t="shared" si="37"/>
        <v>14.593056727294179</v>
      </c>
      <c r="AA85" s="386">
        <f t="shared" si="38"/>
        <v>16.033150074721505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8.9819738523986822E-2</v>
      </c>
      <c r="AD85" s="231">
        <f>(INDEX(Models!$BJ85:$BT85,,AH85)*(1-AF85)+INDEX(Models!$BJ85:$BT85,,AH85+1)*AF85-ERP_i)*AE85*Ramure*Pc/MaxiM</f>
        <v>4.3207715607316595E-4</v>
      </c>
      <c r="AE85" s="305">
        <f t="shared" si="40"/>
        <v>0.5</v>
      </c>
      <c r="AF85" s="177">
        <f t="shared" si="41"/>
        <v>8.79296093857862E-3</v>
      </c>
      <c r="AG85" s="811">
        <f t="shared" si="49"/>
        <v>2</v>
      </c>
      <c r="AH85" s="176">
        <f t="shared" si="42"/>
        <v>8</v>
      </c>
      <c r="AI85" s="225">
        <f t="shared" si="43"/>
        <v>2.0087929609385786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'2025'!Wh/'2025'!Env_an*'2026'!Env_an</f>
        <v>9.679520105022549</v>
      </c>
      <c r="C86" s="841"/>
      <c r="D86" s="393">
        <f t="shared" si="25"/>
        <v>10.299617720005884</v>
      </c>
      <c r="E86" s="385">
        <f t="shared" si="47"/>
        <v>10.884160461477023</v>
      </c>
      <c r="F86" s="385">
        <f t="shared" si="26"/>
        <v>10.884160461477023</v>
      </c>
      <c r="G86" s="110">
        <f t="shared" si="48"/>
        <v>0.22488731639880588</v>
      </c>
      <c r="H86" s="414" t="b">
        <f>Wh_hp&gt;='2025'!Maxi_hp</f>
        <v>0</v>
      </c>
      <c r="I86" s="390">
        <f>IF(H86,Wh_hp,'2025'!Maxi_hp)</f>
        <v>41.647039184319176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6.0205886455267477E-2</v>
      </c>
      <c r="M86" s="845"/>
      <c r="N86" s="845"/>
      <c r="O86" s="48">
        <f>IF(t&lt;Tnet,'2025'!Resal+('2025'!Salim-'2025'!Resal)*(1-EXP(('2025'!Tnet-t)/('2025'!Tau_j))),Resal+(Salim-Resal)*(1-EXP((Tnet-t)/(Tau_j))))*Salcycl</f>
        <v>5.3705818059192306E-2</v>
      </c>
      <c r="P86" s="169">
        <f>(INDEX(Models!$BJ86:$BT86,,T86)*(1-R86)+INDEX(Models!$BJ86:$BT86,,T86+1)*R86-ERP_i)*Q86*Ramure*Pc/MaxiM</f>
        <v>3.0822087060910085E-6</v>
      </c>
      <c r="Q86" s="305">
        <f t="shared" si="28"/>
        <v>0.5</v>
      </c>
      <c r="R86" s="177">
        <f t="shared" si="29"/>
        <v>0.48430026781144542</v>
      </c>
      <c r="S86" s="811">
        <f t="shared" si="30"/>
        <v>-2</v>
      </c>
      <c r="T86" s="176">
        <f t="shared" si="31"/>
        <v>4</v>
      </c>
      <c r="U86" s="251">
        <f t="shared" si="32"/>
        <v>-1.5156997321885546</v>
      </c>
      <c r="V86" s="383">
        <f t="shared" si="33"/>
        <v>43.041512637183153</v>
      </c>
      <c r="W86" s="402">
        <f t="shared" si="34"/>
        <v>9.679520105022549</v>
      </c>
      <c r="X86" s="157">
        <f t="shared" si="35"/>
        <v>46094</v>
      </c>
      <c r="Y86" s="385">
        <f t="shared" si="36"/>
        <v>9.3099044169562717</v>
      </c>
      <c r="Z86" s="385">
        <f t="shared" si="37"/>
        <v>9.9063233986867658</v>
      </c>
      <c r="AA86" s="386">
        <f t="shared" si="38"/>
        <v>10.884160461477023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8.9840375493468377E-2</v>
      </c>
      <c r="AD86" s="231">
        <f>(INDEX(Models!$BJ86:$BT86,,AH86)*(1-AF86)+INDEX(Models!$BJ86:$BT86,,AH86+1)*AF86-ERP_i)*AE86*Ramure*Pc/MaxiM</f>
        <v>4.045222704623489E-4</v>
      </c>
      <c r="AE86" s="305">
        <f t="shared" si="40"/>
        <v>0.5</v>
      </c>
      <c r="AF86" s="177">
        <f t="shared" si="41"/>
        <v>9.2878341854243374E-3</v>
      </c>
      <c r="AG86" s="811">
        <f t="shared" si="49"/>
        <v>2</v>
      </c>
      <c r="AH86" s="176">
        <f t="shared" si="42"/>
        <v>8</v>
      </c>
      <c r="AI86" s="225">
        <f t="shared" si="43"/>
        <v>2.0092878341854243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'2025'!Wh/'2025'!Env_an*'2026'!Env_an</f>
        <v>13.94875125872724</v>
      </c>
      <c r="C87" s="841"/>
      <c r="D87" s="393">
        <f t="shared" si="25"/>
        <v>14.84267306831355</v>
      </c>
      <c r="E87" s="385">
        <f t="shared" si="47"/>
        <v>15.685928064606394</v>
      </c>
      <c r="F87" s="385">
        <f t="shared" si="26"/>
        <v>15.685929260397995</v>
      </c>
      <c r="G87" s="110">
        <f t="shared" si="48"/>
        <v>0.32167172879441464</v>
      </c>
      <c r="H87" s="414" t="b">
        <f>Wh_hp&gt;='2025'!Maxi_hp</f>
        <v>0</v>
      </c>
      <c r="I87" s="390">
        <f>IF(H87,Wh_hp,'2025'!Maxi_hp)</f>
        <v>41.178376020580401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6.0226470358272111E-2</v>
      </c>
      <c r="M87" s="845"/>
      <c r="N87" s="845"/>
      <c r="O87" s="48">
        <f>IF(t&lt;Tnet,'2025'!Resal+('2025'!Salim-'2025'!Resal)*(1-EXP(('2025'!Tnet-t)/('2025'!Tau_j))),Resal+(Salim-Resal)*(1-EXP((Tnet-t)/(Tau_j))))*Salcycl</f>
        <v>5.3758693321790577E-2</v>
      </c>
      <c r="P87" s="169">
        <f>(INDEX(Models!$BJ87:$BT87,,T87)*(1-R87)+INDEX(Models!$BJ87:$BT87,,T87+1)*R87-ERP_i)*Q87*Ramure*Pc/MaxiM</f>
        <v>2.4622624862819389E-6</v>
      </c>
      <c r="Q87" s="305">
        <f t="shared" si="28"/>
        <v>0.5</v>
      </c>
      <c r="R87" s="177">
        <f t="shared" si="29"/>
        <v>0.48481483704448314</v>
      </c>
      <c r="S87" s="811">
        <f t="shared" si="30"/>
        <v>-2</v>
      </c>
      <c r="T87" s="176">
        <f t="shared" si="31"/>
        <v>4</v>
      </c>
      <c r="U87" s="251">
        <f t="shared" si="32"/>
        <v>-1.5151851629555169</v>
      </c>
      <c r="V87" s="383">
        <f t="shared" si="33"/>
        <v>43.363207667880616</v>
      </c>
      <c r="W87" s="402">
        <f t="shared" si="34"/>
        <v>13.94875125872724</v>
      </c>
      <c r="X87" s="157">
        <f t="shared" si="35"/>
        <v>46095</v>
      </c>
      <c r="Y87" s="385">
        <f t="shared" si="36"/>
        <v>13.416400201046786</v>
      </c>
      <c r="Z87" s="385">
        <f t="shared" si="37"/>
        <v>14.2762056792146</v>
      </c>
      <c r="AA87" s="386">
        <f t="shared" si="38"/>
        <v>15.685746080952351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8.9861227796451199E-2</v>
      </c>
      <c r="AD87" s="231">
        <f>(INDEX(Models!$BJ87:$BT87,,AH87)*(1-AF87)+INDEX(Models!$BJ87:$BT87,,AH87+1)*AF87-ERP_i)*AE87*Ramure*Pc/MaxiM</f>
        <v>3.7718602243732023E-4</v>
      </c>
      <c r="AE87" s="305">
        <f t="shared" si="40"/>
        <v>0.5</v>
      </c>
      <c r="AF87" s="177">
        <f t="shared" si="41"/>
        <v>9.8024034184618358E-3</v>
      </c>
      <c r="AG87" s="811">
        <f t="shared" si="49"/>
        <v>2</v>
      </c>
      <c r="AH87" s="176">
        <f t="shared" si="42"/>
        <v>8</v>
      </c>
      <c r="AI87" s="225">
        <f t="shared" si="43"/>
        <v>2.0098024034184618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'2025'!Wh/'2025'!Env_an*'2026'!Env_an</f>
        <v>13.971743415275633</v>
      </c>
      <c r="C88" s="841"/>
      <c r="D88" s="393">
        <f t="shared" si="25"/>
        <v>14.867464339353402</v>
      </c>
      <c r="E88" s="385">
        <f t="shared" si="47"/>
        <v>15.713007684724685</v>
      </c>
      <c r="F88" s="385">
        <f t="shared" si="26"/>
        <v>15.713008543868103</v>
      </c>
      <c r="G88" s="110">
        <f t="shared" si="48"/>
        <v>0.31983591229807351</v>
      </c>
      <c r="H88" s="414" t="b">
        <f>Wh_hp&gt;='2025'!Maxi_hp</f>
        <v>0</v>
      </c>
      <c r="I88" s="390">
        <f>IF(H88,Wh_hp,'2025'!Maxi_hp)</f>
        <v>31.428093358036886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6.0247053810436491E-2</v>
      </c>
      <c r="M88" s="845"/>
      <c r="N88" s="845"/>
      <c r="O88" s="48">
        <f>IF(t&lt;Tnet,'2025'!Resal+('2025'!Salim-'2025'!Resal)*(1-EXP(('2025'!Tnet-t)/('2025'!Tau_j))),Resal+(Salim-Resal)*(1-EXP((Tnet-t)/(Tau_j))))*Salcycl</f>
        <v>5.3811680254778609E-2</v>
      </c>
      <c r="P88" s="169">
        <f>(INDEX(Models!$BJ88:$BT88,,T88)*(1-R88)+INDEX(Models!$BJ88:$BT88,,T88+1)*R88-ERP_i)*Q88*Ramure*Pc/MaxiM</f>
        <v>1.9294745397399802E-6</v>
      </c>
      <c r="Q88" s="305">
        <f t="shared" si="28"/>
        <v>0.5</v>
      </c>
      <c r="R88" s="177">
        <f t="shared" si="29"/>
        <v>0.48534984097611478</v>
      </c>
      <c r="S88" s="811">
        <f t="shared" si="30"/>
        <v>-2</v>
      </c>
      <c r="T88" s="176">
        <f t="shared" si="31"/>
        <v>4</v>
      </c>
      <c r="U88" s="251">
        <f t="shared" si="32"/>
        <v>-1.5146501590238852</v>
      </c>
      <c r="V88" s="383">
        <f t="shared" si="33"/>
        <v>43.68401634668799</v>
      </c>
      <c r="W88" s="402">
        <f t="shared" si="34"/>
        <v>13.971743415275633</v>
      </c>
      <c r="X88" s="157">
        <f t="shared" si="35"/>
        <v>46096</v>
      </c>
      <c r="Y88" s="385">
        <f t="shared" si="36"/>
        <v>13.438979246318636</v>
      </c>
      <c r="Z88" s="385">
        <f t="shared" si="37"/>
        <v>14.300544947275723</v>
      </c>
      <c r="AA88" s="386">
        <f t="shared" si="38"/>
        <v>15.712852671820379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8.9882324619354775E-2</v>
      </c>
      <c r="AD88" s="231">
        <f>(INDEX(Models!$BJ88:$BT88,,AH88)*(1-AF88)+INDEX(Models!$BJ88:$BT88,,AH88+1)*AF88-ERP_i)*AE88*Ramure*Pc/MaxiM</f>
        <v>3.500593052279337E-4</v>
      </c>
      <c r="AE88" s="305">
        <f t="shared" si="40"/>
        <v>0.5</v>
      </c>
      <c r="AF88" s="177">
        <f t="shared" si="41"/>
        <v>1.0337407350093475E-2</v>
      </c>
      <c r="AG88" s="811">
        <f t="shared" si="49"/>
        <v>2</v>
      </c>
      <c r="AH88" s="176">
        <f t="shared" si="42"/>
        <v>8</v>
      </c>
      <c r="AI88" s="225">
        <f t="shared" si="43"/>
        <v>2.0103374073500935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'2025'!Wh/'2025'!Env_an*'2026'!Env_an</f>
        <v>12.593097050177393</v>
      </c>
      <c r="C89" s="841"/>
      <c r="D89" s="393">
        <f t="shared" si="25"/>
        <v>13.400727210727103</v>
      </c>
      <c r="E89" s="385">
        <f t="shared" si="47"/>
        <v>14.163649310794671</v>
      </c>
      <c r="F89" s="385">
        <f t="shared" si="26"/>
        <v>14.163649310794671</v>
      </c>
      <c r="G89" s="110">
        <f t="shared" si="48"/>
        <v>0.28618195613135483</v>
      </c>
      <c r="H89" s="414" t="b">
        <f>Wh_hp&gt;='2025'!Maxi_hp</f>
        <v>0</v>
      </c>
      <c r="I89" s="390">
        <f>IF(H89,Wh_hp,'2025'!Maxi_hp)</f>
        <v>50.491533478793343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6.0267636811770386E-2</v>
      </c>
      <c r="M89" s="845"/>
      <c r="N89" s="845"/>
      <c r="O89" s="48">
        <f>IF(t&lt;Tnet,'2025'!Resal+('2025'!Salim-'2025'!Resal)*(1-EXP(('2025'!Tnet-t)/('2025'!Tau_j))),Resal+(Salim-Resal)*(1-EXP((Tnet-t)/(Tau_j))))*Salcycl</f>
        <v>5.3864797364484053E-2</v>
      </c>
      <c r="P89" s="169">
        <f>(INDEX(Models!$BJ89:$BT89,,T89)*(1-R89)+INDEX(Models!$BJ89:$BT89,,T89+1)*R89-ERP_i)*Q89*Ramure*Pc/MaxiM</f>
        <v>1.4821326915685623E-6</v>
      </c>
      <c r="Q89" s="305">
        <f t="shared" si="28"/>
        <v>0.5</v>
      </c>
      <c r="R89" s="177">
        <f t="shared" si="29"/>
        <v>0.48590604226888656</v>
      </c>
      <c r="S89" s="811">
        <f t="shared" si="30"/>
        <v>-2</v>
      </c>
      <c r="T89" s="176">
        <f t="shared" si="31"/>
        <v>4</v>
      </c>
      <c r="U89" s="251">
        <f t="shared" si="32"/>
        <v>-1.5140939577311134</v>
      </c>
      <c r="V89" s="383">
        <f t="shared" si="33"/>
        <v>44.003746971931598</v>
      </c>
      <c r="W89" s="402">
        <f t="shared" si="34"/>
        <v>12.593097050177393</v>
      </c>
      <c r="X89" s="157">
        <f t="shared" si="35"/>
        <v>46097</v>
      </c>
      <c r="Y89" s="385">
        <f t="shared" si="36"/>
        <v>12.113417877968159</v>
      </c>
      <c r="Z89" s="385">
        <f t="shared" si="37"/>
        <v>12.890284885870027</v>
      </c>
      <c r="AA89" s="386">
        <f t="shared" si="38"/>
        <v>14.163649310794671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8.9903696214376203E-2</v>
      </c>
      <c r="AD89" s="231">
        <f>(INDEX(Models!$BJ89:$BT89,,AH89)*(1-AF89)+INDEX(Models!$BJ89:$BT89,,AH89+1)*AF89-ERP_i)*AE89*Ramure*Pc/MaxiM</f>
        <v>3.2313216365244886E-4</v>
      </c>
      <c r="AE89" s="305">
        <f t="shared" si="40"/>
        <v>0.5</v>
      </c>
      <c r="AF89" s="177">
        <f t="shared" si="41"/>
        <v>1.0893608642865704E-2</v>
      </c>
      <c r="AG89" s="811">
        <f t="shared" si="49"/>
        <v>2</v>
      </c>
      <c r="AH89" s="176">
        <f t="shared" si="42"/>
        <v>8</v>
      </c>
      <c r="AI89" s="225">
        <f t="shared" si="43"/>
        <v>2.0108936086428657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'2025'!Wh/'2025'!Env_an*'2026'!Env_an</f>
        <v>10.505520115676246</v>
      </c>
      <c r="C90" s="841"/>
      <c r="D90" s="393">
        <f t="shared" si="25"/>
        <v>11.179513050849367</v>
      </c>
      <c r="E90" s="385">
        <f t="shared" si="47"/>
        <v>11.816643593894039</v>
      </c>
      <c r="F90" s="385">
        <f t="shared" si="26"/>
        <v>11.816643593894039</v>
      </c>
      <c r="G90" s="110">
        <f t="shared" si="48"/>
        <v>0.23702583591239371</v>
      </c>
      <c r="H90" s="414" t="b">
        <f>Wh_hp&gt;='2025'!Maxi_hp</f>
        <v>0</v>
      </c>
      <c r="I90" s="390">
        <f>IF(H90,Wh_hp,'2025'!Maxi_hp)</f>
        <v>27.136616542417517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6.028821936228379E-2</v>
      </c>
      <c r="M90" s="845"/>
      <c r="N90" s="845"/>
      <c r="O90" s="48">
        <f>IF(t&lt;Tnet,'2025'!Resal+('2025'!Salim-'2025'!Resal)*(1-EXP(('2025'!Tnet-t)/('2025'!Tau_j))),Resal+(Salim-Resal)*(1-EXP((Tnet-t)/(Tau_j))))*Salcycl</f>
        <v>5.3918063787071764E-2</v>
      </c>
      <c r="P90" s="169">
        <f>(INDEX(Models!$BJ90:$BT90,,T90)*(1-R90)+INDEX(Models!$BJ90:$BT90,,T90+1)*R90-ERP_i)*Q90*Ramure*Pc/MaxiM</f>
        <v>1.1186061986928994E-6</v>
      </c>
      <c r="Q90" s="305">
        <f t="shared" si="28"/>
        <v>0.5</v>
      </c>
      <c r="R90" s="177">
        <f t="shared" si="29"/>
        <v>0.48648422799465085</v>
      </c>
      <c r="S90" s="811">
        <f t="shared" si="30"/>
        <v>-2</v>
      </c>
      <c r="T90" s="176">
        <f t="shared" si="31"/>
        <v>4</v>
      </c>
      <c r="U90" s="251">
        <f t="shared" si="32"/>
        <v>-1.5135157720053491</v>
      </c>
      <c r="V90" s="383">
        <f t="shared" si="33"/>
        <v>44.322207845811491</v>
      </c>
      <c r="W90" s="402">
        <f t="shared" si="34"/>
        <v>10.505520115676246</v>
      </c>
      <c r="X90" s="157">
        <f t="shared" si="35"/>
        <v>46098</v>
      </c>
      <c r="Y90" s="385">
        <f t="shared" si="36"/>
        <v>10.105686332655212</v>
      </c>
      <c r="Z90" s="385">
        <f t="shared" si="37"/>
        <v>10.754027501706103</v>
      </c>
      <c r="AA90" s="386">
        <f t="shared" si="38"/>
        <v>11.816643593894039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8.9925373795399555E-2</v>
      </c>
      <c r="AD90" s="231">
        <f>(INDEX(Models!$BJ90:$BT90,,AH90)*(1-AF90)+INDEX(Models!$BJ90:$BT90,,AH90+1)*AF90-ERP_i)*AE90*Ramure*Pc/MaxiM</f>
        <v>2.9639378032241936E-4</v>
      </c>
      <c r="AE90" s="305">
        <f t="shared" si="40"/>
        <v>0.5</v>
      </c>
      <c r="AF90" s="177">
        <f t="shared" si="41"/>
        <v>1.1471794368629773E-2</v>
      </c>
      <c r="AG90" s="811">
        <f t="shared" si="49"/>
        <v>2</v>
      </c>
      <c r="AH90" s="176">
        <f t="shared" si="42"/>
        <v>8</v>
      </c>
      <c r="AI90" s="225">
        <f t="shared" si="43"/>
        <v>2.0114717943686298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'2025'!Wh/'2025'!Env_an*'2026'!Env_an</f>
        <v>14.006750993230618</v>
      </c>
      <c r="C91" s="841"/>
      <c r="D91" s="393">
        <f t="shared" si="25"/>
        <v>14.905695631737897</v>
      </c>
      <c r="E91" s="385">
        <f t="shared" si="47"/>
        <v>15.756074599813365</v>
      </c>
      <c r="F91" s="385">
        <f t="shared" si="26"/>
        <v>15.756074859475047</v>
      </c>
      <c r="G91" s="110">
        <f t="shared" si="48"/>
        <v>0.31377661812771007</v>
      </c>
      <c r="H91" s="414" t="b">
        <f>Wh_hp&gt;='2025'!Maxi_hp</f>
        <v>0</v>
      </c>
      <c r="I91" s="390">
        <f>IF(H91,Wh_hp,'2025'!Maxi_hp)</f>
        <v>35.441978382349127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6.0308801461986472E-2</v>
      </c>
      <c r="M91" s="845"/>
      <c r="N91" s="845"/>
      <c r="O91" s="48">
        <f>IF(t&lt;Tnet,'2025'!Resal+('2025'!Salim-'2025'!Resal)*(1-EXP(('2025'!Tnet-t)/('2025'!Tau_j))),Resal+(Salim-Resal)*(1-EXP((Tnet-t)/(Tau_j))))*Salcycl</f>
        <v>5.3971499226434336E-2</v>
      </c>
      <c r="P91" s="169">
        <f>(INDEX(Models!$BJ91:$BT91,,T91)*(1-R91)+INDEX(Models!$BJ91:$BT91,,T91+1)*R91-ERP_i)*Q91*Ramure*Pc/MaxiM</f>
        <v>8.3735019975220136E-7</v>
      </c>
      <c r="Q91" s="305">
        <f t="shared" si="28"/>
        <v>0.5</v>
      </c>
      <c r="R91" s="177">
        <f t="shared" si="29"/>
        <v>0.48708521007327632</v>
      </c>
      <c r="S91" s="811">
        <f t="shared" si="30"/>
        <v>-2</v>
      </c>
      <c r="T91" s="176">
        <f t="shared" si="31"/>
        <v>4</v>
      </c>
      <c r="U91" s="251">
        <f t="shared" si="32"/>
        <v>-1.5129147899267237</v>
      </c>
      <c r="V91" s="383">
        <f t="shared" si="33"/>
        <v>44.639207277727941</v>
      </c>
      <c r="W91" s="402">
        <f t="shared" si="34"/>
        <v>14.006750993230618</v>
      </c>
      <c r="X91" s="157">
        <f t="shared" si="35"/>
        <v>46099</v>
      </c>
      <c r="Y91" s="385">
        <f t="shared" si="36"/>
        <v>13.474026218580992</v>
      </c>
      <c r="Z91" s="385">
        <f t="shared" si="37"/>
        <v>14.338780909669151</v>
      </c>
      <c r="AA91" s="386">
        <f t="shared" si="38"/>
        <v>15.755991184627302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8.9947389431195263E-2</v>
      </c>
      <c r="AD91" s="231">
        <f>(INDEX(Models!$BJ91:$BT91,,AH91)*(1-AF91)+INDEX(Models!$BJ91:$BT91,,AH91+1)*AF91-ERP_i)*AE91*Ramure*Pc/MaxiM</f>
        <v>2.698324615740083E-4</v>
      </c>
      <c r="AE91" s="305">
        <f t="shared" si="40"/>
        <v>0.5</v>
      </c>
      <c r="AF91" s="177">
        <f t="shared" si="41"/>
        <v>1.207277644725524E-2</v>
      </c>
      <c r="AG91" s="811">
        <f t="shared" si="49"/>
        <v>2</v>
      </c>
      <c r="AH91" s="176">
        <f t="shared" si="42"/>
        <v>8</v>
      </c>
      <c r="AI91" s="225">
        <f t="shared" si="43"/>
        <v>2.0120727764472552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'2025'!Wh/'2025'!Env_an*'2026'!Env_an</f>
        <v>28.425356827747049</v>
      </c>
      <c r="C92" s="841"/>
      <c r="D92" s="393">
        <f t="shared" si="25"/>
        <v>30.250341254526486</v>
      </c>
      <c r="E92" s="385">
        <f t="shared" si="47"/>
        <v>31.977954191492596</v>
      </c>
      <c r="F92" s="385">
        <f t="shared" si="26"/>
        <v>31.977963860424431</v>
      </c>
      <c r="G92" s="110">
        <f t="shared" si="48"/>
        <v>0.63231297056990321</v>
      </c>
      <c r="H92" s="414" t="b">
        <f>Wh_hp&gt;='2025'!Maxi_hp</f>
        <v>0</v>
      </c>
      <c r="I92" s="390">
        <f>IF(H92,Wh_hp,'2025'!Maxi_hp)</f>
        <v>46.110957889709681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6.0329383110888313E-2</v>
      </c>
      <c r="M92" s="845"/>
      <c r="N92" s="845"/>
      <c r="O92" s="48">
        <f>IF(t&lt;Tnet,'2025'!Resal+('2025'!Salim-'2025'!Resal)*(1-EXP(('2025'!Tnet-t)/('2025'!Tau_j))),Resal+(Salim-Resal)*(1-EXP((Tnet-t)/(Tau_j))))*Salcycl</f>
        <v>5.4025123890687268E-2</v>
      </c>
      <c r="P92" s="169">
        <f>(INDEX(Models!$BJ92:$BT92,,T92)*(1-R92)+INDEX(Models!$BJ92:$BT92,,T92+1)*R92-ERP_i)*Q92*Ramure*Pc/MaxiM</f>
        <v>6.3691013827385584E-7</v>
      </c>
      <c r="Q92" s="305">
        <f t="shared" si="28"/>
        <v>0.5</v>
      </c>
      <c r="R92" s="177">
        <f t="shared" si="29"/>
        <v>0.48770982568748278</v>
      </c>
      <c r="S92" s="811">
        <f t="shared" si="30"/>
        <v>-2</v>
      </c>
      <c r="T92" s="176">
        <f t="shared" si="31"/>
        <v>4</v>
      </c>
      <c r="U92" s="251">
        <f t="shared" si="32"/>
        <v>-1.5122901743125172</v>
      </c>
      <c r="V92" s="383">
        <f t="shared" si="33"/>
        <v>44.954553585202838</v>
      </c>
      <c r="W92" s="402">
        <f t="shared" si="34"/>
        <v>28.425356827747049</v>
      </c>
      <c r="X92" s="157">
        <f t="shared" si="35"/>
        <v>46100</v>
      </c>
      <c r="Y92" s="385">
        <f t="shared" si="36"/>
        <v>27.342113240601137</v>
      </c>
      <c r="Z92" s="385">
        <f t="shared" si="37"/>
        <v>29.09755051309401</v>
      </c>
      <c r="AA92" s="386">
        <f t="shared" si="38"/>
        <v>31.974268264603023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8.9969775936785651E-2</v>
      </c>
      <c r="AD92" s="231">
        <f>(INDEX(Models!$BJ92:$BT92,,AH92)*(1-AF92)+INDEX(Models!$BJ92:$BT92,,AH92+1)*AF92-ERP_i)*AE92*Ramure*Pc/MaxiM</f>
        <v>2.434356230995349E-4</v>
      </c>
      <c r="AE92" s="305">
        <f t="shared" si="40"/>
        <v>0.5</v>
      </c>
      <c r="AF92" s="177">
        <f t="shared" si="41"/>
        <v>1.2697392061461699E-2</v>
      </c>
      <c r="AG92" s="811">
        <f t="shared" si="49"/>
        <v>2</v>
      </c>
      <c r="AH92" s="176">
        <f t="shared" si="42"/>
        <v>8</v>
      </c>
      <c r="AI92" s="225">
        <f t="shared" si="43"/>
        <v>2.0126973920614617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'2025'!Wh/'2025'!Env_an*'2026'!Env_an</f>
        <v>29.35901732338629</v>
      </c>
      <c r="C93" s="841"/>
      <c r="D93" s="393">
        <f t="shared" si="25"/>
        <v>31.244629604889255</v>
      </c>
      <c r="E93" s="385">
        <f t="shared" si="47"/>
        <v>33.030906631442619</v>
      </c>
      <c r="F93" s="385">
        <f t="shared" si="26"/>
        <v>33.030915115760678</v>
      </c>
      <c r="G93" s="110">
        <f t="shared" si="48"/>
        <v>0.64852265800795716</v>
      </c>
      <c r="H93" s="414" t="b">
        <f>Wh_hp&gt;='2025'!Maxi_hp</f>
        <v>0</v>
      </c>
      <c r="I93" s="390">
        <f>IF(H93,Wh_hp,'2025'!Maxi_hp)</f>
        <v>51.145293953169229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6.0349964308999193E-2</v>
      </c>
      <c r="M93" s="845"/>
      <c r="N93" s="845"/>
      <c r="O93" s="48">
        <f>IF(t&lt;Tnet,'2025'!Resal+('2025'!Salim-'2025'!Resal)*(1-EXP(('2025'!Tnet-t)/('2025'!Tau_j))),Resal+(Salim-Resal)*(1-EXP((Tnet-t)/(Tau_j))))*Salcycl</f>
        <v>5.4078958427770794E-2</v>
      </c>
      <c r="P93" s="169">
        <f>(INDEX(Models!$BJ93:$BT93,,T93)*(1-R93)+INDEX(Models!$BJ93:$BT93,,T93+1)*R93-ERP_i)*Q93*Ramure*Pc/MaxiM</f>
        <v>5.1589717320242142E-7</v>
      </c>
      <c r="Q93" s="305">
        <f t="shared" si="28"/>
        <v>0.5</v>
      </c>
      <c r="R93" s="177">
        <f t="shared" si="29"/>
        <v>0.4883589376701043</v>
      </c>
      <c r="S93" s="811">
        <f t="shared" si="30"/>
        <v>-2</v>
      </c>
      <c r="T93" s="176">
        <f t="shared" si="31"/>
        <v>4</v>
      </c>
      <c r="U93" s="251">
        <f t="shared" si="32"/>
        <v>-1.5116410623298957</v>
      </c>
      <c r="V93" s="383">
        <f t="shared" si="33"/>
        <v>45.270599809860109</v>
      </c>
      <c r="W93" s="402">
        <f t="shared" si="34"/>
        <v>29.35901732338629</v>
      </c>
      <c r="X93" s="157">
        <f t="shared" si="35"/>
        <v>46101</v>
      </c>
      <c r="Y93" s="385">
        <f t="shared" si="36"/>
        <v>28.241302149404596</v>
      </c>
      <c r="Z93" s="385">
        <f t="shared" si="37"/>
        <v>30.055128054815086</v>
      </c>
      <c r="AA93" s="386">
        <f t="shared" si="38"/>
        <v>33.02734346678097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8.9992566763819559E-2</v>
      </c>
      <c r="AD93" s="231">
        <f>(INDEX(Models!$BJ93:$BT93,,AH93)*(1-AF93)+INDEX(Models!$BJ93:$BT93,,AH93+1)*AF93-ERP_i)*AE93*Ramure*Pc/MaxiM</f>
        <v>2.1717757388464763E-4</v>
      </c>
      <c r="AE93" s="305">
        <f t="shared" si="40"/>
        <v>0.5</v>
      </c>
      <c r="AF93" s="177">
        <f t="shared" si="41"/>
        <v>1.3346504044083218E-2</v>
      </c>
      <c r="AG93" s="811">
        <f t="shared" si="49"/>
        <v>2</v>
      </c>
      <c r="AH93" s="176">
        <f t="shared" si="42"/>
        <v>8</v>
      </c>
      <c r="AI93" s="225">
        <f t="shared" si="43"/>
        <v>2.0133465040440832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'2025'!Wh/'2025'!Env_an*'2026'!Env_an</f>
        <v>42.807035375374419</v>
      </c>
      <c r="C94" s="841"/>
      <c r="D94" s="393">
        <f t="shared" si="25"/>
        <v>45.557357903324373</v>
      </c>
      <c r="E94" s="385">
        <f t="shared" si="47"/>
        <v>48.164656397319852</v>
      </c>
      <c r="F94" s="385">
        <f t="shared" si="26"/>
        <v>48.164677283658264</v>
      </c>
      <c r="G94" s="110">
        <f t="shared" si="48"/>
        <v>0.93897334756019335</v>
      </c>
      <c r="H94" s="414" t="b">
        <f>Wh_hp&gt;='2025'!Maxi_hp</f>
        <v>0</v>
      </c>
      <c r="I94" s="390">
        <f>IF(H94,Wh_hp,'2025'!Maxi_hp)</f>
        <v>51.378117175877115</v>
      </c>
      <c r="J94" s="85">
        <f>IF(H94,An,'2025'!An_max)</f>
        <v>2019</v>
      </c>
      <c r="K94" s="197">
        <f t="shared" si="27"/>
        <v>46102</v>
      </c>
      <c r="L94" s="147">
        <f>IF(t&lt;Tvie,1-EXP((T0-t)*PertePVj)+'2025'!Pspv,1-EXP((T0-t)*PertePVj)+Pspv)</f>
        <v>6.0370545056329106E-2</v>
      </c>
      <c r="M94" s="845"/>
      <c r="N94" s="845"/>
      <c r="O94" s="48">
        <f>IF(t&lt;Tnet,'2025'!Resal+('2025'!Salim-'2025'!Resal)*(1-EXP(('2025'!Tnet-t)/('2025'!Tau_j))),Resal+(Salim-Resal)*(1-EXP((Tnet-t)/(Tau_j))))*Salcycl</f>
        <v>5.4133023860636689E-2</v>
      </c>
      <c r="P94" s="169">
        <f>(INDEX(Models!$BJ94:$BT94,,T94)*(1-R94)+INDEX(Models!$BJ94:$BT94,,T94+1)*R94-ERP_i)*Q94*Ramure*Pc/MaxiM</f>
        <v>4.750605045057748E-7</v>
      </c>
      <c r="Q94" s="305">
        <f t="shared" si="28"/>
        <v>0.5</v>
      </c>
      <c r="R94" s="177">
        <f t="shared" si="29"/>
        <v>0.48903343485980466</v>
      </c>
      <c r="S94" s="811">
        <f t="shared" si="30"/>
        <v>-2</v>
      </c>
      <c r="T94" s="176">
        <f t="shared" si="31"/>
        <v>4</v>
      </c>
      <c r="U94" s="251">
        <f t="shared" si="32"/>
        <v>-1.5109665651401953</v>
      </c>
      <c r="V94" s="383">
        <f t="shared" si="33"/>
        <v>45.589189207231598</v>
      </c>
      <c r="W94" s="402">
        <f t="shared" si="34"/>
        <v>42.807035375374419</v>
      </c>
      <c r="X94" s="157">
        <f t="shared" si="35"/>
        <v>46102</v>
      </c>
      <c r="Y94" s="385">
        <f t="shared" si="36"/>
        <v>41.175896752458101</v>
      </c>
      <c r="Z94" s="385">
        <f t="shared" si="37"/>
        <v>43.821419747773362</v>
      </c>
      <c r="AA94" s="386">
        <f t="shared" si="38"/>
        <v>48.15624221814786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9.0015795890753841E-2</v>
      </c>
      <c r="AD94" s="231">
        <f>(INDEX(Models!$BJ94:$BT94,,AH94)*(1-AF94)+INDEX(Models!$BJ94:$BT94,,AH94+1)*AF94-ERP_i)*AE94*Ramure*Pc/MaxiM</f>
        <v>1.9185586284817006E-4</v>
      </c>
      <c r="AE94" s="305">
        <f t="shared" si="40"/>
        <v>0.5</v>
      </c>
      <c r="AF94" s="177">
        <f t="shared" si="41"/>
        <v>1.4021001233783359E-2</v>
      </c>
      <c r="AG94" s="811">
        <f t="shared" si="49"/>
        <v>2</v>
      </c>
      <c r="AH94" s="176">
        <f t="shared" si="42"/>
        <v>8</v>
      </c>
      <c r="AI94" s="225">
        <f t="shared" si="43"/>
        <v>2.0140210012337834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'2025'!Wh/'2025'!Env_an*'2026'!Env_an</f>
        <v>40.280454612802075</v>
      </c>
      <c r="C95" s="841"/>
      <c r="D95" s="393">
        <f t="shared" si="25"/>
        <v>42.869385017175532</v>
      </c>
      <c r="E95" s="385">
        <f t="shared" si="47"/>
        <v>45.32545069356771</v>
      </c>
      <c r="F95" s="385">
        <f t="shared" si="26"/>
        <v>45.325466956067132</v>
      </c>
      <c r="G95" s="110">
        <f t="shared" si="48"/>
        <v>0.87739065288321738</v>
      </c>
      <c r="H95" s="414" t="b">
        <f>Wh_hp&gt;='2025'!Maxi_hp</f>
        <v>0</v>
      </c>
      <c r="I95" s="390">
        <f>IF(H95,Wh_hp,'2025'!Maxi_hp)</f>
        <v>50.23936086110939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6.039112535288782E-2</v>
      </c>
      <c r="M95" s="845"/>
      <c r="N95" s="845"/>
      <c r="O95" s="48">
        <f>IF(t&lt;Tnet,'2025'!Resal+('2025'!Salim-'2025'!Resal)*(1-EXP(('2025'!Tnet-t)/('2025'!Tau_j))),Resal+(Salim-Resal)*(1-EXP((Tnet-t)/(Tau_j))))*Salcycl</f>
        <v>5.4187341522468881E-2</v>
      </c>
      <c r="P95" s="169">
        <f>(INDEX(Models!$BJ95:$BT95,,T95)*(1-R95)+INDEX(Models!$BJ95:$BT95,,T95+1)*R95-ERP_i)*Q95*Ramure*Pc/MaxiM</f>
        <v>4.349839652000636E-7</v>
      </c>
      <c r="Q95" s="305">
        <f t="shared" si="28"/>
        <v>0.5</v>
      </c>
      <c r="R95" s="177">
        <f t="shared" si="29"/>
        <v>0.48973423242097924</v>
      </c>
      <c r="S95" s="811">
        <f t="shared" si="30"/>
        <v>-2</v>
      </c>
      <c r="T95" s="176">
        <f t="shared" si="31"/>
        <v>4</v>
      </c>
      <c r="U95" s="251">
        <f t="shared" si="32"/>
        <v>-1.5102657675790208</v>
      </c>
      <c r="V95" s="383">
        <f t="shared" si="33"/>
        <v>45.909369345869337</v>
      </c>
      <c r="W95" s="402">
        <f t="shared" si="34"/>
        <v>40.280454612802075</v>
      </c>
      <c r="X95" s="157">
        <f t="shared" si="35"/>
        <v>46103</v>
      </c>
      <c r="Y95" s="385">
        <f t="shared" si="36"/>
        <v>38.748199818422393</v>
      </c>
      <c r="Z95" s="385">
        <f t="shared" si="37"/>
        <v>41.238648190689993</v>
      </c>
      <c r="AA95" s="386">
        <f t="shared" si="38"/>
        <v>45.319162850554129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9.0039497713586769E-2</v>
      </c>
      <c r="AD95" s="231">
        <f>(INDEX(Models!$BJ95:$BT95,,AH95)*(1-AF95)+INDEX(Models!$BJ95:$BT95,,AH95+1)*AF95-ERP_i)*AE95*Ramure*Pc/MaxiM</f>
        <v>1.6862013284634934E-4</v>
      </c>
      <c r="AE95" s="305">
        <f t="shared" si="40"/>
        <v>0.5</v>
      </c>
      <c r="AF95" s="177">
        <f t="shared" si="41"/>
        <v>1.4721798794958385E-2</v>
      </c>
      <c r="AG95" s="811">
        <f t="shared" si="49"/>
        <v>2</v>
      </c>
      <c r="AH95" s="176">
        <f t="shared" si="42"/>
        <v>8</v>
      </c>
      <c r="AI95" s="225">
        <f t="shared" si="43"/>
        <v>2.0147217987949584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'2025'!Wh/'2025'!Env_an*'2026'!Env_an</f>
        <v>46.218050908429099</v>
      </c>
      <c r="C96" s="841"/>
      <c r="D96" s="393">
        <f t="shared" si="25"/>
        <v>49.189683571145764</v>
      </c>
      <c r="E96" s="385">
        <f t="shared" si="47"/>
        <v>52.010852761510748</v>
      </c>
      <c r="F96" s="385">
        <f t="shared" si="26"/>
        <v>52.010873332133208</v>
      </c>
      <c r="G96" s="110">
        <f t="shared" si="48"/>
        <v>0.99973753985405889</v>
      </c>
      <c r="H96" s="414" t="b">
        <f>Wh_hp&gt;='2025'!Maxi_hp</f>
        <v>1</v>
      </c>
      <c r="I96" s="390">
        <f>IF(H96,Wh_hp,'2025'!Maxi_hp)</f>
        <v>52.010873332133208</v>
      </c>
      <c r="J96" s="85">
        <f>IF(H96,An,'2025'!An_max)</f>
        <v>2026</v>
      </c>
      <c r="K96" s="197">
        <f t="shared" si="27"/>
        <v>46104</v>
      </c>
      <c r="L96" s="147">
        <f>IF(t&lt;Tvie,1-EXP((T0-t)*PertePVj)+'2025'!Pspv,1-EXP((T0-t)*PertePVj)+Pspv)</f>
        <v>6.0411705198685217E-2</v>
      </c>
      <c r="M96" s="845"/>
      <c r="N96" s="845"/>
      <c r="O96" s="48">
        <f>IF(t&lt;Tnet,'2025'!Resal+('2025'!Salim-'2025'!Resal)*(1-EXP(('2025'!Tnet-t)/('2025'!Tau_j))),Resal+(Salim-Resal)*(1-EXP((Tnet-t)/(Tau_j))))*Salcycl</f>
        <v>5.4241932992352596E-2</v>
      </c>
      <c r="P96" s="169">
        <f>(INDEX(Models!$BJ96:$BT96,,T96)*(1-R96)+INDEX(Models!$BJ96:$BT96,,T96+1)*R96-ERP_i)*Q96*Ramure*Pc/MaxiM</f>
        <v>3.9565453993418795E-7</v>
      </c>
      <c r="Q96" s="305">
        <f t="shared" si="28"/>
        <v>0.5</v>
      </c>
      <c r="R96" s="177">
        <f t="shared" si="29"/>
        <v>0.49046227212327387</v>
      </c>
      <c r="S96" s="811">
        <f t="shared" si="30"/>
        <v>-2</v>
      </c>
      <c r="T96" s="176">
        <f t="shared" si="31"/>
        <v>4</v>
      </c>
      <c r="U96" s="251">
        <f t="shared" si="32"/>
        <v>-1.5095377278767261</v>
      </c>
      <c r="V96" s="383">
        <f t="shared" si="33"/>
        <v>46.230184482538924</v>
      </c>
      <c r="W96" s="402">
        <f t="shared" si="34"/>
        <v>46.218050908429099</v>
      </c>
      <c r="X96" s="157">
        <f t="shared" si="35"/>
        <v>46104</v>
      </c>
      <c r="Y96" s="385">
        <f t="shared" si="36"/>
        <v>44.460948411686182</v>
      </c>
      <c r="Z96" s="385">
        <f t="shared" si="37"/>
        <v>47.319606531590402</v>
      </c>
      <c r="AA96" s="386">
        <f t="shared" si="38"/>
        <v>52.003208238180655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9.0063706937826296E-2</v>
      </c>
      <c r="AD96" s="231">
        <f>(INDEX(Models!$BJ96:$BT96,,AH96)*(1-AF96)+INDEX(Models!$BJ96:$BT96,,AH96+1)*AF96-ERP_i)*AE96*Ramure*Pc/MaxiM</f>
        <v>1.4743011434876314E-4</v>
      </c>
      <c r="AE96" s="305">
        <f t="shared" si="40"/>
        <v>0.5</v>
      </c>
      <c r="AF96" s="177">
        <f t="shared" si="41"/>
        <v>1.5449838497252788E-2</v>
      </c>
      <c r="AG96" s="811">
        <f t="shared" si="49"/>
        <v>2</v>
      </c>
      <c r="AH96" s="176">
        <f t="shared" si="42"/>
        <v>8</v>
      </c>
      <c r="AI96" s="225">
        <f t="shared" si="43"/>
        <v>2.0154498384972528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'2025'!Wh/'2025'!Env_an*'2026'!Env_an</f>
        <v>45.228563975717854</v>
      </c>
      <c r="C97" s="841"/>
      <c r="D97" s="393">
        <f t="shared" si="25"/>
        <v>48.13763099146189</v>
      </c>
      <c r="E97" s="385">
        <f t="shared" si="47"/>
        <v>50.90141601625885</v>
      </c>
      <c r="F97" s="385">
        <f t="shared" si="26"/>
        <v>50.901433453482092</v>
      </c>
      <c r="G97" s="110">
        <f t="shared" si="48"/>
        <v>0.97159835596457267</v>
      </c>
      <c r="H97" s="414" t="b">
        <f>Wh_hp&gt;='2025'!Maxi_hp</f>
        <v>0</v>
      </c>
      <c r="I97" s="390">
        <f>IF(H97,Wh_hp,'2025'!Maxi_hp)</f>
        <v>51.495753799818651</v>
      </c>
      <c r="J97" s="85">
        <f>IF(H97,An,'2025'!An_max)</f>
        <v>2019</v>
      </c>
      <c r="K97" s="197">
        <f t="shared" si="27"/>
        <v>46105</v>
      </c>
      <c r="L97" s="147">
        <f>IF(t&lt;Tvie,1-EXP((T0-t)*PertePVj)+'2025'!Pspv,1-EXP((T0-t)*PertePVj)+Pspv)</f>
        <v>6.0432284593731178E-2</v>
      </c>
      <c r="M97" s="845"/>
      <c r="N97" s="845"/>
      <c r="O97" s="48">
        <f>IF(t&lt;Tnet,'2025'!Resal+('2025'!Salim-'2025'!Resal)*(1-EXP(('2025'!Tnet-t)/('2025'!Tau_j))),Resal+(Salim-Resal)*(1-EXP((Tnet-t)/(Tau_j))))*Salcycl</f>
        <v>5.4296820031768091E-2</v>
      </c>
      <c r="P97" s="169">
        <f>(INDEX(Models!$BJ97:$BT97,,T97)*(1-R97)+INDEX(Models!$BJ97:$BT97,,T97+1)*R97-ERP_i)*Q97*Ramure*Pc/MaxiM</f>
        <v>3.5705549519034213E-7</v>
      </c>
      <c r="Q97" s="305">
        <f t="shared" si="28"/>
        <v>0.5</v>
      </c>
      <c r="R97" s="177">
        <f t="shared" si="29"/>
        <v>0.49121852257583365</v>
      </c>
      <c r="S97" s="811">
        <f t="shared" si="30"/>
        <v>-2</v>
      </c>
      <c r="T97" s="176">
        <f t="shared" si="31"/>
        <v>4</v>
      </c>
      <c r="U97" s="251">
        <f t="shared" si="32"/>
        <v>-1.5087814774241664</v>
      </c>
      <c r="V97" s="383">
        <f t="shared" si="33"/>
        <v>46.55067913900097</v>
      </c>
      <c r="W97" s="402">
        <f t="shared" si="34"/>
        <v>45.228563975717854</v>
      </c>
      <c r="X97" s="157">
        <f t="shared" si="35"/>
        <v>46105</v>
      </c>
      <c r="Y97" s="385">
        <f t="shared" si="36"/>
        <v>43.511477686903987</v>
      </c>
      <c r="Z97" s="385">
        <f t="shared" si="37"/>
        <v>46.31010301167025</v>
      </c>
      <c r="AA97" s="386">
        <f t="shared" si="38"/>
        <v>50.895170462304662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9.0088458472308869E-2</v>
      </c>
      <c r="AD97" s="231">
        <f>(INDEX(Models!$BJ97:$BT97,,AH97)*(1-AF97)+INDEX(Models!$BJ97:$BT97,,AH97+1)*AF97-ERP_i)*AE97*Ramure*Pc/MaxiM</f>
        <v>1.2824492669766943E-4</v>
      </c>
      <c r="AE97" s="305">
        <f t="shared" si="40"/>
        <v>0.5</v>
      </c>
      <c r="AF97" s="177">
        <f t="shared" si="41"/>
        <v>1.6206088949812791E-2</v>
      </c>
      <c r="AG97" s="811">
        <f t="shared" si="49"/>
        <v>2</v>
      </c>
      <c r="AH97" s="176">
        <f t="shared" si="42"/>
        <v>8</v>
      </c>
      <c r="AI97" s="225">
        <f t="shared" si="43"/>
        <v>2.0162060889498128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'2025'!Wh/'2025'!Env_an*'2026'!Env_an</f>
        <v>39.618119187623705</v>
      </c>
      <c r="C98" s="841"/>
      <c r="D98" s="393">
        <f t="shared" si="25"/>
        <v>42.167250210365104</v>
      </c>
      <c r="E98" s="385">
        <f t="shared" si="47"/>
        <v>44.590853365980578</v>
      </c>
      <c r="F98" s="385">
        <f t="shared" si="26"/>
        <v>44.590864452207597</v>
      </c>
      <c r="G98" s="110">
        <f t="shared" si="48"/>
        <v>0.84527848351637325</v>
      </c>
      <c r="H98" s="414" t="b">
        <f>Wh_hp&gt;='2025'!Maxi_hp</f>
        <v>0</v>
      </c>
      <c r="I98" s="390">
        <f>IF(H98,Wh_hp,'2025'!Maxi_hp)</f>
        <v>48.049790210842104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6.0452863538035473E-2</v>
      </c>
      <c r="M98" s="845"/>
      <c r="N98" s="845"/>
      <c r="O98" s="48">
        <f>IF(t&lt;Tnet,'2025'!Resal+('2025'!Salim-'2025'!Resal)*(1-EXP(('2025'!Tnet-t)/('2025'!Tau_j))),Resal+(Salim-Resal)*(1-EXP((Tnet-t)/(Tau_j))))*Salcycl</f>
        <v>5.4352024522241978E-2</v>
      </c>
      <c r="P98" s="169">
        <f>(INDEX(Models!$BJ98:$BT98,,T98)*(1-R98)+INDEX(Models!$BJ98:$BT98,,T98+1)*R98-ERP_i)*Q98*Ramure*Pc/MaxiM</f>
        <v>3.1916665158441583E-7</v>
      </c>
      <c r="Q98" s="305">
        <f t="shared" si="28"/>
        <v>0.5</v>
      </c>
      <c r="R98" s="177">
        <f t="shared" si="29"/>
        <v>0.49200397941108087</v>
      </c>
      <c r="S98" s="811">
        <f t="shared" si="30"/>
        <v>-2</v>
      </c>
      <c r="T98" s="176">
        <f t="shared" si="31"/>
        <v>4</v>
      </c>
      <c r="U98" s="251">
        <f t="shared" si="32"/>
        <v>-1.5079960205889191</v>
      </c>
      <c r="V98" s="383">
        <f t="shared" si="33"/>
        <v>46.869898104972982</v>
      </c>
      <c r="W98" s="402">
        <f t="shared" si="34"/>
        <v>39.618119187623705</v>
      </c>
      <c r="X98" s="157">
        <f t="shared" si="35"/>
        <v>46106</v>
      </c>
      <c r="Y98" s="385">
        <f t="shared" si="36"/>
        <v>38.11658539410476</v>
      </c>
      <c r="Z98" s="385">
        <f t="shared" si="37"/>
        <v>40.569103895776522</v>
      </c>
      <c r="AA98" s="386">
        <f t="shared" si="38"/>
        <v>44.587008057331168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9.0113787325409145E-2</v>
      </c>
      <c r="AD98" s="231">
        <f>(INDEX(Models!$BJ98:$BT98,,AH98)*(1-AF98)+INDEX(Models!$BJ98:$BT98,,AH98+1)*AF98-ERP_i)*AE98*Ramure*Pc/MaxiM</f>
        <v>1.1102358249567008E-4</v>
      </c>
      <c r="AE98" s="305">
        <f t="shared" si="40"/>
        <v>0.5</v>
      </c>
      <c r="AF98" s="177">
        <f t="shared" si="41"/>
        <v>1.6991545785059792E-2</v>
      </c>
      <c r="AG98" s="811">
        <f t="shared" si="49"/>
        <v>2</v>
      </c>
      <c r="AH98" s="176">
        <f t="shared" si="42"/>
        <v>8</v>
      </c>
      <c r="AI98" s="225">
        <f t="shared" si="43"/>
        <v>2.0169915457850598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'2025'!Wh/'2025'!Env_an*'2026'!Env_an</f>
        <v>44.588129345329797</v>
      </c>
      <c r="C99" s="841"/>
      <c r="D99" s="393">
        <f t="shared" si="25"/>
        <v>47.458082975052911</v>
      </c>
      <c r="E99" s="385">
        <f t="shared" si="47"/>
        <v>50.188729720450453</v>
      </c>
      <c r="F99" s="385">
        <f t="shared" si="26"/>
        <v>50.18874275851131</v>
      </c>
      <c r="G99" s="110">
        <f t="shared" si="48"/>
        <v>0.94492626477697861</v>
      </c>
      <c r="H99" s="414" t="b">
        <f>Wh_hp&gt;='2025'!Maxi_hp</f>
        <v>0</v>
      </c>
      <c r="I99" s="390">
        <f>IF(H99,Wh_hp,'2025'!Maxi_hp)</f>
        <v>54.932815887950575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6.0473442031608204E-2</v>
      </c>
      <c r="M99" s="845"/>
      <c r="N99" s="845"/>
      <c r="O99" s="48">
        <f>IF(t&lt;Tnet,'2025'!Resal+('2025'!Salim-'2025'!Resal)*(1-EXP(('2025'!Tnet-t)/('2025'!Tau_j))),Resal+(Salim-Resal)*(1-EXP((Tnet-t)/(Tau_j))))*Salcycl</f>
        <v>5.4407568404443676E-2</v>
      </c>
      <c r="P99" s="169">
        <f>(INDEX(Models!$BJ99:$BT99,,T99)*(1-R99)+INDEX(Models!$BJ99:$BT99,,T99+1)*R99-ERP_i)*Q99*Ramure*Pc/MaxiM</f>
        <v>2.819646401784229E-7</v>
      </c>
      <c r="Q99" s="305">
        <f t="shared" si="28"/>
        <v>0.5</v>
      </c>
      <c r="R99" s="177">
        <f t="shared" si="29"/>
        <v>0.49281966541248456</v>
      </c>
      <c r="S99" s="811">
        <f t="shared" si="30"/>
        <v>-2</v>
      </c>
      <c r="T99" s="176">
        <f t="shared" si="31"/>
        <v>4</v>
      </c>
      <c r="U99" s="251">
        <f t="shared" si="32"/>
        <v>-1.5071803345875154</v>
      </c>
      <c r="V99" s="383">
        <f t="shared" si="33"/>
        <v>47.186886446327755</v>
      </c>
      <c r="W99" s="402">
        <f t="shared" si="34"/>
        <v>44.588129345329797</v>
      </c>
      <c r="X99" s="157">
        <f t="shared" si="35"/>
        <v>46107</v>
      </c>
      <c r="Y99" s="385">
        <f t="shared" si="36"/>
        <v>42.899455104699868</v>
      </c>
      <c r="Z99" s="385">
        <f t="shared" si="37"/>
        <v>45.660715751840534</v>
      </c>
      <c r="AA99" s="386">
        <f t="shared" si="38"/>
        <v>50.184316408023754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9.0139728504102179E-2</v>
      </c>
      <c r="AD99" s="231">
        <f>(INDEX(Models!$BJ99:$BT99,,AH99)*(1-AF99)+INDEX(Models!$BJ99:$BT99,,AH99+1)*AF99-ERP_i)*AE99*Ramure*Pc/MaxiM</f>
        <v>9.572545614858201E-5</v>
      </c>
      <c r="AE99" s="305">
        <f t="shared" si="40"/>
        <v>0.5</v>
      </c>
      <c r="AF99" s="177">
        <f t="shared" si="41"/>
        <v>1.7807231786463706E-2</v>
      </c>
      <c r="AG99" s="811">
        <f t="shared" si="49"/>
        <v>2</v>
      </c>
      <c r="AH99" s="176">
        <f t="shared" si="42"/>
        <v>8</v>
      </c>
      <c r="AI99" s="225">
        <f t="shared" si="43"/>
        <v>2.0178072317864637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'2025'!Wh/'2025'!Env_an*'2026'!Env_an</f>
        <v>43.431213522466166</v>
      </c>
      <c r="C100" s="841"/>
      <c r="D100" s="393">
        <f t="shared" si="25"/>
        <v>46.22771376708878</v>
      </c>
      <c r="E100" s="385">
        <f t="shared" si="47"/>
        <v>48.890457932938553</v>
      </c>
      <c r="F100" s="385">
        <f t="shared" si="26"/>
        <v>48.890468585225044</v>
      </c>
      <c r="G100" s="110">
        <f t="shared" si="48"/>
        <v>0.91432803972023702</v>
      </c>
      <c r="H100" s="414" t="b">
        <f>Wh_hp&gt;='2025'!Maxi_hp</f>
        <v>0</v>
      </c>
      <c r="I100" s="390">
        <f>IF(H100,Wh_hp,'2025'!Maxi_hp)</f>
        <v>54.175577399192605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6.0494020074459032E-2</v>
      </c>
      <c r="M100" s="845"/>
      <c r="N100" s="845"/>
      <c r="O100" s="48">
        <f>IF(t&lt;Tnet,'2025'!Resal+('2025'!Salim-'2025'!Resal)*(1-EXP(('2025'!Tnet-t)/('2025'!Tau_j))),Resal+(Salim-Resal)*(1-EXP((Tnet-t)/(Tau_j))))*Salcycl</f>
        <v>5.4463473618966085E-2</v>
      </c>
      <c r="P100" s="169">
        <f>(INDEX(Models!$BJ100:$BT100,,T100)*(1-R100)+INDEX(Models!$BJ100:$BT100,,T100+1)*R100-ERP_i)*Q100*Ramure*Pc/MaxiM</f>
        <v>2.4826547045549315E-7</v>
      </c>
      <c r="Q100" s="305">
        <f t="shared" si="28"/>
        <v>0.5</v>
      </c>
      <c r="R100" s="177">
        <f t="shared" si="29"/>
        <v>0.49366663058044913</v>
      </c>
      <c r="S100" s="811">
        <f t="shared" si="30"/>
        <v>-2</v>
      </c>
      <c r="T100" s="176">
        <f t="shared" si="31"/>
        <v>4</v>
      </c>
      <c r="U100" s="251">
        <f t="shared" si="32"/>
        <v>-1.5063333694195509</v>
      </c>
      <c r="V100" s="383">
        <f t="shared" si="33"/>
        <v>47.500689376325667</v>
      </c>
      <c r="W100" s="402">
        <f t="shared" si="34"/>
        <v>43.431213522466166</v>
      </c>
      <c r="X100" s="157">
        <f t="shared" si="35"/>
        <v>46108</v>
      </c>
      <c r="Y100" s="385">
        <f t="shared" si="36"/>
        <v>41.788256636267207</v>
      </c>
      <c r="Z100" s="385">
        <f t="shared" si="37"/>
        <v>44.47896823347422</v>
      </c>
      <c r="AA100" s="386">
        <f t="shared" si="38"/>
        <v>48.886921929203098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9.0166316916257719E-2</v>
      </c>
      <c r="AD100" s="231">
        <f>(INDEX(Models!$BJ100:$BT100,,AH100)*(1-AF100)+INDEX(Models!$BJ100:$BT100,,AH100+1)*AF100-ERP_i)*AE100*Ramure*Pc/MaxiM</f>
        <v>8.265945779195694E-5</v>
      </c>
      <c r="AE100" s="305">
        <f t="shared" si="40"/>
        <v>0.5</v>
      </c>
      <c r="AF100" s="177">
        <f t="shared" si="41"/>
        <v>1.8654196954428048E-2</v>
      </c>
      <c r="AG100" s="811">
        <f t="shared" si="49"/>
        <v>2</v>
      </c>
      <c r="AH100" s="176">
        <f t="shared" si="42"/>
        <v>8</v>
      </c>
      <c r="AI100" s="225">
        <f t="shared" si="43"/>
        <v>2.018654196954428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'2025'!Wh/'2025'!Env_an*'2026'!Env_an</f>
        <v>34.004498581486274</v>
      </c>
      <c r="C101" s="841"/>
      <c r="D101" s="393">
        <f t="shared" si="25"/>
        <v>36.194813136030874</v>
      </c>
      <c r="E101" s="385">
        <f t="shared" si="47"/>
        <v>38.281935130098297</v>
      </c>
      <c r="F101" s="385">
        <f t="shared" si="26"/>
        <v>38.281940070600946</v>
      </c>
      <c r="G101" s="110">
        <f t="shared" si="48"/>
        <v>0.71123708061571056</v>
      </c>
      <c r="H101" s="414" t="b">
        <f>Wh_hp&gt;='2025'!Maxi_hp</f>
        <v>0</v>
      </c>
      <c r="I101" s="390">
        <f>IF(H101,Wh_hp,'2025'!Maxi_hp)</f>
        <v>52.923988977147388</v>
      </c>
      <c r="J101" s="85">
        <f>IF(H101,An,'2025'!An_max)</f>
        <v>2019</v>
      </c>
      <c r="K101" s="197">
        <f t="shared" si="27"/>
        <v>46109</v>
      </c>
      <c r="L101" s="147">
        <f>IF(t&lt;Tvie,1-EXP((T0-t)*PertePVj)+'2025'!Pspv,1-EXP((T0-t)*PertePVj)+Pspv)</f>
        <v>6.0514597666597947E-2</v>
      </c>
      <c r="M101" s="845"/>
      <c r="N101" s="845"/>
      <c r="O101" s="48">
        <f>IF(t&lt;Tnet,'2025'!Resal+('2025'!Salim-'2025'!Resal)*(1-EXP(('2025'!Tnet-t)/('2025'!Tau_j))),Resal+(Salim-Resal)*(1-EXP((Tnet-t)/(Tau_j))))*Salcycl</f>
        <v>5.4519762048979382E-2</v>
      </c>
      <c r="P101" s="169">
        <f>(INDEX(Models!$BJ101:$BT101,,T101)*(1-R101)+INDEX(Models!$BJ101:$BT101,,T101+1)*R101-ERP_i)*Q101*Ramure*Pc/MaxiM</f>
        <v>2.1967614642874512E-7</v>
      </c>
      <c r="Q101" s="305">
        <f t="shared" si="28"/>
        <v>0.5</v>
      </c>
      <c r="R101" s="177">
        <f t="shared" si="29"/>
        <v>0.49454595213011343</v>
      </c>
      <c r="S101" s="811">
        <f t="shared" si="30"/>
        <v>-2</v>
      </c>
      <c r="T101" s="176">
        <f t="shared" si="31"/>
        <v>4</v>
      </c>
      <c r="U101" s="251">
        <f t="shared" si="32"/>
        <v>-1.5054540478698866</v>
      </c>
      <c r="V101" s="383">
        <f t="shared" si="33"/>
        <v>47.810352450333099</v>
      </c>
      <c r="W101" s="402">
        <f t="shared" si="34"/>
        <v>34.004498581486274</v>
      </c>
      <c r="X101" s="157">
        <f t="shared" si="35"/>
        <v>46109</v>
      </c>
      <c r="Y101" s="385">
        <f t="shared" si="36"/>
        <v>32.720120140891616</v>
      </c>
      <c r="Z101" s="385">
        <f t="shared" si="37"/>
        <v>34.827704677075957</v>
      </c>
      <c r="AA101" s="386">
        <f t="shared" si="38"/>
        <v>38.280346445149696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9.0193587276460194E-2</v>
      </c>
      <c r="AD101" s="231">
        <f>(INDEX(Models!$BJ101:$BT101,,AH101)*(1-AF101)+INDEX(Models!$BJ101:$BT101,,AH101+1)*AF101-ERP_i)*AE101*Ramure*Pc/MaxiM</f>
        <v>7.08594900560648E-5</v>
      </c>
      <c r="AE101" s="305">
        <f t="shared" si="40"/>
        <v>0.5</v>
      </c>
      <c r="AF101" s="177">
        <f t="shared" si="41"/>
        <v>1.9533518504092129E-2</v>
      </c>
      <c r="AG101" s="811">
        <f t="shared" si="49"/>
        <v>2</v>
      </c>
      <c r="AH101" s="176">
        <f t="shared" si="42"/>
        <v>8</v>
      </c>
      <c r="AI101" s="225">
        <f t="shared" si="43"/>
        <v>2.0195335185040921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'2025'!Wh/'2025'!Env_an*'2026'!Env_an</f>
        <v>26.782085985992929</v>
      </c>
      <c r="C102" s="841"/>
      <c r="D102" s="393">
        <f t="shared" si="25"/>
        <v>28.507811328136121</v>
      </c>
      <c r="E102" s="385">
        <f t="shared" si="47"/>
        <v>30.15348146650437</v>
      </c>
      <c r="F102" s="385">
        <f t="shared" si="26"/>
        <v>30.153483634577718</v>
      </c>
      <c r="G102" s="110">
        <f t="shared" si="48"/>
        <v>0.55662737813592467</v>
      </c>
      <c r="H102" s="414" t="b">
        <f>Wh_hp&gt;='2025'!Maxi_hp</f>
        <v>0</v>
      </c>
      <c r="I102" s="390">
        <f>IF(H102,Wh_hp,'2025'!Maxi_hp)</f>
        <v>54.418783965233558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6.053517480803472E-2</v>
      </c>
      <c r="M102" s="845"/>
      <c r="N102" s="845"/>
      <c r="O102" s="48">
        <f>IF(t&lt;Tnet,'2025'!Resal+('2025'!Salim-'2025'!Resal)*(1-EXP(('2025'!Tnet-t)/('2025'!Tau_j))),Resal+(Salim-Resal)*(1-EXP((Tnet-t)/(Tau_j))))*Salcycl</f>
        <v>5.4576455464896222E-2</v>
      </c>
      <c r="P102" s="169">
        <f>(INDEX(Models!$BJ102:$BT102,,T102)*(1-R102)+INDEX(Models!$BJ102:$BT102,,T102+1)*R102-ERP_i)*Q102*Ramure*Pc/MaxiM</f>
        <v>1.9612430319019217E-7</v>
      </c>
      <c r="Q102" s="305">
        <f t="shared" si="28"/>
        <v>0.5</v>
      </c>
      <c r="R102" s="177">
        <f t="shared" si="29"/>
        <v>0.49545873441449984</v>
      </c>
      <c r="S102" s="811">
        <f t="shared" si="30"/>
        <v>-2</v>
      </c>
      <c r="T102" s="176">
        <f t="shared" si="31"/>
        <v>4</v>
      </c>
      <c r="U102" s="251">
        <f t="shared" si="32"/>
        <v>-1.5045412655855002</v>
      </c>
      <c r="V102" s="383">
        <f t="shared" si="33"/>
        <v>48.11492159931155</v>
      </c>
      <c r="W102" s="402">
        <f t="shared" si="34"/>
        <v>26.782085985992929</v>
      </c>
      <c r="X102" s="157">
        <f t="shared" si="35"/>
        <v>46110</v>
      </c>
      <c r="Y102" s="385">
        <f t="shared" si="36"/>
        <v>25.771758348002347</v>
      </c>
      <c r="Z102" s="385">
        <f t="shared" si="37"/>
        <v>27.432382412759608</v>
      </c>
      <c r="AA102" s="386">
        <f t="shared" si="38"/>
        <v>30.152817025833581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9.0221574015562953E-2</v>
      </c>
      <c r="AD102" s="231">
        <f>(INDEX(Models!$BJ102:$BT102,,AH102)*(1-AF102)+INDEX(Models!$BJ102:$BT102,,AH102+1)*AF102-ERP_i)*AE102*Ramure*Pc/MaxiM</f>
        <v>6.0301546291092648E-5</v>
      </c>
      <c r="AE102" s="305">
        <f t="shared" si="40"/>
        <v>0.5</v>
      </c>
      <c r="AF102" s="177">
        <f t="shared" si="41"/>
        <v>2.0446300788478755E-2</v>
      </c>
      <c r="AG102" s="811">
        <f t="shared" si="49"/>
        <v>2</v>
      </c>
      <c r="AH102" s="176">
        <f t="shared" si="42"/>
        <v>8</v>
      </c>
      <c r="AI102" s="225">
        <f t="shared" si="43"/>
        <v>2.0204463007884788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'2025'!Wh/'2025'!Env_an*'2026'!Env_an</f>
        <v>7.5317465374597559</v>
      </c>
      <c r="C103" s="841"/>
      <c r="D103" s="393">
        <f t="shared" si="25"/>
        <v>8.0172363069717267</v>
      </c>
      <c r="E103" s="385">
        <f t="shared" si="47"/>
        <v>8.4805595999109169</v>
      </c>
      <c r="F103" s="385">
        <f t="shared" si="26"/>
        <v>8.4805595999109169</v>
      </c>
      <c r="G103" s="110">
        <f t="shared" si="48"/>
        <v>0.15557136043651876</v>
      </c>
      <c r="H103" s="414" t="b">
        <f>Wh_hp&gt;='2025'!Maxi_hp</f>
        <v>0</v>
      </c>
      <c r="I103" s="390">
        <f>IF(H103,Wh_hp,'2025'!Maxi_hp)</f>
        <v>55.483183570295765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6.0555751498779342E-2</v>
      </c>
      <c r="M103" s="845"/>
      <c r="N103" s="845"/>
      <c r="O103" s="48">
        <f>IF(t&lt;Tnet,'2025'!Resal+('2025'!Salim-'2025'!Resal)*(1-EXP(('2025'!Tnet-t)/('2025'!Tau_j))),Resal+(Salim-Resal)*(1-EXP((Tnet-t)/(Tau_j))))*Salcycl</f>
        <v>5.4633575471134878E-2</v>
      </c>
      <c r="P103" s="169">
        <f>(INDEX(Models!$BJ103:$BT103,,T103)*(1-R103)+INDEX(Models!$BJ103:$BT103,,T103+1)*R103-ERP_i)*Q103*Ramure*Pc/MaxiM</f>
        <v>1.7754475733986462E-7</v>
      </c>
      <c r="Q103" s="305">
        <f t="shared" si="28"/>
        <v>0.5</v>
      </c>
      <c r="R103" s="177">
        <f t="shared" si="29"/>
        <v>0.49640610876611801</v>
      </c>
      <c r="S103" s="811">
        <f t="shared" si="30"/>
        <v>-2</v>
      </c>
      <c r="T103" s="176">
        <f t="shared" si="31"/>
        <v>4</v>
      </c>
      <c r="U103" s="251">
        <f t="shared" si="32"/>
        <v>-1.503593891233882</v>
      </c>
      <c r="V103" s="383">
        <f t="shared" si="33"/>
        <v>48.41344305985541</v>
      </c>
      <c r="W103" s="402">
        <f t="shared" si="34"/>
        <v>7.5317465374597559</v>
      </c>
      <c r="X103" s="157">
        <f t="shared" si="35"/>
        <v>46111</v>
      </c>
      <c r="Y103" s="385">
        <f t="shared" si="36"/>
        <v>7.2479875430669249</v>
      </c>
      <c r="Z103" s="385">
        <f t="shared" si="37"/>
        <v>7.7151864569188504</v>
      </c>
      <c r="AA103" s="386">
        <f t="shared" si="38"/>
        <v>8.4805595999109169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9.0250311194099375E-2</v>
      </c>
      <c r="AD103" s="231">
        <f>(INDEX(Models!$BJ103:$BT103,,AH103)*(1-AF103)+INDEX(Models!$BJ103:$BT103,,AH103+1)*AF103-ERP_i)*AE103*Ramure*Pc/MaxiM</f>
        <v>5.0962767742405394E-5</v>
      </c>
      <c r="AE103" s="305">
        <f t="shared" si="40"/>
        <v>0.5</v>
      </c>
      <c r="AF103" s="177">
        <f t="shared" si="41"/>
        <v>2.1393675140096935E-2</v>
      </c>
      <c r="AG103" s="811">
        <f t="shared" si="49"/>
        <v>2</v>
      </c>
      <c r="AH103" s="176">
        <f t="shared" si="42"/>
        <v>8</v>
      </c>
      <c r="AI103" s="225">
        <f t="shared" si="43"/>
        <v>2.0213936751400969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'2025'!Wh/'2025'!Env_an*'2026'!Env_an</f>
        <v>27.447257867030714</v>
      </c>
      <c r="C104" s="841"/>
      <c r="D104" s="393">
        <f t="shared" si="25"/>
        <v>29.217123942561688</v>
      </c>
      <c r="E104" s="385">
        <f t="shared" si="47"/>
        <v>30.907489906894114</v>
      </c>
      <c r="F104" s="385">
        <f t="shared" si="26"/>
        <v>30.907491813854932</v>
      </c>
      <c r="G104" s="110">
        <f t="shared" si="48"/>
        <v>0.56354123191340566</v>
      </c>
      <c r="H104" s="414" t="b">
        <f>Wh_hp&gt;='2025'!Maxi_hp</f>
        <v>0</v>
      </c>
      <c r="I104" s="390">
        <f>IF(H104,Wh_hp,'2025'!Maxi_hp)</f>
        <v>49.250450204262727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6.0576327738841695E-2</v>
      </c>
      <c r="M104" s="845"/>
      <c r="N104" s="845"/>
      <c r="O104" s="48">
        <f>IF(t&lt;Tnet,'2025'!Resal+('2025'!Salim-'2025'!Resal)*(1-EXP(('2025'!Tnet-t)/('2025'!Tau_j))),Resal+(Salim-Resal)*(1-EXP((Tnet-t)/(Tau_j))))*Salcycl</f>
        <v>5.4691143455016716E-2</v>
      </c>
      <c r="P104" s="169">
        <f>(INDEX(Models!$BJ104:$BT104,,T104)*(1-R104)+INDEX(Models!$BJ104:$BT104,,T104+1)*R104-ERP_i)*Q104*Ramure*Pc/MaxiM</f>
        <v>1.6388053778373449E-7</v>
      </c>
      <c r="Q104" s="305">
        <f t="shared" si="28"/>
        <v>0.5</v>
      </c>
      <c r="R104" s="177">
        <f t="shared" si="29"/>
        <v>0.49738923324978246</v>
      </c>
      <c r="S104" s="811">
        <f t="shared" si="30"/>
        <v>-2</v>
      </c>
      <c r="T104" s="176">
        <f t="shared" si="31"/>
        <v>4</v>
      </c>
      <c r="U104" s="251">
        <f t="shared" si="32"/>
        <v>-1.5026107667502175</v>
      </c>
      <c r="V104" s="383">
        <f t="shared" si="33"/>
        <v>48.704963378162603</v>
      </c>
      <c r="W104" s="402">
        <f t="shared" si="34"/>
        <v>27.447257867030714</v>
      </c>
      <c r="X104" s="157">
        <f t="shared" si="35"/>
        <v>46112</v>
      </c>
      <c r="Y104" s="385">
        <f t="shared" si="36"/>
        <v>26.413507969213956</v>
      </c>
      <c r="Z104" s="385">
        <f t="shared" si="37"/>
        <v>28.116715332111667</v>
      </c>
      <c r="AA104" s="386">
        <f t="shared" si="38"/>
        <v>30.906993528453786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9.0279832419588618E-2</v>
      </c>
      <c r="AD104" s="231">
        <f>(INDEX(Models!$BJ104:$BT104,,AH104)*(1-AF104)+INDEX(Models!$BJ104:$BT104,,AH104+1)*AF104-ERP_i)*AE104*Ramure*Pc/MaxiM</f>
        <v>4.2821687110972092E-5</v>
      </c>
      <c r="AE104" s="305">
        <f t="shared" si="40"/>
        <v>0.5</v>
      </c>
      <c r="AF104" s="177">
        <f t="shared" si="41"/>
        <v>2.2376799623761379E-2</v>
      </c>
      <c r="AG104" s="811">
        <f t="shared" si="49"/>
        <v>2</v>
      </c>
      <c r="AH104" s="176">
        <f t="shared" si="42"/>
        <v>8</v>
      </c>
      <c r="AI104" s="225">
        <f t="shared" si="43"/>
        <v>2.0223767996237614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'2025'!Wh/'2025'!Env_an*'2026'!Env_an</f>
        <v>30.036857555112345</v>
      </c>
      <c r="C105" s="841"/>
      <c r="D105" s="393">
        <f t="shared" si="25"/>
        <v>31.974407650906681</v>
      </c>
      <c r="E105" s="385">
        <f t="shared" si="47"/>
        <v>33.826373902640981</v>
      </c>
      <c r="F105" s="385">
        <f t="shared" si="26"/>
        <v>33.826376249372977</v>
      </c>
      <c r="G105" s="110">
        <f t="shared" si="48"/>
        <v>0.61314057260441679</v>
      </c>
      <c r="H105" s="414" t="b">
        <f>Wh_hp&gt;='2025'!Maxi_hp</f>
        <v>0</v>
      </c>
      <c r="I105" s="390">
        <f>IF(H105,Wh_hp,'2025'!Maxi_hp)</f>
        <v>50.405835504746996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6.0596903528231438E-2</v>
      </c>
      <c r="M105" s="845"/>
      <c r="N105" s="845"/>
      <c r="O105" s="48">
        <f>IF(t&lt;Tnet,'2025'!Resal+('2025'!Salim-'2025'!Resal)*(1-EXP(('2025'!Tnet-t)/('2025'!Tau_j))),Resal+(Salim-Resal)*(1-EXP((Tnet-t)/(Tau_j))))*Salcycl</f>
        <v>5.4749180537784763E-2</v>
      </c>
      <c r="P105" s="169">
        <f>(INDEX(Models!$BJ105:$BT105,,T105)*(1-R105)+INDEX(Models!$BJ105:$BT105,,T105+1)*R105-ERP_i)*Q105*Ramure*Pc/MaxiM</f>
        <v>1.5508387535719804E-7</v>
      </c>
      <c r="Q105" s="305">
        <f t="shared" si="28"/>
        <v>0.5</v>
      </c>
      <c r="R105" s="177">
        <f t="shared" si="29"/>
        <v>0.49840929231906772</v>
      </c>
      <c r="S105" s="811">
        <f t="shared" si="30"/>
        <v>-2</v>
      </c>
      <c r="T105" s="176">
        <f t="shared" si="31"/>
        <v>4</v>
      </c>
      <c r="U105" s="251">
        <f t="shared" si="32"/>
        <v>-1.5015907076809323</v>
      </c>
      <c r="V105" s="383">
        <f t="shared" si="33"/>
        <v>48.988529421767737</v>
      </c>
      <c r="W105" s="402">
        <f t="shared" si="34"/>
        <v>30.036857555112345</v>
      </c>
      <c r="X105" s="157">
        <f t="shared" si="35"/>
        <v>46113</v>
      </c>
      <c r="Y105" s="385">
        <f t="shared" si="36"/>
        <v>28.906388488204531</v>
      </c>
      <c r="Z105" s="385">
        <f t="shared" si="37"/>
        <v>30.771016826292993</v>
      </c>
      <c r="AA105" s="386">
        <f t="shared" si="38"/>
        <v>33.825833638550044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9.0310170767693598E-2</v>
      </c>
      <c r="AD105" s="231">
        <f>(INDEX(Models!$BJ105:$BT105,,AH105)*(1-AF105)+INDEX(Models!$BJ105:$BT105,,AH105+1)*AF105-ERP_i)*AE105*Ramure*Pc/MaxiM</f>
        <v>3.5858457388102919E-5</v>
      </c>
      <c r="AE105" s="305">
        <f t="shared" si="40"/>
        <v>0.5</v>
      </c>
      <c r="AF105" s="177">
        <f t="shared" si="41"/>
        <v>2.3396858693046418E-2</v>
      </c>
      <c r="AG105" s="811">
        <f t="shared" si="49"/>
        <v>2</v>
      </c>
      <c r="AH105" s="176">
        <f t="shared" si="42"/>
        <v>8</v>
      </c>
      <c r="AI105" s="225">
        <f t="shared" si="43"/>
        <v>2.0233968586930464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'2025'!Wh/'2025'!Env_an*'2026'!Env_an</f>
        <v>20.477071555573406</v>
      </c>
      <c r="C106" s="841"/>
      <c r="D106" s="393">
        <f t="shared" si="25"/>
        <v>21.798437904587448</v>
      </c>
      <c r="E106" s="385">
        <f t="shared" si="47"/>
        <v>23.062437218536544</v>
      </c>
      <c r="F106" s="385">
        <f t="shared" si="26"/>
        <v>23.062437794413441</v>
      </c>
      <c r="G106" s="110">
        <f t="shared" si="48"/>
        <v>0.41566674104786477</v>
      </c>
      <c r="H106" s="414" t="b">
        <f>Wh_hp&gt;='2025'!Maxi_hp</f>
        <v>0</v>
      </c>
      <c r="I106" s="390">
        <f>IF(H106,Wh_hp,'2025'!Maxi_hp)</f>
        <v>45.758995612636852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6.0617478866958674E-2</v>
      </c>
      <c r="M106" s="845"/>
      <c r="N106" s="845"/>
      <c r="O106" s="48">
        <f>IF(t&lt;Tnet,'2025'!Resal+('2025'!Salim-'2025'!Resal)*(1-EXP(('2025'!Tnet-t)/('2025'!Tau_j))),Resal+(Salim-Resal)*(1-EXP((Tnet-t)/(Tau_j))))*Salcycl</f>
        <v>5.4807707527682728E-2</v>
      </c>
      <c r="P106" s="169">
        <f>(INDEX(Models!$BJ106:$BT106,,T106)*(1-R106)+INDEX(Models!$BJ106:$BT106,,T106+1)*R106-ERP_i)*Q106*Ramure*Pc/MaxiM</f>
        <v>1.5111716092327135E-7</v>
      </c>
      <c r="Q106" s="305">
        <f t="shared" si="28"/>
        <v>0.5</v>
      </c>
      <c r="R106" s="177">
        <f t="shared" si="29"/>
        <v>0.49946749636850707</v>
      </c>
      <c r="S106" s="811">
        <f t="shared" si="30"/>
        <v>-2</v>
      </c>
      <c r="T106" s="176">
        <f t="shared" si="31"/>
        <v>4</v>
      </c>
      <c r="U106" s="251">
        <f t="shared" si="32"/>
        <v>-1.5005325036314929</v>
      </c>
      <c r="V106" s="383">
        <f t="shared" si="33"/>
        <v>49.263188391822474</v>
      </c>
      <c r="W106" s="402">
        <f t="shared" si="34"/>
        <v>20.477071555573406</v>
      </c>
      <c r="X106" s="157">
        <f t="shared" si="35"/>
        <v>46114</v>
      </c>
      <c r="Y106" s="385">
        <f t="shared" si="36"/>
        <v>19.70715715242077</v>
      </c>
      <c r="Z106" s="385">
        <f t="shared" si="37"/>
        <v>20.978841642327851</v>
      </c>
      <c r="AA106" s="386">
        <f t="shared" si="38"/>
        <v>23.062323260636315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9.0341358707109728E-2</v>
      </c>
      <c r="AD106" s="231">
        <f>(INDEX(Models!$BJ106:$BT106,,AH106)*(1-AF106)+INDEX(Models!$BJ106:$BT106,,AH106+1)*AF106-ERP_i)*AE106*Ramure*Pc/MaxiM</f>
        <v>3.0055068001780377E-5</v>
      </c>
      <c r="AE106" s="305">
        <f t="shared" si="40"/>
        <v>0.5</v>
      </c>
      <c r="AF106" s="177">
        <f t="shared" si="41"/>
        <v>2.4455062742485989E-2</v>
      </c>
      <c r="AG106" s="811">
        <f t="shared" si="49"/>
        <v>2</v>
      </c>
      <c r="AH106" s="176">
        <f t="shared" si="42"/>
        <v>8</v>
      </c>
      <c r="AI106" s="225">
        <f t="shared" si="43"/>
        <v>2.024455062742486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'2025'!Wh/'2025'!Env_an*'2026'!Env_an</f>
        <v>22.184382396660958</v>
      </c>
      <c r="C107" s="841"/>
      <c r="D107" s="393">
        <f t="shared" si="25"/>
        <v>23.616437184134895</v>
      </c>
      <c r="E107" s="385">
        <f t="shared" si="47"/>
        <v>24.987415325906838</v>
      </c>
      <c r="F107" s="385">
        <f t="shared" si="26"/>
        <v>24.987416128063224</v>
      </c>
      <c r="G107" s="110">
        <f t="shared" si="48"/>
        <v>0.44789261399894681</v>
      </c>
      <c r="H107" s="414" t="b">
        <f>Wh_hp&gt;='2025'!Maxi_hp</f>
        <v>0</v>
      </c>
      <c r="I107" s="390">
        <f>IF(H107,Wh_hp,'2025'!Maxi_hp)</f>
        <v>53.35954700357199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6.0638053755033172E-2</v>
      </c>
      <c r="M107" s="845"/>
      <c r="N107" s="845"/>
      <c r="O107" s="48">
        <f>IF(t&lt;Tnet,'2025'!Resal+('2025'!Salim-'2025'!Resal)*(1-EXP(('2025'!Tnet-t)/('2025'!Tau_j))),Resal+(Salim-Resal)*(1-EXP((Tnet-t)/(Tau_j))))*Salcycl</f>
        <v>5.4866744874989833E-2</v>
      </c>
      <c r="P107" s="169">
        <f>(INDEX(Models!$BJ107:$BT107,,T107)*(1-R107)+INDEX(Models!$BJ107:$BT107,,T107+1)*R107-ERP_i)*Q107*Ramure*Pc/MaxiM</f>
        <v>1.5194593791621618E-7</v>
      </c>
      <c r="Q107" s="305">
        <f t="shared" si="28"/>
        <v>0.5</v>
      </c>
      <c r="R107" s="177">
        <f t="shared" si="29"/>
        <v>0.50056508117332044</v>
      </c>
      <c r="S107" s="811">
        <f t="shared" si="30"/>
        <v>-2</v>
      </c>
      <c r="T107" s="176">
        <f t="shared" si="31"/>
        <v>4</v>
      </c>
      <c r="U107" s="251">
        <f t="shared" si="32"/>
        <v>-1.4994349188266796</v>
      </c>
      <c r="V107" s="383">
        <f t="shared" si="33"/>
        <v>49.530577296053572</v>
      </c>
      <c r="W107" s="402">
        <f t="shared" si="34"/>
        <v>22.184382396660958</v>
      </c>
      <c r="X107" s="157">
        <f t="shared" si="35"/>
        <v>46115</v>
      </c>
      <c r="Y107" s="385">
        <f t="shared" si="36"/>
        <v>21.350847600269173</v>
      </c>
      <c r="Z107" s="385">
        <f t="shared" si="37"/>
        <v>22.729095728880313</v>
      </c>
      <c r="AA107" s="386">
        <f t="shared" si="38"/>
        <v>24.987282066315608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9.0373428027991379E-2</v>
      </c>
      <c r="AD107" s="231">
        <f>(INDEX(Models!$BJ107:$BT107,,AH107)*(1-AF107)+INDEX(Models!$BJ107:$BT107,,AH107+1)*AF107-ERP_i)*AE107*Ramure*Pc/MaxiM</f>
        <v>2.5394222726230337E-5</v>
      </c>
      <c r="AE107" s="305">
        <f t="shared" si="40"/>
        <v>0.5</v>
      </c>
      <c r="AF107" s="177">
        <f t="shared" si="41"/>
        <v>2.5552647547299578E-2</v>
      </c>
      <c r="AG107" s="811">
        <f t="shared" si="49"/>
        <v>2</v>
      </c>
      <c r="AH107" s="176">
        <f t="shared" si="42"/>
        <v>8</v>
      </c>
      <c r="AI107" s="225">
        <f t="shared" si="43"/>
        <v>2.0255526475472996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'2025'!Wh/'2025'!Env_an*'2026'!Env_an</f>
        <v>46.654494956286989</v>
      </c>
      <c r="C108" s="841"/>
      <c r="D108" s="393">
        <f t="shared" si="25"/>
        <v>49.667241704165228</v>
      </c>
      <c r="E108" s="385">
        <f t="shared" si="47"/>
        <v>52.553829788999991</v>
      </c>
      <c r="F108" s="385">
        <f t="shared" si="26"/>
        <v>52.553837581250356</v>
      </c>
      <c r="G108" s="110">
        <f t="shared" si="48"/>
        <v>0.93697073945593412</v>
      </c>
      <c r="H108" s="414" t="b">
        <f>Wh_hp&gt;='2025'!Maxi_hp</f>
        <v>0</v>
      </c>
      <c r="I108" s="390">
        <f>IF(H108,Wh_hp,'2025'!Maxi_hp)</f>
        <v>56.536713073450201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6.0658628192464814E-2</v>
      </c>
      <c r="M108" s="845"/>
      <c r="N108" s="845"/>
      <c r="O108" s="48">
        <f>IF(t&lt;Tnet,'2025'!Resal+('2025'!Salim-'2025'!Resal)*(1-EXP(('2025'!Tnet-t)/('2025'!Tau_j))),Resal+(Salim-Resal)*(1-EXP((Tnet-t)/(Tau_j))))*Salcycl</f>
        <v>5.4926312628864812E-2</v>
      </c>
      <c r="P108" s="169">
        <f>(INDEX(Models!$BJ108:$BT108,,T108)*(1-R108)+INDEX(Models!$BJ108:$BT108,,T108+1)*R108-ERP_i)*Q108*Ramure*Pc/MaxiM</f>
        <v>1.629434890305244E-7</v>
      </c>
      <c r="Q108" s="305">
        <f t="shared" si="28"/>
        <v>0.5</v>
      </c>
      <c r="R108" s="177">
        <f t="shared" si="29"/>
        <v>0.50170330720817313</v>
      </c>
      <c r="S108" s="811">
        <f t="shared" si="30"/>
        <v>-2</v>
      </c>
      <c r="T108" s="176">
        <f t="shared" si="31"/>
        <v>4</v>
      </c>
      <c r="U108" s="251">
        <f t="shared" si="32"/>
        <v>-1.4982966927918269</v>
      </c>
      <c r="V108" s="383">
        <f t="shared" si="33"/>
        <v>49.792904204111785</v>
      </c>
      <c r="W108" s="402">
        <f t="shared" si="34"/>
        <v>46.654494956286989</v>
      </c>
      <c r="X108" s="157">
        <f t="shared" si="35"/>
        <v>46116</v>
      </c>
      <c r="Y108" s="385">
        <f t="shared" si="36"/>
        <v>44.902090009347049</v>
      </c>
      <c r="Z108" s="385">
        <f t="shared" si="37"/>
        <v>47.801673978166043</v>
      </c>
      <c r="AA108" s="386">
        <f t="shared" si="38"/>
        <v>52.552782354448027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9.0406409773656021E-2</v>
      </c>
      <c r="AD108" s="231">
        <f>(INDEX(Models!$BJ108:$BT108,,AH108)*(1-AF108)+INDEX(Models!$BJ108:$BT108,,AH108+1)*AF108-ERP_i)*AE108*Ramure*Pc/MaxiM</f>
        <v>2.2065812681426199E-5</v>
      </c>
      <c r="AE108" s="305">
        <f t="shared" si="40"/>
        <v>0.5</v>
      </c>
      <c r="AF108" s="177">
        <f t="shared" si="41"/>
        <v>2.6690873582152275E-2</v>
      </c>
      <c r="AG108" s="811">
        <f t="shared" si="49"/>
        <v>2</v>
      </c>
      <c r="AH108" s="176">
        <f t="shared" si="42"/>
        <v>8</v>
      </c>
      <c r="AI108" s="225">
        <f t="shared" si="43"/>
        <v>2.0266908735821523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'2025'!Wh/'2025'!Env_an*'2026'!Env_an</f>
        <v>49.589981064726473</v>
      </c>
      <c r="C109" s="841"/>
      <c r="D109" s="393">
        <f t="shared" si="25"/>
        <v>52.793445199741448</v>
      </c>
      <c r="E109" s="385">
        <f t="shared" si="47"/>
        <v>55.865277386285385</v>
      </c>
      <c r="F109" s="385">
        <f t="shared" si="26"/>
        <v>55.865287428981624</v>
      </c>
      <c r="G109" s="110">
        <f t="shared" si="48"/>
        <v>0.99080735125642738</v>
      </c>
      <c r="H109" s="414" t="b">
        <f>Wh_hp&gt;='2025'!Maxi_hp</f>
        <v>0</v>
      </c>
      <c r="I109" s="390">
        <f>IF(H109,Wh_hp,'2025'!Maxi_hp)</f>
        <v>58.623693621493487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6.0679202179263481E-2</v>
      </c>
      <c r="M109" s="845"/>
      <c r="N109" s="845"/>
      <c r="O109" s="48">
        <f>IF(t&lt;Tnet,'2025'!Resal+('2025'!Salim-'2025'!Resal)*(1-EXP(('2025'!Tnet-t)/('2025'!Tau_j))),Resal+(Salim-Resal)*(1-EXP((Tnet-t)/(Tau_j))))*Salcycl</f>
        <v>5.4986430395816091E-2</v>
      </c>
      <c r="P109" s="169">
        <f>(INDEX(Models!$BJ109:$BT109,,T109)*(1-R109)+INDEX(Models!$BJ109:$BT109,,T109+1)*R109-ERP_i)*Q109*Ramure*Pc/MaxiM</f>
        <v>1.8215847314855055E-7</v>
      </c>
      <c r="Q109" s="305">
        <f t="shared" si="28"/>
        <v>0.5</v>
      </c>
      <c r="R109" s="177">
        <f t="shared" si="29"/>
        <v>0.5028834588361919</v>
      </c>
      <c r="S109" s="811">
        <f t="shared" si="30"/>
        <v>-2</v>
      </c>
      <c r="T109" s="176">
        <f t="shared" si="31"/>
        <v>4</v>
      </c>
      <c r="U109" s="251">
        <f t="shared" si="32"/>
        <v>-1.4971165411638081</v>
      </c>
      <c r="V109" s="383">
        <f t="shared" si="33"/>
        <v>50.050073693149869</v>
      </c>
      <c r="W109" s="402">
        <f t="shared" si="34"/>
        <v>49.589981064726473</v>
      </c>
      <c r="X109" s="157">
        <f t="shared" si="35"/>
        <v>46117</v>
      </c>
      <c r="Y109" s="385">
        <f t="shared" si="36"/>
        <v>47.728622441089421</v>
      </c>
      <c r="Z109" s="385">
        <f t="shared" si="37"/>
        <v>50.811844634784855</v>
      </c>
      <c r="AA109" s="386">
        <f t="shared" si="38"/>
        <v>55.864223694121982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9.0440334175246759E-2</v>
      </c>
      <c r="AD109" s="231">
        <f>(INDEX(Models!$BJ109:$BT109,,AH109)*(1-AF109)+INDEX(Models!$BJ109:$BT109,,AH109+1)*AF109-ERP_i)*AE109*Ramure*Pc/MaxiM</f>
        <v>1.9294451730371552E-5</v>
      </c>
      <c r="AE109" s="305">
        <f t="shared" si="40"/>
        <v>0.5</v>
      </c>
      <c r="AF109" s="177">
        <f t="shared" si="41"/>
        <v>2.7871025210171041E-2</v>
      </c>
      <c r="AG109" s="811">
        <f t="shared" si="49"/>
        <v>2</v>
      </c>
      <c r="AH109" s="176">
        <f t="shared" si="42"/>
        <v>8</v>
      </c>
      <c r="AI109" s="225">
        <f t="shared" si="43"/>
        <v>2.027871025210171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'2025'!Wh/'2025'!Env_an*'2026'!Env_an</f>
        <v>10.863714026197158</v>
      </c>
      <c r="C110" s="841"/>
      <c r="D110" s="393">
        <f t="shared" si="25"/>
        <v>11.565752615966582</v>
      </c>
      <c r="E110" s="385">
        <f t="shared" si="47"/>
        <v>12.239501913486746</v>
      </c>
      <c r="F110" s="385">
        <f t="shared" si="26"/>
        <v>12.239501913486746</v>
      </c>
      <c r="G110" s="110">
        <f t="shared" si="48"/>
        <v>0.21596981918435171</v>
      </c>
      <c r="H110" s="414" t="b">
        <f>Wh_hp&gt;='2025'!Maxi_hp</f>
        <v>0</v>
      </c>
      <c r="I110" s="390">
        <f>IF(H110,Wh_hp,'2025'!Maxi_hp)</f>
        <v>59.354429100482541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6.0699775715439053E-2</v>
      </c>
      <c r="M110" s="845"/>
      <c r="N110" s="845"/>
      <c r="O110" s="48">
        <f>IF(t&lt;Tnet,'2025'!Resal+('2025'!Salim-'2025'!Resal)*(1-EXP(('2025'!Tnet-t)/('2025'!Tau_j))),Resal+(Salim-Resal)*(1-EXP((Tnet-t)/(Tau_j))))*Salcycl</f>
        <v>5.504711729958206E-2</v>
      </c>
      <c r="P110" s="169">
        <f>(INDEX(Models!$BJ110:$BT110,,T110)*(1-R110)+INDEX(Models!$BJ110:$BT110,,T110+1)*R110-ERP_i)*Q110*Ramure*Pc/MaxiM</f>
        <v>2.0959357512539133E-7</v>
      </c>
      <c r="Q110" s="305">
        <f t="shared" si="28"/>
        <v>0.5</v>
      </c>
      <c r="R110" s="177">
        <f t="shared" si="29"/>
        <v>0.50410684335923217</v>
      </c>
      <c r="S110" s="811">
        <f t="shared" si="30"/>
        <v>-2</v>
      </c>
      <c r="T110" s="176">
        <f t="shared" si="31"/>
        <v>4</v>
      </c>
      <c r="U110" s="251">
        <f t="shared" si="32"/>
        <v>-1.4958931566407678</v>
      </c>
      <c r="V110" s="383">
        <f t="shared" si="33"/>
        <v>50.301990297816744</v>
      </c>
      <c r="W110" s="402">
        <f t="shared" si="34"/>
        <v>10.863714026197158</v>
      </c>
      <c r="X110" s="157">
        <f t="shared" si="35"/>
        <v>46118</v>
      </c>
      <c r="Y110" s="385">
        <f t="shared" si="36"/>
        <v>10.456412351891586</v>
      </c>
      <c r="Z110" s="385">
        <f t="shared" si="37"/>
        <v>11.132130155569746</v>
      </c>
      <c r="AA110" s="386">
        <f t="shared" si="38"/>
        <v>12.239501913486746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9.0475230588982061E-2</v>
      </c>
      <c r="AD110" s="231">
        <f>(INDEX(Models!$BJ110:$BT110,,AH110)*(1-AF110)+INDEX(Models!$BJ110:$BT110,,AH110+1)*AF110-ERP_i)*AE110*Ramure*Pc/MaxiM</f>
        <v>1.7075417706477471E-5</v>
      </c>
      <c r="AE110" s="305">
        <f t="shared" si="40"/>
        <v>0.5</v>
      </c>
      <c r="AF110" s="177">
        <f t="shared" si="41"/>
        <v>2.9094409733211091E-2</v>
      </c>
      <c r="AG110" s="811">
        <f t="shared" si="49"/>
        <v>2</v>
      </c>
      <c r="AH110" s="176">
        <f t="shared" si="42"/>
        <v>8</v>
      </c>
      <c r="AI110" s="225">
        <f t="shared" si="43"/>
        <v>2.0290944097332111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'2025'!Wh/'2025'!Env_an*'2026'!Env_an</f>
        <v>37.135951103064698</v>
      </c>
      <c r="C111" s="841"/>
      <c r="D111" s="393">
        <f t="shared" si="25"/>
        <v>39.536629006771662</v>
      </c>
      <c r="E111" s="385">
        <f t="shared" si="47"/>
        <v>41.842502007227324</v>
      </c>
      <c r="F111" s="385">
        <f t="shared" si="26"/>
        <v>41.842508379733907</v>
      </c>
      <c r="G111" s="110">
        <f t="shared" si="48"/>
        <v>0.73465888390758194</v>
      </c>
      <c r="H111" s="414" t="b">
        <f>Wh_hp&gt;='2025'!Maxi_hp</f>
        <v>0</v>
      </c>
      <c r="I111" s="390">
        <f>IF(H111,Wh_hp,'2025'!Maxi_hp)</f>
        <v>56.351753523847592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6.0720348801001411E-2</v>
      </c>
      <c r="M111" s="845"/>
      <c r="N111" s="845"/>
      <c r="O111" s="48">
        <f>IF(t&lt;Tnet,'2025'!Resal+('2025'!Salim-'2025'!Resal)*(1-EXP(('2025'!Tnet-t)/('2025'!Tau_j))),Resal+(Salim-Resal)*(1-EXP((Tnet-t)/(Tau_j))))*Salcycl</f>
        <v>5.5108391942178224E-2</v>
      </c>
      <c r="P111" s="169">
        <f>(INDEX(Models!$BJ111:$BT111,,T111)*(1-R111)+INDEX(Models!$BJ111:$BT111,,T111+1)*R111-ERP_i)*Q111*Ramure*Pc/MaxiM</f>
        <v>2.452686227857616E-7</v>
      </c>
      <c r="Q111" s="305">
        <f t="shared" si="28"/>
        <v>0.5</v>
      </c>
      <c r="R111" s="177">
        <f t="shared" si="29"/>
        <v>0.50537478992018126</v>
      </c>
      <c r="S111" s="811">
        <f t="shared" si="30"/>
        <v>-2</v>
      </c>
      <c r="T111" s="176">
        <f t="shared" si="31"/>
        <v>4</v>
      </c>
      <c r="U111" s="251">
        <f t="shared" si="32"/>
        <v>-1.4946252100798187</v>
      </c>
      <c r="V111" s="383">
        <f t="shared" si="33"/>
        <v>50.548558608544894</v>
      </c>
      <c r="W111" s="402">
        <f t="shared" si="34"/>
        <v>37.135951103064698</v>
      </c>
      <c r="X111" s="157">
        <f t="shared" si="35"/>
        <v>46119</v>
      </c>
      <c r="Y111" s="385">
        <f t="shared" si="36"/>
        <v>35.744223020079488</v>
      </c>
      <c r="Z111" s="385">
        <f t="shared" si="37"/>
        <v>38.054931749507915</v>
      </c>
      <c r="AA111" s="386">
        <f t="shared" si="38"/>
        <v>41.842108130698882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9.0511127435579139E-2</v>
      </c>
      <c r="AD111" s="231">
        <f>(INDEX(Models!$BJ111:$BT111,,AH111)*(1-AF111)+INDEX(Models!$BJ111:$BT111,,AH111+1)*AF111-ERP_i)*AE111*Ramure*Pc/MaxiM</f>
        <v>1.5405010299383202E-5</v>
      </c>
      <c r="AE111" s="305">
        <f t="shared" si="40"/>
        <v>0.5</v>
      </c>
      <c r="AF111" s="177">
        <f t="shared" si="41"/>
        <v>3.0362356294160175E-2</v>
      </c>
      <c r="AG111" s="811">
        <f t="shared" si="49"/>
        <v>2</v>
      </c>
      <c r="AH111" s="176">
        <f t="shared" si="42"/>
        <v>8</v>
      </c>
      <c r="AI111" s="225">
        <f t="shared" si="43"/>
        <v>2.0303623562941602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'2025'!Wh/'2025'!Env_an*'2026'!Env_an</f>
        <v>30.58975449662509</v>
      </c>
      <c r="C112" s="841"/>
      <c r="D112" s="393">
        <f t="shared" si="25"/>
        <v>32.567962551281795</v>
      </c>
      <c r="E112" s="385">
        <f t="shared" si="47"/>
        <v>34.469663261793947</v>
      </c>
      <c r="F112" s="385">
        <f t="shared" si="26"/>
        <v>34.469667566884674</v>
      </c>
      <c r="G112" s="110">
        <f t="shared" si="48"/>
        <v>0.60228273722991821</v>
      </c>
      <c r="H112" s="414" t="b">
        <f>Wh_hp&gt;='2025'!Maxi_hp</f>
        <v>0</v>
      </c>
      <c r="I112" s="390">
        <f>IF(H112,Wh_hp,'2025'!Maxi_hp)</f>
        <v>55.793489046232402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6.0740921435960327E-2</v>
      </c>
      <c r="M112" s="845"/>
      <c r="N112" s="845"/>
      <c r="O112" s="48">
        <f>IF(t&lt;Tnet,'2025'!Resal+('2025'!Salim-'2025'!Resal)*(1-EXP(('2025'!Tnet-t)/('2025'!Tau_j))),Resal+(Salim-Resal)*(1-EXP((Tnet-t)/(Tau_j))))*Salcycl</f>
        <v>5.5170272365845638E-2</v>
      </c>
      <c r="P112" s="169">
        <f>(INDEX(Models!$BJ112:$BT112,,T112)*(1-R112)+INDEX(Models!$BJ112:$BT112,,T112+1)*R112-ERP_i)*Q112*Ramure*Pc/MaxiM</f>
        <v>2.8922096121029042E-7</v>
      </c>
      <c r="Q112" s="305">
        <f t="shared" si="28"/>
        <v>0.5</v>
      </c>
      <c r="R112" s="177">
        <f t="shared" si="29"/>
        <v>0.5066886482479247</v>
      </c>
      <c r="S112" s="811">
        <f t="shared" si="30"/>
        <v>-2</v>
      </c>
      <c r="T112" s="176">
        <f t="shared" si="31"/>
        <v>4</v>
      </c>
      <c r="U112" s="251">
        <f t="shared" si="32"/>
        <v>-1.4933113517520753</v>
      </c>
      <c r="V112" s="383">
        <f t="shared" si="33"/>
        <v>50.789683281687012</v>
      </c>
      <c r="W112" s="402">
        <f t="shared" si="34"/>
        <v>30.58975449662509</v>
      </c>
      <c r="X112" s="157">
        <f t="shared" si="35"/>
        <v>46120</v>
      </c>
      <c r="Y112" s="385">
        <f t="shared" si="36"/>
        <v>29.444187573797315</v>
      </c>
      <c r="Z112" s="385">
        <f t="shared" si="37"/>
        <v>31.348312990290442</v>
      </c>
      <c r="AA112" s="386">
        <f t="shared" si="38"/>
        <v>34.469454998808267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9.0548052141402685E-2</v>
      </c>
      <c r="AD112" s="231">
        <f>(INDEX(Models!$BJ112:$BT112,,AH112)*(1-AF112)+INDEX(Models!$BJ112:$BT112,,AH112+1)*AF112-ERP_i)*AE112*Ramure*Pc/MaxiM</f>
        <v>1.4280568578237027E-5</v>
      </c>
      <c r="AE112" s="305">
        <f t="shared" si="40"/>
        <v>0.5</v>
      </c>
      <c r="AF112" s="177">
        <f t="shared" si="41"/>
        <v>3.1676214621903842E-2</v>
      </c>
      <c r="AG112" s="811">
        <f t="shared" si="49"/>
        <v>2</v>
      </c>
      <c r="AH112" s="176">
        <f t="shared" si="42"/>
        <v>8</v>
      </c>
      <c r="AI112" s="225">
        <f t="shared" si="43"/>
        <v>2.0316762146219038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'2025'!Wh/'2025'!Env_an*'2026'!Env_an</f>
        <v>34.060374147103374</v>
      </c>
      <c r="C113" s="841"/>
      <c r="D113" s="393">
        <f t="shared" si="25"/>
        <v>36.263817886247246</v>
      </c>
      <c r="E113" s="385">
        <f t="shared" si="47"/>
        <v>38.383865322202134</v>
      </c>
      <c r="F113" s="385">
        <f t="shared" si="26"/>
        <v>38.383872204438006</v>
      </c>
      <c r="G113" s="110">
        <f t="shared" si="48"/>
        <v>0.66751962833221756</v>
      </c>
      <c r="H113" s="414" t="b">
        <f>Wh_hp&gt;='2025'!Maxi_hp</f>
        <v>0</v>
      </c>
      <c r="I113" s="390">
        <f>IF(H113,Wh_hp,'2025'!Maxi_hp)</f>
        <v>41.648731192226585</v>
      </c>
      <c r="J113" s="85">
        <f>IF(H113,An,'2025'!An_max)</f>
        <v>2019</v>
      </c>
      <c r="K113" s="197">
        <f t="shared" si="27"/>
        <v>46121</v>
      </c>
      <c r="L113" s="147">
        <f>IF(t&lt;Tvie,1-EXP((T0-t)*PertePVj)+'2025'!Pspv,1-EXP((T0-t)*PertePVj)+Pspv)</f>
        <v>6.076149362032579E-2</v>
      </c>
      <c r="M113" s="845"/>
      <c r="N113" s="845"/>
      <c r="O113" s="48">
        <f>IF(t&lt;Tnet,'2025'!Resal+('2025'!Salim-'2025'!Resal)*(1-EXP(('2025'!Tnet-t)/('2025'!Tau_j))),Resal+(Salim-Resal)*(1-EXP((Tnet-t)/(Tau_j))))*Salcycl</f>
        <v>5.5232776015619316E-2</v>
      </c>
      <c r="P113" s="169">
        <f>(INDEX(Models!$BJ113:$BT113,,T113)*(1-R113)+INDEX(Models!$BJ113:$BT113,,T113+1)*R113-ERP_i)*Q113*Ramure*Pc/MaxiM</f>
        <v>3.4150584529311676E-7</v>
      </c>
      <c r="Q113" s="305">
        <f t="shared" si="28"/>
        <v>0.5</v>
      </c>
      <c r="R113" s="177">
        <f t="shared" si="29"/>
        <v>0.50804978723549077</v>
      </c>
      <c r="S113" s="811">
        <f t="shared" si="30"/>
        <v>-2</v>
      </c>
      <c r="T113" s="176">
        <f t="shared" si="31"/>
        <v>4</v>
      </c>
      <c r="U113" s="251">
        <f t="shared" si="32"/>
        <v>-1.4919502127645092</v>
      </c>
      <c r="V113" s="383">
        <f t="shared" si="33"/>
        <v>51.025269035783097</v>
      </c>
      <c r="W113" s="402">
        <f t="shared" si="34"/>
        <v>34.060374147103374</v>
      </c>
      <c r="X113" s="157">
        <f t="shared" si="35"/>
        <v>46121</v>
      </c>
      <c r="Y113" s="385">
        <f t="shared" si="36"/>
        <v>32.785602628836322</v>
      </c>
      <c r="Z113" s="385">
        <f t="shared" si="37"/>
        <v>34.906578474097607</v>
      </c>
      <c r="AA113" s="386">
        <f t="shared" si="38"/>
        <v>38.383596103747145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9.0586031080868393E-2</v>
      </c>
      <c r="AD113" s="231">
        <f>(INDEX(Models!$BJ113:$BT113,,AH113)*(1-AF113)+INDEX(Models!$BJ113:$BT113,,AH113+1)*AF113-ERP_i)*AE113*Ramure*Pc/MaxiM</f>
        <v>1.3700489433034485E-5</v>
      </c>
      <c r="AE113" s="305">
        <f t="shared" si="40"/>
        <v>0.5</v>
      </c>
      <c r="AF113" s="177">
        <f t="shared" si="41"/>
        <v>3.3037353609469911E-2</v>
      </c>
      <c r="AG113" s="811">
        <f t="shared" si="49"/>
        <v>2</v>
      </c>
      <c r="AH113" s="176">
        <f t="shared" si="42"/>
        <v>8</v>
      </c>
      <c r="AI113" s="225">
        <f t="shared" si="43"/>
        <v>2.0330373536094699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'2025'!Wh/'2025'!Env_an*'2026'!Env_an</f>
        <v>51.288984414386505</v>
      </c>
      <c r="C114" s="841"/>
      <c r="D114" s="393">
        <f t="shared" si="25"/>
        <v>54.608182534039528</v>
      </c>
      <c r="E114" s="385">
        <f t="shared" si="47"/>
        <v>57.804537603803695</v>
      </c>
      <c r="F114" s="385">
        <f t="shared" si="26"/>
        <v>57.804561838176724</v>
      </c>
      <c r="G114" s="110">
        <f t="shared" si="48"/>
        <v>1.0006587548321231</v>
      </c>
      <c r="H114" s="414" t="b">
        <f>Wh_hp&gt;='2025'!Maxi_hp</f>
        <v>0</v>
      </c>
      <c r="I114" s="390">
        <f>IF(H114,Wh_hp,'2025'!Maxi_hp)</f>
        <v>58.06042842516851</v>
      </c>
      <c r="J114" s="85">
        <f>IF(H114,An,'2025'!An_max)</f>
        <v>2020</v>
      </c>
      <c r="K114" s="197">
        <f t="shared" si="27"/>
        <v>46122</v>
      </c>
      <c r="L114" s="147">
        <f>IF(t&lt;Tvie,1-EXP((T0-t)*PertePVj)+'2025'!Pspv,1-EXP((T0-t)*PertePVj)+Pspv)</f>
        <v>6.0782065354107573E-2</v>
      </c>
      <c r="M114" s="845"/>
      <c r="N114" s="845"/>
      <c r="O114" s="48">
        <f>IF(t&lt;Tnet,'2025'!Resal+('2025'!Salim-'2025'!Resal)*(1-EXP(('2025'!Tnet-t)/('2025'!Tau_j))),Resal+(Salim-Resal)*(1-EXP((Tnet-t)/(Tau_j))))*Salcycl</f>
        <v>5.5295919702224958E-2</v>
      </c>
      <c r="P114" s="169">
        <f>(INDEX(Models!$BJ114:$BT114,,T114)*(1-R114)+INDEX(Models!$BJ114:$BT114,,T114+1)*R114-ERP_i)*Q114*Ramure*Pc/MaxiM</f>
        <v>4.1924672129134504E-7</v>
      </c>
      <c r="Q114" s="305">
        <f t="shared" si="28"/>
        <v>0.5</v>
      </c>
      <c r="R114" s="177">
        <f t="shared" si="29"/>
        <v>0.50945959334183333</v>
      </c>
      <c r="S114" s="811">
        <f t="shared" si="30"/>
        <v>-2</v>
      </c>
      <c r="T114" s="176">
        <f t="shared" si="31"/>
        <v>4</v>
      </c>
      <c r="U114" s="251">
        <f t="shared" si="32"/>
        <v>-1.4905404066581667</v>
      </c>
      <c r="V114" s="383">
        <f t="shared" si="33"/>
        <v>51.255219790677856</v>
      </c>
      <c r="W114" s="402">
        <f t="shared" si="34"/>
        <v>51.288984414386505</v>
      </c>
      <c r="X114" s="157">
        <f t="shared" si="35"/>
        <v>46122</v>
      </c>
      <c r="Y114" s="385">
        <f t="shared" si="36"/>
        <v>49.370264747647596</v>
      </c>
      <c r="Z114" s="385">
        <f t="shared" si="37"/>
        <v>52.565291745904922</v>
      </c>
      <c r="AA114" s="386">
        <f t="shared" si="38"/>
        <v>57.803762936605402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9.0625089519615273E-2</v>
      </c>
      <c r="AD114" s="231">
        <f>(INDEX(Models!$BJ114:$BT114,,AH114)*(1-AF114)+INDEX(Models!$BJ114:$BT114,,AH114+1)*AF114-ERP_i)*AE114*Ramure*Pc/MaxiM</f>
        <v>1.3820735698342224E-5</v>
      </c>
      <c r="AE114" s="305">
        <f t="shared" si="40"/>
        <v>0.5</v>
      </c>
      <c r="AF114" s="177">
        <f t="shared" si="41"/>
        <v>3.4447159715812248E-2</v>
      </c>
      <c r="AG114" s="811">
        <f t="shared" si="49"/>
        <v>2</v>
      </c>
      <c r="AH114" s="176">
        <f t="shared" si="42"/>
        <v>8</v>
      </c>
      <c r="AI114" s="225">
        <f t="shared" si="43"/>
        <v>2.0344471597158122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'2025'!Wh/'2025'!Env_an*'2026'!Env_an</f>
        <v>43.069552842912685</v>
      </c>
      <c r="C115" s="841"/>
      <c r="D115" s="393">
        <f t="shared" si="25"/>
        <v>45.857829805555753</v>
      </c>
      <c r="E115" s="385">
        <f t="shared" si="47"/>
        <v>48.545283062076265</v>
      </c>
      <c r="F115" s="385">
        <f t="shared" si="26"/>
        <v>48.545302407300703</v>
      </c>
      <c r="G115" s="110">
        <f t="shared" si="48"/>
        <v>0.83663589124745119</v>
      </c>
      <c r="H115" s="414" t="b">
        <f>Wh_hp&gt;='2025'!Maxi_hp</f>
        <v>0</v>
      </c>
      <c r="I115" s="390">
        <f>IF(H115,Wh_hp,'2025'!Maxi_hp)</f>
        <v>59.123099904366789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6.0802636637315555E-2</v>
      </c>
      <c r="M115" s="845"/>
      <c r="N115" s="845"/>
      <c r="O115" s="48">
        <f>IF(t&lt;Tnet,'2025'!Resal+('2025'!Salim-'2025'!Resal)*(1-EXP(('2025'!Tnet-t)/('2025'!Tau_j))),Resal+(Salim-Resal)*(1-EXP((Tnet-t)/(Tau_j))))*Salcycl</f>
        <v>5.5359719565008833E-2</v>
      </c>
      <c r="P115" s="169">
        <f>(INDEX(Models!$BJ115:$BT115,,T115)*(1-R115)+INDEX(Models!$BJ115:$BT115,,T115+1)*R115-ERP_i)*Q115*Ramure*Pc/MaxiM</f>
        <v>5.1981020805052632E-7</v>
      </c>
      <c r="Q115" s="305">
        <f t="shared" si="28"/>
        <v>0.5</v>
      </c>
      <c r="R115" s="177">
        <f t="shared" si="29"/>
        <v>0.51091946880773031</v>
      </c>
      <c r="S115" s="811">
        <f t="shared" si="30"/>
        <v>-2</v>
      </c>
      <c r="T115" s="176">
        <f t="shared" si="31"/>
        <v>4</v>
      </c>
      <c r="U115" s="251">
        <f t="shared" si="32"/>
        <v>-1.4890805311922697</v>
      </c>
      <c r="V115" s="383">
        <f t="shared" si="33"/>
        <v>51.479440541149131</v>
      </c>
      <c r="W115" s="402">
        <f t="shared" si="34"/>
        <v>43.069552842912685</v>
      </c>
      <c r="X115" s="157">
        <f t="shared" si="35"/>
        <v>46123</v>
      </c>
      <c r="Y115" s="385">
        <f t="shared" si="36"/>
        <v>41.459408477764548</v>
      </c>
      <c r="Z115" s="385">
        <f t="shared" si="37"/>
        <v>44.143446409734445</v>
      </c>
      <c r="AA115" s="386">
        <f t="shared" si="38"/>
        <v>48.544770212911367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9.0665251557958945E-2</v>
      </c>
      <c r="AD115" s="231">
        <f>(INDEX(Models!$BJ115:$BT115,,AH115)*(1-AF115)+INDEX(Models!$BJ115:$BT115,,AH115+1)*AF115-ERP_i)*AE115*Ramure*Pc/MaxiM</f>
        <v>1.4300174036991136E-5</v>
      </c>
      <c r="AE115" s="305">
        <f t="shared" si="40"/>
        <v>0.5</v>
      </c>
      <c r="AF115" s="177">
        <f t="shared" si="41"/>
        <v>3.5907035181709457E-2</v>
      </c>
      <c r="AG115" s="811">
        <f t="shared" si="49"/>
        <v>2</v>
      </c>
      <c r="AH115" s="176">
        <f t="shared" si="42"/>
        <v>8</v>
      </c>
      <c r="AI115" s="225">
        <f t="shared" si="43"/>
        <v>2.0359070351817095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'2025'!Wh/'2025'!Env_an*'2026'!Env_an</f>
        <v>34.928220484717407</v>
      </c>
      <c r="C116" s="841"/>
      <c r="D116" s="393">
        <f t="shared" si="25"/>
        <v>37.190250826603773</v>
      </c>
      <c r="E116" s="385">
        <f t="shared" si="47"/>
        <v>39.372436255104624</v>
      </c>
      <c r="F116" s="385">
        <f t="shared" si="26"/>
        <v>39.372449848502619</v>
      </c>
      <c r="G116" s="110">
        <f t="shared" si="48"/>
        <v>0.67562228179046391</v>
      </c>
      <c r="H116" s="414" t="b">
        <f>Wh_hp&gt;='2025'!Maxi_hp</f>
        <v>0</v>
      </c>
      <c r="I116" s="390">
        <f>IF(H116,Wh_hp,'2025'!Maxi_hp)</f>
        <v>58.323508945597986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6.0823207469959728E-2</v>
      </c>
      <c r="M116" s="845"/>
      <c r="N116" s="845"/>
      <c r="O116" s="48">
        <f>IF(t&lt;Tnet,'2025'!Resal+('2025'!Salim-'2025'!Resal)*(1-EXP(('2025'!Tnet-t)/('2025'!Tau_j))),Resal+(Salim-Resal)*(1-EXP((Tnet-t)/(Tau_j))))*Salcycl</f>
        <v>5.5424191034608168E-2</v>
      </c>
      <c r="P116" s="169">
        <f>(INDEX(Models!$BJ116:$BT116,,T116)*(1-R116)+INDEX(Models!$BJ116:$BT116,,T116+1)*R116-ERP_i)*Q116*Ramure*Pc/MaxiM</f>
        <v>6.434014786207118E-7</v>
      </c>
      <c r="Q116" s="305">
        <f t="shared" si="28"/>
        <v>0.5</v>
      </c>
      <c r="R116" s="177">
        <f t="shared" si="29"/>
        <v>0.51243082967635867</v>
      </c>
      <c r="S116" s="811">
        <f t="shared" si="30"/>
        <v>-2</v>
      </c>
      <c r="T116" s="176">
        <f t="shared" si="31"/>
        <v>4</v>
      </c>
      <c r="U116" s="251">
        <f t="shared" si="32"/>
        <v>-1.4875691703236413</v>
      </c>
      <c r="V116" s="383">
        <f t="shared" si="33"/>
        <v>51.697836220414558</v>
      </c>
      <c r="W116" s="402">
        <f t="shared" si="34"/>
        <v>34.928220484717407</v>
      </c>
      <c r="X116" s="157">
        <f t="shared" si="35"/>
        <v>46124</v>
      </c>
      <c r="Y116" s="385">
        <f t="shared" si="36"/>
        <v>33.623299588888251</v>
      </c>
      <c r="Z116" s="385">
        <f t="shared" si="37"/>
        <v>35.800820310210959</v>
      </c>
      <c r="AA116" s="386">
        <f t="shared" si="38"/>
        <v>39.372129997646944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9.0706540074144484E-2</v>
      </c>
      <c r="AD116" s="231">
        <f>(INDEX(Models!$BJ116:$BT116,,AH116)*(1-AF116)+INDEX(Models!$BJ116:$BT116,,AH116+1)*AF116-ERP_i)*AE116*Ramure*Pc/MaxiM</f>
        <v>1.5139151636070012E-5</v>
      </c>
      <c r="AE116" s="305">
        <f t="shared" si="40"/>
        <v>0.5</v>
      </c>
      <c r="AF116" s="177">
        <f t="shared" si="41"/>
        <v>3.7418396050337588E-2</v>
      </c>
      <c r="AG116" s="811">
        <f t="shared" si="49"/>
        <v>2</v>
      </c>
      <c r="AH116" s="176">
        <f t="shared" si="42"/>
        <v>8</v>
      </c>
      <c r="AI116" s="225">
        <f t="shared" si="43"/>
        <v>2.0374183960503376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'2025'!Wh/'2025'!Env_an*'2026'!Env_an</f>
        <v>7.0037782098848487</v>
      </c>
      <c r="C117" s="841"/>
      <c r="D117" s="393">
        <f t="shared" si="25"/>
        <v>7.457522023190629</v>
      </c>
      <c r="E117" s="385">
        <f t="shared" si="47"/>
        <v>7.8956462943821739</v>
      </c>
      <c r="F117" s="385">
        <f t="shared" si="26"/>
        <v>7.8956462943821739</v>
      </c>
      <c r="G117" s="110">
        <f t="shared" si="48"/>
        <v>0.13492064343612206</v>
      </c>
      <c r="H117" s="414" t="b">
        <f>Wh_hp&gt;='2025'!Maxi_hp</f>
        <v>0</v>
      </c>
      <c r="I117" s="390">
        <f>IF(H117,Wh_hp,'2025'!Maxi_hp)</f>
        <v>59.034851740298983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6.0843777852049863E-2</v>
      </c>
      <c r="M117" s="845"/>
      <c r="N117" s="845"/>
      <c r="O117" s="48">
        <f>IF(t&lt;Tnet,'2025'!Resal+('2025'!Salim-'2025'!Resal)*(1-EXP(('2025'!Tnet-t)/('2025'!Tau_j))),Resal+(Salim-Resal)*(1-EXP((Tnet-t)/(Tau_j))))*Salcycl</f>
        <v>5.5489348795078899E-2</v>
      </c>
      <c r="P117" s="169">
        <f>(INDEX(Models!$BJ117:$BT117,,T117)*(1-R117)+INDEX(Models!$BJ117:$BT117,,T117+1)*R117-ERP_i)*Q117*Ramure*Pc/MaxiM</f>
        <v>7.9027764050606457E-7</v>
      </c>
      <c r="Q117" s="305">
        <f t="shared" si="28"/>
        <v>0.5</v>
      </c>
      <c r="R117" s="177">
        <f t="shared" si="29"/>
        <v>0.51399510360928025</v>
      </c>
      <c r="S117" s="811">
        <f t="shared" si="30"/>
        <v>-2</v>
      </c>
      <c r="T117" s="176">
        <f t="shared" si="31"/>
        <v>4</v>
      </c>
      <c r="U117" s="251">
        <f t="shared" si="32"/>
        <v>-1.4860048963907198</v>
      </c>
      <c r="V117" s="383">
        <f t="shared" si="33"/>
        <v>51.91031184395036</v>
      </c>
      <c r="W117" s="402">
        <f t="shared" si="34"/>
        <v>7.0037782098848487</v>
      </c>
      <c r="X117" s="157">
        <f t="shared" si="35"/>
        <v>46125</v>
      </c>
      <c r="Y117" s="385">
        <f t="shared" si="36"/>
        <v>6.7423194184328752</v>
      </c>
      <c r="Z117" s="385">
        <f t="shared" si="37"/>
        <v>7.1791244730429122</v>
      </c>
      <c r="AA117" s="386">
        <f t="shared" si="38"/>
        <v>7.8956462943821739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9.0748976666935308E-2</v>
      </c>
      <c r="AD117" s="231">
        <f>(INDEX(Models!$BJ117:$BT117,,AH117)*(1-AF117)+INDEX(Models!$BJ117:$BT117,,AH117+1)*AF117-ERP_i)*AE117*Ramure*Pc/MaxiM</f>
        <v>1.6338709854507882E-5</v>
      </c>
      <c r="AE117" s="305">
        <f t="shared" si="40"/>
        <v>0.5</v>
      </c>
      <c r="AF117" s="177">
        <f t="shared" si="41"/>
        <v>3.8982669983259388E-2</v>
      </c>
      <c r="AG117" s="811">
        <f t="shared" si="49"/>
        <v>2</v>
      </c>
      <c r="AH117" s="176">
        <f t="shared" si="42"/>
        <v>8</v>
      </c>
      <c r="AI117" s="225">
        <f t="shared" si="43"/>
        <v>2.0389826699832594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'2025'!Wh/'2025'!Env_an*'2026'!Env_an</f>
        <v>37.859111873022343</v>
      </c>
      <c r="C118" s="841"/>
      <c r="D118" s="393">
        <f t="shared" si="25"/>
        <v>40.312719236750368</v>
      </c>
      <c r="E118" s="385">
        <f t="shared" si="47"/>
        <v>42.684039898004947</v>
      </c>
      <c r="F118" s="385">
        <f t="shared" si="26"/>
        <v>42.684064879817917</v>
      </c>
      <c r="G118" s="110">
        <f t="shared" si="48"/>
        <v>0.72642828462567621</v>
      </c>
      <c r="H118" s="414" t="b">
        <f>Wh_hp&gt;='2025'!Maxi_hp</f>
        <v>0</v>
      </c>
      <c r="I118" s="390">
        <f>IF(H118,Wh_hp,'2025'!Maxi_hp)</f>
        <v>57.514245582008527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6.0864347783595729E-2</v>
      </c>
      <c r="M118" s="845"/>
      <c r="N118" s="845"/>
      <c r="O118" s="48">
        <f>IF(t&lt;Tnet,'2025'!Resal+('2025'!Salim-'2025'!Resal)*(1-EXP(('2025'!Tnet-t)/('2025'!Tau_j))),Resal+(Salim-Resal)*(1-EXP((Tnet-t)/(Tau_j))))*Salcycl</f>
        <v>5.5555206745212894E-2</v>
      </c>
      <c r="P118" s="169">
        <f>(INDEX(Models!$BJ118:$BT118,,T118)*(1-R118)+INDEX(Models!$BJ118:$BT118,,T118+1)*R118-ERP_i)*Q118*Ramure*Pc/MaxiM</f>
        <v>9.6074899786818732E-7</v>
      </c>
      <c r="Q118" s="305">
        <f t="shared" si="28"/>
        <v>0.5</v>
      </c>
      <c r="R118" s="177">
        <f t="shared" si="29"/>
        <v>0.51561372748884393</v>
      </c>
      <c r="S118" s="811">
        <f t="shared" si="30"/>
        <v>-2</v>
      </c>
      <c r="T118" s="176">
        <f t="shared" si="31"/>
        <v>4</v>
      </c>
      <c r="U118" s="251">
        <f t="shared" si="32"/>
        <v>-1.4843862725111561</v>
      </c>
      <c r="V118" s="383">
        <f t="shared" si="33"/>
        <v>52.116772514328829</v>
      </c>
      <c r="W118" s="402">
        <f t="shared" si="34"/>
        <v>37.859111873022343</v>
      </c>
      <c r="X118" s="157">
        <f t="shared" si="35"/>
        <v>46126</v>
      </c>
      <c r="Y118" s="385">
        <f t="shared" si="36"/>
        <v>36.44620670250405</v>
      </c>
      <c r="Z118" s="385">
        <f t="shared" si="37"/>
        <v>38.808245237510988</v>
      </c>
      <c r="AA118" s="386">
        <f t="shared" si="38"/>
        <v>42.68359942078024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9.0792581597103086E-2</v>
      </c>
      <c r="AD118" s="231">
        <f>(INDEX(Models!$BJ118:$BT118,,AH118)*(1-AF118)+INDEX(Models!$BJ118:$BT118,,AH118+1)*AF118-ERP_i)*AE118*Ramure*Pc/MaxiM</f>
        <v>1.7900594505570195E-5</v>
      </c>
      <c r="AE118" s="305">
        <f t="shared" si="40"/>
        <v>0.5</v>
      </c>
      <c r="AF118" s="177">
        <f t="shared" si="41"/>
        <v>4.0601293862822629E-2</v>
      </c>
      <c r="AG118" s="811">
        <f t="shared" si="49"/>
        <v>2</v>
      </c>
      <c r="AH118" s="176">
        <f t="shared" si="42"/>
        <v>8</v>
      </c>
      <c r="AI118" s="225">
        <f t="shared" si="43"/>
        <v>2.0406012938628226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'2025'!Wh/'2025'!Env_an*'2026'!Env_an</f>
        <v>43.386644853935749</v>
      </c>
      <c r="C119" s="841"/>
      <c r="D119" s="393">
        <f t="shared" si="25"/>
        <v>46.199497432798104</v>
      </c>
      <c r="E119" s="385">
        <f t="shared" si="47"/>
        <v>48.920545131739075</v>
      </c>
      <c r="F119" s="385">
        <f t="shared" si="26"/>
        <v>48.920587863045675</v>
      </c>
      <c r="G119" s="110">
        <f t="shared" si="48"/>
        <v>0.82930080612449486</v>
      </c>
      <c r="H119" s="414" t="b">
        <f>Wh_hp&gt;='2025'!Maxi_hp</f>
        <v>0</v>
      </c>
      <c r="I119" s="390">
        <f>IF(H119,Wh_hp,'2025'!Maxi_hp)</f>
        <v>58.00017289991299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6.088491726460743E-2</v>
      </c>
      <c r="M119" s="845"/>
      <c r="N119" s="845"/>
      <c r="O119" s="48">
        <f>IF(t&lt;Tnet,'2025'!Resal+('2025'!Salim-'2025'!Resal)*(1-EXP(('2025'!Tnet-t)/('2025'!Tau_j))),Resal+(Salim-Resal)*(1-EXP((Tnet-t)/(Tau_j))))*Salcycl</f>
        <v>5.5621777958798531E-2</v>
      </c>
      <c r="P119" s="169">
        <f>(INDEX(Models!$BJ119:$BT119,,T119)*(1-R119)+INDEX(Models!$BJ119:$BT119,,T119+1)*R119-ERP_i)*Q119*Ramure*Pc/MaxiM</f>
        <v>1.1551803644347876E-6</v>
      </c>
      <c r="Q119" s="305">
        <f t="shared" si="28"/>
        <v>0.5</v>
      </c>
      <c r="R119" s="177">
        <f t="shared" si="29"/>
        <v>0.51728814479837526</v>
      </c>
      <c r="S119" s="811">
        <f t="shared" si="30"/>
        <v>-2</v>
      </c>
      <c r="T119" s="176">
        <f t="shared" si="31"/>
        <v>4</v>
      </c>
      <c r="U119" s="251">
        <f t="shared" si="32"/>
        <v>-1.4827118552016247</v>
      </c>
      <c r="V119" s="383">
        <f t="shared" si="33"/>
        <v>52.317123426879391</v>
      </c>
      <c r="W119" s="402">
        <f t="shared" si="34"/>
        <v>43.386644853935749</v>
      </c>
      <c r="X119" s="157">
        <f t="shared" si="35"/>
        <v>46127</v>
      </c>
      <c r="Y119" s="385">
        <f t="shared" si="36"/>
        <v>41.768179460734864</v>
      </c>
      <c r="Z119" s="385">
        <f t="shared" si="37"/>
        <v>44.476103332378884</v>
      </c>
      <c r="AA119" s="386">
        <f t="shared" si="38"/>
        <v>48.919854432120424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9.0837373727420678E-2</v>
      </c>
      <c r="AD119" s="231">
        <f>(INDEX(Models!$BJ119:$BT119,,AH119)*(1-AF119)+INDEX(Models!$BJ119:$BT119,,AH119+1)*AF119-ERP_i)*AE119*Ramure*Pc/MaxiM</f>
        <v>1.9827266492627778E-5</v>
      </c>
      <c r="AE119" s="305">
        <f t="shared" si="40"/>
        <v>0.5</v>
      </c>
      <c r="AF119" s="177">
        <f t="shared" si="41"/>
        <v>4.2275711172354402E-2</v>
      </c>
      <c r="AG119" s="811">
        <f t="shared" si="49"/>
        <v>2</v>
      </c>
      <c r="AH119" s="176">
        <f t="shared" si="42"/>
        <v>8</v>
      </c>
      <c r="AI119" s="225">
        <f t="shared" si="43"/>
        <v>2.0422757111723544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'2025'!Wh/'2025'!Env_an*'2026'!Env_an</f>
        <v>41.865702315416016</v>
      </c>
      <c r="C120" s="841"/>
      <c r="D120" s="393">
        <f t="shared" si="25"/>
        <v>44.58092524707434</v>
      </c>
      <c r="E120" s="385">
        <f t="shared" si="47"/>
        <v>47.210006842025045</v>
      </c>
      <c r="F120" s="385">
        <f t="shared" si="26"/>
        <v>47.210052922160486</v>
      </c>
      <c r="G120" s="110">
        <f t="shared" si="48"/>
        <v>0.79727048605444584</v>
      </c>
      <c r="H120" s="414" t="b">
        <f>Wh_hp&gt;='2025'!Maxi_hp</f>
        <v>0</v>
      </c>
      <c r="I120" s="390">
        <f>IF(H120,Wh_hp,'2025'!Maxi_hp)</f>
        <v>52.848516926149152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6.0905486295094624E-2</v>
      </c>
      <c r="M120" s="845"/>
      <c r="N120" s="845"/>
      <c r="O120" s="48">
        <f>IF(t&lt;Tnet,'2025'!Resal+('2025'!Salim-'2025'!Resal)*(1-EXP(('2025'!Tnet-t)/('2025'!Tau_j))),Resal+(Salim-Resal)*(1-EXP((Tnet-t)/(Tau_j))))*Salcycl</f>
        <v>5.568907464360652E-2</v>
      </c>
      <c r="P120" s="169">
        <f>(INDEX(Models!$BJ120:$BT120,,T120)*(1-R120)+INDEX(Models!$BJ120:$BT120,,T120+1)*R120-ERP_i)*Q120*Ramure*Pc/MaxiM</f>
        <v>1.3739924262656968E-6</v>
      </c>
      <c r="Q120" s="305">
        <f t="shared" si="28"/>
        <v>0.5</v>
      </c>
      <c r="R120" s="177">
        <f t="shared" si="29"/>
        <v>0.51901980277201765</v>
      </c>
      <c r="S120" s="811">
        <f t="shared" si="30"/>
        <v>-2</v>
      </c>
      <c r="T120" s="176">
        <f t="shared" si="31"/>
        <v>4</v>
      </c>
      <c r="U120" s="251">
        <f t="shared" si="32"/>
        <v>-1.4809801972279824</v>
      </c>
      <c r="V120" s="383">
        <f t="shared" si="33"/>
        <v>52.511269874197325</v>
      </c>
      <c r="W120" s="402">
        <f t="shared" si="34"/>
        <v>41.865702315416016</v>
      </c>
      <c r="X120" s="157">
        <f t="shared" si="35"/>
        <v>46128</v>
      </c>
      <c r="Y120" s="385">
        <f t="shared" si="36"/>
        <v>40.3047811686003</v>
      </c>
      <c r="Z120" s="385">
        <f t="shared" si="37"/>
        <v>42.918769708908556</v>
      </c>
      <c r="AA120" s="386">
        <f t="shared" si="38"/>
        <v>47.209311010692886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9.0883370460808632E-2</v>
      </c>
      <c r="AD120" s="231">
        <f>(INDEX(Models!$BJ120:$BT120,,AH120)*(1-AF120)+INDEX(Models!$BJ120:$BT120,,AH120+1)*AF120-ERP_i)*AE120*Ramure*Pc/MaxiM</f>
        <v>2.212191278595896E-5</v>
      </c>
      <c r="AE120" s="305">
        <f t="shared" si="40"/>
        <v>0.5</v>
      </c>
      <c r="AF120" s="177">
        <f t="shared" si="41"/>
        <v>4.4007369145996567E-2</v>
      </c>
      <c r="AG120" s="811">
        <f t="shared" si="49"/>
        <v>2</v>
      </c>
      <c r="AH120" s="176">
        <f t="shared" si="42"/>
        <v>8</v>
      </c>
      <c r="AI120" s="225">
        <f t="shared" si="43"/>
        <v>2.0440073691459966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'2025'!Wh/'2025'!Env_an*'2026'!Env_an</f>
        <v>51.136494379437771</v>
      </c>
      <c r="C121" s="841"/>
      <c r="D121" s="393">
        <f t="shared" si="25"/>
        <v>54.454172267163329</v>
      </c>
      <c r="E121" s="385">
        <f t="shared" si="47"/>
        <v>57.669666072389958</v>
      </c>
      <c r="F121" s="385">
        <f t="shared" si="26"/>
        <v>57.669755412462564</v>
      </c>
      <c r="G121" s="110">
        <f t="shared" si="48"/>
        <v>0.97035516061219329</v>
      </c>
      <c r="H121" s="414" t="b">
        <f>Wh_hp&gt;='2025'!Maxi_hp</f>
        <v>0</v>
      </c>
      <c r="I121" s="390">
        <f>IF(H121,Wh_hp,'2025'!Maxi_hp)</f>
        <v>57.66975918315012</v>
      </c>
      <c r="J121" s="85">
        <f>IF(H121,An,'2025'!An_max)</f>
        <v>2025</v>
      </c>
      <c r="K121" s="197">
        <f t="shared" si="27"/>
        <v>46129</v>
      </c>
      <c r="L121" s="147">
        <f>IF(t&lt;Tvie,1-EXP((T0-t)*PertePVj)+'2025'!Pspv,1-EXP((T0-t)*PertePVj)+Pspv)</f>
        <v>6.0926054875067304E-2</v>
      </c>
      <c r="M121" s="845"/>
      <c r="N121" s="845"/>
      <c r="O121" s="48">
        <f>IF(t&lt;Tnet,'2025'!Resal+('2025'!Salim-'2025'!Resal)*(1-EXP(('2025'!Tnet-t)/('2025'!Tau_j))),Resal+(Salim-Resal)*(1-EXP((Tnet-t)/(Tau_j))))*Salcycl</f>
        <v>5.5757108098915889E-2</v>
      </c>
      <c r="P121" s="169">
        <f>(INDEX(Models!$BJ121:$BT121,,T121)*(1-R121)+INDEX(Models!$BJ121:$BT121,,T121+1)*R121-ERP_i)*Q121*Ramure*Pc/MaxiM</f>
        <v>1.6176748420798955E-6</v>
      </c>
      <c r="Q121" s="305">
        <f t="shared" si="28"/>
        <v>0.5</v>
      </c>
      <c r="R121" s="177">
        <f t="shared" si="29"/>
        <v>0.52081014930669456</v>
      </c>
      <c r="S121" s="811">
        <f t="shared" si="30"/>
        <v>-2</v>
      </c>
      <c r="T121" s="176">
        <f t="shared" si="31"/>
        <v>4</v>
      </c>
      <c r="U121" s="251">
        <f t="shared" si="32"/>
        <v>-1.4791898506933054</v>
      </c>
      <c r="V121" s="383">
        <f t="shared" si="33"/>
        <v>52.698736454301269</v>
      </c>
      <c r="W121" s="402">
        <f t="shared" si="34"/>
        <v>51.136494379437771</v>
      </c>
      <c r="X121" s="157">
        <f t="shared" si="35"/>
        <v>46129</v>
      </c>
      <c r="Y121" s="385">
        <f t="shared" si="36"/>
        <v>49.230544140359342</v>
      </c>
      <c r="Z121" s="385">
        <f t="shared" si="37"/>
        <v>52.424566133404753</v>
      </c>
      <c r="AA121" s="386">
        <f t="shared" si="38"/>
        <v>57.668386399013379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9.0930587676341518E-2</v>
      </c>
      <c r="AD121" s="231">
        <f>(INDEX(Models!$BJ121:$BT121,,AH121)*(1-AF121)+INDEX(Models!$BJ121:$BT121,,AH121+1)*AF121-ERP_i)*AE121*Ramure*Pc/MaxiM</f>
        <v>2.4788636842758955E-5</v>
      </c>
      <c r="AE121" s="305">
        <f t="shared" si="40"/>
        <v>0.5</v>
      </c>
      <c r="AF121" s="177">
        <f t="shared" si="41"/>
        <v>4.5797715680673257E-2</v>
      </c>
      <c r="AG121" s="811">
        <f t="shared" si="49"/>
        <v>2</v>
      </c>
      <c r="AH121" s="176">
        <f t="shared" si="42"/>
        <v>8</v>
      </c>
      <c r="AI121" s="225">
        <f t="shared" si="43"/>
        <v>2.0457977156806733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'2025'!Wh/'2025'!Env_an*'2026'!Env_an</f>
        <v>35.371904306485455</v>
      </c>
      <c r="C122" s="841"/>
      <c r="D122" s="393">
        <f t="shared" si="25"/>
        <v>37.667618447482873</v>
      </c>
      <c r="E122" s="385">
        <f t="shared" si="47"/>
        <v>39.894779993999229</v>
      </c>
      <c r="F122" s="385">
        <f t="shared" si="26"/>
        <v>39.894820273491355</v>
      </c>
      <c r="G122" s="110">
        <f t="shared" si="48"/>
        <v>0.66891717629011671</v>
      </c>
      <c r="H122" s="414" t="b">
        <f>Wh_hp&gt;='2025'!Maxi_hp</f>
        <v>0</v>
      </c>
      <c r="I122" s="390">
        <f>IF(H122,Wh_hp,'2025'!Maxi_hp)</f>
        <v>42.565319321773202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6.094662300453535E-2</v>
      </c>
      <c r="M122" s="845"/>
      <c r="N122" s="845"/>
      <c r="O122" s="48">
        <f>IF(t&lt;Tnet,'2025'!Resal+('2025'!Salim-'2025'!Resal)*(1-EXP(('2025'!Tnet-t)/('2025'!Tau_j))),Resal+(Salim-Resal)*(1-EXP((Tnet-t)/(Tau_j))))*Salcycl</f>
        <v>5.582588867143401E-2</v>
      </c>
      <c r="P122" s="169">
        <f>(INDEX(Models!$BJ122:$BT122,,T122)*(1-R122)+INDEX(Models!$BJ122:$BT122,,T122+1)*R122-ERP_i)*Q122*Ramure*Pc/MaxiM</f>
        <v>1.9157371614725107E-6</v>
      </c>
      <c r="Q122" s="305">
        <f t="shared" si="28"/>
        <v>0.5</v>
      </c>
      <c r="R122" s="177">
        <f t="shared" si="29"/>
        <v>0.52266062962941739</v>
      </c>
      <c r="S122" s="811">
        <f t="shared" si="30"/>
        <v>-2</v>
      </c>
      <c r="T122" s="176">
        <f t="shared" si="31"/>
        <v>4</v>
      </c>
      <c r="U122" s="251">
        <f t="shared" si="32"/>
        <v>-1.4773393703705826</v>
      </c>
      <c r="V122" s="383">
        <f t="shared" si="33"/>
        <v>52.879300322833835</v>
      </c>
      <c r="W122" s="402">
        <f t="shared" si="34"/>
        <v>35.371904306485455</v>
      </c>
      <c r="X122" s="157">
        <f t="shared" si="35"/>
        <v>46130</v>
      </c>
      <c r="Y122" s="385">
        <f t="shared" si="36"/>
        <v>34.054481436456967</v>
      </c>
      <c r="Z122" s="385">
        <f t="shared" si="37"/>
        <v>36.264691944791807</v>
      </c>
      <c r="AA122" s="386">
        <f t="shared" si="38"/>
        <v>39.894230746167686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9.0979039662885022E-2</v>
      </c>
      <c r="AD122" s="231">
        <f>(INDEX(Models!$BJ122:$BT122,,AH122)*(1-AF122)+INDEX(Models!$BJ122:$BT122,,AH122+1)*AF122-ERP_i)*AE122*Ramure*Pc/MaxiM</f>
        <v>2.8038571042947979E-5</v>
      </c>
      <c r="AE122" s="305">
        <f t="shared" si="40"/>
        <v>0.5</v>
      </c>
      <c r="AF122" s="177">
        <f t="shared" si="41"/>
        <v>4.7648196003396315E-2</v>
      </c>
      <c r="AG122" s="811">
        <f t="shared" si="49"/>
        <v>2</v>
      </c>
      <c r="AH122" s="176">
        <f t="shared" si="42"/>
        <v>8</v>
      </c>
      <c r="AI122" s="225">
        <f t="shared" si="43"/>
        <v>2.0476481960033963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'2025'!Wh/'2025'!Env_an*'2026'!Env_an</f>
        <v>8.455805960547206</v>
      </c>
      <c r="C123" s="841"/>
      <c r="D123" s="393">
        <f t="shared" si="25"/>
        <v>9.0048035347157533</v>
      </c>
      <c r="E123" s="385">
        <f t="shared" si="47"/>
        <v>9.5379302038473739</v>
      </c>
      <c r="F123" s="385">
        <f t="shared" si="26"/>
        <v>9.5379302038473739</v>
      </c>
      <c r="G123" s="110">
        <f t="shared" si="48"/>
        <v>0.15938301807629926</v>
      </c>
      <c r="H123" s="414" t="b">
        <f>Wh_hp&gt;='2025'!Maxi_hp</f>
        <v>0</v>
      </c>
      <c r="I123" s="390">
        <f>IF(H123,Wh_hp,'2025'!Maxi_hp)</f>
        <v>57.730407119667383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6.0967190683508532E-2</v>
      </c>
      <c r="M123" s="845"/>
      <c r="N123" s="845"/>
      <c r="O123" s="48">
        <f>IF(t&lt;Tnet,'2025'!Resal+('2025'!Salim-'2025'!Resal)*(1-EXP(('2025'!Tnet-t)/('2025'!Tau_j))),Resal+(Salim-Resal)*(1-EXP((Tnet-t)/(Tau_j))))*Salcycl</f>
        <v>5.5895425709507805E-2</v>
      </c>
      <c r="P123" s="169">
        <f>(INDEX(Models!$BJ123:$BT123,,T123)*(1-R123)+INDEX(Models!$BJ123:$BT123,,T123+1)*R123-ERP_i)*Q123*Ramure*Pc/MaxiM</f>
        <v>2.2636083631099874E-6</v>
      </c>
      <c r="Q123" s="305">
        <f t="shared" si="28"/>
        <v>0.5</v>
      </c>
      <c r="R123" s="177">
        <f t="shared" si="29"/>
        <v>0.52457268271405422</v>
      </c>
      <c r="S123" s="811">
        <f t="shared" si="30"/>
        <v>-2</v>
      </c>
      <c r="T123" s="176">
        <f t="shared" si="31"/>
        <v>4</v>
      </c>
      <c r="U123" s="251">
        <f t="shared" si="32"/>
        <v>-1.4754273172859458</v>
      </c>
      <c r="V123" s="383">
        <f t="shared" si="33"/>
        <v>53.053248219118259</v>
      </c>
      <c r="W123" s="402">
        <f t="shared" si="34"/>
        <v>8.455805960547206</v>
      </c>
      <c r="X123" s="157">
        <f t="shared" si="35"/>
        <v>46131</v>
      </c>
      <c r="Y123" s="385">
        <f t="shared" si="36"/>
        <v>8.1411369202204842</v>
      </c>
      <c r="Z123" s="385">
        <f t="shared" si="37"/>
        <v>8.6697044442422637</v>
      </c>
      <c r="AA123" s="386">
        <f t="shared" si="38"/>
        <v>9.5379302038473739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9.1028739050206905E-2</v>
      </c>
      <c r="AD123" s="231">
        <f>(INDEX(Models!$BJ123:$BT123,,AH123)*(1-AF123)+INDEX(Models!$BJ123:$BT123,,AH123+1)*AF123-ERP_i)*AE123*Ramure*Pc/MaxiM</f>
        <v>3.1670319346958606E-5</v>
      </c>
      <c r="AE123" s="305">
        <f t="shared" si="40"/>
        <v>0.5</v>
      </c>
      <c r="AF123" s="177">
        <f t="shared" si="41"/>
        <v>4.9560249088033359E-2</v>
      </c>
      <c r="AG123" s="811">
        <f t="shared" si="49"/>
        <v>2</v>
      </c>
      <c r="AH123" s="176">
        <f t="shared" si="42"/>
        <v>8</v>
      </c>
      <c r="AI123" s="225">
        <f t="shared" si="43"/>
        <v>2.0495602490880334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'2025'!Wh/'2025'!Env_an*'2026'!Env_an</f>
        <v>9.6762864388474146</v>
      </c>
      <c r="C124" s="841"/>
      <c r="D124" s="393">
        <f t="shared" si="25"/>
        <v>10.30475003960658</v>
      </c>
      <c r="E124" s="385">
        <f t="shared" si="47"/>
        <v>10.915652471480104</v>
      </c>
      <c r="F124" s="385">
        <f t="shared" si="26"/>
        <v>10.915652471480104</v>
      </c>
      <c r="G124" s="110">
        <f t="shared" si="48"/>
        <v>0.18181328682532688</v>
      </c>
      <c r="H124" s="414" t="b">
        <f>Wh_hp&gt;='2025'!Maxi_hp</f>
        <v>0</v>
      </c>
      <c r="I124" s="390">
        <f>IF(H124,Wh_hp,'2025'!Maxi_hp)</f>
        <v>54.953153725787914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6.0987757911996732E-2</v>
      </c>
      <c r="M124" s="845"/>
      <c r="N124" s="845"/>
      <c r="O124" s="48">
        <f>IF(t&lt;Tnet,'2025'!Resal+('2025'!Salim-'2025'!Resal)*(1-EXP(('2025'!Tnet-t)/('2025'!Tau_j))),Resal+(Salim-Resal)*(1-EXP((Tnet-t)/(Tau_j))))*Salcycl</f>
        <v>5.5965727515570968E-2</v>
      </c>
      <c r="P124" s="169">
        <f>(INDEX(Models!$BJ124:$BT124,,T124)*(1-R124)+INDEX(Models!$BJ124:$BT124,,T124+1)*R124-ERP_i)*Q124*Ramure*Pc/MaxiM</f>
        <v>2.6623064487044443E-6</v>
      </c>
      <c r="Q124" s="305">
        <f t="shared" si="28"/>
        <v>0.5</v>
      </c>
      <c r="R124" s="177">
        <f t="shared" si="29"/>
        <v>0.52654773744272343</v>
      </c>
      <c r="S124" s="811">
        <f t="shared" si="30"/>
        <v>-2</v>
      </c>
      <c r="T124" s="176">
        <f t="shared" si="31"/>
        <v>4</v>
      </c>
      <c r="U124" s="251">
        <f t="shared" si="32"/>
        <v>-1.4734522625572766</v>
      </c>
      <c r="V124" s="383">
        <f t="shared" si="33"/>
        <v>53.220866563530556</v>
      </c>
      <c r="W124" s="402">
        <f t="shared" si="34"/>
        <v>9.6762864388474146</v>
      </c>
      <c r="X124" s="157">
        <f t="shared" si="35"/>
        <v>46132</v>
      </c>
      <c r="Y124" s="385">
        <f t="shared" si="36"/>
        <v>9.3163706666139472</v>
      </c>
      <c r="Z124" s="385">
        <f t="shared" si="37"/>
        <v>9.9214581546859382</v>
      </c>
      <c r="AA124" s="386">
        <f t="shared" si="38"/>
        <v>10.915652471480104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9.1079696737483146E-2</v>
      </c>
      <c r="AD124" s="231">
        <f>(INDEX(Models!$BJ124:$BT124,,AH124)*(1-AF124)+INDEX(Models!$BJ124:$BT124,,AH124+1)*AF124-ERP_i)*AE124*Ramure*Pc/MaxiM</f>
        <v>3.5688644423397892E-5</v>
      </c>
      <c r="AE124" s="305">
        <f t="shared" si="40"/>
        <v>0.5</v>
      </c>
      <c r="AF124" s="177">
        <f t="shared" si="41"/>
        <v>5.1535303816702349E-2</v>
      </c>
      <c r="AG124" s="811">
        <f t="shared" si="49"/>
        <v>2</v>
      </c>
      <c r="AH124" s="176">
        <f t="shared" si="42"/>
        <v>8</v>
      </c>
      <c r="AI124" s="225">
        <f t="shared" si="43"/>
        <v>2.0515353038167023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'2025'!Wh/'2025'!Env_an*'2026'!Env_an</f>
        <v>8.9443018962454044</v>
      </c>
      <c r="C125" s="841"/>
      <c r="D125" s="393">
        <f t="shared" si="25"/>
        <v>9.5254325798922697</v>
      </c>
      <c r="E125" s="385">
        <f t="shared" si="47"/>
        <v>10.090894001989033</v>
      </c>
      <c r="F125" s="385">
        <f t="shared" si="26"/>
        <v>10.090894001989033</v>
      </c>
      <c r="G125" s="110">
        <f t="shared" si="48"/>
        <v>0.16755086054609181</v>
      </c>
      <c r="H125" s="414" t="b">
        <f>Wh_hp&gt;='2025'!Maxi_hp</f>
        <v>0</v>
      </c>
      <c r="I125" s="390">
        <f>IF(H125,Wh_hp,'2025'!Maxi_hp)</f>
        <v>55.659407422413302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6.100832469000983E-2</v>
      </c>
      <c r="M125" s="845"/>
      <c r="N125" s="845"/>
      <c r="O125" s="48">
        <f>IF(t&lt;Tnet,'2025'!Resal+('2025'!Salim-'2025'!Resal)*(1-EXP(('2025'!Tnet-t)/('2025'!Tau_j))),Resal+(Salim-Resal)*(1-EXP((Tnet-t)/(Tau_j))))*Salcycl</f>
        <v>5.6036801296823063E-2</v>
      </c>
      <c r="P125" s="169">
        <f>(INDEX(Models!$BJ125:$BT125,,T125)*(1-R125)+INDEX(Models!$BJ125:$BT125,,T125+1)*R125-ERP_i)*Q125*Ramure*Pc/MaxiM</f>
        <v>3.1129684243984709E-6</v>
      </c>
      <c r="Q125" s="305">
        <f t="shared" si="28"/>
        <v>0.5</v>
      </c>
      <c r="R125" s="177">
        <f t="shared" si="29"/>
        <v>0.52858720850819663</v>
      </c>
      <c r="S125" s="811">
        <f t="shared" si="30"/>
        <v>-2</v>
      </c>
      <c r="T125" s="176">
        <f t="shared" si="31"/>
        <v>4</v>
      </c>
      <c r="U125" s="251">
        <f t="shared" si="32"/>
        <v>-1.4714127914918034</v>
      </c>
      <c r="V125" s="383">
        <f t="shared" si="33"/>
        <v>53.382441747922449</v>
      </c>
      <c r="W125" s="402">
        <f t="shared" si="34"/>
        <v>8.9443018962454044</v>
      </c>
      <c r="X125" s="157">
        <f t="shared" si="35"/>
        <v>46133</v>
      </c>
      <c r="Y125" s="385">
        <f t="shared" si="36"/>
        <v>8.6117663127941277</v>
      </c>
      <c r="Z125" s="385">
        <f t="shared" si="37"/>
        <v>9.171291438713892</v>
      </c>
      <c r="AA125" s="386">
        <f t="shared" si="38"/>
        <v>10.090894001989033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9.1131921819204167E-2</v>
      </c>
      <c r="AD125" s="231">
        <f>(INDEX(Models!$BJ125:$BT125,,AH125)*(1-AF125)+INDEX(Models!$BJ125:$BT125,,AH125+1)*AF125-ERP_i)*AE125*Ramure*Pc/MaxiM</f>
        <v>4.0098990774499337E-5</v>
      </c>
      <c r="AE125" s="305">
        <f t="shared" si="40"/>
        <v>0.5</v>
      </c>
      <c r="AF125" s="177">
        <f t="shared" si="41"/>
        <v>5.3574774882175547E-2</v>
      </c>
      <c r="AG125" s="811">
        <f t="shared" si="49"/>
        <v>2</v>
      </c>
      <c r="AH125" s="176">
        <f t="shared" si="42"/>
        <v>8</v>
      </c>
      <c r="AI125" s="225">
        <f t="shared" si="43"/>
        <v>2.0535747748821755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'2025'!Wh/'2025'!Env_an*'2026'!Env_an</f>
        <v>26.176005168492182</v>
      </c>
      <c r="C126" s="841"/>
      <c r="D126" s="393">
        <f t="shared" si="25"/>
        <v>27.877327553622997</v>
      </c>
      <c r="E126" s="385">
        <f t="shared" si="47"/>
        <v>29.534466700641946</v>
      </c>
      <c r="F126" s="385">
        <f t="shared" si="26"/>
        <v>29.534495530531675</v>
      </c>
      <c r="G126" s="110">
        <f t="shared" si="48"/>
        <v>0.48892018488412625</v>
      </c>
      <c r="H126" s="414" t="b">
        <f>Wh_hp&gt;='2025'!Maxi_hp</f>
        <v>0</v>
      </c>
      <c r="I126" s="390">
        <f>IF(H126,Wh_hp,'2025'!Maxi_hp)</f>
        <v>61.619887493232405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6.1028891017557707E-2</v>
      </c>
      <c r="M126" s="845"/>
      <c r="N126" s="845"/>
      <c r="O126" s="48">
        <f>IF(t&lt;Tnet,'2025'!Resal+('2025'!Salim-'2025'!Resal)*(1-EXP(('2025'!Tnet-t)/('2025'!Tau_j))),Resal+(Salim-Resal)*(1-EXP((Tnet-t)/(Tau_j))))*Salcycl</f>
        <v>5.6108653114191068E-2</v>
      </c>
      <c r="P126" s="169">
        <f>(INDEX(Models!$BJ126:$BT126,,T126)*(1-R126)+INDEX(Models!$BJ126:$BT126,,T126+1)*R126-ERP_i)*Q126*Ramure*Pc/MaxiM</f>
        <v>3.6168469711799099E-6</v>
      </c>
      <c r="Q126" s="305">
        <f t="shared" si="28"/>
        <v>0.5</v>
      </c>
      <c r="R126" s="177">
        <f t="shared" si="29"/>
        <v>0.53069249205507907</v>
      </c>
      <c r="S126" s="811">
        <f t="shared" si="30"/>
        <v>-2</v>
      </c>
      <c r="T126" s="176">
        <f t="shared" si="31"/>
        <v>4</v>
      </c>
      <c r="U126" s="251">
        <f t="shared" si="32"/>
        <v>-1.4693075079449209</v>
      </c>
      <c r="V126" s="383">
        <f t="shared" si="33"/>
        <v>53.538260138608102</v>
      </c>
      <c r="W126" s="402">
        <f t="shared" si="34"/>
        <v>26.176005168492182</v>
      </c>
      <c r="X126" s="157">
        <f t="shared" si="35"/>
        <v>46134</v>
      </c>
      <c r="Y126" s="385">
        <f t="shared" si="36"/>
        <v>25.202974982450087</v>
      </c>
      <c r="Z126" s="385">
        <f t="shared" si="37"/>
        <v>26.841054790026934</v>
      </c>
      <c r="AA126" s="386">
        <f t="shared" si="38"/>
        <v>29.534137573564646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9.1185421508574255E-2</v>
      </c>
      <c r="AD126" s="231">
        <f>(INDEX(Models!$BJ126:$BT126,,AH126)*(1-AF126)+INDEX(Models!$BJ126:$BT126,,AH126+1)*AF126-ERP_i)*AE126*Ramure*Pc/MaxiM</f>
        <v>4.4907406312725973E-5</v>
      </c>
      <c r="AE126" s="305">
        <f t="shared" si="40"/>
        <v>0.5</v>
      </c>
      <c r="AF126" s="177">
        <f t="shared" si="41"/>
        <v>5.5680058429057766E-2</v>
      </c>
      <c r="AG126" s="811">
        <f t="shared" si="49"/>
        <v>2</v>
      </c>
      <c r="AH126" s="176">
        <f t="shared" si="42"/>
        <v>8</v>
      </c>
      <c r="AI126" s="225">
        <f t="shared" si="43"/>
        <v>2.0556800584290578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'2025'!Wh/'2025'!Env_an*'2026'!Env_an</f>
        <v>9.0572600668133028</v>
      </c>
      <c r="C127" s="841"/>
      <c r="D127" s="393">
        <f t="shared" si="25"/>
        <v>9.6461524340340929</v>
      </c>
      <c r="E127" s="385">
        <f t="shared" si="47"/>
        <v>10.220344553089726</v>
      </c>
      <c r="F127" s="385">
        <f t="shared" si="26"/>
        <v>10.220344553089726</v>
      </c>
      <c r="G127" s="110">
        <f t="shared" si="48"/>
        <v>0.16869914447389264</v>
      </c>
      <c r="H127" s="414" t="b">
        <f>Wh_hp&gt;='2025'!Maxi_hp</f>
        <v>0</v>
      </c>
      <c r="I127" s="390">
        <f>IF(H127,Wh_hp,'2025'!Maxi_hp)</f>
        <v>61.960154457717145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6.1049456894650245E-2</v>
      </c>
      <c r="M127" s="845"/>
      <c r="N127" s="845"/>
      <c r="O127" s="48">
        <f>IF(t&lt;Tnet,'2025'!Resal+('2025'!Salim-'2025'!Resal)*(1-EXP(('2025'!Tnet-t)/('2025'!Tau_j))),Resal+(Salim-Resal)*(1-EXP((Tnet-t)/(Tau_j))))*Salcycl</f>
        <v>5.6181287829679696E-2</v>
      </c>
      <c r="P127" s="169">
        <f>(INDEX(Models!$BJ127:$BT127,,T127)*(1-R127)+INDEX(Models!$BJ127:$BT127,,T127+1)*R127-ERP_i)*Q127*Ramure*Pc/MaxiM</f>
        <v>4.1752996145597729E-6</v>
      </c>
      <c r="Q127" s="305">
        <f t="shared" si="28"/>
        <v>0.5</v>
      </c>
      <c r="R127" s="177">
        <f t="shared" si="29"/>
        <v>0.53286496105911252</v>
      </c>
      <c r="S127" s="811">
        <f t="shared" si="30"/>
        <v>-2</v>
      </c>
      <c r="T127" s="176">
        <f t="shared" si="31"/>
        <v>4</v>
      </c>
      <c r="U127" s="251">
        <f t="shared" si="32"/>
        <v>-1.4671350389408875</v>
      </c>
      <c r="V127" s="383">
        <f t="shared" si="33"/>
        <v>53.6886080737683</v>
      </c>
      <c r="W127" s="402">
        <f t="shared" si="34"/>
        <v>9.0572600668133028</v>
      </c>
      <c r="X127" s="157">
        <f t="shared" si="35"/>
        <v>46135</v>
      </c>
      <c r="Y127" s="385">
        <f t="shared" si="36"/>
        <v>8.7208207796075161</v>
      </c>
      <c r="Z127" s="385">
        <f t="shared" si="37"/>
        <v>9.2878382611777717</v>
      </c>
      <c r="AA127" s="386">
        <f t="shared" si="38"/>
        <v>10.220344553089726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9.124020105858828E-2</v>
      </c>
      <c r="AD127" s="231">
        <f>(INDEX(Models!$BJ127:$BT127,,AH127)*(1-AF127)+INDEX(Models!$BJ127:$BT127,,AH127+1)*AF127-ERP_i)*AE127*Ramure*Pc/MaxiM</f>
        <v>5.0120388123986985E-5</v>
      </c>
      <c r="AE127" s="305">
        <f t="shared" si="40"/>
        <v>0.5</v>
      </c>
      <c r="AF127" s="177">
        <f t="shared" si="41"/>
        <v>5.7852527433091439E-2</v>
      </c>
      <c r="AG127" s="811">
        <f t="shared" si="49"/>
        <v>2</v>
      </c>
      <c r="AH127" s="176">
        <f t="shared" si="42"/>
        <v>8</v>
      </c>
      <c r="AI127" s="225">
        <f t="shared" si="43"/>
        <v>2.0578525274330914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'2025'!Wh/'2025'!Env_an*'2026'!Env_an</f>
        <v>28.739007903979196</v>
      </c>
      <c r="C128" s="841"/>
      <c r="D128" s="393">
        <f t="shared" si="25"/>
        <v>30.608254701836291</v>
      </c>
      <c r="E128" s="385">
        <f t="shared" si="47"/>
        <v>32.432749594012776</v>
      </c>
      <c r="F128" s="385">
        <f t="shared" si="26"/>
        <v>32.43280198754735</v>
      </c>
      <c r="G128" s="110">
        <f t="shared" si="48"/>
        <v>0.53384549654246904</v>
      </c>
      <c r="H128" s="414" t="b">
        <f>Wh_hp&gt;='2025'!Maxi_hp</f>
        <v>0</v>
      </c>
      <c r="I128" s="390">
        <f>IF(H128,Wh_hp,'2025'!Maxi_hp)</f>
        <v>59.446721075347604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6.1070022321297324E-2</v>
      </c>
      <c r="M128" s="845"/>
      <c r="N128" s="845"/>
      <c r="O128" s="48">
        <f>IF(t&lt;Tnet,'2025'!Resal+('2025'!Salim-'2025'!Resal)*(1-EXP(('2025'!Tnet-t)/('2025'!Tau_j))),Resal+(Salim-Resal)*(1-EXP((Tnet-t)/(Tau_j))))*Salcycl</f>
        <v>5.6254709052275191E-2</v>
      </c>
      <c r="P128" s="169">
        <f>(INDEX(Models!$BJ128:$BT128,,T128)*(1-R128)+INDEX(Models!$BJ128:$BT128,,T128+1)*R128-ERP_i)*Q128*Ramure*Pc/MaxiM</f>
        <v>4.8356968148982071E-6</v>
      </c>
      <c r="Q128" s="305">
        <f t="shared" si="28"/>
        <v>0.5</v>
      </c>
      <c r="R128" s="177">
        <f t="shared" si="29"/>
        <v>0.53510596044569403</v>
      </c>
      <c r="S128" s="811">
        <f t="shared" si="30"/>
        <v>-2</v>
      </c>
      <c r="T128" s="176">
        <f t="shared" si="31"/>
        <v>4</v>
      </c>
      <c r="U128" s="251">
        <f t="shared" si="32"/>
        <v>-1.464894039554306</v>
      </c>
      <c r="V128" s="383">
        <f t="shared" si="33"/>
        <v>53.833769401880474</v>
      </c>
      <c r="W128" s="402">
        <f t="shared" si="34"/>
        <v>28.739007903979196</v>
      </c>
      <c r="X128" s="157">
        <f t="shared" si="35"/>
        <v>46136</v>
      </c>
      <c r="Y128" s="385">
        <f t="shared" si="36"/>
        <v>27.671446486003287</v>
      </c>
      <c r="Z128" s="385">
        <f t="shared" si="37"/>
        <v>29.471256796395867</v>
      </c>
      <c r="AA128" s="386">
        <f t="shared" si="38"/>
        <v>32.432195025169364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9.1296263681062292E-2</v>
      </c>
      <c r="AD128" s="231">
        <f>(INDEX(Models!$BJ128:$BT128,,AH128)*(1-AF128)+INDEX(Models!$BJ128:$BT128,,AH128+1)*AF128-ERP_i)*AE128*Ramure*Pc/MaxiM</f>
        <v>5.6020004415056742E-5</v>
      </c>
      <c r="AE128" s="305">
        <f t="shared" si="40"/>
        <v>0.5</v>
      </c>
      <c r="AF128" s="177">
        <f t="shared" si="41"/>
        <v>6.0093526819672949E-2</v>
      </c>
      <c r="AG128" s="811">
        <f t="shared" si="49"/>
        <v>2</v>
      </c>
      <c r="AH128" s="176">
        <f t="shared" si="42"/>
        <v>8</v>
      </c>
      <c r="AI128" s="225">
        <f t="shared" si="43"/>
        <v>2.0600935268196729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'2025'!Wh/'2025'!Env_an*'2026'!Env_an</f>
        <v>44.225776869845404</v>
      </c>
      <c r="C129" s="841"/>
      <c r="D129" s="393">
        <f t="shared" si="25"/>
        <v>47.103348066933336</v>
      </c>
      <c r="E129" s="385">
        <f t="shared" si="47"/>
        <v>49.915006424847299</v>
      </c>
      <c r="F129" s="385">
        <f t="shared" si="26"/>
        <v>49.915213177576554</v>
      </c>
      <c r="G129" s="110">
        <f t="shared" si="48"/>
        <v>0.81938873349179242</v>
      </c>
      <c r="H129" s="414" t="b">
        <f>Wh_hp&gt;='2025'!Maxi_hp</f>
        <v>0</v>
      </c>
      <c r="I129" s="390">
        <f>IF(H129,Wh_hp,'2025'!Maxi_hp)</f>
        <v>54.184367462537033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6.1090587297508714E-2</v>
      </c>
      <c r="M129" s="845"/>
      <c r="N129" s="845"/>
      <c r="O129" s="48">
        <f>IF(t&lt;Tnet,'2025'!Resal+('2025'!Salim-'2025'!Resal)*(1-EXP(('2025'!Tnet-t)/('2025'!Tau_j))),Resal+(Salim-Resal)*(1-EXP((Tnet-t)/(Tau_j))))*Salcycl</f>
        <v>5.6328919082625564E-2</v>
      </c>
      <c r="P129" s="169">
        <f>(INDEX(Models!$BJ129:$BT129,,T129)*(1-R129)+INDEX(Models!$BJ129:$BT129,,T129+1)*R129-ERP_i)*Q129*Ramure*Pc/MaxiM</f>
        <v>5.5824243877141281E-6</v>
      </c>
      <c r="Q129" s="305">
        <f t="shared" si="28"/>
        <v>0.5</v>
      </c>
      <c r="R129" s="177">
        <f t="shared" si="29"/>
        <v>0.53741680195065977</v>
      </c>
      <c r="S129" s="811">
        <f t="shared" si="30"/>
        <v>-2</v>
      </c>
      <c r="T129" s="176">
        <f t="shared" si="31"/>
        <v>4</v>
      </c>
      <c r="U129" s="251">
        <f t="shared" si="32"/>
        <v>-1.4625831980493402</v>
      </c>
      <c r="V129" s="383">
        <f t="shared" si="33"/>
        <v>53.974031325397604</v>
      </c>
      <c r="W129" s="402">
        <f t="shared" si="34"/>
        <v>44.225776869845404</v>
      </c>
      <c r="X129" s="157">
        <f t="shared" si="35"/>
        <v>46137</v>
      </c>
      <c r="Y129" s="385">
        <f t="shared" si="36"/>
        <v>42.582524244478549</v>
      </c>
      <c r="Z129" s="385">
        <f t="shared" si="37"/>
        <v>45.353176428290332</v>
      </c>
      <c r="AA129" s="386">
        <f t="shared" si="38"/>
        <v>49.91290005724818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9.1353610463988572E-2</v>
      </c>
      <c r="AD129" s="231">
        <f>(INDEX(Models!$BJ129:$BT129,,AH129)*(1-AF129)+INDEX(Models!$BJ129:$BT129,,AH129+1)*AF129-ERP_i)*AE129*Ramure*Pc/MaxiM</f>
        <v>6.2455375458747816E-5</v>
      </c>
      <c r="AE129" s="305">
        <f t="shared" si="40"/>
        <v>0.5</v>
      </c>
      <c r="AF129" s="177">
        <f t="shared" si="41"/>
        <v>6.2404368324638693E-2</v>
      </c>
      <c r="AG129" s="811">
        <f t="shared" si="49"/>
        <v>2</v>
      </c>
      <c r="AH129" s="176">
        <f t="shared" si="42"/>
        <v>8</v>
      </c>
      <c r="AI129" s="225">
        <f t="shared" si="43"/>
        <v>2.0624043683246387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'2025'!Wh/'2025'!Env_an*'2026'!Env_an</f>
        <v>51.485077118817564</v>
      </c>
      <c r="C130" s="841"/>
      <c r="D130" s="393">
        <f t="shared" si="25"/>
        <v>54.83617919075305</v>
      </c>
      <c r="E130" s="385">
        <f t="shared" si="47"/>
        <v>58.114038714866048</v>
      </c>
      <c r="F130" s="385">
        <f t="shared" si="26"/>
        <v>58.114385837927273</v>
      </c>
      <c r="G130" s="110">
        <f t="shared" si="48"/>
        <v>0.95149433798288474</v>
      </c>
      <c r="H130" s="414" t="b">
        <f>Wh_hp&gt;='2025'!Maxi_hp</f>
        <v>0</v>
      </c>
      <c r="I130" s="390">
        <f>IF(H130,Wh_hp,'2025'!Maxi_hp)</f>
        <v>58.114409650306747</v>
      </c>
      <c r="J130" s="85">
        <f>IF(H130,An,'2025'!An_max)</f>
        <v>2025</v>
      </c>
      <c r="K130" s="197">
        <f t="shared" si="27"/>
        <v>46138</v>
      </c>
      <c r="L130" s="147">
        <f>IF(t&lt;Tvie,1-EXP((T0-t)*PertePVj)+'2025'!Pspv,1-EXP((T0-t)*PertePVj)+Pspv)</f>
        <v>6.1111151823294407E-2</v>
      </c>
      <c r="M130" s="845"/>
      <c r="N130" s="845"/>
      <c r="O130" s="48">
        <f>IF(t&lt;Tnet,'2025'!Resal+('2025'!Salim-'2025'!Resal)*(1-EXP(('2025'!Tnet-t)/('2025'!Tau_j))),Resal+(Salim-Resal)*(1-EXP((Tnet-t)/(Tau_j))))*Salcycl</f>
        <v>5.640391885677868E-2</v>
      </c>
      <c r="P130" s="169">
        <f>(INDEX(Models!$BJ130:$BT130,,T130)*(1-R130)+INDEX(Models!$BJ130:$BT130,,T130+1)*R130-ERP_i)*Q130*Ramure*Pc/MaxiM</f>
        <v>6.4178110534736218E-6</v>
      </c>
      <c r="Q130" s="305">
        <f t="shared" si="28"/>
        <v>0.5</v>
      </c>
      <c r="R130" s="177">
        <f t="shared" si="29"/>
        <v>0.53979875872851868</v>
      </c>
      <c r="S130" s="811">
        <f t="shared" si="30"/>
        <v>-2</v>
      </c>
      <c r="T130" s="176">
        <f t="shared" si="31"/>
        <v>4</v>
      </c>
      <c r="U130" s="251">
        <f t="shared" si="32"/>
        <v>-1.4602012412714813</v>
      </c>
      <c r="V130" s="383">
        <f t="shared" si="33"/>
        <v>54.109680076356426</v>
      </c>
      <c r="W130" s="402">
        <f t="shared" si="34"/>
        <v>51.485077118817564</v>
      </c>
      <c r="X130" s="157">
        <f t="shared" si="35"/>
        <v>46138</v>
      </c>
      <c r="Y130" s="385">
        <f t="shared" si="36"/>
        <v>49.572023669320316</v>
      </c>
      <c r="Z130" s="385">
        <f t="shared" si="37"/>
        <v>52.798607381041663</v>
      </c>
      <c r="AA130" s="386">
        <f t="shared" si="38"/>
        <v>58.11063027941163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9.1412240287677624E-2</v>
      </c>
      <c r="AD130" s="231">
        <f>(INDEX(Models!$BJ130:$BT130,,AH130)*(1-AF130)+INDEX(Models!$BJ130:$BT130,,AH130+1)*AF130-ERP_i)*AE130*Ramure*Pc/MaxiM</f>
        <v>6.9434928547307986E-5</v>
      </c>
      <c r="AE130" s="305">
        <f t="shared" si="40"/>
        <v>0.5</v>
      </c>
      <c r="AF130" s="177">
        <f t="shared" si="41"/>
        <v>6.4786325102497599E-2</v>
      </c>
      <c r="AG130" s="811">
        <f t="shared" si="49"/>
        <v>2</v>
      </c>
      <c r="AH130" s="176">
        <f t="shared" si="42"/>
        <v>8</v>
      </c>
      <c r="AI130" s="225">
        <f t="shared" si="43"/>
        <v>2.0647863251024976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'2025'!Wh/'2025'!Env_an*'2026'!Env_an</f>
        <v>38.781836017274664</v>
      </c>
      <c r="C131" s="841"/>
      <c r="D131" s="393">
        <f t="shared" si="25"/>
        <v>41.307004053711097</v>
      </c>
      <c r="E131" s="385">
        <f t="shared" si="47"/>
        <v>43.779666848824327</v>
      </c>
      <c r="F131" s="385">
        <f t="shared" si="26"/>
        <v>43.779857469052011</v>
      </c>
      <c r="G131" s="110">
        <f t="shared" si="48"/>
        <v>0.71498900673123289</v>
      </c>
      <c r="H131" s="414" t="b">
        <f>Wh_hp&gt;='2025'!Maxi_hp</f>
        <v>0</v>
      </c>
      <c r="I131" s="390">
        <f>IF(H131,Wh_hp,'2025'!Maxi_hp)</f>
        <v>43.779977560532842</v>
      </c>
      <c r="J131" s="85">
        <f>IF(H131,An,'2025'!An_max)</f>
        <v>2025</v>
      </c>
      <c r="K131" s="197">
        <f t="shared" si="27"/>
        <v>46139</v>
      </c>
      <c r="L131" s="147">
        <f>IF(t&lt;Tvie,1-EXP((T0-t)*PertePVj)+'2025'!Pspv,1-EXP((T0-t)*PertePVj)+Pspv)</f>
        <v>6.1131715898664174E-2</v>
      </c>
      <c r="M131" s="845"/>
      <c r="N131" s="845"/>
      <c r="O131" s="48">
        <f>IF(t&lt;Tnet,'2025'!Resal+('2025'!Salim-'2025'!Resal)*(1-EXP(('2025'!Tnet-t)/('2025'!Tau_j))),Resal+(Salim-Resal)*(1-EXP((Tnet-t)/(Tau_j))))*Salcycl</f>
        <v>5.6479707889317284E-2</v>
      </c>
      <c r="P131" s="169">
        <f>(INDEX(Models!$BJ131:$BT131,,T131)*(1-R131)+INDEX(Models!$BJ131:$BT131,,T131+1)*R131-ERP_i)*Q131*Ramure*Pc/MaxiM</f>
        <v>7.3443582129649687E-6</v>
      </c>
      <c r="Q131" s="305">
        <f t="shared" si="28"/>
        <v>0.5</v>
      </c>
      <c r="R131" s="177">
        <f t="shared" si="29"/>
        <v>0.54225305971565363</v>
      </c>
      <c r="S131" s="811">
        <f t="shared" si="30"/>
        <v>-2</v>
      </c>
      <c r="T131" s="176">
        <f t="shared" si="31"/>
        <v>4</v>
      </c>
      <c r="U131" s="251">
        <f t="shared" si="32"/>
        <v>-1.4577469402843464</v>
      </c>
      <c r="V131" s="383">
        <f t="shared" si="33"/>
        <v>54.241001865057875</v>
      </c>
      <c r="W131" s="402">
        <f t="shared" si="34"/>
        <v>38.781836017274664</v>
      </c>
      <c r="X131" s="157">
        <f t="shared" si="35"/>
        <v>46139</v>
      </c>
      <c r="Y131" s="385">
        <f t="shared" si="36"/>
        <v>37.341988368406483</v>
      </c>
      <c r="Z131" s="385">
        <f t="shared" si="37"/>
        <v>39.773404854280933</v>
      </c>
      <c r="AA131" s="386">
        <f t="shared" si="38"/>
        <v>43.777859801336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9.1472149740240552E-2</v>
      </c>
      <c r="AD131" s="231">
        <f>(INDEX(Models!$BJ131:$BT131,,AH131)*(1-AF131)+INDEX(Models!$BJ131:$BT131,,AH131+1)*AF131-ERP_i)*AE131*Ramure*Pc/MaxiM</f>
        <v>7.6967630744955069E-5</v>
      </c>
      <c r="AE131" s="305">
        <f t="shared" si="40"/>
        <v>0.5</v>
      </c>
      <c r="AF131" s="177">
        <f t="shared" si="41"/>
        <v>6.7240626089632549E-2</v>
      </c>
      <c r="AG131" s="811">
        <f t="shared" si="49"/>
        <v>2</v>
      </c>
      <c r="AH131" s="176">
        <f t="shared" si="42"/>
        <v>8</v>
      </c>
      <c r="AI131" s="225">
        <f t="shared" si="43"/>
        <v>2.0672406260896325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'2025'!Wh/'2025'!Env_an*'2026'!Env_an</f>
        <v>19.303803259151717</v>
      </c>
      <c r="C132" s="841"/>
      <c r="D132" s="393">
        <f t="shared" si="25"/>
        <v>20.561165392569684</v>
      </c>
      <c r="E132" s="385">
        <f t="shared" si="47"/>
        <v>21.793738247002484</v>
      </c>
      <c r="F132" s="385">
        <f t="shared" si="26"/>
        <v>21.793752585168953</v>
      </c>
      <c r="G132" s="110">
        <f t="shared" si="48"/>
        <v>0.35505359860511743</v>
      </c>
      <c r="H132" s="414" t="b">
        <f>Wh_hp&gt;='2025'!Maxi_hp</f>
        <v>0</v>
      </c>
      <c r="I132" s="390">
        <f>IF(H132,Wh_hp,'2025'!Maxi_hp)</f>
        <v>46.870510731346037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6.1152279523627895E-2</v>
      </c>
      <c r="M132" s="845"/>
      <c r="N132" s="845"/>
      <c r="O132" s="48">
        <f>IF(t&lt;Tnet,'2025'!Resal+('2025'!Salim-'2025'!Resal)*(1-EXP(('2025'!Tnet-t)/('2025'!Tau_j))),Resal+(Salim-Resal)*(1-EXP((Tnet-t)/(Tau_j))))*Salcycl</f>
        <v>5.6556284216285252E-2</v>
      </c>
      <c r="P132" s="169">
        <f>(INDEX(Models!$BJ132:$BT132,,T132)*(1-R132)+INDEX(Models!$BJ132:$BT132,,T132+1)*R132-ERP_i)*Q132*Ramure*Pc/MaxiM</f>
        <v>8.3647380375601263E-6</v>
      </c>
      <c r="Q132" s="305">
        <f t="shared" si="28"/>
        <v>0.5</v>
      </c>
      <c r="R132" s="177">
        <f t="shared" si="29"/>
        <v>0.54478088375853106</v>
      </c>
      <c r="S132" s="811">
        <f t="shared" si="30"/>
        <v>-2</v>
      </c>
      <c r="T132" s="176">
        <f t="shared" si="31"/>
        <v>4</v>
      </c>
      <c r="U132" s="251">
        <f t="shared" si="32"/>
        <v>-1.4552191162414689</v>
      </c>
      <c r="V132" s="383">
        <f t="shared" si="33"/>
        <v>54.368282883643921</v>
      </c>
      <c r="W132" s="402">
        <f t="shared" si="34"/>
        <v>19.303803259151717</v>
      </c>
      <c r="X132" s="157">
        <f t="shared" si="35"/>
        <v>46140</v>
      </c>
      <c r="Y132" s="385">
        <f t="shared" si="36"/>
        <v>18.588025679481952</v>
      </c>
      <c r="Z132" s="385">
        <f t="shared" si="37"/>
        <v>19.798765309937988</v>
      </c>
      <c r="AA132" s="386">
        <f t="shared" si="38"/>
        <v>21.793606777053398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9.1533333033052097E-2</v>
      </c>
      <c r="AD132" s="231">
        <f>(INDEX(Models!$BJ132:$BT132,,AH132)*(1-AF132)+INDEX(Models!$BJ132:$BT132,,AH132+1)*AF132-ERP_i)*AE132*Ramure*Pc/MaxiM</f>
        <v>8.5062946720900737E-5</v>
      </c>
      <c r="AE132" s="305">
        <f t="shared" si="40"/>
        <v>0.5</v>
      </c>
      <c r="AF132" s="177">
        <f t="shared" si="41"/>
        <v>6.9768450132509763E-2</v>
      </c>
      <c r="AG132" s="811">
        <f t="shared" si="49"/>
        <v>2</v>
      </c>
      <c r="AH132" s="176">
        <f t="shared" si="42"/>
        <v>8</v>
      </c>
      <c r="AI132" s="225">
        <f t="shared" si="43"/>
        <v>2.0697684501325098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'2025'!Wh/'2025'!Env_an*'2026'!Env_an</f>
        <v>38.845885753846431</v>
      </c>
      <c r="C133" s="841"/>
      <c r="D133" s="393">
        <f t="shared" si="25"/>
        <v>41.377036711943624</v>
      </c>
      <c r="E133" s="385">
        <f t="shared" si="47"/>
        <v>43.861047686954109</v>
      </c>
      <c r="F133" s="385">
        <f t="shared" si="26"/>
        <v>43.861292984428061</v>
      </c>
      <c r="G133" s="110">
        <f t="shared" si="48"/>
        <v>0.71287291000894071</v>
      </c>
      <c r="H133" s="414" t="b">
        <f>Wh_hp&gt;='2025'!Maxi_hp</f>
        <v>0</v>
      </c>
      <c r="I133" s="390">
        <f>IF(H133,Wh_hp,'2025'!Maxi_hp)</f>
        <v>52.731591737433121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6.1172842698195562E-2</v>
      </c>
      <c r="M133" s="845"/>
      <c r="N133" s="845"/>
      <c r="O133" s="48">
        <f>IF(t&lt;Tnet,'2025'!Resal+('2025'!Salim-'2025'!Resal)*(1-EXP(('2025'!Tnet-t)/('2025'!Tau_j))),Resal+(Salim-Resal)*(1-EXP((Tnet-t)/(Tau_j))))*Salcycl</f>
        <v>5.6633644338352725E-2</v>
      </c>
      <c r="P133" s="169">
        <f>(INDEX(Models!$BJ133:$BT133,,T133)*(1-R133)+INDEX(Models!$BJ133:$BT133,,T133+1)*R133-ERP_i)*Q133*Ramure*Pc/MaxiM</f>
        <v>9.4817910641261031E-6</v>
      </c>
      <c r="Q133" s="305">
        <f t="shared" si="28"/>
        <v>0.5</v>
      </c>
      <c r="R133" s="177">
        <f t="shared" si="29"/>
        <v>0.54738335351966305</v>
      </c>
      <c r="S133" s="811">
        <f t="shared" si="30"/>
        <v>-2</v>
      </c>
      <c r="T133" s="176">
        <f t="shared" si="31"/>
        <v>4</v>
      </c>
      <c r="U133" s="251">
        <f t="shared" si="32"/>
        <v>-1.4526166464803369</v>
      </c>
      <c r="V133" s="383">
        <f t="shared" si="33"/>
        <v>54.491809307756974</v>
      </c>
      <c r="W133" s="402">
        <f t="shared" si="34"/>
        <v>38.845885753846431</v>
      </c>
      <c r="X133" s="157">
        <f t="shared" si="35"/>
        <v>46141</v>
      </c>
      <c r="Y133" s="385">
        <f t="shared" si="36"/>
        <v>37.404358057169539</v>
      </c>
      <c r="Z133" s="385">
        <f t="shared" si="37"/>
        <v>39.841580813096542</v>
      </c>
      <c r="AA133" s="386">
        <f t="shared" si="38"/>
        <v>43.858868133803171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9.1595781916916391E-2</v>
      </c>
      <c r="AD133" s="231">
        <f>(INDEX(Models!$BJ133:$BT133,,AH133)*(1-AF133)+INDEX(Models!$BJ133:$BT133,,AH133+1)*AF133-ERP_i)*AE133*Ramure*Pc/MaxiM</f>
        <v>9.373079394619885E-5</v>
      </c>
      <c r="AE133" s="305">
        <f t="shared" si="40"/>
        <v>0.5</v>
      </c>
      <c r="AF133" s="177">
        <f t="shared" si="41"/>
        <v>7.2370919893641972E-2</v>
      </c>
      <c r="AG133" s="811">
        <f t="shared" si="49"/>
        <v>2</v>
      </c>
      <c r="AH133" s="176">
        <f t="shared" si="42"/>
        <v>8</v>
      </c>
      <c r="AI133" s="225">
        <f t="shared" si="43"/>
        <v>2.072370919893642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'2025'!Wh/'2025'!Env_an*'2026'!Env_an</f>
        <v>43.552788161768468</v>
      </c>
      <c r="C134" s="841"/>
      <c r="D134" s="393">
        <f t="shared" si="25"/>
        <v>46.391651287199601</v>
      </c>
      <c r="E134" s="385">
        <f t="shared" si="47"/>
        <v>46.627367499120474</v>
      </c>
      <c r="F134" s="385">
        <f t="shared" si="26"/>
        <v>46.627692527878246</v>
      </c>
      <c r="G134" s="110">
        <f t="shared" si="48"/>
        <v>0.75608877837928501</v>
      </c>
      <c r="H134" s="414" t="b">
        <f>Wh_hp&gt;='2025'!Maxi_hp</f>
        <v>0</v>
      </c>
      <c r="I134" s="390">
        <f>IF(H134,Wh_hp,'2025'!Maxi_hp)</f>
        <v>62.081683557920357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6.1193405422376834E-2</v>
      </c>
      <c r="M134" s="845"/>
      <c r="N134" s="845"/>
      <c r="O134" s="48">
        <f>IF(t&lt;Tnet,'2025'!Resal+('2025'!Salim-'2025'!Resal)*(1-EXP(('2025'!Tnet-t)/('2025'!Tau_j))),Resal+(Salim-Resal)*(1-EXP((Tnet-t)/(Tau_j))))*Salcycl</f>
        <v>5.0553188945380769E-3</v>
      </c>
      <c r="P134" s="169">
        <f>(INDEX(Models!$BJ134:$BT134,,T134)*(1-R134)+INDEX(Models!$BJ134:$BT134,,T134+1)*R134-ERP_i)*Q134*Ramure*Pc/MaxiM</f>
        <v>1.0698523209874306E-5</v>
      </c>
      <c r="Q134" s="305">
        <f t="shared" si="28"/>
        <v>0.5</v>
      </c>
      <c r="R134" s="177">
        <f t="shared" si="29"/>
        <v>0.55006152917694218</v>
      </c>
      <c r="S134" s="811">
        <f t="shared" si="30"/>
        <v>-2</v>
      </c>
      <c r="T134" s="176">
        <f t="shared" si="31"/>
        <v>4</v>
      </c>
      <c r="U134" s="251">
        <f t="shared" si="32"/>
        <v>-1.4499384708230578</v>
      </c>
      <c r="V134" s="383">
        <f t="shared" si="33"/>
        <v>57.602529028308375</v>
      </c>
      <c r="W134" s="402">
        <f t="shared" si="34"/>
        <v>43.552788161768468</v>
      </c>
      <c r="X134" s="157">
        <f t="shared" si="35"/>
        <v>46142</v>
      </c>
      <c r="Y134" s="385">
        <f t="shared" si="36"/>
        <v>41.289091166872822</v>
      </c>
      <c r="Z134" s="385">
        <f t="shared" si="37"/>
        <v>43.980401719961421</v>
      </c>
      <c r="AA134" s="386">
        <f t="shared" si="38"/>
        <v>46.624563876685535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5.6711783164717575E-2</v>
      </c>
      <c r="AD134" s="231">
        <f>(INDEX(Models!$BJ134:$BT134,,AH134)*(1-AF134)+INDEX(Models!$BJ134:$BT134,,AH134+1)*AF134-ERP_i)*AE134*Ramure*Pc/MaxiM</f>
        <v>1.0298149502205364E-4</v>
      </c>
      <c r="AE134" s="305">
        <f t="shared" si="40"/>
        <v>0.5</v>
      </c>
      <c r="AF134" s="177">
        <f t="shared" si="41"/>
        <v>7.5049095550921319E-2</v>
      </c>
      <c r="AG134" s="811">
        <f t="shared" si="49"/>
        <v>2</v>
      </c>
      <c r="AH134" s="176">
        <f t="shared" si="42"/>
        <v>8</v>
      </c>
      <c r="AI134" s="225">
        <f t="shared" si="43"/>
        <v>2.0750490955509213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'2025'!Wh/'2025'!Env_an*'2026'!Env_an</f>
        <v>47.202588906795981</v>
      </c>
      <c r="C135" s="841"/>
      <c r="D135" s="393">
        <f t="shared" si="25"/>
        <v>50.280455058496074</v>
      </c>
      <c r="E135" s="385">
        <f t="shared" si="47"/>
        <v>50.54098740636114</v>
      </c>
      <c r="F135" s="385">
        <f t="shared" si="26"/>
        <v>50.541436665107234</v>
      </c>
      <c r="G135" s="110">
        <f t="shared" si="48"/>
        <v>0.81772801858106714</v>
      </c>
      <c r="H135" s="414" t="b">
        <f>Wh_hp&gt;='2025'!Maxi_hp</f>
        <v>0</v>
      </c>
      <c r="I135" s="390">
        <f>IF(H135,Wh_hp,'2025'!Maxi_hp)</f>
        <v>57.93362071879104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6.1213967696181704E-2</v>
      </c>
      <c r="M135" s="845"/>
      <c r="N135" s="845"/>
      <c r="O135" s="48">
        <f>IF(t&lt;Tnet,'2025'!Resal+('2025'!Salim-'2025'!Resal)*(1-EXP(('2025'!Tnet-t)/('2025'!Tau_j))),Resal+(Salim-Resal)*(1-EXP((Tnet-t)/(Tau_j))))*Salcycl</f>
        <v>5.1548725348463135E-3</v>
      </c>
      <c r="P135" s="169">
        <f>(INDEX(Models!$BJ135:$BT135,,T135)*(1-R135)+INDEX(Models!$BJ135:$BT135,,T135+1)*R135-ERP_i)*Q135*Ramure*Pc/MaxiM</f>
        <v>1.2018303920851323E-5</v>
      </c>
      <c r="Q135" s="305">
        <f t="shared" si="28"/>
        <v>0.5</v>
      </c>
      <c r="R135" s="177">
        <f t="shared" si="29"/>
        <v>0.55281640193500214</v>
      </c>
      <c r="S135" s="811">
        <f t="shared" si="30"/>
        <v>-2</v>
      </c>
      <c r="T135" s="176">
        <f t="shared" si="31"/>
        <v>4</v>
      </c>
      <c r="U135" s="251">
        <f t="shared" si="32"/>
        <v>-1.4471835980649979</v>
      </c>
      <c r="V135" s="383">
        <f t="shared" si="33"/>
        <v>57.723888772122692</v>
      </c>
      <c r="W135" s="402">
        <f t="shared" si="34"/>
        <v>47.202588906795981</v>
      </c>
      <c r="X135" s="157">
        <f t="shared" si="35"/>
        <v>46143</v>
      </c>
      <c r="Y135" s="385">
        <f t="shared" si="36"/>
        <v>44.749278363988189</v>
      </c>
      <c r="Z135" s="385">
        <f t="shared" si="37"/>
        <v>47.667175292512269</v>
      </c>
      <c r="AA135" s="386">
        <f t="shared" si="38"/>
        <v>50.537219032065124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5.6790693958285551E-2</v>
      </c>
      <c r="AD135" s="231">
        <f>(INDEX(Models!$BJ135:$BT135,,AH135)*(1-AF135)+INDEX(Models!$BJ135:$BT135,,AH135+1)*AF135-ERP_i)*AE135*Ramure*Pc/MaxiM</f>
        <v>1.1282762142579411E-4</v>
      </c>
      <c r="AE135" s="305">
        <f t="shared" si="40"/>
        <v>0.5</v>
      </c>
      <c r="AF135" s="177">
        <f t="shared" si="41"/>
        <v>7.7803968308981286E-2</v>
      </c>
      <c r="AG135" s="811">
        <f t="shared" si="49"/>
        <v>2</v>
      </c>
      <c r="AH135" s="176">
        <f t="shared" si="42"/>
        <v>8</v>
      </c>
      <c r="AI135" s="225">
        <f t="shared" si="43"/>
        <v>2.0778039683089813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'2025'!Wh/'2025'!Env_an*'2026'!Env_an</f>
        <v>30.343816229572639</v>
      </c>
      <c r="C136" s="841"/>
      <c r="D136" s="393">
        <f t="shared" si="25"/>
        <v>32.323106445367301</v>
      </c>
      <c r="E136" s="385">
        <f t="shared" si="47"/>
        <v>32.4938455911972</v>
      </c>
      <c r="F136" s="385">
        <f t="shared" si="26"/>
        <v>32.493986243243988</v>
      </c>
      <c r="G136" s="110">
        <f t="shared" si="48"/>
        <v>0.52461022925035783</v>
      </c>
      <c r="H136" s="414" t="b">
        <f>Wh_hp&gt;='2025'!Maxi_hp</f>
        <v>0</v>
      </c>
      <c r="I136" s="390">
        <f>IF(H136,Wh_hp,'2025'!Maxi_hp)</f>
        <v>50.847443819946974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6.123452951961994E-2</v>
      </c>
      <c r="M136" s="845"/>
      <c r="N136" s="845"/>
      <c r="O136" s="48">
        <f>IF(t&lt;Tnet,'2025'!Resal+('2025'!Salim-'2025'!Resal)*(1-EXP(('2025'!Tnet-t)/('2025'!Tau_j))),Resal+(Salim-Resal)*(1-EXP((Tnet-t)/(Tau_j))))*Salcycl</f>
        <v>5.2545072066246482E-3</v>
      </c>
      <c r="P136" s="169">
        <f>(INDEX(Models!$BJ136:$BT136,,T136)*(1-R136)+INDEX(Models!$BJ136:$BT136,,T136+1)*R136-ERP_i)*Q136*Ramure*Pc/MaxiM</f>
        <v>1.3489699656704503E-5</v>
      </c>
      <c r="Q136" s="305">
        <f t="shared" si="28"/>
        <v>0.5</v>
      </c>
      <c r="R136" s="177">
        <f t="shared" si="29"/>
        <v>0.55564888737043727</v>
      </c>
      <c r="S136" s="811">
        <f t="shared" si="30"/>
        <v>-2</v>
      </c>
      <c r="T136" s="176">
        <f t="shared" si="31"/>
        <v>4</v>
      </c>
      <c r="U136" s="251">
        <f t="shared" si="32"/>
        <v>-1.4443511126295627</v>
      </c>
      <c r="V136" s="383">
        <f t="shared" si="33"/>
        <v>57.840157420636615</v>
      </c>
      <c r="W136" s="402">
        <f t="shared" si="34"/>
        <v>30.343816229572639</v>
      </c>
      <c r="X136" s="157">
        <f t="shared" si="35"/>
        <v>46144</v>
      </c>
      <c r="Y136" s="385">
        <f t="shared" si="36"/>
        <v>28.768301826978508</v>
      </c>
      <c r="Z136" s="385">
        <f t="shared" si="37"/>
        <v>30.644823155092556</v>
      </c>
      <c r="AA136" s="386">
        <f t="shared" si="38"/>
        <v>32.492694667320819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5.687036828271258E-2</v>
      </c>
      <c r="AD136" s="231">
        <f>(INDEX(Models!$BJ136:$BT136,,AH136)*(1-AF136)+INDEX(Models!$BJ136:$BT136,,AH136+1)*AF136-ERP_i)*AE136*Ramure*Pc/MaxiM</f>
        <v>1.2387285990972055E-4</v>
      </c>
      <c r="AE136" s="305">
        <f t="shared" si="40"/>
        <v>0.5</v>
      </c>
      <c r="AF136" s="177">
        <f t="shared" si="41"/>
        <v>8.0636453744416414E-2</v>
      </c>
      <c r="AG136" s="811">
        <f t="shared" si="49"/>
        <v>2</v>
      </c>
      <c r="AH136" s="176">
        <f t="shared" si="42"/>
        <v>8</v>
      </c>
      <c r="AI136" s="225">
        <f t="shared" si="43"/>
        <v>2.0806364537444164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'2025'!Wh/'2025'!Env_an*'2026'!Env_an</f>
        <v>36.154307789189509</v>
      </c>
      <c r="C137" s="841"/>
      <c r="D137" s="393">
        <f t="shared" si="25"/>
        <v>38.51345284372357</v>
      </c>
      <c r="E137" s="385">
        <f t="shared" si="47"/>
        <v>38.720772594977376</v>
      </c>
      <c r="F137" s="385">
        <f t="shared" si="26"/>
        <v>38.721042856382311</v>
      </c>
      <c r="G137" s="110">
        <f t="shared" si="48"/>
        <v>0.62386742604409129</v>
      </c>
      <c r="H137" s="414" t="b">
        <f>Wh_hp&gt;='2025'!Maxi_hp</f>
        <v>0</v>
      </c>
      <c r="I137" s="390">
        <f>IF(H137,Wh_hp,'2025'!Maxi_hp)</f>
        <v>60.514631083164147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6.1255090892701536E-2</v>
      </c>
      <c r="M137" s="845"/>
      <c r="N137" s="845"/>
      <c r="O137" s="48">
        <f>IF(t&lt;Tnet,'2025'!Resal+('2025'!Salim-'2025'!Resal)*(1-EXP(('2025'!Tnet-t)/('2025'!Tau_j))),Resal+(Salim-Resal)*(1-EXP((Tnet-t)/(Tau_j))))*Salcycl</f>
        <v>5.3542255838328646E-3</v>
      </c>
      <c r="P137" s="169">
        <f>(INDEX(Models!$BJ137:$BT137,,T137)*(1-R137)+INDEX(Models!$BJ137:$BT137,,T137+1)*R137-ERP_i)*Q137*Ramure*Pc/MaxiM</f>
        <v>1.5085543922996415E-5</v>
      </c>
      <c r="Q137" s="305">
        <f t="shared" si="28"/>
        <v>0.5</v>
      </c>
      <c r="R137" s="177">
        <f t="shared" si="29"/>
        <v>0.55855981863600102</v>
      </c>
      <c r="S137" s="811">
        <f t="shared" si="30"/>
        <v>-2</v>
      </c>
      <c r="T137" s="176">
        <f t="shared" si="31"/>
        <v>4</v>
      </c>
      <c r="U137" s="251">
        <f t="shared" si="32"/>
        <v>-1.441440181363999</v>
      </c>
      <c r="V137" s="383">
        <f t="shared" si="33"/>
        <v>57.951438425550158</v>
      </c>
      <c r="W137" s="402">
        <f t="shared" si="34"/>
        <v>36.154307789189509</v>
      </c>
      <c r="X137" s="157">
        <f t="shared" si="35"/>
        <v>46145</v>
      </c>
      <c r="Y137" s="385">
        <f t="shared" si="36"/>
        <v>34.276911288152185</v>
      </c>
      <c r="Z137" s="385">
        <f t="shared" si="37"/>
        <v>36.513552250044036</v>
      </c>
      <c r="AA137" s="386">
        <f t="shared" si="38"/>
        <v>38.718607781341944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5.6950795951927223E-2</v>
      </c>
      <c r="AD137" s="231">
        <f>(INDEX(Models!$BJ137:$BT137,,AH137)*(1-AF137)+INDEX(Models!$BJ137:$BT137,,AH137+1)*AF137-ERP_i)*AE137*Ramure*Pc/MaxiM</f>
        <v>1.3592185493841957E-4</v>
      </c>
      <c r="AE137" s="305">
        <f t="shared" si="40"/>
        <v>0.5</v>
      </c>
      <c r="AF137" s="177">
        <f t="shared" si="41"/>
        <v>8.3547385009980157E-2</v>
      </c>
      <c r="AG137" s="811">
        <f t="shared" si="49"/>
        <v>2</v>
      </c>
      <c r="AH137" s="176">
        <f t="shared" si="42"/>
        <v>8</v>
      </c>
      <c r="AI137" s="225">
        <f t="shared" si="43"/>
        <v>2.0835473850099802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'2025'!Wh/'2025'!Env_an*'2026'!Env_an</f>
        <v>20.054808377605404</v>
      </c>
      <c r="C138" s="841"/>
      <c r="D138" s="393">
        <f t="shared" si="25"/>
        <v>21.363894967026468</v>
      </c>
      <c r="E138" s="385">
        <f t="shared" si="47"/>
        <v>21.481053277827428</v>
      </c>
      <c r="F138" s="385">
        <f t="shared" si="26"/>
        <v>21.481076712269275</v>
      </c>
      <c r="G138" s="110">
        <f t="shared" si="48"/>
        <v>0.34542269249736313</v>
      </c>
      <c r="H138" s="414" t="b">
        <f>Wh_hp&gt;='2025'!Maxi_hp</f>
        <v>0</v>
      </c>
      <c r="I138" s="390">
        <f>IF(H138,Wh_hp,'2025'!Maxi_hp)</f>
        <v>57.253924122877009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6.1275651815436261E-2</v>
      </c>
      <c r="M138" s="845"/>
      <c r="N138" s="845"/>
      <c r="O138" s="48">
        <f>IF(t&lt;Tnet,'2025'!Resal+('2025'!Salim-'2025'!Resal)*(1-EXP(('2025'!Tnet-t)/('2025'!Tau_j))),Resal+(Salim-Resal)*(1-EXP((Tnet-t)/(Tau_j))))*Salcycl</f>
        <v>5.4540300834266019E-3</v>
      </c>
      <c r="P138" s="169">
        <f>(INDEX(Models!$BJ138:$BT138,,T138)*(1-R138)+INDEX(Models!$BJ138:$BT138,,T138+1)*R138-ERP_i)*Q138*Ramure*Pc/MaxiM</f>
        <v>1.6810158995668987E-5</v>
      </c>
      <c r="Q138" s="305">
        <f t="shared" si="28"/>
        <v>0.5</v>
      </c>
      <c r="R138" s="177">
        <f t="shared" si="29"/>
        <v>0.56154993955229138</v>
      </c>
      <c r="S138" s="811">
        <f t="shared" si="30"/>
        <v>-2</v>
      </c>
      <c r="T138" s="176">
        <f t="shared" si="31"/>
        <v>4</v>
      </c>
      <c r="U138" s="251">
        <f t="shared" si="32"/>
        <v>-1.4384500604477086</v>
      </c>
      <c r="V138" s="383">
        <f t="shared" si="33"/>
        <v>58.05783339313767</v>
      </c>
      <c r="W138" s="402">
        <f t="shared" si="34"/>
        <v>20.054808377605404</v>
      </c>
      <c r="X138" s="157">
        <f t="shared" si="35"/>
        <v>46146</v>
      </c>
      <c r="Y138" s="385">
        <f t="shared" si="36"/>
        <v>19.014587153494084</v>
      </c>
      <c r="Z138" s="385">
        <f t="shared" si="37"/>
        <v>20.255772837113629</v>
      </c>
      <c r="AA138" s="386">
        <f t="shared" si="38"/>
        <v>21.480869006067355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5.7031964982780438E-2</v>
      </c>
      <c r="AD138" s="231">
        <f>(INDEX(Models!$BJ138:$BT138,,AH138)*(1-AF138)+INDEX(Models!$BJ138:$BT138,,AH138+1)*AF138-ERP_i)*AE138*Ramure*Pc/MaxiM</f>
        <v>1.4899327670913091E-4</v>
      </c>
      <c r="AE138" s="305">
        <f t="shared" si="40"/>
        <v>0.5</v>
      </c>
      <c r="AF138" s="177">
        <f t="shared" si="41"/>
        <v>8.6537505926270519E-2</v>
      </c>
      <c r="AG138" s="811">
        <f t="shared" si="49"/>
        <v>2</v>
      </c>
      <c r="AH138" s="176">
        <f t="shared" si="42"/>
        <v>8</v>
      </c>
      <c r="AI138" s="225">
        <f t="shared" si="43"/>
        <v>2.0865375059262705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'2025'!Wh/'2025'!Env_an*'2026'!Env_an</f>
        <v>42.035064854424327</v>
      </c>
      <c r="C139" s="841"/>
      <c r="D139" s="393">
        <f t="shared" si="25"/>
        <v>44.779903314200233</v>
      </c>
      <c r="E139" s="385">
        <f t="shared" si="47"/>
        <v>45.029996440238932</v>
      </c>
      <c r="F139" s="385">
        <f t="shared" si="26"/>
        <v>45.030504129528168</v>
      </c>
      <c r="G139" s="110">
        <f t="shared" si="48"/>
        <v>0.72275027485825716</v>
      </c>
      <c r="H139" s="414" t="b">
        <f>Wh_hp&gt;='2025'!Maxi_hp</f>
        <v>0</v>
      </c>
      <c r="I139" s="390">
        <f>IF(H139,Wh_hp,'2025'!Maxi_hp)</f>
        <v>60.369568048217943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6.1296212287834106E-2</v>
      </c>
      <c r="M139" s="845"/>
      <c r="N139" s="845"/>
      <c r="O139" s="48">
        <f>IF(t&lt;Tnet,'2025'!Resal+('2025'!Salim-'2025'!Resal)*(1-EXP(('2025'!Tnet-t)/('2025'!Tau_j))),Resal+(Salim-Resal)*(1-EXP((Tnet-t)/(Tau_j))))*Salcycl</f>
        <v>5.5539228471982649E-3</v>
      </c>
      <c r="P139" s="169">
        <f>(INDEX(Models!$BJ139:$BT139,,T139)*(1-R139)+INDEX(Models!$BJ139:$BT139,,T139+1)*R139-ERP_i)*Q139*Ramure*Pc/MaxiM</f>
        <v>1.8668088181125055E-5</v>
      </c>
      <c r="Q139" s="305">
        <f t="shared" si="28"/>
        <v>0.5</v>
      </c>
      <c r="R139" s="177">
        <f t="shared" si="29"/>
        <v>0.56461989761886788</v>
      </c>
      <c r="S139" s="811">
        <f t="shared" si="30"/>
        <v>-2</v>
      </c>
      <c r="T139" s="176">
        <f t="shared" si="31"/>
        <v>4</v>
      </c>
      <c r="U139" s="251">
        <f t="shared" si="32"/>
        <v>-1.4353801023811321</v>
      </c>
      <c r="V139" s="383">
        <f t="shared" si="33"/>
        <v>58.159443886133339</v>
      </c>
      <c r="W139" s="402">
        <f t="shared" si="34"/>
        <v>42.035064854424327</v>
      </c>
      <c r="X139" s="157">
        <f t="shared" si="35"/>
        <v>46147</v>
      </c>
      <c r="Y139" s="385">
        <f t="shared" si="36"/>
        <v>39.852158386288536</v>
      </c>
      <c r="Z139" s="385">
        <f t="shared" si="37"/>
        <v>42.454455716448408</v>
      </c>
      <c r="AA139" s="386">
        <f t="shared" si="38"/>
        <v>45.026068350422413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5.7113861551491181E-2</v>
      </c>
      <c r="AD139" s="231">
        <f>(INDEX(Models!$BJ139:$BT139,,AH139)*(1-AF139)+INDEX(Models!$BJ139:$BT139,,AH139+1)*AF139-ERP_i)*AE139*Ramure*Pc/MaxiM</f>
        <v>1.6310668208718902E-4</v>
      </c>
      <c r="AE139" s="305">
        <f t="shared" si="40"/>
        <v>0.5</v>
      </c>
      <c r="AF139" s="177">
        <f t="shared" si="41"/>
        <v>8.9607463992846803E-2</v>
      </c>
      <c r="AG139" s="811">
        <f t="shared" si="49"/>
        <v>2</v>
      </c>
      <c r="AH139" s="176">
        <f t="shared" si="42"/>
        <v>8</v>
      </c>
      <c r="AI139" s="225">
        <f t="shared" si="43"/>
        <v>2.0896074639928468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'2025'!Wh/'2025'!Env_an*'2026'!Env_an</f>
        <v>38.45352706846198</v>
      </c>
      <c r="C140" s="841"/>
      <c r="D140" s="393">
        <f t="shared" si="25"/>
        <v>40.965392726882037</v>
      </c>
      <c r="E140" s="385">
        <f t="shared" si="47"/>
        <v>41.198324167702772</v>
      </c>
      <c r="F140" s="385">
        <f t="shared" si="26"/>
        <v>41.198762087382818</v>
      </c>
      <c r="G140" s="110">
        <f t="shared" si="48"/>
        <v>0.6600675643653916</v>
      </c>
      <c r="H140" s="414" t="b">
        <f>Wh_hp&gt;='2025'!Maxi_hp</f>
        <v>0</v>
      </c>
      <c r="I140" s="390">
        <f>IF(H140,Wh_hp,'2025'!Maxi_hp)</f>
        <v>64.189889106761925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6.1316772309904732E-2</v>
      </c>
      <c r="M140" s="845"/>
      <c r="N140" s="845"/>
      <c r="O140" s="48">
        <f>IF(t&lt;Tnet,'2025'!Resal+('2025'!Salim-'2025'!Resal)*(1-EXP(('2025'!Tnet-t)/('2025'!Tau_j))),Resal+(Salim-Resal)*(1-EXP((Tnet-t)/(Tau_j))))*Salcycl</f>
        <v>5.653905723751392E-3</v>
      </c>
      <c r="P140" s="169">
        <f>(INDEX(Models!$BJ140:$BT140,,T140)*(1-R140)+INDEX(Models!$BJ140:$BT140,,T140+1)*R140-ERP_i)*Q140*Ramure*Pc/MaxiM</f>
        <v>2.0664092911827267E-5</v>
      </c>
      <c r="Q140" s="305">
        <f t="shared" si="28"/>
        <v>0.5</v>
      </c>
      <c r="R140" s="177">
        <f t="shared" si="29"/>
        <v>0.56777023698020912</v>
      </c>
      <c r="S140" s="811">
        <f t="shared" si="30"/>
        <v>-2</v>
      </c>
      <c r="T140" s="176">
        <f t="shared" si="31"/>
        <v>4</v>
      </c>
      <c r="U140" s="251">
        <f t="shared" si="32"/>
        <v>-1.4322297630197909</v>
      </c>
      <c r="V140" s="383">
        <f t="shared" si="33"/>
        <v>58.256371426839209</v>
      </c>
      <c r="W140" s="402">
        <f t="shared" si="34"/>
        <v>38.45352706846198</v>
      </c>
      <c r="X140" s="157">
        <f t="shared" si="35"/>
        <v>46148</v>
      </c>
      <c r="Y140" s="385">
        <f t="shared" si="36"/>
        <v>36.457307816745121</v>
      </c>
      <c r="Z140" s="385">
        <f t="shared" si="37"/>
        <v>38.838776214697042</v>
      </c>
      <c r="AA140" s="386">
        <f t="shared" si="38"/>
        <v>41.194983872011605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5.7196469954571318E-2</v>
      </c>
      <c r="AD140" s="231">
        <f>(INDEX(Models!$BJ140:$BT140,,AH140)*(1-AF140)+INDEX(Models!$BJ140:$BT140,,AH140+1)*AF140-ERP_i)*AE140*Ramure*Pc/MaxiM</f>
        <v>1.7828245002117024E-4</v>
      </c>
      <c r="AE140" s="305">
        <f t="shared" si="40"/>
        <v>0.5</v>
      </c>
      <c r="AF140" s="177">
        <f t="shared" si="41"/>
        <v>9.2757803354188262E-2</v>
      </c>
      <c r="AG140" s="811">
        <f t="shared" si="49"/>
        <v>2</v>
      </c>
      <c r="AH140" s="176">
        <f t="shared" si="42"/>
        <v>8</v>
      </c>
      <c r="AI140" s="225">
        <f t="shared" si="43"/>
        <v>2.0927578033541883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'2025'!Wh/'2025'!Env_an*'2026'!Env_an</f>
        <v>52.286480288346006</v>
      </c>
      <c r="C141" s="841"/>
      <c r="D141" s="393">
        <f t="shared" si="25"/>
        <v>55.703163728840217</v>
      </c>
      <c r="E141" s="385">
        <f t="shared" si="47"/>
        <v>56.025533542379748</v>
      </c>
      <c r="F141" s="385">
        <f t="shared" si="26"/>
        <v>56.02662150197915</v>
      </c>
      <c r="G141" s="110">
        <f t="shared" si="48"/>
        <v>0.89610030117123929</v>
      </c>
      <c r="H141" s="414" t="b">
        <f>Wh_hp&gt;='2025'!Maxi_hp</f>
        <v>0</v>
      </c>
      <c r="I141" s="390">
        <f>IF(H141,Wh_hp,'2025'!Maxi_hp)</f>
        <v>60.114108347336412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6.133733188165813E-2</v>
      </c>
      <c r="M141" s="845"/>
      <c r="N141" s="845"/>
      <c r="O141" s="48">
        <f>IF(t&lt;Tnet,'2025'!Resal+('2025'!Salim-'2025'!Resal)*(1-EXP(('2025'!Tnet-t)/('2025'!Tau_j))),Resal+(Salim-Resal)*(1-EXP((Tnet-t)/(Tau_j))))*Salcycl</f>
        <v>5.7539802507311846E-3</v>
      </c>
      <c r="P141" s="169">
        <f>(INDEX(Models!$BJ141:$BT141,,T141)*(1-R141)+INDEX(Models!$BJ141:$BT141,,T141+1)*R141-ERP_i)*Q141*Ramure*Pc/MaxiM</f>
        <v>2.280314889143974E-5</v>
      </c>
      <c r="Q141" s="305">
        <f t="shared" si="28"/>
        <v>0.5</v>
      </c>
      <c r="R141" s="177">
        <f t="shared" si="29"/>
        <v>0.57100139138536155</v>
      </c>
      <c r="S141" s="811">
        <f t="shared" si="30"/>
        <v>-2</v>
      </c>
      <c r="T141" s="176">
        <f t="shared" si="31"/>
        <v>4</v>
      </c>
      <c r="U141" s="251">
        <f t="shared" si="32"/>
        <v>-1.4289986086146385</v>
      </c>
      <c r="V141" s="383">
        <f t="shared" si="33"/>
        <v>58.348717494456267</v>
      </c>
      <c r="W141" s="402">
        <f t="shared" si="34"/>
        <v>52.286480288346006</v>
      </c>
      <c r="X141" s="157">
        <f t="shared" si="35"/>
        <v>46149</v>
      </c>
      <c r="Y141" s="385">
        <f t="shared" si="36"/>
        <v>49.569535768695786</v>
      </c>
      <c r="Z141" s="385">
        <f t="shared" si="37"/>
        <v>52.808679254352008</v>
      </c>
      <c r="AA141" s="386">
        <f t="shared" si="38"/>
        <v>56.017339734602068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5.727977257492041E-2</v>
      </c>
      <c r="AD141" s="231">
        <f>(INDEX(Models!$BJ141:$BT141,,AH141)*(1-AF141)+INDEX(Models!$BJ141:$BT141,,AH141+1)*AF141-ERP_i)*AE141*Ramure*Pc/MaxiM</f>
        <v>1.9454171238642362E-4</v>
      </c>
      <c r="AE141" s="305">
        <f t="shared" si="40"/>
        <v>0.5</v>
      </c>
      <c r="AF141" s="177">
        <f t="shared" si="41"/>
        <v>9.5988957759340465E-2</v>
      </c>
      <c r="AG141" s="811">
        <f t="shared" si="49"/>
        <v>2</v>
      </c>
      <c r="AH141" s="176">
        <f t="shared" si="42"/>
        <v>8</v>
      </c>
      <c r="AI141" s="225">
        <f t="shared" si="43"/>
        <v>2.0959889577593405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'2025'!Wh/'2025'!Env_an*'2026'!Env_an</f>
        <v>49.75894631886721</v>
      </c>
      <c r="C142" s="841"/>
      <c r="D142" s="393">
        <f t="shared" si="25"/>
        <v>53.011628012345831</v>
      </c>
      <c r="E142" s="385">
        <f t="shared" si="47"/>
        <v>53.323793371330027</v>
      </c>
      <c r="F142" s="385">
        <f t="shared" si="26"/>
        <v>53.324841423436041</v>
      </c>
      <c r="G142" s="110">
        <f t="shared" si="48"/>
        <v>0.85149871538893473</v>
      </c>
      <c r="H142" s="414" t="b">
        <f>Wh_hp&gt;='2025'!Maxi_hp</f>
        <v>0</v>
      </c>
      <c r="I142" s="390">
        <f>IF(H142,Wh_hp,'2025'!Maxi_hp)</f>
        <v>60.745186891784464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6.1357891003104181E-2</v>
      </c>
      <c r="M142" s="845"/>
      <c r="N142" s="845"/>
      <c r="O142" s="48">
        <f>IF(t&lt;Tnet,'2025'!Resal+('2025'!Salim-'2025'!Resal)*(1-EXP(('2025'!Tnet-t)/('2025'!Tau_j))),Resal+(Salim-Resal)*(1-EXP((Tnet-t)/(Tau_j))))*Salcycl</f>
        <v>5.8541476374415861E-3</v>
      </c>
      <c r="P142" s="169">
        <f>(INDEX(Models!$BJ142:$BT142,,T142)*(1-R142)+INDEX(Models!$BJ142:$BT142,,T142+1)*R142-ERP_i)*Q142*Ramure*Pc/MaxiM</f>
        <v>2.4946136170258962E-5</v>
      </c>
      <c r="Q142" s="305">
        <f t="shared" si="28"/>
        <v>0.5</v>
      </c>
      <c r="R142" s="177">
        <f t="shared" si="29"/>
        <v>0.57431367718349446</v>
      </c>
      <c r="S142" s="811">
        <f t="shared" si="30"/>
        <v>-2</v>
      </c>
      <c r="T142" s="176">
        <f t="shared" si="31"/>
        <v>4</v>
      </c>
      <c r="U142" s="251">
        <f t="shared" si="32"/>
        <v>-1.4256863228165055</v>
      </c>
      <c r="V142" s="383">
        <f t="shared" si="33"/>
        <v>58.436591962604886</v>
      </c>
      <c r="W142" s="402">
        <f t="shared" si="34"/>
        <v>49.75894631886721</v>
      </c>
      <c r="X142" s="157">
        <f t="shared" si="35"/>
        <v>46150</v>
      </c>
      <c r="Y142" s="385">
        <f t="shared" si="36"/>
        <v>47.173845565326495</v>
      </c>
      <c r="Z142" s="385">
        <f t="shared" si="37"/>
        <v>50.257542372289315</v>
      </c>
      <c r="AA142" s="386">
        <f t="shared" si="38"/>
        <v>53.315944898674765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5.7363749853779109E-2</v>
      </c>
      <c r="AD142" s="231">
        <f>(INDEX(Models!$BJ142:$BT142,,AH142)*(1-AF142)+INDEX(Models!$BJ142:$BT142,,AH142+1)*AF142-ERP_i)*AE142*Ramure*Pc/MaxiM</f>
        <v>2.1175847733363783E-4</v>
      </c>
      <c r="AE142" s="305">
        <f t="shared" si="40"/>
        <v>0.5</v>
      </c>
      <c r="AF142" s="177">
        <f t="shared" si="41"/>
        <v>9.9301243557473384E-2</v>
      </c>
      <c r="AG142" s="811">
        <f t="shared" si="49"/>
        <v>2</v>
      </c>
      <c r="AH142" s="176">
        <f t="shared" si="42"/>
        <v>8</v>
      </c>
      <c r="AI142" s="225">
        <f t="shared" si="43"/>
        <v>2.0993012435574734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'2025'!Wh/'2025'!Env_an*'2026'!Env_an</f>
        <v>52.068892367250491</v>
      </c>
      <c r="C143" s="841"/>
      <c r="D143" s="393">
        <f t="shared" ref="D143:D206" si="50">Wh/(1-Ppv)</f>
        <v>55.473787437737876</v>
      </c>
      <c r="E143" s="385">
        <f t="shared" si="47"/>
        <v>55.806079646576315</v>
      </c>
      <c r="F143" s="385">
        <f t="shared" ref="F143:F206" si="51">Wh_sa/(1-Pvg*MEDIAN((-Sdif+Wh/Env_an)/Csdif,0,1))</f>
        <v>55.807351091931494</v>
      </c>
      <c r="G143" s="110">
        <f t="shared" si="48"/>
        <v>0.88975704016112778</v>
      </c>
      <c r="H143" s="414" t="b">
        <f>Wh_hp&gt;='2025'!Maxi_hp</f>
        <v>0</v>
      </c>
      <c r="I143" s="390">
        <f>IF(H143,Wh_hp,'2025'!Maxi_hp)</f>
        <v>55.807556046569651</v>
      </c>
      <c r="J143" s="85">
        <f>IF(H143,An,'2025'!An_max)</f>
        <v>2025</v>
      </c>
      <c r="K143" s="197">
        <f t="shared" ref="K143:K206" si="52">t</f>
        <v>46151</v>
      </c>
      <c r="L143" s="147">
        <f>IF(t&lt;Tvie,1-EXP((T0-t)*PertePVj)+'2025'!Pspv,1-EXP((T0-t)*PertePVj)+Pspv)</f>
        <v>6.1378449674252655E-2</v>
      </c>
      <c r="M143" s="845"/>
      <c r="N143" s="845"/>
      <c r="O143" s="48">
        <f>IF(t&lt;Tnet,'2025'!Resal+('2025'!Salim-'2025'!Resal)*(1-EXP(('2025'!Tnet-t)/('2025'!Tau_j))),Resal+(Salim-Resal)*(1-EXP((Tnet-t)/(Tau_j))))*Salcycl</f>
        <v>5.9544087479871596E-3</v>
      </c>
      <c r="P143" s="169">
        <f>(INDEX(Models!$BJ143:$BT143,,T143)*(1-R143)+INDEX(Models!$BJ143:$BT143,,T143+1)*R143-ERP_i)*Q143*Ramure*Pc/MaxiM</f>
        <v>2.704135229496225E-5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0.5777072864008399</v>
      </c>
      <c r="S143" s="811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-1.4222927135991601</v>
      </c>
      <c r="V143" s="383">
        <f t="shared" ref="V143:V206" si="58">MaxiM*(1-Ppv)*(1-Pvg)*(1-Psa)</f>
        <v>58.520099613331801</v>
      </c>
      <c r="W143" s="402">
        <f t="shared" ref="W143:W206" si="59">Wh*(A143&gt;Tmaj)</f>
        <v>52.068892367250491</v>
      </c>
      <c r="X143" s="157">
        <f t="shared" ref="X143:X206" si="60">t</f>
        <v>46151</v>
      </c>
      <c r="Y143" s="385">
        <f t="shared" ref="Y143:Y206" si="61">Wh_pvt_s*(1-Ppv)</f>
        <v>49.363168871969606</v>
      </c>
      <c r="Z143" s="385">
        <f t="shared" ref="Z143:Z206" si="62">Wh_sa_s*(1-Psa_s)</f>
        <v>52.591130956707936</v>
      </c>
      <c r="AA143" s="386">
        <f t="shared" ref="AA143:AA206" si="63">Wh_hp*(1-Pvg_s*MEDIAN((-Sdif+Wh/Env_an)/Csdif,0,1))</f>
        <v>55.796552523807186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5.7448380269221111E-2</v>
      </c>
      <c r="AD143" s="231">
        <f>(INDEX(Models!$BJ143:$BT143,,AH143)*(1-AF143)+INDEX(Models!$BJ143:$BT143,,AH143+1)*AF143-ERP_i)*AE143*Ramure*Pc/MaxiM</f>
        <v>2.2966609122621669E-4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0.10269485277481882</v>
      </c>
      <c r="AG143" s="811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2.1026948527748188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'2025'!Wh/'2025'!Env_an*'2026'!Env_an</f>
        <v>51.735055831582827</v>
      </c>
      <c r="C144" s="841"/>
      <c r="D144" s="393">
        <f t="shared" si="50"/>
        <v>55.119327879211909</v>
      </c>
      <c r="E144" s="385">
        <f t="shared" ref="E144:E169" si="72">Wh_pvt/(1-Psa)</f>
        <v>55.455095399169664</v>
      </c>
      <c r="F144" s="385">
        <f t="shared" si="51"/>
        <v>55.456438555696081</v>
      </c>
      <c r="G144" s="110">
        <f t="shared" ref="G144:G169" si="73">+Wh_hp/MaxiM</f>
        <v>0.88285639405803029</v>
      </c>
      <c r="H144" s="414" t="b">
        <f>Wh_hp&gt;='2025'!Maxi_hp</f>
        <v>0</v>
      </c>
      <c r="I144" s="390">
        <f>IF(H144,Wh_hp,'2025'!Maxi_hp)</f>
        <v>55.456669985336809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6.1399007895113544E-2</v>
      </c>
      <c r="M144" s="845"/>
      <c r="N144" s="845"/>
      <c r="O144" s="48">
        <f>IF(t&lt;Tnet,'2025'!Resal+('2025'!Salim-'2025'!Resal)*(1-EXP(('2025'!Tnet-t)/('2025'!Tau_j))),Resal+(Salim-Resal)*(1-EXP((Tnet-t)/(Tau_j))))*Salcycl</f>
        <v>6.0547640850832215E-3</v>
      </c>
      <c r="P144" s="169">
        <f>(INDEX(Models!$BJ144:$BT144,,T144)*(1-R144)+INDEX(Models!$BJ144:$BT144,,T144+1)*R144-ERP_i)*Q144*Ramure*Pc/MaxiM</f>
        <v>2.9087602316148137E-5</v>
      </c>
      <c r="Q144" s="305">
        <f t="shared" si="53"/>
        <v>0.5</v>
      </c>
      <c r="R144" s="177">
        <f t="shared" si="54"/>
        <v>0.58118227994755811</v>
      </c>
      <c r="S144" s="811">
        <f t="shared" si="55"/>
        <v>-2</v>
      </c>
      <c r="T144" s="176">
        <f t="shared" si="56"/>
        <v>4</v>
      </c>
      <c r="U144" s="251">
        <f t="shared" si="57"/>
        <v>-1.4188177200524419</v>
      </c>
      <c r="V144" s="383">
        <f t="shared" si="58"/>
        <v>58.599342259375</v>
      </c>
      <c r="W144" s="402">
        <f t="shared" si="59"/>
        <v>51.735055831582827</v>
      </c>
      <c r="X144" s="157">
        <f t="shared" si="60"/>
        <v>46152</v>
      </c>
      <c r="Y144" s="385">
        <f t="shared" si="61"/>
        <v>49.046615953611507</v>
      </c>
      <c r="Z144" s="385">
        <f t="shared" si="62"/>
        <v>52.255022492167434</v>
      </c>
      <c r="AA144" s="386">
        <f t="shared" si="63"/>
        <v>55.444973664643214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5.7533640321845443E-2</v>
      </c>
      <c r="AD144" s="231">
        <f>(INDEX(Models!$BJ144:$BT144,,AH144)*(1-AF144)+INDEX(Models!$BJ144:$BT144,,AH144+1)*AF144-ERP_i)*AE144*Ramure*Pc/MaxiM</f>
        <v>2.4828542689245883E-4</v>
      </c>
      <c r="AE144" s="305">
        <f t="shared" si="65"/>
        <v>0.5</v>
      </c>
      <c r="AF144" s="177">
        <f t="shared" si="66"/>
        <v>0.10616984632153725</v>
      </c>
      <c r="AG144" s="811">
        <f t="shared" ref="AG144:AG207" si="74">INDEX(Echel_vg,AH144)</f>
        <v>2</v>
      </c>
      <c r="AH144" s="176">
        <f t="shared" si="67"/>
        <v>8</v>
      </c>
      <c r="AI144" s="225">
        <f t="shared" si="68"/>
        <v>2.1061698463215373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'2025'!Wh/'2025'!Env_an*'2026'!Env_an</f>
        <v>55.844601133689423</v>
      </c>
      <c r="C145" s="841"/>
      <c r="D145" s="393">
        <f t="shared" si="50"/>
        <v>59.49900412456148</v>
      </c>
      <c r="E145" s="385">
        <f t="shared" si="72"/>
        <v>59.867501393796452</v>
      </c>
      <c r="F145" s="385">
        <f t="shared" si="51"/>
        <v>59.869234119340888</v>
      </c>
      <c r="G145" s="110">
        <f t="shared" si="73"/>
        <v>0.95176875916859194</v>
      </c>
      <c r="H145" s="414" t="b">
        <f>Wh_hp&gt;='2025'!Maxi_hp</f>
        <v>0</v>
      </c>
      <c r="I145" s="390">
        <f>IF(H145,Wh_hp,'2025'!Maxi_hp)</f>
        <v>59.869343391363778</v>
      </c>
      <c r="J145" s="85">
        <f>IF(H145,An,'2025'!An_max)</f>
        <v>2025</v>
      </c>
      <c r="K145" s="197">
        <f t="shared" si="52"/>
        <v>46153</v>
      </c>
      <c r="L145" s="147">
        <f>IF(t&lt;Tvie,1-EXP((T0-t)*PertePVj)+'2025'!Pspv,1-EXP((T0-t)*PertePVj)+Pspv)</f>
        <v>6.1419565665696618E-2</v>
      </c>
      <c r="M145" s="845"/>
      <c r="N145" s="845"/>
      <c r="O145" s="48">
        <f>IF(t&lt;Tnet,'2025'!Resal+('2025'!Salim-'2025'!Resal)*(1-EXP(('2025'!Tnet-t)/('2025'!Tau_j))),Resal+(Salim-Resal)*(1-EXP((Tnet-t)/(Tau_j))))*Salcycl</f>
        <v>6.1552137746833458E-3</v>
      </c>
      <c r="P145" s="169">
        <f>(INDEX(Models!$BJ145:$BT145,,T145)*(1-R145)+INDEX(Models!$BJ145:$BT145,,T145+1)*R145-ERP_i)*Q145*Ramure*Pc/MaxiM</f>
        <v>3.1083450115643665E-5</v>
      </c>
      <c r="Q145" s="305">
        <f t="shared" si="53"/>
        <v>0.5</v>
      </c>
      <c r="R145" s="177">
        <f t="shared" si="54"/>
        <v>0.58473858100592246</v>
      </c>
      <c r="S145" s="811">
        <f t="shared" si="55"/>
        <v>-2</v>
      </c>
      <c r="T145" s="176">
        <f t="shared" si="56"/>
        <v>4</v>
      </c>
      <c r="U145" s="251">
        <f t="shared" si="57"/>
        <v>-1.4152614189940775</v>
      </c>
      <c r="V145" s="383">
        <f t="shared" si="58"/>
        <v>58.67442169609992</v>
      </c>
      <c r="W145" s="402">
        <f t="shared" si="59"/>
        <v>55.844601133689423</v>
      </c>
      <c r="X145" s="157">
        <f t="shared" si="60"/>
        <v>46153</v>
      </c>
      <c r="Y145" s="385">
        <f t="shared" si="61"/>
        <v>52.941135176370452</v>
      </c>
      <c r="Z145" s="385">
        <f t="shared" si="62"/>
        <v>56.405538875226426</v>
      </c>
      <c r="AA145" s="386">
        <f t="shared" si="63"/>
        <v>59.854314840199876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5.7619504528304305E-2</v>
      </c>
      <c r="AD145" s="231">
        <f>(INDEX(Models!$BJ145:$BT145,,AH145)*(1-AF145)+INDEX(Models!$BJ145:$BT145,,AH145+1)*AF145-ERP_i)*AE145*Ramure*Pc/MaxiM</f>
        <v>2.6763769393924974E-4</v>
      </c>
      <c r="AE145" s="305">
        <f t="shared" si="65"/>
        <v>0.5</v>
      </c>
      <c r="AF145" s="177">
        <f t="shared" si="66"/>
        <v>0.10972614737990138</v>
      </c>
      <c r="AG145" s="811">
        <f t="shared" si="74"/>
        <v>2</v>
      </c>
      <c r="AH145" s="176">
        <f t="shared" si="67"/>
        <v>8</v>
      </c>
      <c r="AI145" s="225">
        <f t="shared" si="68"/>
        <v>2.1097261473799014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'2025'!Wh/'2025'!Env_an*'2026'!Env_an</f>
        <v>40.71838347635817</v>
      </c>
      <c r="C146" s="841"/>
      <c r="D146" s="393">
        <f t="shared" si="50"/>
        <v>43.383895341768699</v>
      </c>
      <c r="E146" s="385">
        <f t="shared" si="72"/>
        <v>43.657002967763461</v>
      </c>
      <c r="F146" s="385">
        <f t="shared" si="51"/>
        <v>43.65781276262507</v>
      </c>
      <c r="G146" s="110">
        <f t="shared" si="73"/>
        <v>0.6931226342224619</v>
      </c>
      <c r="H146" s="414" t="b">
        <f>Wh_hp&gt;='2025'!Maxi_hp</f>
        <v>0</v>
      </c>
      <c r="I146" s="390">
        <f>IF(H146,Wh_hp,'2025'!Maxi_hp)</f>
        <v>59.238727729135654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6.1440122986011647E-2</v>
      </c>
      <c r="M146" s="845"/>
      <c r="N146" s="845"/>
      <c r="O146" s="48">
        <f>IF(t&lt;Tnet,'2025'!Resal+('2025'!Salim-'2025'!Resal)*(1-EXP(('2025'!Tnet-t)/('2025'!Tau_j))),Resal+(Salim-Resal)*(1-EXP((Tnet-t)/(Tau_j))))*Salcycl</f>
        <v>6.2557575515760425E-3</v>
      </c>
      <c r="P146" s="169">
        <f>(INDEX(Models!$BJ146:$BT146,,T146)*(1-R146)+INDEX(Models!$BJ146:$BT146,,T146+1)*R146-ERP_i)*Q146*Ramure*Pc/MaxiM</f>
        <v>3.3027214488289835E-5</v>
      </c>
      <c r="Q146" s="305">
        <f t="shared" si="53"/>
        <v>0.5</v>
      </c>
      <c r="R146" s="177">
        <f t="shared" si="54"/>
        <v>0.58837596865375108</v>
      </c>
      <c r="S146" s="811">
        <f t="shared" si="55"/>
        <v>-2</v>
      </c>
      <c r="T146" s="176">
        <f t="shared" si="56"/>
        <v>4</v>
      </c>
      <c r="U146" s="251">
        <f t="shared" si="57"/>
        <v>-1.4116240313462489</v>
      </c>
      <c r="V146" s="383">
        <f t="shared" si="58"/>
        <v>58.745439713765805</v>
      </c>
      <c r="W146" s="402">
        <f t="shared" si="59"/>
        <v>40.71838347635817</v>
      </c>
      <c r="X146" s="157">
        <f t="shared" si="60"/>
        <v>46154</v>
      </c>
      <c r="Y146" s="385">
        <f t="shared" si="61"/>
        <v>38.604703438928503</v>
      </c>
      <c r="Z146" s="385">
        <f t="shared" si="62"/>
        <v>41.13184931977775</v>
      </c>
      <c r="AA146" s="386">
        <f t="shared" si="63"/>
        <v>43.65075755280413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5.7705945423267083E-2</v>
      </c>
      <c r="AD146" s="231">
        <f>(INDEX(Models!$BJ146:$BT146,,AH146)*(1-AF146)+INDEX(Models!$BJ146:$BT146,,AH146+1)*AF146-ERP_i)*AE146*Ramure*Pc/MaxiM</f>
        <v>2.8774438942984855E-4</v>
      </c>
      <c r="AE146" s="305">
        <f t="shared" si="65"/>
        <v>0.5</v>
      </c>
      <c r="AF146" s="177">
        <f t="shared" si="66"/>
        <v>0.11336353502773022</v>
      </c>
      <c r="AG146" s="811">
        <f t="shared" si="74"/>
        <v>2</v>
      </c>
      <c r="AH146" s="176">
        <f t="shared" si="67"/>
        <v>8</v>
      </c>
      <c r="AI146" s="225">
        <f t="shared" si="68"/>
        <v>2.1133635350277302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'2025'!Wh/'2025'!Env_an*'2026'!Env_an</f>
        <v>41.417471796628405</v>
      </c>
      <c r="C147" s="841"/>
      <c r="D147" s="393">
        <f t="shared" si="50"/>
        <v>44.129714022292383</v>
      </c>
      <c r="E147" s="385">
        <f t="shared" si="72"/>
        <v>44.412014316759368</v>
      </c>
      <c r="F147" s="385">
        <f t="shared" si="51"/>
        <v>44.412909836667247</v>
      </c>
      <c r="G147" s="110">
        <f t="shared" si="73"/>
        <v>0.70421869635739121</v>
      </c>
      <c r="H147" s="414" t="b">
        <f>Wh_hp&gt;='2025'!Maxi_hp</f>
        <v>0</v>
      </c>
      <c r="I147" s="390">
        <f>IF(H147,Wh_hp,'2025'!Maxi_hp)</f>
        <v>65.408960512497771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6.1460679856068734E-2</v>
      </c>
      <c r="M147" s="845"/>
      <c r="N147" s="845"/>
      <c r="O147" s="48">
        <f>IF(t&lt;Tnet,'2025'!Resal+('2025'!Salim-'2025'!Resal)*(1-EXP(('2025'!Tnet-t)/('2025'!Tau_j))),Resal+(Salim-Resal)*(1-EXP((Tnet-t)/(Tau_j))))*Salcycl</f>
        <v>6.3563947461047921E-3</v>
      </c>
      <c r="P147" s="169">
        <f>(INDEX(Models!$BJ147:$BT147,,T147)*(1-R147)+INDEX(Models!$BJ147:$BT147,,T147+1)*R147-ERP_i)*Q147*Ramure*Pc/MaxiM</f>
        <v>3.491696573485196E-5</v>
      </c>
      <c r="Q147" s="305">
        <f t="shared" si="53"/>
        <v>0.5</v>
      </c>
      <c r="R147" s="177">
        <f t="shared" si="54"/>
        <v>0.59209407177920315</v>
      </c>
      <c r="S147" s="811">
        <f t="shared" si="55"/>
        <v>-2</v>
      </c>
      <c r="T147" s="176">
        <f t="shared" si="56"/>
        <v>4</v>
      </c>
      <c r="U147" s="251">
        <f t="shared" si="57"/>
        <v>-1.4079059282207969</v>
      </c>
      <c r="V147" s="383">
        <f t="shared" si="58"/>
        <v>58.81249808827009</v>
      </c>
      <c r="W147" s="402">
        <f t="shared" si="59"/>
        <v>41.417471796628405</v>
      </c>
      <c r="X147" s="157">
        <f t="shared" si="60"/>
        <v>46155</v>
      </c>
      <c r="Y147" s="385">
        <f t="shared" si="61"/>
        <v>39.267264622481036</v>
      </c>
      <c r="Z147" s="385">
        <f t="shared" si="62"/>
        <v>41.838699540536183</v>
      </c>
      <c r="AA147" s="386">
        <f t="shared" si="63"/>
        <v>44.404994434056611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5.7792933570377736E-2</v>
      </c>
      <c r="AD147" s="231">
        <f>(INDEX(Models!$BJ147:$BT147,,AH147)*(1-AF147)+INDEX(Models!$BJ147:$BT147,,AH147+1)*AF147-ERP_i)*AE147*Ramure*Pc/MaxiM</f>
        <v>3.0862724469069767E-4</v>
      </c>
      <c r="AE147" s="305">
        <f t="shared" si="65"/>
        <v>0.5</v>
      </c>
      <c r="AF147" s="177">
        <f t="shared" si="66"/>
        <v>0.11708163815318207</v>
      </c>
      <c r="AG147" s="811">
        <f t="shared" si="74"/>
        <v>2</v>
      </c>
      <c r="AH147" s="176">
        <f t="shared" si="67"/>
        <v>8</v>
      </c>
      <c r="AI147" s="225">
        <f t="shared" si="68"/>
        <v>2.1170816381531821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'2025'!Wh/'2025'!Env_an*'2026'!Env_an</f>
        <v>50.10932308375456</v>
      </c>
      <c r="C148" s="841"/>
      <c r="D148" s="393">
        <f t="shared" si="50"/>
        <v>53.391924616314007</v>
      </c>
      <c r="E148" s="385">
        <f t="shared" si="72"/>
        <v>53.73892352375934</v>
      </c>
      <c r="F148" s="385">
        <f t="shared" si="51"/>
        <v>53.740478416059005</v>
      </c>
      <c r="G148" s="110">
        <f t="shared" si="73"/>
        <v>0.85109701557278372</v>
      </c>
      <c r="H148" s="414" t="b">
        <f>Wh_hp&gt;='2025'!Maxi_hp</f>
        <v>0</v>
      </c>
      <c r="I148" s="390">
        <f>IF(H148,Wh_hp,'2025'!Maxi_hp)</f>
        <v>63.832836981428784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6.1481236275877538E-2</v>
      </c>
      <c r="M148" s="845"/>
      <c r="N148" s="845"/>
      <c r="O148" s="48">
        <f>IF(t&lt;Tnet,'2025'!Resal+('2025'!Salim-'2025'!Resal)*(1-EXP(('2025'!Tnet-t)/('2025'!Tau_j))),Resal+(Salim-Resal)*(1-EXP((Tnet-t)/(Tau_j))))*Salcycl</f>
        <v>6.4571242721658054E-3</v>
      </c>
      <c r="P148" s="169">
        <f>(INDEX(Models!$BJ148:$BT148,,T148)*(1-R148)+INDEX(Models!$BJ148:$BT148,,T148+1)*R148-ERP_i)*Q148*Ramure*Pc/MaxiM</f>
        <v>3.6750522843518621E-5</v>
      </c>
      <c r="Q148" s="305">
        <f t="shared" si="53"/>
        <v>0.5</v>
      </c>
      <c r="R148" s="177">
        <f t="shared" si="54"/>
        <v>0.59589236334480566</v>
      </c>
      <c r="S148" s="811">
        <f t="shared" si="55"/>
        <v>-2</v>
      </c>
      <c r="T148" s="176">
        <f t="shared" si="56"/>
        <v>4</v>
      </c>
      <c r="U148" s="251">
        <f t="shared" si="57"/>
        <v>-1.4041076366551943</v>
      </c>
      <c r="V148" s="383">
        <f t="shared" si="58"/>
        <v>58.875698589626779</v>
      </c>
      <c r="W148" s="402">
        <f t="shared" si="59"/>
        <v>50.10932308375456</v>
      </c>
      <c r="X148" s="157">
        <f t="shared" si="60"/>
        <v>46156</v>
      </c>
      <c r="Y148" s="385">
        <f t="shared" si="61"/>
        <v>47.504806947895879</v>
      </c>
      <c r="Z148" s="385">
        <f t="shared" si="62"/>
        <v>50.616789758568871</v>
      </c>
      <c r="AA148" s="386">
        <f t="shared" si="63"/>
        <v>53.726503278093944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5.788043758271167E-2</v>
      </c>
      <c r="AD148" s="231">
        <f>(INDEX(Models!$BJ148:$BT148,,AH148)*(1-AF148)+INDEX(Models!$BJ148:$BT148,,AH148+1)*AF148-ERP_i)*AE148*Ramure*Pc/MaxiM</f>
        <v>3.3030816805458725E-4</v>
      </c>
      <c r="AE148" s="305">
        <f t="shared" si="65"/>
        <v>0.5</v>
      </c>
      <c r="AF148" s="177">
        <f t="shared" si="66"/>
        <v>0.12087992971878458</v>
      </c>
      <c r="AG148" s="811">
        <f t="shared" si="74"/>
        <v>2</v>
      </c>
      <c r="AH148" s="176">
        <f t="shared" si="67"/>
        <v>8</v>
      </c>
      <c r="AI148" s="225">
        <f t="shared" si="68"/>
        <v>2.1208799297187846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'2025'!Wh/'2025'!Env_an*'2026'!Env_an</f>
        <v>53.01336153469029</v>
      </c>
      <c r="C149" s="841"/>
      <c r="D149" s="393">
        <f t="shared" si="50"/>
        <v>56.487440355938347</v>
      </c>
      <c r="E149" s="385">
        <f t="shared" si="72"/>
        <v>56.860327232814967</v>
      </c>
      <c r="F149" s="385">
        <f t="shared" si="51"/>
        <v>56.862203479450983</v>
      </c>
      <c r="G149" s="110">
        <f t="shared" si="73"/>
        <v>0.89952583446326384</v>
      </c>
      <c r="H149" s="414" t="b">
        <f>Wh_hp&gt;='2025'!Maxi_hp</f>
        <v>0</v>
      </c>
      <c r="I149" s="390">
        <f>IF(H149,Wh_hp,'2025'!Maxi_hp)</f>
        <v>64.337487236928794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6.150179224544805E-2</v>
      </c>
      <c r="M149" s="845"/>
      <c r="N149" s="845"/>
      <c r="O149" s="48">
        <f>IF(t&lt;Tnet,'2025'!Resal+('2025'!Salim-'2025'!Resal)*(1-EXP(('2025'!Tnet-t)/('2025'!Tau_j))),Resal+(Salim-Resal)*(1-EXP((Tnet-t)/(Tau_j))))*Salcycl</f>
        <v>6.5579446166363874E-3</v>
      </c>
      <c r="P149" s="169">
        <f>(INDEX(Models!$BJ149:$BT149,,T149)*(1-R149)+INDEX(Models!$BJ149:$BT149,,T149+1)*R149-ERP_i)*Q149*Ramure*Pc/MaxiM</f>
        <v>3.8525898491295058E-5</v>
      </c>
      <c r="Q149" s="305">
        <f t="shared" si="53"/>
        <v>0.5</v>
      </c>
      <c r="R149" s="177">
        <f t="shared" si="54"/>
        <v>0.59977015505984532</v>
      </c>
      <c r="S149" s="811">
        <f t="shared" si="55"/>
        <v>-2</v>
      </c>
      <c r="T149" s="176">
        <f t="shared" si="56"/>
        <v>4</v>
      </c>
      <c r="U149" s="251">
        <f t="shared" si="57"/>
        <v>-1.4002298449401547</v>
      </c>
      <c r="V149" s="383">
        <f t="shared" si="58"/>
        <v>58.934458973115859</v>
      </c>
      <c r="W149" s="402">
        <f t="shared" si="59"/>
        <v>53.01336153469029</v>
      </c>
      <c r="X149" s="157">
        <f t="shared" si="60"/>
        <v>46157</v>
      </c>
      <c r="Y149" s="385">
        <f t="shared" si="61"/>
        <v>50.256395879066176</v>
      </c>
      <c r="Z149" s="385">
        <f t="shared" si="62"/>
        <v>53.549804851848869</v>
      </c>
      <c r="AA149" s="386">
        <f t="shared" si="63"/>
        <v>56.845021148798878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5.796842415317903E-2</v>
      </c>
      <c r="AD149" s="231">
        <f>(INDEX(Models!$BJ149:$BT149,,AH149)*(1-AF149)+INDEX(Models!$BJ149:$BT149,,AH149+1)*AF149-ERP_i)*AE149*Ramure*Pc/MaxiM</f>
        <v>3.5281327829748087E-4</v>
      </c>
      <c r="AE149" s="305">
        <f t="shared" si="65"/>
        <v>0.5</v>
      </c>
      <c r="AF149" s="177">
        <f t="shared" si="66"/>
        <v>0.12475772143382402</v>
      </c>
      <c r="AG149" s="811">
        <f t="shared" si="74"/>
        <v>2</v>
      </c>
      <c r="AH149" s="176">
        <f t="shared" si="67"/>
        <v>8</v>
      </c>
      <c r="AI149" s="225">
        <f t="shared" si="68"/>
        <v>2.124757721433824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'2025'!Wh/'2025'!Env_an*'2026'!Env_an</f>
        <v>50.532599815795109</v>
      </c>
      <c r="C150" s="841"/>
      <c r="D150" s="393">
        <f t="shared" si="50"/>
        <v>53.8452883725463</v>
      </c>
      <c r="E150" s="385">
        <f t="shared" si="72"/>
        <v>54.20623980006971</v>
      </c>
      <c r="F150" s="385">
        <f t="shared" si="51"/>
        <v>54.207965317109142</v>
      </c>
      <c r="G150" s="110">
        <f t="shared" si="73"/>
        <v>0.85664793939524952</v>
      </c>
      <c r="H150" s="414" t="b">
        <f>Wh_hp&gt;='2025'!Maxi_hp</f>
        <v>0</v>
      </c>
      <c r="I150" s="390">
        <f>IF(H150,Wh_hp,'2025'!Maxi_hp)</f>
        <v>55.759884023555387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6.1522347764789931E-2</v>
      </c>
      <c r="M150" s="845"/>
      <c r="N150" s="845"/>
      <c r="O150" s="48">
        <f>IF(t&lt;Tnet,'2025'!Resal+('2025'!Salim-'2025'!Resal)*(1-EXP(('2025'!Tnet-t)/('2025'!Tau_j))),Resal+(Salim-Resal)*(1-EXP((Tnet-t)/(Tau_j))))*Salcycl</f>
        <v>6.658853830383971E-3</v>
      </c>
      <c r="P150" s="169">
        <f>(INDEX(Models!$BJ150:$BT150,,T150)*(1-R150)+INDEX(Models!$BJ150:$BT150,,T150+1)*R150-ERP_i)*Q150*Ramure*Pc/MaxiM</f>
        <v>4.002838806258815E-5</v>
      </c>
      <c r="Q150" s="305">
        <f t="shared" si="53"/>
        <v>0.5</v>
      </c>
      <c r="R150" s="177">
        <f t="shared" si="54"/>
        <v>0.60372659252097138</v>
      </c>
      <c r="S150" s="811">
        <f t="shared" si="55"/>
        <v>-2</v>
      </c>
      <c r="T150" s="176">
        <f t="shared" si="56"/>
        <v>4</v>
      </c>
      <c r="U150" s="251">
        <f t="shared" si="57"/>
        <v>-1.3962734074790286</v>
      </c>
      <c r="V150" s="383">
        <f t="shared" si="58"/>
        <v>58.988276589643498</v>
      </c>
      <c r="W150" s="402">
        <f t="shared" si="59"/>
        <v>50.532599815795109</v>
      </c>
      <c r="X150" s="157">
        <f t="shared" si="60"/>
        <v>46158</v>
      </c>
      <c r="Y150" s="385">
        <f t="shared" si="61"/>
        <v>47.905179844179322</v>
      </c>
      <c r="Z150" s="385">
        <f t="shared" si="62"/>
        <v>51.045626638078836</v>
      </c>
      <c r="AA150" s="386">
        <f t="shared" si="63"/>
        <v>54.191834270226991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5.805685809525514E-2</v>
      </c>
      <c r="AD150" s="231">
        <f>(INDEX(Models!$BJ150:$BT150,,AH150)*(1-AF150)+INDEX(Models!$BJ150:$BT150,,AH150+1)*AF150-ERP_i)*AE150*Ramure*Pc/MaxiM</f>
        <v>3.7420656516116404E-4</v>
      </c>
      <c r="AE150" s="305">
        <f t="shared" si="65"/>
        <v>0.5</v>
      </c>
      <c r="AF150" s="177">
        <f t="shared" si="66"/>
        <v>0.12871415889495008</v>
      </c>
      <c r="AG150" s="811">
        <f t="shared" si="74"/>
        <v>2</v>
      </c>
      <c r="AH150" s="176">
        <f t="shared" si="67"/>
        <v>8</v>
      </c>
      <c r="AI150" s="225">
        <f t="shared" si="68"/>
        <v>2.1287141588949501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'2025'!Wh/'2025'!Env_an*'2026'!Env_an</f>
        <v>53.810930918851817</v>
      </c>
      <c r="C151" s="841"/>
      <c r="D151" s="393">
        <f t="shared" si="50"/>
        <v>57.339787915023294</v>
      </c>
      <c r="E151" s="385">
        <f t="shared" si="72"/>
        <v>57.730034259459458</v>
      </c>
      <c r="F151" s="385">
        <f t="shared" si="51"/>
        <v>57.732111712146661</v>
      </c>
      <c r="G151" s="110">
        <f t="shared" si="73"/>
        <v>0.91146780553382423</v>
      </c>
      <c r="H151" s="414" t="b">
        <f>Wh_hp&gt;='2025'!Maxi_hp</f>
        <v>0</v>
      </c>
      <c r="I151" s="390">
        <f>IF(H151,Wh_hp,'2025'!Maxi_hp)</f>
        <v>59.143869986274652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6.1542902833913393E-2</v>
      </c>
      <c r="M151" s="845"/>
      <c r="N151" s="845"/>
      <c r="O151" s="48">
        <f>IF(t&lt;Tnet,'2025'!Resal+('2025'!Salim-'2025'!Resal)*(1-EXP(('2025'!Tnet-t)/('2025'!Tau_j))),Resal+(Salim-Resal)*(1-EXP((Tnet-t)/(Tau_j))))*Salcycl</f>
        <v>6.7598495210007617E-3</v>
      </c>
      <c r="P151" s="169">
        <f>(INDEX(Models!$BJ151:$BT151,,T151)*(1-R151)+INDEX(Models!$BJ151:$BT151,,T151+1)*R151-ERP_i)*Q151*Ramure*Pc/MaxiM</f>
        <v>4.1194076373446283E-5</v>
      </c>
      <c r="Q151" s="305">
        <f t="shared" si="53"/>
        <v>0.5</v>
      </c>
      <c r="R151" s="177">
        <f t="shared" si="54"/>
        <v>0.60776065088094522</v>
      </c>
      <c r="S151" s="811">
        <f t="shared" si="55"/>
        <v>-2</v>
      </c>
      <c r="T151" s="176">
        <f t="shared" si="56"/>
        <v>4</v>
      </c>
      <c r="U151" s="251">
        <f t="shared" si="57"/>
        <v>-1.3922393491190548</v>
      </c>
      <c r="V151" s="383">
        <f t="shared" si="58"/>
        <v>59.037357372357647</v>
      </c>
      <c r="W151" s="402">
        <f t="shared" si="59"/>
        <v>53.810930918851817</v>
      </c>
      <c r="X151" s="157">
        <f t="shared" si="60"/>
        <v>46159</v>
      </c>
      <c r="Y151" s="385">
        <f t="shared" si="61"/>
        <v>51.011272357637978</v>
      </c>
      <c r="Z151" s="385">
        <f t="shared" si="62"/>
        <v>54.356531067514624</v>
      </c>
      <c r="AA151" s="386">
        <f t="shared" si="63"/>
        <v>57.712250404014412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5.8145702394345772E-2</v>
      </c>
      <c r="AD151" s="231">
        <f>(INDEX(Models!$BJ151:$BT151,,AH151)*(1-AF151)+INDEX(Models!$BJ151:$BT151,,AH151+1)*AF151-ERP_i)*AE151*Ramure*Pc/MaxiM</f>
        <v>3.9383243195689093E-4</v>
      </c>
      <c r="AE151" s="305">
        <f t="shared" si="65"/>
        <v>0.5</v>
      </c>
      <c r="AF151" s="177">
        <f t="shared" si="66"/>
        <v>0.13274821725492414</v>
      </c>
      <c r="AG151" s="811">
        <f t="shared" si="74"/>
        <v>2</v>
      </c>
      <c r="AH151" s="176">
        <f t="shared" si="67"/>
        <v>8</v>
      </c>
      <c r="AI151" s="225">
        <f t="shared" si="68"/>
        <v>2.1327482172549241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'2025'!Wh/'2025'!Env_an*'2026'!Env_an</f>
        <v>51.764232056149446</v>
      </c>
      <c r="C152" s="841"/>
      <c r="D152" s="393">
        <f t="shared" si="50"/>
        <v>55.160077116825867</v>
      </c>
      <c r="E152" s="385">
        <f t="shared" si="72"/>
        <v>55.541140932869851</v>
      </c>
      <c r="F152" s="385">
        <f t="shared" si="51"/>
        <v>55.543061405354912</v>
      </c>
      <c r="G152" s="110">
        <f t="shared" si="73"/>
        <v>0.87613708399444012</v>
      </c>
      <c r="H152" s="414" t="b">
        <f>Wh_hp&gt;='2025'!Maxi_hp</f>
        <v>0</v>
      </c>
      <c r="I152" s="390">
        <f>IF(H152,Wh_hp,'2025'!Maxi_hp)</f>
        <v>63.972000087795209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6.1563457452827985E-2</v>
      </c>
      <c r="M152" s="845"/>
      <c r="N152" s="845"/>
      <c r="O152" s="48">
        <f>IF(t&lt;Tnet,'2025'!Resal+('2025'!Salim-'2025'!Resal)*(1-EXP(('2025'!Tnet-t)/('2025'!Tau_j))),Resal+(Salim-Resal)*(1-EXP((Tnet-t)/(Tau_j))))*Salcycl</f>
        <v>6.8609288474026026E-3</v>
      </c>
      <c r="P152" s="169">
        <f>(INDEX(Models!$BJ152:$BT152,,T152)*(1-R152)+INDEX(Models!$BJ152:$BT152,,T152+1)*R152-ERP_i)*Q152*Ramure*Pc/MaxiM</f>
        <v>4.2009312729236276E-5</v>
      </c>
      <c r="Q152" s="305">
        <f t="shared" si="53"/>
        <v>0.5</v>
      </c>
      <c r="R152" s="177">
        <f t="shared" si="54"/>
        <v>0.61187113110490232</v>
      </c>
      <c r="S152" s="811">
        <f t="shared" si="55"/>
        <v>-2</v>
      </c>
      <c r="T152" s="176">
        <f t="shared" si="56"/>
        <v>4</v>
      </c>
      <c r="U152" s="251">
        <f t="shared" si="57"/>
        <v>-1.3881288688950977</v>
      </c>
      <c r="V152" s="383">
        <f t="shared" si="58"/>
        <v>59.08190421715063</v>
      </c>
      <c r="W152" s="402">
        <f t="shared" si="59"/>
        <v>51.764232056149446</v>
      </c>
      <c r="X152" s="157">
        <f t="shared" si="60"/>
        <v>46160</v>
      </c>
      <c r="Y152" s="385">
        <f t="shared" si="61"/>
        <v>49.071590457348798</v>
      </c>
      <c r="Z152" s="385">
        <f t="shared" si="62"/>
        <v>52.290792432437847</v>
      </c>
      <c r="AA152" s="386">
        <f t="shared" si="63"/>
        <v>55.524242135184899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5.8234918270015597E-2</v>
      </c>
      <c r="AD152" s="231">
        <f>(INDEX(Models!$BJ152:$BT152,,AH152)*(1-AF152)+INDEX(Models!$BJ152:$BT152,,AH152+1)*AF152-ERP_i)*AE152*Ramure*Pc/MaxiM</f>
        <v>4.1166151145470125E-4</v>
      </c>
      <c r="AE152" s="305">
        <f t="shared" si="65"/>
        <v>0.5</v>
      </c>
      <c r="AF152" s="177">
        <f t="shared" si="66"/>
        <v>0.13685869747888102</v>
      </c>
      <c r="AG152" s="811">
        <f t="shared" si="74"/>
        <v>2</v>
      </c>
      <c r="AH152" s="176">
        <f t="shared" si="67"/>
        <v>8</v>
      </c>
      <c r="AI152" s="225">
        <f t="shared" si="68"/>
        <v>2.136858697478881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'2025'!Wh/'2025'!Env_an*'2026'!Env_an</f>
        <v>54.634300810109529</v>
      </c>
      <c r="C153" s="841"/>
      <c r="D153" s="393">
        <f t="shared" si="50"/>
        <v>58.219703720644524</v>
      </c>
      <c r="E153" s="385">
        <f t="shared" si="72"/>
        <v>58.627876184168521</v>
      </c>
      <c r="F153" s="385">
        <f t="shared" si="51"/>
        <v>58.630095648555191</v>
      </c>
      <c r="G153" s="110">
        <f t="shared" si="73"/>
        <v>0.92408812903364212</v>
      </c>
      <c r="H153" s="414" t="b">
        <f>Wh_hp&gt;='2025'!Maxi_hp</f>
        <v>0</v>
      </c>
      <c r="I153" s="390">
        <f>IF(H153,Wh_hp,'2025'!Maxi_hp)</f>
        <v>63.050548226982031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6.1584011621543588E-2</v>
      </c>
      <c r="M153" s="845"/>
      <c r="N153" s="845"/>
      <c r="O153" s="48">
        <f>IF(t&lt;Tnet,'2025'!Resal+('2025'!Salim-'2025'!Resal)*(1-EXP(('2025'!Tnet-t)/('2025'!Tau_j))),Resal+(Salim-Resal)*(1-EXP((Tnet-t)/(Tau_j))))*Salcycl</f>
        <v>6.9620885164217959E-3</v>
      </c>
      <c r="P153" s="169">
        <f>(INDEX(Models!$BJ153:$BT153,,T153)*(1-R153)+INDEX(Models!$BJ153:$BT153,,T153+1)*R153-ERP_i)*Q153*Ramure*Pc/MaxiM</f>
        <v>4.2459681814519605E-5</v>
      </c>
      <c r="Q153" s="305">
        <f t="shared" si="53"/>
        <v>0.5</v>
      </c>
      <c r="R153" s="177">
        <f t="shared" si="54"/>
        <v>0.61605665687219879</v>
      </c>
      <c r="S153" s="811">
        <f t="shared" si="55"/>
        <v>-2</v>
      </c>
      <c r="T153" s="176">
        <f t="shared" si="56"/>
        <v>4</v>
      </c>
      <c r="U153" s="251">
        <f t="shared" si="57"/>
        <v>-1.3839433431278012</v>
      </c>
      <c r="V153" s="383">
        <f t="shared" si="58"/>
        <v>59.122119991690518</v>
      </c>
      <c r="W153" s="402">
        <f t="shared" si="59"/>
        <v>54.634300810109529</v>
      </c>
      <c r="X153" s="157">
        <f t="shared" si="60"/>
        <v>46161</v>
      </c>
      <c r="Y153" s="385">
        <f t="shared" si="61"/>
        <v>51.790686313775282</v>
      </c>
      <c r="Z153" s="385">
        <f t="shared" si="62"/>
        <v>55.189475621858726</v>
      </c>
      <c r="AA153" s="386">
        <f t="shared" si="63"/>
        <v>58.607740761222118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5.8324465249223439E-2</v>
      </c>
      <c r="AD153" s="231">
        <f>(INDEX(Models!$BJ153:$BT153,,AH153)*(1-AF153)+INDEX(Models!$BJ153:$BT153,,AH153+1)*AF153-ERP_i)*AE153*Ramure*Pc/MaxiM</f>
        <v>4.2766237154479714E-4</v>
      </c>
      <c r="AE153" s="305">
        <f t="shared" si="65"/>
        <v>0.5</v>
      </c>
      <c r="AF153" s="177">
        <f t="shared" si="66"/>
        <v>0.14104422324617749</v>
      </c>
      <c r="AG153" s="811">
        <f t="shared" si="74"/>
        <v>2</v>
      </c>
      <c r="AH153" s="176">
        <f t="shared" si="67"/>
        <v>8</v>
      </c>
      <c r="AI153" s="225">
        <f t="shared" si="68"/>
        <v>2.1410442232461775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'2025'!Wh/'2025'!Env_an*'2026'!Env_an</f>
        <v>49.496212411625017</v>
      </c>
      <c r="C154" s="841"/>
      <c r="D154" s="393">
        <f t="shared" si="50"/>
        <v>52.745581002919323</v>
      </c>
      <c r="E154" s="385">
        <f t="shared" si="72"/>
        <v>53.120790398152195</v>
      </c>
      <c r="F154" s="385">
        <f t="shared" si="51"/>
        <v>53.122522558084185</v>
      </c>
      <c r="G154" s="110">
        <f t="shared" si="73"/>
        <v>0.83666702063403364</v>
      </c>
      <c r="H154" s="414" t="b">
        <f>Wh_hp&gt;='2025'!Maxi_hp</f>
        <v>0</v>
      </c>
      <c r="I154" s="390">
        <f>IF(H154,Wh_hp,'2025'!Maxi_hp)</f>
        <v>62.803447200223168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6.1604565340070194E-2</v>
      </c>
      <c r="M154" s="845"/>
      <c r="N154" s="845"/>
      <c r="O154" s="48">
        <f>IF(t&lt;Tnet,'2025'!Resal+('2025'!Salim-'2025'!Resal)*(1-EXP(('2025'!Tnet-t)/('2025'!Tau_j))),Resal+(Salim-Resal)*(1-EXP((Tnet-t)/(Tau_j))))*Salcycl</f>
        <v>7.0633247815138885E-3</v>
      </c>
      <c r="P154" s="169">
        <f>(INDEX(Models!$BJ154:$BT154,,T154)*(1-R154)+INDEX(Models!$BJ154:$BT154,,T154+1)*R154-ERP_i)*Q154*Ramure*Pc/MaxiM</f>
        <v>4.2530032259404919E-5</v>
      </c>
      <c r="Q154" s="305">
        <f t="shared" si="53"/>
        <v>0.5</v>
      </c>
      <c r="R154" s="177">
        <f t="shared" si="54"/>
        <v>0.6203156721798595</v>
      </c>
      <c r="S154" s="811">
        <f t="shared" si="55"/>
        <v>-2</v>
      </c>
      <c r="T154" s="176">
        <f t="shared" si="56"/>
        <v>4</v>
      </c>
      <c r="U154" s="251">
        <f t="shared" si="57"/>
        <v>-1.3796843278201405</v>
      </c>
      <c r="V154" s="383">
        <f t="shared" si="58"/>
        <v>59.158207526631188</v>
      </c>
      <c r="W154" s="402">
        <f t="shared" si="59"/>
        <v>49.496212411625017</v>
      </c>
      <c r="X154" s="157">
        <f t="shared" si="60"/>
        <v>46162</v>
      </c>
      <c r="Y154" s="385">
        <f t="shared" si="61"/>
        <v>46.922084824596972</v>
      </c>
      <c r="Z154" s="385">
        <f t="shared" si="62"/>
        <v>50.002464943365077</v>
      </c>
      <c r="AA154" s="386">
        <f t="shared" si="63"/>
        <v>53.10452889182428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5.8414301250618653E-2</v>
      </c>
      <c r="AD154" s="231">
        <f>(INDEX(Models!$BJ154:$BT154,,AH154)*(1-AF154)+INDEX(Models!$BJ154:$BT154,,AH154+1)*AF154-ERP_i)*AE154*Ramure*Pc/MaxiM</f>
        <v>4.4180170223480901E-4</v>
      </c>
      <c r="AE154" s="305">
        <f t="shared" si="65"/>
        <v>0.5</v>
      </c>
      <c r="AF154" s="177">
        <f t="shared" si="66"/>
        <v>0.1453032385538382</v>
      </c>
      <c r="AG154" s="811">
        <f t="shared" si="74"/>
        <v>2</v>
      </c>
      <c r="AH154" s="176">
        <f t="shared" si="67"/>
        <v>8</v>
      </c>
      <c r="AI154" s="225">
        <f t="shared" si="68"/>
        <v>2.1453032385538382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'2025'!Wh/'2025'!Env_an*'2026'!Env_an</f>
        <v>49.412665888828883</v>
      </c>
      <c r="C155" s="841"/>
      <c r="D155" s="393">
        <f t="shared" si="50"/>
        <v>52.657703087226032</v>
      </c>
      <c r="E155" s="385">
        <f t="shared" si="72"/>
        <v>53.03769875752031</v>
      </c>
      <c r="F155" s="385">
        <f t="shared" si="51"/>
        <v>53.039409002714557</v>
      </c>
      <c r="G155" s="110">
        <f t="shared" si="73"/>
        <v>0.83480089843915239</v>
      </c>
      <c r="H155" s="414" t="b">
        <f>Wh_hp&gt;='2025'!Maxi_hp</f>
        <v>0</v>
      </c>
      <c r="I155" s="390">
        <f>IF(H155,Wh_hp,'2025'!Maxi_hp)</f>
        <v>61.178268574854386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6.1625118608417684E-2</v>
      </c>
      <c r="M155" s="845"/>
      <c r="N155" s="845"/>
      <c r="O155" s="48">
        <f>IF(t&lt;Tnet,'2025'!Resal+('2025'!Salim-'2025'!Resal)*(1-EXP(('2025'!Tnet-t)/('2025'!Tau_j))),Resal+(Salim-Resal)*(1-EXP((Tnet-t)/(Tau_j))))*Salcycl</f>
        <v>7.1646334436861235E-3</v>
      </c>
      <c r="P155" s="169">
        <f>(INDEX(Models!$BJ155:$BT155,,T155)*(1-R155)+INDEX(Models!$BJ155:$BT155,,T155+1)*R155-ERP_i)*Q155*Ramure*Pc/MaxiM</f>
        <v>4.2204509983991958E-5</v>
      </c>
      <c r="Q155" s="305">
        <f t="shared" si="53"/>
        <v>0.5</v>
      </c>
      <c r="R155" s="177">
        <f t="shared" si="54"/>
        <v>0.62464643970080225</v>
      </c>
      <c r="S155" s="811">
        <f t="shared" si="55"/>
        <v>-2</v>
      </c>
      <c r="T155" s="176">
        <f t="shared" si="56"/>
        <v>4</v>
      </c>
      <c r="U155" s="251">
        <f t="shared" si="57"/>
        <v>-1.3753535602991978</v>
      </c>
      <c r="V155" s="383">
        <f t="shared" si="58"/>
        <v>59.190369619366393</v>
      </c>
      <c r="W155" s="402">
        <f t="shared" si="59"/>
        <v>49.412665888828883</v>
      </c>
      <c r="X155" s="157">
        <f t="shared" si="60"/>
        <v>46163</v>
      </c>
      <c r="Y155" s="385">
        <f t="shared" si="61"/>
        <v>46.842781116657001</v>
      </c>
      <c r="Z155" s="385">
        <f t="shared" si="62"/>
        <v>49.919048394806282</v>
      </c>
      <c r="AA155" s="386">
        <f t="shared" si="63"/>
        <v>53.021009844841494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5.8504382679859676E-2</v>
      </c>
      <c r="AD155" s="231">
        <f>(INDEX(Models!$BJ155:$BT155,,AH155)*(1-AF155)+INDEX(Models!$BJ155:$BT155,,AH155+1)*AF155-ERP_i)*AE155*Ramure*Pc/MaxiM</f>
        <v>4.5404451055473344E-4</v>
      </c>
      <c r="AE155" s="305">
        <f t="shared" si="65"/>
        <v>0.5</v>
      </c>
      <c r="AF155" s="177">
        <f t="shared" si="66"/>
        <v>0.14963400607478139</v>
      </c>
      <c r="AG155" s="811">
        <f t="shared" si="74"/>
        <v>2</v>
      </c>
      <c r="AH155" s="176">
        <f t="shared" si="67"/>
        <v>8</v>
      </c>
      <c r="AI155" s="225">
        <f t="shared" si="68"/>
        <v>2.1496340060747814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'2025'!Wh/'2025'!Env_an*'2026'!Env_an</f>
        <v>37.397066550639209</v>
      </c>
      <c r="C156" s="841"/>
      <c r="D156" s="393">
        <f t="shared" si="50"/>
        <v>39.853886119430598</v>
      </c>
      <c r="E156" s="385">
        <f t="shared" si="72"/>
        <v>40.145584330802585</v>
      </c>
      <c r="F156" s="385">
        <f t="shared" si="51"/>
        <v>40.146374119545875</v>
      </c>
      <c r="G156" s="110">
        <f t="shared" si="73"/>
        <v>0.6314927996901869</v>
      </c>
      <c r="H156" s="414" t="b">
        <f>Wh_hp&gt;='2025'!Maxi_hp</f>
        <v>0</v>
      </c>
      <c r="I156" s="390">
        <f>IF(H156,Wh_hp,'2025'!Maxi_hp)</f>
        <v>62.875998222350205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6.1645671426595827E-2</v>
      </c>
      <c r="M156" s="845"/>
      <c r="N156" s="845"/>
      <c r="O156" s="48">
        <f>IF(t&lt;Tnet,'2025'!Resal+('2025'!Salim-'2025'!Resal)*(1-EXP(('2025'!Tnet-t)/('2025'!Tau_j))),Resal+(Salim-Resal)*(1-EXP((Tnet-t)/(Tau_j))))*Salcycl</f>
        <v>7.2660098547419252E-3</v>
      </c>
      <c r="P156" s="169">
        <f>(INDEX(Models!$BJ156:$BT156,,T156)*(1-R156)+INDEX(Models!$BJ156:$BT156,,T156+1)*R156-ERP_i)*Q156*Ramure*Pc/MaxiM</f>
        <v>4.1540379556986032E-5</v>
      </c>
      <c r="Q156" s="305">
        <f t="shared" si="53"/>
        <v>0.5</v>
      </c>
      <c r="R156" s="177">
        <f t="shared" si="54"/>
        <v>0.62904703994635791</v>
      </c>
      <c r="S156" s="811">
        <f t="shared" si="55"/>
        <v>-2</v>
      </c>
      <c r="T156" s="176">
        <f t="shared" si="56"/>
        <v>4</v>
      </c>
      <c r="U156" s="251">
        <f t="shared" si="57"/>
        <v>-1.3709529600536421</v>
      </c>
      <c r="V156" s="383">
        <f t="shared" si="58"/>
        <v>59.218804659243865</v>
      </c>
      <c r="W156" s="402">
        <f t="shared" si="59"/>
        <v>37.397066550639209</v>
      </c>
      <c r="X156" s="157">
        <f t="shared" si="60"/>
        <v>46164</v>
      </c>
      <c r="Y156" s="385">
        <f t="shared" si="61"/>
        <v>35.456396250126751</v>
      </c>
      <c r="Z156" s="385">
        <f t="shared" si="62"/>
        <v>37.785722482925728</v>
      </c>
      <c r="AA156" s="386">
        <f t="shared" si="63"/>
        <v>40.137569928148594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5.8594664535819484E-2</v>
      </c>
      <c r="AD156" s="231">
        <f>(INDEX(Models!$BJ156:$BT156,,AH156)*(1-AF156)+INDEX(Models!$BJ156:$BT156,,AH156+1)*AF156-ERP_i)*AE156*Ramure*Pc/MaxiM</f>
        <v>4.630725057105015E-4</v>
      </c>
      <c r="AE156" s="305">
        <f t="shared" si="65"/>
        <v>0.5</v>
      </c>
      <c r="AF156" s="177">
        <f t="shared" si="66"/>
        <v>0.15403460632033683</v>
      </c>
      <c r="AG156" s="811">
        <f t="shared" si="74"/>
        <v>2</v>
      </c>
      <c r="AH156" s="176">
        <f t="shared" si="67"/>
        <v>8</v>
      </c>
      <c r="AI156" s="225">
        <f t="shared" si="68"/>
        <v>2.1540346063203368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'2025'!Wh/'2025'!Env_an*'2026'!Env_an</f>
        <v>19.497148849563015</v>
      </c>
      <c r="C157" s="841"/>
      <c r="D157" s="393">
        <f t="shared" si="50"/>
        <v>20.778479197891961</v>
      </c>
      <c r="E157" s="385">
        <f t="shared" si="72"/>
        <v>20.932699794446371</v>
      </c>
      <c r="F157" s="385">
        <f t="shared" si="51"/>
        <v>20.932735209625978</v>
      </c>
      <c r="G157" s="110">
        <f t="shared" si="73"/>
        <v>0.3290879324896725</v>
      </c>
      <c r="H157" s="414" t="b">
        <f>Wh_hp&gt;='2025'!Maxi_hp</f>
        <v>0</v>
      </c>
      <c r="I157" s="390">
        <f>IF(H157,Wh_hp,'2025'!Maxi_hp)</f>
        <v>58.76828057791041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6.1666223794614505E-2</v>
      </c>
      <c r="M157" s="845"/>
      <c r="N157" s="845"/>
      <c r="O157" s="48">
        <f>IF(t&lt;Tnet,'2025'!Resal+('2025'!Salim-'2025'!Resal)*(1-EXP(('2025'!Tnet-t)/('2025'!Tau_j))),Resal+(Salim-Resal)*(1-EXP((Tnet-t)/(Tau_j))))*Salcycl</f>
        <v>7.3674489229203881E-3</v>
      </c>
      <c r="P157" s="169">
        <f>(INDEX(Models!$BJ157:$BT157,,T157)*(1-R157)+INDEX(Models!$BJ157:$BT157,,T157+1)*R157-ERP_i)*Q157*Ramure*Pc/MaxiM</f>
        <v>4.0696498435996271E-5</v>
      </c>
      <c r="Q157" s="305">
        <f t="shared" si="53"/>
        <v>0.5</v>
      </c>
      <c r="R157" s="177">
        <f t="shared" si="54"/>
        <v>0.63351537127813029</v>
      </c>
      <c r="S157" s="811">
        <f t="shared" si="55"/>
        <v>-2</v>
      </c>
      <c r="T157" s="176">
        <f t="shared" si="56"/>
        <v>4</v>
      </c>
      <c r="U157" s="251">
        <f t="shared" si="57"/>
        <v>-1.3664846287218697</v>
      </c>
      <c r="V157" s="383">
        <f t="shared" si="58"/>
        <v>59.243704931581995</v>
      </c>
      <c r="W157" s="402">
        <f t="shared" si="59"/>
        <v>19.497148849563015</v>
      </c>
      <c r="X157" s="157">
        <f t="shared" si="60"/>
        <v>46165</v>
      </c>
      <c r="Y157" s="385">
        <f t="shared" si="61"/>
        <v>18.488845596178237</v>
      </c>
      <c r="Z157" s="385">
        <f t="shared" si="62"/>
        <v>19.703911406607343</v>
      </c>
      <c r="AA157" s="386">
        <f t="shared" si="63"/>
        <v>20.932327128411526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5.8685100527444412E-2</v>
      </c>
      <c r="AD157" s="231">
        <f>(INDEX(Models!$BJ157:$BT157,,AH157)*(1-AF157)+INDEX(Models!$BJ157:$BT157,,AH157+1)*AF157-ERP_i)*AE157*Ramure*Pc/MaxiM</f>
        <v>4.6893667320129943E-4</v>
      </c>
      <c r="AE157" s="305">
        <f t="shared" si="65"/>
        <v>0.5</v>
      </c>
      <c r="AF157" s="177">
        <f t="shared" si="66"/>
        <v>0.15850293765210921</v>
      </c>
      <c r="AG157" s="811">
        <f t="shared" si="74"/>
        <v>2</v>
      </c>
      <c r="AH157" s="176">
        <f t="shared" si="67"/>
        <v>8</v>
      </c>
      <c r="AI157" s="225">
        <f t="shared" si="68"/>
        <v>2.1585029376521092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'2025'!Wh/'2025'!Env_an*'2026'!Env_an</f>
        <v>16.904980135440621</v>
      </c>
      <c r="C158" s="841"/>
      <c r="D158" s="393">
        <f t="shared" si="50"/>
        <v>18.016350721558862</v>
      </c>
      <c r="E158" s="385">
        <f t="shared" si="72"/>
        <v>18.151926464159981</v>
      </c>
      <c r="F158" s="385">
        <f t="shared" si="51"/>
        <v>18.151926464159981</v>
      </c>
      <c r="G158" s="110">
        <f t="shared" si="73"/>
        <v>0.28523128103219347</v>
      </c>
      <c r="H158" s="414" t="b">
        <f>Wh_hp&gt;='2025'!Maxi_hp</f>
        <v>0</v>
      </c>
      <c r="I158" s="390">
        <f>IF(H158,Wh_hp,'2025'!Maxi_hp)</f>
        <v>30.554357090064354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6.1686775712483488E-2</v>
      </c>
      <c r="M158" s="845"/>
      <c r="N158" s="845"/>
      <c r="O158" s="48">
        <f>IF(t&lt;Tnet,'2025'!Resal+('2025'!Salim-'2025'!Resal)*(1-EXP(('2025'!Tnet-t)/('2025'!Tau_j))),Resal+(Salim-Resal)*(1-EXP((Tnet-t)/(Tau_j))))*Salcycl</f>
        <v>7.4689451209933883E-3</v>
      </c>
      <c r="P158" s="169">
        <f>(INDEX(Models!$BJ158:$BT158,,T158)*(1-R158)+INDEX(Models!$BJ158:$BT158,,T158+1)*R158-ERP_i)*Q158*Ramure*Pc/MaxiM</f>
        <v>3.9664982056321645E-5</v>
      </c>
      <c r="Q158" s="305">
        <f t="shared" si="53"/>
        <v>0.5</v>
      </c>
      <c r="R158" s="177">
        <f t="shared" si="54"/>
        <v>0.63804915080895963</v>
      </c>
      <c r="S158" s="811">
        <f t="shared" si="55"/>
        <v>-2</v>
      </c>
      <c r="T158" s="176">
        <f t="shared" si="56"/>
        <v>4</v>
      </c>
      <c r="U158" s="251">
        <f t="shared" si="57"/>
        <v>-1.3619508491910404</v>
      </c>
      <c r="V158" s="383">
        <f t="shared" si="58"/>
        <v>59.265272513357083</v>
      </c>
      <c r="W158" s="402">
        <f t="shared" si="59"/>
        <v>16.904980135440621</v>
      </c>
      <c r="X158" s="157">
        <f t="shared" si="60"/>
        <v>46166</v>
      </c>
      <c r="Y158" s="385">
        <f t="shared" si="61"/>
        <v>16.031114569630013</v>
      </c>
      <c r="Z158" s="385">
        <f t="shared" si="62"/>
        <v>17.085035310892927</v>
      </c>
      <c r="AA158" s="386">
        <f t="shared" si="63"/>
        <v>18.151926464159981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5.877564320093371E-2</v>
      </c>
      <c r="AD158" s="231">
        <f>(INDEX(Models!$BJ158:$BT158,,AH158)*(1-AF158)+INDEX(Models!$BJ158:$BT158,,AH158+1)*AF158-ERP_i)*AE158*Ramure*Pc/MaxiM</f>
        <v>4.7154993512218214E-4</v>
      </c>
      <c r="AE158" s="305">
        <f t="shared" si="65"/>
        <v>0.5</v>
      </c>
      <c r="AF158" s="177">
        <f t="shared" si="66"/>
        <v>0.16303671718293877</v>
      </c>
      <c r="AG158" s="811">
        <f t="shared" si="74"/>
        <v>2</v>
      </c>
      <c r="AH158" s="176">
        <f t="shared" si="67"/>
        <v>8</v>
      </c>
      <c r="AI158" s="225">
        <f t="shared" si="68"/>
        <v>2.1630367171829388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'2025'!Wh/'2025'!Env_an*'2026'!Env_an</f>
        <v>39.649369270470835</v>
      </c>
      <c r="C159" s="841"/>
      <c r="D159" s="393">
        <f t="shared" si="50"/>
        <v>42.256931572656626</v>
      </c>
      <c r="E159" s="385">
        <f t="shared" si="72"/>
        <v>42.579277674815742</v>
      </c>
      <c r="F159" s="385">
        <f t="shared" si="51"/>
        <v>42.580139996626265</v>
      </c>
      <c r="G159" s="110">
        <f t="shared" si="73"/>
        <v>0.66879499582012525</v>
      </c>
      <c r="H159" s="414" t="b">
        <f>Wh_hp&gt;='2025'!Maxi_hp</f>
        <v>0</v>
      </c>
      <c r="I159" s="390">
        <f>IF(H159,Wh_hp,'2025'!Maxi_hp)</f>
        <v>59.691953884707942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6.1707327180212879E-2</v>
      </c>
      <c r="M159" s="845"/>
      <c r="N159" s="845"/>
      <c r="O159" s="48">
        <f>IF(t&lt;Tnet,'2025'!Resal+('2025'!Salim-'2025'!Resal)*(1-EXP(('2025'!Tnet-t)/('2025'!Tau_j))),Resal+(Salim-Resal)*(1-EXP((Tnet-t)/(Tau_j))))*Salcycl</f>
        <v>7.5704924968647957E-3</v>
      </c>
      <c r="P159" s="169">
        <f>(INDEX(Models!$BJ159:$BT159,,T159)*(1-R159)+INDEX(Models!$BJ159:$BT159,,T159+1)*R159-ERP_i)*Q159*Ramure*Pc/MaxiM</f>
        <v>3.843801774279298E-5</v>
      </c>
      <c r="Q159" s="305">
        <f t="shared" si="53"/>
        <v>0.5</v>
      </c>
      <c r="R159" s="177">
        <f t="shared" si="54"/>
        <v>0.64264591622667688</v>
      </c>
      <c r="S159" s="811">
        <f t="shared" si="55"/>
        <v>-2</v>
      </c>
      <c r="T159" s="176">
        <f t="shared" si="56"/>
        <v>4</v>
      </c>
      <c r="U159" s="251">
        <f t="shared" si="57"/>
        <v>-1.3573540837733231</v>
      </c>
      <c r="V159" s="383">
        <f t="shared" si="58"/>
        <v>59.283709401413148</v>
      </c>
      <c r="W159" s="402">
        <f t="shared" si="59"/>
        <v>39.649369270470835</v>
      </c>
      <c r="X159" s="157">
        <f t="shared" si="60"/>
        <v>46167</v>
      </c>
      <c r="Y159" s="385">
        <f t="shared" si="61"/>
        <v>37.591444546307869</v>
      </c>
      <c r="Z159" s="385">
        <f t="shared" si="62"/>
        <v>40.063666311425898</v>
      </c>
      <c r="AA159" s="386">
        <f t="shared" si="63"/>
        <v>42.569577447709328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5.8866244076807774E-2</v>
      </c>
      <c r="AD159" s="231">
        <f>(INDEX(Models!$BJ159:$BT159,,AH159)*(1-AF159)+INDEX(Models!$BJ159:$BT159,,AH159+1)*AF159-ERP_i)*AE159*Ramure*Pc/MaxiM</f>
        <v>4.7082590017450597E-4</v>
      </c>
      <c r="AE159" s="305">
        <f t="shared" si="65"/>
        <v>0.5</v>
      </c>
      <c r="AF159" s="177">
        <f t="shared" si="66"/>
        <v>0.1676334826006558</v>
      </c>
      <c r="AG159" s="811">
        <f t="shared" si="74"/>
        <v>2</v>
      </c>
      <c r="AH159" s="176">
        <f t="shared" si="67"/>
        <v>8</v>
      </c>
      <c r="AI159" s="225">
        <f t="shared" si="68"/>
        <v>2.1676334826006558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'2025'!Wh/'2025'!Env_an*'2026'!Env_an</f>
        <v>24.041018149570714</v>
      </c>
      <c r="C160" s="841"/>
      <c r="D160" s="393">
        <f t="shared" si="50"/>
        <v>25.622649965762477</v>
      </c>
      <c r="E160" s="385">
        <f t="shared" si="72"/>
        <v>25.820748938290997</v>
      </c>
      <c r="F160" s="385">
        <f t="shared" si="51"/>
        <v>25.82089284553247</v>
      </c>
      <c r="G160" s="110">
        <f t="shared" si="73"/>
        <v>0.40540606493308229</v>
      </c>
      <c r="H160" s="414" t="b">
        <f>Wh_hp&gt;='2025'!Maxi_hp</f>
        <v>0</v>
      </c>
      <c r="I160" s="390">
        <f>IF(H160,Wh_hp,'2025'!Maxi_hp)</f>
        <v>61.991403277896538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6.1727878197812225E-2</v>
      </c>
      <c r="M160" s="845"/>
      <c r="N160" s="845"/>
      <c r="O160" s="48">
        <f>IF(t&lt;Tnet,'2025'!Resal+('2025'!Salim-'2025'!Resal)*(1-EXP(('2025'!Tnet-t)/('2025'!Tau_j))),Resal+(Salim-Resal)*(1-EXP((Tnet-t)/(Tau_j))))*Salcycl</f>
        <v>7.6720846866972841E-3</v>
      </c>
      <c r="P160" s="169">
        <f>(INDEX(Models!$BJ160:$BT160,,T160)*(1-R160)+INDEX(Models!$BJ160:$BT160,,T160+1)*R160-ERP_i)*Q160*Ramure*Pc/MaxiM</f>
        <v>3.7007634594172919E-5</v>
      </c>
      <c r="Q160" s="305">
        <f t="shared" si="53"/>
        <v>0.5</v>
      </c>
      <c r="R160" s="177">
        <f t="shared" si="54"/>
        <v>0.64730302856750921</v>
      </c>
      <c r="S160" s="811">
        <f t="shared" si="55"/>
        <v>-2</v>
      </c>
      <c r="T160" s="176">
        <f t="shared" si="56"/>
        <v>4</v>
      </c>
      <c r="U160" s="251">
        <f t="shared" si="57"/>
        <v>-1.3526969714324908</v>
      </c>
      <c r="V160" s="383">
        <f t="shared" si="58"/>
        <v>59.299217527989889</v>
      </c>
      <c r="W160" s="402">
        <f t="shared" si="59"/>
        <v>24.041018149570714</v>
      </c>
      <c r="X160" s="157">
        <f t="shared" si="60"/>
        <v>46168</v>
      </c>
      <c r="Y160" s="385">
        <f t="shared" si="61"/>
        <v>22.797072503569737</v>
      </c>
      <c r="Z160" s="385">
        <f t="shared" si="62"/>
        <v>24.296866520751166</v>
      </c>
      <c r="AA160" s="386">
        <f t="shared" si="63"/>
        <v>25.819078135544608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5.895685379633455E-2</v>
      </c>
      <c r="AD160" s="231">
        <f>(INDEX(Models!$BJ160:$BT160,,AH160)*(1-AF160)+INDEX(Models!$BJ160:$BT160,,AH160+1)*AF160-ERP_i)*AE160*Ramure*Pc/MaxiM</f>
        <v>4.666764746332315E-4</v>
      </c>
      <c r="AE160" s="305">
        <f t="shared" si="65"/>
        <v>0.5</v>
      </c>
      <c r="AF160" s="177">
        <f t="shared" si="66"/>
        <v>0.17229059494148791</v>
      </c>
      <c r="AG160" s="811">
        <f t="shared" si="74"/>
        <v>2</v>
      </c>
      <c r="AH160" s="176">
        <f t="shared" si="67"/>
        <v>8</v>
      </c>
      <c r="AI160" s="225">
        <f t="shared" si="68"/>
        <v>2.1722905949414879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'2025'!Wh/'2025'!Env_an*'2026'!Env_an</f>
        <v>44.718260562925401</v>
      </c>
      <c r="C161" s="841"/>
      <c r="D161" s="393">
        <f t="shared" si="50"/>
        <v>47.661269039046353</v>
      </c>
      <c r="E161" s="385">
        <f t="shared" si="72"/>
        <v>48.034676924237502</v>
      </c>
      <c r="F161" s="385">
        <f t="shared" si="51"/>
        <v>48.035778608380653</v>
      </c>
      <c r="G161" s="110">
        <f t="shared" si="73"/>
        <v>0.75394027501834759</v>
      </c>
      <c r="H161" s="414" t="b">
        <f>Wh_hp&gt;='2025'!Maxi_hp</f>
        <v>0</v>
      </c>
      <c r="I161" s="390">
        <f>IF(H161,Wh_hp,'2025'!Maxi_hp)</f>
        <v>62.096546618278133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6.174842876529163E-2</v>
      </c>
      <c r="M161" s="845"/>
      <c r="N161" s="845"/>
      <c r="O161" s="48">
        <f>IF(t&lt;Tnet,'2025'!Resal+('2025'!Salim-'2025'!Resal)*(1-EXP(('2025'!Tnet-t)/('2025'!Tau_j))),Resal+(Salim-Resal)*(1-EXP((Tnet-t)/(Tau_j))))*Salcycl</f>
        <v>7.7737149305720727E-3</v>
      </c>
      <c r="P161" s="169">
        <f>(INDEX(Models!$BJ161:$BT161,,T161)*(1-R161)+INDEX(Models!$BJ161:$BT161,,T161+1)*R161-ERP_i)*Q161*Ramure*Pc/MaxiM</f>
        <v>3.5365729488727059E-5</v>
      </c>
      <c r="Q161" s="305">
        <f t="shared" si="53"/>
        <v>0.5</v>
      </c>
      <c r="R161" s="177">
        <f t="shared" si="54"/>
        <v>0.65201767595848503</v>
      </c>
      <c r="S161" s="811">
        <f t="shared" si="55"/>
        <v>-2</v>
      </c>
      <c r="T161" s="176">
        <f t="shared" si="56"/>
        <v>4</v>
      </c>
      <c r="U161" s="251">
        <f t="shared" si="57"/>
        <v>-1.347982324041515</v>
      </c>
      <c r="V161" s="383">
        <f t="shared" si="58"/>
        <v>59.311998756378202</v>
      </c>
      <c r="W161" s="402">
        <f t="shared" si="59"/>
        <v>44.718260562925401</v>
      </c>
      <c r="X161" s="157">
        <f t="shared" si="60"/>
        <v>46169</v>
      </c>
      <c r="Y161" s="385">
        <f t="shared" si="61"/>
        <v>42.395774735239399</v>
      </c>
      <c r="Z161" s="385">
        <f t="shared" si="62"/>
        <v>45.185935238507454</v>
      </c>
      <c r="AA161" s="386">
        <f t="shared" si="63"/>
        <v>48.021479836781324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5.9047422276687647E-2</v>
      </c>
      <c r="AD161" s="231">
        <f>(INDEX(Models!$BJ161:$BT161,,AH161)*(1-AF161)+INDEX(Models!$BJ161:$BT161,,AH161+1)*AF161-ERP_i)*AE161*Ramure*Pc/MaxiM</f>
        <v>4.5901222373588617E-4</v>
      </c>
      <c r="AE161" s="305">
        <f t="shared" si="65"/>
        <v>0.5</v>
      </c>
      <c r="AF161" s="177">
        <f t="shared" si="66"/>
        <v>0.17700524233246373</v>
      </c>
      <c r="AG161" s="811">
        <f t="shared" si="74"/>
        <v>2</v>
      </c>
      <c r="AH161" s="176">
        <f t="shared" si="67"/>
        <v>8</v>
      </c>
      <c r="AI161" s="225">
        <f t="shared" si="68"/>
        <v>2.1770052423324637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'2025'!Wh/'2025'!Env_an*'2026'!Env_an</f>
        <v>53.880552135634716</v>
      </c>
      <c r="C162" s="841"/>
      <c r="D162" s="393">
        <f t="shared" si="50"/>
        <v>57.427809273955127</v>
      </c>
      <c r="E162" s="385">
        <f t="shared" si="72"/>
        <v>57.883664904584819</v>
      </c>
      <c r="F162" s="385">
        <f t="shared" si="51"/>
        <v>57.885350153450922</v>
      </c>
      <c r="G162" s="110">
        <f t="shared" si="73"/>
        <v>0.90826479329712362</v>
      </c>
      <c r="H162" s="414" t="b">
        <f>Wh_hp&gt;='2025'!Maxi_hp</f>
        <v>0</v>
      </c>
      <c r="I162" s="390">
        <f>IF(H162,Wh_hp,'2025'!Maxi_hp)</f>
        <v>61.293375317013549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6.1768978882660863E-2</v>
      </c>
      <c r="M162" s="845"/>
      <c r="N162" s="845"/>
      <c r="O162" s="48">
        <f>IF(t&lt;Tnet,'2025'!Resal+('2025'!Salim-'2025'!Resal)*(1-EXP(('2025'!Tnet-t)/('2025'!Tau_j))),Resal+(Salim-Resal)*(1-EXP((Tnet-t)/(Tau_j))))*Salcycl</f>
        <v>7.875376090665992E-3</v>
      </c>
      <c r="P162" s="169">
        <f>(INDEX(Models!$BJ162:$BT162,,T162)*(1-R162)+INDEX(Models!$BJ162:$BT162,,T162+1)*R162-ERP_i)*Q162*Ramure*Pc/MaxiM</f>
        <v>3.3504095013340074E-5</v>
      </c>
      <c r="Q162" s="305">
        <f t="shared" si="53"/>
        <v>0.5</v>
      </c>
      <c r="R162" s="177">
        <f t="shared" si="54"/>
        <v>0.65678687834002725</v>
      </c>
      <c r="S162" s="811">
        <f t="shared" si="55"/>
        <v>-2</v>
      </c>
      <c r="T162" s="176">
        <f t="shared" si="56"/>
        <v>4</v>
      </c>
      <c r="U162" s="251">
        <f t="shared" si="57"/>
        <v>-1.3432131216599728</v>
      </c>
      <c r="V162" s="383">
        <f t="shared" si="58"/>
        <v>59.322254877828847</v>
      </c>
      <c r="W162" s="402">
        <f t="shared" si="59"/>
        <v>53.880552135634716</v>
      </c>
      <c r="X162" s="157">
        <f t="shared" si="60"/>
        <v>46170</v>
      </c>
      <c r="Y162" s="385">
        <f t="shared" si="61"/>
        <v>51.078181232634122</v>
      </c>
      <c r="Z162" s="385">
        <f t="shared" si="62"/>
        <v>54.440942670820164</v>
      </c>
      <c r="AA162" s="386">
        <f t="shared" si="63"/>
        <v>57.862828788271266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5.9137898874116475E-2</v>
      </c>
      <c r="AD162" s="231">
        <f>(INDEX(Models!$BJ162:$BT162,,AH162)*(1-AF162)+INDEX(Models!$BJ162:$BT162,,AH162+1)*AF162-ERP_i)*AE162*Ramure*Pc/MaxiM</f>
        <v>4.4774274825900385E-4</v>
      </c>
      <c r="AE162" s="305">
        <f t="shared" si="65"/>
        <v>0.5</v>
      </c>
      <c r="AF162" s="177">
        <f t="shared" si="66"/>
        <v>0.18177444471400639</v>
      </c>
      <c r="AG162" s="811">
        <f t="shared" si="74"/>
        <v>2</v>
      </c>
      <c r="AH162" s="176">
        <f t="shared" si="67"/>
        <v>8</v>
      </c>
      <c r="AI162" s="225">
        <f t="shared" si="68"/>
        <v>2.1817744447140064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'2025'!Wh/'2025'!Env_an*'2026'!Env_an</f>
        <v>58.071884056110079</v>
      </c>
      <c r="C163" s="841"/>
      <c r="D163" s="393">
        <f t="shared" si="50"/>
        <v>61.896435632780673</v>
      </c>
      <c r="E163" s="385">
        <f t="shared" si="72"/>
        <v>62.394157613637297</v>
      </c>
      <c r="F163" s="385">
        <f t="shared" si="51"/>
        <v>62.396058385652786</v>
      </c>
      <c r="G163" s="110">
        <f t="shared" si="73"/>
        <v>0.97879525158701541</v>
      </c>
      <c r="H163" s="414" t="b">
        <f>Wh_hp&gt;='2025'!Maxi_hp</f>
        <v>0</v>
      </c>
      <c r="I163" s="390">
        <f>IF(H163,Wh_hp,'2025'!Maxi_hp)</f>
        <v>62.396103176132826</v>
      </c>
      <c r="J163" s="85">
        <f>IF(H163,An,'2025'!An_max)</f>
        <v>2025</v>
      </c>
      <c r="K163" s="197">
        <f t="shared" si="52"/>
        <v>46171</v>
      </c>
      <c r="L163" s="147">
        <f>IF(t&lt;Tvie,1-EXP((T0-t)*PertePVj)+'2025'!Pspv,1-EXP((T0-t)*PertePVj)+Pspv)</f>
        <v>6.1789528549929806E-2</v>
      </c>
      <c r="M163" s="845"/>
      <c r="N163" s="845"/>
      <c r="O163" s="48">
        <f>IF(t&lt;Tnet,'2025'!Resal+('2025'!Salim-'2025'!Resal)*(1-EXP(('2025'!Tnet-t)/('2025'!Tau_j))),Resal+(Salim-Resal)*(1-EXP((Tnet-t)/(Tau_j))))*Salcycl</f>
        <v>7.9770606719088439E-3</v>
      </c>
      <c r="P163" s="169">
        <f>(INDEX(Models!$BJ163:$BT163,,T163)*(1-R163)+INDEX(Models!$BJ163:$BT163,,T163+1)*R163-ERP_i)*Q163*Ramure*Pc/MaxiM</f>
        <v>3.1414599117511672E-5</v>
      </c>
      <c r="Q163" s="305">
        <f t="shared" si="53"/>
        <v>0.5</v>
      </c>
      <c r="R163" s="177">
        <f t="shared" si="54"/>
        <v>0.66160749317124923</v>
      </c>
      <c r="S163" s="811">
        <f t="shared" si="55"/>
        <v>-2</v>
      </c>
      <c r="T163" s="176">
        <f t="shared" si="56"/>
        <v>4</v>
      </c>
      <c r="U163" s="251">
        <f t="shared" si="57"/>
        <v>-1.3383925068287508</v>
      </c>
      <c r="V163" s="383">
        <f t="shared" si="58"/>
        <v>59.329904492224323</v>
      </c>
      <c r="W163" s="402">
        <f t="shared" si="59"/>
        <v>58.071884056110079</v>
      </c>
      <c r="X163" s="157">
        <f t="shared" si="60"/>
        <v>46171</v>
      </c>
      <c r="Y163" s="385">
        <f t="shared" si="61"/>
        <v>55.050264359362799</v>
      </c>
      <c r="Z163" s="385">
        <f t="shared" si="62"/>
        <v>58.675815325615318</v>
      </c>
      <c r="AA163" s="386">
        <f t="shared" si="63"/>
        <v>62.369872647143616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5.9228232554319339E-2</v>
      </c>
      <c r="AD163" s="231">
        <f>(INDEX(Models!$BJ163:$BT163,,AH163)*(1-AF163)+INDEX(Models!$BJ163:$BT163,,AH163+1)*AF163-ERP_i)*AE163*Ramure*Pc/MaxiM</f>
        <v>4.3277913982131208E-4</v>
      </c>
      <c r="AE163" s="305">
        <f t="shared" si="65"/>
        <v>0.5</v>
      </c>
      <c r="AF163" s="177">
        <f t="shared" si="66"/>
        <v>0.18659505954522837</v>
      </c>
      <c r="AG163" s="811">
        <f t="shared" si="74"/>
        <v>2</v>
      </c>
      <c r="AH163" s="176">
        <f t="shared" si="67"/>
        <v>8</v>
      </c>
      <c r="AI163" s="225">
        <f t="shared" si="68"/>
        <v>2.1865950595452284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'2025'!Wh/'2025'!Env_an*'2026'!Env_an</f>
        <v>49.451601537461876</v>
      </c>
      <c r="C164" s="841"/>
      <c r="D164" s="393">
        <f t="shared" si="50"/>
        <v>52.70958509100916</v>
      </c>
      <c r="E164" s="385">
        <f t="shared" si="72"/>
        <v>53.138881405457958</v>
      </c>
      <c r="F164" s="385">
        <f t="shared" si="51"/>
        <v>53.14006496658255</v>
      </c>
      <c r="G164" s="110">
        <f t="shared" si="73"/>
        <v>0.83342955147053754</v>
      </c>
      <c r="H164" s="414" t="b">
        <f>Wh_hp&gt;='2025'!Maxi_hp</f>
        <v>0</v>
      </c>
      <c r="I164" s="390">
        <f>IF(H164,Wh_hp,'2025'!Maxi_hp)</f>
        <v>57.223999787813696</v>
      </c>
      <c r="J164" s="85">
        <f>IF(H164,An,'2025'!An_max)</f>
        <v>2019</v>
      </c>
      <c r="K164" s="197">
        <f t="shared" si="52"/>
        <v>46172</v>
      </c>
      <c r="L164" s="147">
        <f>IF(t&lt;Tvie,1-EXP((T0-t)*PertePVj)+'2025'!Pspv,1-EXP((T0-t)*PertePVj)+Pspv)</f>
        <v>6.1810077767108229E-2</v>
      </c>
      <c r="M164" s="845"/>
      <c r="N164" s="845"/>
      <c r="O164" s="48">
        <f>IF(t&lt;Tnet,'2025'!Resal+('2025'!Salim-'2025'!Resal)*(1-EXP(('2025'!Tnet-t)/('2025'!Tau_j))),Resal+(Salim-Resal)*(1-EXP((Tnet-t)/(Tau_j))))*Salcycl</f>
        <v>8.0787608450618303E-3</v>
      </c>
      <c r="P164" s="169">
        <f>(INDEX(Models!$BJ164:$BT164,,T164)*(1-R164)+INDEX(Models!$BJ164:$BT164,,T164+1)*R164-ERP_i)*Q164*Ramure*Pc/MaxiM</f>
        <v>2.9227041770193132E-5</v>
      </c>
      <c r="Q164" s="305">
        <f t="shared" si="53"/>
        <v>0.5</v>
      </c>
      <c r="R164" s="177">
        <f t="shared" si="54"/>
        <v>0.66647622211133695</v>
      </c>
      <c r="S164" s="811">
        <f t="shared" si="55"/>
        <v>-2</v>
      </c>
      <c r="T164" s="176">
        <f t="shared" si="56"/>
        <v>4</v>
      </c>
      <c r="U164" s="251">
        <f t="shared" si="57"/>
        <v>-1.3335237778886631</v>
      </c>
      <c r="V164" s="383">
        <f t="shared" si="58"/>
        <v>59.334658254455526</v>
      </c>
      <c r="W164" s="402">
        <f t="shared" si="59"/>
        <v>49.451601537461876</v>
      </c>
      <c r="X164" s="157">
        <f t="shared" si="60"/>
        <v>46172</v>
      </c>
      <c r="Y164" s="385">
        <f t="shared" si="61"/>
        <v>46.883295338332374</v>
      </c>
      <c r="Z164" s="385">
        <f t="shared" si="62"/>
        <v>49.972073060377951</v>
      </c>
      <c r="AA164" s="386">
        <f t="shared" si="63"/>
        <v>53.123258259329155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5.9318372069126983E-2</v>
      </c>
      <c r="AD164" s="231">
        <f>(INDEX(Models!$BJ164:$BT164,,AH164)*(1-AF164)+INDEX(Models!$BJ164:$BT164,,AH164+1)*AF164-ERP_i)*AE164*Ramure*Pc/MaxiM</f>
        <v>4.1502743264208605E-4</v>
      </c>
      <c r="AE164" s="305">
        <f t="shared" si="65"/>
        <v>0.5</v>
      </c>
      <c r="AF164" s="177">
        <f t="shared" si="66"/>
        <v>0.19146378848531587</v>
      </c>
      <c r="AG164" s="811">
        <f t="shared" si="74"/>
        <v>2</v>
      </c>
      <c r="AH164" s="176">
        <f t="shared" si="67"/>
        <v>8</v>
      </c>
      <c r="AI164" s="225">
        <f t="shared" si="68"/>
        <v>2.1914637884853159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'2025'!Wh/'2025'!Env_an*'2026'!Env_an</f>
        <v>52.515976434680752</v>
      </c>
      <c r="C165" s="841"/>
      <c r="D165" s="393">
        <f t="shared" si="50"/>
        <v>55.977073991102216</v>
      </c>
      <c r="E165" s="385">
        <f t="shared" si="72"/>
        <v>56.438769566144202</v>
      </c>
      <c r="F165" s="385">
        <f t="shared" si="51"/>
        <v>56.440052523666878</v>
      </c>
      <c r="G165" s="110">
        <f t="shared" si="73"/>
        <v>0.88505098999104559</v>
      </c>
      <c r="H165" s="414" t="b">
        <f>Wh_hp&gt;='2025'!Maxi_hp</f>
        <v>0</v>
      </c>
      <c r="I165" s="390">
        <f>IF(H165,Wh_hp,'2025'!Maxi_hp)</f>
        <v>63.126585406149495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6.1830626534206123E-2</v>
      </c>
      <c r="M165" s="845"/>
      <c r="N165" s="845"/>
      <c r="O165" s="48">
        <f>IF(t&lt;Tnet,'2025'!Resal+('2025'!Salim-'2025'!Resal)*(1-EXP(('2025'!Tnet-t)/('2025'!Tau_j))),Resal+(Salim-Resal)*(1-EXP((Tnet-t)/(Tau_j))))*Salcycl</f>
        <v>8.1804684721359672E-3</v>
      </c>
      <c r="P165" s="169">
        <f>(INDEX(Models!$BJ165:$BT165,,T165)*(1-R165)+INDEX(Models!$BJ165:$BT165,,T165+1)*R165-ERP_i)*Q165*Ramure*Pc/MaxiM</f>
        <v>2.7197329046971142E-5</v>
      </c>
      <c r="Q165" s="305">
        <f t="shared" si="53"/>
        <v>0.5</v>
      </c>
      <c r="R165" s="177">
        <f t="shared" si="54"/>
        <v>0.67138961866096358</v>
      </c>
      <c r="S165" s="811">
        <f t="shared" si="55"/>
        <v>-2</v>
      </c>
      <c r="T165" s="176">
        <f t="shared" si="56"/>
        <v>4</v>
      </c>
      <c r="U165" s="251">
        <f t="shared" si="57"/>
        <v>-1.3286103813390364</v>
      </c>
      <c r="V165" s="383">
        <f t="shared" si="58"/>
        <v>59.336402633298057</v>
      </c>
      <c r="W165" s="402">
        <f t="shared" si="59"/>
        <v>52.515976434680752</v>
      </c>
      <c r="X165" s="157">
        <f t="shared" si="60"/>
        <v>46173</v>
      </c>
      <c r="Y165" s="385">
        <f t="shared" si="61"/>
        <v>49.788133034744874</v>
      </c>
      <c r="Z165" s="385">
        <f t="shared" si="62"/>
        <v>53.06945040298757</v>
      </c>
      <c r="AA165" s="386">
        <f t="shared" si="63"/>
        <v>56.421344662596603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5.9408266138525775E-2</v>
      </c>
      <c r="AD165" s="231">
        <f>(INDEX(Models!$BJ165:$BT165,,AH165)*(1-AF165)+INDEX(Models!$BJ165:$BT165,,AH165+1)*AF165-ERP_i)*AE165*Ramure*Pc/MaxiM</f>
        <v>3.9658667126553577E-4</v>
      </c>
      <c r="AE165" s="305">
        <f t="shared" si="65"/>
        <v>0.5</v>
      </c>
      <c r="AF165" s="177">
        <f t="shared" si="66"/>
        <v>0.1963771850349425</v>
      </c>
      <c r="AG165" s="811">
        <f t="shared" si="74"/>
        <v>2</v>
      </c>
      <c r="AH165" s="176">
        <f t="shared" si="67"/>
        <v>8</v>
      </c>
      <c r="AI165" s="225">
        <f t="shared" si="68"/>
        <v>2.1963771850349425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'2025'!Wh/'2025'!Env_an*'2026'!Env_an</f>
        <v>54.863672231054359</v>
      </c>
      <c r="C166" s="841"/>
      <c r="D166" s="393">
        <f t="shared" si="50"/>
        <v>58.480776994369059</v>
      </c>
      <c r="E166" s="385">
        <f t="shared" si="72"/>
        <v>58.969169987716725</v>
      </c>
      <c r="F166" s="385">
        <f t="shared" si="51"/>
        <v>58.97050306454274</v>
      </c>
      <c r="G166" s="110">
        <f t="shared" si="73"/>
        <v>0.92463953207846383</v>
      </c>
      <c r="H166" s="414" t="b">
        <f>Wh_hp&gt;='2025'!Maxi_hp</f>
        <v>0</v>
      </c>
      <c r="I166" s="390">
        <f>IF(H166,Wh_hp,'2025'!Maxi_hp)</f>
        <v>64.729267905613341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6.1851174851233259E-2</v>
      </c>
      <c r="M166" s="845"/>
      <c r="N166" s="845"/>
      <c r="O166" s="48">
        <f>IF(t&lt;Tnet,'2025'!Resal+('2025'!Salim-'2025'!Resal)*(1-EXP(('2025'!Tnet-t)/('2025'!Tau_j))),Resal+(Salim-Resal)*(1-EXP((Tnet-t)/(Tau_j))))*Salcycl</f>
        <v>8.2821751340471528E-3</v>
      </c>
      <c r="P166" s="169">
        <f>(INDEX(Models!$BJ166:$BT166,,T166)*(1-R166)+INDEX(Models!$BJ166:$BT166,,T166+1)*R166-ERP_i)*Q166*Ramure*Pc/MaxiM</f>
        <v>2.533303169717945E-5</v>
      </c>
      <c r="Q166" s="305">
        <f t="shared" si="53"/>
        <v>0.5</v>
      </c>
      <c r="R166" s="177">
        <f t="shared" si="54"/>
        <v>0.67634409673804585</v>
      </c>
      <c r="S166" s="811">
        <f t="shared" si="55"/>
        <v>-2</v>
      </c>
      <c r="T166" s="176">
        <f t="shared" si="56"/>
        <v>4</v>
      </c>
      <c r="U166" s="251">
        <f t="shared" si="57"/>
        <v>-1.3236559032619541</v>
      </c>
      <c r="V166" s="383">
        <f t="shared" si="58"/>
        <v>59.335038898595037</v>
      </c>
      <c r="W166" s="402">
        <f t="shared" si="59"/>
        <v>54.863672231054359</v>
      </c>
      <c r="X166" s="157">
        <f t="shared" si="60"/>
        <v>46174</v>
      </c>
      <c r="Y166" s="385">
        <f t="shared" si="61"/>
        <v>52.013977406704313</v>
      </c>
      <c r="Z166" s="385">
        <f t="shared" si="62"/>
        <v>55.443204758537334</v>
      </c>
      <c r="AA166" s="386">
        <f t="shared" si="63"/>
        <v>58.950642018676945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5.9497863636979016E-2</v>
      </c>
      <c r="AD166" s="231">
        <f>(INDEX(Models!$BJ166:$BT166,,AH166)*(1-AF166)+INDEX(Models!$BJ166:$BT166,,AH166+1)*AF166-ERP_i)*AE166*Ramure*Pc/MaxiM</f>
        <v>3.7742798812298004E-4</v>
      </c>
      <c r="AE166" s="305">
        <f t="shared" si="65"/>
        <v>0.5</v>
      </c>
      <c r="AF166" s="177">
        <f t="shared" si="66"/>
        <v>0.20133166311202499</v>
      </c>
      <c r="AG166" s="811">
        <f t="shared" si="74"/>
        <v>2</v>
      </c>
      <c r="AH166" s="176">
        <f t="shared" si="67"/>
        <v>8</v>
      </c>
      <c r="AI166" s="225">
        <f t="shared" si="68"/>
        <v>2.201331663112025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'2025'!Wh/'2025'!Env_an*'2026'!Env_an</f>
        <v>44.072406226692031</v>
      </c>
      <c r="C167" s="841"/>
      <c r="D167" s="393">
        <f t="shared" si="50"/>
        <v>46.979083025181325</v>
      </c>
      <c r="E167" s="385">
        <f t="shared" si="72"/>
        <v>47.376279697600552</v>
      </c>
      <c r="F167" s="385">
        <f t="shared" si="51"/>
        <v>47.37698827828018</v>
      </c>
      <c r="G167" s="110">
        <f t="shared" si="73"/>
        <v>0.74282277938591157</v>
      </c>
      <c r="H167" s="414" t="b">
        <f>Wh_hp&gt;='2025'!Maxi_hp</f>
        <v>0</v>
      </c>
      <c r="I167" s="390">
        <f>IF(H167,Wh_hp,'2025'!Maxi_hp)</f>
        <v>63.739845271535835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6.1871722718199518E-2</v>
      </c>
      <c r="M167" s="845"/>
      <c r="N167" s="845"/>
      <c r="O167" s="48">
        <f>IF(t&lt;Tnet,'2025'!Resal+('2025'!Salim-'2025'!Resal)*(1-EXP(('2025'!Tnet-t)/('2025'!Tau_j))),Resal+(Salim-Resal)*(1-EXP((Tnet-t)/(Tau_j))))*Salcycl</f>
        <v>8.3838721603828534E-3</v>
      </c>
      <c r="P167" s="169">
        <f>(INDEX(Models!$BJ167:$BT167,,T167)*(1-R167)+INDEX(Models!$BJ167:$BT167,,T167+1)*R167-ERP_i)*Q167*Ramure*Pc/MaxiM</f>
        <v>2.3641967491212127E-5</v>
      </c>
      <c r="Q167" s="305">
        <f t="shared" si="53"/>
        <v>0.5</v>
      </c>
      <c r="R167" s="177">
        <f t="shared" si="54"/>
        <v>0.68133594015245835</v>
      </c>
      <c r="S167" s="811">
        <f t="shared" si="55"/>
        <v>-2</v>
      </c>
      <c r="T167" s="176">
        <f t="shared" si="56"/>
        <v>4</v>
      </c>
      <c r="U167" s="251">
        <f t="shared" si="57"/>
        <v>-1.3186640598475416</v>
      </c>
      <c r="V167" s="383">
        <f t="shared" si="58"/>
        <v>59.330468373126131</v>
      </c>
      <c r="W167" s="402">
        <f t="shared" si="59"/>
        <v>44.072406226692031</v>
      </c>
      <c r="X167" s="157">
        <f t="shared" si="60"/>
        <v>46175</v>
      </c>
      <c r="Y167" s="385">
        <f t="shared" si="61"/>
        <v>41.787848432300358</v>
      </c>
      <c r="Z167" s="385">
        <f t="shared" si="62"/>
        <v>44.543853377258216</v>
      </c>
      <c r="AA167" s="386">
        <f t="shared" si="63"/>
        <v>47.366272868125044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5.9587113782941611E-2</v>
      </c>
      <c r="AD167" s="231">
        <f>(INDEX(Models!$BJ167:$BT167,,AH167)*(1-AF167)+INDEX(Models!$BJ167:$BT167,,AH167+1)*AF167-ERP_i)*AE167*Ramure*Pc/MaxiM</f>
        <v>3.5752227773976715E-4</v>
      </c>
      <c r="AE167" s="305">
        <f t="shared" si="65"/>
        <v>0.5</v>
      </c>
      <c r="AF167" s="177">
        <f t="shared" si="66"/>
        <v>0.20632350652643749</v>
      </c>
      <c r="AG167" s="811">
        <f t="shared" si="74"/>
        <v>2</v>
      </c>
      <c r="AH167" s="176">
        <f t="shared" si="67"/>
        <v>8</v>
      </c>
      <c r="AI167" s="225">
        <f t="shared" si="68"/>
        <v>2.2063235065264375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'2025'!Wh/'2025'!Env_an*'2026'!Env_an</f>
        <v>53.709793682774361</v>
      </c>
      <c r="C168" s="841"/>
      <c r="D168" s="393">
        <f t="shared" si="50"/>
        <v>57.253332397666234</v>
      </c>
      <c r="E168" s="385">
        <f t="shared" si="72"/>
        <v>57.743316232902401</v>
      </c>
      <c r="F168" s="385">
        <f t="shared" si="51"/>
        <v>57.74442150201903</v>
      </c>
      <c r="G168" s="110">
        <f t="shared" si="73"/>
        <v>0.90538243201392998</v>
      </c>
      <c r="H168" s="414" t="b">
        <f>Wh_hp&gt;='2025'!Maxi_hp</f>
        <v>0</v>
      </c>
      <c r="I168" s="390">
        <f>IF(H168,Wh_hp,'2025'!Maxi_hp)</f>
        <v>57.744547078545061</v>
      </c>
      <c r="J168" s="85">
        <f>IF(H168,An,'2025'!An_max)</f>
        <v>2025</v>
      </c>
      <c r="K168" s="197">
        <f t="shared" si="52"/>
        <v>46176</v>
      </c>
      <c r="L168" s="147">
        <f>IF(t&lt;Tvie,1-EXP((T0-t)*PertePVj)+'2025'!Pspv,1-EXP((T0-t)*PertePVj)+Pspv)</f>
        <v>6.1892270135114669E-2</v>
      </c>
      <c r="M168" s="845"/>
      <c r="N168" s="845"/>
      <c r="O168" s="48">
        <f>IF(t&lt;Tnet,'2025'!Resal+('2025'!Salim-'2025'!Resal)*(1-EXP(('2025'!Tnet-t)/('2025'!Tau_j))),Resal+(Salim-Resal)*(1-EXP((Tnet-t)/(Tau_j))))*Salcycl</f>
        <v>8.4855506611338453E-3</v>
      </c>
      <c r="P168" s="169">
        <f>(INDEX(Models!$BJ168:$BT168,,T168)*(1-R168)+INDEX(Models!$BJ168:$BT168,,T168+1)*R168-ERP_i)*Q168*Ramure*Pc/MaxiM</f>
        <v>2.2132184582371615E-5</v>
      </c>
      <c r="Q168" s="305">
        <f t="shared" si="53"/>
        <v>0.5</v>
      </c>
      <c r="R168" s="177">
        <f t="shared" si="54"/>
        <v>0.68636131293473035</v>
      </c>
      <c r="S168" s="811">
        <f t="shared" si="55"/>
        <v>-2</v>
      </c>
      <c r="T168" s="176">
        <f t="shared" si="56"/>
        <v>4</v>
      </c>
      <c r="U168" s="251">
        <f t="shared" si="57"/>
        <v>-1.3136386870652697</v>
      </c>
      <c r="V168" s="383">
        <f t="shared" si="58"/>
        <v>59.322592430519059</v>
      </c>
      <c r="W168" s="402">
        <f t="shared" si="59"/>
        <v>53.709793682774361</v>
      </c>
      <c r="X168" s="157">
        <f t="shared" si="60"/>
        <v>46176</v>
      </c>
      <c r="Y168" s="385">
        <f t="shared" si="61"/>
        <v>50.922973166499517</v>
      </c>
      <c r="Z168" s="385">
        <f t="shared" si="62"/>
        <v>54.282649577819704</v>
      </c>
      <c r="AA168" s="386">
        <f t="shared" si="63"/>
        <v>57.727599884885436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5.9675966330408767E-2</v>
      </c>
      <c r="AD168" s="231">
        <f>(INDEX(Models!$BJ168:$BT168,,AH168)*(1-AF168)+INDEX(Models!$BJ168:$BT168,,AH168+1)*AF168-ERP_i)*AE168*Ramure*Pc/MaxiM</f>
        <v>3.3684025887842925E-4</v>
      </c>
      <c r="AE168" s="305">
        <f t="shared" si="65"/>
        <v>0.5</v>
      </c>
      <c r="AF168" s="177">
        <f t="shared" si="66"/>
        <v>0.21134887930870949</v>
      </c>
      <c r="AG168" s="811">
        <f t="shared" si="74"/>
        <v>2</v>
      </c>
      <c r="AH168" s="176">
        <f t="shared" si="67"/>
        <v>8</v>
      </c>
      <c r="AI168" s="225">
        <f t="shared" si="68"/>
        <v>2.2113488793087095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'2025'!Wh/'2025'!Env_an*'2026'!Env_an</f>
        <v>24.253662486191477</v>
      </c>
      <c r="C169" s="841"/>
      <c r="D169" s="393">
        <f t="shared" si="50"/>
        <v>25.854379985520318</v>
      </c>
      <c r="E169" s="385">
        <f t="shared" si="72"/>
        <v>26.078319773769664</v>
      </c>
      <c r="F169" s="385">
        <f t="shared" si="51"/>
        <v>26.078404225521499</v>
      </c>
      <c r="G169" s="110">
        <f t="shared" si="73"/>
        <v>0.4089141723630485</v>
      </c>
      <c r="H169" s="414" t="b">
        <f>Wh_hp&gt;='2025'!Maxi_hp</f>
        <v>0</v>
      </c>
      <c r="I169" s="390">
        <f>IF(H169,Wh_hp,'2025'!Maxi_hp)</f>
        <v>59.953702782585943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6.1912817101988815E-2</v>
      </c>
      <c r="M169" s="845"/>
      <c r="N169" s="845"/>
      <c r="O169" s="48">
        <f>IF(t&lt;Tnet,'2025'!Resal+('2025'!Salim-'2025'!Resal)*(1-EXP(('2025'!Tnet-t)/('2025'!Tau_j))),Resal+(Salim-Resal)*(1-EXP((Tnet-t)/(Tau_j))))*Salcycl</f>
        <v>8.5872015602244632E-3</v>
      </c>
      <c r="P169" s="169">
        <f>(INDEX(Models!$BJ169:$BT169,,T169)*(1-R169)+INDEX(Models!$BJ169:$BT169,,T169+1)*R169-ERP_i)*Q169*Ramure*Pc/MaxiM</f>
        <v>2.0811943602795141E-5</v>
      </c>
      <c r="Q169" s="305">
        <f t="shared" si="53"/>
        <v>0.5</v>
      </c>
      <c r="R169" s="177">
        <f t="shared" si="54"/>
        <v>0.69141627046439025</v>
      </c>
      <c r="S169" s="811">
        <f t="shared" si="55"/>
        <v>-2</v>
      </c>
      <c r="T169" s="176">
        <f t="shared" si="56"/>
        <v>4</v>
      </c>
      <c r="U169" s="251">
        <f t="shared" si="57"/>
        <v>-1.3085837295356098</v>
      </c>
      <c r="V169" s="383">
        <f t="shared" si="58"/>
        <v>59.311312497061934</v>
      </c>
      <c r="W169" s="402">
        <f t="shared" si="59"/>
        <v>24.253662486191477</v>
      </c>
      <c r="X169" s="157">
        <f t="shared" si="60"/>
        <v>46177</v>
      </c>
      <c r="Y169" s="385">
        <f t="shared" si="61"/>
        <v>23.000623431472786</v>
      </c>
      <c r="Z169" s="385">
        <f t="shared" si="62"/>
        <v>24.518641604736022</v>
      </c>
      <c r="AA169" s="386">
        <f t="shared" si="63"/>
        <v>26.077124572130412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5.9764371761294545E-2</v>
      </c>
      <c r="AD169" s="231">
        <f>(INDEX(Models!$BJ169:$BT169,,AH169)*(1-AF169)+INDEX(Models!$BJ169:$BT169,,AH169+1)*AF169-ERP_i)*AE169*Ramure*Pc/MaxiM</f>
        <v>3.1535253713287781E-4</v>
      </c>
      <c r="AE169" s="305">
        <f t="shared" si="65"/>
        <v>0.5</v>
      </c>
      <c r="AF169" s="177">
        <f t="shared" si="66"/>
        <v>0.21640383683836895</v>
      </c>
      <c r="AG169" s="811">
        <f t="shared" si="74"/>
        <v>2</v>
      </c>
      <c r="AH169" s="176">
        <f t="shared" si="67"/>
        <v>8</v>
      </c>
      <c r="AI169" s="225">
        <f t="shared" si="68"/>
        <v>2.2164038368383689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'2025'!Wh/'2025'!Env_an*'2026'!Env_an</f>
        <v>33.456859530098853</v>
      </c>
      <c r="C170" s="841"/>
      <c r="D170" s="393">
        <f t="shared" si="50"/>
        <v>35.665760013773891</v>
      </c>
      <c r="E170" s="385">
        <f t="shared" ref="E170:E232" si="75">Wh_pvt/(1-Psa)</f>
        <v>35.978369432464149</v>
      </c>
      <c r="F170" s="385">
        <f t="shared" si="51"/>
        <v>35.978637065826142</v>
      </c>
      <c r="G170" s="110">
        <f t="shared" ref="G170:G232" si="76">+Wh_hp/MaxiM</f>
        <v>0.56422272297678866</v>
      </c>
      <c r="H170" s="414" t="b">
        <f>Wh_hp&gt;='2025'!Maxi_hp</f>
        <v>0</v>
      </c>
      <c r="I170" s="390">
        <f>IF(H170,Wh_hp,'2025'!Maxi_hp)</f>
        <v>43.180770881481472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6.1933363618831505E-2</v>
      </c>
      <c r="M170" s="845"/>
      <c r="N170" s="845"/>
      <c r="O170" s="48">
        <f>IF(t&lt;Tnet,'2025'!Resal+('2025'!Salim-'2025'!Resal)*(1-EXP(('2025'!Tnet-t)/('2025'!Tau_j))),Resal+(Salim-Resal)*(1-EXP((Tnet-t)/(Tau_j))))*Salcycl</f>
        <v>8.6888156306546265E-3</v>
      </c>
      <c r="P170" s="169">
        <f>(INDEX(Models!$BJ170:$BT170,,T170)*(1-R170)+INDEX(Models!$BJ170:$BT170,,T170+1)*R170-ERP_i)*Q170*Ramure*Pc/MaxiM</f>
        <v>1.9706615407327607E-5</v>
      </c>
      <c r="Q170" s="305">
        <f t="shared" si="53"/>
        <v>0.5</v>
      </c>
      <c r="R170" s="177">
        <f t="shared" si="54"/>
        <v>0.69649677133466215</v>
      </c>
      <c r="S170" s="811">
        <f t="shared" si="55"/>
        <v>-2</v>
      </c>
      <c r="T170" s="176">
        <f t="shared" si="56"/>
        <v>4</v>
      </c>
      <c r="U170" s="251">
        <f t="shared" si="57"/>
        <v>-1.3035032286653379</v>
      </c>
      <c r="V170" s="383">
        <f t="shared" si="58"/>
        <v>59.296529043972619</v>
      </c>
      <c r="W170" s="402">
        <f t="shared" si="59"/>
        <v>33.456859530098853</v>
      </c>
      <c r="X170" s="157">
        <f t="shared" si="60"/>
        <v>46178</v>
      </c>
      <c r="Y170" s="385">
        <f t="shared" si="61"/>
        <v>31.726801429309056</v>
      </c>
      <c r="Z170" s="385">
        <f t="shared" si="62"/>
        <v>33.821479411849985</v>
      </c>
      <c r="AA170" s="386">
        <f t="shared" si="63"/>
        <v>35.974643926168248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5.985228147740005E-2</v>
      </c>
      <c r="AD170" s="231">
        <f>(INDEX(Models!$BJ170:$BT170,,AH170)*(1-AF170)+INDEX(Models!$BJ170:$BT170,,AH170+1)*AF170-ERP_i)*AE170*Ramure*Pc/MaxiM</f>
        <v>2.9402637593491917E-4</v>
      </c>
      <c r="AE170" s="305">
        <f t="shared" si="65"/>
        <v>0.5</v>
      </c>
      <c r="AF170" s="177">
        <f t="shared" si="66"/>
        <v>0.22148433770864084</v>
      </c>
      <c r="AG170" s="811">
        <f t="shared" si="74"/>
        <v>2</v>
      </c>
      <c r="AH170" s="176">
        <f t="shared" si="67"/>
        <v>8</v>
      </c>
      <c r="AI170" s="225">
        <f t="shared" si="68"/>
        <v>2.2214843377086408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'2025'!Wh/'2025'!Env_an*'2026'!Env_an</f>
        <v>47.118929666533134</v>
      </c>
      <c r="C171" s="841"/>
      <c r="D171" s="393">
        <f t="shared" si="50"/>
        <v>50.230932310312369</v>
      </c>
      <c r="E171" s="385">
        <f t="shared" si="75"/>
        <v>50.676397278360973</v>
      </c>
      <c r="F171" s="385">
        <f t="shared" si="51"/>
        <v>50.677068521570376</v>
      </c>
      <c r="G171" s="110">
        <f t="shared" si="76"/>
        <v>0.79487419667084758</v>
      </c>
      <c r="H171" s="414" t="b">
        <f>Wh_hp&gt;='2025'!Maxi_hp</f>
        <v>0</v>
      </c>
      <c r="I171" s="390">
        <f>IF(H171,Wh_hp,'2025'!Maxi_hp)</f>
        <v>62.343880742671914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6.1953909685652842E-2</v>
      </c>
      <c r="M171" s="845"/>
      <c r="N171" s="845"/>
      <c r="O171" s="48">
        <f>IF(t&lt;Tnet,'2025'!Resal+('2025'!Salim-'2025'!Resal)*(1-EXP(('2025'!Tnet-t)/('2025'!Tau_j))),Resal+(Salim-Resal)*(1-EXP((Tnet-t)/(Tau_j))))*Salcycl</f>
        <v>8.7903835310491063E-3</v>
      </c>
      <c r="P171" s="169">
        <f>(INDEX(Models!$BJ171:$BT171,,T171)*(1-R171)+INDEX(Models!$BJ171:$BT171,,T171+1)*R171-ERP_i)*Q171*Ramure*Pc/MaxiM</f>
        <v>1.8735609287204334E-5</v>
      </c>
      <c r="Q171" s="305">
        <f t="shared" si="53"/>
        <v>0.5</v>
      </c>
      <c r="R171" s="177">
        <f t="shared" si="54"/>
        <v>0.70159868988180207</v>
      </c>
      <c r="S171" s="811">
        <f t="shared" si="55"/>
        <v>-2</v>
      </c>
      <c r="T171" s="176">
        <f t="shared" si="56"/>
        <v>4</v>
      </c>
      <c r="U171" s="251">
        <f t="shared" si="57"/>
        <v>-1.2984013101181979</v>
      </c>
      <c r="V171" s="383">
        <f t="shared" si="58"/>
        <v>59.278148885031953</v>
      </c>
      <c r="W171" s="402">
        <f t="shared" si="59"/>
        <v>47.118929666533134</v>
      </c>
      <c r="X171" s="157">
        <f t="shared" si="60"/>
        <v>46179</v>
      </c>
      <c r="Y171" s="385">
        <f t="shared" si="61"/>
        <v>44.679381565026532</v>
      </c>
      <c r="Z171" s="385">
        <f t="shared" si="62"/>
        <v>47.630262549310444</v>
      </c>
      <c r="AA171" s="386">
        <f t="shared" si="63"/>
        <v>50.667239020883194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5.9939647990706932E-2</v>
      </c>
      <c r="AD171" s="231">
        <f>(INDEX(Models!$BJ171:$BT171,,AH171)*(1-AF171)+INDEX(Models!$BJ171:$BT171,,AH171+1)*AF171-ERP_i)*AE171*Ramure*Pc/MaxiM</f>
        <v>2.7435910230923997E-4</v>
      </c>
      <c r="AE171" s="305">
        <f t="shared" si="65"/>
        <v>0.5</v>
      </c>
      <c r="AF171" s="177">
        <f t="shared" si="66"/>
        <v>0.22658625625578122</v>
      </c>
      <c r="AG171" s="811">
        <f t="shared" si="74"/>
        <v>2</v>
      </c>
      <c r="AH171" s="176">
        <f t="shared" si="67"/>
        <v>8</v>
      </c>
      <c r="AI171" s="225">
        <f t="shared" si="68"/>
        <v>2.2265862562557812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'2025'!Wh/'2025'!Env_an*'2026'!Env_an</f>
        <v>24.56415212649982</v>
      </c>
      <c r="C172" s="841"/>
      <c r="D172" s="393">
        <f t="shared" si="50"/>
        <v>26.187082287210455</v>
      </c>
      <c r="E172" s="385">
        <f t="shared" si="75"/>
        <v>26.422024174138492</v>
      </c>
      <c r="F172" s="385">
        <f t="shared" si="51"/>
        <v>26.422101586064695</v>
      </c>
      <c r="G172" s="110">
        <f t="shared" si="76"/>
        <v>0.41453614319151932</v>
      </c>
      <c r="H172" s="414" t="b">
        <f>Wh_hp&gt;='2025'!Maxi_hp</f>
        <v>0</v>
      </c>
      <c r="I172" s="390">
        <f>IF(H172,Wh_hp,'2025'!Maxi_hp)</f>
        <v>54.813719171232592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6.1974455302462594E-2</v>
      </c>
      <c r="M172" s="845"/>
      <c r="N172" s="845"/>
      <c r="O172" s="48">
        <f>IF(t&lt;Tnet,'2025'!Resal+('2025'!Salim-'2025'!Resal)*(1-EXP(('2025'!Tnet-t)/('2025'!Tau_j))),Resal+(Salim-Resal)*(1-EXP((Tnet-t)/(Tau_j))))*Salcycl</f>
        <v>8.8918958433923979E-3</v>
      </c>
      <c r="P172" s="169">
        <f>(INDEX(Models!$BJ172:$BT172,,T172)*(1-R172)+INDEX(Models!$BJ172:$BT172,,T172+1)*R172-ERP_i)*Q172*Ramure*Pc/MaxiM</f>
        <v>1.7904923220986388E-5</v>
      </c>
      <c r="Q172" s="305">
        <f t="shared" si="53"/>
        <v>0.5</v>
      </c>
      <c r="R172" s="177">
        <f t="shared" si="54"/>
        <v>0.70671782929962812</v>
      </c>
      <c r="S172" s="811">
        <f t="shared" si="55"/>
        <v>-2</v>
      </c>
      <c r="T172" s="176">
        <f t="shared" si="56"/>
        <v>4</v>
      </c>
      <c r="U172" s="251">
        <f t="shared" si="57"/>
        <v>-1.2932821707003719</v>
      </c>
      <c r="V172" s="383">
        <f t="shared" si="58"/>
        <v>59.256073753958802</v>
      </c>
      <c r="W172" s="402">
        <f t="shared" si="59"/>
        <v>24.56415212649982</v>
      </c>
      <c r="X172" s="157">
        <f t="shared" si="60"/>
        <v>46180</v>
      </c>
      <c r="Y172" s="385">
        <f t="shared" si="61"/>
        <v>23.295897518905342</v>
      </c>
      <c r="Z172" s="385">
        <f t="shared" si="62"/>
        <v>24.835035304307208</v>
      </c>
      <c r="AA172" s="386">
        <f t="shared" si="63"/>
        <v>26.420993065930038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6.0026425110717214E-2</v>
      </c>
      <c r="AD172" s="231">
        <f>(INDEX(Models!$BJ172:$BT172,,AH172)*(1-AF172)+INDEX(Models!$BJ172:$BT172,,AH172+1)*AF172-ERP_i)*AE172*Ramure*Pc/MaxiM</f>
        <v>2.5639418722349686E-4</v>
      </c>
      <c r="AE172" s="305">
        <f t="shared" si="65"/>
        <v>0.5</v>
      </c>
      <c r="AF172" s="177">
        <f t="shared" si="66"/>
        <v>0.23170539567360704</v>
      </c>
      <c r="AG172" s="811">
        <f t="shared" si="74"/>
        <v>2</v>
      </c>
      <c r="AH172" s="176">
        <f t="shared" si="67"/>
        <v>8</v>
      </c>
      <c r="AI172" s="225">
        <f t="shared" si="68"/>
        <v>2.231705395673607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'2025'!Wh/'2025'!Env_an*'2026'!Env_an</f>
        <v>20.082355675905198</v>
      </c>
      <c r="C173" s="841"/>
      <c r="D173" s="393">
        <f t="shared" si="50"/>
        <v>21.409646735307504</v>
      </c>
      <c r="E173" s="385">
        <f t="shared" si="75"/>
        <v>21.603938365593578</v>
      </c>
      <c r="F173" s="385">
        <f t="shared" si="51"/>
        <v>21.603959122984566</v>
      </c>
      <c r="G173" s="110">
        <f t="shared" si="76"/>
        <v>0.33905047253174225</v>
      </c>
      <c r="H173" s="414" t="b">
        <f>Wh_hp&gt;='2025'!Maxi_hp</f>
        <v>0</v>
      </c>
      <c r="I173" s="390">
        <f>IF(H173,Wh_hp,'2025'!Maxi_hp)</f>
        <v>64.469263284236831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6.1995000469270534E-2</v>
      </c>
      <c r="M173" s="845"/>
      <c r="N173" s="845"/>
      <c r="O173" s="48">
        <f>IF(t&lt;Tnet,'2025'!Resal+('2025'!Salim-'2025'!Resal)*(1-EXP(('2025'!Tnet-t)/('2025'!Tau_j))),Resal+(Salim-Resal)*(1-EXP((Tnet-t)/(Tau_j))))*Salcycl</f>
        <v>8.9933431117125914E-3</v>
      </c>
      <c r="P173" s="169">
        <f>(INDEX(Models!$BJ173:$BT173,,T173)*(1-R173)+INDEX(Models!$BJ173:$BT173,,T173+1)*R173-ERP_i)*Q173*Ramure*Pc/MaxiM</f>
        <v>1.7220662597957222E-5</v>
      </c>
      <c r="Q173" s="305">
        <f t="shared" si="53"/>
        <v>0.5</v>
      </c>
      <c r="R173" s="177">
        <f t="shared" si="54"/>
        <v>0.71184993525289464</v>
      </c>
      <c r="S173" s="811">
        <f t="shared" si="55"/>
        <v>-2</v>
      </c>
      <c r="T173" s="176">
        <f t="shared" si="56"/>
        <v>4</v>
      </c>
      <c r="U173" s="251">
        <f t="shared" si="57"/>
        <v>-1.2881500647471054</v>
      </c>
      <c r="V173" s="383">
        <f t="shared" si="58"/>
        <v>59.230205431000726</v>
      </c>
      <c r="W173" s="402">
        <f t="shared" si="59"/>
        <v>20.082355675905198</v>
      </c>
      <c r="X173" s="157">
        <f t="shared" si="60"/>
        <v>46181</v>
      </c>
      <c r="Y173" s="385">
        <f t="shared" si="61"/>
        <v>19.046207986053393</v>
      </c>
      <c r="Z173" s="385">
        <f t="shared" si="62"/>
        <v>20.305017559162199</v>
      </c>
      <c r="AA173" s="386">
        <f t="shared" si="63"/>
        <v>21.603669621063649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6.0112568127558233E-2</v>
      </c>
      <c r="AD173" s="231">
        <f>(INDEX(Models!$BJ173:$BT173,,AH173)*(1-AF173)+INDEX(Models!$BJ173:$BT173,,AH173+1)*AF173-ERP_i)*AE173*Ramure*Pc/MaxiM</f>
        <v>2.4017541048454189E-4</v>
      </c>
      <c r="AE173" s="305">
        <f t="shared" si="65"/>
        <v>0.5</v>
      </c>
      <c r="AF173" s="177">
        <f t="shared" si="66"/>
        <v>0.23683750162687334</v>
      </c>
      <c r="AG173" s="811">
        <f t="shared" si="74"/>
        <v>2</v>
      </c>
      <c r="AH173" s="176">
        <f t="shared" si="67"/>
        <v>8</v>
      </c>
      <c r="AI173" s="225">
        <f t="shared" si="68"/>
        <v>2.2368375016268733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'2025'!Wh/'2025'!Env_an*'2026'!Env_an</f>
        <v>45.891315172625198</v>
      </c>
      <c r="C174" s="841"/>
      <c r="D174" s="393">
        <f t="shared" si="50"/>
        <v>48.92545386770783</v>
      </c>
      <c r="E174" s="385">
        <f t="shared" si="75"/>
        <v>49.374500925413543</v>
      </c>
      <c r="F174" s="385">
        <f t="shared" si="51"/>
        <v>49.375060301084595</v>
      </c>
      <c r="G174" s="110">
        <f t="shared" si="76"/>
        <v>0.77518114301592733</v>
      </c>
      <c r="H174" s="414" t="b">
        <f>Wh_hp&gt;='2025'!Maxi_hp</f>
        <v>0</v>
      </c>
      <c r="I174" s="390">
        <f>IF(H174,Wh_hp,'2025'!Maxi_hp)</f>
        <v>60.601331416290115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6.2015545186086651E-2</v>
      </c>
      <c r="M174" s="845"/>
      <c r="N174" s="845"/>
      <c r="O174" s="48">
        <f>IF(t&lt;Tnet,'2025'!Resal+('2025'!Salim-'2025'!Resal)*(1-EXP(('2025'!Tnet-t)/('2025'!Tau_j))),Resal+(Salim-Resal)*(1-EXP((Tnet-t)/(Tau_j))))*Salcycl</f>
        <v>9.0947158814639207E-3</v>
      </c>
      <c r="P174" s="169">
        <f>(INDEX(Models!$BJ174:$BT174,,T174)*(1-R174)+INDEX(Models!$BJ174:$BT174,,T174+1)*R174-ERP_i)*Q174*Ramure*Pc/MaxiM</f>
        <v>1.668902554184879E-5</v>
      </c>
      <c r="Q174" s="305">
        <f t="shared" si="53"/>
        <v>0.5</v>
      </c>
      <c r="R174" s="177">
        <f t="shared" si="54"/>
        <v>0.71699070989720037</v>
      </c>
      <c r="S174" s="811">
        <f t="shared" si="55"/>
        <v>-2</v>
      </c>
      <c r="T174" s="176">
        <f t="shared" si="56"/>
        <v>4</v>
      </c>
      <c r="U174" s="251">
        <f t="shared" si="57"/>
        <v>-1.2830092901027996</v>
      </c>
      <c r="V174" s="383">
        <f t="shared" si="58"/>
        <v>59.200445740836336</v>
      </c>
      <c r="W174" s="402">
        <f t="shared" si="59"/>
        <v>45.891315172625198</v>
      </c>
      <c r="X174" s="157">
        <f t="shared" si="60"/>
        <v>46182</v>
      </c>
      <c r="Y174" s="385">
        <f t="shared" si="61"/>
        <v>43.518415116682732</v>
      </c>
      <c r="Z174" s="385">
        <f t="shared" si="62"/>
        <v>46.395667746238232</v>
      </c>
      <c r="AA174" s="386">
        <f t="shared" si="63"/>
        <v>49.367493817015259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6.0198033989579194E-2</v>
      </c>
      <c r="AD174" s="231">
        <f>(INDEX(Models!$BJ174:$BT174,,AH174)*(1-AF174)+INDEX(Models!$BJ174:$BT174,,AH174+1)*AF174-ERP_i)*AE174*Ramure*Pc/MaxiM</f>
        <v>2.2574676095113869E-4</v>
      </c>
      <c r="AE174" s="305">
        <f t="shared" si="65"/>
        <v>0.5</v>
      </c>
      <c r="AF174" s="177">
        <f t="shared" si="66"/>
        <v>0.24197827627117929</v>
      </c>
      <c r="AG174" s="811">
        <f t="shared" si="74"/>
        <v>2</v>
      </c>
      <c r="AH174" s="176">
        <f t="shared" si="67"/>
        <v>8</v>
      </c>
      <c r="AI174" s="225">
        <f t="shared" si="68"/>
        <v>2.2419782762711793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'2025'!Wh/'2025'!Env_an*'2026'!Env_an</f>
        <v>56.00394527240887</v>
      </c>
      <c r="C175" s="841"/>
      <c r="D175" s="393">
        <f t="shared" si="50"/>
        <v>59.707995843618185</v>
      </c>
      <c r="E175" s="385">
        <f t="shared" si="75"/>
        <v>60.262167017110841</v>
      </c>
      <c r="F175" s="385">
        <f t="shared" si="51"/>
        <v>60.263075200228108</v>
      </c>
      <c r="G175" s="110">
        <f t="shared" si="76"/>
        <v>0.94654389641402792</v>
      </c>
      <c r="H175" s="414" t="b">
        <f>Wh_hp&gt;='2025'!Maxi_hp</f>
        <v>0</v>
      </c>
      <c r="I175" s="390">
        <f>IF(H175,Wh_hp,'2025'!Maxi_hp)</f>
        <v>61.199848181326935</v>
      </c>
      <c r="J175" s="85">
        <f>IF(H175,An,'2025'!An_max)</f>
        <v>2021</v>
      </c>
      <c r="K175" s="197">
        <f t="shared" si="52"/>
        <v>46183</v>
      </c>
      <c r="L175" s="147">
        <f>IF(t&lt;Tvie,1-EXP((T0-t)*PertePVj)+'2025'!Pspv,1-EXP((T0-t)*PertePVj)+Pspv)</f>
        <v>6.2036089452920717E-2</v>
      </c>
      <c r="M175" s="845"/>
      <c r="N175" s="845"/>
      <c r="O175" s="48">
        <f>IF(t&lt;Tnet,'2025'!Resal+('2025'!Salim-'2025'!Resal)*(1-EXP(('2025'!Tnet-t)/('2025'!Tau_j))),Resal+(Salim-Resal)*(1-EXP((Tnet-t)/(Tau_j))))*Salcycl</f>
        <v>9.1960047393466627E-3</v>
      </c>
      <c r="P175" s="169">
        <f>(INDEX(Models!$BJ175:$BT175,,T175)*(1-R175)+INDEX(Models!$BJ175:$BT175,,T175+1)*R175-ERP_i)*Q175*Ramure*Pc/MaxiM</f>
        <v>1.6316288137307255E-5</v>
      </c>
      <c r="Q175" s="305">
        <f t="shared" si="53"/>
        <v>0.5</v>
      </c>
      <c r="R175" s="177">
        <f t="shared" si="54"/>
        <v>0.72213582620821204</v>
      </c>
      <c r="S175" s="811">
        <f t="shared" si="55"/>
        <v>-2</v>
      </c>
      <c r="T175" s="176">
        <f t="shared" si="56"/>
        <v>4</v>
      </c>
      <c r="U175" s="251">
        <f t="shared" si="57"/>
        <v>-1.277864173791788</v>
      </c>
      <c r="V175" s="383">
        <f t="shared" si="58"/>
        <v>59.166696551249252</v>
      </c>
      <c r="W175" s="402">
        <f t="shared" si="59"/>
        <v>56.00394527240887</v>
      </c>
      <c r="X175" s="157">
        <f t="shared" si="60"/>
        <v>46183</v>
      </c>
      <c r="Y175" s="385">
        <f t="shared" si="61"/>
        <v>53.106672746675237</v>
      </c>
      <c r="Z175" s="385">
        <f t="shared" si="62"/>
        <v>56.619100318795951</v>
      </c>
      <c r="AA175" s="386">
        <f t="shared" si="63"/>
        <v>60.251210898973937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6.0282781474186718E-2</v>
      </c>
      <c r="AD175" s="231">
        <f>(INDEX(Models!$BJ175:$BT175,,AH175)*(1-AF175)+INDEX(Models!$BJ175:$BT175,,AH175+1)*AF175-ERP_i)*AE175*Ramure*Pc/MaxiM</f>
        <v>2.131523413408527E-4</v>
      </c>
      <c r="AE175" s="305">
        <f t="shared" si="65"/>
        <v>0.5</v>
      </c>
      <c r="AF175" s="177">
        <f t="shared" si="66"/>
        <v>0.24712339258219096</v>
      </c>
      <c r="AG175" s="811">
        <f t="shared" si="74"/>
        <v>2</v>
      </c>
      <c r="AH175" s="176">
        <f t="shared" si="67"/>
        <v>8</v>
      </c>
      <c r="AI175" s="225">
        <f t="shared" si="68"/>
        <v>2.247123392582191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'2025'!Wh/'2025'!Env_an*'2026'!Env_an</f>
        <v>54.758290054396269</v>
      </c>
      <c r="C176" s="841"/>
      <c r="D176" s="393">
        <f t="shared" si="50"/>
        <v>58.38123280863983</v>
      </c>
      <c r="E176" s="385">
        <f t="shared" si="75"/>
        <v>58.929108537352604</v>
      </c>
      <c r="F176" s="385">
        <f t="shared" si="51"/>
        <v>58.929957587996974</v>
      </c>
      <c r="G176" s="110">
        <f t="shared" si="76"/>
        <v>0.92608240910032591</v>
      </c>
      <c r="H176" s="414" t="b">
        <f>Wh_hp&gt;='2025'!Maxi_hp</f>
        <v>0</v>
      </c>
      <c r="I176" s="390">
        <f>IF(H176,Wh_hp,'2025'!Maxi_hp)</f>
        <v>58.930026321122149</v>
      </c>
      <c r="J176" s="85">
        <f>IF(H176,An,'2025'!An_max)</f>
        <v>2025</v>
      </c>
      <c r="K176" s="197">
        <f t="shared" si="52"/>
        <v>46184</v>
      </c>
      <c r="L176" s="147">
        <f>IF(t&lt;Tvie,1-EXP((T0-t)*PertePVj)+'2025'!Pspv,1-EXP((T0-t)*PertePVj)+Pspv)</f>
        <v>6.2056633269782613E-2</v>
      </c>
      <c r="M176" s="845"/>
      <c r="N176" s="845"/>
      <c r="O176" s="48">
        <f>IF(t&lt;Tnet,'2025'!Resal+('2025'!Salim-'2025'!Resal)*(1-EXP(('2025'!Tnet-t)/('2025'!Tau_j))),Resal+(Salim-Resal)*(1-EXP((Tnet-t)/(Tau_j))))*Salcycl</f>
        <v>9.2972003532939603E-3</v>
      </c>
      <c r="P176" s="169">
        <f>(INDEX(Models!$BJ176:$BT176,,T176)*(1-R176)+INDEX(Models!$BJ176:$BT176,,T176+1)*R176-ERP_i)*Q176*Ramure*Pc/MaxiM</f>
        <v>1.6108789742445013E-5</v>
      </c>
      <c r="Q176" s="305">
        <f t="shared" si="53"/>
        <v>0.5</v>
      </c>
      <c r="R176" s="177">
        <f t="shared" si="54"/>
        <v>0.72728094251922348</v>
      </c>
      <c r="S176" s="811">
        <f t="shared" si="55"/>
        <v>-2</v>
      </c>
      <c r="T176" s="176">
        <f t="shared" si="56"/>
        <v>4</v>
      </c>
      <c r="U176" s="251">
        <f t="shared" si="57"/>
        <v>-1.2727190574807765</v>
      </c>
      <c r="V176" s="383">
        <f t="shared" si="58"/>
        <v>59.128859776735105</v>
      </c>
      <c r="W176" s="402">
        <f t="shared" si="59"/>
        <v>54.758290054396269</v>
      </c>
      <c r="X176" s="157">
        <f t="shared" si="60"/>
        <v>46184</v>
      </c>
      <c r="Y176" s="385">
        <f t="shared" si="61"/>
        <v>51.926908915783315</v>
      </c>
      <c r="Z176" s="385">
        <f t="shared" si="62"/>
        <v>55.36252055047494</v>
      </c>
      <c r="AA176" s="386">
        <f t="shared" si="63"/>
        <v>58.919287720440749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6.0366771350697616E-2</v>
      </c>
      <c r="AD176" s="231">
        <f>(INDEX(Models!$BJ176:$BT176,,AH176)*(1-AF176)+INDEX(Models!$BJ176:$BT176,,AH176+1)*AF176-ERP_i)*AE176*Ramure*Pc/MaxiM</f>
        <v>2.0243627889878215E-4</v>
      </c>
      <c r="AE176" s="305">
        <f t="shared" si="65"/>
        <v>0.5</v>
      </c>
      <c r="AF176" s="177">
        <f t="shared" si="66"/>
        <v>0.25226850889320218</v>
      </c>
      <c r="AG176" s="811">
        <f t="shared" si="74"/>
        <v>2</v>
      </c>
      <c r="AH176" s="176">
        <f t="shared" si="67"/>
        <v>8</v>
      </c>
      <c r="AI176" s="225">
        <f t="shared" si="68"/>
        <v>2.2522685088932022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'2025'!Wh/'2025'!Env_an*'2026'!Env_an</f>
        <v>41.898767343427117</v>
      </c>
      <c r="C177" s="841"/>
      <c r="D177" s="393">
        <f t="shared" si="50"/>
        <v>44.671870968211884</v>
      </c>
      <c r="E177" s="385">
        <f t="shared" si="75"/>
        <v>45.095693532170117</v>
      </c>
      <c r="F177" s="385">
        <f t="shared" si="51"/>
        <v>45.096117158475387</v>
      </c>
      <c r="G177" s="110">
        <f t="shared" si="76"/>
        <v>0.7091075702750298</v>
      </c>
      <c r="H177" s="414" t="b">
        <f>Wh_hp&gt;='2025'!Maxi_hp</f>
        <v>0</v>
      </c>
      <c r="I177" s="390">
        <f>IF(H177,Wh_hp,'2025'!Maxi_hp)</f>
        <v>58.244062693126686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6.2077176636682219E-2</v>
      </c>
      <c r="M177" s="845"/>
      <c r="N177" s="845"/>
      <c r="O177" s="48">
        <f>IF(t&lt;Tnet,'2025'!Resal+('2025'!Salim-'2025'!Resal)*(1-EXP(('2025'!Tnet-t)/('2025'!Tau_j))),Resal+(Salim-Resal)*(1-EXP((Tnet-t)/(Tau_j))))*Salcycl</f>
        <v>9.398293512348074E-3</v>
      </c>
      <c r="P177" s="169">
        <f>(INDEX(Models!$BJ177:$BT177,,T177)*(1-R177)+INDEX(Models!$BJ177:$BT177,,T177+1)*R177-ERP_i)*Q177*Ramure*Pc/MaxiM</f>
        <v>1.6073085911849656E-5</v>
      </c>
      <c r="Q177" s="305">
        <f t="shared" si="53"/>
        <v>0.5</v>
      </c>
      <c r="R177" s="177">
        <f t="shared" si="54"/>
        <v>0.73242171716352944</v>
      </c>
      <c r="S177" s="811">
        <f t="shared" si="55"/>
        <v>-2</v>
      </c>
      <c r="T177" s="176">
        <f t="shared" si="56"/>
        <v>4</v>
      </c>
      <c r="U177" s="251">
        <f t="shared" si="57"/>
        <v>-1.2675782828364706</v>
      </c>
      <c r="V177" s="383">
        <f t="shared" si="58"/>
        <v>59.086222239780973</v>
      </c>
      <c r="W177" s="402">
        <f t="shared" si="59"/>
        <v>41.898767343427117</v>
      </c>
      <c r="X177" s="157">
        <f t="shared" si="60"/>
        <v>46185</v>
      </c>
      <c r="Y177" s="385">
        <f t="shared" si="61"/>
        <v>39.735347234926316</v>
      </c>
      <c r="Z177" s="385">
        <f t="shared" si="62"/>
        <v>42.365263159327412</v>
      </c>
      <c r="AA177" s="386">
        <f t="shared" si="63"/>
        <v>45.091013411008362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6.0449966534029939E-2</v>
      </c>
      <c r="AD177" s="231">
        <f>(INDEX(Models!$BJ177:$BT177,,AH177)*(1-AF177)+INDEX(Models!$BJ177:$BT177,,AH177+1)*AF177-ERP_i)*AE177*Ramure*Pc/MaxiM</f>
        <v>1.9364465919487913E-4</v>
      </c>
      <c r="AE177" s="305">
        <f t="shared" si="65"/>
        <v>0.5</v>
      </c>
      <c r="AF177" s="177">
        <f t="shared" si="66"/>
        <v>0.25740928353750814</v>
      </c>
      <c r="AG177" s="811">
        <f t="shared" si="74"/>
        <v>2</v>
      </c>
      <c r="AH177" s="176">
        <f t="shared" si="67"/>
        <v>8</v>
      </c>
      <c r="AI177" s="225">
        <f t="shared" si="68"/>
        <v>2.2574092835375081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'2025'!Wh/'2025'!Env_an*'2026'!Env_an</f>
        <v>53.050559876349844</v>
      </c>
      <c r="C178" s="841"/>
      <c r="D178" s="393">
        <f t="shared" si="50"/>
        <v>56.562992736409363</v>
      </c>
      <c r="E178" s="385">
        <f t="shared" si="75"/>
        <v>57.105453149362525</v>
      </c>
      <c r="F178" s="385">
        <f t="shared" si="51"/>
        <v>57.106244798477093</v>
      </c>
      <c r="G178" s="110">
        <f t="shared" si="76"/>
        <v>0.89857502648162868</v>
      </c>
      <c r="H178" s="414" t="b">
        <f>Wh_hp&gt;='2025'!Maxi_hp</f>
        <v>0</v>
      </c>
      <c r="I178" s="390">
        <f>IF(H178,Wh_hp,'2025'!Maxi_hp)</f>
        <v>66.115436428019962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6.2097719553629305E-2</v>
      </c>
      <c r="M178" s="845"/>
      <c r="N178" s="845"/>
      <c r="O178" s="48">
        <f>IF(t&lt;Tnet,'2025'!Resal+('2025'!Salim-'2025'!Resal)*(1-EXP(('2025'!Tnet-t)/('2025'!Tau_j))),Resal+(Salim-Resal)*(1-EXP((Tnet-t)/(Tau_j))))*Salcycl</f>
        <v>9.4992751661444035E-3</v>
      </c>
      <c r="P178" s="169">
        <f>(INDEX(Models!$BJ178:$BT178,,T178)*(1-R178)+INDEX(Models!$BJ178:$BT178,,T178+1)*R178-ERP_i)*Q178*Ramure*Pc/MaxiM</f>
        <v>1.6211643424444822E-5</v>
      </c>
      <c r="Q178" s="305">
        <f t="shared" si="53"/>
        <v>0.5</v>
      </c>
      <c r="R178" s="177">
        <f t="shared" si="54"/>
        <v>0.73755382311679596</v>
      </c>
      <c r="S178" s="811">
        <f t="shared" si="55"/>
        <v>-2</v>
      </c>
      <c r="T178" s="176">
        <f t="shared" si="56"/>
        <v>4</v>
      </c>
      <c r="U178" s="251">
        <f t="shared" si="57"/>
        <v>-1.262446176883204</v>
      </c>
      <c r="V178" s="383">
        <f t="shared" si="58"/>
        <v>59.038403806729157</v>
      </c>
      <c r="W178" s="402">
        <f t="shared" si="59"/>
        <v>53.050559876349844</v>
      </c>
      <c r="X178" s="157">
        <f t="shared" si="60"/>
        <v>46186</v>
      </c>
      <c r="Y178" s="385">
        <f t="shared" si="61"/>
        <v>50.309916784635917</v>
      </c>
      <c r="Z178" s="385">
        <f t="shared" si="62"/>
        <v>53.64089397532139</v>
      </c>
      <c r="AA178" s="386">
        <f t="shared" si="63"/>
        <v>57.097115542613508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6.0532332228107451E-2</v>
      </c>
      <c r="AD178" s="231">
        <f>(INDEX(Models!$BJ178:$BT178,,AH178)*(1-AF178)+INDEX(Models!$BJ178:$BT178,,AH178+1)*AF178-ERP_i)*AE178*Ramure*Pc/MaxiM</f>
        <v>1.8695181749945735E-4</v>
      </c>
      <c r="AE178" s="305">
        <f t="shared" si="65"/>
        <v>0.5</v>
      </c>
      <c r="AF178" s="177">
        <f t="shared" si="66"/>
        <v>0.26254138949077488</v>
      </c>
      <c r="AG178" s="811">
        <f t="shared" si="74"/>
        <v>2</v>
      </c>
      <c r="AH178" s="176">
        <f t="shared" si="67"/>
        <v>8</v>
      </c>
      <c r="AI178" s="225">
        <f t="shared" si="68"/>
        <v>2.2625413894907749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'2025'!Wh/'2025'!Env_an*'2026'!Env_an</f>
        <v>48.384100510886547</v>
      </c>
      <c r="C179" s="841"/>
      <c r="D179" s="393">
        <f t="shared" si="50"/>
        <v>51.588700954054637</v>
      </c>
      <c r="E179" s="385">
        <f t="shared" si="75"/>
        <v>52.088760159814832</v>
      </c>
      <c r="F179" s="385">
        <f t="shared" si="51"/>
        <v>52.089393684467794</v>
      </c>
      <c r="G179" s="110">
        <f t="shared" si="76"/>
        <v>0.82026326089951218</v>
      </c>
      <c r="H179" s="414" t="b">
        <f>Wh_hp&gt;='2025'!Maxi_hp</f>
        <v>0</v>
      </c>
      <c r="I179" s="390">
        <f>IF(H179,Wh_hp,'2025'!Maxi_hp)</f>
        <v>57.514759839675243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6.2118262020633863E-2</v>
      </c>
      <c r="M179" s="845"/>
      <c r="N179" s="845"/>
      <c r="O179" s="48">
        <f>IF(t&lt;Tnet,'2025'!Resal+('2025'!Salim-'2025'!Resal)*(1-EXP(('2025'!Tnet-t)/('2025'!Tau_j))),Resal+(Salim-Resal)*(1-EXP((Tnet-t)/(Tau_j))))*Salcycl</f>
        <v>9.6001364637198564E-3</v>
      </c>
      <c r="P179" s="169">
        <f>(INDEX(Models!$BJ179:$BT179,,T179)*(1-R179)+INDEX(Models!$BJ179:$BT179,,T179+1)*R179-ERP_i)*Q179*Ramure*Pc/MaxiM</f>
        <v>1.6363877575425505E-5</v>
      </c>
      <c r="Q179" s="305">
        <f t="shared" si="53"/>
        <v>0.5</v>
      </c>
      <c r="R179" s="177">
        <f t="shared" si="54"/>
        <v>0.74267296253462178</v>
      </c>
      <c r="S179" s="811">
        <f t="shared" si="55"/>
        <v>-2</v>
      </c>
      <c r="T179" s="176">
        <f t="shared" si="56"/>
        <v>4</v>
      </c>
      <c r="U179" s="251">
        <f t="shared" si="57"/>
        <v>-1.2573270374653782</v>
      </c>
      <c r="V179" s="383">
        <f t="shared" si="58"/>
        <v>58.9858153146821</v>
      </c>
      <c r="W179" s="402">
        <f t="shared" si="59"/>
        <v>48.384100510886547</v>
      </c>
      <c r="X179" s="157">
        <f t="shared" si="60"/>
        <v>46187</v>
      </c>
      <c r="Y179" s="385">
        <f t="shared" si="61"/>
        <v>45.886296767504817</v>
      </c>
      <c r="Z179" s="385">
        <f t="shared" si="62"/>
        <v>48.925461398113221</v>
      </c>
      <c r="AA179" s="386">
        <f t="shared" si="63"/>
        <v>52.082373869336301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6.0613836057916842E-2</v>
      </c>
      <c r="AD179" s="231">
        <f>(INDEX(Models!$BJ179:$BT179,,AH179)*(1-AF179)+INDEX(Models!$BJ179:$BT179,,AH179+1)*AF179-ERP_i)*AE179*Ramure*Pc/MaxiM</f>
        <v>1.8132111335579022E-4</v>
      </c>
      <c r="AE179" s="305">
        <f t="shared" si="65"/>
        <v>0.5</v>
      </c>
      <c r="AF179" s="177">
        <f t="shared" si="66"/>
        <v>0.2676605289086007</v>
      </c>
      <c r="AG179" s="811">
        <f t="shared" si="74"/>
        <v>2</v>
      </c>
      <c r="AH179" s="176">
        <f t="shared" si="67"/>
        <v>8</v>
      </c>
      <c r="AI179" s="225">
        <f t="shared" si="68"/>
        <v>2.2676605289086007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'2025'!Wh/'2025'!Env_an*'2026'!Env_an</f>
        <v>52.778160491394338</v>
      </c>
      <c r="C180" s="841"/>
      <c r="D180" s="393">
        <f t="shared" si="50"/>
        <v>56.275023125614226</v>
      </c>
      <c r="E180" s="385">
        <f t="shared" si="75"/>
        <v>56.826287484400659</v>
      </c>
      <c r="F180" s="385">
        <f t="shared" si="51"/>
        <v>56.827086775403586</v>
      </c>
      <c r="G180" s="110">
        <f t="shared" si="76"/>
        <v>0.89562282916602343</v>
      </c>
      <c r="H180" s="414" t="b">
        <f>Wh_hp&gt;='2025'!Maxi_hp</f>
        <v>0</v>
      </c>
      <c r="I180" s="390">
        <f>IF(H180,Wh_hp,'2025'!Maxi_hp)</f>
        <v>56.827180192934549</v>
      </c>
      <c r="J180" s="85">
        <f>IF(H180,An,'2025'!An_max)</f>
        <v>2025</v>
      </c>
      <c r="K180" s="197">
        <f t="shared" si="52"/>
        <v>46188</v>
      </c>
      <c r="L180" s="147">
        <f>IF(t&lt;Tvie,1-EXP((T0-t)*PertePVj)+'2025'!Pspv,1-EXP((T0-t)*PertePVj)+Pspv)</f>
        <v>6.2138804037705553E-2</v>
      </c>
      <c r="M180" s="845"/>
      <c r="N180" s="845"/>
      <c r="O180" s="48">
        <f>IF(t&lt;Tnet,'2025'!Resal+('2025'!Salim-'2025'!Resal)*(1-EXP(('2025'!Tnet-t)/('2025'!Tau_j))),Resal+(Salim-Resal)*(1-EXP((Tnet-t)/(Tau_j))))*Salcycl</f>
        <v>9.7008687913628065E-3</v>
      </c>
      <c r="P180" s="169">
        <f>(INDEX(Models!$BJ180:$BT180,,T180)*(1-R180)+INDEX(Models!$BJ180:$BT180,,T180+1)*R180-ERP_i)*Q180*Ramure*Pc/MaxiM</f>
        <v>1.6530067503256144E-5</v>
      </c>
      <c r="Q180" s="305">
        <f t="shared" si="53"/>
        <v>0.5</v>
      </c>
      <c r="R180" s="177">
        <f t="shared" si="54"/>
        <v>0.74777488108176193</v>
      </c>
      <c r="S180" s="811">
        <f t="shared" si="55"/>
        <v>-2</v>
      </c>
      <c r="T180" s="176">
        <f t="shared" si="56"/>
        <v>4</v>
      </c>
      <c r="U180" s="251">
        <f t="shared" si="57"/>
        <v>-1.2522251189182381</v>
      </c>
      <c r="V180" s="383">
        <f t="shared" si="58"/>
        <v>58.928857869472331</v>
      </c>
      <c r="W180" s="402">
        <f t="shared" si="59"/>
        <v>52.778160491394338</v>
      </c>
      <c r="X180" s="157">
        <f t="shared" si="60"/>
        <v>46188</v>
      </c>
      <c r="Y180" s="385">
        <f t="shared" si="61"/>
        <v>50.053622825914417</v>
      </c>
      <c r="Z180" s="385">
        <f t="shared" si="62"/>
        <v>53.369968862563709</v>
      </c>
      <c r="AA180" s="386">
        <f t="shared" si="63"/>
        <v>56.818538716904733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6.0694448189231628E-2</v>
      </c>
      <c r="AD180" s="231">
        <f>(INDEX(Models!$BJ180:$BT180,,AH180)*(1-AF180)+INDEX(Models!$BJ180:$BT180,,AH180+1)*AF180-ERP_i)*AE180*Ramure*Pc/MaxiM</f>
        <v>1.7678165210306069E-4</v>
      </c>
      <c r="AE180" s="305">
        <f t="shared" si="65"/>
        <v>0.5</v>
      </c>
      <c r="AF180" s="177">
        <f t="shared" si="66"/>
        <v>0.27276244745574063</v>
      </c>
      <c r="AG180" s="811">
        <f t="shared" si="74"/>
        <v>2</v>
      </c>
      <c r="AH180" s="176">
        <f t="shared" si="67"/>
        <v>8</v>
      </c>
      <c r="AI180" s="225">
        <f t="shared" si="68"/>
        <v>2.2727624474557406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'2025'!Wh/'2025'!Env_an*'2026'!Env_an</f>
        <v>50.721915649148031</v>
      </c>
      <c r="C181" s="841"/>
      <c r="D181" s="393">
        <f t="shared" si="50"/>
        <v>54.083724576709479</v>
      </c>
      <c r="E181" s="385">
        <f t="shared" si="75"/>
        <v>54.619071428610503</v>
      </c>
      <c r="F181" s="385">
        <f t="shared" si="51"/>
        <v>54.619803722872135</v>
      </c>
      <c r="G181" s="110">
        <f t="shared" si="76"/>
        <v>0.86161932415320008</v>
      </c>
      <c r="H181" s="414" t="b">
        <f>Wh_hp&gt;='2025'!Maxi_hp</f>
        <v>0</v>
      </c>
      <c r="I181" s="390">
        <f>IF(H181,Wh_hp,'2025'!Maxi_hp)</f>
        <v>64.761857489550721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6.2159345604854477E-2</v>
      </c>
      <c r="M181" s="845"/>
      <c r="N181" s="845"/>
      <c r="O181" s="48">
        <f>IF(t&lt;Tnet,'2025'!Resal+('2025'!Salim-'2025'!Resal)*(1-EXP(('2025'!Tnet-t)/('2025'!Tau_j))),Resal+(Salim-Resal)*(1-EXP((Tnet-t)/(Tau_j))))*Salcycl</f>
        <v>9.8014638092254556E-3</v>
      </c>
      <c r="P181" s="169">
        <f>(INDEX(Models!$BJ181:$BT181,,T181)*(1-R181)+INDEX(Models!$BJ181:$BT181,,T181+1)*R181-ERP_i)*Q181*Ramure*Pc/MaxiM</f>
        <v>1.6710494132311756E-5</v>
      </c>
      <c r="Q181" s="305">
        <f t="shared" si="53"/>
        <v>0.5</v>
      </c>
      <c r="R181" s="177">
        <f t="shared" si="54"/>
        <v>0.75285538195203383</v>
      </c>
      <c r="S181" s="811">
        <f t="shared" si="55"/>
        <v>-2</v>
      </c>
      <c r="T181" s="176">
        <f t="shared" si="56"/>
        <v>4</v>
      </c>
      <c r="U181" s="251">
        <f t="shared" si="57"/>
        <v>-1.2471446180479662</v>
      </c>
      <c r="V181" s="383">
        <f t="shared" si="58"/>
        <v>58.867932358974997</v>
      </c>
      <c r="W181" s="402">
        <f t="shared" si="59"/>
        <v>50.721915649148031</v>
      </c>
      <c r="X181" s="157">
        <f t="shared" si="60"/>
        <v>46189</v>
      </c>
      <c r="Y181" s="385">
        <f t="shared" si="61"/>
        <v>48.10484505206319</v>
      </c>
      <c r="Z181" s="385">
        <f t="shared" si="62"/>
        <v>51.293196585818848</v>
      </c>
      <c r="AA181" s="386">
        <f t="shared" si="63"/>
        <v>54.61220655082144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6.0774141435101368E-2</v>
      </c>
      <c r="AD181" s="231">
        <f>(INDEX(Models!$BJ181:$BT181,,AH181)*(1-AF181)+INDEX(Models!$BJ181:$BT181,,AH181+1)*AF181-ERP_i)*AE181*Ramure*Pc/MaxiM</f>
        <v>1.7336268441059415E-4</v>
      </c>
      <c r="AE181" s="305">
        <f t="shared" si="65"/>
        <v>0.5</v>
      </c>
      <c r="AF181" s="177">
        <f t="shared" si="66"/>
        <v>0.27784294832601253</v>
      </c>
      <c r="AG181" s="811">
        <f t="shared" si="74"/>
        <v>2</v>
      </c>
      <c r="AH181" s="176">
        <f t="shared" si="67"/>
        <v>8</v>
      </c>
      <c r="AI181" s="225">
        <f t="shared" si="68"/>
        <v>2.2778429483260125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'2025'!Wh/'2025'!Env_an*'2026'!Env_an</f>
        <v>50.79079164723256</v>
      </c>
      <c r="C182" s="841"/>
      <c r="D182" s="393">
        <f t="shared" si="50"/>
        <v>54.158351829015878</v>
      </c>
      <c r="E182" s="385">
        <f t="shared" si="75"/>
        <v>54.699986361677865</v>
      </c>
      <c r="F182" s="385">
        <f t="shared" si="51"/>
        <v>54.700731092265407</v>
      </c>
      <c r="G182" s="110">
        <f t="shared" si="76"/>
        <v>0.86373560759549561</v>
      </c>
      <c r="H182" s="414" t="b">
        <f>Wh_hp&gt;='2025'!Maxi_hp</f>
        <v>0</v>
      </c>
      <c r="I182" s="390">
        <f>IF(H182,Wh_hp,'2025'!Maxi_hp)</f>
        <v>62.682408537874828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6.2179886722090294E-2</v>
      </c>
      <c r="M182" s="845"/>
      <c r="N182" s="845"/>
      <c r="O182" s="48">
        <f>IF(t&lt;Tnet,'2025'!Resal+('2025'!Salim-'2025'!Resal)*(1-EXP(('2025'!Tnet-t)/('2025'!Tau_j))),Resal+(Salim-Resal)*(1-EXP((Tnet-t)/(Tau_j))))*Salcycl</f>
        <v>9.9019134864254E-3</v>
      </c>
      <c r="P182" s="169">
        <f>(INDEX(Models!$BJ182:$BT182,,T182)*(1-R182)+INDEX(Models!$BJ182:$BT182,,T182+1)*R182-ERP_i)*Q182*Ramure*Pc/MaxiM</f>
        <v>1.6905438635175936E-5</v>
      </c>
      <c r="Q182" s="305">
        <f t="shared" si="53"/>
        <v>0.5</v>
      </c>
      <c r="R182" s="177">
        <f t="shared" si="54"/>
        <v>0.75791033948169351</v>
      </c>
      <c r="S182" s="811">
        <f t="shared" si="55"/>
        <v>-2</v>
      </c>
      <c r="T182" s="176">
        <f t="shared" si="56"/>
        <v>4</v>
      </c>
      <c r="U182" s="251">
        <f t="shared" si="57"/>
        <v>-1.2420896605183065</v>
      </c>
      <c r="V182" s="383">
        <f t="shared" si="58"/>
        <v>58.803439450552084</v>
      </c>
      <c r="W182" s="402">
        <f t="shared" si="59"/>
        <v>50.79079164723256</v>
      </c>
      <c r="X182" s="157">
        <f t="shared" si="60"/>
        <v>46190</v>
      </c>
      <c r="Y182" s="385">
        <f t="shared" si="61"/>
        <v>48.171087888320471</v>
      </c>
      <c r="Z182" s="385">
        <f t="shared" si="62"/>
        <v>51.364954969829753</v>
      </c>
      <c r="AA182" s="386">
        <f t="shared" si="63"/>
        <v>54.693193959328092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6.085289134829721E-2</v>
      </c>
      <c r="AD182" s="231">
        <f>(INDEX(Models!$BJ182:$BT182,,AH182)*(1-AF182)+INDEX(Models!$BJ182:$BT182,,AH182+1)*AF182-ERP_i)*AE182*Ramure*Pc/MaxiM</f>
        <v>1.7109346720474024E-4</v>
      </c>
      <c r="AE182" s="305">
        <f t="shared" si="65"/>
        <v>0.5</v>
      </c>
      <c r="AF182" s="177">
        <f t="shared" si="66"/>
        <v>0.28289790585567243</v>
      </c>
      <c r="AG182" s="811">
        <f t="shared" si="74"/>
        <v>2</v>
      </c>
      <c r="AH182" s="176">
        <f t="shared" si="67"/>
        <v>8</v>
      </c>
      <c r="AI182" s="225">
        <f t="shared" si="68"/>
        <v>2.2828979058556724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'2025'!Wh/'2025'!Env_an*'2026'!Env_an</f>
        <v>54.117730934967398</v>
      </c>
      <c r="C183" s="841"/>
      <c r="D183" s="393">
        <f t="shared" si="50"/>
        <v>57.707139686914623</v>
      </c>
      <c r="E183" s="385">
        <f t="shared" si="75"/>
        <v>58.290170218205425</v>
      </c>
      <c r="F183" s="385">
        <f t="shared" si="51"/>
        <v>58.291055822615569</v>
      </c>
      <c r="G183" s="110">
        <f t="shared" si="76"/>
        <v>0.92137411430766125</v>
      </c>
      <c r="H183" s="414" t="b">
        <f>Wh_hp&gt;='2025'!Maxi_hp</f>
        <v>0</v>
      </c>
      <c r="I183" s="390">
        <f>IF(H183,Wh_hp,'2025'!Maxi_hp)</f>
        <v>60.904385564297691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6.2200427389422996E-2</v>
      </c>
      <c r="M183" s="845"/>
      <c r="N183" s="845"/>
      <c r="O183" s="48">
        <f>IF(t&lt;Tnet,'2025'!Resal+('2025'!Salim-'2025'!Resal)*(1-EXP(('2025'!Tnet-t)/('2025'!Tau_j))),Resal+(Salim-Resal)*(1-EXP((Tnet-t)/(Tau_j))))*Salcycl</f>
        <v>1.0002210134372011E-2</v>
      </c>
      <c r="P183" s="169">
        <f>(INDEX(Models!$BJ183:$BT183,,T183)*(1-R183)+INDEX(Models!$BJ183:$BT183,,T183+1)*R183-ERP_i)*Q183*Ramure*Pc/MaxiM</f>
        <v>1.7115180898336849E-5</v>
      </c>
      <c r="Q183" s="305">
        <f t="shared" si="53"/>
        <v>0.5</v>
      </c>
      <c r="R183" s="177">
        <f t="shared" si="54"/>
        <v>0.7629357122639655</v>
      </c>
      <c r="S183" s="811">
        <f t="shared" si="55"/>
        <v>-2</v>
      </c>
      <c r="T183" s="176">
        <f t="shared" si="56"/>
        <v>4</v>
      </c>
      <c r="U183" s="251">
        <f t="shared" si="57"/>
        <v>-1.2370642877360345</v>
      </c>
      <c r="V183" s="383">
        <f t="shared" si="58"/>
        <v>58.735779590696211</v>
      </c>
      <c r="W183" s="402">
        <f t="shared" si="59"/>
        <v>54.117730934967398</v>
      </c>
      <c r="X183" s="157">
        <f t="shared" si="60"/>
        <v>46191</v>
      </c>
      <c r="Y183" s="385">
        <f t="shared" si="61"/>
        <v>51.326785069408885</v>
      </c>
      <c r="Z183" s="385">
        <f t="shared" si="62"/>
        <v>54.73108174546207</v>
      </c>
      <c r="AA183" s="386">
        <f t="shared" si="63"/>
        <v>58.28225921570926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6.0930676299006878E-2</v>
      </c>
      <c r="AD183" s="231">
        <f>(INDEX(Models!$BJ183:$BT183,,AH183)*(1-AF183)+INDEX(Models!$BJ183:$BT183,,AH183+1)*AF183-ERP_i)*AE183*Ramure*Pc/MaxiM</f>
        <v>1.700031264172446E-4</v>
      </c>
      <c r="AE183" s="305">
        <f t="shared" si="65"/>
        <v>0.5</v>
      </c>
      <c r="AF183" s="177">
        <f t="shared" si="66"/>
        <v>0.28792327863794442</v>
      </c>
      <c r="AG183" s="811">
        <f t="shared" si="74"/>
        <v>2</v>
      </c>
      <c r="AH183" s="176">
        <f t="shared" si="67"/>
        <v>8</v>
      </c>
      <c r="AI183" s="225">
        <f t="shared" si="68"/>
        <v>2.2879232786379444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'2025'!Wh/'2025'!Env_an*'2026'!Env_an</f>
        <v>55.221682846276209</v>
      </c>
      <c r="C184" s="841"/>
      <c r="D184" s="393">
        <f t="shared" si="50"/>
        <v>58.885601979556803</v>
      </c>
      <c r="E184" s="385">
        <f t="shared" si="75"/>
        <v>59.486555774397019</v>
      </c>
      <c r="F184" s="385">
        <f t="shared" si="51"/>
        <v>59.487500551546766</v>
      </c>
      <c r="G184" s="110">
        <f t="shared" si="76"/>
        <v>0.94129839000411086</v>
      </c>
      <c r="H184" s="414" t="b">
        <f>Wh_hp&gt;='2025'!Maxi_hp</f>
        <v>0</v>
      </c>
      <c r="I184" s="390">
        <f>IF(H184,Wh_hp,'2025'!Maxi_hp)</f>
        <v>59.487556722922172</v>
      </c>
      <c r="J184" s="85">
        <f>IF(H184,An,'2025'!An_max)</f>
        <v>2025</v>
      </c>
      <c r="K184" s="197">
        <f t="shared" si="52"/>
        <v>46192</v>
      </c>
      <c r="L184" s="147">
        <f>IF(t&lt;Tvie,1-EXP((T0-t)*PertePVj)+'2025'!Pspv,1-EXP((T0-t)*PertePVj)+Pspv)</f>
        <v>6.2220967606862354E-2</v>
      </c>
      <c r="M184" s="845"/>
      <c r="N184" s="845"/>
      <c r="O184" s="48">
        <f>IF(t&lt;Tnet,'2025'!Resal+('2025'!Salim-'2025'!Resal)*(1-EXP(('2025'!Tnet-t)/('2025'!Tau_j))),Resal+(Salim-Resal)*(1-EXP((Tnet-t)/(Tau_j))))*Salcycl</f>
        <v>1.0102346438064619E-2</v>
      </c>
      <c r="P184" s="169">
        <f>(INDEX(Models!$BJ184:$BT184,,T184)*(1-R184)+INDEX(Models!$BJ184:$BT184,,T184+1)*R184-ERP_i)*Q184*Ramure*Pc/MaxiM</f>
        <v>1.7335669664851484E-5</v>
      </c>
      <c r="Q184" s="305">
        <f t="shared" si="53"/>
        <v>0.5</v>
      </c>
      <c r="R184" s="177">
        <f t="shared" si="54"/>
        <v>0.767927555678378</v>
      </c>
      <c r="S184" s="811">
        <f t="shared" si="55"/>
        <v>-2</v>
      </c>
      <c r="T184" s="176">
        <f t="shared" si="56"/>
        <v>4</v>
      </c>
      <c r="U184" s="251">
        <f t="shared" si="57"/>
        <v>-1.232072444321622</v>
      </c>
      <c r="V184" s="383">
        <f t="shared" si="58"/>
        <v>58.6653532548589</v>
      </c>
      <c r="W184" s="402">
        <f t="shared" si="59"/>
        <v>55.221682846276209</v>
      </c>
      <c r="X184" s="157">
        <f t="shared" si="60"/>
        <v>46192</v>
      </c>
      <c r="Y184" s="385">
        <f t="shared" si="61"/>
        <v>52.374588913038963</v>
      </c>
      <c r="Z184" s="385">
        <f t="shared" si="62"/>
        <v>55.849605401587162</v>
      </c>
      <c r="AA184" s="386">
        <f t="shared" si="63"/>
        <v>59.478221674335607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6.1007477537180103E-2</v>
      </c>
      <c r="AD184" s="231">
        <f>(INDEX(Models!$BJ184:$BT184,,AH184)*(1-AF184)+INDEX(Models!$BJ184:$BT184,,AH184+1)*AF184-ERP_i)*AE184*Ramure*Pc/MaxiM</f>
        <v>1.7025766365816089E-4</v>
      </c>
      <c r="AE184" s="305">
        <f t="shared" si="65"/>
        <v>0.5</v>
      </c>
      <c r="AF184" s="177">
        <f t="shared" si="66"/>
        <v>0.29291512205235692</v>
      </c>
      <c r="AG184" s="811">
        <f t="shared" si="74"/>
        <v>2</v>
      </c>
      <c r="AH184" s="176">
        <f t="shared" si="67"/>
        <v>8</v>
      </c>
      <c r="AI184" s="225">
        <f t="shared" si="68"/>
        <v>2.2929151220523569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'2025'!Wh/'2025'!Env_an*'2026'!Env_an</f>
        <v>30.753093571946337</v>
      </c>
      <c r="C185" s="841"/>
      <c r="D185" s="393">
        <f t="shared" si="50"/>
        <v>32.794257598075525</v>
      </c>
      <c r="E185" s="385">
        <f t="shared" si="75"/>
        <v>33.132283608188843</v>
      </c>
      <c r="F185" s="385">
        <f t="shared" si="51"/>
        <v>33.13247036326748</v>
      </c>
      <c r="G185" s="110">
        <f t="shared" si="76"/>
        <v>0.52485719071156678</v>
      </c>
      <c r="H185" s="414" t="b">
        <f>Wh_hp&gt;='2025'!Maxi_hp</f>
        <v>0</v>
      </c>
      <c r="I185" s="390">
        <f>IF(H185,Wh_hp,'2025'!Maxi_hp)</f>
        <v>58.208712843769881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6.2241507374418137E-2</v>
      </c>
      <c r="M185" s="845"/>
      <c r="N185" s="845"/>
      <c r="O185" s="48">
        <f>IF(t&lt;Tnet,'2025'!Resal+('2025'!Salim-'2025'!Resal)*(1-EXP(('2025'!Tnet-t)/('2025'!Tau_j))),Resal+(Salim-Resal)*(1-EXP((Tnet-t)/(Tau_j))))*Salcycl</f>
        <v>1.0202315485123205E-2</v>
      </c>
      <c r="P185" s="169">
        <f>(INDEX(Models!$BJ185:$BT185,,T185)*(1-R185)+INDEX(Models!$BJ185:$BT185,,T185+1)*R185-ERP_i)*Q185*Ramure*Pc/MaxiM</f>
        <v>1.7546794451821248E-5</v>
      </c>
      <c r="Q185" s="305">
        <f t="shared" si="53"/>
        <v>0.5</v>
      </c>
      <c r="R185" s="177">
        <f t="shared" si="54"/>
        <v>0.77288203375546027</v>
      </c>
      <c r="S185" s="811">
        <f t="shared" si="55"/>
        <v>-2</v>
      </c>
      <c r="T185" s="176">
        <f t="shared" si="56"/>
        <v>4</v>
      </c>
      <c r="U185" s="251">
        <f t="shared" si="57"/>
        <v>-1.2271179662445397</v>
      </c>
      <c r="V185" s="383">
        <f t="shared" si="58"/>
        <v>58.592561632657038</v>
      </c>
      <c r="W185" s="402">
        <f t="shared" si="59"/>
        <v>30.753093571946337</v>
      </c>
      <c r="X185" s="157">
        <f t="shared" si="60"/>
        <v>46193</v>
      </c>
      <c r="Y185" s="385">
        <f t="shared" si="61"/>
        <v>29.170782172914063</v>
      </c>
      <c r="Z185" s="385">
        <f t="shared" si="62"/>
        <v>31.106924013282235</v>
      </c>
      <c r="AA185" s="386">
        <f t="shared" si="63"/>
        <v>33.130652938070099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6.1083279239040188E-2</v>
      </c>
      <c r="AD185" s="231">
        <f>(INDEX(Models!$BJ185:$BT185,,AH185)*(1-AF185)+INDEX(Models!$BJ185:$BT185,,AH185+1)*AF185-ERP_i)*AE185*Ramure*Pc/MaxiM</f>
        <v>1.7075833547662819E-4</v>
      </c>
      <c r="AE185" s="305">
        <f t="shared" si="65"/>
        <v>0.5</v>
      </c>
      <c r="AF185" s="177">
        <f t="shared" si="66"/>
        <v>0.29786960012943942</v>
      </c>
      <c r="AG185" s="811">
        <f t="shared" si="74"/>
        <v>2</v>
      </c>
      <c r="AH185" s="176">
        <f t="shared" si="67"/>
        <v>8</v>
      </c>
      <c r="AI185" s="225">
        <f t="shared" si="68"/>
        <v>2.2978696001294394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'2025'!Wh/'2025'!Env_an*'2026'!Env_an</f>
        <v>22.966208368927287</v>
      </c>
      <c r="C186" s="841"/>
      <c r="D186" s="393">
        <f t="shared" si="50"/>
        <v>24.4910726796471</v>
      </c>
      <c r="E186" s="385">
        <f t="shared" si="75"/>
        <v>24.746008804013993</v>
      </c>
      <c r="F186" s="385">
        <f t="shared" si="51"/>
        <v>24.746066818592599</v>
      </c>
      <c r="G186" s="110">
        <f t="shared" si="76"/>
        <v>0.39245926579947404</v>
      </c>
      <c r="H186" s="414" t="b">
        <f>Wh_hp&gt;='2025'!Maxi_hp</f>
        <v>0</v>
      </c>
      <c r="I186" s="390">
        <f>IF(H186,Wh_hp,'2025'!Maxi_hp)</f>
        <v>54.428674381419142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6.2262046692100448E-2</v>
      </c>
      <c r="M186" s="845"/>
      <c r="N186" s="845"/>
      <c r="O186" s="48">
        <f>IF(t&lt;Tnet,'2025'!Resal+('2025'!Salim-'2025'!Resal)*(1-EXP(('2025'!Tnet-t)/('2025'!Tau_j))),Resal+(Salim-Resal)*(1-EXP((Tnet-t)/(Tau_j))))*Salcycl</f>
        <v>1.0302110792328715E-2</v>
      </c>
      <c r="P186" s="169">
        <f>(INDEX(Models!$BJ186:$BT186,,T186)*(1-R186)+INDEX(Models!$BJ186:$BT186,,T186+1)*R186-ERP_i)*Q186*Ramure*Pc/MaxiM</f>
        <v>1.7748030449087886E-5</v>
      </c>
      <c r="Q186" s="305">
        <f t="shared" si="53"/>
        <v>0.5</v>
      </c>
      <c r="R186" s="177">
        <f t="shared" si="54"/>
        <v>0.77779543030508691</v>
      </c>
      <c r="S186" s="811">
        <f t="shared" si="55"/>
        <v>-2</v>
      </c>
      <c r="T186" s="176">
        <f t="shared" si="56"/>
        <v>4</v>
      </c>
      <c r="U186" s="251">
        <f t="shared" si="57"/>
        <v>-1.2222045696949131</v>
      </c>
      <c r="V186" s="383">
        <f t="shared" si="58"/>
        <v>58.517804537586109</v>
      </c>
      <c r="W186" s="402">
        <f t="shared" si="59"/>
        <v>22.966208368927287</v>
      </c>
      <c r="X186" s="157">
        <f t="shared" si="60"/>
        <v>46194</v>
      </c>
      <c r="Y186" s="385">
        <f t="shared" si="61"/>
        <v>21.785639555048952</v>
      </c>
      <c r="Z186" s="385">
        <f t="shared" si="62"/>
        <v>23.232118821894151</v>
      </c>
      <c r="AA186" s="386">
        <f t="shared" si="63"/>
        <v>24.745506185158693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6.1158068537397976E-2</v>
      </c>
      <c r="AD186" s="231">
        <f>(INDEX(Models!$BJ186:$BT186,,AH186)*(1-AF186)+INDEX(Models!$BJ186:$BT186,,AH186+1)*AF186-ERP_i)*AE186*Ramure*Pc/MaxiM</f>
        <v>1.7151101489639169E-4</v>
      </c>
      <c r="AE186" s="305">
        <f t="shared" si="65"/>
        <v>0.5</v>
      </c>
      <c r="AF186" s="177">
        <f t="shared" si="66"/>
        <v>0.30278299667906605</v>
      </c>
      <c r="AG186" s="811">
        <f t="shared" si="74"/>
        <v>2</v>
      </c>
      <c r="AH186" s="176">
        <f t="shared" si="67"/>
        <v>8</v>
      </c>
      <c r="AI186" s="225">
        <f t="shared" si="68"/>
        <v>2.3027829966790661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'2025'!Wh/'2025'!Env_an*'2026'!Env_an</f>
        <v>38.414009893154962</v>
      </c>
      <c r="C187" s="841"/>
      <c r="D187" s="393">
        <f t="shared" si="50"/>
        <v>40.965443641773767</v>
      </c>
      <c r="E187" s="385">
        <f t="shared" si="75"/>
        <v>41.396033857080532</v>
      </c>
      <c r="F187" s="385">
        <f t="shared" si="51"/>
        <v>41.396412911320958</v>
      </c>
      <c r="G187" s="110">
        <f t="shared" si="76"/>
        <v>0.65730148363150664</v>
      </c>
      <c r="H187" s="414" t="b">
        <f>Wh_hp&gt;='2025'!Maxi_hp</f>
        <v>0</v>
      </c>
      <c r="I187" s="390">
        <f>IF(H187,Wh_hp,'2025'!Maxi_hp)</f>
        <v>63.004166310746122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6.2282585559918835E-2</v>
      </c>
      <c r="M187" s="845"/>
      <c r="N187" s="845"/>
      <c r="O187" s="48">
        <f>IF(t&lt;Tnet,'2025'!Resal+('2025'!Salim-'2025'!Resal)*(1-EXP(('2025'!Tnet-t)/('2025'!Tau_j))),Resal+(Salim-Resal)*(1-EXP((Tnet-t)/(Tau_j))))*Salcycl</f>
        <v>1.0401726329468609E-2</v>
      </c>
      <c r="P187" s="169">
        <f>(INDEX(Models!$BJ187:$BT187,,T187)*(1-R187)+INDEX(Models!$BJ187:$BT187,,T187+1)*R187-ERP_i)*Q187*Ramure*Pc/MaxiM</f>
        <v>1.7938860522928562E-5</v>
      </c>
      <c r="Q187" s="305">
        <f t="shared" si="53"/>
        <v>0.5</v>
      </c>
      <c r="R187" s="177">
        <f t="shared" si="54"/>
        <v>0.78266415924517463</v>
      </c>
      <c r="S187" s="811">
        <f t="shared" si="55"/>
        <v>-2</v>
      </c>
      <c r="T187" s="176">
        <f t="shared" si="56"/>
        <v>4</v>
      </c>
      <c r="U187" s="251">
        <f t="shared" si="57"/>
        <v>-1.2173358407548254</v>
      </c>
      <c r="V187" s="383">
        <f t="shared" si="58"/>
        <v>58.441481555102357</v>
      </c>
      <c r="W187" s="402">
        <f t="shared" si="59"/>
        <v>38.414009893154962</v>
      </c>
      <c r="X187" s="157">
        <f t="shared" si="60"/>
        <v>46195</v>
      </c>
      <c r="Y187" s="385">
        <f t="shared" si="61"/>
        <v>36.43802240798653</v>
      </c>
      <c r="Z187" s="385">
        <f t="shared" si="62"/>
        <v>38.858212342941265</v>
      </c>
      <c r="AA187" s="386">
        <f t="shared" si="63"/>
        <v>41.39276747322193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6.1231835535527676E-2</v>
      </c>
      <c r="AD187" s="231">
        <f>(INDEX(Models!$BJ187:$BT187,,AH187)*(1-AF187)+INDEX(Models!$BJ187:$BT187,,AH187+1)*AF187-ERP_i)*AE187*Ramure*Pc/MaxiM</f>
        <v>1.7252149858467493E-4</v>
      </c>
      <c r="AE187" s="305">
        <f t="shared" si="65"/>
        <v>0.5</v>
      </c>
      <c r="AF187" s="177">
        <f t="shared" si="66"/>
        <v>0.30765172561915355</v>
      </c>
      <c r="AG187" s="811">
        <f t="shared" si="74"/>
        <v>2</v>
      </c>
      <c r="AH187" s="176">
        <f t="shared" si="67"/>
        <v>8</v>
      </c>
      <c r="AI187" s="225">
        <f t="shared" si="68"/>
        <v>2.3076517256191535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'2025'!Wh/'2025'!Env_an*'2026'!Env_an</f>
        <v>41.028132126212306</v>
      </c>
      <c r="C188" s="841"/>
      <c r="D188" s="393">
        <f t="shared" si="50"/>
        <v>43.754152514895033</v>
      </c>
      <c r="E188" s="385">
        <f t="shared" si="75"/>
        <v>44.218497883143009</v>
      </c>
      <c r="F188" s="385">
        <f t="shared" si="51"/>
        <v>44.218959102542854</v>
      </c>
      <c r="G188" s="110">
        <f t="shared" si="76"/>
        <v>0.70296453766801126</v>
      </c>
      <c r="H188" s="414" t="b">
        <f>Wh_hp&gt;='2025'!Maxi_hp</f>
        <v>0</v>
      </c>
      <c r="I188" s="390">
        <f>IF(H188,Wh_hp,'2025'!Maxi_hp)</f>
        <v>55.386626209177535</v>
      </c>
      <c r="J188" s="85">
        <f>IF(H188,An,'2025'!An_max)</f>
        <v>2019</v>
      </c>
      <c r="K188" s="197">
        <f t="shared" si="52"/>
        <v>46196</v>
      </c>
      <c r="L188" s="147">
        <f>IF(t&lt;Tvie,1-EXP((T0-t)*PertePVj)+'2025'!Pspv,1-EXP((T0-t)*PertePVj)+Pspv)</f>
        <v>6.2303123977883401E-2</v>
      </c>
      <c r="M188" s="845"/>
      <c r="N188" s="845"/>
      <c r="O188" s="48">
        <f>IF(t&lt;Tnet,'2025'!Resal+('2025'!Salim-'2025'!Resal)*(1-EXP(('2025'!Tnet-t)/('2025'!Tau_j))),Resal+(Salim-Resal)*(1-EXP((Tnet-t)/(Tau_j))))*Salcycl</f>
        <v>1.0501156540303843E-2</v>
      </c>
      <c r="P188" s="169">
        <f>(INDEX(Models!$BJ188:$BT188,,T188)*(1-R188)+INDEX(Models!$BJ188:$BT188,,T188+1)*R188-ERP_i)*Q188*Ramure*Pc/MaxiM</f>
        <v>1.8118591683855223E-5</v>
      </c>
      <c r="Q188" s="305">
        <f t="shared" si="53"/>
        <v>0.5</v>
      </c>
      <c r="R188" s="177">
        <f t="shared" si="54"/>
        <v>0.78748477407639661</v>
      </c>
      <c r="S188" s="811">
        <f t="shared" si="55"/>
        <v>-2</v>
      </c>
      <c r="T188" s="176">
        <f t="shared" si="56"/>
        <v>4</v>
      </c>
      <c r="U188" s="251">
        <f t="shared" si="57"/>
        <v>-1.2125152259236034</v>
      </c>
      <c r="V188" s="383">
        <f t="shared" si="58"/>
        <v>58.363992051430536</v>
      </c>
      <c r="W188" s="402">
        <f t="shared" si="59"/>
        <v>41.028132126212306</v>
      </c>
      <c r="X188" s="157">
        <f t="shared" si="60"/>
        <v>46196</v>
      </c>
      <c r="Y188" s="385">
        <f t="shared" si="61"/>
        <v>38.918154146377539</v>
      </c>
      <c r="Z188" s="385">
        <f t="shared" si="62"/>
        <v>41.503981874692322</v>
      </c>
      <c r="AA188" s="386">
        <f t="shared" si="63"/>
        <v>44.214535081734539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6.130457330449169E-2</v>
      </c>
      <c r="AD188" s="231">
        <f>(INDEX(Models!$BJ188:$BT188,,AH188)*(1-AF188)+INDEX(Models!$BJ188:$BT188,,AH188+1)*AF188-ERP_i)*AE188*Ramure*Pc/MaxiM</f>
        <v>1.737937013347412E-4</v>
      </c>
      <c r="AE188" s="305">
        <f t="shared" si="65"/>
        <v>0.5</v>
      </c>
      <c r="AF188" s="177">
        <f t="shared" si="66"/>
        <v>0.31247234045037553</v>
      </c>
      <c r="AG188" s="811">
        <f t="shared" si="74"/>
        <v>2</v>
      </c>
      <c r="AH188" s="176">
        <f t="shared" si="67"/>
        <v>8</v>
      </c>
      <c r="AI188" s="225">
        <f t="shared" si="68"/>
        <v>2.3124723404503755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'2025'!Wh/'2025'!Env_an*'2026'!Env_an</f>
        <v>39.211317840550187</v>
      </c>
      <c r="C189" s="841"/>
      <c r="D189" s="393">
        <f t="shared" si="50"/>
        <v>41.817540071371837</v>
      </c>
      <c r="E189" s="385">
        <f t="shared" si="75"/>
        <v>42.265571885763983</v>
      </c>
      <c r="F189" s="385">
        <f t="shared" si="51"/>
        <v>42.265983446158842</v>
      </c>
      <c r="G189" s="110">
        <f t="shared" si="76"/>
        <v>0.67273720579666296</v>
      </c>
      <c r="H189" s="414" t="b">
        <f>Wh_hp&gt;='2025'!Maxi_hp</f>
        <v>0</v>
      </c>
      <c r="I189" s="390">
        <f>IF(H189,Wh_hp,'2025'!Maxi_hp)</f>
        <v>62.031075143124923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6.2323661946003917E-2</v>
      </c>
      <c r="M189" s="845"/>
      <c r="N189" s="845"/>
      <c r="O189" s="48">
        <f>IF(t&lt;Tnet,'2025'!Resal+('2025'!Salim-'2025'!Resal)*(1-EXP(('2025'!Tnet-t)/('2025'!Tau_j))),Resal+(Salim-Resal)*(1-EXP((Tnet-t)/(Tau_j))))*Salcycl</f>
        <v>1.0600396360496301E-2</v>
      </c>
      <c r="P189" s="169">
        <f>(INDEX(Models!$BJ189:$BT189,,T189)*(1-R189)+INDEX(Models!$BJ189:$BT189,,T189+1)*R189-ERP_i)*Q189*Ramure*Pc/MaxiM</f>
        <v>1.8286525258168107E-5</v>
      </c>
      <c r="Q189" s="305">
        <f t="shared" si="53"/>
        <v>0.5</v>
      </c>
      <c r="R189" s="177">
        <f t="shared" si="54"/>
        <v>0.79225397645793905</v>
      </c>
      <c r="S189" s="811">
        <f t="shared" si="55"/>
        <v>-2</v>
      </c>
      <c r="T189" s="176">
        <f t="shared" si="56"/>
        <v>4</v>
      </c>
      <c r="U189" s="251">
        <f t="shared" si="57"/>
        <v>-1.207746023542061</v>
      </c>
      <c r="V189" s="383">
        <f t="shared" si="58"/>
        <v>58.285735167598055</v>
      </c>
      <c r="W189" s="402">
        <f t="shared" si="59"/>
        <v>39.211317840550187</v>
      </c>
      <c r="X189" s="157">
        <f t="shared" si="60"/>
        <v>46197</v>
      </c>
      <c r="Y189" s="385">
        <f t="shared" si="61"/>
        <v>37.195886429496497</v>
      </c>
      <c r="Z189" s="385">
        <f t="shared" si="62"/>
        <v>39.668150853300695</v>
      </c>
      <c r="AA189" s="386">
        <f t="shared" si="63"/>
        <v>42.26203740411124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6.1376277863930323E-2</v>
      </c>
      <c r="AD189" s="231">
        <f>(INDEX(Models!$BJ189:$BT189,,AH189)*(1-AF189)+INDEX(Models!$BJ189:$BT189,,AH189+1)*AF189-ERP_i)*AE189*Ramure*Pc/MaxiM</f>
        <v>1.753312477924094E-4</v>
      </c>
      <c r="AE189" s="305">
        <f t="shared" si="65"/>
        <v>0.5</v>
      </c>
      <c r="AF189" s="177">
        <f t="shared" si="66"/>
        <v>0.31724154283191774</v>
      </c>
      <c r="AG189" s="811">
        <f t="shared" si="74"/>
        <v>2</v>
      </c>
      <c r="AH189" s="176">
        <f t="shared" si="67"/>
        <v>8</v>
      </c>
      <c r="AI189" s="225">
        <f t="shared" si="68"/>
        <v>2.3172415428319177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'2025'!Wh/'2025'!Env_an*'2026'!Env_an</f>
        <v>34.506786761167035</v>
      </c>
      <c r="C190" s="841"/>
      <c r="D190" s="393">
        <f t="shared" si="50"/>
        <v>36.801123334865856</v>
      </c>
      <c r="E190" s="385">
        <f t="shared" si="75"/>
        <v>37.199133275238992</v>
      </c>
      <c r="F190" s="385">
        <f t="shared" si="51"/>
        <v>37.199420262024177</v>
      </c>
      <c r="G190" s="110">
        <f t="shared" si="76"/>
        <v>0.59282133588098218</v>
      </c>
      <c r="H190" s="414" t="b">
        <f>Wh_hp&gt;='2025'!Maxi_hp</f>
        <v>0</v>
      </c>
      <c r="I190" s="390">
        <f>IF(H190,Wh_hp,'2025'!Maxi_hp)</f>
        <v>59.517932616441065</v>
      </c>
      <c r="J190" s="85">
        <f>IF(H190,An,'2025'!An_max)</f>
        <v>2021</v>
      </c>
      <c r="K190" s="197">
        <f t="shared" si="52"/>
        <v>46198</v>
      </c>
      <c r="L190" s="147">
        <f>IF(t&lt;Tvie,1-EXP((T0-t)*PertePVj)+'2025'!Pspv,1-EXP((T0-t)*PertePVj)+Pspv)</f>
        <v>6.2344199464290151E-2</v>
      </c>
      <c r="M190" s="845"/>
      <c r="N190" s="845"/>
      <c r="O190" s="48">
        <f>IF(t&lt;Tnet,'2025'!Resal+('2025'!Salim-'2025'!Resal)*(1-EXP(('2025'!Tnet-t)/('2025'!Tau_j))),Resal+(Salim-Resal)*(1-EXP((Tnet-t)/(Tau_j))))*Salcycl</f>
        <v>1.0699441232359769E-2</v>
      </c>
      <c r="P190" s="169">
        <f>(INDEX(Models!$BJ190:$BT190,,T190)*(1-R190)+INDEX(Models!$BJ190:$BT190,,T190+1)*R190-ERP_i)*Q190*Ramure*Pc/MaxiM</f>
        <v>1.8442152893518647E-5</v>
      </c>
      <c r="Q190" s="305">
        <f t="shared" si="53"/>
        <v>0.5</v>
      </c>
      <c r="R190" s="177">
        <f t="shared" si="54"/>
        <v>0.79696862384891487</v>
      </c>
      <c r="S190" s="811">
        <f t="shared" si="55"/>
        <v>-2</v>
      </c>
      <c r="T190" s="176">
        <f t="shared" si="56"/>
        <v>4</v>
      </c>
      <c r="U190" s="251">
        <f t="shared" si="57"/>
        <v>-1.2030313761510851</v>
      </c>
      <c r="V190" s="383">
        <f t="shared" si="58"/>
        <v>58.207109805183137</v>
      </c>
      <c r="W190" s="402">
        <f t="shared" si="59"/>
        <v>34.506786761167035</v>
      </c>
      <c r="X190" s="157">
        <f t="shared" si="60"/>
        <v>46198</v>
      </c>
      <c r="Y190" s="385">
        <f t="shared" si="61"/>
        <v>32.734541268531473</v>
      </c>
      <c r="Z190" s="385">
        <f t="shared" si="62"/>
        <v>34.911042250076505</v>
      </c>
      <c r="AA190" s="386">
        <f t="shared" si="63"/>
        <v>37.196663716697785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6.1446948146461094E-2</v>
      </c>
      <c r="AD190" s="231">
        <f>(INDEX(Models!$BJ190:$BT190,,AH190)*(1-AF190)+INDEX(Models!$BJ190:$BT190,,AH190+1)*AF190-ERP_i)*AE190*Ramure*Pc/MaxiM</f>
        <v>1.7713927257863714E-4</v>
      </c>
      <c r="AE190" s="305">
        <f t="shared" si="65"/>
        <v>0.5</v>
      </c>
      <c r="AF190" s="177">
        <f t="shared" si="66"/>
        <v>0.32195619022289357</v>
      </c>
      <c r="AG190" s="811">
        <f t="shared" si="74"/>
        <v>2</v>
      </c>
      <c r="AH190" s="176">
        <f t="shared" si="67"/>
        <v>8</v>
      </c>
      <c r="AI190" s="225">
        <f t="shared" si="68"/>
        <v>2.3219561902228936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'2025'!Wh/'2025'!Env_an*'2026'!Env_an</f>
        <v>11.577740773826473</v>
      </c>
      <c r="C191" s="841"/>
      <c r="D191" s="393">
        <f t="shared" si="50"/>
        <v>12.347808604183209</v>
      </c>
      <c r="E191" s="385">
        <f t="shared" si="75"/>
        <v>12.482599295332227</v>
      </c>
      <c r="F191" s="385">
        <f t="shared" si="51"/>
        <v>12.482599295332227</v>
      </c>
      <c r="G191" s="110">
        <f t="shared" si="76"/>
        <v>0.19917460485691044</v>
      </c>
      <c r="H191" s="414" t="b">
        <f>Wh_hp&gt;='2025'!Maxi_hp</f>
        <v>0</v>
      </c>
      <c r="I191" s="390">
        <f>IF(H191,Wh_hp,'2025'!Maxi_hp)</f>
        <v>61.557220620707511</v>
      </c>
      <c r="J191" s="85">
        <f>IF(H191,An,'2025'!An_max)</f>
        <v>2019</v>
      </c>
      <c r="K191" s="197">
        <f t="shared" si="52"/>
        <v>46199</v>
      </c>
      <c r="L191" s="147">
        <f>IF(t&lt;Tvie,1-EXP((T0-t)*PertePVj)+'2025'!Pspv,1-EXP((T0-t)*PertePVj)+Pspv)</f>
        <v>6.2364736532752096E-2</v>
      </c>
      <c r="M191" s="845"/>
      <c r="N191" s="845"/>
      <c r="O191" s="48">
        <f>IF(t&lt;Tnet,'2025'!Resal+('2025'!Salim-'2025'!Resal)*(1-EXP(('2025'!Tnet-t)/('2025'!Tau_j))),Resal+(Salim-Resal)*(1-EXP((Tnet-t)/(Tau_j))))*Salcycl</f>
        <v>1.0798287116323732E-2</v>
      </c>
      <c r="P191" s="169">
        <f>(INDEX(Models!$BJ191:$BT191,,T191)*(1-R191)+INDEX(Models!$BJ191:$BT191,,T191+1)*R191-ERP_i)*Q191*Ramure*Pc/MaxiM</f>
        <v>1.858529996055251E-5</v>
      </c>
      <c r="Q191" s="305">
        <f t="shared" si="53"/>
        <v>0.5</v>
      </c>
      <c r="R191" s="177">
        <f t="shared" si="54"/>
        <v>0.80162573618974697</v>
      </c>
      <c r="S191" s="811">
        <f t="shared" si="55"/>
        <v>-2</v>
      </c>
      <c r="T191" s="176">
        <f t="shared" si="56"/>
        <v>4</v>
      </c>
      <c r="U191" s="251">
        <f t="shared" si="57"/>
        <v>-1.198374263810253</v>
      </c>
      <c r="V191" s="383">
        <f t="shared" si="58"/>
        <v>58.127518848895264</v>
      </c>
      <c r="W191" s="402">
        <f t="shared" si="59"/>
        <v>11.577740773826473</v>
      </c>
      <c r="X191" s="157">
        <f t="shared" si="60"/>
        <v>46199</v>
      </c>
      <c r="Y191" s="385">
        <f t="shared" si="61"/>
        <v>10.984127450384856</v>
      </c>
      <c r="Z191" s="385">
        <f t="shared" si="62"/>
        <v>11.714712402951916</v>
      </c>
      <c r="AA191" s="386">
        <f t="shared" si="63"/>
        <v>12.482599295332227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6.1516585945962127E-2</v>
      </c>
      <c r="AD191" s="231">
        <f>(INDEX(Models!$BJ191:$BT191,,AH191)*(1-AF191)+INDEX(Models!$BJ191:$BT191,,AH191+1)*AF191-ERP_i)*AE191*Ramure*Pc/MaxiM</f>
        <v>1.7922575423509181E-4</v>
      </c>
      <c r="AE191" s="305">
        <f t="shared" si="65"/>
        <v>0.5</v>
      </c>
      <c r="AF191" s="177">
        <f t="shared" si="66"/>
        <v>0.32661330256372612</v>
      </c>
      <c r="AG191" s="811">
        <f t="shared" si="74"/>
        <v>2</v>
      </c>
      <c r="AH191" s="176">
        <f t="shared" si="67"/>
        <v>8</v>
      </c>
      <c r="AI191" s="225">
        <f t="shared" si="68"/>
        <v>2.3266133025637261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'2025'!Wh/'2025'!Env_an*'2026'!Env_an</f>
        <v>12.637734947005296</v>
      </c>
      <c r="C192" s="841"/>
      <c r="D192" s="393">
        <f t="shared" si="50"/>
        <v>13.478601162208438</v>
      </c>
      <c r="E192" s="385">
        <f t="shared" si="75"/>
        <v>13.627094665684046</v>
      </c>
      <c r="F192" s="385">
        <f t="shared" si="51"/>
        <v>13.627094665684046</v>
      </c>
      <c r="G192" s="110">
        <f t="shared" si="76"/>
        <v>0.21771485829941381</v>
      </c>
      <c r="H192" s="414" t="b">
        <f>Wh_hp&gt;='2025'!Maxi_hp</f>
        <v>0</v>
      </c>
      <c r="I192" s="390">
        <f>IF(H192,Wh_hp,'2025'!Maxi_hp)</f>
        <v>61.321800192772599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6.2385273151399412E-2</v>
      </c>
      <c r="M192" s="845"/>
      <c r="N192" s="845"/>
      <c r="O192" s="48">
        <f>IF(t&lt;Tnet,'2025'!Resal+('2025'!Salim-'2025'!Resal)*(1-EXP(('2025'!Tnet-t)/('2025'!Tau_j))),Resal+(Salim-Resal)*(1-EXP((Tnet-t)/(Tau_j))))*Salcycl</f>
        <v>1.0896930499026109E-2</v>
      </c>
      <c r="P192" s="169">
        <f>(INDEX(Models!$BJ192:$BT192,,T192)*(1-R192)+INDEX(Models!$BJ192:$BT192,,T192+1)*R192-ERP_i)*Q192*Ramure*Pc/MaxiM</f>
        <v>1.8737610471459994E-5</v>
      </c>
      <c r="Q192" s="305">
        <f t="shared" si="53"/>
        <v>0.5</v>
      </c>
      <c r="R192" s="177">
        <f t="shared" si="54"/>
        <v>0.80622250160746423</v>
      </c>
      <c r="S192" s="811">
        <f t="shared" si="55"/>
        <v>-2</v>
      </c>
      <c r="T192" s="176">
        <f t="shared" si="56"/>
        <v>4</v>
      </c>
      <c r="U192" s="251">
        <f t="shared" si="57"/>
        <v>-1.1937774983925358</v>
      </c>
      <c r="V192" s="383">
        <f t="shared" si="58"/>
        <v>58.046098666682703</v>
      </c>
      <c r="W192" s="402">
        <f t="shared" si="59"/>
        <v>12.637734947005296</v>
      </c>
      <c r="X192" s="157">
        <f t="shared" si="60"/>
        <v>46200</v>
      </c>
      <c r="Y192" s="385">
        <f t="shared" si="61"/>
        <v>11.990092772814045</v>
      </c>
      <c r="Z192" s="385">
        <f t="shared" si="62"/>
        <v>12.787867371829496</v>
      </c>
      <c r="AA192" s="386">
        <f t="shared" si="63"/>
        <v>13.627094665684046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6.1585195850140065E-2</v>
      </c>
      <c r="AD192" s="231">
        <f>(INDEX(Models!$BJ192:$BT192,,AH192)*(1-AF192)+INDEX(Models!$BJ192:$BT192,,AH192+1)*AF192-ERP_i)*AE192*Ramure*Pc/MaxiM</f>
        <v>1.8278714595132124E-4</v>
      </c>
      <c r="AE192" s="305">
        <f t="shared" si="65"/>
        <v>0.5</v>
      </c>
      <c r="AF192" s="177">
        <f t="shared" si="66"/>
        <v>0.33121006798144315</v>
      </c>
      <c r="AG192" s="811">
        <f t="shared" si="74"/>
        <v>2</v>
      </c>
      <c r="AH192" s="176">
        <f t="shared" si="67"/>
        <v>8</v>
      </c>
      <c r="AI192" s="225">
        <f t="shared" si="68"/>
        <v>2.3312100679814431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'2025'!Wh/'2025'!Env_an*'2026'!Env_an</f>
        <v>57.370093653561931</v>
      </c>
      <c r="C193" s="841"/>
      <c r="D193" s="393">
        <f t="shared" si="50"/>
        <v>61.188618939680602</v>
      </c>
      <c r="E193" s="385">
        <f t="shared" si="75"/>
        <v>61.868890179579196</v>
      </c>
      <c r="F193" s="385">
        <f t="shared" si="51"/>
        <v>61.870042690118602</v>
      </c>
      <c r="G193" s="110">
        <f t="shared" si="76"/>
        <v>0.98977324318512427</v>
      </c>
      <c r="H193" s="414" t="b">
        <f>Wh_hp&gt;='2025'!Maxi_hp</f>
        <v>0</v>
      </c>
      <c r="I193" s="390">
        <f>IF(H193,Wh_hp,'2025'!Maxi_hp)</f>
        <v>61.870053203422515</v>
      </c>
      <c r="J193" s="85">
        <f>IF(H193,An,'2025'!An_max)</f>
        <v>2025</v>
      </c>
      <c r="K193" s="197">
        <f t="shared" si="52"/>
        <v>46201</v>
      </c>
      <c r="L193" s="147">
        <f>IF(t&lt;Tvie,1-EXP((T0-t)*PertePVj)+'2025'!Pspv,1-EXP((T0-t)*PertePVj)+Pspv)</f>
        <v>6.24058093202422E-2</v>
      </c>
      <c r="M193" s="845"/>
      <c r="N193" s="845"/>
      <c r="O193" s="48">
        <f>IF(t&lt;Tnet,'2025'!Resal+('2025'!Salim-'2025'!Resal)*(1-EXP(('2025'!Tnet-t)/('2025'!Tau_j))),Resal+(Salim-Resal)*(1-EXP((Tnet-t)/(Tau_j))))*Salcycl</f>
        <v>1.0995368397979211E-2</v>
      </c>
      <c r="P193" s="169">
        <f>(INDEX(Models!$BJ193:$BT193,,T193)*(1-R193)+INDEX(Models!$BJ193:$BT193,,T193+1)*R193-ERP_i)*Q193*Ramure*Pc/MaxiM</f>
        <v>1.8904100351412629E-5</v>
      </c>
      <c r="Q193" s="305">
        <f t="shared" si="53"/>
        <v>0.5</v>
      </c>
      <c r="R193" s="177">
        <f t="shared" si="54"/>
        <v>0.81075628113829379</v>
      </c>
      <c r="S193" s="811">
        <f t="shared" si="55"/>
        <v>-2</v>
      </c>
      <c r="T193" s="176">
        <f t="shared" si="56"/>
        <v>4</v>
      </c>
      <c r="U193" s="251">
        <f t="shared" si="57"/>
        <v>-1.1892437188617062</v>
      </c>
      <c r="V193" s="383">
        <f t="shared" si="58"/>
        <v>57.962849778061056</v>
      </c>
      <c r="W193" s="402">
        <f t="shared" si="59"/>
        <v>57.370093653561931</v>
      </c>
      <c r="X193" s="157">
        <f t="shared" si="60"/>
        <v>46201</v>
      </c>
      <c r="Y193" s="385">
        <f t="shared" si="61"/>
        <v>54.422508667172139</v>
      </c>
      <c r="Z193" s="385">
        <f t="shared" si="62"/>
        <v>58.044844142768952</v>
      </c>
      <c r="AA193" s="386">
        <f t="shared" si="63"/>
        <v>61.858599060835772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6.1652785157907036E-2</v>
      </c>
      <c r="AD193" s="231">
        <f>(INDEX(Models!$BJ193:$BT193,,AH193)*(1-AF193)+INDEX(Models!$BJ193:$BT193,,AH193+1)*AF193-ERP_i)*AE193*Ramure*Pc/MaxiM</f>
        <v>1.8770458833065461E-4</v>
      </c>
      <c r="AE193" s="305">
        <f t="shared" si="65"/>
        <v>0.5</v>
      </c>
      <c r="AF193" s="177">
        <f t="shared" si="66"/>
        <v>0.33574384751227271</v>
      </c>
      <c r="AG193" s="811">
        <f t="shared" si="74"/>
        <v>2</v>
      </c>
      <c r="AH193" s="176">
        <f t="shared" si="67"/>
        <v>8</v>
      </c>
      <c r="AI193" s="225">
        <f t="shared" si="68"/>
        <v>2.3357438475122727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'2025'!Wh/'2025'!Env_an*'2026'!Env_an</f>
        <v>54.466155477693256</v>
      </c>
      <c r="C194" s="841"/>
      <c r="D194" s="393">
        <f t="shared" si="50"/>
        <v>58.092668442113727</v>
      </c>
      <c r="E194" s="385">
        <f t="shared" si="75"/>
        <v>58.744354719452154</v>
      </c>
      <c r="F194" s="385">
        <f t="shared" si="51"/>
        <v>58.745381474946818</v>
      </c>
      <c r="G194" s="110">
        <f t="shared" si="76"/>
        <v>0.94105327800614125</v>
      </c>
      <c r="H194" s="414" t="b">
        <f>Wh_hp&gt;='2025'!Maxi_hp</f>
        <v>0</v>
      </c>
      <c r="I194" s="390">
        <f>IF(H194,Wh_hp,'2025'!Maxi_hp)</f>
        <v>58.745439245651497</v>
      </c>
      <c r="J194" s="85">
        <f>IF(H194,An,'2025'!An_max)</f>
        <v>2025</v>
      </c>
      <c r="K194" s="197">
        <f t="shared" si="52"/>
        <v>46202</v>
      </c>
      <c r="L194" s="147">
        <f>IF(t&lt;Tvie,1-EXP((T0-t)*PertePVj)+'2025'!Pspv,1-EXP((T0-t)*PertePVj)+Pspv)</f>
        <v>6.2426345039290121E-2</v>
      </c>
      <c r="M194" s="845"/>
      <c r="N194" s="845"/>
      <c r="O194" s="48">
        <f>IF(t&lt;Tnet,'2025'!Resal+('2025'!Salim-'2025'!Resal)*(1-EXP(('2025'!Tnet-t)/('2025'!Tau_j))),Resal+(Salim-Resal)*(1-EXP((Tnet-t)/(Tau_j))))*Salcycl</f>
        <v>1.1093598362782399E-2</v>
      </c>
      <c r="P194" s="169">
        <f>(INDEX(Models!$BJ194:$BT194,,T194)*(1-R194)+INDEX(Models!$BJ194:$BT194,,T194+1)*R194-ERP_i)*Q194*Ramure*Pc/MaxiM</f>
        <v>1.9085177237605032E-5</v>
      </c>
      <c r="Q194" s="305">
        <f t="shared" si="53"/>
        <v>0.5</v>
      </c>
      <c r="R194" s="177">
        <f t="shared" si="54"/>
        <v>0.81522461247006595</v>
      </c>
      <c r="S194" s="811">
        <f t="shared" si="55"/>
        <v>-2</v>
      </c>
      <c r="T194" s="176">
        <f t="shared" si="56"/>
        <v>4</v>
      </c>
      <c r="U194" s="251">
        <f t="shared" si="57"/>
        <v>-1.1847753875299341</v>
      </c>
      <c r="V194" s="383">
        <f t="shared" si="58"/>
        <v>57.877772933584147</v>
      </c>
      <c r="W194" s="402">
        <f t="shared" si="59"/>
        <v>54.466155477693256</v>
      </c>
      <c r="X194" s="157">
        <f t="shared" si="60"/>
        <v>46202</v>
      </c>
      <c r="Y194" s="385">
        <f t="shared" si="61"/>
        <v>51.669553815204821</v>
      </c>
      <c r="Z194" s="385">
        <f t="shared" si="62"/>
        <v>55.109861013927585</v>
      </c>
      <c r="AA194" s="386">
        <f t="shared" si="63"/>
        <v>58.734944415005238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6.1719363782211087E-2</v>
      </c>
      <c r="AD194" s="231">
        <f>(INDEX(Models!$BJ194:$BT194,,AH194)*(1-AF194)+INDEX(Models!$BJ194:$BT194,,AH194+1)*AF194-ERP_i)*AE194*Ramure*Pc/MaxiM</f>
        <v>1.9400250581505762E-4</v>
      </c>
      <c r="AE194" s="305">
        <f t="shared" si="65"/>
        <v>0.5</v>
      </c>
      <c r="AF194" s="177">
        <f t="shared" si="66"/>
        <v>0.34021217884404509</v>
      </c>
      <c r="AG194" s="811">
        <f t="shared" si="74"/>
        <v>2</v>
      </c>
      <c r="AH194" s="176">
        <f t="shared" si="67"/>
        <v>8</v>
      </c>
      <c r="AI194" s="225">
        <f t="shared" si="68"/>
        <v>2.3402121788440451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'2025'!Wh/'2025'!Env_an*'2026'!Env_an</f>
        <v>13.541847739627871</v>
      </c>
      <c r="C195" s="841"/>
      <c r="D195" s="393">
        <f t="shared" si="50"/>
        <v>14.443819187636597</v>
      </c>
      <c r="E195" s="385">
        <f t="shared" si="75"/>
        <v>14.607298499360967</v>
      </c>
      <c r="F195" s="385">
        <f t="shared" si="51"/>
        <v>14.607298499360967</v>
      </c>
      <c r="G195" s="110">
        <f t="shared" si="76"/>
        <v>0.23432052338184417</v>
      </c>
      <c r="H195" s="414" t="b">
        <f>Wh_hp&gt;='2025'!Maxi_hp</f>
        <v>0</v>
      </c>
      <c r="I195" s="390">
        <f>IF(H195,Wh_hp,'2025'!Maxi_hp)</f>
        <v>52.467807817786799</v>
      </c>
      <c r="J195" s="85">
        <f>IF(H195,An,'2025'!An_max)</f>
        <v>2019</v>
      </c>
      <c r="K195" s="197">
        <f t="shared" si="52"/>
        <v>46203</v>
      </c>
      <c r="L195" s="147">
        <f>IF(t&lt;Tvie,1-EXP((T0-t)*PertePVj)+'2025'!Pspv,1-EXP((T0-t)*PertePVj)+Pspv)</f>
        <v>6.2446880308553165E-2</v>
      </c>
      <c r="M195" s="845"/>
      <c r="N195" s="845"/>
      <c r="O195" s="48">
        <f>IF(t&lt;Tnet,'2025'!Resal+('2025'!Salim-'2025'!Resal)*(1-EXP(('2025'!Tnet-t)/('2025'!Tau_j))),Resal+(Salim-Resal)*(1-EXP((Tnet-t)/(Tau_j))))*Salcycl</f>
        <v>1.1191618472883441E-2</v>
      </c>
      <c r="P195" s="169">
        <f>(INDEX(Models!$BJ195:$BT195,,T195)*(1-R195)+INDEX(Models!$BJ195:$BT195,,T195+1)*R195-ERP_i)*Q195*Ramure*Pc/MaxiM</f>
        <v>1.928124604066987E-5</v>
      </c>
      <c r="Q195" s="305">
        <f t="shared" si="53"/>
        <v>0.5</v>
      </c>
      <c r="R195" s="177">
        <f t="shared" si="54"/>
        <v>0.81962521271562161</v>
      </c>
      <c r="S195" s="811">
        <f t="shared" si="55"/>
        <v>-2</v>
      </c>
      <c r="T195" s="176">
        <f t="shared" si="56"/>
        <v>4</v>
      </c>
      <c r="U195" s="251">
        <f t="shared" si="57"/>
        <v>-1.1803747872843784</v>
      </c>
      <c r="V195" s="383">
        <f t="shared" si="58"/>
        <v>57.790868851306932</v>
      </c>
      <c r="W195" s="402">
        <f t="shared" si="59"/>
        <v>13.541847739627871</v>
      </c>
      <c r="X195" s="157">
        <f t="shared" si="60"/>
        <v>46203</v>
      </c>
      <c r="Y195" s="385">
        <f t="shared" si="61"/>
        <v>12.848966160534761</v>
      </c>
      <c r="Z195" s="385">
        <f t="shared" si="62"/>
        <v>13.704787377555116</v>
      </c>
      <c r="AA195" s="386">
        <f t="shared" si="63"/>
        <v>14.607298499360967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6.1784944139077737E-2</v>
      </c>
      <c r="AD195" s="231">
        <f>(INDEX(Models!$BJ195:$BT195,,AH195)*(1-AF195)+INDEX(Models!$BJ195:$BT195,,AH195+1)*AF195-ERP_i)*AE195*Ramure*Pc/MaxiM</f>
        <v>2.0170442767718732E-4</v>
      </c>
      <c r="AE195" s="305">
        <f t="shared" si="65"/>
        <v>0.5</v>
      </c>
      <c r="AF195" s="177">
        <f t="shared" si="66"/>
        <v>0.34461277908960053</v>
      </c>
      <c r="AG195" s="811">
        <f t="shared" si="74"/>
        <v>2</v>
      </c>
      <c r="AH195" s="176">
        <f t="shared" si="67"/>
        <v>8</v>
      </c>
      <c r="AI195" s="225">
        <f t="shared" si="68"/>
        <v>2.3446127790896005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'2025'!Wh/'2025'!Env_an*'2026'!Env_an</f>
        <v>48.748152783210564</v>
      </c>
      <c r="C196" s="841"/>
      <c r="D196" s="393">
        <f t="shared" si="50"/>
        <v>51.996222392492321</v>
      </c>
      <c r="E196" s="385">
        <f t="shared" si="75"/>
        <v>52.589932615141585</v>
      </c>
      <c r="F196" s="385">
        <f t="shared" si="51"/>
        <v>52.590730498862804</v>
      </c>
      <c r="G196" s="110">
        <f t="shared" si="76"/>
        <v>0.84482037647404817</v>
      </c>
      <c r="H196" s="414" t="b">
        <f>Wh_hp&gt;='2025'!Maxi_hp</f>
        <v>0</v>
      </c>
      <c r="I196" s="390">
        <f>IF(H196,Wh_hp,'2025'!Maxi_hp)</f>
        <v>60.470455322225597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6.2467415128040993E-2</v>
      </c>
      <c r="M196" s="845"/>
      <c r="N196" s="845"/>
      <c r="O196" s="48">
        <f>IF(t&lt;Tnet,'2025'!Resal+('2025'!Salim-'2025'!Resal)*(1-EXP(('2025'!Tnet-t)/('2025'!Tau_j))),Resal+(Salim-Resal)*(1-EXP((Tnet-t)/(Tau_j))))*Salcycl</f>
        <v>1.1289427331920952E-2</v>
      </c>
      <c r="P196" s="169">
        <f>(INDEX(Models!$BJ196:$BT196,,T196)*(1-R196)+INDEX(Models!$BJ196:$BT196,,T196+1)*R196-ERP_i)*Q196*Ramure*Pc/MaxiM</f>
        <v>1.9492708540186764E-5</v>
      </c>
      <c r="Q196" s="305">
        <f t="shared" si="53"/>
        <v>0.5</v>
      </c>
      <c r="R196" s="177">
        <f t="shared" si="54"/>
        <v>0.82395598023656458</v>
      </c>
      <c r="S196" s="811">
        <f t="shared" si="55"/>
        <v>-2</v>
      </c>
      <c r="T196" s="176">
        <f t="shared" si="56"/>
        <v>4</v>
      </c>
      <c r="U196" s="251">
        <f t="shared" si="57"/>
        <v>-1.1760440197634354</v>
      </c>
      <c r="V196" s="383">
        <f t="shared" si="58"/>
        <v>57.702138217518637</v>
      </c>
      <c r="W196" s="402">
        <f t="shared" si="59"/>
        <v>48.748152783210564</v>
      </c>
      <c r="X196" s="157">
        <f t="shared" si="60"/>
        <v>46204</v>
      </c>
      <c r="Y196" s="385">
        <f t="shared" si="61"/>
        <v>46.248409102598387</v>
      </c>
      <c r="Z196" s="385">
        <f t="shared" si="62"/>
        <v>49.32992180630675</v>
      </c>
      <c r="AA196" s="386">
        <f t="shared" si="63"/>
        <v>52.582100594116369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6.1849541023728555E-2</v>
      </c>
      <c r="AD196" s="231">
        <f>(INDEX(Models!$BJ196:$BT196,,AH196)*(1-AF196)+INDEX(Models!$BJ196:$BT196,,AH196+1)*AF196-ERP_i)*AE196*Ramure*Pc/MaxiM</f>
        <v>2.1083299919307194E-4</v>
      </c>
      <c r="AE196" s="305">
        <f t="shared" si="65"/>
        <v>0.5</v>
      </c>
      <c r="AF196" s="177">
        <f t="shared" si="66"/>
        <v>0.34894354661054328</v>
      </c>
      <c r="AG196" s="811">
        <f t="shared" si="74"/>
        <v>2</v>
      </c>
      <c r="AH196" s="176">
        <f t="shared" si="67"/>
        <v>8</v>
      </c>
      <c r="AI196" s="225">
        <f t="shared" si="68"/>
        <v>2.3489435466105433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'2025'!Wh/'2025'!Env_an*'2026'!Env_an</f>
        <v>54.303442418088203</v>
      </c>
      <c r="C197" s="841"/>
      <c r="D197" s="393">
        <f t="shared" si="50"/>
        <v>57.922927378903779</v>
      </c>
      <c r="E197" s="385">
        <f t="shared" si="75"/>
        <v>58.590094191059372</v>
      </c>
      <c r="F197" s="385">
        <f t="shared" si="51"/>
        <v>58.591154827036711</v>
      </c>
      <c r="G197" s="110">
        <f t="shared" si="76"/>
        <v>0.94257704763112204</v>
      </c>
      <c r="H197" s="414" t="b">
        <f>Wh_hp&gt;='2025'!Maxi_hp</f>
        <v>0</v>
      </c>
      <c r="I197" s="390">
        <f>IF(H197,Wh_hp,'2025'!Maxi_hp)</f>
        <v>58.591211914112371</v>
      </c>
      <c r="J197" s="85">
        <f>IF(H197,An,'2025'!An_max)</f>
        <v>2025</v>
      </c>
      <c r="K197" s="197">
        <f t="shared" si="52"/>
        <v>46205</v>
      </c>
      <c r="L197" s="147">
        <f>IF(t&lt;Tvie,1-EXP((T0-t)*PertePVj)+'2025'!Pspv,1-EXP((T0-t)*PertePVj)+Pspv)</f>
        <v>6.2487949497763706E-2</v>
      </c>
      <c r="M197" s="845"/>
      <c r="N197" s="845"/>
      <c r="O197" s="48">
        <f>IF(t&lt;Tnet,'2025'!Resal+('2025'!Salim-'2025'!Resal)*(1-EXP(('2025'!Tnet-t)/('2025'!Tau_j))),Resal+(Salim-Resal)*(1-EXP((Tnet-t)/(Tau_j))))*Salcycl</f>
        <v>1.1387024058708511E-2</v>
      </c>
      <c r="P197" s="169">
        <f>(INDEX(Models!$BJ197:$BT197,,T197)*(1-R197)+INDEX(Models!$BJ197:$BT197,,T197+1)*R197-ERP_i)*Q197*Ramure*Pc/MaxiM</f>
        <v>1.9719963065038967E-5</v>
      </c>
      <c r="Q197" s="305">
        <f t="shared" si="53"/>
        <v>0.5</v>
      </c>
      <c r="R197" s="177">
        <f t="shared" si="54"/>
        <v>0.82821499554422529</v>
      </c>
      <c r="S197" s="811">
        <f t="shared" si="55"/>
        <v>-2</v>
      </c>
      <c r="T197" s="176">
        <f t="shared" si="56"/>
        <v>4</v>
      </c>
      <c r="U197" s="251">
        <f t="shared" si="57"/>
        <v>-1.1717850044557747</v>
      </c>
      <c r="V197" s="383">
        <f t="shared" si="58"/>
        <v>57.611581683978798</v>
      </c>
      <c r="W197" s="402">
        <f t="shared" si="59"/>
        <v>54.303442418088203</v>
      </c>
      <c r="X197" s="157">
        <f t="shared" si="60"/>
        <v>46205</v>
      </c>
      <c r="Y197" s="385">
        <f t="shared" si="61"/>
        <v>51.518555385403182</v>
      </c>
      <c r="Z197" s="385">
        <f t="shared" si="62"/>
        <v>54.952419393227089</v>
      </c>
      <c r="AA197" s="386">
        <f t="shared" si="63"/>
        <v>58.579246315201296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6.1913171474741943E-2</v>
      </c>
      <c r="AD197" s="231">
        <f>(INDEX(Models!$BJ197:$BT197,,AH197)*(1-AF197)+INDEX(Models!$BJ197:$BT197,,AH197+1)*AF197-ERP_i)*AE197*Ramure*Pc/MaxiM</f>
        <v>2.2141000170700762E-4</v>
      </c>
      <c r="AE197" s="305">
        <f t="shared" si="65"/>
        <v>0.5</v>
      </c>
      <c r="AF197" s="177">
        <f t="shared" si="66"/>
        <v>0.35320256191820398</v>
      </c>
      <c r="AG197" s="811">
        <f t="shared" si="74"/>
        <v>2</v>
      </c>
      <c r="AH197" s="176">
        <f t="shared" si="67"/>
        <v>8</v>
      </c>
      <c r="AI197" s="225">
        <f t="shared" si="68"/>
        <v>2.353202561918204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'2025'!Wh/'2025'!Env_an*'2026'!Env_an</f>
        <v>45.249085643331306</v>
      </c>
      <c r="C198" s="841"/>
      <c r="D198" s="393">
        <f t="shared" si="50"/>
        <v>48.266128112062226</v>
      </c>
      <c r="E198" s="385">
        <f t="shared" si="75"/>
        <v>48.826875889568377</v>
      </c>
      <c r="F198" s="385">
        <f t="shared" si="51"/>
        <v>48.82756043647376</v>
      </c>
      <c r="G198" s="110">
        <f t="shared" si="76"/>
        <v>0.78667326375057189</v>
      </c>
      <c r="H198" s="414" t="b">
        <f>Wh_hp&gt;='2025'!Maxi_hp</f>
        <v>0</v>
      </c>
      <c r="I198" s="390">
        <f>IF(H198,Wh_hp,'2025'!Maxi_hp)</f>
        <v>53.763656051916264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6.2508483417730965E-2</v>
      </c>
      <c r="M198" s="845"/>
      <c r="N198" s="845"/>
      <c r="O198" s="48">
        <f>IF(t&lt;Tnet,'2025'!Resal+('2025'!Salim-'2025'!Resal)*(1-EXP(('2025'!Tnet-t)/('2025'!Tau_j))),Resal+(Salim-Resal)*(1-EXP((Tnet-t)/(Tau_j))))*Salcycl</f>
        <v>1.1484408274950729E-2</v>
      </c>
      <c r="P198" s="169">
        <f>(INDEX(Models!$BJ198:$BT198,,T198)*(1-R198)+INDEX(Models!$BJ198:$BT198,,T198+1)*R198-ERP_i)*Q198*Ramure*Pc/MaxiM</f>
        <v>2.0164823410101088E-5</v>
      </c>
      <c r="Q198" s="305">
        <f t="shared" si="53"/>
        <v>0.5</v>
      </c>
      <c r="R198" s="177">
        <f t="shared" si="54"/>
        <v>0.83240052131152176</v>
      </c>
      <c r="S198" s="811">
        <f t="shared" si="55"/>
        <v>-2</v>
      </c>
      <c r="T198" s="176">
        <f t="shared" si="56"/>
        <v>4</v>
      </c>
      <c r="U198" s="251">
        <f t="shared" si="57"/>
        <v>-1.1675994786884782</v>
      </c>
      <c r="V198" s="383">
        <f t="shared" si="58"/>
        <v>57.519188286259727</v>
      </c>
      <c r="W198" s="402">
        <f t="shared" si="59"/>
        <v>45.249085643331306</v>
      </c>
      <c r="X198" s="157">
        <f t="shared" si="60"/>
        <v>46206</v>
      </c>
      <c r="Y198" s="385">
        <f t="shared" si="61"/>
        <v>42.931448307318178</v>
      </c>
      <c r="Z198" s="385">
        <f t="shared" si="62"/>
        <v>45.793959249710987</v>
      </c>
      <c r="AA198" s="386">
        <f t="shared" si="63"/>
        <v>48.819595396999674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6.1975854627312955E-2</v>
      </c>
      <c r="AD198" s="231">
        <f>(INDEX(Models!$BJ198:$BT198,,AH198)*(1-AF198)+INDEX(Models!$BJ198:$BT198,,AH198+1)*AF198-ERP_i)*AE198*Ramure*Pc/MaxiM</f>
        <v>2.3462762476308843E-4</v>
      </c>
      <c r="AE198" s="305">
        <f t="shared" si="65"/>
        <v>0.5</v>
      </c>
      <c r="AF198" s="177">
        <f t="shared" si="66"/>
        <v>0.35738808768550046</v>
      </c>
      <c r="AG198" s="811">
        <f t="shared" si="74"/>
        <v>2</v>
      </c>
      <c r="AH198" s="176">
        <f t="shared" si="67"/>
        <v>8</v>
      </c>
      <c r="AI198" s="225">
        <f t="shared" si="68"/>
        <v>2.3573880876855005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'2025'!Wh/'2025'!Env_an*'2026'!Env_an</f>
        <v>42.940151116555185</v>
      </c>
      <c r="C199" s="841"/>
      <c r="D199" s="393">
        <f t="shared" si="50"/>
        <v>45.804245560764137</v>
      </c>
      <c r="E199" s="385">
        <f t="shared" si="75"/>
        <v>46.340946949294981</v>
      </c>
      <c r="F199" s="385">
        <f t="shared" si="51"/>
        <v>46.341564627088275</v>
      </c>
      <c r="G199" s="110">
        <f t="shared" si="76"/>
        <v>0.74775550740305829</v>
      </c>
      <c r="H199" s="414" t="b">
        <f>Wh_hp&gt;='2025'!Maxi_hp</f>
        <v>0</v>
      </c>
      <c r="I199" s="390">
        <f>IF(H199,Wh_hp,'2025'!Maxi_hp)</f>
        <v>58.995697367701958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6.2529016887952649E-2</v>
      </c>
      <c r="M199" s="845"/>
      <c r="N199" s="845"/>
      <c r="O199" s="48">
        <f>IF(t&lt;Tnet,'2025'!Resal+('2025'!Salim-'2025'!Resal)*(1-EXP(('2025'!Tnet-t)/('2025'!Tau_j))),Resal+(Salim-Resal)*(1-EXP((Tnet-t)/(Tau_j))))*Salcycl</f>
        <v>1.1581580089808944E-2</v>
      </c>
      <c r="P199" s="169">
        <f>(INDEX(Models!$BJ199:$BT199,,T199)*(1-R199)+INDEX(Models!$BJ199:$BT199,,T199+1)*R199-ERP_i)*Q199*Ramure*Pc/MaxiM</f>
        <v>2.0837372376683237E-5</v>
      </c>
      <c r="Q199" s="305">
        <f t="shared" si="53"/>
        <v>0.5</v>
      </c>
      <c r="R199" s="177">
        <f t="shared" si="54"/>
        <v>0.83651100153547864</v>
      </c>
      <c r="S199" s="811">
        <f t="shared" si="55"/>
        <v>-2</v>
      </c>
      <c r="T199" s="176">
        <f t="shared" si="56"/>
        <v>4</v>
      </c>
      <c r="U199" s="251">
        <f t="shared" si="57"/>
        <v>-1.1634889984645214</v>
      </c>
      <c r="V199" s="383">
        <f t="shared" si="58"/>
        <v>57.424958115622118</v>
      </c>
      <c r="W199" s="402">
        <f t="shared" si="59"/>
        <v>42.940151116555185</v>
      </c>
      <c r="X199" s="157">
        <f t="shared" si="60"/>
        <v>46207</v>
      </c>
      <c r="Y199" s="385">
        <f t="shared" si="61"/>
        <v>40.742192299481594</v>
      </c>
      <c r="Z199" s="385">
        <f t="shared" si="62"/>
        <v>43.459683588534126</v>
      </c>
      <c r="AA199" s="386">
        <f t="shared" si="63"/>
        <v>46.334143163954401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6.203761155675059E-2</v>
      </c>
      <c r="AD199" s="231">
        <f>(INDEX(Models!$BJ199:$BT199,,AH199)*(1-AF199)+INDEX(Models!$BJ199:$BT199,,AH199+1)*AF199-ERP_i)*AE199*Ramure*Pc/MaxiM</f>
        <v>2.503632032434077E-4</v>
      </c>
      <c r="AE199" s="305">
        <f t="shared" si="65"/>
        <v>0.5</v>
      </c>
      <c r="AF199" s="177">
        <f t="shared" si="66"/>
        <v>0.36149856790945778</v>
      </c>
      <c r="AG199" s="811">
        <f t="shared" si="74"/>
        <v>2</v>
      </c>
      <c r="AH199" s="176">
        <f t="shared" si="67"/>
        <v>8</v>
      </c>
      <c r="AI199" s="225">
        <f t="shared" si="68"/>
        <v>2.3614985679094578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'2025'!Wh/'2025'!Env_an*'2026'!Env_an</f>
        <v>53.800378994680628</v>
      </c>
      <c r="C200" s="841"/>
      <c r="D200" s="393">
        <f t="shared" si="50"/>
        <v>57.390104180360588</v>
      </c>
      <c r="E200" s="385">
        <f t="shared" si="75"/>
        <v>58.068256643026764</v>
      </c>
      <c r="F200" s="385">
        <f t="shared" si="51"/>
        <v>58.069408211505795</v>
      </c>
      <c r="G200" s="110">
        <f t="shared" si="76"/>
        <v>0.93844961422973205</v>
      </c>
      <c r="H200" s="414" t="b">
        <f>Wh_hp&gt;='2025'!Maxi_hp</f>
        <v>0</v>
      </c>
      <c r="I200" s="390">
        <f>IF(H200,Wh_hp,'2025'!Maxi_hp)</f>
        <v>61.322232788721351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6.254954990843864E-2</v>
      </c>
      <c r="M200" s="845"/>
      <c r="N200" s="845"/>
      <c r="O200" s="48">
        <f>IF(t&lt;Tnet,'2025'!Resal+('2025'!Salim-'2025'!Resal)*(1-EXP(('2025'!Tnet-t)/('2025'!Tau_j))),Resal+(Salim-Resal)*(1-EXP((Tnet-t)/(Tau_j))))*Salcycl</f>
        <v>1.1678540081461401E-2</v>
      </c>
      <c r="P200" s="169">
        <f>(INDEX(Models!$BJ200:$BT200,,T200)*(1-R200)+INDEX(Models!$BJ200:$BT200,,T200+1)*R200-ERP_i)*Q200*Ramure*Pc/MaxiM</f>
        <v>2.1742654226963629E-5</v>
      </c>
      <c r="Q200" s="305">
        <f t="shared" si="53"/>
        <v>0.5</v>
      </c>
      <c r="R200" s="177">
        <f t="shared" si="54"/>
        <v>0.8405450598954527</v>
      </c>
      <c r="S200" s="811">
        <f t="shared" si="55"/>
        <v>-2</v>
      </c>
      <c r="T200" s="176">
        <f t="shared" si="56"/>
        <v>4</v>
      </c>
      <c r="U200" s="251">
        <f t="shared" si="57"/>
        <v>-1.1594549401045473</v>
      </c>
      <c r="V200" s="383">
        <f t="shared" si="58"/>
        <v>57.328891528779842</v>
      </c>
      <c r="W200" s="402">
        <f t="shared" si="59"/>
        <v>53.800378994680628</v>
      </c>
      <c r="X200" s="157">
        <f t="shared" si="60"/>
        <v>46208</v>
      </c>
      <c r="Y200" s="385">
        <f t="shared" si="61"/>
        <v>51.044216693773926</v>
      </c>
      <c r="Z200" s="385">
        <f t="shared" si="62"/>
        <v>54.450042334278471</v>
      </c>
      <c r="AA200" s="386">
        <f t="shared" si="63"/>
        <v>58.055179897816494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6.2098465113422457E-2</v>
      </c>
      <c r="AD200" s="231">
        <f>(INDEX(Models!$BJ200:$BT200,,AH200)*(1-AF200)+INDEX(Models!$BJ200:$BT200,,AH200+1)*AF200-ERP_i)*AE200*Ramure*Pc/MaxiM</f>
        <v>2.686434288657779E-4</v>
      </c>
      <c r="AE200" s="305">
        <f t="shared" si="65"/>
        <v>0.5</v>
      </c>
      <c r="AF200" s="177">
        <f t="shared" si="66"/>
        <v>0.36553262626943139</v>
      </c>
      <c r="AG200" s="811">
        <f t="shared" si="74"/>
        <v>2</v>
      </c>
      <c r="AH200" s="176">
        <f t="shared" si="67"/>
        <v>8</v>
      </c>
      <c r="AI200" s="225">
        <f t="shared" si="68"/>
        <v>2.3655326262694314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'2025'!Wh/'2025'!Env_an*'2026'!Env_an</f>
        <v>46.201464178085736</v>
      </c>
      <c r="C201" s="841"/>
      <c r="D201" s="393">
        <f t="shared" si="50"/>
        <v>49.2852460910077</v>
      </c>
      <c r="E201" s="385">
        <f t="shared" si="75"/>
        <v>49.872509315104494</v>
      </c>
      <c r="F201" s="385">
        <f t="shared" si="51"/>
        <v>49.873336456424688</v>
      </c>
      <c r="G201" s="110">
        <f t="shared" si="76"/>
        <v>0.80727546360293545</v>
      </c>
      <c r="H201" s="414" t="b">
        <f>Wh_hp&gt;='2025'!Maxi_hp</f>
        <v>0</v>
      </c>
      <c r="I201" s="390">
        <f>IF(H201,Wh_hp,'2025'!Maxi_hp)</f>
        <v>60.73746121896113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6.2570082479198819E-2</v>
      </c>
      <c r="M201" s="845"/>
      <c r="N201" s="845"/>
      <c r="O201" s="48">
        <f>IF(t&lt;Tnet,'2025'!Resal+('2025'!Salim-'2025'!Resal)*(1-EXP(('2025'!Tnet-t)/('2025'!Tau_j))),Resal+(Salim-Resal)*(1-EXP((Tnet-t)/(Tau_j))))*Salcycl</f>
        <v>1.1775289275828304E-2</v>
      </c>
      <c r="P201" s="169">
        <f>(INDEX(Models!$BJ201:$BT201,,T201)*(1-R201)+INDEX(Models!$BJ201:$BT201,,T201+1)*R201-ERP_i)*Q201*Ramure*Pc/MaxiM</f>
        <v>2.288553780540051E-5</v>
      </c>
      <c r="Q201" s="305">
        <f t="shared" si="53"/>
        <v>0.5</v>
      </c>
      <c r="R201" s="177">
        <f t="shared" si="54"/>
        <v>0.84450149735657876</v>
      </c>
      <c r="S201" s="811">
        <f t="shared" si="55"/>
        <v>-2</v>
      </c>
      <c r="T201" s="176">
        <f t="shared" si="56"/>
        <v>4</v>
      </c>
      <c r="U201" s="251">
        <f t="shared" si="57"/>
        <v>-1.1554985026434212</v>
      </c>
      <c r="V201" s="383">
        <f t="shared" si="58"/>
        <v>57.230988869162431</v>
      </c>
      <c r="W201" s="402">
        <f t="shared" si="59"/>
        <v>46.201464178085736</v>
      </c>
      <c r="X201" s="157">
        <f t="shared" si="60"/>
        <v>46209</v>
      </c>
      <c r="Y201" s="385">
        <f t="shared" si="61"/>
        <v>43.837480512781831</v>
      </c>
      <c r="Z201" s="385">
        <f t="shared" si="62"/>
        <v>46.763475000582211</v>
      </c>
      <c r="AA201" s="386">
        <f t="shared" si="63"/>
        <v>49.862873413433817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6.2158439750417231E-2</v>
      </c>
      <c r="AD201" s="231">
        <f>(INDEX(Models!$BJ201:$BT201,,AH201)*(1-AF201)+INDEX(Models!$BJ201:$BT201,,AH201+1)*AF201-ERP_i)*AE201*Ramure*Pc/MaxiM</f>
        <v>2.8949389914607334E-4</v>
      </c>
      <c r="AE201" s="305">
        <f t="shared" si="65"/>
        <v>0.5</v>
      </c>
      <c r="AF201" s="177">
        <f t="shared" si="66"/>
        <v>0.36948906373055745</v>
      </c>
      <c r="AG201" s="811">
        <f t="shared" si="74"/>
        <v>2</v>
      </c>
      <c r="AH201" s="176">
        <f t="shared" si="67"/>
        <v>8</v>
      </c>
      <c r="AI201" s="225">
        <f t="shared" si="68"/>
        <v>2.3694890637305575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'2025'!Wh/'2025'!Env_an*'2026'!Env_an</f>
        <v>53.063168776154676</v>
      </c>
      <c r="C202" s="841"/>
      <c r="D202" s="393">
        <f t="shared" si="50"/>
        <v>56.606184664479279</v>
      </c>
      <c r="E202" s="385">
        <f t="shared" si="75"/>
        <v>57.286277562777634</v>
      </c>
      <c r="F202" s="385">
        <f t="shared" si="51"/>
        <v>57.287526536103798</v>
      </c>
      <c r="G202" s="110">
        <f t="shared" si="76"/>
        <v>0.92879181417224932</v>
      </c>
      <c r="H202" s="414" t="b">
        <f>Wh_hp&gt;='2025'!Maxi_hp</f>
        <v>0</v>
      </c>
      <c r="I202" s="390">
        <f>IF(H202,Wh_hp,'2025'!Maxi_hp)</f>
        <v>57.287609724929979</v>
      </c>
      <c r="J202" s="85">
        <f>IF(H202,An,'2025'!An_max)</f>
        <v>2025</v>
      </c>
      <c r="K202" s="197">
        <f t="shared" si="52"/>
        <v>46210</v>
      </c>
      <c r="L202" s="147">
        <f>IF(t&lt;Tvie,1-EXP((T0-t)*PertePVj)+'2025'!Pspv,1-EXP((T0-t)*PertePVj)+Pspv)</f>
        <v>6.2590614600242955E-2</v>
      </c>
      <c r="M202" s="845"/>
      <c r="N202" s="845"/>
      <c r="O202" s="48">
        <f>IF(t&lt;Tnet,'2025'!Resal+('2025'!Salim-'2025'!Resal)*(1-EXP(('2025'!Tnet-t)/('2025'!Tau_j))),Resal+(Salim-Resal)*(1-EXP((Tnet-t)/(Tau_j))))*Salcycl</f>
        <v>1.1871829122656229E-2</v>
      </c>
      <c r="P202" s="169">
        <f>(INDEX(Models!$BJ202:$BT202,,T202)*(1-R202)+INDEX(Models!$BJ202:$BT202,,T202+1)*R202-ERP_i)*Q202*Ramure*Pc/MaxiM</f>
        <v>2.4270720496401818E-5</v>
      </c>
      <c r="Q202" s="305">
        <f t="shared" si="53"/>
        <v>0.5</v>
      </c>
      <c r="R202" s="177">
        <f t="shared" si="54"/>
        <v>0.84837928907161819</v>
      </c>
      <c r="S202" s="811">
        <f t="shared" si="55"/>
        <v>-2</v>
      </c>
      <c r="T202" s="176">
        <f t="shared" si="56"/>
        <v>4</v>
      </c>
      <c r="U202" s="251">
        <f t="shared" si="57"/>
        <v>-1.1516207109283818</v>
      </c>
      <c r="V202" s="383">
        <f t="shared" si="58"/>
        <v>57.131250466302731</v>
      </c>
      <c r="W202" s="402">
        <f t="shared" si="59"/>
        <v>53.063168776154676</v>
      </c>
      <c r="X202" s="157">
        <f t="shared" si="60"/>
        <v>46210</v>
      </c>
      <c r="Y202" s="385">
        <f t="shared" si="61"/>
        <v>50.34650926332246</v>
      </c>
      <c r="Z202" s="385">
        <f t="shared" si="62"/>
        <v>53.708134404748094</v>
      </c>
      <c r="AA202" s="386">
        <f t="shared" si="63"/>
        <v>57.271422657255293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6.2217561345244365E-2</v>
      </c>
      <c r="AD202" s="231">
        <f>(INDEX(Models!$BJ202:$BT202,,AH202)*(1-AF202)+INDEX(Models!$BJ202:$BT202,,AH202+1)*AF202-ERP_i)*AE202*Ramure*Pc/MaxiM</f>
        <v>3.1293922316142102E-4</v>
      </c>
      <c r="AE202" s="305">
        <f t="shared" si="65"/>
        <v>0.5</v>
      </c>
      <c r="AF202" s="177">
        <f t="shared" si="66"/>
        <v>0.37336685544559733</v>
      </c>
      <c r="AG202" s="811">
        <f t="shared" si="74"/>
        <v>2</v>
      </c>
      <c r="AH202" s="176">
        <f t="shared" si="67"/>
        <v>8</v>
      </c>
      <c r="AI202" s="225">
        <f t="shared" si="68"/>
        <v>2.3733668554455973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'2025'!Wh/'2025'!Env_an*'2026'!Env_an</f>
        <v>55.804664177891055</v>
      </c>
      <c r="C203" s="841"/>
      <c r="D203" s="393">
        <f t="shared" si="50"/>
        <v>59.532033004159047</v>
      </c>
      <c r="E203" s="385">
        <f t="shared" si="75"/>
        <v>60.253152461849474</v>
      </c>
      <c r="F203" s="385">
        <f t="shared" si="51"/>
        <v>60.254665328762115</v>
      </c>
      <c r="G203" s="110">
        <f t="shared" si="76"/>
        <v>0.9785189590141925</v>
      </c>
      <c r="H203" s="414" t="b">
        <f>Wh_hp&gt;='2025'!Maxi_hp</f>
        <v>0</v>
      </c>
      <c r="I203" s="390">
        <f>IF(H203,Wh_hp,'2025'!Maxi_hp)</f>
        <v>63.132463716134929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6.2611146271581042E-2</v>
      </c>
      <c r="M203" s="845"/>
      <c r="N203" s="845"/>
      <c r="O203" s="48">
        <f>IF(t&lt;Tnet,'2025'!Resal+('2025'!Salim-'2025'!Resal)*(1-EXP(('2025'!Tnet-t)/('2025'!Tau_j))),Resal+(Salim-Resal)*(1-EXP((Tnet-t)/(Tau_j))))*Salcycl</f>
        <v>1.1968161469178219E-2</v>
      </c>
      <c r="P203" s="169">
        <f>(INDEX(Models!$BJ203:$BT203,,T203)*(1-R203)+INDEX(Models!$BJ203:$BT203,,T203+1)*R203-ERP_i)*Q203*Ramure*Pc/MaxiM</f>
        <v>2.5902733726972243E-5</v>
      </c>
      <c r="Q203" s="305">
        <f t="shared" si="53"/>
        <v>0.5</v>
      </c>
      <c r="R203" s="177">
        <f t="shared" si="54"/>
        <v>0.85217758063722071</v>
      </c>
      <c r="S203" s="811">
        <f t="shared" si="55"/>
        <v>-2</v>
      </c>
      <c r="T203" s="176">
        <f t="shared" si="56"/>
        <v>4</v>
      </c>
      <c r="U203" s="251">
        <f t="shared" si="57"/>
        <v>-1.1478224193627793</v>
      </c>
      <c r="V203" s="383">
        <f t="shared" si="58"/>
        <v>57.029676641582888</v>
      </c>
      <c r="W203" s="402">
        <f t="shared" si="59"/>
        <v>55.804664177891055</v>
      </c>
      <c r="X203" s="157">
        <f t="shared" si="60"/>
        <v>46211</v>
      </c>
      <c r="Y203" s="385">
        <f t="shared" si="61"/>
        <v>52.947179304681789</v>
      </c>
      <c r="Z203" s="385">
        <f t="shared" si="62"/>
        <v>56.483687739711151</v>
      </c>
      <c r="AA203" s="386">
        <f t="shared" si="63"/>
        <v>60.234865618396206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6.2275857016927012E-2</v>
      </c>
      <c r="AD203" s="231">
        <f>(INDEX(Models!$BJ203:$BT203,,AH203)*(1-AF203)+INDEX(Models!$BJ203:$BT203,,AH203+1)*AF203-ERP_i)*AE203*Ramure*Pc/MaxiM</f>
        <v>3.3900313450816729E-4</v>
      </c>
      <c r="AE203" s="305">
        <f t="shared" si="65"/>
        <v>0.5</v>
      </c>
      <c r="AF203" s="177">
        <f t="shared" si="66"/>
        <v>0.37716514701119941</v>
      </c>
      <c r="AG203" s="811">
        <f t="shared" si="74"/>
        <v>2</v>
      </c>
      <c r="AH203" s="176">
        <f t="shared" si="67"/>
        <v>8</v>
      </c>
      <c r="AI203" s="225">
        <f t="shared" si="68"/>
        <v>2.3771651470111994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'2025'!Wh/'2025'!Env_an*'2026'!Env_an</f>
        <v>55.084760489590856</v>
      </c>
      <c r="C204" s="841"/>
      <c r="D204" s="393">
        <f t="shared" si="50"/>
        <v>58.765331798581862</v>
      </c>
      <c r="E204" s="385">
        <f t="shared" si="75"/>
        <v>59.482951285601636</v>
      </c>
      <c r="F204" s="385">
        <f t="shared" si="51"/>
        <v>59.484527737547957</v>
      </c>
      <c r="G204" s="110">
        <f t="shared" si="76"/>
        <v>0.96764976831909599</v>
      </c>
      <c r="H204" s="414" t="b">
        <f>Wh_hp&gt;='2025'!Maxi_hp</f>
        <v>0</v>
      </c>
      <c r="I204" s="390">
        <f>IF(H204,Wh_hp,'2025'!Maxi_hp)</f>
        <v>60.536567302517156</v>
      </c>
      <c r="J204" s="85">
        <f>IF(H204,An,'2025'!An_max)</f>
        <v>2020</v>
      </c>
      <c r="K204" s="197">
        <f t="shared" si="52"/>
        <v>46212</v>
      </c>
      <c r="L204" s="147">
        <f>IF(t&lt;Tvie,1-EXP((T0-t)*PertePVj)+'2025'!Pspv,1-EXP((T0-t)*PertePVj)+Pspv)</f>
        <v>6.2631677493222737E-2</v>
      </c>
      <c r="M204" s="845"/>
      <c r="N204" s="845"/>
      <c r="O204" s="48">
        <f>IF(t&lt;Tnet,'2025'!Resal+('2025'!Salim-'2025'!Resal)*(1-EXP(('2025'!Tnet-t)/('2025'!Tau_j))),Resal+(Salim-Resal)*(1-EXP((Tnet-t)/(Tau_j))))*Salcycl</f>
        <v>1.2064288531586059E-2</v>
      </c>
      <c r="P204" s="169">
        <f>(INDEX(Models!$BJ204:$BT204,,T204)*(1-R204)+INDEX(Models!$BJ204:$BT204,,T204+1)*R204-ERP_i)*Q204*Ramure*Pc/MaxiM</f>
        <v>2.7785949892536996E-5</v>
      </c>
      <c r="Q204" s="305">
        <f t="shared" si="53"/>
        <v>0.5</v>
      </c>
      <c r="R204" s="177">
        <f t="shared" si="54"/>
        <v>0.85589568376267278</v>
      </c>
      <c r="S204" s="811">
        <f t="shared" si="55"/>
        <v>-2</v>
      </c>
      <c r="T204" s="176">
        <f t="shared" si="56"/>
        <v>4</v>
      </c>
      <c r="U204" s="251">
        <f t="shared" si="57"/>
        <v>-1.1441043162373272</v>
      </c>
      <c r="V204" s="383">
        <f t="shared" si="58"/>
        <v>56.926267704111673</v>
      </c>
      <c r="W204" s="402">
        <f t="shared" si="59"/>
        <v>55.084760489590856</v>
      </c>
      <c r="X204" s="157">
        <f t="shared" si="60"/>
        <v>46212</v>
      </c>
      <c r="Y204" s="385">
        <f t="shared" si="61"/>
        <v>52.264935361964532</v>
      </c>
      <c r="Z204" s="385">
        <f t="shared" si="62"/>
        <v>55.757095804340722</v>
      </c>
      <c r="AA204" s="386">
        <f t="shared" si="63"/>
        <v>59.463665576762729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6.2333354939868746E-2</v>
      </c>
      <c r="AD204" s="231">
        <f>(INDEX(Models!$BJ204:$BT204,,AH204)*(1-AF204)+INDEX(Models!$BJ204:$BT204,,AH204+1)*AF204-ERP_i)*AE204*Ramure*Pc/MaxiM</f>
        <v>3.6770861020044644E-4</v>
      </c>
      <c r="AE204" s="305">
        <f t="shared" si="65"/>
        <v>0.5</v>
      </c>
      <c r="AF204" s="177">
        <f t="shared" si="66"/>
        <v>0.3808832501366517</v>
      </c>
      <c r="AG204" s="811">
        <f t="shared" si="74"/>
        <v>2</v>
      </c>
      <c r="AH204" s="176">
        <f t="shared" si="67"/>
        <v>8</v>
      </c>
      <c r="AI204" s="225">
        <f t="shared" si="68"/>
        <v>2.3808832501366517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'2025'!Wh/'2025'!Env_an*'2026'!Env_an</f>
        <v>54.382846456131361</v>
      </c>
      <c r="C205" s="841"/>
      <c r="D205" s="393">
        <f t="shared" si="50"/>
        <v>58.017789059363785</v>
      </c>
      <c r="E205" s="385">
        <f t="shared" si="75"/>
        <v>58.731982468134433</v>
      </c>
      <c r="F205" s="385">
        <f t="shared" si="51"/>
        <v>58.733632324307699</v>
      </c>
      <c r="G205" s="110">
        <f t="shared" si="76"/>
        <v>0.95709209487102009</v>
      </c>
      <c r="H205" s="414" t="b">
        <f>Wh_hp&gt;='2025'!Maxi_hp</f>
        <v>0</v>
      </c>
      <c r="I205" s="390">
        <f>IF(H205,Wh_hp,'2025'!Maxi_hp)</f>
        <v>59.982897259607313</v>
      </c>
      <c r="J205" s="85">
        <f>IF(H205,An,'2025'!An_max)</f>
        <v>2019</v>
      </c>
      <c r="K205" s="197">
        <f t="shared" si="52"/>
        <v>46213</v>
      </c>
      <c r="L205" s="147">
        <f>IF(t&lt;Tvie,1-EXP((T0-t)*PertePVj)+'2025'!Pspv,1-EXP((T0-t)*PertePVj)+Pspv)</f>
        <v>6.2652208265178033E-2</v>
      </c>
      <c r="M205" s="845"/>
      <c r="N205" s="845"/>
      <c r="O205" s="48">
        <f>IF(t&lt;Tnet,'2025'!Resal+('2025'!Salim-'2025'!Resal)*(1-EXP(('2025'!Tnet-t)/('2025'!Tau_j))),Resal+(Salim-Resal)*(1-EXP((Tnet-t)/(Tau_j))))*Salcycl</f>
        <v>1.2160212864568885E-2</v>
      </c>
      <c r="P205" s="169">
        <f>(INDEX(Models!$BJ205:$BT205,,T205)*(1-R205)+INDEX(Models!$BJ205:$BT205,,T205+1)*R205-ERP_i)*Q205*Ramure*Pc/MaxiM</f>
        <v>2.9924703991668749E-5</v>
      </c>
      <c r="Q205" s="305">
        <f t="shared" si="53"/>
        <v>0.5</v>
      </c>
      <c r="R205" s="177">
        <f t="shared" si="54"/>
        <v>0.85953307141050139</v>
      </c>
      <c r="S205" s="811">
        <f t="shared" si="55"/>
        <v>-2</v>
      </c>
      <c r="T205" s="176">
        <f t="shared" si="56"/>
        <v>4</v>
      </c>
      <c r="U205" s="251">
        <f t="shared" si="57"/>
        <v>-1.1404669285894986</v>
      </c>
      <c r="V205" s="383">
        <f t="shared" si="58"/>
        <v>56.820808566564295</v>
      </c>
      <c r="W205" s="402">
        <f t="shared" si="59"/>
        <v>54.382846456131361</v>
      </c>
      <c r="X205" s="157">
        <f t="shared" si="60"/>
        <v>46213</v>
      </c>
      <c r="Y205" s="385">
        <f t="shared" si="61"/>
        <v>51.599689390920481</v>
      </c>
      <c r="Z205" s="385">
        <f t="shared" si="62"/>
        <v>55.048606126676788</v>
      </c>
      <c r="AA205" s="386">
        <f t="shared" si="63"/>
        <v>58.711629640901883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6.2390084155886275E-2</v>
      </c>
      <c r="AD205" s="231">
        <f>(INDEX(Models!$BJ205:$BT205,,AH205)*(1-AF205)+INDEX(Models!$BJ205:$BT205,,AH205+1)*AF205-ERP_i)*AE205*Ramure*Pc/MaxiM</f>
        <v>3.9907950681483017E-4</v>
      </c>
      <c r="AE205" s="305">
        <f t="shared" si="65"/>
        <v>0.5</v>
      </c>
      <c r="AF205" s="177">
        <f t="shared" si="66"/>
        <v>0.38452063778448053</v>
      </c>
      <c r="AG205" s="811">
        <f t="shared" si="74"/>
        <v>2</v>
      </c>
      <c r="AH205" s="176">
        <f t="shared" si="67"/>
        <v>8</v>
      </c>
      <c r="AI205" s="225">
        <f t="shared" si="68"/>
        <v>2.3845206377844805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'2025'!Wh/'2025'!Env_an*'2026'!Env_an</f>
        <v>52.943375952365272</v>
      </c>
      <c r="C206" s="841"/>
      <c r="D206" s="393">
        <f t="shared" si="50"/>
        <v>56.483341658686108</v>
      </c>
      <c r="E206" s="385">
        <f t="shared" si="75"/>
        <v>57.184187476620046</v>
      </c>
      <c r="F206" s="385">
        <f t="shared" si="51"/>
        <v>57.185866940781537</v>
      </c>
      <c r="G206" s="110">
        <f t="shared" si="76"/>
        <v>0.93352633470445012</v>
      </c>
      <c r="H206" s="414" t="b">
        <f>Wh_hp&gt;='2025'!Maxi_hp</f>
        <v>0</v>
      </c>
      <c r="I206" s="390">
        <f>IF(H206,Wh_hp,'2025'!Maxi_hp)</f>
        <v>61.452728703103304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6.26727385874567E-2</v>
      </c>
      <c r="M206" s="845"/>
      <c r="N206" s="845"/>
      <c r="O206" s="48">
        <f>IF(t&lt;Tnet,'2025'!Resal+('2025'!Salim-'2025'!Resal)*(1-EXP(('2025'!Tnet-t)/('2025'!Tau_j))),Resal+(Salim-Resal)*(1-EXP((Tnet-t)/(Tau_j))))*Salcycl</f>
        <v>1.2255937329187085E-2</v>
      </c>
      <c r="P206" s="169">
        <f>(INDEX(Models!$BJ206:$BT206,,T206)*(1-R206)+INDEX(Models!$BJ206:$BT206,,T206+1)*R206-ERP_i)*Q206*Ramure*Pc/MaxiM</f>
        <v>3.2449904784194168E-5</v>
      </c>
      <c r="Q206" s="305">
        <f t="shared" si="53"/>
        <v>0.5</v>
      </c>
      <c r="R206" s="177">
        <f t="shared" si="54"/>
        <v>0.86308937246886575</v>
      </c>
      <c r="S206" s="811">
        <f t="shared" si="55"/>
        <v>-2</v>
      </c>
      <c r="T206" s="176">
        <f t="shared" si="56"/>
        <v>4</v>
      </c>
      <c r="U206" s="251">
        <f t="shared" si="57"/>
        <v>-1.1369106275311343</v>
      </c>
      <c r="V206" s="383">
        <f t="shared" si="58"/>
        <v>56.71314331514337</v>
      </c>
      <c r="W206" s="402">
        <f t="shared" si="59"/>
        <v>52.943375952365272</v>
      </c>
      <c r="X206" s="157">
        <f t="shared" si="60"/>
        <v>46214</v>
      </c>
      <c r="Y206" s="385">
        <f t="shared" si="61"/>
        <v>50.235035033474283</v>
      </c>
      <c r="Z206" s="385">
        <f t="shared" si="62"/>
        <v>53.59391228819117</v>
      </c>
      <c r="AA206" s="386">
        <f t="shared" si="63"/>
        <v>57.163551689126869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6.2446074385799286E-2</v>
      </c>
      <c r="AD206" s="231">
        <f>(INDEX(Models!$BJ206:$BT206,,AH206)*(1-AF206)+INDEX(Models!$BJ206:$BT206,,AH206+1)*AF206-ERP_i)*AE206*Ramure*Pc/MaxiM</f>
        <v>4.3116596830978854E-4</v>
      </c>
      <c r="AE206" s="305">
        <f t="shared" si="65"/>
        <v>0.5</v>
      </c>
      <c r="AF206" s="177">
        <f t="shared" si="66"/>
        <v>0.38807693884284467</v>
      </c>
      <c r="AG206" s="811">
        <f t="shared" si="74"/>
        <v>2</v>
      </c>
      <c r="AH206" s="176">
        <f t="shared" si="67"/>
        <v>8</v>
      </c>
      <c r="AI206" s="225">
        <f t="shared" si="68"/>
        <v>2.3880769388428447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'2025'!Wh/'2025'!Env_an*'2026'!Env_an</f>
        <v>53.038981096031812</v>
      </c>
      <c r="C207" s="841"/>
      <c r="D207" s="393">
        <f t="shared" ref="D207:D270" si="77">Wh/(1-Ppv)</f>
        <v>56.586578663414016</v>
      </c>
      <c r="E207" s="385">
        <f t="shared" si="75"/>
        <v>57.294246547751101</v>
      </c>
      <c r="F207" s="385">
        <f t="shared" ref="F207:F270" si="78">Wh_sa/(1-Pvg*MEDIAN((-Sdif+Wh/Env_an)/Csdif,0,1))</f>
        <v>57.296089425079295</v>
      </c>
      <c r="G207" s="110">
        <f t="shared" si="76"/>
        <v>0.93702565066567312</v>
      </c>
      <c r="H207" s="414" t="b">
        <f>Wh_hp&gt;='2025'!Maxi_hp</f>
        <v>0</v>
      </c>
      <c r="I207" s="390">
        <f>IF(H207,Wh_hp,'2025'!Maxi_hp)</f>
        <v>61.87528776158792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6.2693268460068619E-2</v>
      </c>
      <c r="M207" s="845"/>
      <c r="N207" s="845"/>
      <c r="O207" s="48">
        <f>IF(t&lt;Tnet,'2025'!Resal+('2025'!Salim-'2025'!Resal)*(1-EXP(('2025'!Tnet-t)/('2025'!Tau_j))),Resal+(Salim-Resal)*(1-EXP((Tnet-t)/(Tau_j))))*Salcycl</f>
        <v>1.2351465059363168E-2</v>
      </c>
      <c r="P207" s="169">
        <f>(INDEX(Models!$BJ207:$BT207,,T207)*(1-R207)+INDEX(Models!$BJ207:$BT207,,T207+1)*R207-ERP_i)*Q207*Ramure*Pc/MaxiM</f>
        <v>3.534357973488832E-5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0.86656436601558395</v>
      </c>
      <c r="S207" s="811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-1.133435633984416</v>
      </c>
      <c r="V207" s="383">
        <f t="shared" ref="V207:V270" si="85">MaxiM*(1-Ppv)*(1-Pvg)*(1-Psa)</f>
        <v>56.603373041845515</v>
      </c>
      <c r="W207" s="402">
        <f t="shared" ref="W207:W270" si="86">Wh*(A207&gt;Tmaj)</f>
        <v>53.038981096031812</v>
      </c>
      <c r="X207" s="157">
        <f t="shared" ref="X207:X270" si="87">t</f>
        <v>46215</v>
      </c>
      <c r="Y207" s="385">
        <f t="shared" ref="Y207:Y270" si="88">Wh_pvt_s*(1-Ppv)</f>
        <v>50.326238008519397</v>
      </c>
      <c r="Z207" s="385">
        <f t="shared" ref="Z207:Z270" si="89">Wh_sa_s*(1-Psa_s)</f>
        <v>53.692389390863333</v>
      </c>
      <c r="AA207" s="386">
        <f t="shared" ref="AA207:AA270" si="90">Wh_hp*(1-Pvg_s*MEDIAN((-Sdif+Wh/Env_an)/Csdif,0,1))</f>
        <v>57.271964845435825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6.2501355841954459E-2</v>
      </c>
      <c r="AD207" s="231">
        <f>(INDEX(Models!$BJ207:$BT207,,AH207)*(1-AF207)+INDEX(Models!$BJ207:$BT207,,AH207+1)*AF207-ERP_i)*AE207*Ramure*Pc/MaxiM</f>
        <v>4.6267268643063902E-4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0.3915519323895631</v>
      </c>
      <c r="AG207" s="811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2.3915519323895631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'2025'!Wh/'2025'!Env_an*'2026'!Env_an</f>
        <v>52.412993537980043</v>
      </c>
      <c r="C208" s="841"/>
      <c r="D208" s="393">
        <f t="shared" si="77"/>
        <v>55.91994571092463</v>
      </c>
      <c r="E208" s="385">
        <f t="shared" si="75"/>
        <v>56.624742523739016</v>
      </c>
      <c r="F208" s="385">
        <f t="shared" si="78"/>
        <v>56.626703450905694</v>
      </c>
      <c r="G208" s="110">
        <f t="shared" si="76"/>
        <v>0.92779788821281473</v>
      </c>
      <c r="H208" s="414" t="b">
        <f>Wh_hp&gt;='2025'!Maxi_hp</f>
        <v>0</v>
      </c>
      <c r="I208" s="390">
        <f>IF(H208,Wh_hp,'2025'!Maxi_hp)</f>
        <v>56.626832868770869</v>
      </c>
      <c r="J208" s="85">
        <f>IF(H208,An,'2025'!An_max)</f>
        <v>2025</v>
      </c>
      <c r="K208" s="197">
        <f t="shared" si="79"/>
        <v>46216</v>
      </c>
      <c r="L208" s="147">
        <f>IF(t&lt;Tvie,1-EXP((T0-t)*PertePVj)+'2025'!Pspv,1-EXP((T0-t)*PertePVj)+Pspv)</f>
        <v>6.271379788302367E-2</v>
      </c>
      <c r="M208" s="845"/>
      <c r="N208" s="845"/>
      <c r="O208" s="48">
        <f>IF(t&lt;Tnet,'2025'!Resal+('2025'!Salim-'2025'!Resal)*(1-EXP(('2025'!Tnet-t)/('2025'!Tau_j))),Resal+(Salim-Resal)*(1-EXP((Tnet-t)/(Tau_j))))*Salcycl</f>
        <v>1.2446799427280591E-2</v>
      </c>
      <c r="P208" s="169">
        <f>(INDEX(Models!$BJ208:$BT208,,T208)*(1-R208)+INDEX(Models!$BJ208:$BT208,,T208+1)*R208-ERP_i)*Q208*Ramure*Pc/MaxiM</f>
        <v>3.8611423836959039E-5</v>
      </c>
      <c r="Q208" s="305">
        <f t="shared" si="80"/>
        <v>0.5</v>
      </c>
      <c r="R208" s="177">
        <f t="shared" si="81"/>
        <v>0.86995797523292939</v>
      </c>
      <c r="S208" s="811">
        <f t="shared" si="82"/>
        <v>-2</v>
      </c>
      <c r="T208" s="176">
        <f t="shared" si="83"/>
        <v>4</v>
      </c>
      <c r="U208" s="251">
        <f t="shared" si="84"/>
        <v>-1.1300420247670706</v>
      </c>
      <c r="V208" s="383">
        <f t="shared" si="85"/>
        <v>56.491597433932881</v>
      </c>
      <c r="W208" s="402">
        <f t="shared" si="86"/>
        <v>52.412993537980043</v>
      </c>
      <c r="X208" s="157">
        <f t="shared" si="87"/>
        <v>46216</v>
      </c>
      <c r="Y208" s="385">
        <f t="shared" si="88"/>
        <v>49.733218528610479</v>
      </c>
      <c r="Z208" s="385">
        <f t="shared" si="89"/>
        <v>53.060867018293749</v>
      </c>
      <c r="AA208" s="386">
        <f t="shared" si="90"/>
        <v>56.601636684497933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6.2555959043034681E-2</v>
      </c>
      <c r="AD208" s="231">
        <f>(INDEX(Models!$BJ208:$BT208,,AH208)*(1-AF208)+INDEX(Models!$BJ208:$BT208,,AH208+1)*AF208-ERP_i)*AE208*Ramure*Pc/MaxiM</f>
        <v>4.9357444704631076E-4</v>
      </c>
      <c r="AE208" s="305">
        <f t="shared" si="92"/>
        <v>0.5</v>
      </c>
      <c r="AF208" s="177">
        <f t="shared" si="93"/>
        <v>0.39494554160690853</v>
      </c>
      <c r="AG208" s="811">
        <f t="shared" ref="AG208:AG271" si="99">INDEX(Echel_vg,AH208)</f>
        <v>2</v>
      </c>
      <c r="AH208" s="176">
        <f t="shared" si="94"/>
        <v>8</v>
      </c>
      <c r="AI208" s="225">
        <f t="shared" si="95"/>
        <v>2.3949455416069085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'2025'!Wh/'2025'!Env_an*'2026'!Env_an</f>
        <v>51.851903267130503</v>
      </c>
      <c r="C209" s="841"/>
      <c r="D209" s="393">
        <f t="shared" si="77"/>
        <v>55.322524608433412</v>
      </c>
      <c r="E209" s="385">
        <f t="shared" si="75"/>
        <v>56.025189396886091</v>
      </c>
      <c r="F209" s="385">
        <f t="shared" si="78"/>
        <v>56.027285515150005</v>
      </c>
      <c r="G209" s="110">
        <f t="shared" si="76"/>
        <v>0.91971565309245762</v>
      </c>
      <c r="H209" s="414" t="b">
        <f>Wh_hp&gt;='2025'!Maxi_hp</f>
        <v>0</v>
      </c>
      <c r="I209" s="390">
        <f>IF(H209,Wh_hp,'2025'!Maxi_hp)</f>
        <v>61.910407700916835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6.2734326856331624E-2</v>
      </c>
      <c r="M209" s="845"/>
      <c r="N209" s="845"/>
      <c r="O209" s="48">
        <f>IF(t&lt;Tnet,'2025'!Resal+('2025'!Salim-'2025'!Resal)*(1-EXP(('2025'!Tnet-t)/('2025'!Tau_j))),Resal+(Salim-Resal)*(1-EXP((Tnet-t)/(Tau_j))))*Salcycl</f>
        <v>1.2541944007988281E-2</v>
      </c>
      <c r="P209" s="169">
        <f>(INDEX(Models!$BJ209:$BT209,,T209)*(1-R209)+INDEX(Models!$BJ209:$BT209,,T209+1)*R209-ERP_i)*Q209*Ramure*Pc/MaxiM</f>
        <v>4.2258945000642016E-5</v>
      </c>
      <c r="Q209" s="305">
        <f t="shared" si="80"/>
        <v>0.5</v>
      </c>
      <c r="R209" s="177">
        <f t="shared" si="81"/>
        <v>0.87327026103106231</v>
      </c>
      <c r="S209" s="811">
        <f t="shared" si="82"/>
        <v>-2</v>
      </c>
      <c r="T209" s="176">
        <f t="shared" si="83"/>
        <v>4</v>
      </c>
      <c r="U209" s="251">
        <f t="shared" si="84"/>
        <v>-1.1267297389689377</v>
      </c>
      <c r="V209" s="383">
        <f t="shared" si="85"/>
        <v>56.377916134861628</v>
      </c>
      <c r="W209" s="402">
        <f t="shared" si="86"/>
        <v>51.851903267130503</v>
      </c>
      <c r="X209" s="157">
        <f t="shared" si="87"/>
        <v>46217</v>
      </c>
      <c r="Y209" s="385">
        <f t="shared" si="88"/>
        <v>49.201822478009852</v>
      </c>
      <c r="Z209" s="385">
        <f t="shared" si="89"/>
        <v>52.49506504701359</v>
      </c>
      <c r="AA209" s="386">
        <f t="shared" si="90"/>
        <v>56.001301770149588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6.2609914632465388E-2</v>
      </c>
      <c r="AD209" s="231">
        <f>(INDEX(Models!$BJ209:$BT209,,AH209)*(1-AF209)+INDEX(Models!$BJ209:$BT209,,AH209+1)*AF209-ERP_i)*AE209*Ramure*Pc/MaxiM</f>
        <v>5.2384718447795421E-4</v>
      </c>
      <c r="AE209" s="305">
        <f t="shared" si="92"/>
        <v>0.5</v>
      </c>
      <c r="AF209" s="177">
        <f t="shared" si="93"/>
        <v>0.39825782740504145</v>
      </c>
      <c r="AG209" s="811">
        <f t="shared" si="99"/>
        <v>2</v>
      </c>
      <c r="AH209" s="176">
        <f t="shared" si="94"/>
        <v>8</v>
      </c>
      <c r="AI209" s="225">
        <f t="shared" si="95"/>
        <v>2.3982578274050415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'2025'!Wh/'2025'!Env_an*'2026'!Env_an</f>
        <v>50.117104707905078</v>
      </c>
      <c r="C210" s="841"/>
      <c r="D210" s="393">
        <f t="shared" si="77"/>
        <v>53.472781369515516</v>
      </c>
      <c r="E210" s="385">
        <f t="shared" si="75"/>
        <v>54.157160124036331</v>
      </c>
      <c r="F210" s="385">
        <f t="shared" si="78"/>
        <v>54.159276033810201</v>
      </c>
      <c r="G210" s="110">
        <f t="shared" si="76"/>
        <v>0.89076749446512526</v>
      </c>
      <c r="H210" s="414" t="b">
        <f>Wh_hp&gt;='2025'!Maxi_hp</f>
        <v>0</v>
      </c>
      <c r="I210" s="390">
        <f>IF(H210,Wh_hp,'2025'!Maxi_hp)</f>
        <v>63.341573131215071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6.2754855380002472E-2</v>
      </c>
      <c r="M210" s="845"/>
      <c r="N210" s="845"/>
      <c r="O210" s="48">
        <f>IF(t&lt;Tnet,'2025'!Resal+('2025'!Salim-'2025'!Resal)*(1-EXP(('2025'!Tnet-t)/('2025'!Tau_j))),Resal+(Salim-Resal)*(1-EXP((Tnet-t)/(Tau_j))))*Salcycl</f>
        <v>1.2636902543511901E-2</v>
      </c>
      <c r="P210" s="169">
        <f>(INDEX(Models!$BJ210:$BT210,,T210)*(1-R210)+INDEX(Models!$BJ210:$BT210,,T210+1)*R210-ERP_i)*Q210*Ramure*Pc/MaxiM</f>
        <v>4.6291474336173944E-5</v>
      </c>
      <c r="Q210" s="305">
        <f t="shared" si="80"/>
        <v>0.5</v>
      </c>
      <c r="R210" s="177">
        <f t="shared" si="81"/>
        <v>0.87650141543621474</v>
      </c>
      <c r="S210" s="811">
        <f t="shared" si="82"/>
        <v>-2</v>
      </c>
      <c r="T210" s="176">
        <f t="shared" si="83"/>
        <v>4</v>
      </c>
      <c r="U210" s="251">
        <f t="shared" si="84"/>
        <v>-1.1234985845637853</v>
      </c>
      <c r="V210" s="383">
        <f t="shared" si="85"/>
        <v>56.262428747784817</v>
      </c>
      <c r="W210" s="402">
        <f t="shared" si="86"/>
        <v>50.117104707905078</v>
      </c>
      <c r="X210" s="157">
        <f t="shared" si="87"/>
        <v>46218</v>
      </c>
      <c r="Y210" s="385">
        <f t="shared" si="88"/>
        <v>47.557474495994711</v>
      </c>
      <c r="Z210" s="385">
        <f t="shared" si="89"/>
        <v>50.741766728785464</v>
      </c>
      <c r="AA210" s="386">
        <f t="shared" si="90"/>
        <v>54.133977892262386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6.2663253201678842E-2</v>
      </c>
      <c r="AD210" s="231">
        <f>(INDEX(Models!$BJ210:$BT210,,AH210)*(1-AF210)+INDEX(Models!$BJ210:$BT210,,AH210+1)*AF210-ERP_i)*AE210*Ramure*Pc/MaxiM</f>
        <v>5.5346796194888554E-4</v>
      </c>
      <c r="AE210" s="305">
        <f t="shared" si="92"/>
        <v>0.5</v>
      </c>
      <c r="AF210" s="177">
        <f t="shared" si="93"/>
        <v>0.40148898181019366</v>
      </c>
      <c r="AG210" s="811">
        <f t="shared" si="99"/>
        <v>2</v>
      </c>
      <c r="AH210" s="176">
        <f t="shared" si="94"/>
        <v>8</v>
      </c>
      <c r="AI210" s="225">
        <f t="shared" si="95"/>
        <v>2.4014889818101937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'2025'!Wh/'2025'!Env_an*'2026'!Env_an</f>
        <v>51.499300668667566</v>
      </c>
      <c r="C211" s="841"/>
      <c r="D211" s="393">
        <f t="shared" si="77"/>
        <v>54.9487281485019</v>
      </c>
      <c r="E211" s="385">
        <f t="shared" si="75"/>
        <v>55.657339524128389</v>
      </c>
      <c r="F211" s="385">
        <f t="shared" si="78"/>
        <v>55.659828584075555</v>
      </c>
      <c r="G211" s="110">
        <f t="shared" si="76"/>
        <v>0.91724599722727918</v>
      </c>
      <c r="H211" s="414" t="b">
        <f>Wh_hp&gt;='2025'!Maxi_hp</f>
        <v>0</v>
      </c>
      <c r="I211" s="390">
        <f>IF(H211,Wh_hp,'2025'!Maxi_hp)</f>
        <v>61.340662594559738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6.2775383454045874E-2</v>
      </c>
      <c r="M211" s="845"/>
      <c r="N211" s="845"/>
      <c r="O211" s="48">
        <f>IF(t&lt;Tnet,'2025'!Resal+('2025'!Salim-'2025'!Resal)*(1-EXP(('2025'!Tnet-t)/('2025'!Tau_j))),Resal+(Salim-Resal)*(1-EXP((Tnet-t)/(Tau_j))))*Salcycl</f>
        <v>1.2731678906773687E-2</v>
      </c>
      <c r="P211" s="169">
        <f>(INDEX(Models!$BJ211:$BT211,,T211)*(1-R211)+INDEX(Models!$BJ211:$BT211,,T211+1)*R211-ERP_i)*Q211*Ramure*Pc/MaxiM</f>
        <v>5.0714176809550781E-5</v>
      </c>
      <c r="Q211" s="305">
        <f t="shared" si="80"/>
        <v>0.5</v>
      </c>
      <c r="R211" s="177">
        <f t="shared" si="81"/>
        <v>0.8796517547975562</v>
      </c>
      <c r="S211" s="811">
        <f t="shared" si="82"/>
        <v>-2</v>
      </c>
      <c r="T211" s="176">
        <f t="shared" si="83"/>
        <v>4</v>
      </c>
      <c r="U211" s="251">
        <f t="shared" si="84"/>
        <v>-1.1203482452024438</v>
      </c>
      <c r="V211" s="383">
        <f t="shared" si="85"/>
        <v>56.14523483404848</v>
      </c>
      <c r="W211" s="402">
        <f t="shared" si="86"/>
        <v>51.499300668667566</v>
      </c>
      <c r="X211" s="157">
        <f t="shared" si="87"/>
        <v>46219</v>
      </c>
      <c r="Y211" s="385">
        <f t="shared" si="88"/>
        <v>48.869022951186764</v>
      </c>
      <c r="Z211" s="385">
        <f t="shared" si="89"/>
        <v>52.142274208810875</v>
      </c>
      <c r="AA211" s="386">
        <f t="shared" si="90"/>
        <v>55.631243565036279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6.2716005119436022E-2</v>
      </c>
      <c r="AD211" s="231">
        <f>(INDEX(Models!$BJ211:$BT211,,AH211)*(1-AF211)+INDEX(Models!$BJ211:$BT211,,AH211+1)*AF211-ERP_i)*AE211*Ramure*Pc/MaxiM</f>
        <v>5.8241494396807185E-4</v>
      </c>
      <c r="AE211" s="305">
        <f t="shared" si="92"/>
        <v>0.5</v>
      </c>
      <c r="AF211" s="177">
        <f t="shared" si="93"/>
        <v>0.40463932117153512</v>
      </c>
      <c r="AG211" s="811">
        <f t="shared" si="99"/>
        <v>2</v>
      </c>
      <c r="AH211" s="176">
        <f t="shared" si="94"/>
        <v>8</v>
      </c>
      <c r="AI211" s="225">
        <f t="shared" si="95"/>
        <v>2.4046393211715351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'2025'!Wh/'2025'!Env_an*'2026'!Env_an</f>
        <v>51.089928231192545</v>
      </c>
      <c r="C212" s="841"/>
      <c r="D212" s="393">
        <f t="shared" si="77"/>
        <v>54.513129888265233</v>
      </c>
      <c r="E212" s="385">
        <f t="shared" si="75"/>
        <v>55.221415057751543</v>
      </c>
      <c r="F212" s="385">
        <f t="shared" si="78"/>
        <v>55.224075999410474</v>
      </c>
      <c r="G212" s="110">
        <f t="shared" si="76"/>
        <v>0.91188300330075445</v>
      </c>
      <c r="H212" s="414" t="b">
        <f>Wh_hp&gt;='2025'!Maxi_hp</f>
        <v>0</v>
      </c>
      <c r="I212" s="390">
        <f>IF(H212,Wh_hp,'2025'!Maxi_hp)</f>
        <v>60.188178256844751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6.2795911078471822E-2</v>
      </c>
      <c r="M212" s="845"/>
      <c r="N212" s="845"/>
      <c r="O212" s="48">
        <f>IF(t&lt;Tnet,'2025'!Resal+('2025'!Salim-'2025'!Resal)*(1-EXP(('2025'!Tnet-t)/('2025'!Tau_j))),Resal+(Salim-Resal)*(1-EXP((Tnet-t)/(Tau_j))))*Salcycl</f>
        <v>1.2826277065619748E-2</v>
      </c>
      <c r="P212" s="169">
        <f>(INDEX(Models!$BJ212:$BT212,,T212)*(1-R212)+INDEX(Models!$BJ212:$BT212,,T212+1)*R212-ERP_i)*Q212*Ramure*Pc/MaxiM</f>
        <v>5.5122899553851525E-5</v>
      </c>
      <c r="Q212" s="305">
        <f t="shared" si="80"/>
        <v>0.5</v>
      </c>
      <c r="R212" s="177">
        <f t="shared" si="81"/>
        <v>0.88272171286413248</v>
      </c>
      <c r="S212" s="811">
        <f t="shared" si="82"/>
        <v>-2</v>
      </c>
      <c r="T212" s="176">
        <f t="shared" si="83"/>
        <v>4</v>
      </c>
      <c r="U212" s="251">
        <f t="shared" si="84"/>
        <v>-1.1172782871358675</v>
      </c>
      <c r="V212" s="383">
        <f t="shared" si="85"/>
        <v>56.026456841751752</v>
      </c>
      <c r="W212" s="402">
        <f t="shared" si="86"/>
        <v>51.089928231192545</v>
      </c>
      <c r="X212" s="157">
        <f t="shared" si="87"/>
        <v>46220</v>
      </c>
      <c r="Y212" s="385">
        <f t="shared" si="88"/>
        <v>48.481805215617683</v>
      </c>
      <c r="Z212" s="385">
        <f t="shared" si="89"/>
        <v>51.73025362214041</v>
      </c>
      <c r="AA212" s="386">
        <f t="shared" si="90"/>
        <v>55.194727326228559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6.2768200368331792E-2</v>
      </c>
      <c r="AD212" s="231">
        <f>(INDEX(Models!$BJ212:$BT212,,AH212)*(1-AF212)+INDEX(Models!$BJ212:$BT212,,AH212+1)*AF212-ERP_i)*AE212*Ramure*Pc/MaxiM</f>
        <v>6.0797423288651775E-4</v>
      </c>
      <c r="AE212" s="305">
        <f t="shared" si="92"/>
        <v>0.5</v>
      </c>
      <c r="AF212" s="177">
        <f t="shared" si="93"/>
        <v>0.4077092792381114</v>
      </c>
      <c r="AG212" s="811">
        <f t="shared" si="99"/>
        <v>2</v>
      </c>
      <c r="AH212" s="176">
        <f t="shared" si="94"/>
        <v>8</v>
      </c>
      <c r="AI212" s="225">
        <f t="shared" si="95"/>
        <v>2.4077092792381114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'2025'!Wh/'2025'!Env_an*'2026'!Env_an</f>
        <v>52.946094165081639</v>
      </c>
      <c r="C213" s="841"/>
      <c r="D213" s="393">
        <f t="shared" si="77"/>
        <v>56.494902734317527</v>
      </c>
      <c r="E213" s="385">
        <f t="shared" si="75"/>
        <v>57.234411454334179</v>
      </c>
      <c r="F213" s="385">
        <f t="shared" si="78"/>
        <v>57.237548556886495</v>
      </c>
      <c r="G213" s="110">
        <f t="shared" si="76"/>
        <v>0.94704791492521079</v>
      </c>
      <c r="H213" s="414" t="b">
        <f>Wh_hp&gt;='2025'!Maxi_hp</f>
        <v>0</v>
      </c>
      <c r="I213" s="390">
        <f>IF(H213,Wh_hp,'2025'!Maxi_hp)</f>
        <v>57.23769328735581</v>
      </c>
      <c r="J213" s="85">
        <f>IF(H213,An,'2025'!An_max)</f>
        <v>2025</v>
      </c>
      <c r="K213" s="197">
        <f t="shared" si="79"/>
        <v>46221</v>
      </c>
      <c r="L213" s="147">
        <f>IF(t&lt;Tvie,1-EXP((T0-t)*PertePVj)+'2025'!Pspv,1-EXP((T0-t)*PertePVj)+Pspv)</f>
        <v>6.2816438253290086E-2</v>
      </c>
      <c r="M213" s="845"/>
      <c r="N213" s="845"/>
      <c r="O213" s="48">
        <f>IF(t&lt;Tnet,'2025'!Resal+('2025'!Salim-'2025'!Resal)*(1-EXP(('2025'!Tnet-t)/('2025'!Tau_j))),Resal+(Salim-Resal)*(1-EXP((Tnet-t)/(Tau_j))))*Salcycl</f>
        <v>1.2920701047248224E-2</v>
      </c>
      <c r="P213" s="169">
        <f>(INDEX(Models!$BJ213:$BT213,,T213)*(1-R213)+INDEX(Models!$BJ213:$BT213,,T213+1)*R213-ERP_i)*Q213*Ramure*Pc/MaxiM</f>
        <v>5.9293411425976055E-5</v>
      </c>
      <c r="Q213" s="305">
        <f t="shared" si="80"/>
        <v>0.5</v>
      </c>
      <c r="R213" s="177">
        <f t="shared" si="81"/>
        <v>0.88571183378042284</v>
      </c>
      <c r="S213" s="811">
        <f t="shared" si="82"/>
        <v>-2</v>
      </c>
      <c r="T213" s="176">
        <f t="shared" si="83"/>
        <v>4</v>
      </c>
      <c r="U213" s="251">
        <f t="shared" si="84"/>
        <v>-1.1142881662195772</v>
      </c>
      <c r="V213" s="383">
        <f t="shared" si="85"/>
        <v>55.906206916889616</v>
      </c>
      <c r="W213" s="402">
        <f t="shared" si="86"/>
        <v>52.946094165081639</v>
      </c>
      <c r="X213" s="157">
        <f t="shared" si="87"/>
        <v>46221</v>
      </c>
      <c r="Y213" s="385">
        <f t="shared" si="88"/>
        <v>50.243076391005502</v>
      </c>
      <c r="Z213" s="385">
        <f t="shared" si="89"/>
        <v>53.610710261886311</v>
      </c>
      <c r="AA213" s="386">
        <f t="shared" si="90"/>
        <v>57.20427530805668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6.281986838952669E-2</v>
      </c>
      <c r="AD213" s="231">
        <f>(INDEX(Models!$BJ213:$BT213,,AH213)*(1-AF213)+INDEX(Models!$BJ213:$BT213,,AH213+1)*AF213-ERP_i)*AE213*Ramure*Pc/MaxiM</f>
        <v>6.2888745249594616E-4</v>
      </c>
      <c r="AE213" s="305">
        <f t="shared" si="92"/>
        <v>0.5</v>
      </c>
      <c r="AF213" s="177">
        <f t="shared" si="93"/>
        <v>0.41069940015440176</v>
      </c>
      <c r="AG213" s="811">
        <f t="shared" si="99"/>
        <v>2</v>
      </c>
      <c r="AH213" s="176">
        <f t="shared" si="94"/>
        <v>8</v>
      </c>
      <c r="AI213" s="225">
        <f t="shared" si="95"/>
        <v>2.4106994001544018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'2025'!Wh/'2025'!Env_an*'2026'!Env_an</f>
        <v>42.476204141838927</v>
      </c>
      <c r="C214" s="841"/>
      <c r="D214" s="393">
        <f t="shared" si="77"/>
        <v>45.324241945655629</v>
      </c>
      <c r="E214" s="385">
        <f t="shared" si="75"/>
        <v>45.921913579973271</v>
      </c>
      <c r="F214" s="385">
        <f t="shared" si="78"/>
        <v>45.923827413935186</v>
      </c>
      <c r="G214" s="110">
        <f t="shared" si="76"/>
        <v>0.76141624115039985</v>
      </c>
      <c r="H214" s="414" t="b">
        <f>Wh_hp&gt;='2025'!Maxi_hp</f>
        <v>0</v>
      </c>
      <c r="I214" s="390">
        <f>IF(H214,Wh_hp,'2025'!Maxi_hp)</f>
        <v>60.582660665176114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6.2836964978510546E-2</v>
      </c>
      <c r="M214" s="845"/>
      <c r="N214" s="845"/>
      <c r="O214" s="48">
        <f>IF(t&lt;Tnet,'2025'!Resal+('2025'!Salim-'2025'!Resal)*(1-EXP(('2025'!Tnet-t)/('2025'!Tau_j))),Resal+(Salim-Resal)*(1-EXP((Tnet-t)/(Tau_j))))*Salcycl</f>
        <v>1.3014954903322983E-2</v>
      </c>
      <c r="P214" s="169">
        <f>(INDEX(Models!$BJ214:$BT214,,T214)*(1-R214)+INDEX(Models!$BJ214:$BT214,,T214+1)*R214-ERP_i)*Q214*Ramure*Pc/MaxiM</f>
        <v>6.3220205329743992E-5</v>
      </c>
      <c r="Q214" s="305">
        <f t="shared" si="80"/>
        <v>0.5</v>
      </c>
      <c r="R214" s="177">
        <f t="shared" si="81"/>
        <v>0.88862276504598658</v>
      </c>
      <c r="S214" s="811">
        <f t="shared" si="82"/>
        <v>-2</v>
      </c>
      <c r="T214" s="176">
        <f t="shared" si="83"/>
        <v>4</v>
      </c>
      <c r="U214" s="251">
        <f t="shared" si="84"/>
        <v>-1.1113772349540134</v>
      </c>
      <c r="V214" s="383">
        <f t="shared" si="85"/>
        <v>55.784584844888862</v>
      </c>
      <c r="W214" s="402">
        <f t="shared" si="86"/>
        <v>42.476204141838927</v>
      </c>
      <c r="X214" s="157">
        <f t="shared" si="87"/>
        <v>46222</v>
      </c>
      <c r="Y214" s="385">
        <f t="shared" si="88"/>
        <v>40.315111412665246</v>
      </c>
      <c r="Z214" s="385">
        <f t="shared" si="89"/>
        <v>43.01824752588626</v>
      </c>
      <c r="AA214" s="386">
        <f t="shared" si="90"/>
        <v>45.904298412856576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6.2871037936656687E-2</v>
      </c>
      <c r="AD214" s="231">
        <f>(INDEX(Models!$BJ214:$BT214,,AH214)*(1-AF214)+INDEX(Models!$BJ214:$BT214,,AH214+1)*AF214-ERP_i)*AE214*Ramure*Pc/MaxiM</f>
        <v>6.4510688107867844E-4</v>
      </c>
      <c r="AE214" s="305">
        <f t="shared" si="92"/>
        <v>0.5</v>
      </c>
      <c r="AF214" s="177">
        <f t="shared" si="93"/>
        <v>0.4136103314199655</v>
      </c>
      <c r="AG214" s="811">
        <f t="shared" si="99"/>
        <v>2</v>
      </c>
      <c r="AH214" s="176">
        <f t="shared" si="94"/>
        <v>8</v>
      </c>
      <c r="AI214" s="225">
        <f t="shared" si="95"/>
        <v>2.4136103314199655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'2025'!Wh/'2025'!Env_an*'2026'!Env_an</f>
        <v>42.902080923395147</v>
      </c>
      <c r="C215" s="841"/>
      <c r="D215" s="393">
        <f t="shared" si="77"/>
        <v>45.779676541201198</v>
      </c>
      <c r="E215" s="385">
        <f t="shared" si="75"/>
        <v>46.387775874790677</v>
      </c>
      <c r="F215" s="385">
        <f t="shared" si="78"/>
        <v>46.389862969305682</v>
      </c>
      <c r="G215" s="110">
        <f t="shared" si="76"/>
        <v>0.77074808056768673</v>
      </c>
      <c r="H215" s="414" t="b">
        <f>Wh_hp&gt;='2025'!Maxi_hp</f>
        <v>0</v>
      </c>
      <c r="I215" s="390">
        <f>IF(H215,Wh_hp,'2025'!Maxi_hp)</f>
        <v>59.347072848746947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6.2857491254143083E-2</v>
      </c>
      <c r="M215" s="845"/>
      <c r="N215" s="845"/>
      <c r="O215" s="48">
        <f>IF(t&lt;Tnet,'2025'!Resal+('2025'!Salim-'2025'!Resal)*(1-EXP(('2025'!Tnet-t)/('2025'!Tau_j))),Resal+(Salim-Resal)*(1-EXP((Tnet-t)/(Tau_j))))*Salcycl</f>
        <v>1.3109042676045818E-2</v>
      </c>
      <c r="P215" s="169">
        <f>(INDEX(Models!$BJ215:$BT215,,T215)*(1-R215)+INDEX(Models!$BJ215:$BT215,,T215+1)*R215-ERP_i)*Q215*Ramure*Pc/MaxiM</f>
        <v>6.6897968655609181E-5</v>
      </c>
      <c r="Q215" s="305">
        <f t="shared" si="80"/>
        <v>0.5</v>
      </c>
      <c r="R215" s="177">
        <f t="shared" si="81"/>
        <v>0.89145525048142171</v>
      </c>
      <c r="S215" s="811">
        <f t="shared" si="82"/>
        <v>-2</v>
      </c>
      <c r="T215" s="176">
        <f t="shared" si="83"/>
        <v>4</v>
      </c>
      <c r="U215" s="251">
        <f t="shared" si="84"/>
        <v>-1.1085447495185783</v>
      </c>
      <c r="V215" s="383">
        <f t="shared" si="85"/>
        <v>55.661690348354632</v>
      </c>
      <c r="W215" s="402">
        <f t="shared" si="86"/>
        <v>42.902080923395147</v>
      </c>
      <c r="X215" s="157">
        <f t="shared" si="87"/>
        <v>46223</v>
      </c>
      <c r="Y215" s="385">
        <f t="shared" si="88"/>
        <v>40.720469665709217</v>
      </c>
      <c r="Z215" s="385">
        <f t="shared" si="89"/>
        <v>43.451736833711571</v>
      </c>
      <c r="AA215" s="386">
        <f t="shared" si="90"/>
        <v>46.369378681147381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6.2921736939771655E-2</v>
      </c>
      <c r="AD215" s="231">
        <f>(INDEX(Models!$BJ215:$BT215,,AH215)*(1-AF215)+INDEX(Models!$BJ215:$BT215,,AH215+1)*AF215-ERP_i)*AE215*Ramure*Pc/MaxiM</f>
        <v>6.5658610920359562E-4</v>
      </c>
      <c r="AE215" s="305">
        <f t="shared" si="92"/>
        <v>0.5</v>
      </c>
      <c r="AF215" s="177">
        <f t="shared" si="93"/>
        <v>0.41644281685540063</v>
      </c>
      <c r="AG215" s="811">
        <f t="shared" si="99"/>
        <v>2</v>
      </c>
      <c r="AH215" s="176">
        <f t="shared" si="94"/>
        <v>8</v>
      </c>
      <c r="AI215" s="225">
        <f t="shared" si="95"/>
        <v>2.4164428168554006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'2025'!Wh/'2025'!Env_an*'2026'!Env_an</f>
        <v>50.45490208977774</v>
      </c>
      <c r="C216" s="841"/>
      <c r="D216" s="393">
        <f t="shared" si="77"/>
        <v>53.840271607517707</v>
      </c>
      <c r="E216" s="385">
        <f t="shared" si="75"/>
        <v>54.560633931311472</v>
      </c>
      <c r="F216" s="385">
        <f t="shared" si="78"/>
        <v>54.563969300108312</v>
      </c>
      <c r="G216" s="110">
        <f t="shared" si="76"/>
        <v>0.9084731282618167</v>
      </c>
      <c r="H216" s="414" t="b">
        <f>Wh_hp&gt;='2025'!Maxi_hp</f>
        <v>0</v>
      </c>
      <c r="I216" s="390">
        <f>IF(H216,Wh_hp,'2025'!Maxi_hp)</f>
        <v>54.564249436800722</v>
      </c>
      <c r="J216" s="85">
        <f>IF(H216,An,'2025'!An_max)</f>
        <v>2025</v>
      </c>
      <c r="K216" s="197">
        <f t="shared" si="79"/>
        <v>46224</v>
      </c>
      <c r="L216" s="147">
        <f>IF(t&lt;Tvie,1-EXP((T0-t)*PertePVj)+'2025'!Pspv,1-EXP((T0-t)*PertePVj)+Pspv)</f>
        <v>6.2878017080197468E-2</v>
      </c>
      <c r="M216" s="845"/>
      <c r="N216" s="845"/>
      <c r="O216" s="48">
        <f>IF(t&lt;Tnet,'2025'!Resal+('2025'!Salim-'2025'!Resal)*(1-EXP(('2025'!Tnet-t)/('2025'!Tau_j))),Resal+(Salim-Resal)*(1-EXP((Tnet-t)/(Tau_j))))*Salcycl</f>
        <v>1.3202968365445605E-2</v>
      </c>
      <c r="P216" s="169">
        <f>(INDEX(Models!$BJ216:$BT216,,T216)*(1-R216)+INDEX(Models!$BJ216:$BT216,,T216+1)*R216-ERP_i)*Q216*Ramure*Pc/MaxiM</f>
        <v>7.0321573578200825E-5</v>
      </c>
      <c r="Q216" s="305">
        <f t="shared" si="80"/>
        <v>0.5</v>
      </c>
      <c r="R216" s="177">
        <f t="shared" si="81"/>
        <v>0.89421012323948168</v>
      </c>
      <c r="S216" s="811">
        <f t="shared" si="82"/>
        <v>-2</v>
      </c>
      <c r="T216" s="176">
        <f t="shared" si="83"/>
        <v>4</v>
      </c>
      <c r="U216" s="251">
        <f t="shared" si="84"/>
        <v>-1.1057898767605183</v>
      </c>
      <c r="V216" s="383">
        <f t="shared" si="85"/>
        <v>55.537623089524764</v>
      </c>
      <c r="W216" s="402">
        <f t="shared" si="86"/>
        <v>50.45490208977774</v>
      </c>
      <c r="X216" s="157">
        <f t="shared" si="87"/>
        <v>46224</v>
      </c>
      <c r="Y216" s="385">
        <f t="shared" si="88"/>
        <v>47.885517325528447</v>
      </c>
      <c r="Z216" s="385">
        <f t="shared" si="89"/>
        <v>51.098488988947786</v>
      </c>
      <c r="AA216" s="386">
        <f t="shared" si="90"/>
        <v>54.53250977923026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6.2971992380045985E-2</v>
      </c>
      <c r="AD216" s="231">
        <f>(INDEX(Models!$BJ216:$BT216,,AH216)*(1-AF216)+INDEX(Models!$BJ216:$BT216,,AH216+1)*AF216-ERP_i)*AE216*Ramure*Pc/MaxiM</f>
        <v>6.632798790514252E-4</v>
      </c>
      <c r="AE216" s="305">
        <f t="shared" si="92"/>
        <v>0.5</v>
      </c>
      <c r="AF216" s="177">
        <f t="shared" si="93"/>
        <v>0.4191976896134606</v>
      </c>
      <c r="AG216" s="811">
        <f t="shared" si="99"/>
        <v>2</v>
      </c>
      <c r="AH216" s="176">
        <f t="shared" si="94"/>
        <v>8</v>
      </c>
      <c r="AI216" s="225">
        <f t="shared" si="95"/>
        <v>2.4191976896134606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'2025'!Wh/'2025'!Env_an*'2026'!Env_an</f>
        <v>40.219634127870357</v>
      </c>
      <c r="C217" s="841"/>
      <c r="D217" s="393">
        <f t="shared" si="77"/>
        <v>42.919188529819621</v>
      </c>
      <c r="E217" s="385">
        <f t="shared" si="75"/>
        <v>43.497564152568124</v>
      </c>
      <c r="F217" s="385">
        <f t="shared" si="78"/>
        <v>43.499508706789214</v>
      </c>
      <c r="G217" s="110">
        <f t="shared" si="76"/>
        <v>0.72580174154467025</v>
      </c>
      <c r="H217" s="414" t="b">
        <f>Wh_hp&gt;='2025'!Maxi_hp</f>
        <v>0</v>
      </c>
      <c r="I217" s="390">
        <f>IF(H217,Wh_hp,'2025'!Maxi_hp)</f>
        <v>55.563972127949256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6.2898542456683582E-2</v>
      </c>
      <c r="M217" s="845"/>
      <c r="N217" s="845"/>
      <c r="O217" s="48">
        <f>IF(t&lt;Tnet,'2025'!Resal+('2025'!Salim-'2025'!Resal)*(1-EXP(('2025'!Tnet-t)/('2025'!Tau_j))),Resal+(Salim-Resal)*(1-EXP((Tnet-t)/(Tau_j))))*Salcycl</f>
        <v>1.3296735898126251E-2</v>
      </c>
      <c r="P217" s="169">
        <f>(INDEX(Models!$BJ217:$BT217,,T217)*(1-R217)+INDEX(Models!$BJ217:$BT217,,T217+1)*R217-ERP_i)*Q217*Ramure*Pc/MaxiM</f>
        <v>7.3486066829892661E-5</v>
      </c>
      <c r="Q217" s="305">
        <f t="shared" si="80"/>
        <v>0.5</v>
      </c>
      <c r="R217" s="177">
        <f t="shared" si="81"/>
        <v>0.8968882988967608</v>
      </c>
      <c r="S217" s="811">
        <f t="shared" si="82"/>
        <v>-2</v>
      </c>
      <c r="T217" s="176">
        <f t="shared" si="83"/>
        <v>4</v>
      </c>
      <c r="U217" s="251">
        <f t="shared" si="84"/>
        <v>-1.1031117011032392</v>
      </c>
      <c r="V217" s="383">
        <f t="shared" si="85"/>
        <v>55.41248267345798</v>
      </c>
      <c r="W217" s="402">
        <f t="shared" si="86"/>
        <v>40.219634127870357</v>
      </c>
      <c r="X217" s="157">
        <f t="shared" si="87"/>
        <v>46225</v>
      </c>
      <c r="Y217" s="385">
        <f t="shared" si="88"/>
        <v>38.179011389809709</v>
      </c>
      <c r="Z217" s="385">
        <f t="shared" si="89"/>
        <v>40.741598556360081</v>
      </c>
      <c r="AA217" s="386">
        <f t="shared" si="90"/>
        <v>43.481907976584118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6.3021830175891844E-2</v>
      </c>
      <c r="AD217" s="231">
        <f>(INDEX(Models!$BJ217:$BT217,,AH217)*(1-AF217)+INDEX(Models!$BJ217:$BT217,,AH217+1)*AF217-ERP_i)*AE217*Ramure*Pc/MaxiM</f>
        <v>6.6514392968618609E-4</v>
      </c>
      <c r="AE217" s="305">
        <f t="shared" si="92"/>
        <v>0.5</v>
      </c>
      <c r="AF217" s="177">
        <f t="shared" si="93"/>
        <v>0.42187586527073995</v>
      </c>
      <c r="AG217" s="811">
        <f t="shared" si="99"/>
        <v>2</v>
      </c>
      <c r="AH217" s="176">
        <f t="shared" si="94"/>
        <v>8</v>
      </c>
      <c r="AI217" s="225">
        <f t="shared" si="95"/>
        <v>2.4218758652707399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'2025'!Wh/'2025'!Env_an*'2026'!Env_an</f>
        <v>44.945839696702436</v>
      </c>
      <c r="C218" s="841"/>
      <c r="D218" s="393">
        <f t="shared" si="77"/>
        <v>47.963669019719383</v>
      </c>
      <c r="E218" s="385">
        <f t="shared" si="75"/>
        <v>48.614635966569104</v>
      </c>
      <c r="F218" s="385">
        <f t="shared" si="78"/>
        <v>48.617357401160206</v>
      </c>
      <c r="G218" s="110">
        <f t="shared" si="76"/>
        <v>0.81294762876706061</v>
      </c>
      <c r="H218" s="414" t="b">
        <f>Wh_hp&gt;='2025'!Maxi_hp</f>
        <v>0</v>
      </c>
      <c r="I218" s="390">
        <f>IF(H218,Wh_hp,'2025'!Maxi_hp)</f>
        <v>57.937152506467669</v>
      </c>
      <c r="J218" s="85">
        <f>IF(H218,An,'2025'!An_max)</f>
        <v>2019</v>
      </c>
      <c r="K218" s="197">
        <f t="shared" si="79"/>
        <v>46226</v>
      </c>
      <c r="L218" s="147">
        <f>IF(t&lt;Tvie,1-EXP((T0-t)*PertePVj)+'2025'!Pspv,1-EXP((T0-t)*PertePVj)+Pspv)</f>
        <v>6.2919067383611194E-2</v>
      </c>
      <c r="M218" s="845"/>
      <c r="N218" s="845"/>
      <c r="O218" s="48">
        <f>IF(t&lt;Tnet,'2025'!Resal+('2025'!Salim-'2025'!Resal)*(1-EXP(('2025'!Tnet-t)/('2025'!Tau_j))),Resal+(Salim-Resal)*(1-EXP((Tnet-t)/(Tau_j))))*Salcycl</f>
        <v>1.339034909769512E-2</v>
      </c>
      <c r="P218" s="169">
        <f>(INDEX(Models!$BJ218:$BT218,,T218)*(1-R218)+INDEX(Models!$BJ218:$BT218,,T218+1)*R218-ERP_i)*Q218*Ramure*Pc/MaxiM</f>
        <v>7.6386659149758196E-5</v>
      </c>
      <c r="Q218" s="305">
        <f t="shared" si="80"/>
        <v>0.5</v>
      </c>
      <c r="R218" s="177">
        <f t="shared" si="81"/>
        <v>0.89949076865789301</v>
      </c>
      <c r="S218" s="811">
        <f t="shared" si="82"/>
        <v>-2</v>
      </c>
      <c r="T218" s="176">
        <f t="shared" si="83"/>
        <v>4</v>
      </c>
      <c r="U218" s="251">
        <f t="shared" si="84"/>
        <v>-1.100509231342107</v>
      </c>
      <c r="V218" s="383">
        <f t="shared" si="85"/>
        <v>55.2863686514143</v>
      </c>
      <c r="W218" s="402">
        <f t="shared" si="86"/>
        <v>44.945839696702436</v>
      </c>
      <c r="X218" s="157">
        <f t="shared" si="87"/>
        <v>46226</v>
      </c>
      <c r="Y218" s="385">
        <f t="shared" si="88"/>
        <v>42.66426087440918</v>
      </c>
      <c r="Z218" s="385">
        <f t="shared" si="89"/>
        <v>45.528896586645814</v>
      </c>
      <c r="AA218" s="386">
        <f t="shared" si="90"/>
        <v>48.593767461426957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6.3071275080986353E-2</v>
      </c>
      <c r="AD218" s="231">
        <f>(INDEX(Models!$BJ218:$BT218,,AH218)*(1-AF218)+INDEX(Models!$BJ218:$BT218,,AH218+1)*AF218-ERP_i)*AE218*Ramure*Pc/MaxiM</f>
        <v>6.6213485036841217E-4</v>
      </c>
      <c r="AE218" s="305">
        <f t="shared" si="92"/>
        <v>0.5</v>
      </c>
      <c r="AF218" s="177">
        <f t="shared" si="93"/>
        <v>0.42447833503187171</v>
      </c>
      <c r="AG218" s="811">
        <f t="shared" si="99"/>
        <v>2</v>
      </c>
      <c r="AH218" s="176">
        <f t="shared" si="94"/>
        <v>8</v>
      </c>
      <c r="AI218" s="225">
        <f t="shared" si="95"/>
        <v>2.4244783350318717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'2025'!Wh/'2025'!Env_an*'2026'!Env_an</f>
        <v>50.408418312870602</v>
      </c>
      <c r="C219" s="841"/>
      <c r="D219" s="393">
        <f t="shared" si="77"/>
        <v>53.794203527370335</v>
      </c>
      <c r="E219" s="385">
        <f t="shared" si="75"/>
        <v>54.529468611893336</v>
      </c>
      <c r="F219" s="385">
        <f t="shared" si="78"/>
        <v>54.533247575985285</v>
      </c>
      <c r="G219" s="110">
        <f t="shared" si="76"/>
        <v>0.91386368828257447</v>
      </c>
      <c r="H219" s="414" t="b">
        <f>Wh_hp&gt;='2025'!Maxi_hp</f>
        <v>0</v>
      </c>
      <c r="I219" s="390">
        <f>IF(H219,Wh_hp,'2025'!Maxi_hp)</f>
        <v>57.924820130429069</v>
      </c>
      <c r="J219" s="85">
        <f>IF(H219,An,'2025'!An_max)</f>
        <v>2019</v>
      </c>
      <c r="K219" s="197">
        <f t="shared" si="79"/>
        <v>46227</v>
      </c>
      <c r="L219" s="147">
        <f>IF(t&lt;Tvie,1-EXP((T0-t)*PertePVj)+'2025'!Pspv,1-EXP((T0-t)*PertePVj)+Pspv)</f>
        <v>6.2939591860990296E-2</v>
      </c>
      <c r="M219" s="845"/>
      <c r="N219" s="845"/>
      <c r="O219" s="48">
        <f>IF(t&lt;Tnet,'2025'!Resal+('2025'!Salim-'2025'!Resal)*(1-EXP(('2025'!Tnet-t)/('2025'!Tau_j))),Resal+(Salim-Resal)*(1-EXP((Tnet-t)/(Tau_j))))*Salcycl</f>
        <v>1.3483811657072277E-2</v>
      </c>
      <c r="P219" s="169">
        <f>(INDEX(Models!$BJ219:$BT219,,T219)*(1-R219)+INDEX(Models!$BJ219:$BT219,,T219+1)*R219-ERP_i)*Q219*Ramure*Pc/MaxiM</f>
        <v>7.9018942411149493E-5</v>
      </c>
      <c r="Q219" s="305">
        <f t="shared" si="80"/>
        <v>0.5</v>
      </c>
      <c r="R219" s="177">
        <f t="shared" si="81"/>
        <v>0.90201859270077023</v>
      </c>
      <c r="S219" s="811">
        <f t="shared" si="82"/>
        <v>-2</v>
      </c>
      <c r="T219" s="176">
        <f t="shared" si="83"/>
        <v>4</v>
      </c>
      <c r="U219" s="251">
        <f t="shared" si="84"/>
        <v>-1.0979814072992298</v>
      </c>
      <c r="V219" s="383">
        <f t="shared" si="85"/>
        <v>55.159132410138007</v>
      </c>
      <c r="W219" s="402">
        <f t="shared" si="86"/>
        <v>50.408418312870602</v>
      </c>
      <c r="X219" s="157">
        <f t="shared" si="87"/>
        <v>46227</v>
      </c>
      <c r="Y219" s="385">
        <f t="shared" si="88"/>
        <v>47.847970518679006</v>
      </c>
      <c r="Z219" s="385">
        <f t="shared" si="89"/>
        <v>51.061777984734711</v>
      </c>
      <c r="AA219" s="386">
        <f t="shared" si="90"/>
        <v>54.501960862466952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6.3120350594602942E-2</v>
      </c>
      <c r="AD219" s="231">
        <f>(INDEX(Models!$BJ219:$BT219,,AH219)*(1-AF219)+INDEX(Models!$BJ219:$BT219,,AH219+1)*AF219-ERP_i)*AE219*Ramure*Pc/MaxiM</f>
        <v>6.5421182990500033E-4</v>
      </c>
      <c r="AE219" s="305">
        <f t="shared" si="92"/>
        <v>0.5</v>
      </c>
      <c r="AF219" s="177">
        <f t="shared" si="93"/>
        <v>0.42700615907474937</v>
      </c>
      <c r="AG219" s="811">
        <f t="shared" si="99"/>
        <v>2</v>
      </c>
      <c r="AH219" s="176">
        <f t="shared" si="94"/>
        <v>8</v>
      </c>
      <c r="AI219" s="225">
        <f t="shared" si="95"/>
        <v>2.4270061590747494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'2025'!Wh/'2025'!Env_an*'2026'!Env_an</f>
        <v>25.760258985723624</v>
      </c>
      <c r="C220" s="841"/>
      <c r="D220" s="393">
        <f t="shared" si="77"/>
        <v>27.491101950434651</v>
      </c>
      <c r="E220" s="385">
        <f t="shared" si="75"/>
        <v>27.869489552661584</v>
      </c>
      <c r="F220" s="385">
        <f t="shared" si="78"/>
        <v>27.870032105374598</v>
      </c>
      <c r="G220" s="110">
        <f t="shared" si="76"/>
        <v>0.46807927178067843</v>
      </c>
      <c r="H220" s="414" t="b">
        <f>Wh_hp&gt;='2025'!Maxi_hp</f>
        <v>0</v>
      </c>
      <c r="I220" s="390">
        <f>IF(H220,Wh_hp,'2025'!Maxi_hp)</f>
        <v>58.619065963281635</v>
      </c>
      <c r="J220" s="85">
        <f>IF(H220,An,'2025'!An_max)</f>
        <v>2019</v>
      </c>
      <c r="K220" s="197">
        <f t="shared" si="79"/>
        <v>46228</v>
      </c>
      <c r="L220" s="147">
        <f>IF(t&lt;Tvie,1-EXP((T0-t)*PertePVj)+'2025'!Pspv,1-EXP((T0-t)*PertePVj)+Pspv)</f>
        <v>6.296011588883077E-2</v>
      </c>
      <c r="M220" s="845"/>
      <c r="N220" s="845"/>
      <c r="O220" s="48">
        <f>IF(t&lt;Tnet,'2025'!Resal+('2025'!Salim-'2025'!Resal)*(1-EXP(('2025'!Tnet-t)/('2025'!Tau_j))),Resal+(Salim-Resal)*(1-EXP((Tnet-t)/(Tau_j))))*Salcycl</f>
        <v>1.3577127112857201E-2</v>
      </c>
      <c r="P220" s="169">
        <f>(INDEX(Models!$BJ220:$BT220,,T220)*(1-R220)+INDEX(Models!$BJ220:$BT220,,T220+1)*R220-ERP_i)*Q220*Ramure*Pc/MaxiM</f>
        <v>8.1061354771535854E-5</v>
      </c>
      <c r="Q220" s="305">
        <f t="shared" si="80"/>
        <v>0.5</v>
      </c>
      <c r="R220" s="177">
        <f t="shared" si="81"/>
        <v>0.90447289368790518</v>
      </c>
      <c r="S220" s="811">
        <f t="shared" si="82"/>
        <v>-2</v>
      </c>
      <c r="T220" s="176">
        <f t="shared" si="83"/>
        <v>4</v>
      </c>
      <c r="U220" s="251">
        <f t="shared" si="84"/>
        <v>-1.0955271063120948</v>
      </c>
      <c r="V220" s="383">
        <f t="shared" si="85"/>
        <v>55.030576715340125</v>
      </c>
      <c r="W220" s="402">
        <f t="shared" si="86"/>
        <v>25.760258985723624</v>
      </c>
      <c r="X220" s="157">
        <f t="shared" si="87"/>
        <v>46228</v>
      </c>
      <c r="Y220" s="385">
        <f t="shared" si="88"/>
        <v>24.461882015007081</v>
      </c>
      <c r="Z220" s="385">
        <f t="shared" si="89"/>
        <v>26.105486468391302</v>
      </c>
      <c r="AA220" s="386">
        <f t="shared" si="90"/>
        <v>27.865739569427763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6.3169078884512425E-2</v>
      </c>
      <c r="AD220" s="231">
        <f>(INDEX(Models!$BJ220:$BT220,,AH220)*(1-AF220)+INDEX(Models!$BJ220:$BT220,,AH220+1)*AF220-ERP_i)*AE220*Ramure*Pc/MaxiM</f>
        <v>6.4133635480958856E-4</v>
      </c>
      <c r="AE220" s="305">
        <f t="shared" si="92"/>
        <v>0.5</v>
      </c>
      <c r="AF220" s="177">
        <f t="shared" si="93"/>
        <v>0.42946046006188432</v>
      </c>
      <c r="AG220" s="811">
        <f t="shared" si="99"/>
        <v>2</v>
      </c>
      <c r="AH220" s="176">
        <f t="shared" si="94"/>
        <v>8</v>
      </c>
      <c r="AI220" s="225">
        <f t="shared" si="95"/>
        <v>2.4294604600618843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'2025'!Wh/'2025'!Env_an*'2026'!Env_an</f>
        <v>54.148433020568426</v>
      </c>
      <c r="C221" s="841"/>
      <c r="D221" s="393">
        <f t="shared" si="77"/>
        <v>57.78795540550589</v>
      </c>
      <c r="E221" s="385">
        <f t="shared" si="75"/>
        <v>58.588882942977939</v>
      </c>
      <c r="F221" s="385">
        <f t="shared" si="78"/>
        <v>58.593614685137041</v>
      </c>
      <c r="G221" s="110">
        <f t="shared" si="76"/>
        <v>0.98629591639106606</v>
      </c>
      <c r="H221" s="414" t="b">
        <f>Wh_hp&gt;='2025'!Maxi_hp</f>
        <v>0</v>
      </c>
      <c r="I221" s="390">
        <f>IF(H221,Wh_hp,'2025'!Maxi_hp)</f>
        <v>58.593666695824865</v>
      </c>
      <c r="J221" s="85">
        <f>IF(H221,An,'2025'!An_max)</f>
        <v>2025</v>
      </c>
      <c r="K221" s="197">
        <f t="shared" si="79"/>
        <v>46229</v>
      </c>
      <c r="L221" s="147">
        <f>IF(t&lt;Tvie,1-EXP((T0-t)*PertePVj)+'2025'!Pspv,1-EXP((T0-t)*PertePVj)+Pspv)</f>
        <v>6.2980639467142274E-2</v>
      </c>
      <c r="M221" s="845"/>
      <c r="N221" s="845"/>
      <c r="O221" s="48">
        <f>IF(t&lt;Tnet,'2025'!Resal+('2025'!Salim-'2025'!Resal)*(1-EXP(('2025'!Tnet-t)/('2025'!Tau_j))),Resal+(Salim-Resal)*(1-EXP((Tnet-t)/(Tau_j))))*Salcycl</f>
        <v>1.367029882190373E-2</v>
      </c>
      <c r="P221" s="169">
        <f>(INDEX(Models!$BJ221:$BT221,,T221)*(1-R221)+INDEX(Models!$BJ221:$BT221,,T221+1)*R221-ERP_i)*Q221*Ramure*Pc/MaxiM</f>
        <v>8.2367597602325785E-5</v>
      </c>
      <c r="Q221" s="305">
        <f t="shared" si="80"/>
        <v>0.5</v>
      </c>
      <c r="R221" s="177">
        <f t="shared" si="81"/>
        <v>0.90685485046576408</v>
      </c>
      <c r="S221" s="811">
        <f t="shared" si="82"/>
        <v>-2</v>
      </c>
      <c r="T221" s="176">
        <f t="shared" si="83"/>
        <v>4</v>
      </c>
      <c r="U221" s="251">
        <f t="shared" si="84"/>
        <v>-1.0931451495342359</v>
      </c>
      <c r="V221" s="383">
        <f t="shared" si="85"/>
        <v>54.900709622421672</v>
      </c>
      <c r="W221" s="402">
        <f t="shared" si="86"/>
        <v>54.148433020568426</v>
      </c>
      <c r="X221" s="157">
        <f t="shared" si="87"/>
        <v>46229</v>
      </c>
      <c r="Y221" s="385">
        <f t="shared" si="88"/>
        <v>51.400954437127893</v>
      </c>
      <c r="Z221" s="385">
        <f t="shared" si="89"/>
        <v>54.855808323851015</v>
      </c>
      <c r="AA221" s="386">
        <f t="shared" si="90"/>
        <v>58.557677150257277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6.3217480722593825E-2</v>
      </c>
      <c r="AD221" s="231">
        <f>(INDEX(Models!$BJ221:$BT221,,AH221)*(1-AF221)+INDEX(Models!$BJ221:$BT221,,AH221+1)*AF221-ERP_i)*AE221*Ramure*Pc/MaxiM</f>
        <v>6.2558108879693102E-4</v>
      </c>
      <c r="AE221" s="305">
        <f t="shared" si="92"/>
        <v>0.5</v>
      </c>
      <c r="AF221" s="177">
        <f t="shared" si="93"/>
        <v>0.43184241683974323</v>
      </c>
      <c r="AG221" s="811">
        <f t="shared" si="99"/>
        <v>2</v>
      </c>
      <c r="AH221" s="176">
        <f t="shared" si="94"/>
        <v>8</v>
      </c>
      <c r="AI221" s="225">
        <f t="shared" si="95"/>
        <v>2.4318424168397432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'2025'!Wh/'2025'!Env_an*'2026'!Env_an</f>
        <v>54.15552135244215</v>
      </c>
      <c r="C222" s="841"/>
      <c r="D222" s="393">
        <f t="shared" si="77"/>
        <v>57.796786069104236</v>
      </c>
      <c r="E222" s="385">
        <f t="shared" si="75"/>
        <v>58.603363496513843</v>
      </c>
      <c r="F222" s="385">
        <f t="shared" si="78"/>
        <v>58.608145867909208</v>
      </c>
      <c r="G222" s="110">
        <f t="shared" si="76"/>
        <v>0.98878788559387998</v>
      </c>
      <c r="H222" s="414" t="b">
        <f>Wh_hp&gt;='2025'!Maxi_hp</f>
        <v>0</v>
      </c>
      <c r="I222" s="390">
        <f>IF(H222,Wh_hp,'2025'!Maxi_hp)</f>
        <v>58.608188609513583</v>
      </c>
      <c r="J222" s="85">
        <f>IF(H222,An,'2025'!An_max)</f>
        <v>2025</v>
      </c>
      <c r="K222" s="197">
        <f t="shared" si="79"/>
        <v>46230</v>
      </c>
      <c r="L222" s="147">
        <f>IF(t&lt;Tvie,1-EXP((T0-t)*PertePVj)+'2025'!Pspv,1-EXP((T0-t)*PertePVj)+Pspv)</f>
        <v>6.300116259593469E-2</v>
      </c>
      <c r="M222" s="845"/>
      <c r="N222" s="845"/>
      <c r="O222" s="48">
        <f>IF(t&lt;Tnet,'2025'!Resal+('2025'!Salim-'2025'!Resal)*(1-EXP(('2025'!Tnet-t)/('2025'!Tau_j))),Resal+(Salim-Resal)*(1-EXP((Tnet-t)/(Tau_j))))*Salcycl</f>
        <v>1.3763329940227513E-2</v>
      </c>
      <c r="P222" s="169">
        <f>(INDEX(Models!$BJ222:$BT222,,T222)*(1-R222)+INDEX(Models!$BJ222:$BT222,,T222+1)*R222-ERP_i)*Q222*Ramure*Pc/MaxiM</f>
        <v>8.2927205303273772E-5</v>
      </c>
      <c r="Q222" s="305">
        <f t="shared" si="80"/>
        <v>0.5</v>
      </c>
      <c r="R222" s="177">
        <f t="shared" si="81"/>
        <v>0.90916569197073005</v>
      </c>
      <c r="S222" s="811">
        <f t="shared" si="82"/>
        <v>-2</v>
      </c>
      <c r="T222" s="176">
        <f t="shared" si="83"/>
        <v>4</v>
      </c>
      <c r="U222" s="251">
        <f t="shared" si="84"/>
        <v>-1.09083430802927</v>
      </c>
      <c r="V222" s="383">
        <f t="shared" si="85"/>
        <v>54.769531676951594</v>
      </c>
      <c r="W222" s="402">
        <f t="shared" si="86"/>
        <v>54.15552135244215</v>
      </c>
      <c r="X222" s="157">
        <f t="shared" si="87"/>
        <v>46230</v>
      </c>
      <c r="Y222" s="385">
        <f t="shared" si="88"/>
        <v>51.410765551434423</v>
      </c>
      <c r="Z222" s="385">
        <f t="shared" si="89"/>
        <v>54.86748061915084</v>
      </c>
      <c r="AA222" s="386">
        <f t="shared" si="90"/>
        <v>58.573144298100274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6.3265575433170365E-2</v>
      </c>
      <c r="AD222" s="231">
        <f>(INDEX(Models!$BJ222:$BT222,,AH222)*(1-AF222)+INDEX(Models!$BJ222:$BT222,,AH222+1)*AF222-ERP_i)*AE222*Ramure*Pc/MaxiM</f>
        <v>6.06933699940662E-4</v>
      </c>
      <c r="AE222" s="305">
        <f t="shared" si="92"/>
        <v>0.5</v>
      </c>
      <c r="AF222" s="177">
        <f t="shared" si="93"/>
        <v>0.43415325834470897</v>
      </c>
      <c r="AG222" s="811">
        <f t="shared" si="99"/>
        <v>2</v>
      </c>
      <c r="AH222" s="176">
        <f t="shared" si="94"/>
        <v>8</v>
      </c>
      <c r="AI222" s="225">
        <f t="shared" si="95"/>
        <v>2.434153258344709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'2025'!Wh/'2025'!Env_an*'2026'!Env_an</f>
        <v>43.459548544835862</v>
      </c>
      <c r="C223" s="841"/>
      <c r="D223" s="393">
        <f t="shared" si="77"/>
        <v>46.382662076444326</v>
      </c>
      <c r="E223" s="385">
        <f t="shared" si="75"/>
        <v>47.034380966805315</v>
      </c>
      <c r="F223" s="385">
        <f t="shared" si="78"/>
        <v>47.037135078612387</v>
      </c>
      <c r="G223" s="110">
        <f t="shared" si="76"/>
        <v>0.79540353944274167</v>
      </c>
      <c r="H223" s="414" t="b">
        <f>Wh_hp&gt;='2025'!Maxi_hp</f>
        <v>0</v>
      </c>
      <c r="I223" s="390">
        <f>IF(H223,Wh_hp,'2025'!Maxi_hp)</f>
        <v>56.44038029737262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6.3021685275218009E-2</v>
      </c>
      <c r="M223" s="845"/>
      <c r="N223" s="845"/>
      <c r="O223" s="48">
        <f>IF(t&lt;Tnet,'2025'!Resal+('2025'!Salim-'2025'!Resal)*(1-EXP(('2025'!Tnet-t)/('2025'!Tau_j))),Resal+(Salim-Resal)*(1-EXP((Tnet-t)/(Tau_j))))*Salcycl</f>
        <v>1.3856223404342028E-2</v>
      </c>
      <c r="P223" s="169">
        <f>(INDEX(Models!$BJ223:$BT223,,T223)*(1-R223)+INDEX(Models!$BJ223:$BT223,,T223+1)*R223-ERP_i)*Q223*Ramure*Pc/MaxiM</f>
        <v>8.2729953416985864E-5</v>
      </c>
      <c r="Q223" s="305">
        <f t="shared" si="80"/>
        <v>0.5</v>
      </c>
      <c r="R223" s="177">
        <f t="shared" si="81"/>
        <v>0.91140669135731156</v>
      </c>
      <c r="S223" s="811">
        <f t="shared" si="82"/>
        <v>-2</v>
      </c>
      <c r="T223" s="176">
        <f t="shared" si="83"/>
        <v>4</v>
      </c>
      <c r="U223" s="251">
        <f t="shared" si="84"/>
        <v>-1.0885933086426884</v>
      </c>
      <c r="V223" s="383">
        <f t="shared" si="85"/>
        <v>54.63704341168107</v>
      </c>
      <c r="W223" s="402">
        <f t="shared" si="86"/>
        <v>43.459548544835862</v>
      </c>
      <c r="X223" s="157">
        <f t="shared" si="87"/>
        <v>46231</v>
      </c>
      <c r="Y223" s="385">
        <f t="shared" si="88"/>
        <v>41.265275771881448</v>
      </c>
      <c r="Z223" s="385">
        <f t="shared" si="89"/>
        <v>44.04080129005149</v>
      </c>
      <c r="AA223" s="386">
        <f t="shared" si="90"/>
        <v>47.017647513960192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6.3313380853962015E-2</v>
      </c>
      <c r="AD223" s="231">
        <f>(INDEX(Models!$BJ223:$BT223,,AH223)*(1-AF223)+INDEX(Models!$BJ223:$BT223,,AH223+1)*AF223-ERP_i)*AE223*Ramure*Pc/MaxiM</f>
        <v>5.8538121500632042E-4</v>
      </c>
      <c r="AE223" s="305">
        <f t="shared" si="92"/>
        <v>0.5</v>
      </c>
      <c r="AF223" s="177">
        <f t="shared" si="93"/>
        <v>0.43639425773129048</v>
      </c>
      <c r="AG223" s="811">
        <f t="shared" si="99"/>
        <v>2</v>
      </c>
      <c r="AH223" s="176">
        <f t="shared" si="94"/>
        <v>8</v>
      </c>
      <c r="AI223" s="225">
        <f t="shared" si="95"/>
        <v>2.4363942577312905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'2025'!Wh/'2025'!Env_an*'2026'!Env_an</f>
        <v>29.397905571438407</v>
      </c>
      <c r="C224" s="841"/>
      <c r="D224" s="393">
        <f t="shared" si="77"/>
        <v>31.375912348362636</v>
      </c>
      <c r="E224" s="385">
        <f t="shared" si="75"/>
        <v>31.819765684437254</v>
      </c>
      <c r="F224" s="385">
        <f t="shared" si="78"/>
        <v>31.820655436441044</v>
      </c>
      <c r="G224" s="110">
        <f t="shared" si="76"/>
        <v>0.53934997086061698</v>
      </c>
      <c r="H224" s="414" t="b">
        <f>Wh_hp&gt;='2025'!Maxi_hp</f>
        <v>0</v>
      </c>
      <c r="I224" s="390">
        <f>IF(H224,Wh_hp,'2025'!Maxi_hp)</f>
        <v>59.643858292588483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6.304220750500189E-2</v>
      </c>
      <c r="M224" s="845"/>
      <c r="N224" s="845"/>
      <c r="O224" s="48">
        <f>IF(t&lt;Tnet,'2025'!Resal+('2025'!Salim-'2025'!Resal)*(1-EXP(('2025'!Tnet-t)/('2025'!Tau_j))),Resal+(Salim-Resal)*(1-EXP((Tnet-t)/(Tau_j))))*Salcycl</f>
        <v>1.394898191509005E-2</v>
      </c>
      <c r="P224" s="169">
        <f>(INDEX(Models!$BJ224:$BT224,,T224)*(1-R224)+INDEX(Models!$BJ224:$BT224,,T224+1)*R224-ERP_i)*Q224*Ramure*Pc/MaxiM</f>
        <v>8.176583173682564E-5</v>
      </c>
      <c r="Q224" s="305">
        <f t="shared" si="80"/>
        <v>0.5</v>
      </c>
      <c r="R224" s="177">
        <f t="shared" si="81"/>
        <v>0.91357916036134501</v>
      </c>
      <c r="S224" s="811">
        <f t="shared" si="82"/>
        <v>-2</v>
      </c>
      <c r="T224" s="176">
        <f t="shared" si="83"/>
        <v>4</v>
      </c>
      <c r="U224" s="251">
        <f t="shared" si="84"/>
        <v>-1.086420839638655</v>
      </c>
      <c r="V224" s="383">
        <f t="shared" si="85"/>
        <v>54.50324535010467</v>
      </c>
      <c r="W224" s="402">
        <f t="shared" si="86"/>
        <v>29.397905571438407</v>
      </c>
      <c r="X224" s="157">
        <f t="shared" si="87"/>
        <v>46232</v>
      </c>
      <c r="Y224" s="385">
        <f t="shared" si="88"/>
        <v>27.920173567784619</v>
      </c>
      <c r="Z224" s="385">
        <f t="shared" si="89"/>
        <v>29.798752720159129</v>
      </c>
      <c r="AA224" s="386">
        <f t="shared" si="90"/>
        <v>31.814551777298782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6.3360913309425365E-2</v>
      </c>
      <c r="AD224" s="231">
        <f>(INDEX(Models!$BJ224:$BT224,,AH224)*(1-AF224)+INDEX(Models!$BJ224:$BT224,,AH224+1)*AF224-ERP_i)*AE224*Ramure*Pc/MaxiM</f>
        <v>5.6090996623619181E-4</v>
      </c>
      <c r="AE224" s="305">
        <f t="shared" si="92"/>
        <v>0.5</v>
      </c>
      <c r="AF224" s="177">
        <f t="shared" si="93"/>
        <v>0.43856672673532371</v>
      </c>
      <c r="AG224" s="811">
        <f t="shared" si="99"/>
        <v>2</v>
      </c>
      <c r="AH224" s="176">
        <f t="shared" si="94"/>
        <v>8</v>
      </c>
      <c r="AI224" s="225">
        <f t="shared" si="95"/>
        <v>2.4385667267353237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'2025'!Wh/'2025'!Env_an*'2026'!Env_an</f>
        <v>49.474114725049731</v>
      </c>
      <c r="C225" s="841"/>
      <c r="D225" s="393">
        <f t="shared" si="77"/>
        <v>52.804084405042886</v>
      </c>
      <c r="E225" s="385">
        <f t="shared" si="75"/>
        <v>53.556098137022701</v>
      </c>
      <c r="F225" s="385">
        <f t="shared" si="78"/>
        <v>53.559833089921376</v>
      </c>
      <c r="G225" s="110">
        <f t="shared" si="76"/>
        <v>0.90997424914560932</v>
      </c>
      <c r="H225" s="414" t="b">
        <f>Wh_hp&gt;='2025'!Maxi_hp</f>
        <v>0</v>
      </c>
      <c r="I225" s="390">
        <f>IF(H225,Wh_hp,'2025'!Maxi_hp)</f>
        <v>55.994393253662331</v>
      </c>
      <c r="J225" s="85">
        <f>IF(H225,An,'2025'!An_max)</f>
        <v>2018</v>
      </c>
      <c r="K225" s="197">
        <f t="shared" si="79"/>
        <v>46233</v>
      </c>
      <c r="L225" s="147">
        <f>IF(t&lt;Tvie,1-EXP((T0-t)*PertePVj)+'2025'!Pspv,1-EXP((T0-t)*PertePVj)+Pspv)</f>
        <v>6.3062729285296326E-2</v>
      </c>
      <c r="M225" s="845"/>
      <c r="N225" s="845"/>
      <c r="O225" s="48">
        <f>IF(t&lt;Tnet,'2025'!Resal+('2025'!Salim-'2025'!Resal)*(1-EXP(('2025'!Tnet-t)/('2025'!Tau_j))),Resal+(Salim-Resal)*(1-EXP((Tnet-t)/(Tau_j))))*Salcycl</f>
        <v>1.4041607924008917E-2</v>
      </c>
      <c r="P225" s="169">
        <f>(INDEX(Models!$BJ225:$BT225,,T225)*(1-R225)+INDEX(Models!$BJ225:$BT225,,T225+1)*R225-ERP_i)*Q225*Ramure*Pc/MaxiM</f>
        <v>8.0025018921108936E-5</v>
      </c>
      <c r="Q225" s="305">
        <f t="shared" si="80"/>
        <v>0.5</v>
      </c>
      <c r="R225" s="177">
        <f t="shared" si="81"/>
        <v>0.91568444390822723</v>
      </c>
      <c r="S225" s="811">
        <f t="shared" si="82"/>
        <v>-2</v>
      </c>
      <c r="T225" s="176">
        <f t="shared" si="83"/>
        <v>4</v>
      </c>
      <c r="U225" s="251">
        <f t="shared" si="84"/>
        <v>-1.0843155560917728</v>
      </c>
      <c r="V225" s="383">
        <f t="shared" si="85"/>
        <v>54.368138007823127</v>
      </c>
      <c r="W225" s="402">
        <f t="shared" si="86"/>
        <v>49.474114725049731</v>
      </c>
      <c r="X225" s="157">
        <f t="shared" si="87"/>
        <v>46233</v>
      </c>
      <c r="Y225" s="385">
        <f t="shared" si="88"/>
        <v>46.978390852287902</v>
      </c>
      <c r="Z225" s="385">
        <f t="shared" si="89"/>
        <v>50.140380066695805</v>
      </c>
      <c r="AA225" s="386">
        <f t="shared" si="90"/>
        <v>53.534933150872902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6.3408187596135049E-2</v>
      </c>
      <c r="AD225" s="231">
        <f>(INDEX(Models!$BJ225:$BT225,,AH225)*(1-AF225)+INDEX(Models!$BJ225:$BT225,,AH225+1)*AF225-ERP_i)*AE225*Ramure*Pc/MaxiM</f>
        <v>5.335055481404706E-4</v>
      </c>
      <c r="AE225" s="305">
        <f t="shared" si="92"/>
        <v>0.5</v>
      </c>
      <c r="AF225" s="177">
        <f t="shared" si="93"/>
        <v>0.44067201028220637</v>
      </c>
      <c r="AG225" s="811">
        <f t="shared" si="99"/>
        <v>2</v>
      </c>
      <c r="AH225" s="176">
        <f t="shared" si="94"/>
        <v>8</v>
      </c>
      <c r="AI225" s="225">
        <f t="shared" si="95"/>
        <v>2.4406720102822064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'2025'!Wh/'2025'!Env_an*'2026'!Env_an</f>
        <v>52.14032174022433</v>
      </c>
      <c r="C226" s="841"/>
      <c r="D226" s="393">
        <f t="shared" si="77"/>
        <v>55.650965546844482</v>
      </c>
      <c r="E226" s="385">
        <f t="shared" si="75"/>
        <v>56.448819003999937</v>
      </c>
      <c r="F226" s="385">
        <f t="shared" si="78"/>
        <v>56.452958725921576</v>
      </c>
      <c r="G226" s="110">
        <f t="shared" si="76"/>
        <v>0.96143184494249101</v>
      </c>
      <c r="H226" s="414" t="b">
        <f>Wh_hp&gt;='2025'!Maxi_hp</f>
        <v>0</v>
      </c>
      <c r="I226" s="390">
        <f>IF(H226,Wh_hp,'2025'!Maxi_hp)</f>
        <v>58.250484133448317</v>
      </c>
      <c r="J226" s="85">
        <f>IF(H226,An,'2025'!An_max)</f>
        <v>2019</v>
      </c>
      <c r="K226" s="197">
        <f t="shared" si="79"/>
        <v>46234</v>
      </c>
      <c r="L226" s="147">
        <f>IF(t&lt;Tvie,1-EXP((T0-t)*PertePVj)+'2025'!Pspv,1-EXP((T0-t)*PertePVj)+Pspv)</f>
        <v>6.3083250616111086E-2</v>
      </c>
      <c r="M226" s="845"/>
      <c r="N226" s="845"/>
      <c r="O226" s="48">
        <f>IF(t&lt;Tnet,'2025'!Resal+('2025'!Salim-'2025'!Resal)*(1-EXP(('2025'!Tnet-t)/('2025'!Tau_j))),Resal+(Salim-Resal)*(1-EXP((Tnet-t)/(Tau_j))))*Salcycl</f>
        <v>1.4134103622237304E-2</v>
      </c>
      <c r="P226" s="169">
        <f>(INDEX(Models!$BJ226:$BT226,,T226)*(1-R226)+INDEX(Models!$BJ226:$BT226,,T226+1)*R226-ERP_i)*Q226*Ramure*Pc/MaxiM</f>
        <v>7.7605893095630598E-5</v>
      </c>
      <c r="Q226" s="305">
        <f t="shared" si="80"/>
        <v>0.5</v>
      </c>
      <c r="R226" s="177">
        <f t="shared" si="81"/>
        <v>0.91772391497370043</v>
      </c>
      <c r="S226" s="811">
        <f t="shared" si="82"/>
        <v>-2</v>
      </c>
      <c r="T226" s="176">
        <f t="shared" si="83"/>
        <v>4</v>
      </c>
      <c r="U226" s="251">
        <f t="shared" si="84"/>
        <v>-1.0822760850262996</v>
      </c>
      <c r="V226" s="383">
        <f t="shared" si="85"/>
        <v>54.23171603494189</v>
      </c>
      <c r="W226" s="402">
        <f t="shared" si="86"/>
        <v>52.14032174022433</v>
      </c>
      <c r="X226" s="157">
        <f t="shared" si="87"/>
        <v>46234</v>
      </c>
      <c r="Y226" s="385">
        <f t="shared" si="88"/>
        <v>49.51187389772462</v>
      </c>
      <c r="Z226" s="385">
        <f t="shared" si="89"/>
        <v>52.845542499142368</v>
      </c>
      <c r="AA226" s="386">
        <f t="shared" si="90"/>
        <v>56.426071083030834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6.3455216979749138E-2</v>
      </c>
      <c r="AD226" s="231">
        <f>(INDEX(Models!$BJ226:$BT226,,AH226)*(1-AF226)+INDEX(Models!$BJ226:$BT226,,AH226+1)*AF226-ERP_i)*AE226*Ramure*Pc/MaxiM</f>
        <v>5.0405306908776694E-4</v>
      </c>
      <c r="AE226" s="305">
        <f t="shared" si="92"/>
        <v>0.5</v>
      </c>
      <c r="AF226" s="177">
        <f t="shared" si="93"/>
        <v>0.44271148134767913</v>
      </c>
      <c r="AG226" s="811">
        <f t="shared" si="99"/>
        <v>2</v>
      </c>
      <c r="AH226" s="176">
        <f t="shared" si="94"/>
        <v>8</v>
      </c>
      <c r="AI226" s="225">
        <f t="shared" si="95"/>
        <v>2.4427114813476791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'2025'!Wh/'2025'!Env_an*'2026'!Env_an</f>
        <v>51.229072910321264</v>
      </c>
      <c r="C227" s="841"/>
      <c r="D227" s="393">
        <f t="shared" si="77"/>
        <v>54.679559327719254</v>
      </c>
      <c r="E227" s="385">
        <f t="shared" si="75"/>
        <v>55.468682933100162</v>
      </c>
      <c r="F227" s="385">
        <f t="shared" si="78"/>
        <v>55.472525548907008</v>
      </c>
      <c r="G227" s="110">
        <f t="shared" si="76"/>
        <v>0.94703338648356661</v>
      </c>
      <c r="H227" s="414" t="b">
        <f>Wh_hp&gt;='2025'!Maxi_hp</f>
        <v>0</v>
      </c>
      <c r="I227" s="390">
        <f>IF(H227,Wh_hp,'2025'!Maxi_hp)</f>
        <v>55.472696220067832</v>
      </c>
      <c r="J227" s="85">
        <f>IF(H227,An,'2025'!An_max)</f>
        <v>2025</v>
      </c>
      <c r="K227" s="197">
        <f t="shared" si="79"/>
        <v>46235</v>
      </c>
      <c r="L227" s="147">
        <f>IF(t&lt;Tvie,1-EXP((T0-t)*PertePVj)+'2025'!Pspv,1-EXP((T0-t)*PertePVj)+Pspv)</f>
        <v>6.3103771497456052E-2</v>
      </c>
      <c r="M227" s="845"/>
      <c r="N227" s="845"/>
      <c r="O227" s="48">
        <f>IF(t&lt;Tnet,'2025'!Resal+('2025'!Salim-'2025'!Resal)*(1-EXP(('2025'!Tnet-t)/('2025'!Tau_j))),Resal+(Salim-Resal)*(1-EXP((Tnet-t)/(Tau_j))))*Salcycl</f>
        <v>1.422647093194299E-2</v>
      </c>
      <c r="P227" s="169">
        <f>(INDEX(Models!$BJ227:$BT227,,T227)*(1-R227)+INDEX(Models!$BJ227:$BT227,,T227+1)*R227-ERP_i)*Q227*Ramure*Pc/MaxiM</f>
        <v>7.4940531886848771E-5</v>
      </c>
      <c r="Q227" s="305">
        <f t="shared" si="80"/>
        <v>0.5</v>
      </c>
      <c r="R227" s="177">
        <f t="shared" si="81"/>
        <v>0.91969896970236964</v>
      </c>
      <c r="S227" s="811">
        <f t="shared" si="82"/>
        <v>-2</v>
      </c>
      <c r="T227" s="176">
        <f t="shared" si="83"/>
        <v>4</v>
      </c>
      <c r="U227" s="251">
        <f t="shared" si="84"/>
        <v>-1.0803010302976304</v>
      </c>
      <c r="V227" s="383">
        <f t="shared" si="85"/>
        <v>54.093956091336565</v>
      </c>
      <c r="W227" s="402">
        <f t="shared" si="86"/>
        <v>51.229072910321264</v>
      </c>
      <c r="X227" s="157">
        <f t="shared" si="87"/>
        <v>46235</v>
      </c>
      <c r="Y227" s="385">
        <f t="shared" si="88"/>
        <v>48.650288219889795</v>
      </c>
      <c r="Z227" s="385">
        <f t="shared" si="89"/>
        <v>51.927083000054679</v>
      </c>
      <c r="AA227" s="386">
        <f t="shared" si="90"/>
        <v>55.448152299456531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6.350201320299656E-2</v>
      </c>
      <c r="AD227" s="231">
        <f>(INDEX(Models!$BJ227:$BT227,,AH227)*(1-AF227)+INDEX(Models!$BJ227:$BT227,,AH227+1)*AF227-ERP_i)*AE227*Ramure*Pc/MaxiM</f>
        <v>4.7533877167015058E-4</v>
      </c>
      <c r="AE227" s="305">
        <f t="shared" si="92"/>
        <v>0.5</v>
      </c>
      <c r="AF227" s="177">
        <f t="shared" si="93"/>
        <v>0.44468653607634856</v>
      </c>
      <c r="AG227" s="811">
        <f t="shared" si="99"/>
        <v>2</v>
      </c>
      <c r="AH227" s="176">
        <f t="shared" si="94"/>
        <v>8</v>
      </c>
      <c r="AI227" s="225">
        <f t="shared" si="95"/>
        <v>2.4446865360763486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'2025'!Wh/'2025'!Env_an*'2026'!Env_an</f>
        <v>51.431441697491245</v>
      </c>
      <c r="C228" s="841"/>
      <c r="D228" s="393">
        <f t="shared" si="77"/>
        <v>54.89676085572313</v>
      </c>
      <c r="E228" s="385">
        <f t="shared" si="75"/>
        <v>55.69423047410875</v>
      </c>
      <c r="F228" s="385">
        <f t="shared" si="78"/>
        <v>55.697974174985553</v>
      </c>
      <c r="G228" s="110">
        <f t="shared" si="76"/>
        <v>0.95322637443156844</v>
      </c>
      <c r="H228" s="414" t="b">
        <f>Wh_hp&gt;='2025'!Maxi_hp</f>
        <v>0</v>
      </c>
      <c r="I228" s="390">
        <f>IF(H228,Wh_hp,'2025'!Maxi_hp)</f>
        <v>56.845203333586923</v>
      </c>
      <c r="J228" s="85">
        <f>IF(H228,An,'2025'!An_max)</f>
        <v>2019</v>
      </c>
      <c r="K228" s="197">
        <f t="shared" si="79"/>
        <v>46236</v>
      </c>
      <c r="L228" s="147">
        <f>IF(t&lt;Tvie,1-EXP((T0-t)*PertePVj)+'2025'!Pspv,1-EXP((T0-t)*PertePVj)+Pspv)</f>
        <v>6.3124291929340992E-2</v>
      </c>
      <c r="M228" s="845"/>
      <c r="N228" s="845"/>
      <c r="O228" s="48">
        <f>IF(t&lt;Tnet,'2025'!Resal+('2025'!Salim-'2025'!Resal)*(1-EXP(('2025'!Tnet-t)/('2025'!Tau_j))),Resal+(Salim-Resal)*(1-EXP((Tnet-t)/(Tau_j))))*Salcycl</f>
        <v>1.4318711500221702E-2</v>
      </c>
      <c r="P228" s="169">
        <f>(INDEX(Models!$BJ228:$BT228,,T228)*(1-R228)+INDEX(Models!$BJ228:$BT228,,T228+1)*R228-ERP_i)*Q228*Ramure*Pc/MaxiM</f>
        <v>7.2026617558751917E-5</v>
      </c>
      <c r="Q228" s="305">
        <f t="shared" si="80"/>
        <v>0.5</v>
      </c>
      <c r="R228" s="177">
        <f t="shared" si="81"/>
        <v>0.92161102278700646</v>
      </c>
      <c r="S228" s="811">
        <f t="shared" si="82"/>
        <v>-2</v>
      </c>
      <c r="T228" s="176">
        <f t="shared" si="83"/>
        <v>4</v>
      </c>
      <c r="U228" s="251">
        <f t="shared" si="84"/>
        <v>-1.0783889772129935</v>
      </c>
      <c r="V228" s="383">
        <f t="shared" si="85"/>
        <v>53.954858527266971</v>
      </c>
      <c r="W228" s="402">
        <f t="shared" si="86"/>
        <v>51.431441697491245</v>
      </c>
      <c r="X228" s="157">
        <f t="shared" si="87"/>
        <v>46236</v>
      </c>
      <c r="Y228" s="385">
        <f t="shared" si="88"/>
        <v>48.845580906774252</v>
      </c>
      <c r="Z228" s="385">
        <f t="shared" si="89"/>
        <v>52.136671370595863</v>
      </c>
      <c r="AA228" s="386">
        <f t="shared" si="90"/>
        <v>55.674721207327259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6.3548586504026519E-2</v>
      </c>
      <c r="AD228" s="231">
        <f>(INDEX(Models!$BJ228:$BT228,,AH228)*(1-AF228)+INDEX(Models!$BJ228:$BT228,,AH228+1)*AF228-ERP_i)*AE228*Ramure*Pc/MaxiM</f>
        <v>4.4737351186605913E-4</v>
      </c>
      <c r="AE228" s="305">
        <f t="shared" si="92"/>
        <v>0.5</v>
      </c>
      <c r="AF228" s="177">
        <f t="shared" si="93"/>
        <v>0.4465985891609856</v>
      </c>
      <c r="AG228" s="811">
        <f t="shared" si="99"/>
        <v>2</v>
      </c>
      <c r="AH228" s="176">
        <f t="shared" si="94"/>
        <v>8</v>
      </c>
      <c r="AI228" s="225">
        <f t="shared" si="95"/>
        <v>2.4465985891609856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'2025'!Wh/'2025'!Env_an*'2026'!Env_an</f>
        <v>49.277957443280954</v>
      </c>
      <c r="C229" s="841"/>
      <c r="D229" s="393">
        <f t="shared" si="77"/>
        <v>52.599332393984056</v>
      </c>
      <c r="E229" s="385">
        <f t="shared" si="75"/>
        <v>53.36841537901865</v>
      </c>
      <c r="F229" s="385">
        <f t="shared" si="78"/>
        <v>53.371648049844737</v>
      </c>
      <c r="G229" s="110">
        <f t="shared" si="76"/>
        <v>0.91569407188611418</v>
      </c>
      <c r="H229" s="414" t="b">
        <f>Wh_hp&gt;='2025'!Maxi_hp</f>
        <v>0</v>
      </c>
      <c r="I229" s="390">
        <f>IF(H229,Wh_hp,'2025'!Maxi_hp)</f>
        <v>57.532187418566849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6.31448119117759E-2</v>
      </c>
      <c r="M229" s="845"/>
      <c r="N229" s="845"/>
      <c r="O229" s="48">
        <f>IF(t&lt;Tnet,'2025'!Resal+('2025'!Salim-'2025'!Resal)*(1-EXP(('2025'!Tnet-t)/('2025'!Tau_j))),Resal+(Salim-Resal)*(1-EXP((Tnet-t)/(Tau_j))))*Salcycl</f>
        <v>1.4410826695389393E-2</v>
      </c>
      <c r="P229" s="169">
        <f>(INDEX(Models!$BJ229:$BT229,,T229)*(1-R229)+INDEX(Models!$BJ229:$BT229,,T229+1)*R229-ERP_i)*Q229*Ramure*Pc/MaxiM</f>
        <v>6.8861833448328165E-5</v>
      </c>
      <c r="Q229" s="305">
        <f t="shared" si="80"/>
        <v>0.5</v>
      </c>
      <c r="R229" s="177">
        <f t="shared" si="81"/>
        <v>0.92346150310972952</v>
      </c>
      <c r="S229" s="811">
        <f t="shared" si="82"/>
        <v>-2</v>
      </c>
      <c r="T229" s="176">
        <f t="shared" si="83"/>
        <v>4</v>
      </c>
      <c r="U229" s="251">
        <f t="shared" si="84"/>
        <v>-1.0765384968902705</v>
      </c>
      <c r="V229" s="383">
        <f t="shared" si="85"/>
        <v>53.814423704133802</v>
      </c>
      <c r="W229" s="402">
        <f t="shared" si="86"/>
        <v>49.277957443280954</v>
      </c>
      <c r="X229" s="157">
        <f t="shared" si="87"/>
        <v>46237</v>
      </c>
      <c r="Y229" s="385">
        <f t="shared" si="88"/>
        <v>46.804358542438003</v>
      </c>
      <c r="Z229" s="385">
        <f t="shared" si="89"/>
        <v>49.959010888276595</v>
      </c>
      <c r="AA229" s="386">
        <f t="shared" si="90"/>
        <v>53.351923567579469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6.3594945644371417E-2</v>
      </c>
      <c r="AD229" s="231">
        <f>(INDEX(Models!$BJ229:$BT229,,AH229)*(1-AF229)+INDEX(Models!$BJ229:$BT229,,AH229+1)*AF229-ERP_i)*AE229*Ramure*Pc/MaxiM</f>
        <v>4.2016774539691893E-4</v>
      </c>
      <c r="AE229" s="305">
        <f t="shared" si="92"/>
        <v>0.5</v>
      </c>
      <c r="AF229" s="177">
        <f t="shared" si="93"/>
        <v>0.44844906948370822</v>
      </c>
      <c r="AG229" s="811">
        <f t="shared" si="99"/>
        <v>2</v>
      </c>
      <c r="AH229" s="176">
        <f t="shared" si="94"/>
        <v>8</v>
      </c>
      <c r="AI229" s="225">
        <f t="shared" si="95"/>
        <v>2.4484490694837082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'2025'!Wh/'2025'!Env_an*'2026'!Env_an</f>
        <v>46.240525278886984</v>
      </c>
      <c r="C230" s="841"/>
      <c r="D230" s="393">
        <f t="shared" si="77"/>
        <v>49.358255870481756</v>
      </c>
      <c r="E230" s="385">
        <f t="shared" si="75"/>
        <v>50.084624037744398</v>
      </c>
      <c r="F230" s="385">
        <f t="shared" si="78"/>
        <v>50.087253518392636</v>
      </c>
      <c r="G230" s="110">
        <f t="shared" si="76"/>
        <v>0.86151745637610699</v>
      </c>
      <c r="H230" s="414" t="b">
        <f>Wh_hp&gt;='2025'!Maxi_hp</f>
        <v>0</v>
      </c>
      <c r="I230" s="390">
        <f>IF(H230,Wh_hp,'2025'!Maxi_hp)</f>
        <v>54.820289563876685</v>
      </c>
      <c r="J230" s="85">
        <f>IF(H230,An,'2025'!An_max)</f>
        <v>2019</v>
      </c>
      <c r="K230" s="197">
        <f t="shared" si="79"/>
        <v>46238</v>
      </c>
      <c r="L230" s="147">
        <f>IF(t&lt;Tvie,1-EXP((T0-t)*PertePVj)+'2025'!Pspv,1-EXP((T0-t)*PertePVj)+Pspv)</f>
        <v>6.3165331444770545E-2</v>
      </c>
      <c r="M230" s="845"/>
      <c r="N230" s="845"/>
      <c r="O230" s="48">
        <f>IF(t&lt;Tnet,'2025'!Resal+('2025'!Salim-'2025'!Resal)*(1-EXP(('2025'!Tnet-t)/('2025'!Tau_j))),Resal+(Salim-Resal)*(1-EXP((Tnet-t)/(Tau_j))))*Salcycl</f>
        <v>1.4502817605563769E-2</v>
      </c>
      <c r="P230" s="169">
        <f>(INDEX(Models!$BJ230:$BT230,,T230)*(1-R230)+INDEX(Models!$BJ230:$BT230,,T230+1)*R230-ERP_i)*Q230*Ramure*Pc/MaxiM</f>
        <v>6.5443860767006327E-5</v>
      </c>
      <c r="Q230" s="305">
        <f t="shared" si="80"/>
        <v>0.5</v>
      </c>
      <c r="R230" s="177">
        <f t="shared" si="81"/>
        <v>0.92525184964440621</v>
      </c>
      <c r="S230" s="811">
        <f t="shared" si="82"/>
        <v>-2</v>
      </c>
      <c r="T230" s="176">
        <f t="shared" si="83"/>
        <v>4</v>
      </c>
      <c r="U230" s="251">
        <f t="shared" si="84"/>
        <v>-1.0747481503555938</v>
      </c>
      <c r="V230" s="383">
        <f t="shared" si="85"/>
        <v>53.672651995436894</v>
      </c>
      <c r="W230" s="402">
        <f t="shared" si="86"/>
        <v>46.240525278886984</v>
      </c>
      <c r="X230" s="157">
        <f t="shared" si="87"/>
        <v>46238</v>
      </c>
      <c r="Y230" s="385">
        <f t="shared" si="88"/>
        <v>43.923336693273576</v>
      </c>
      <c r="Z230" s="385">
        <f t="shared" si="89"/>
        <v>46.884832689861277</v>
      </c>
      <c r="AA230" s="386">
        <f t="shared" si="90"/>
        <v>50.071433706668778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6.3641097945695335E-2</v>
      </c>
      <c r="AD230" s="231">
        <f>(INDEX(Models!$BJ230:$BT230,,AH230)*(1-AF230)+INDEX(Models!$BJ230:$BT230,,AH230+1)*AF230-ERP_i)*AE230*Ramure*Pc/MaxiM</f>
        <v>3.9373157452679157E-4</v>
      </c>
      <c r="AE230" s="305">
        <f t="shared" si="92"/>
        <v>0.5</v>
      </c>
      <c r="AF230" s="177">
        <f t="shared" si="93"/>
        <v>0.45023941601838491</v>
      </c>
      <c r="AG230" s="811">
        <f t="shared" si="99"/>
        <v>2</v>
      </c>
      <c r="AH230" s="176">
        <f t="shared" si="94"/>
        <v>8</v>
      </c>
      <c r="AI230" s="225">
        <f t="shared" si="95"/>
        <v>2.4502394160183849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'2025'!Wh/'2025'!Env_an*'2026'!Env_an</f>
        <v>43.020638256023176</v>
      </c>
      <c r="C231" s="841"/>
      <c r="D231" s="393">
        <f t="shared" si="77"/>
        <v>45.922276345084569</v>
      </c>
      <c r="E231" s="385">
        <f t="shared" si="75"/>
        <v>46.602424046110372</v>
      </c>
      <c r="F231" s="385">
        <f t="shared" si="78"/>
        <v>46.604495450803732</v>
      </c>
      <c r="G231" s="110">
        <f t="shared" si="76"/>
        <v>0.80366634748256371</v>
      </c>
      <c r="H231" s="414" t="b">
        <f>Wh_hp&gt;='2025'!Maxi_hp</f>
        <v>0</v>
      </c>
      <c r="I231" s="390">
        <f>IF(H231,Wh_hp,'2025'!Maxi_hp)</f>
        <v>56.442491959447445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6.3185850528334697E-2</v>
      </c>
      <c r="M231" s="845"/>
      <c r="N231" s="845"/>
      <c r="O231" s="48">
        <f>IF(t&lt;Tnet,'2025'!Resal+('2025'!Salim-'2025'!Resal)*(1-EXP(('2025'!Tnet-t)/('2025'!Tau_j))),Resal+(Salim-Resal)*(1-EXP((Tnet-t)/(Tau_j))))*Salcycl</f>
        <v>1.4594685039405629E-2</v>
      </c>
      <c r="P231" s="169">
        <f>(INDEX(Models!$BJ231:$BT231,,T231)*(1-R231)+INDEX(Models!$BJ231:$BT231,,T231+1)*R231-ERP_i)*Q231*Ramure*Pc/MaxiM</f>
        <v>6.177037606217859E-5</v>
      </c>
      <c r="Q231" s="305">
        <f t="shared" si="80"/>
        <v>0.5</v>
      </c>
      <c r="R231" s="177">
        <f t="shared" si="81"/>
        <v>0.9269835076180486</v>
      </c>
      <c r="S231" s="811">
        <f t="shared" si="82"/>
        <v>-2</v>
      </c>
      <c r="T231" s="176">
        <f t="shared" si="83"/>
        <v>4</v>
      </c>
      <c r="U231" s="251">
        <f t="shared" si="84"/>
        <v>-1.0730164923819514</v>
      </c>
      <c r="V231" s="383">
        <f t="shared" si="85"/>
        <v>53.529543785912509</v>
      </c>
      <c r="W231" s="402">
        <f t="shared" si="86"/>
        <v>43.020638256023176</v>
      </c>
      <c r="X231" s="157">
        <f t="shared" si="87"/>
        <v>46239</v>
      </c>
      <c r="Y231" s="385">
        <f t="shared" si="88"/>
        <v>40.868363387300889</v>
      </c>
      <c r="Z231" s="385">
        <f t="shared" si="89"/>
        <v>43.624835737535989</v>
      </c>
      <c r="AA231" s="386">
        <f t="shared" si="90"/>
        <v>46.592152449163144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6.3687049334430354E-2</v>
      </c>
      <c r="AD231" s="231">
        <f>(INDEX(Models!$BJ231:$BT231,,AH231)*(1-AF231)+INDEX(Models!$BJ231:$BT231,,AH231+1)*AF231-ERP_i)*AE231*Ramure*Pc/MaxiM</f>
        <v>3.680747926839561E-4</v>
      </c>
      <c r="AE231" s="305">
        <f t="shared" si="92"/>
        <v>0.5</v>
      </c>
      <c r="AF231" s="177">
        <f t="shared" si="93"/>
        <v>0.45197107399202752</v>
      </c>
      <c r="AG231" s="811">
        <f t="shared" si="99"/>
        <v>2</v>
      </c>
      <c r="AH231" s="176">
        <f t="shared" si="94"/>
        <v>8</v>
      </c>
      <c r="AI231" s="225">
        <f t="shared" si="95"/>
        <v>2.4519710739920275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'2025'!Wh/'2025'!Env_an*'2026'!Env_an</f>
        <v>47.140282634057172</v>
      </c>
      <c r="C232" s="841"/>
      <c r="D232" s="393">
        <f t="shared" si="77"/>
        <v>50.320882937592494</v>
      </c>
      <c r="E232" s="385">
        <f t="shared" si="75"/>
        <v>51.070932590049793</v>
      </c>
      <c r="F232" s="385">
        <f t="shared" si="78"/>
        <v>51.073392978449647</v>
      </c>
      <c r="G232" s="110">
        <f t="shared" si="76"/>
        <v>0.88301468847481657</v>
      </c>
      <c r="H232" s="414" t="b">
        <f>Wh_hp&gt;='2025'!Maxi_hp</f>
        <v>0</v>
      </c>
      <c r="I232" s="390">
        <f>IF(H232,Wh_hp,'2025'!Maxi_hp)</f>
        <v>57.46185272567628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6.3206369162478238E-2</v>
      </c>
      <c r="M232" s="845"/>
      <c r="N232" s="845"/>
      <c r="O232" s="48">
        <f>IF(t&lt;Tnet,'2025'!Resal+('2025'!Salim-'2025'!Resal)*(1-EXP(('2025'!Tnet-t)/('2025'!Tau_j))),Resal+(Salim-Resal)*(1-EXP((Tnet-t)/(Tau_j))))*Salcycl</f>
        <v>1.4686429528867347E-2</v>
      </c>
      <c r="P232" s="169">
        <f>(INDEX(Models!$BJ232:$BT232,,T232)*(1-R232)+INDEX(Models!$BJ232:$BT232,,T232+1)*R232-ERP_i)*Q232*Ramure*Pc/MaxiM</f>
        <v>5.7839049298584285E-5</v>
      </c>
      <c r="Q232" s="305">
        <f t="shared" si="80"/>
        <v>0.5</v>
      </c>
      <c r="R232" s="177">
        <f t="shared" si="81"/>
        <v>0.92865792492758015</v>
      </c>
      <c r="S232" s="811">
        <f t="shared" si="82"/>
        <v>-2</v>
      </c>
      <c r="T232" s="176">
        <f t="shared" si="83"/>
        <v>4</v>
      </c>
      <c r="U232" s="251">
        <f t="shared" si="84"/>
        <v>-1.0713420750724199</v>
      </c>
      <c r="V232" s="383">
        <f t="shared" si="85"/>
        <v>53.38509947187265</v>
      </c>
      <c r="W232" s="402">
        <f t="shared" si="86"/>
        <v>47.140282634057172</v>
      </c>
      <c r="X232" s="157">
        <f t="shared" si="87"/>
        <v>46240</v>
      </c>
      <c r="Y232" s="385">
        <f t="shared" si="88"/>
        <v>44.783113530408713</v>
      </c>
      <c r="Z232" s="385">
        <f t="shared" si="89"/>
        <v>47.804673362660736</v>
      </c>
      <c r="AA232" s="386">
        <f t="shared" si="90"/>
        <v>51.05879345872598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6.3732804393346026E-2</v>
      </c>
      <c r="AD232" s="231">
        <f>(INDEX(Models!$BJ232:$BT232,,AH232)*(1-AF232)+INDEX(Models!$BJ232:$BT232,,AH232+1)*AF232-ERP_i)*AE232*Ramure*Pc/MaxiM</f>
        <v>3.4320692663129018E-4</v>
      </c>
      <c r="AE232" s="305">
        <f t="shared" si="92"/>
        <v>0.5</v>
      </c>
      <c r="AF232" s="177">
        <f t="shared" si="93"/>
        <v>0.45364549130155885</v>
      </c>
      <c r="AG232" s="811">
        <f t="shared" si="99"/>
        <v>2</v>
      </c>
      <c r="AH232" s="176">
        <f t="shared" si="94"/>
        <v>8</v>
      </c>
      <c r="AI232" s="225">
        <f t="shared" si="95"/>
        <v>2.4536454913015588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'2025'!Wh/'2025'!Env_an*'2026'!Env_an</f>
        <v>50.103368012942283</v>
      </c>
      <c r="C233" s="841"/>
      <c r="D233" s="393">
        <f t="shared" si="77"/>
        <v>53.485062002962174</v>
      </c>
      <c r="E233" s="385">
        <f t="shared" ref="E233:E296" si="100">Wh_pvt/(1-Psa)</f>
        <v>54.287322846764852</v>
      </c>
      <c r="F233" s="385">
        <f t="shared" si="78"/>
        <v>54.289990264487066</v>
      </c>
      <c r="G233" s="110">
        <f t="shared" ref="G233:G296" si="101">+Wh_hp/MaxiM</f>
        <v>0.94108903483944784</v>
      </c>
      <c r="H233" s="414" t="b">
        <f>Wh_hp&gt;='2025'!Maxi_hp</f>
        <v>0</v>
      </c>
      <c r="I233" s="390">
        <f>IF(H233,Wh_hp,'2025'!Maxi_hp)</f>
        <v>55.820902062700583</v>
      </c>
      <c r="J233" s="85">
        <f>IF(H233,An,'2025'!An_max)</f>
        <v>2020</v>
      </c>
      <c r="K233" s="197">
        <f t="shared" si="79"/>
        <v>46241</v>
      </c>
      <c r="L233" s="147">
        <f>IF(t&lt;Tvie,1-EXP((T0-t)*PertePVj)+'2025'!Pspv,1-EXP((T0-t)*PertePVj)+Pspv)</f>
        <v>6.3226887347211047E-2</v>
      </c>
      <c r="M233" s="845"/>
      <c r="N233" s="845"/>
      <c r="O233" s="48">
        <f>IF(t&lt;Tnet,'2025'!Resal+('2025'!Salim-'2025'!Resal)*(1-EXP(('2025'!Tnet-t)/('2025'!Tau_j))),Resal+(Salim-Resal)*(1-EXP((Tnet-t)/(Tau_j))))*Salcycl</f>
        <v>1.4778051333774527E-2</v>
      </c>
      <c r="P233" s="169">
        <f>(INDEX(Models!$BJ233:$BT233,,T233)*(1-R233)+INDEX(Models!$BJ233:$BT233,,T233+1)*R233-ERP_i)*Q233*Ramure*Pc/MaxiM</f>
        <v>5.3647326197437202E-5</v>
      </c>
      <c r="Q233" s="305">
        <f t="shared" si="80"/>
        <v>0.5</v>
      </c>
      <c r="R233" s="177">
        <f t="shared" si="81"/>
        <v>0.93027654880714361</v>
      </c>
      <c r="S233" s="811">
        <f t="shared" si="82"/>
        <v>-2</v>
      </c>
      <c r="T233" s="176">
        <f t="shared" si="83"/>
        <v>4</v>
      </c>
      <c r="U233" s="251">
        <f t="shared" si="84"/>
        <v>-1.0697234511928564</v>
      </c>
      <c r="V233" s="383">
        <f t="shared" si="85"/>
        <v>53.239534148874171</v>
      </c>
      <c r="W233" s="402">
        <f t="shared" si="86"/>
        <v>50.103368012942283</v>
      </c>
      <c r="X233" s="157">
        <f t="shared" si="87"/>
        <v>46241</v>
      </c>
      <c r="Y233" s="385">
        <f t="shared" si="88"/>
        <v>47.599884514070695</v>
      </c>
      <c r="Z233" s="385">
        <f t="shared" si="89"/>
        <v>50.812607525930765</v>
      </c>
      <c r="AA233" s="386">
        <f t="shared" si="90"/>
        <v>54.274122390846486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6.3778366419048993E-2</v>
      </c>
      <c r="AD233" s="231">
        <f>(INDEX(Models!$BJ233:$BT233,,AH233)*(1-AF233)+INDEX(Models!$BJ233:$BT233,,AH233+1)*AF233-ERP_i)*AE233*Ramure*Pc/MaxiM</f>
        <v>3.1913598915030535E-4</v>
      </c>
      <c r="AE233" s="305">
        <f t="shared" si="92"/>
        <v>0.5</v>
      </c>
      <c r="AF233" s="177">
        <f t="shared" si="93"/>
        <v>0.45526411518112253</v>
      </c>
      <c r="AG233" s="811">
        <f t="shared" si="99"/>
        <v>2</v>
      </c>
      <c r="AH233" s="176">
        <f t="shared" si="94"/>
        <v>8</v>
      </c>
      <c r="AI233" s="225">
        <f t="shared" si="95"/>
        <v>2.4552641151811225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'2025'!Wh/'2025'!Env_an*'2026'!Env_an</f>
        <v>50.906306574431035</v>
      </c>
      <c r="C234" s="841"/>
      <c r="D234" s="393">
        <f t="shared" si="77"/>
        <v>54.343384636064656</v>
      </c>
      <c r="E234" s="385">
        <f t="shared" si="100"/>
        <v>55.163643211699153</v>
      </c>
      <c r="F234" s="385">
        <f t="shared" si="78"/>
        <v>55.166203610740922</v>
      </c>
      <c r="G234" s="110">
        <f t="shared" si="101"/>
        <v>0.9588112957444106</v>
      </c>
      <c r="H234" s="414" t="b">
        <f>Wh_hp&gt;='2025'!Maxi_hp</f>
        <v>0</v>
      </c>
      <c r="I234" s="390">
        <f>IF(H234,Wh_hp,'2025'!Maxi_hp)</f>
        <v>55.166289291392175</v>
      </c>
      <c r="J234" s="85">
        <f>IF(H234,An,'2025'!An_max)</f>
        <v>2025</v>
      </c>
      <c r="K234" s="197">
        <f t="shared" si="79"/>
        <v>46242</v>
      </c>
      <c r="L234" s="147">
        <f>IF(t&lt;Tvie,1-EXP((T0-t)*PertePVj)+'2025'!Pspv,1-EXP((T0-t)*PertePVj)+Pspv)</f>
        <v>6.3247405082542896E-2</v>
      </c>
      <c r="M234" s="845"/>
      <c r="N234" s="845"/>
      <c r="O234" s="48">
        <f>IF(t&lt;Tnet,'2025'!Resal+('2025'!Salim-'2025'!Resal)*(1-EXP(('2025'!Tnet-t)/('2025'!Tau_j))),Resal+(Salim-Resal)*(1-EXP((Tnet-t)/(Tau_j))))*Salcycl</f>
        <v>1.486955044804828E-2</v>
      </c>
      <c r="P234" s="169">
        <f>(INDEX(Models!$BJ234:$BT234,,T234)*(1-R234)+INDEX(Models!$BJ234:$BT234,,T234+1)*R234-ERP_i)*Q234*Ramure*Pc/MaxiM</f>
        <v>4.9313942810537988E-5</v>
      </c>
      <c r="Q234" s="305">
        <f t="shared" si="80"/>
        <v>0.5</v>
      </c>
      <c r="R234" s="177">
        <f t="shared" si="81"/>
        <v>0.93184082274006519</v>
      </c>
      <c r="S234" s="811">
        <f t="shared" si="82"/>
        <v>-2</v>
      </c>
      <c r="T234" s="176">
        <f t="shared" si="83"/>
        <v>4</v>
      </c>
      <c r="U234" s="251">
        <f t="shared" si="84"/>
        <v>-1.0681591772599348</v>
      </c>
      <c r="V234" s="383">
        <f t="shared" si="85"/>
        <v>53.09299034083233</v>
      </c>
      <c r="W234" s="402">
        <f t="shared" si="86"/>
        <v>50.906306574431035</v>
      </c>
      <c r="X234" s="157">
        <f t="shared" si="87"/>
        <v>46242</v>
      </c>
      <c r="Y234" s="385">
        <f t="shared" si="88"/>
        <v>48.365368597103398</v>
      </c>
      <c r="Z234" s="385">
        <f t="shared" si="89"/>
        <v>51.630888304467589</v>
      </c>
      <c r="AA234" s="386">
        <f t="shared" si="90"/>
        <v>55.150819745983412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6.3823737484376683E-2</v>
      </c>
      <c r="AD234" s="231">
        <f>(INDEX(Models!$BJ234:$BT234,,AH234)*(1-AF234)+INDEX(Models!$BJ234:$BT234,,AH234+1)*AF234-ERP_i)*AE234*Ramure*Pc/MaxiM</f>
        <v>2.9629718433730551E-4</v>
      </c>
      <c r="AE234" s="305">
        <f t="shared" si="92"/>
        <v>0.5</v>
      </c>
      <c r="AF234" s="177">
        <f t="shared" si="93"/>
        <v>0.45682838911404389</v>
      </c>
      <c r="AG234" s="811">
        <f t="shared" si="99"/>
        <v>2</v>
      </c>
      <c r="AH234" s="176">
        <f t="shared" si="94"/>
        <v>8</v>
      </c>
      <c r="AI234" s="225">
        <f t="shared" si="95"/>
        <v>2.4568283891140439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'2025'!Wh/'2025'!Env_an*'2026'!Env_an</f>
        <v>49.202086485601363</v>
      </c>
      <c r="C235" s="841"/>
      <c r="D235" s="393">
        <f t="shared" si="77"/>
        <v>52.525249919920078</v>
      </c>
      <c r="E235" s="385">
        <f t="shared" si="100"/>
        <v>53.323011582692097</v>
      </c>
      <c r="F235" s="385">
        <f t="shared" si="78"/>
        <v>53.325177325208415</v>
      </c>
      <c r="G235" s="110">
        <f t="shared" si="101"/>
        <v>0.92929522105576357</v>
      </c>
      <c r="H235" s="414" t="b">
        <f>Wh_hp&gt;='2025'!Maxi_hp</f>
        <v>0</v>
      </c>
      <c r="I235" s="390">
        <f>IF(H235,Wh_hp,'2025'!Maxi_hp)</f>
        <v>55.939165383860541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6.3267922368483775E-2</v>
      </c>
      <c r="M235" s="845"/>
      <c r="N235" s="845"/>
      <c r="O235" s="48">
        <f>IF(t&lt;Tnet,'2025'!Resal+('2025'!Salim-'2025'!Resal)*(1-EXP(('2025'!Tnet-t)/('2025'!Tau_j))),Resal+(Salim-Resal)*(1-EXP((Tnet-t)/(Tau_j))))*Salcycl</f>
        <v>1.496092660735918E-2</v>
      </c>
      <c r="P235" s="169">
        <f>(INDEX(Models!$BJ235:$BT235,,T235)*(1-R235)+INDEX(Models!$BJ235:$BT235,,T235+1)*R235-ERP_i)*Q235*Ramure*Pc/MaxiM</f>
        <v>4.5176771766332512E-5</v>
      </c>
      <c r="Q235" s="305">
        <f t="shared" si="80"/>
        <v>0.5</v>
      </c>
      <c r="R235" s="177">
        <f t="shared" si="81"/>
        <v>0.93335218360869354</v>
      </c>
      <c r="S235" s="811">
        <f t="shared" si="82"/>
        <v>-2</v>
      </c>
      <c r="T235" s="176">
        <f t="shared" si="83"/>
        <v>4</v>
      </c>
      <c r="U235" s="251">
        <f t="shared" si="84"/>
        <v>-1.0666478163913065</v>
      </c>
      <c r="V235" s="383">
        <f t="shared" si="85"/>
        <v>52.945351335112612</v>
      </c>
      <c r="W235" s="402">
        <f t="shared" si="86"/>
        <v>49.202086485601363</v>
      </c>
      <c r="X235" s="157">
        <f t="shared" si="87"/>
        <v>46243</v>
      </c>
      <c r="Y235" s="385">
        <f t="shared" si="88"/>
        <v>46.749514808515997</v>
      </c>
      <c r="Z235" s="385">
        <f t="shared" si="89"/>
        <v>49.907028834456042</v>
      </c>
      <c r="AA235" s="386">
        <f t="shared" si="90"/>
        <v>53.312009205734988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6.3868918504625671E-2</v>
      </c>
      <c r="AD235" s="231">
        <f>(INDEX(Models!$BJ235:$BT235,,AH235)*(1-AF235)+INDEX(Models!$BJ235:$BT235,,AH235+1)*AF235-ERP_i)*AE235*Ramure*Pc/MaxiM</f>
        <v>2.7468321998575391E-4</v>
      </c>
      <c r="AE235" s="305">
        <f t="shared" si="92"/>
        <v>0.5</v>
      </c>
      <c r="AF235" s="177">
        <f t="shared" si="93"/>
        <v>0.45833974998267246</v>
      </c>
      <c r="AG235" s="811">
        <f t="shared" si="99"/>
        <v>2</v>
      </c>
      <c r="AH235" s="176">
        <f t="shared" si="94"/>
        <v>8</v>
      </c>
      <c r="AI235" s="225">
        <f t="shared" si="95"/>
        <v>2.4583397499826725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'2025'!Wh/'2025'!Env_an*'2026'!Env_an</f>
        <v>47.17473156396354</v>
      </c>
      <c r="C236" s="841"/>
      <c r="D236" s="393">
        <f t="shared" si="77"/>
        <v>50.362068259227939</v>
      </c>
      <c r="E236" s="385">
        <f t="shared" si="100"/>
        <v>51.13171195539374</v>
      </c>
      <c r="F236" s="385">
        <f t="shared" si="78"/>
        <v>51.133499888605847</v>
      </c>
      <c r="G236" s="110">
        <f t="shared" si="101"/>
        <v>0.89351413888431042</v>
      </c>
      <c r="H236" s="414" t="b">
        <f>Wh_hp&gt;='2025'!Maxi_hp</f>
        <v>0</v>
      </c>
      <c r="I236" s="390">
        <f>IF(H236,Wh_hp,'2025'!Maxi_hp)</f>
        <v>53.022413412282127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6.3288439205043456E-2</v>
      </c>
      <c r="M236" s="845"/>
      <c r="N236" s="845"/>
      <c r="O236" s="48">
        <f>IF(t&lt;Tnet,'2025'!Resal+('2025'!Salim-'2025'!Resal)*(1-EXP(('2025'!Tnet-t)/('2025'!Tau_j))),Resal+(Salim-Resal)*(1-EXP((Tnet-t)/(Tau_j))))*Salcycl</f>
        <v>1.5052179297990643E-2</v>
      </c>
      <c r="P236" s="169">
        <f>(INDEX(Models!$BJ236:$BT236,,T236)*(1-R236)+INDEX(Models!$BJ236:$BT236,,T236+1)*R236-ERP_i)*Q236*Ramure*Pc/MaxiM</f>
        <v>4.1239048980114597E-5</v>
      </c>
      <c r="Q236" s="305">
        <f t="shared" si="80"/>
        <v>0.5</v>
      </c>
      <c r="R236" s="177">
        <f t="shared" si="81"/>
        <v>0.93481205907459053</v>
      </c>
      <c r="S236" s="811">
        <f t="shared" si="82"/>
        <v>-2</v>
      </c>
      <c r="T236" s="176">
        <f t="shared" si="83"/>
        <v>4</v>
      </c>
      <c r="U236" s="251">
        <f t="shared" si="84"/>
        <v>-1.0651879409254095</v>
      </c>
      <c r="V236" s="383">
        <f t="shared" si="85"/>
        <v>52.79651834321411</v>
      </c>
      <c r="W236" s="402">
        <f t="shared" si="86"/>
        <v>47.17473156396354</v>
      </c>
      <c r="X236" s="157">
        <f t="shared" si="87"/>
        <v>46244</v>
      </c>
      <c r="Y236" s="385">
        <f t="shared" si="88"/>
        <v>44.826366644226034</v>
      </c>
      <c r="Z236" s="385">
        <f t="shared" si="89"/>
        <v>47.855037260545132</v>
      </c>
      <c r="AA236" s="386">
        <f t="shared" si="90"/>
        <v>51.122474456483012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6.3913909306546113E-2</v>
      </c>
      <c r="AD236" s="231">
        <f>(INDEX(Models!$BJ236:$BT236,,AH236)*(1-AF236)+INDEX(Models!$BJ236:$BT236,,AH236+1)*AF236-ERP_i)*AE236*Ramure*Pc/MaxiM</f>
        <v>2.5430387011251448E-4</v>
      </c>
      <c r="AE236" s="305">
        <f t="shared" si="92"/>
        <v>0.5</v>
      </c>
      <c r="AF236" s="177">
        <f t="shared" si="93"/>
        <v>0.45979962544856967</v>
      </c>
      <c r="AG236" s="811">
        <f t="shared" si="99"/>
        <v>2</v>
      </c>
      <c r="AH236" s="176">
        <f t="shared" si="94"/>
        <v>8</v>
      </c>
      <c r="AI236" s="225">
        <f t="shared" si="95"/>
        <v>2.4597996254485697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'2025'!Wh/'2025'!Env_an*'2026'!Env_an</f>
        <v>43.410627687702537</v>
      </c>
      <c r="C237" s="841"/>
      <c r="D237" s="393">
        <f t="shared" si="77"/>
        <v>46.344659689950717</v>
      </c>
      <c r="E237" s="385">
        <f t="shared" si="100"/>
        <v>47.057262295549577</v>
      </c>
      <c r="F237" s="385">
        <f t="shared" si="78"/>
        <v>47.0585848721866</v>
      </c>
      <c r="G237" s="110">
        <f t="shared" si="101"/>
        <v>0.82456209211730491</v>
      </c>
      <c r="H237" s="414" t="b">
        <f>Wh_hp&gt;='2025'!Maxi_hp</f>
        <v>0</v>
      </c>
      <c r="I237" s="390">
        <f>IF(H237,Wh_hp,'2025'!Maxi_hp)</f>
        <v>54.934751797677123</v>
      </c>
      <c r="J237" s="85">
        <f>IF(H237,An,'2025'!An_max)</f>
        <v>2018</v>
      </c>
      <c r="K237" s="197">
        <f t="shared" si="79"/>
        <v>46245</v>
      </c>
      <c r="L237" s="147">
        <f>IF(t&lt;Tvie,1-EXP((T0-t)*PertePVj)+'2025'!Pspv,1-EXP((T0-t)*PertePVj)+Pspv)</f>
        <v>6.3308955592231708E-2</v>
      </c>
      <c r="M237" s="845"/>
      <c r="N237" s="845"/>
      <c r="O237" s="48">
        <f>IF(t&lt;Tnet,'2025'!Resal+('2025'!Salim-'2025'!Resal)*(1-EXP(('2025'!Tnet-t)/('2025'!Tau_j))),Resal+(Salim-Resal)*(1-EXP((Tnet-t)/(Tau_j))))*Salcycl</f>
        <v>1.5143307766679232E-2</v>
      </c>
      <c r="P237" s="169">
        <f>(INDEX(Models!$BJ237:$BT237,,T237)*(1-R237)+INDEX(Models!$BJ237:$BT237,,T237+1)*R237-ERP_i)*Q237*Ramure*Pc/MaxiM</f>
        <v>3.7503923510891305E-5</v>
      </c>
      <c r="Q237" s="305">
        <f t="shared" si="80"/>
        <v>0.5</v>
      </c>
      <c r="R237" s="177">
        <f t="shared" si="81"/>
        <v>0.93622186518093309</v>
      </c>
      <c r="S237" s="811">
        <f t="shared" si="82"/>
        <v>-2</v>
      </c>
      <c r="T237" s="176">
        <f t="shared" si="83"/>
        <v>4</v>
      </c>
      <c r="U237" s="251">
        <f t="shared" si="84"/>
        <v>-1.0637781348190669</v>
      </c>
      <c r="V237" s="383">
        <f t="shared" si="85"/>
        <v>52.646392641075202</v>
      </c>
      <c r="W237" s="402">
        <f t="shared" si="86"/>
        <v>43.410627687702537</v>
      </c>
      <c r="X237" s="157">
        <f t="shared" si="87"/>
        <v>46245</v>
      </c>
      <c r="Y237" s="385">
        <f t="shared" si="88"/>
        <v>41.252825030303732</v>
      </c>
      <c r="Z237" s="385">
        <f t="shared" si="89"/>
        <v>44.041015740025806</v>
      </c>
      <c r="AA237" s="386">
        <f t="shared" si="90"/>
        <v>47.050291637044218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6.3958708699036221E-2</v>
      </c>
      <c r="AD237" s="231">
        <f>(INDEX(Models!$BJ237:$BT237,,AH237)*(1-AF237)+INDEX(Models!$BJ237:$BT237,,AH237+1)*AF237-ERP_i)*AE237*Ramure*Pc/MaxiM</f>
        <v>2.3516887243501321E-4</v>
      </c>
      <c r="AE237" s="305">
        <f t="shared" si="92"/>
        <v>0.5</v>
      </c>
      <c r="AF237" s="177">
        <f t="shared" si="93"/>
        <v>0.46120943155491201</v>
      </c>
      <c r="AG237" s="811">
        <f t="shared" si="99"/>
        <v>2</v>
      </c>
      <c r="AH237" s="176">
        <f t="shared" si="94"/>
        <v>8</v>
      </c>
      <c r="AI237" s="225">
        <f t="shared" si="95"/>
        <v>2.461209431554912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'2025'!Wh/'2025'!Env_an*'2026'!Env_an</f>
        <v>45.55750683678103</v>
      </c>
      <c r="C238" s="841"/>
      <c r="D238" s="393">
        <f t="shared" si="77"/>
        <v>48.637707125470854</v>
      </c>
      <c r="E238" s="385">
        <f t="shared" si="100"/>
        <v>49.390131754490305</v>
      </c>
      <c r="F238" s="385">
        <f t="shared" si="78"/>
        <v>49.391493004524065</v>
      </c>
      <c r="G238" s="110">
        <f t="shared" si="101"/>
        <v>0.8678411774360576</v>
      </c>
      <c r="H238" s="414" t="b">
        <f>Wh_hp&gt;='2025'!Maxi_hp</f>
        <v>0</v>
      </c>
      <c r="I238" s="390">
        <f>IF(H238,Wh_hp,'2025'!Maxi_hp)</f>
        <v>52.198759439863373</v>
      </c>
      <c r="J238" s="85">
        <f>IF(H238,An,'2025'!An_max)</f>
        <v>2018</v>
      </c>
      <c r="K238" s="197">
        <f t="shared" si="79"/>
        <v>46246</v>
      </c>
      <c r="L238" s="147">
        <f>IF(t&lt;Tvie,1-EXP((T0-t)*PertePVj)+'2025'!Pspv,1-EXP((T0-t)*PertePVj)+Pspv)</f>
        <v>6.3329471530058412E-2</v>
      </c>
      <c r="M238" s="845"/>
      <c r="N238" s="845"/>
      <c r="O238" s="48">
        <f>IF(t&lt;Tnet,'2025'!Resal+('2025'!Salim-'2025'!Resal)*(1-EXP(('2025'!Tnet-t)/('2025'!Tau_j))),Resal+(Salim-Resal)*(1-EXP((Tnet-t)/(Tau_j))))*Salcycl</f>
        <v>1.5234311031191891E-2</v>
      </c>
      <c r="P238" s="169">
        <f>(INDEX(Models!$BJ238:$BT238,,T238)*(1-R238)+INDEX(Models!$BJ238:$BT238,,T238+1)*R238-ERP_i)*Q238*Ramure*Pc/MaxiM</f>
        <v>3.3974466788905757E-5</v>
      </c>
      <c r="Q238" s="305">
        <f t="shared" si="80"/>
        <v>0.5</v>
      </c>
      <c r="R238" s="177">
        <f t="shared" si="81"/>
        <v>0.93758300416849916</v>
      </c>
      <c r="S238" s="811">
        <f t="shared" si="82"/>
        <v>-2</v>
      </c>
      <c r="T238" s="176">
        <f t="shared" si="83"/>
        <v>4</v>
      </c>
      <c r="U238" s="251">
        <f t="shared" si="84"/>
        <v>-1.0624169958315008</v>
      </c>
      <c r="V238" s="383">
        <f t="shared" si="85"/>
        <v>52.494875565945115</v>
      </c>
      <c r="W238" s="402">
        <f t="shared" si="86"/>
        <v>45.55750683678103</v>
      </c>
      <c r="X238" s="157">
        <f t="shared" si="87"/>
        <v>46246</v>
      </c>
      <c r="Y238" s="385">
        <f t="shared" si="88"/>
        <v>43.294902168574716</v>
      </c>
      <c r="Z238" s="385">
        <f t="shared" si="89"/>
        <v>46.222124912264789</v>
      </c>
      <c r="AA238" s="386">
        <f t="shared" si="90"/>
        <v>49.382786959090843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6.4003314544486545E-2</v>
      </c>
      <c r="AD238" s="231">
        <f>(INDEX(Models!$BJ238:$BT238,,AH238)*(1-AF238)+INDEX(Models!$BJ238:$BT238,,AH238+1)*AF238-ERP_i)*AE238*Ramure*Pc/MaxiM</f>
        <v>2.1728796627921344E-4</v>
      </c>
      <c r="AE238" s="305">
        <f t="shared" si="92"/>
        <v>0.5</v>
      </c>
      <c r="AF238" s="177">
        <f t="shared" si="93"/>
        <v>0.46257057054247808</v>
      </c>
      <c r="AG238" s="811">
        <f t="shared" si="99"/>
        <v>2</v>
      </c>
      <c r="AH238" s="176">
        <f t="shared" si="94"/>
        <v>8</v>
      </c>
      <c r="AI238" s="225">
        <f t="shared" si="95"/>
        <v>2.4625705705424781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'2025'!Wh/'2025'!Env_an*'2026'!Env_an</f>
        <v>31.734043172105313</v>
      </c>
      <c r="C239" s="841"/>
      <c r="D239" s="393">
        <f t="shared" si="77"/>
        <v>33.880363777599428</v>
      </c>
      <c r="E239" s="385">
        <f t="shared" si="100"/>
        <v>34.407667750784945</v>
      </c>
      <c r="F239" s="385">
        <f t="shared" si="78"/>
        <v>34.408129249107496</v>
      </c>
      <c r="G239" s="110">
        <f t="shared" si="101"/>
        <v>0.60627365685552792</v>
      </c>
      <c r="H239" s="414" t="b">
        <f>Wh_hp&gt;='2025'!Maxi_hp</f>
        <v>0</v>
      </c>
      <c r="I239" s="390">
        <f>IF(H239,Wh_hp,'2025'!Maxi_hp)</f>
        <v>49.571963401626377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6.3349987018533449E-2</v>
      </c>
      <c r="M239" s="845"/>
      <c r="N239" s="845"/>
      <c r="O239" s="48">
        <f>IF(t&lt;Tnet,'2025'!Resal+('2025'!Salim-'2025'!Resal)*(1-EXP(('2025'!Tnet-t)/('2025'!Tau_j))),Resal+(Salim-Resal)*(1-EXP((Tnet-t)/(Tau_j))))*Salcycl</f>
        <v>1.532518789139636E-2</v>
      </c>
      <c r="P239" s="169">
        <f>(INDEX(Models!$BJ239:$BT239,,T239)*(1-R239)+INDEX(Models!$BJ239:$BT239,,T239+1)*R239-ERP_i)*Q239*Ramure*Pc/MaxiM</f>
        <v>3.0653681424665778E-5</v>
      </c>
      <c r="Q239" s="305">
        <f t="shared" si="80"/>
        <v>0.5</v>
      </c>
      <c r="R239" s="177">
        <f t="shared" si="81"/>
        <v>0.93889686249624282</v>
      </c>
      <c r="S239" s="811">
        <f t="shared" si="82"/>
        <v>-2</v>
      </c>
      <c r="T239" s="176">
        <f t="shared" si="83"/>
        <v>4</v>
      </c>
      <c r="U239" s="251">
        <f t="shared" si="84"/>
        <v>-1.0611031375037572</v>
      </c>
      <c r="V239" s="383">
        <f t="shared" si="85"/>
        <v>52.341868515783666</v>
      </c>
      <c r="W239" s="402">
        <f t="shared" si="86"/>
        <v>31.734043172105313</v>
      </c>
      <c r="X239" s="157">
        <f t="shared" si="87"/>
        <v>46247</v>
      </c>
      <c r="Y239" s="385">
        <f t="shared" si="88"/>
        <v>30.161572146677692</v>
      </c>
      <c r="Z239" s="385">
        <f t="shared" si="89"/>
        <v>32.201539239475245</v>
      </c>
      <c r="AA239" s="386">
        <f t="shared" si="90"/>
        <v>34.40510810149236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6.4047723829750977E-2</v>
      </c>
      <c r="AD239" s="231">
        <f>(INDEX(Models!$BJ239:$BT239,,AH239)*(1-AF239)+INDEX(Models!$BJ239:$BT239,,AH239+1)*AF239-ERP_i)*AE239*Ramure*Pc/MaxiM</f>
        <v>2.0067092772923037E-4</v>
      </c>
      <c r="AE239" s="305">
        <f t="shared" si="92"/>
        <v>0.5</v>
      </c>
      <c r="AF239" s="177">
        <f t="shared" si="93"/>
        <v>0.46388442887022174</v>
      </c>
      <c r="AG239" s="811">
        <f t="shared" si="99"/>
        <v>2</v>
      </c>
      <c r="AH239" s="176">
        <f t="shared" si="94"/>
        <v>8</v>
      </c>
      <c r="AI239" s="225">
        <f t="shared" si="95"/>
        <v>2.4638844288702217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'2025'!Wh/'2025'!Env_an*'2026'!Env_an</f>
        <v>32.992298155597908</v>
      </c>
      <c r="C240" s="841"/>
      <c r="D240" s="393">
        <f t="shared" si="77"/>
        <v>35.224491891487688</v>
      </c>
      <c r="E240" s="385">
        <f t="shared" si="100"/>
        <v>35.776012646430466</v>
      </c>
      <c r="F240" s="385">
        <f t="shared" si="78"/>
        <v>35.776481668936313</v>
      </c>
      <c r="G240" s="110">
        <f t="shared" si="101"/>
        <v>0.63218137393258056</v>
      </c>
      <c r="H240" s="414" t="b">
        <f>Wh_hp&gt;='2025'!Maxi_hp</f>
        <v>0</v>
      </c>
      <c r="I240" s="390">
        <f>IF(H240,Wh_hp,'2025'!Maxi_hp)</f>
        <v>57.385484130512104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6.3370502057666589E-2</v>
      </c>
      <c r="M240" s="845"/>
      <c r="N240" s="845"/>
      <c r="O240" s="48">
        <f>IF(t&lt;Tnet,'2025'!Resal+('2025'!Salim-'2025'!Resal)*(1-EXP(('2025'!Tnet-t)/('2025'!Tau_j))),Resal+(Salim-Resal)*(1-EXP((Tnet-t)/(Tau_j))))*Salcycl</f>
        <v>1.5415936940580336E-2</v>
      </c>
      <c r="P240" s="169">
        <f>(INDEX(Models!$BJ240:$BT240,,T240)*(1-R240)+INDEX(Models!$BJ240:$BT240,,T240+1)*R240-ERP_i)*Q240*Ramure*Pc/MaxiM</f>
        <v>2.7625288312104741E-5</v>
      </c>
      <c r="Q240" s="305">
        <f t="shared" si="80"/>
        <v>0.5</v>
      </c>
      <c r="R240" s="177">
        <f t="shared" si="81"/>
        <v>0.94016480905719169</v>
      </c>
      <c r="S240" s="811">
        <f t="shared" si="82"/>
        <v>-2</v>
      </c>
      <c r="T240" s="176">
        <f t="shared" si="83"/>
        <v>4</v>
      </c>
      <c r="U240" s="251">
        <f t="shared" si="84"/>
        <v>-1.0598351909428083</v>
      </c>
      <c r="V240" s="383">
        <f t="shared" si="85"/>
        <v>52.187268733904901</v>
      </c>
      <c r="W240" s="402">
        <f t="shared" si="86"/>
        <v>32.992298155597908</v>
      </c>
      <c r="X240" s="157">
        <f t="shared" si="87"/>
        <v>46248</v>
      </c>
      <c r="Y240" s="385">
        <f t="shared" si="88"/>
        <v>31.358868281348762</v>
      </c>
      <c r="Z240" s="385">
        <f t="shared" si="89"/>
        <v>33.480547377848517</v>
      </c>
      <c r="AA240" s="386">
        <f t="shared" si="90"/>
        <v>35.773329185756282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6.4091932735761997E-2</v>
      </c>
      <c r="AD240" s="231">
        <f>(INDEX(Models!$BJ240:$BT240,,AH240)*(1-AF240)+INDEX(Models!$BJ240:$BT240,,AH240+1)*AF240-ERP_i)*AE240*Ramure*Pc/MaxiM</f>
        <v>1.8568033657732409E-4</v>
      </c>
      <c r="AE240" s="305">
        <f t="shared" si="92"/>
        <v>0.5</v>
      </c>
      <c r="AF240" s="177">
        <f t="shared" si="93"/>
        <v>0.46515237543117083</v>
      </c>
      <c r="AG240" s="811">
        <f t="shared" si="99"/>
        <v>2</v>
      </c>
      <c r="AH240" s="176">
        <f t="shared" si="94"/>
        <v>8</v>
      </c>
      <c r="AI240" s="225">
        <f t="shared" si="95"/>
        <v>2.4651523754311708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'2025'!Wh/'2025'!Env_an*'2026'!Env_an</f>
        <v>37.828681459816515</v>
      </c>
      <c r="C241" s="841"/>
      <c r="D241" s="393">
        <f t="shared" si="77"/>
        <v>40.388979960891639</v>
      </c>
      <c r="E241" s="385">
        <f t="shared" si="100"/>
        <v>41.025138593562843</v>
      </c>
      <c r="F241" s="385">
        <f t="shared" si="78"/>
        <v>41.025758748560769</v>
      </c>
      <c r="G241" s="110">
        <f t="shared" si="101"/>
        <v>0.72703441798260648</v>
      </c>
      <c r="H241" s="414" t="b">
        <f>Wh_hp&gt;='2025'!Maxi_hp</f>
        <v>0</v>
      </c>
      <c r="I241" s="390">
        <f>IF(H241,Wh_hp,'2025'!Maxi_hp)</f>
        <v>56.300151621417385</v>
      </c>
      <c r="J241" s="85">
        <f>IF(H241,An,'2025'!An_max)</f>
        <v>2018</v>
      </c>
      <c r="K241" s="197">
        <f t="shared" si="79"/>
        <v>46249</v>
      </c>
      <c r="L241" s="147">
        <f>IF(t&lt;Tvie,1-EXP((T0-t)*PertePVj)+'2025'!Pspv,1-EXP((T0-t)*PertePVj)+Pspv)</f>
        <v>6.3391016647467824E-2</v>
      </c>
      <c r="M241" s="845"/>
      <c r="N241" s="845"/>
      <c r="O241" s="48">
        <f>IF(t&lt;Tnet,'2025'!Resal+('2025'!Salim-'2025'!Resal)*(1-EXP(('2025'!Tnet-t)/('2025'!Tau_j))),Resal+(Salim-Resal)*(1-EXP((Tnet-t)/(Tau_j))))*Salcycl</f>
        <v>1.5506556576777165E-2</v>
      </c>
      <c r="P241" s="169">
        <f>(INDEX(Models!$BJ241:$BT241,,T241)*(1-R241)+INDEX(Models!$BJ241:$BT241,,T241+1)*R241-ERP_i)*Q241*Ramure*Pc/MaxiM</f>
        <v>2.4778307742372098E-5</v>
      </c>
      <c r="Q241" s="305">
        <f t="shared" si="80"/>
        <v>0.5</v>
      </c>
      <c r="R241" s="177">
        <f t="shared" si="81"/>
        <v>0.94138819358023196</v>
      </c>
      <c r="S241" s="811">
        <f t="shared" si="82"/>
        <v>-2</v>
      </c>
      <c r="T241" s="176">
        <f t="shared" si="83"/>
        <v>4</v>
      </c>
      <c r="U241" s="251">
        <f t="shared" si="84"/>
        <v>-1.058611806419768</v>
      </c>
      <c r="V241" s="383">
        <f t="shared" si="85"/>
        <v>52.03098369919671</v>
      </c>
      <c r="W241" s="402">
        <f t="shared" si="86"/>
        <v>37.828681459816515</v>
      </c>
      <c r="X241" s="157">
        <f t="shared" si="87"/>
        <v>46249</v>
      </c>
      <c r="Y241" s="385">
        <f t="shared" si="88"/>
        <v>35.956904725827002</v>
      </c>
      <c r="Z241" s="385">
        <f t="shared" si="89"/>
        <v>38.39051873826957</v>
      </c>
      <c r="AA241" s="386">
        <f t="shared" si="90"/>
        <v>41.021469082911452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6.4135936704857607E-2</v>
      </c>
      <c r="AD241" s="231">
        <f>(INDEX(Models!$BJ241:$BT241,,AH241)*(1-AF241)+INDEX(Models!$BJ241:$BT241,,AH241+1)*AF241-ERP_i)*AE241*Ramure*Pc/MaxiM</f>
        <v>1.7139369339416787E-4</v>
      </c>
      <c r="AE241" s="305">
        <f t="shared" si="92"/>
        <v>0.5</v>
      </c>
      <c r="AF241" s="177">
        <f t="shared" si="93"/>
        <v>0.46637575995421088</v>
      </c>
      <c r="AG241" s="811">
        <f t="shared" si="99"/>
        <v>2</v>
      </c>
      <c r="AH241" s="176">
        <f t="shared" si="94"/>
        <v>8</v>
      </c>
      <c r="AI241" s="225">
        <f t="shared" si="95"/>
        <v>2.4663757599542109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'2025'!Wh/'2025'!Env_an*'2026'!Env_an</f>
        <v>31.775959514829129</v>
      </c>
      <c r="C242" s="841"/>
      <c r="D242" s="393">
        <f t="shared" si="77"/>
        <v>33.927344356013769</v>
      </c>
      <c r="E242" s="385">
        <f t="shared" si="100"/>
        <v>34.464894872741965</v>
      </c>
      <c r="F242" s="385">
        <f t="shared" si="78"/>
        <v>34.465235222810179</v>
      </c>
      <c r="G242" s="110">
        <f t="shared" si="101"/>
        <v>0.61256574028650601</v>
      </c>
      <c r="H242" s="414" t="b">
        <f>Wh_hp&gt;='2025'!Maxi_hp</f>
        <v>0</v>
      </c>
      <c r="I242" s="390">
        <f>IF(H242,Wh_hp,'2025'!Maxi_hp)</f>
        <v>56.421516120211891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6.3411530787946813E-2</v>
      </c>
      <c r="M242" s="845"/>
      <c r="N242" s="845"/>
      <c r="O242" s="48">
        <f>IF(t&lt;Tnet,'2025'!Resal+('2025'!Salim-'2025'!Resal)*(1-EXP(('2025'!Tnet-t)/('2025'!Tau_j))),Resal+(Salim-Resal)*(1-EXP((Tnet-t)/(Tau_j))))*Salcycl</f>
        <v>1.559704501386259E-2</v>
      </c>
      <c r="P242" s="169">
        <f>(INDEX(Models!$BJ242:$BT242,,T242)*(1-R242)+INDEX(Models!$BJ242:$BT242,,T242+1)*R242-ERP_i)*Q242*Ramure*Pc/MaxiM</f>
        <v>2.2115198561810468E-5</v>
      </c>
      <c r="Q242" s="305">
        <f t="shared" si="80"/>
        <v>0.5</v>
      </c>
      <c r="R242" s="177">
        <f t="shared" si="81"/>
        <v>0.94256834520825072</v>
      </c>
      <c r="S242" s="811">
        <f t="shared" si="82"/>
        <v>-2</v>
      </c>
      <c r="T242" s="176">
        <f t="shared" si="83"/>
        <v>4</v>
      </c>
      <c r="U242" s="251">
        <f t="shared" si="84"/>
        <v>-1.0574316547917493</v>
      </c>
      <c r="V242" s="383">
        <f t="shared" si="85"/>
        <v>51.872914991107287</v>
      </c>
      <c r="W242" s="402">
        <f t="shared" si="86"/>
        <v>31.775959514829129</v>
      </c>
      <c r="X242" s="157">
        <f t="shared" si="87"/>
        <v>46250</v>
      </c>
      <c r="Y242" s="385">
        <f t="shared" si="88"/>
        <v>30.205907992765383</v>
      </c>
      <c r="Z242" s="385">
        <f t="shared" si="89"/>
        <v>32.250992816703636</v>
      </c>
      <c r="AA242" s="386">
        <f t="shared" si="90"/>
        <v>34.462806446910655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6.417973050495121E-2</v>
      </c>
      <c r="AD242" s="231">
        <f>(INDEX(Models!$BJ242:$BT242,,AH242)*(1-AF242)+INDEX(Models!$BJ242:$BT242,,AH242+1)*AF242-ERP_i)*AE242*Ramure*Pc/MaxiM</f>
        <v>1.5781651392491008E-4</v>
      </c>
      <c r="AE242" s="305">
        <f t="shared" si="92"/>
        <v>0.5</v>
      </c>
      <c r="AF242" s="177">
        <f t="shared" si="93"/>
        <v>0.46755591158222964</v>
      </c>
      <c r="AG242" s="811">
        <f t="shared" si="99"/>
        <v>2</v>
      </c>
      <c r="AH242" s="176">
        <f t="shared" si="94"/>
        <v>8</v>
      </c>
      <c r="AI242" s="225">
        <f t="shared" si="95"/>
        <v>2.4675559115822296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'2025'!Wh/'2025'!Env_an*'2026'!Env_an</f>
        <v>21.842225051794319</v>
      </c>
      <c r="C243" s="841"/>
      <c r="D243" s="393">
        <f t="shared" si="77"/>
        <v>23.321559234478009</v>
      </c>
      <c r="E243" s="385">
        <f t="shared" si="100"/>
        <v>23.693244647484008</v>
      </c>
      <c r="F243" s="385">
        <f t="shared" si="78"/>
        <v>23.693325991162414</v>
      </c>
      <c r="G243" s="110">
        <f t="shared" si="101"/>
        <v>0.42236741622340679</v>
      </c>
      <c r="H243" s="414" t="b">
        <f>Wh_hp&gt;='2025'!Maxi_hp</f>
        <v>0</v>
      </c>
      <c r="I243" s="390">
        <f>IF(H243,Wh_hp,'2025'!Maxi_hp)</f>
        <v>55.293372982977111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6.3432044479113547E-2</v>
      </c>
      <c r="M243" s="845"/>
      <c r="N243" s="845"/>
      <c r="O243" s="48">
        <f>IF(t&lt;Tnet,'2025'!Resal+('2025'!Salim-'2025'!Resal)*(1-EXP(('2025'!Tnet-t)/('2025'!Tau_j))),Resal+(Salim-Resal)*(1-EXP((Tnet-t)/(Tau_j))))*Salcycl</f>
        <v>1.5687400292195439E-2</v>
      </c>
      <c r="P243" s="169">
        <f>(INDEX(Models!$BJ243:$BT243,,T243)*(1-R243)+INDEX(Models!$BJ243:$BT243,,T243+1)*R243-ERP_i)*Q243*Ramure*Pc/MaxiM</f>
        <v>1.963838346291111E-5</v>
      </c>
      <c r="Q243" s="305">
        <f t="shared" si="80"/>
        <v>0.5</v>
      </c>
      <c r="R243" s="177">
        <f t="shared" si="81"/>
        <v>0.94370657124310342</v>
      </c>
      <c r="S243" s="811">
        <f t="shared" si="82"/>
        <v>-2</v>
      </c>
      <c r="T243" s="176">
        <f t="shared" si="83"/>
        <v>4</v>
      </c>
      <c r="U243" s="251">
        <f t="shared" si="84"/>
        <v>-1.0562934287568966</v>
      </c>
      <c r="V243" s="383">
        <f t="shared" si="85"/>
        <v>51.712964244223102</v>
      </c>
      <c r="W243" s="402">
        <f t="shared" si="86"/>
        <v>21.842225051794319</v>
      </c>
      <c r="X243" s="157">
        <f t="shared" si="87"/>
        <v>46251</v>
      </c>
      <c r="Y243" s="385">
        <f t="shared" si="88"/>
        <v>20.76474213592034</v>
      </c>
      <c r="Z243" s="385">
        <f t="shared" si="89"/>
        <v>22.171100360113979</v>
      </c>
      <c r="AA243" s="386">
        <f t="shared" si="90"/>
        <v>23.69272557921207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6.4223308289746123E-2</v>
      </c>
      <c r="AD243" s="231">
        <f>(INDEX(Models!$BJ243:$BT243,,AH243)*(1-AF243)+INDEX(Models!$BJ243:$BT243,,AH243+1)*AF243-ERP_i)*AE243*Ramure*Pc/MaxiM</f>
        <v>1.4495435106473464E-4</v>
      </c>
      <c r="AE243" s="305">
        <f t="shared" si="92"/>
        <v>0.5</v>
      </c>
      <c r="AF243" s="177">
        <f t="shared" si="93"/>
        <v>0.46869413761708234</v>
      </c>
      <c r="AG243" s="811">
        <f t="shared" si="99"/>
        <v>2</v>
      </c>
      <c r="AH243" s="176">
        <f t="shared" si="94"/>
        <v>8</v>
      </c>
      <c r="AI243" s="225">
        <f t="shared" si="95"/>
        <v>2.4686941376170823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'2025'!Wh/'2025'!Env_an*'2026'!Env_an</f>
        <v>38.005926815181205</v>
      </c>
      <c r="C244" s="841"/>
      <c r="D244" s="393">
        <f t="shared" si="77"/>
        <v>40.58088795021046</v>
      </c>
      <c r="E244" s="385">
        <f t="shared" si="100"/>
        <v>41.231421665202703</v>
      </c>
      <c r="F244" s="385">
        <f t="shared" si="78"/>
        <v>41.231868522923477</v>
      </c>
      <c r="G244" s="110">
        <f t="shared" si="101"/>
        <v>0.73724379463686296</v>
      </c>
      <c r="H244" s="414" t="b">
        <f>Wh_hp&gt;='2025'!Maxi_hp</f>
        <v>0</v>
      </c>
      <c r="I244" s="390">
        <f>IF(H244,Wh_hp,'2025'!Maxi_hp)</f>
        <v>53.147705265054185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6.3452557720977687E-2</v>
      </c>
      <c r="M244" s="845"/>
      <c r="N244" s="845"/>
      <c r="O244" s="48">
        <f>IF(t&lt;Tnet,'2025'!Resal+('2025'!Salim-'2025'!Resal)*(1-EXP(('2025'!Tnet-t)/('2025'!Tau_j))),Resal+(Salim-Resal)*(1-EXP((Tnet-t)/(Tau_j))))*Salcycl</f>
        <v>1.5777620288588326E-2</v>
      </c>
      <c r="P244" s="169">
        <f>(INDEX(Models!$BJ244:$BT244,,T244)*(1-R244)+INDEX(Models!$BJ244:$BT244,,T244+1)*R244-ERP_i)*Q244*Ramure*Pc/MaxiM</f>
        <v>1.7350255155676855E-5</v>
      </c>
      <c r="Q244" s="305">
        <f t="shared" si="80"/>
        <v>0.5</v>
      </c>
      <c r="R244" s="177">
        <f t="shared" si="81"/>
        <v>0.94480415604791701</v>
      </c>
      <c r="S244" s="811">
        <f t="shared" si="82"/>
        <v>-2</v>
      </c>
      <c r="T244" s="176">
        <f t="shared" si="83"/>
        <v>4</v>
      </c>
      <c r="U244" s="251">
        <f t="shared" si="84"/>
        <v>-1.055195843952083</v>
      </c>
      <c r="V244" s="383">
        <f t="shared" si="85"/>
        <v>51.551033148666761</v>
      </c>
      <c r="W244" s="402">
        <f t="shared" si="86"/>
        <v>38.005926815181205</v>
      </c>
      <c r="X244" s="157">
        <f t="shared" si="87"/>
        <v>46252</v>
      </c>
      <c r="Y244" s="385">
        <f t="shared" si="88"/>
        <v>36.130907484017669</v>
      </c>
      <c r="Z244" s="385">
        <f t="shared" si="89"/>
        <v>38.578833119329914</v>
      </c>
      <c r="AA244" s="386">
        <f t="shared" si="90"/>
        <v>41.228447914434881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6.426666365427941E-2</v>
      </c>
      <c r="AD244" s="231">
        <f>(INDEX(Models!$BJ244:$BT244,,AH244)*(1-AF244)+INDEX(Models!$BJ244:$BT244,,AH244+1)*AF244-ERP_i)*AE244*Ramure*Pc/MaxiM</f>
        <v>1.3281281111563758E-4</v>
      </c>
      <c r="AE244" s="305">
        <f t="shared" si="92"/>
        <v>0.5</v>
      </c>
      <c r="AF244" s="177">
        <f t="shared" si="93"/>
        <v>0.46979172242189593</v>
      </c>
      <c r="AG244" s="811">
        <f t="shared" si="99"/>
        <v>2</v>
      </c>
      <c r="AH244" s="176">
        <f t="shared" si="94"/>
        <v>8</v>
      </c>
      <c r="AI244" s="225">
        <f t="shared" si="95"/>
        <v>2.4697917224218959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'2025'!Wh/'2025'!Env_an*'2026'!Env_an</f>
        <v>39.350745759083821</v>
      </c>
      <c r="C245" s="841"/>
      <c r="D245" s="393">
        <f t="shared" si="77"/>
        <v>42.017740782597677</v>
      </c>
      <c r="E245" s="385">
        <f t="shared" si="100"/>
        <v>42.695215774301502</v>
      </c>
      <c r="F245" s="385">
        <f t="shared" si="78"/>
        <v>42.695649104998907</v>
      </c>
      <c r="G245" s="110">
        <f t="shared" si="101"/>
        <v>0.76576813120897747</v>
      </c>
      <c r="H245" s="414" t="b">
        <f>Wh_hp&gt;='2025'!Maxi_hp</f>
        <v>0</v>
      </c>
      <c r="I245" s="390">
        <f>IF(H245,Wh_hp,'2025'!Maxi_hp)</f>
        <v>53.076716411968974</v>
      </c>
      <c r="J245" s="85">
        <f>IF(H245,An,'2025'!An_max)</f>
        <v>2018</v>
      </c>
      <c r="K245" s="197">
        <f t="shared" si="79"/>
        <v>46253</v>
      </c>
      <c r="L245" s="147">
        <f>IF(t&lt;Tvie,1-EXP((T0-t)*PertePVj)+'2025'!Pspv,1-EXP((T0-t)*PertePVj)+Pspv)</f>
        <v>6.3473070513549223E-2</v>
      </c>
      <c r="M245" s="845"/>
      <c r="N245" s="845"/>
      <c r="O245" s="48">
        <f>IF(t&lt;Tnet,'2025'!Resal+('2025'!Salim-'2025'!Resal)*(1-EXP(('2025'!Tnet-t)/('2025'!Tau_j))),Resal+(Salim-Resal)*(1-EXP((Tnet-t)/(Tau_j))))*Salcycl</f>
        <v>1.5867702725409358E-2</v>
      </c>
      <c r="P245" s="169">
        <f>(INDEX(Models!$BJ245:$BT245,,T245)*(1-R245)+INDEX(Models!$BJ245:$BT245,,T245+1)*R245-ERP_i)*Q245*Ramure*Pc/MaxiM</f>
        <v>1.5253182307487934E-5</v>
      </c>
      <c r="Q245" s="305">
        <f t="shared" si="80"/>
        <v>0.5</v>
      </c>
      <c r="R245" s="177">
        <f t="shared" si="81"/>
        <v>0.94586236009735636</v>
      </c>
      <c r="S245" s="811">
        <f t="shared" si="82"/>
        <v>-2</v>
      </c>
      <c r="T245" s="176">
        <f t="shared" si="83"/>
        <v>4</v>
      </c>
      <c r="U245" s="251">
        <f t="shared" si="84"/>
        <v>-1.0541376399026436</v>
      </c>
      <c r="V245" s="383">
        <f t="shared" si="85"/>
        <v>51.387023449396395</v>
      </c>
      <c r="W245" s="402">
        <f t="shared" si="86"/>
        <v>39.350745759083821</v>
      </c>
      <c r="X245" s="157">
        <f t="shared" si="87"/>
        <v>46253</v>
      </c>
      <c r="Y245" s="385">
        <f t="shared" si="88"/>
        <v>37.411135827296562</v>
      </c>
      <c r="Z245" s="385">
        <f t="shared" si="89"/>
        <v>39.946673874942547</v>
      </c>
      <c r="AA245" s="386">
        <f t="shared" si="90"/>
        <v>42.6922002972562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6.4309789685169011E-2</v>
      </c>
      <c r="AD245" s="231">
        <f>(INDEX(Models!$BJ245:$BT245,,AH245)*(1-AF245)+INDEX(Models!$BJ245:$BT245,,AH245+1)*AF245-ERP_i)*AE245*Ramure*Pc/MaxiM</f>
        <v>1.2139756901140729E-4</v>
      </c>
      <c r="AE245" s="305">
        <f t="shared" si="92"/>
        <v>0.5</v>
      </c>
      <c r="AF245" s="177">
        <f t="shared" si="93"/>
        <v>0.47084992647133506</v>
      </c>
      <c r="AG245" s="811">
        <f t="shared" si="99"/>
        <v>2</v>
      </c>
      <c r="AH245" s="176">
        <f t="shared" si="94"/>
        <v>8</v>
      </c>
      <c r="AI245" s="225">
        <f t="shared" si="95"/>
        <v>2.4708499264713351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'2025'!Wh/'2025'!Env_an*'2026'!Env_an</f>
        <v>46.862687539209361</v>
      </c>
      <c r="C246" s="841"/>
      <c r="D246" s="393">
        <f t="shared" si="77"/>
        <v>50.039900081160418</v>
      </c>
      <c r="E246" s="385">
        <f t="shared" si="100"/>
        <v>50.851368171285912</v>
      </c>
      <c r="F246" s="385">
        <f t="shared" si="78"/>
        <v>50.851964505794157</v>
      </c>
      <c r="G246" s="110">
        <f t="shared" si="101"/>
        <v>0.9149130372418377</v>
      </c>
      <c r="H246" s="414" t="b">
        <f>Wh_hp&gt;='2025'!Maxi_hp</f>
        <v>0</v>
      </c>
      <c r="I246" s="390">
        <f>IF(H246,Wh_hp,'2025'!Maxi_hp)</f>
        <v>53.656818151544883</v>
      </c>
      <c r="J246" s="85">
        <f>IF(H246,An,'2025'!An_max)</f>
        <v>2018</v>
      </c>
      <c r="K246" s="197">
        <f t="shared" si="79"/>
        <v>46254</v>
      </c>
      <c r="L246" s="147">
        <f>IF(t&lt;Tvie,1-EXP((T0-t)*PertePVj)+'2025'!Pspv,1-EXP((T0-t)*PertePVj)+Pspv)</f>
        <v>6.3493582856838038E-2</v>
      </c>
      <c r="M246" s="845"/>
      <c r="N246" s="845"/>
      <c r="O246" s="48">
        <f>IF(t&lt;Tnet,'2025'!Resal+('2025'!Salim-'2025'!Resal)*(1-EXP(('2025'!Tnet-t)/('2025'!Tau_j))),Resal+(Salim-Resal)*(1-EXP((Tnet-t)/(Tau_j))))*Salcycl</f>
        <v>1.595764517863461E-2</v>
      </c>
      <c r="P246" s="169">
        <f>(INDEX(Models!$BJ246:$BT246,,T246)*(1-R246)+INDEX(Models!$BJ246:$BT246,,T246+1)*R246-ERP_i)*Q246*Ramure*Pc/MaxiM</f>
        <v>1.3349515282307946E-5</v>
      </c>
      <c r="Q246" s="305">
        <f t="shared" si="80"/>
        <v>0.5</v>
      </c>
      <c r="R246" s="177">
        <f t="shared" si="81"/>
        <v>0.94688241916664162</v>
      </c>
      <c r="S246" s="811">
        <f t="shared" si="82"/>
        <v>-2</v>
      </c>
      <c r="T246" s="176">
        <f t="shared" si="83"/>
        <v>4</v>
      </c>
      <c r="U246" s="251">
        <f t="shared" si="84"/>
        <v>-1.0531175808333584</v>
      </c>
      <c r="V246" s="383">
        <f t="shared" si="85"/>
        <v>51.220836942268406</v>
      </c>
      <c r="W246" s="402">
        <f t="shared" si="86"/>
        <v>46.862687539209361</v>
      </c>
      <c r="X246" s="157">
        <f t="shared" si="87"/>
        <v>46254</v>
      </c>
      <c r="Y246" s="385">
        <f t="shared" si="88"/>
        <v>44.554177529034249</v>
      </c>
      <c r="Z246" s="385">
        <f t="shared" si="89"/>
        <v>47.574876918567163</v>
      </c>
      <c r="AA246" s="386">
        <f t="shared" si="90"/>
        <v>50.847018797612947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6.4352679005035399E-2</v>
      </c>
      <c r="AD246" s="231">
        <f>(INDEX(Models!$BJ246:$BT246,,AH246)*(1-AF246)+INDEX(Models!$BJ246:$BT246,,AH246+1)*AF246-ERP_i)*AE246*Ramure*Pc/MaxiM</f>
        <v>1.1071438267284885E-4</v>
      </c>
      <c r="AE246" s="305">
        <f t="shared" si="92"/>
        <v>0.5</v>
      </c>
      <c r="AF246" s="177">
        <f t="shared" si="93"/>
        <v>0.47186998554062054</v>
      </c>
      <c r="AG246" s="811">
        <f t="shared" si="99"/>
        <v>2</v>
      </c>
      <c r="AH246" s="176">
        <f t="shared" si="94"/>
        <v>8</v>
      </c>
      <c r="AI246" s="225">
        <f t="shared" si="95"/>
        <v>2.4718699855406205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'2025'!Wh/'2025'!Env_an*'2026'!Env_an</f>
        <v>31.591281449003706</v>
      </c>
      <c r="C247" s="841"/>
      <c r="D247" s="393">
        <f t="shared" si="77"/>
        <v>33.73385682788151</v>
      </c>
      <c r="E247" s="385">
        <f t="shared" si="100"/>
        <v>34.284027882609735</v>
      </c>
      <c r="F247" s="385">
        <f t="shared" si="78"/>
        <v>34.28420963477673</v>
      </c>
      <c r="G247" s="110">
        <f t="shared" si="101"/>
        <v>0.61877369617715883</v>
      </c>
      <c r="H247" s="414" t="b">
        <f>Wh_hp&gt;='2025'!Maxi_hp</f>
        <v>0</v>
      </c>
      <c r="I247" s="390">
        <f>IF(H247,Wh_hp,'2025'!Maxi_hp)</f>
        <v>54.498162972904758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6.3514094750853789E-2</v>
      </c>
      <c r="M247" s="845"/>
      <c r="N247" s="845"/>
      <c r="O247" s="48">
        <f>IF(t&lt;Tnet,'2025'!Resal+('2025'!Salim-'2025'!Resal)*(1-EXP(('2025'!Tnet-t)/('2025'!Tau_j))),Resal+(Salim-Resal)*(1-EXP((Tnet-t)/(Tau_j))))*Salcycl</f>
        <v>1.6047445084691785E-2</v>
      </c>
      <c r="P247" s="169">
        <f>(INDEX(Models!$BJ247:$BT247,,T247)*(1-R247)+INDEX(Models!$BJ247:$BT247,,T247+1)*R247-ERP_i)*Q247*Ramure*Pc/MaxiM</f>
        <v>1.1641144307935541E-5</v>
      </c>
      <c r="Q247" s="305">
        <f t="shared" si="80"/>
        <v>0.5</v>
      </c>
      <c r="R247" s="177">
        <f t="shared" si="81"/>
        <v>0.94786554365030584</v>
      </c>
      <c r="S247" s="811">
        <f t="shared" si="82"/>
        <v>-2</v>
      </c>
      <c r="T247" s="176">
        <f t="shared" si="83"/>
        <v>4</v>
      </c>
      <c r="U247" s="251">
        <f t="shared" si="84"/>
        <v>-1.0521344563496942</v>
      </c>
      <c r="V247" s="383">
        <f t="shared" si="85"/>
        <v>51.054337572030121</v>
      </c>
      <c r="W247" s="402">
        <f t="shared" si="86"/>
        <v>31.591281449003706</v>
      </c>
      <c r="X247" s="157">
        <f t="shared" si="87"/>
        <v>46255</v>
      </c>
      <c r="Y247" s="385">
        <f t="shared" si="88"/>
        <v>30.037780657447492</v>
      </c>
      <c r="Z247" s="385">
        <f t="shared" si="89"/>
        <v>32.074994924196034</v>
      </c>
      <c r="AA247" s="386">
        <f t="shared" si="90"/>
        <v>34.282636396000015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6.4395323810672853E-2</v>
      </c>
      <c r="AD247" s="231">
        <f>(INDEX(Models!$BJ247:$BT247,,AH247)*(1-AF247)+INDEX(Models!$BJ247:$BT247,,AH247+1)*AF247-ERP_i)*AE247*Ramure*Pc/MaxiM</f>
        <v>1.0076523396111784E-4</v>
      </c>
      <c r="AE247" s="305">
        <f t="shared" si="92"/>
        <v>0.5</v>
      </c>
      <c r="AF247" s="177">
        <f t="shared" si="93"/>
        <v>0.47285311002428454</v>
      </c>
      <c r="AG247" s="811">
        <f t="shared" si="99"/>
        <v>2</v>
      </c>
      <c r="AH247" s="176">
        <f t="shared" si="94"/>
        <v>8</v>
      </c>
      <c r="AI247" s="225">
        <f t="shared" si="95"/>
        <v>2.4728531100242845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'2025'!Wh/'2025'!Env_an*'2026'!Env_an</f>
        <v>24.612862822743661</v>
      </c>
      <c r="C248" s="841"/>
      <c r="D248" s="393">
        <f t="shared" si="77"/>
        <v>26.282725432868194</v>
      </c>
      <c r="E248" s="385">
        <f t="shared" si="100"/>
        <v>26.713808830561458</v>
      </c>
      <c r="F248" s="385">
        <f t="shared" si="78"/>
        <v>26.713880183078562</v>
      </c>
      <c r="G248" s="110">
        <f t="shared" si="101"/>
        <v>0.48365490808268197</v>
      </c>
      <c r="H248" s="414" t="b">
        <f>Wh_hp&gt;='2025'!Maxi_hp</f>
        <v>0</v>
      </c>
      <c r="I248" s="390">
        <f>IF(H248,Wh_hp,'2025'!Maxi_hp)</f>
        <v>56.835581680919191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6.3534606195606469E-2</v>
      </c>
      <c r="M248" s="845"/>
      <c r="N248" s="845"/>
      <c r="O248" s="48">
        <f>IF(t&lt;Tnet,'2025'!Resal+('2025'!Salim-'2025'!Resal)*(1-EXP(('2025'!Tnet-t)/('2025'!Tau_j))),Resal+(Salim-Resal)*(1-EXP((Tnet-t)/(Tau_j))))*Salcycl</f>
        <v>1.613709974595947E-2</v>
      </c>
      <c r="P248" s="169">
        <f>(INDEX(Models!$BJ248:$BT248,,T248)*(1-R248)+INDEX(Models!$BJ248:$BT248,,T248+1)*R248-ERP_i)*Q248*Ramure*Pc/MaxiM</f>
        <v>1.0180268605975264E-5</v>
      </c>
      <c r="Q248" s="305">
        <f t="shared" si="80"/>
        <v>0.5</v>
      </c>
      <c r="R248" s="177">
        <f t="shared" si="81"/>
        <v>0.94881291800192424</v>
      </c>
      <c r="S248" s="811">
        <f t="shared" si="82"/>
        <v>-2</v>
      </c>
      <c r="T248" s="176">
        <f t="shared" si="83"/>
        <v>4</v>
      </c>
      <c r="U248" s="251">
        <f t="shared" si="84"/>
        <v>-1.0511870819980758</v>
      </c>
      <c r="V248" s="383">
        <f t="shared" si="85"/>
        <v>50.888924284849061</v>
      </c>
      <c r="W248" s="402">
        <f t="shared" si="86"/>
        <v>24.612862822743661</v>
      </c>
      <c r="X248" s="157">
        <f t="shared" si="87"/>
        <v>46256</v>
      </c>
      <c r="Y248" s="385">
        <f t="shared" si="88"/>
        <v>23.404046046979452</v>
      </c>
      <c r="Z248" s="385">
        <f t="shared" si="89"/>
        <v>24.991896338956472</v>
      </c>
      <c r="AA248" s="386">
        <f t="shared" si="90"/>
        <v>26.713236268521339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6.4437715904653553E-2</v>
      </c>
      <c r="AD248" s="231">
        <f>(INDEX(Models!$BJ248:$BT248,,AH248)*(1-AF248)+INDEX(Models!$BJ248:$BT248,,AH248+1)*AF248-ERP_i)*AE248*Ramure*Pc/MaxiM</f>
        <v>9.1870944684712495E-5</v>
      </c>
      <c r="AE248" s="305">
        <f t="shared" si="92"/>
        <v>0.5</v>
      </c>
      <c r="AF248" s="177">
        <f t="shared" si="93"/>
        <v>0.47380048437590316</v>
      </c>
      <c r="AG248" s="811">
        <f t="shared" si="99"/>
        <v>2</v>
      </c>
      <c r="AH248" s="176">
        <f t="shared" si="94"/>
        <v>8</v>
      </c>
      <c r="AI248" s="225">
        <f t="shared" si="95"/>
        <v>2.4738004843759032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'2025'!Wh/'2025'!Env_an*'2026'!Env_an</f>
        <v>44.025441133134329</v>
      </c>
      <c r="C249" s="841"/>
      <c r="D249" s="393">
        <f t="shared" si="77"/>
        <v>47.013382144903943</v>
      </c>
      <c r="E249" s="385">
        <f t="shared" si="100"/>
        <v>47.788832720662285</v>
      </c>
      <c r="F249" s="385">
        <f t="shared" si="78"/>
        <v>47.789175551905338</v>
      </c>
      <c r="G249" s="110">
        <f t="shared" si="101"/>
        <v>0.86794280525186385</v>
      </c>
      <c r="H249" s="414" t="b">
        <f>Wh_hp&gt;='2025'!Maxi_hp</f>
        <v>0</v>
      </c>
      <c r="I249" s="390">
        <f>IF(H249,Wh_hp,'2025'!Maxi_hp)</f>
        <v>54.138140935976416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6.3555117191105848E-2</v>
      </c>
      <c r="M249" s="845"/>
      <c r="N249" s="845"/>
      <c r="O249" s="48">
        <f>IF(t&lt;Tnet,'2025'!Resal+('2025'!Salim-'2025'!Resal)*(1-EXP(('2025'!Tnet-t)/('2025'!Tau_j))),Resal+(Salim-Resal)*(1-EXP((Tnet-t)/(Tau_j))))*Salcycl</f>
        <v>1.6226606334811464E-2</v>
      </c>
      <c r="P249" s="169">
        <f>(INDEX(Models!$BJ249:$BT249,,T249)*(1-R249)+INDEX(Models!$BJ249:$BT249,,T249+1)*R249-ERP_i)*Q249*Ramure*Pc/MaxiM</f>
        <v>8.8418508737812371E-6</v>
      </c>
      <c r="Q249" s="305">
        <f t="shared" si="80"/>
        <v>0.5</v>
      </c>
      <c r="R249" s="177">
        <f t="shared" si="81"/>
        <v>0.94972570028631043</v>
      </c>
      <c r="S249" s="811">
        <f t="shared" si="82"/>
        <v>-2</v>
      </c>
      <c r="T249" s="176">
        <f t="shared" si="83"/>
        <v>4</v>
      </c>
      <c r="U249" s="251">
        <f t="shared" si="84"/>
        <v>-1.0502742997136896</v>
      </c>
      <c r="V249" s="383">
        <f t="shared" si="85"/>
        <v>50.72381201928745</v>
      </c>
      <c r="W249" s="402">
        <f t="shared" si="86"/>
        <v>44.025441133134329</v>
      </c>
      <c r="X249" s="157">
        <f t="shared" si="87"/>
        <v>46257</v>
      </c>
      <c r="Y249" s="385">
        <f t="shared" si="88"/>
        <v>41.86349165265608</v>
      </c>
      <c r="Z249" s="385">
        <f t="shared" si="89"/>
        <v>44.704704378420324</v>
      </c>
      <c r="AA249" s="386">
        <f t="shared" si="90"/>
        <v>47.785934083504358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6.4479846720160008E-2</v>
      </c>
      <c r="AD249" s="231">
        <f>(INDEX(Models!$BJ249:$BT249,,AH249)*(1-AF249)+INDEX(Models!$BJ249:$BT249,,AH249+1)*AF249-ERP_i)*AE249*Ramure*Pc/MaxiM</f>
        <v>8.359967416822195E-5</v>
      </c>
      <c r="AE249" s="305">
        <f t="shared" si="92"/>
        <v>0.5</v>
      </c>
      <c r="AF249" s="177">
        <f t="shared" si="93"/>
        <v>0.47471326666028935</v>
      </c>
      <c r="AG249" s="811">
        <f t="shared" si="99"/>
        <v>2</v>
      </c>
      <c r="AH249" s="176">
        <f t="shared" si="94"/>
        <v>8</v>
      </c>
      <c r="AI249" s="225">
        <f t="shared" si="95"/>
        <v>2.4747132666602893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'2025'!Wh/'2025'!Env_an*'2026'!Env_an</f>
        <v>45.485749922631122</v>
      </c>
      <c r="C250" s="841"/>
      <c r="D250" s="393">
        <f t="shared" si="77"/>
        <v>48.573863805708136</v>
      </c>
      <c r="E250" s="385">
        <f t="shared" si="100"/>
        <v>49.37953847389641</v>
      </c>
      <c r="F250" s="385">
        <f t="shared" si="78"/>
        <v>49.379861140196333</v>
      </c>
      <c r="G250" s="110">
        <f t="shared" si="101"/>
        <v>0.89966991660353468</v>
      </c>
      <c r="H250" s="414" t="b">
        <f>Wh_hp&gt;='2025'!Maxi_hp</f>
        <v>0</v>
      </c>
      <c r="I250" s="390">
        <f>IF(H250,Wh_hp,'2025'!Maxi_hp)</f>
        <v>54.480093410292213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6.3575627737361806E-2</v>
      </c>
      <c r="M250" s="845"/>
      <c r="N250" s="845"/>
      <c r="O250" s="48">
        <f>IF(t&lt;Tnet,'2025'!Resal+('2025'!Salim-'2025'!Resal)*(1-EXP(('2025'!Tnet-t)/('2025'!Tau_j))),Resal+(Salim-Resal)*(1-EXP((Tnet-t)/(Tau_j))))*Salcycl</f>
        <v>1.6315961896123832E-2</v>
      </c>
      <c r="P250" s="169">
        <f>(INDEX(Models!$BJ250:$BT250,,T250)*(1-R250)+INDEX(Models!$BJ250:$BT250,,T250+1)*R250-ERP_i)*Q250*Ramure*Pc/MaxiM</f>
        <v>7.6276158059957127E-6</v>
      </c>
      <c r="Q250" s="305">
        <f t="shared" si="80"/>
        <v>0.5</v>
      </c>
      <c r="R250" s="177">
        <f t="shared" si="81"/>
        <v>0.95060502183597473</v>
      </c>
      <c r="S250" s="811">
        <f t="shared" si="82"/>
        <v>-2</v>
      </c>
      <c r="T250" s="176">
        <f t="shared" si="83"/>
        <v>4</v>
      </c>
      <c r="U250" s="251">
        <f t="shared" si="84"/>
        <v>-1.0493949781640253</v>
      </c>
      <c r="V250" s="383">
        <f t="shared" si="85"/>
        <v>50.558209578614594</v>
      </c>
      <c r="W250" s="402">
        <f t="shared" si="86"/>
        <v>45.485749922631122</v>
      </c>
      <c r="X250" s="157">
        <f t="shared" si="87"/>
        <v>46258</v>
      </c>
      <c r="Y250" s="385">
        <f t="shared" si="88"/>
        <v>43.254174287279696</v>
      </c>
      <c r="Z250" s="385">
        <f t="shared" si="89"/>
        <v>46.19078226548789</v>
      </c>
      <c r="AA250" s="386">
        <f t="shared" si="90"/>
        <v>49.376647890026895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6.4521707338956263E-2</v>
      </c>
      <c r="AD250" s="231">
        <f>(INDEX(Models!$BJ250:$BT250,,AH250)*(1-AF250)+INDEX(Models!$BJ250:$BT250,,AH250+1)*AF250-ERP_i)*AE250*Ramure*Pc/MaxiM</f>
        <v>7.5959087722316359E-5</v>
      </c>
      <c r="AE250" s="305">
        <f t="shared" si="92"/>
        <v>0.5</v>
      </c>
      <c r="AF250" s="177">
        <f t="shared" si="93"/>
        <v>0.47559258820995343</v>
      </c>
      <c r="AG250" s="811">
        <f t="shared" si="99"/>
        <v>2</v>
      </c>
      <c r="AH250" s="176">
        <f t="shared" si="94"/>
        <v>8</v>
      </c>
      <c r="AI250" s="225">
        <f t="shared" si="95"/>
        <v>2.4755925882099534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'2025'!Wh/'2025'!Env_an*'2026'!Env_an</f>
        <v>32.455588885214098</v>
      </c>
      <c r="C251" s="841"/>
      <c r="D251" s="393">
        <f t="shared" si="77"/>
        <v>34.659819546401962</v>
      </c>
      <c r="E251" s="385">
        <f t="shared" si="100"/>
        <v>35.237903102851973</v>
      </c>
      <c r="F251" s="385">
        <f t="shared" si="78"/>
        <v>35.238016365122391</v>
      </c>
      <c r="G251" s="110">
        <f t="shared" si="101"/>
        <v>0.64406880037971548</v>
      </c>
      <c r="H251" s="414" t="b">
        <f>Wh_hp&gt;='2025'!Maxi_hp</f>
        <v>0</v>
      </c>
      <c r="I251" s="390">
        <f>IF(H251,Wh_hp,'2025'!Maxi_hp)</f>
        <v>50.04617729749566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6.3596137834384225E-2</v>
      </c>
      <c r="M251" s="845"/>
      <c r="N251" s="845"/>
      <c r="O251" s="48">
        <f>IF(t&lt;Tnet,'2025'!Resal+('2025'!Salim-'2025'!Resal)*(1-EXP(('2025'!Tnet-t)/('2025'!Tau_j))),Resal+(Salim-Resal)*(1-EXP((Tnet-t)/(Tau_j))))*Salcycl</f>
        <v>1.6405163348190886E-2</v>
      </c>
      <c r="P251" s="169">
        <f>(INDEX(Models!$BJ251:$BT251,,T251)*(1-R251)+INDEX(Models!$BJ251:$BT251,,T251+1)*R251-ERP_i)*Q251*Ramure*Pc/MaxiM</f>
        <v>6.539188458139521E-6</v>
      </c>
      <c r="Q251" s="305">
        <f t="shared" si="80"/>
        <v>0.5</v>
      </c>
      <c r="R251" s="177">
        <f t="shared" si="81"/>
        <v>0.95145198700393929</v>
      </c>
      <c r="S251" s="811">
        <f t="shared" si="82"/>
        <v>-2</v>
      </c>
      <c r="T251" s="176">
        <f t="shared" si="83"/>
        <v>4</v>
      </c>
      <c r="U251" s="251">
        <f t="shared" si="84"/>
        <v>-1.0485480129960607</v>
      </c>
      <c r="V251" s="383">
        <f t="shared" si="85"/>
        <v>50.391326130832354</v>
      </c>
      <c r="W251" s="402">
        <f t="shared" si="86"/>
        <v>32.455588885214098</v>
      </c>
      <c r="X251" s="157">
        <f t="shared" si="87"/>
        <v>46259</v>
      </c>
      <c r="Y251" s="385">
        <f t="shared" si="88"/>
        <v>30.865572647909971</v>
      </c>
      <c r="Z251" s="385">
        <f t="shared" si="89"/>
        <v>32.96181689866949</v>
      </c>
      <c r="AA251" s="386">
        <f t="shared" si="90"/>
        <v>35.23682200359999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6.4563288502523616E-2</v>
      </c>
      <c r="AD251" s="231">
        <f>(INDEX(Models!$BJ251:$BT251,,AH251)*(1-AF251)+INDEX(Models!$BJ251:$BT251,,AH251+1)*AF251-ERP_i)*AE251*Ramure*Pc/MaxiM</f>
        <v>6.8956370496884998E-5</v>
      </c>
      <c r="AE251" s="305">
        <f t="shared" si="92"/>
        <v>0.5</v>
      </c>
      <c r="AF251" s="177">
        <f t="shared" si="93"/>
        <v>0.47643955337791821</v>
      </c>
      <c r="AG251" s="811">
        <f t="shared" si="99"/>
        <v>2</v>
      </c>
      <c r="AH251" s="176">
        <f t="shared" si="94"/>
        <v>8</v>
      </c>
      <c r="AI251" s="225">
        <f t="shared" si="95"/>
        <v>2.4764395533779182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'2025'!Wh/'2025'!Env_an*'2026'!Env_an</f>
        <v>40.772684871179791</v>
      </c>
      <c r="C252" s="841"/>
      <c r="D252" s="393">
        <f t="shared" si="77"/>
        <v>43.542727197730677</v>
      </c>
      <c r="E252" s="385">
        <f t="shared" si="100"/>
        <v>44.27297483043035</v>
      </c>
      <c r="F252" s="385">
        <f t="shared" si="78"/>
        <v>44.273155408953755</v>
      </c>
      <c r="G252" s="110">
        <f t="shared" si="101"/>
        <v>0.81184186964400584</v>
      </c>
      <c r="H252" s="414" t="b">
        <f>Wh_hp&gt;='2025'!Maxi_hp</f>
        <v>0</v>
      </c>
      <c r="I252" s="390">
        <f>IF(H252,Wh_hp,'2025'!Maxi_hp)</f>
        <v>54.589001673677714</v>
      </c>
      <c r="J252" s="85">
        <f>IF(H252,An,'2025'!An_max)</f>
        <v>2018</v>
      </c>
      <c r="K252" s="197">
        <f t="shared" si="79"/>
        <v>46260</v>
      </c>
      <c r="L252" s="147">
        <f>IF(t&lt;Tvie,1-EXP((T0-t)*PertePVj)+'2025'!Pspv,1-EXP((T0-t)*PertePVj)+Pspv)</f>
        <v>6.3616647482182764E-2</v>
      </c>
      <c r="M252" s="845"/>
      <c r="N252" s="845"/>
      <c r="O252" s="48">
        <f>IF(t&lt;Tnet,'2025'!Resal+('2025'!Salim-'2025'!Resal)*(1-EXP(('2025'!Tnet-t)/('2025'!Tau_j))),Resal+(Salim-Resal)*(1-EXP((Tnet-t)/(Tau_j))))*Salcycl</f>
        <v>1.6494207482026936E-2</v>
      </c>
      <c r="P252" s="169">
        <f>(INDEX(Models!$BJ252:$BT252,,T252)*(1-R252)+INDEX(Models!$BJ252:$BT252,,T252+1)*R252-ERP_i)*Q252*Ramure*Pc/MaxiM</f>
        <v>5.5781067298491371E-6</v>
      </c>
      <c r="Q252" s="305">
        <f t="shared" si="80"/>
        <v>0.5</v>
      </c>
      <c r="R252" s="177">
        <f t="shared" si="81"/>
        <v>0.95226767300534298</v>
      </c>
      <c r="S252" s="811">
        <f t="shared" si="82"/>
        <v>-2</v>
      </c>
      <c r="T252" s="176">
        <f t="shared" si="83"/>
        <v>4</v>
      </c>
      <c r="U252" s="251">
        <f t="shared" si="84"/>
        <v>-1.047732326994657</v>
      </c>
      <c r="V252" s="383">
        <f t="shared" si="85"/>
        <v>50.222371205674342</v>
      </c>
      <c r="W252" s="402">
        <f t="shared" si="86"/>
        <v>40.772684871179791</v>
      </c>
      <c r="X252" s="157">
        <f t="shared" si="87"/>
        <v>46260</v>
      </c>
      <c r="Y252" s="385">
        <f t="shared" si="88"/>
        <v>38.776581512472582</v>
      </c>
      <c r="Z252" s="385">
        <f t="shared" si="89"/>
        <v>41.411011214805583</v>
      </c>
      <c r="AA252" s="386">
        <f t="shared" si="90"/>
        <v>44.271128932937089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6.4604580616502441E-2</v>
      </c>
      <c r="AD252" s="231">
        <f>(INDEX(Models!$BJ252:$BT252,,AH252)*(1-AF252)+INDEX(Models!$BJ252:$BT252,,AH252+1)*AF252-ERP_i)*AE252*Ramure*Pc/MaxiM</f>
        <v>6.2598249743545844E-5</v>
      </c>
      <c r="AE252" s="305">
        <f t="shared" si="92"/>
        <v>0.5</v>
      </c>
      <c r="AF252" s="177">
        <f t="shared" si="93"/>
        <v>0.47725523937932213</v>
      </c>
      <c r="AG252" s="811">
        <f t="shared" si="99"/>
        <v>2</v>
      </c>
      <c r="AH252" s="176">
        <f t="shared" si="94"/>
        <v>8</v>
      </c>
      <c r="AI252" s="225">
        <f t="shared" si="95"/>
        <v>2.4772552393793221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'2025'!Wh/'2025'!Env_an*'2026'!Env_an</f>
        <v>48.037317203957492</v>
      </c>
      <c r="C253" s="841"/>
      <c r="D253" s="393">
        <f t="shared" si="77"/>
        <v>51.302032696720552</v>
      </c>
      <c r="E253" s="385">
        <f t="shared" si="100"/>
        <v>52.16712487357173</v>
      </c>
      <c r="F253" s="385">
        <f t="shared" si="78"/>
        <v>52.167358225320513</v>
      </c>
      <c r="G253" s="110">
        <f t="shared" si="101"/>
        <v>0.95977565877869686</v>
      </c>
      <c r="H253" s="414" t="b">
        <f>Wh_hp&gt;='2025'!Maxi_hp</f>
        <v>0</v>
      </c>
      <c r="I253" s="390">
        <f>IF(H253,Wh_hp,'2025'!Maxi_hp)</f>
        <v>52.167365665024306</v>
      </c>
      <c r="J253" s="85">
        <f>IF(H253,An,'2025'!An_max)</f>
        <v>2025</v>
      </c>
      <c r="K253" s="197">
        <f t="shared" si="79"/>
        <v>46261</v>
      </c>
      <c r="L253" s="147">
        <f>IF(t&lt;Tvie,1-EXP((T0-t)*PertePVj)+'2025'!Pspv,1-EXP((T0-t)*PertePVj)+Pspv)</f>
        <v>6.3637156680767415E-2</v>
      </c>
      <c r="M253" s="845"/>
      <c r="N253" s="845"/>
      <c r="O253" s="48">
        <f>IF(t&lt;Tnet,'2025'!Resal+('2025'!Salim-'2025'!Resal)*(1-EXP(('2025'!Tnet-t)/('2025'!Tau_j))),Resal+(Salim-Resal)*(1-EXP((Tnet-t)/(Tau_j))))*Salcycl</f>
        <v>1.6583090959061877E-2</v>
      </c>
      <c r="P253" s="169">
        <f>(INDEX(Models!$BJ253:$BT253,,T253)*(1-R253)+INDEX(Models!$BJ253:$BT253,,T253+1)*R253-ERP_i)*Q253*Ramure*Pc/MaxiM</f>
        <v>4.7458476685397184E-6</v>
      </c>
      <c r="Q253" s="305">
        <f t="shared" si="80"/>
        <v>0.5</v>
      </c>
      <c r="R253" s="177">
        <f t="shared" si="81"/>
        <v>0.95305312984059021</v>
      </c>
      <c r="S253" s="811">
        <f t="shared" si="82"/>
        <v>-2</v>
      </c>
      <c r="T253" s="176">
        <f t="shared" si="83"/>
        <v>4</v>
      </c>
      <c r="U253" s="251">
        <f t="shared" si="84"/>
        <v>-1.0469468701594098</v>
      </c>
      <c r="V253" s="383">
        <f t="shared" si="85"/>
        <v>50.05055469394248</v>
      </c>
      <c r="W253" s="402">
        <f t="shared" si="86"/>
        <v>48.037317203957492</v>
      </c>
      <c r="X253" s="157">
        <f t="shared" si="87"/>
        <v>46261</v>
      </c>
      <c r="Y253" s="385">
        <f t="shared" si="88"/>
        <v>45.687346328655089</v>
      </c>
      <c r="Z253" s="385">
        <f t="shared" si="89"/>
        <v>48.792352937352703</v>
      </c>
      <c r="AA253" s="386">
        <f t="shared" si="90"/>
        <v>52.164560906502331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6.4645573748695687E-2</v>
      </c>
      <c r="AD253" s="231">
        <f>(INDEX(Models!$BJ253:$BT253,,AH253)*(1-AF253)+INDEX(Models!$BJ253:$BT253,,AH253+1)*AF253-ERP_i)*AE253*Ramure*Pc/MaxiM</f>
        <v>5.6891148495593325E-5</v>
      </c>
      <c r="AE253" s="305">
        <f t="shared" si="92"/>
        <v>0.5</v>
      </c>
      <c r="AF253" s="177">
        <f t="shared" si="93"/>
        <v>0.47804069621456913</v>
      </c>
      <c r="AG253" s="811">
        <f t="shared" si="99"/>
        <v>2</v>
      </c>
      <c r="AH253" s="176">
        <f t="shared" si="94"/>
        <v>8</v>
      </c>
      <c r="AI253" s="225">
        <f t="shared" si="95"/>
        <v>2.4780406962145691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'2025'!Wh/'2025'!Env_an*'2026'!Env_an</f>
        <v>47.142865573294181</v>
      </c>
      <c r="C254" s="841"/>
      <c r="D254" s="393">
        <f t="shared" si="77"/>
        <v>50.34789503024151</v>
      </c>
      <c r="E254" s="385">
        <f t="shared" si="100"/>
        <v>51.201517009264407</v>
      </c>
      <c r="F254" s="385">
        <f t="shared" si="78"/>
        <v>51.201708621486702</v>
      </c>
      <c r="G254" s="110">
        <f t="shared" si="101"/>
        <v>0.94521843146152684</v>
      </c>
      <c r="H254" s="414" t="b">
        <f>Wh_hp&gt;='2025'!Maxi_hp</f>
        <v>0</v>
      </c>
      <c r="I254" s="390">
        <f>IF(H254,Wh_hp,'2025'!Maxi_hp)</f>
        <v>54.458266820267049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6.3657665430148058E-2</v>
      </c>
      <c r="M254" s="845"/>
      <c r="N254" s="845"/>
      <c r="O254" s="48">
        <f>IF(t&lt;Tnet,'2025'!Resal+('2025'!Salim-'2025'!Resal)*(1-EXP(('2025'!Tnet-t)/('2025'!Tau_j))),Resal+(Salim-Resal)*(1-EXP((Tnet-t)/(Tau_j))))*Salcycl</f>
        <v>1.6671810307269722E-2</v>
      </c>
      <c r="P254" s="169">
        <f>(INDEX(Models!$BJ254:$BT254,,T254)*(1-R254)+INDEX(Models!$BJ254:$BT254,,T254+1)*R254-ERP_i)*Q254*Ramure*Pc/MaxiM</f>
        <v>4.0600354612734865E-6</v>
      </c>
      <c r="Q254" s="305">
        <f t="shared" si="80"/>
        <v>0.5</v>
      </c>
      <c r="R254" s="177">
        <f t="shared" si="81"/>
        <v>0.95380938029314999</v>
      </c>
      <c r="S254" s="811">
        <f t="shared" si="82"/>
        <v>-2</v>
      </c>
      <c r="T254" s="176">
        <f t="shared" si="83"/>
        <v>4</v>
      </c>
      <c r="U254" s="251">
        <f t="shared" si="84"/>
        <v>-1.04619061970685</v>
      </c>
      <c r="V254" s="383">
        <f t="shared" si="85"/>
        <v>49.875086038522255</v>
      </c>
      <c r="W254" s="402">
        <f t="shared" si="86"/>
        <v>47.142865573294181</v>
      </c>
      <c r="X254" s="157">
        <f t="shared" si="87"/>
        <v>46262</v>
      </c>
      <c r="Y254" s="385">
        <f t="shared" si="88"/>
        <v>44.838952904571478</v>
      </c>
      <c r="Z254" s="385">
        <f t="shared" si="89"/>
        <v>47.887349796236791</v>
      </c>
      <c r="AA254" s="386">
        <f t="shared" si="90"/>
        <v>51.199236819116756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6.4686257620999818E-2</v>
      </c>
      <c r="AD254" s="231">
        <f>(INDEX(Models!$BJ254:$BT254,,AH254)*(1-AF254)+INDEX(Models!$BJ254:$BT254,,AH254+1)*AF254-ERP_i)*AE254*Ramure*Pc/MaxiM</f>
        <v>5.2374557086696222E-5</v>
      </c>
      <c r="AE254" s="305">
        <f t="shared" si="92"/>
        <v>0.5</v>
      </c>
      <c r="AF254" s="177">
        <f t="shared" si="93"/>
        <v>0.47879694666712913</v>
      </c>
      <c r="AG254" s="811">
        <f t="shared" si="99"/>
        <v>2</v>
      </c>
      <c r="AH254" s="176">
        <f t="shared" si="94"/>
        <v>8</v>
      </c>
      <c r="AI254" s="225">
        <f t="shared" si="95"/>
        <v>2.4787969466671291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'2025'!Wh/'2025'!Env_an*'2026'!Env_an</f>
        <v>31.784027510935967</v>
      </c>
      <c r="C255" s="841"/>
      <c r="D255" s="393">
        <f t="shared" si="77"/>
        <v>33.945622775413121</v>
      </c>
      <c r="E255" s="385">
        <f t="shared" si="100"/>
        <v>34.524261899728494</v>
      </c>
      <c r="F255" s="385">
        <f t="shared" si="78"/>
        <v>34.524319462418255</v>
      </c>
      <c r="G255" s="110">
        <f t="shared" si="101"/>
        <v>0.63957855084529314</v>
      </c>
      <c r="H255" s="414" t="b">
        <f>Wh_hp&gt;='2025'!Maxi_hp</f>
        <v>0</v>
      </c>
      <c r="I255" s="390">
        <f>IF(H255,Wh_hp,'2025'!Maxi_hp)</f>
        <v>53.843045701686705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6.3678173730334353E-2</v>
      </c>
      <c r="M255" s="845"/>
      <c r="N255" s="845"/>
      <c r="O255" s="48">
        <f>IF(t&lt;Tnet,'2025'!Resal+('2025'!Salim-'2025'!Resal)*(1-EXP(('2025'!Tnet-t)/('2025'!Tau_j))),Resal+(Salim-Resal)*(1-EXP((Tnet-t)/(Tau_j))))*Salcycl</f>
        <v>1.6760361915801655E-2</v>
      </c>
      <c r="P255" s="169">
        <f>(INDEX(Models!$BJ255:$BT255,,T255)*(1-R255)+INDEX(Models!$BJ255:$BT255,,T255+1)*R255-ERP_i)*Q255*Ramure*Pc/MaxiM</f>
        <v>3.4369427220884834E-6</v>
      </c>
      <c r="Q255" s="305">
        <f t="shared" si="80"/>
        <v>0.5</v>
      </c>
      <c r="R255" s="177">
        <f t="shared" si="81"/>
        <v>0.95453741999544461</v>
      </c>
      <c r="S255" s="811">
        <f t="shared" si="82"/>
        <v>-2</v>
      </c>
      <c r="T255" s="176">
        <f t="shared" si="83"/>
        <v>4</v>
      </c>
      <c r="U255" s="251">
        <f t="shared" si="84"/>
        <v>-1.0454625800045554</v>
      </c>
      <c r="V255" s="383">
        <f t="shared" si="85"/>
        <v>49.695180088092357</v>
      </c>
      <c r="W255" s="402">
        <f t="shared" si="86"/>
        <v>31.784027510935967</v>
      </c>
      <c r="X255" s="157">
        <f t="shared" si="87"/>
        <v>46263</v>
      </c>
      <c r="Y255" s="385">
        <f t="shared" si="88"/>
        <v>30.232815094175628</v>
      </c>
      <c r="Z255" s="385">
        <f t="shared" si="89"/>
        <v>32.288914180954293</v>
      </c>
      <c r="AA255" s="386">
        <f t="shared" si="90"/>
        <v>34.523503957789032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6.4726621595736888E-2</v>
      </c>
      <c r="AD255" s="231">
        <f>(INDEX(Models!$BJ255:$BT255,,AH255)*(1-AF255)+INDEX(Models!$BJ255:$BT255,,AH255+1)*AF255-ERP_i)*AE255*Ramure*Pc/MaxiM</f>
        <v>4.8692003652996993E-5</v>
      </c>
      <c r="AE255" s="305">
        <f t="shared" si="92"/>
        <v>0.5</v>
      </c>
      <c r="AF255" s="177">
        <f t="shared" si="93"/>
        <v>0.47952498636942353</v>
      </c>
      <c r="AG255" s="811">
        <f t="shared" si="99"/>
        <v>2</v>
      </c>
      <c r="AH255" s="176">
        <f t="shared" si="94"/>
        <v>8</v>
      </c>
      <c r="AI255" s="225">
        <f t="shared" si="95"/>
        <v>2.4795249863694235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'2025'!Wh/'2025'!Env_an*'2026'!Env_an</f>
        <v>46.149871077379601</v>
      </c>
      <c r="C256" s="841"/>
      <c r="D256" s="393">
        <f t="shared" si="77"/>
        <v>49.289550457242711</v>
      </c>
      <c r="E256" s="385">
        <f t="shared" si="100"/>
        <v>50.134249493741464</v>
      </c>
      <c r="F256" s="385">
        <f t="shared" si="78"/>
        <v>50.134379756590562</v>
      </c>
      <c r="G256" s="110">
        <f t="shared" si="101"/>
        <v>0.93213115817099379</v>
      </c>
      <c r="H256" s="414" t="b">
        <f>Wh_hp&gt;='2025'!Maxi_hp</f>
        <v>0</v>
      </c>
      <c r="I256" s="390">
        <f>IF(H256,Wh_hp,'2025'!Maxi_hp)</f>
        <v>52.67575781397985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6.3698681581336292E-2</v>
      </c>
      <c r="M256" s="845"/>
      <c r="N256" s="845"/>
      <c r="O256" s="48">
        <f>IF(t&lt;Tnet,'2025'!Resal+('2025'!Salim-'2025'!Resal)*(1-EXP(('2025'!Tnet-t)/('2025'!Tau_j))),Resal+(Salim-Resal)*(1-EXP((Tnet-t)/(Tau_j))))*Salcycl</f>
        <v>1.6848742028225769E-2</v>
      </c>
      <c r="P256" s="169">
        <f>(INDEX(Models!$BJ256:$BT256,,T256)*(1-R256)+INDEX(Models!$BJ256:$BT256,,T256+1)*R256-ERP_i)*Q256*Ramure*Pc/MaxiM</f>
        <v>2.877236693545846E-6</v>
      </c>
      <c r="Q256" s="305">
        <f t="shared" si="80"/>
        <v>0.5</v>
      </c>
      <c r="R256" s="177">
        <f t="shared" si="81"/>
        <v>0.95523821755661942</v>
      </c>
      <c r="S256" s="811">
        <f t="shared" si="82"/>
        <v>-2</v>
      </c>
      <c r="T256" s="176">
        <f t="shared" si="83"/>
        <v>4</v>
      </c>
      <c r="U256" s="251">
        <f t="shared" si="84"/>
        <v>-1.0447617824433806</v>
      </c>
      <c r="V256" s="383">
        <f t="shared" si="85"/>
        <v>49.510047806793807</v>
      </c>
      <c r="W256" s="402">
        <f t="shared" si="86"/>
        <v>46.149871077379601</v>
      </c>
      <c r="X256" s="157">
        <f t="shared" si="87"/>
        <v>46264</v>
      </c>
      <c r="Y256" s="385">
        <f t="shared" si="88"/>
        <v>43.898863950625596</v>
      </c>
      <c r="Z256" s="385">
        <f t="shared" si="89"/>
        <v>46.885402259998081</v>
      </c>
      <c r="AA256" s="386">
        <f t="shared" si="90"/>
        <v>50.132303872036054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6.4766654656960784E-2</v>
      </c>
      <c r="AD256" s="231">
        <f>(INDEX(Models!$BJ256:$BT256,,AH256)*(1-AF256)+INDEX(Models!$BJ256:$BT256,,AH256+1)*AF256-ERP_i)*AE256*Ramure*Pc/MaxiM</f>
        <v>4.5851992745797906E-5</v>
      </c>
      <c r="AE256" s="305">
        <f t="shared" si="92"/>
        <v>0.5</v>
      </c>
      <c r="AF256" s="177">
        <f t="shared" si="93"/>
        <v>0.48022578393059812</v>
      </c>
      <c r="AG256" s="811">
        <f t="shared" si="99"/>
        <v>2</v>
      </c>
      <c r="AH256" s="176">
        <f t="shared" si="94"/>
        <v>8</v>
      </c>
      <c r="AI256" s="225">
        <f t="shared" si="95"/>
        <v>2.4802257839305981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'2025'!Wh/'2025'!Env_an*'2026'!Env_an</f>
        <v>21.719770577884038</v>
      </c>
      <c r="C257" s="841"/>
      <c r="D257" s="393">
        <f t="shared" si="77"/>
        <v>23.197923445953727</v>
      </c>
      <c r="E257" s="385">
        <f t="shared" si="100"/>
        <v>23.597594649596424</v>
      </c>
      <c r="F257" s="385">
        <f t="shared" si="78"/>
        <v>23.597605921151128</v>
      </c>
      <c r="G257" s="110">
        <f t="shared" si="101"/>
        <v>0.44039362189093756</v>
      </c>
      <c r="H257" s="414" t="b">
        <f>Wh_hp&gt;='2025'!Maxi_hp</f>
        <v>0</v>
      </c>
      <c r="I257" s="390">
        <f>IF(H257,Wh_hp,'2025'!Maxi_hp)</f>
        <v>52.060228799144411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6.3719188983163644E-2</v>
      </c>
      <c r="M257" s="845"/>
      <c r="N257" s="845"/>
      <c r="O257" s="48">
        <f>IF(t&lt;Tnet,'2025'!Resal+('2025'!Salim-'2025'!Resal)*(1-EXP(('2025'!Tnet-t)/('2025'!Tau_j))),Resal+(Salim-Resal)*(1-EXP((Tnet-t)/(Tau_j))))*Salcycl</f>
        <v>1.6936946734506804E-2</v>
      </c>
      <c r="P257" s="169">
        <f>(INDEX(Models!$BJ257:$BT257,,T257)*(1-R257)+INDEX(Models!$BJ257:$BT257,,T257+1)*R257-ERP_i)*Q257*Ramure*Pc/MaxiM</f>
        <v>2.381573269407805E-6</v>
      </c>
      <c r="Q257" s="305">
        <f t="shared" si="80"/>
        <v>0.5</v>
      </c>
      <c r="R257" s="177">
        <f t="shared" si="81"/>
        <v>0.95591271474631956</v>
      </c>
      <c r="S257" s="811">
        <f t="shared" si="82"/>
        <v>-2</v>
      </c>
      <c r="T257" s="176">
        <f t="shared" si="83"/>
        <v>4</v>
      </c>
      <c r="U257" s="251">
        <f t="shared" si="84"/>
        <v>-1.0440872852536804</v>
      </c>
      <c r="V257" s="383">
        <f t="shared" si="85"/>
        <v>49.318900514440607</v>
      </c>
      <c r="W257" s="402">
        <f t="shared" si="86"/>
        <v>21.719770577884038</v>
      </c>
      <c r="X257" s="157">
        <f t="shared" si="87"/>
        <v>46265</v>
      </c>
      <c r="Y257" s="385">
        <f t="shared" si="88"/>
        <v>20.661973374975187</v>
      </c>
      <c r="Z257" s="385">
        <f t="shared" si="89"/>
        <v>22.068137178348771</v>
      </c>
      <c r="AA257" s="386">
        <f t="shared" si="90"/>
        <v>23.597398324404331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6.480634538740683E-2</v>
      </c>
      <c r="AD257" s="231">
        <f>(INDEX(Models!$BJ257:$BT257,,AH257)*(1-AF257)+INDEX(Models!$BJ257:$BT257,,AH257+1)*AF257-ERP_i)*AE257*Ramure*Pc/MaxiM</f>
        <v>4.3863235894533924E-5</v>
      </c>
      <c r="AE257" s="305">
        <f t="shared" si="92"/>
        <v>0.5</v>
      </c>
      <c r="AF257" s="177">
        <f t="shared" si="93"/>
        <v>0.4809002811202987</v>
      </c>
      <c r="AG257" s="811">
        <f t="shared" si="99"/>
        <v>2</v>
      </c>
      <c r="AH257" s="176">
        <f t="shared" si="94"/>
        <v>8</v>
      </c>
      <c r="AI257" s="225">
        <f t="shared" si="95"/>
        <v>2.4809002811202987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'2025'!Wh/'2025'!Env_an*'2026'!Env_an</f>
        <v>41.86813183568578</v>
      </c>
      <c r="C258" s="841"/>
      <c r="D258" s="393">
        <f t="shared" si="77"/>
        <v>44.718473755580725</v>
      </c>
      <c r="E258" s="385">
        <f t="shared" si="100"/>
        <v>45.492990645787707</v>
      </c>
      <c r="F258" s="385">
        <f t="shared" si="78"/>
        <v>45.493060667008386</v>
      </c>
      <c r="G258" s="110">
        <f t="shared" si="101"/>
        <v>0.85234741408048909</v>
      </c>
      <c r="H258" s="414" t="b">
        <f>Wh_hp&gt;='2025'!Maxi_hp</f>
        <v>0</v>
      </c>
      <c r="I258" s="390">
        <f>IF(H258,Wh_hp,'2025'!Maxi_hp)</f>
        <v>53.475031417285187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6.373969593582629E-2</v>
      </c>
      <c r="M258" s="845"/>
      <c r="N258" s="845"/>
      <c r="O258" s="48">
        <f>IF(t&lt;Tnet,'2025'!Resal+('2025'!Salim-'2025'!Resal)*(1-EXP(('2025'!Tnet-t)/('2025'!Tau_j))),Resal+(Salim-Resal)*(1-EXP((Tnet-t)/(Tau_j))))*Salcycl</f>
        <v>1.7024971961888263E-2</v>
      </c>
      <c r="P258" s="169">
        <f>(INDEX(Models!$BJ258:$BT258,,T258)*(1-R258)+INDEX(Models!$BJ258:$BT258,,T258+1)*R258-ERP_i)*Q258*Ramure*Pc/MaxiM</f>
        <v>1.9506078182308569E-6</v>
      </c>
      <c r="Q258" s="305">
        <f t="shared" si="80"/>
        <v>0.5</v>
      </c>
      <c r="R258" s="177">
        <f t="shared" si="81"/>
        <v>0.95656182672894108</v>
      </c>
      <c r="S258" s="811">
        <f t="shared" si="82"/>
        <v>-2</v>
      </c>
      <c r="T258" s="176">
        <f t="shared" si="83"/>
        <v>4</v>
      </c>
      <c r="U258" s="251">
        <f t="shared" si="84"/>
        <v>-1.0434381732710589</v>
      </c>
      <c r="V258" s="383">
        <f t="shared" si="85"/>
        <v>49.120949882140216</v>
      </c>
      <c r="W258" s="402">
        <f t="shared" si="86"/>
        <v>41.86813183568578</v>
      </c>
      <c r="X258" s="157">
        <f t="shared" si="87"/>
        <v>46266</v>
      </c>
      <c r="Y258" s="385">
        <f t="shared" si="88"/>
        <v>39.830009052711766</v>
      </c>
      <c r="Z258" s="385">
        <f t="shared" si="89"/>
        <v>42.541597544844443</v>
      </c>
      <c r="AA258" s="386">
        <f t="shared" si="90"/>
        <v>45.491526610476058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6.4845681941838554E-2</v>
      </c>
      <c r="AD258" s="231">
        <f>(INDEX(Models!$BJ258:$BT258,,AH258)*(1-AF258)+INDEX(Models!$BJ258:$BT258,,AH258+1)*AF258-ERP_i)*AE258*Ramure*Pc/MaxiM</f>
        <v>4.2734797201135442E-5</v>
      </c>
      <c r="AE258" s="305">
        <f t="shared" si="92"/>
        <v>0.5</v>
      </c>
      <c r="AF258" s="177">
        <f t="shared" si="93"/>
        <v>0.48154939310291978</v>
      </c>
      <c r="AG258" s="811">
        <f t="shared" si="99"/>
        <v>2</v>
      </c>
      <c r="AH258" s="176">
        <f t="shared" si="94"/>
        <v>8</v>
      </c>
      <c r="AI258" s="225">
        <f t="shared" si="95"/>
        <v>2.4815493931029198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'2025'!Wh/'2025'!Env_an*'2026'!Env_an</f>
        <v>38.40310070693625</v>
      </c>
      <c r="C259" s="841"/>
      <c r="D259" s="393">
        <f t="shared" si="77"/>
        <v>41.018445068233518</v>
      </c>
      <c r="E259" s="385">
        <f t="shared" si="100"/>
        <v>41.732607393969054</v>
      </c>
      <c r="F259" s="385">
        <f t="shared" si="78"/>
        <v>41.732653232762885</v>
      </c>
      <c r="G259" s="110">
        <f t="shared" si="101"/>
        <v>0.78509172550781847</v>
      </c>
      <c r="H259" s="414" t="b">
        <f>Wh_hp&gt;='2025'!Maxi_hp</f>
        <v>0</v>
      </c>
      <c r="I259" s="390">
        <f>IF(H259,Wh_hp,'2025'!Maxi_hp)</f>
        <v>51.427835350869806</v>
      </c>
      <c r="J259" s="85">
        <f>IF(H259,An,'2025'!An_max)</f>
        <v>2019</v>
      </c>
      <c r="K259" s="197">
        <f t="shared" si="79"/>
        <v>46267</v>
      </c>
      <c r="L259" s="147">
        <f>IF(t&lt;Tvie,1-EXP((T0-t)*PertePVj)+'2025'!Pspv,1-EXP((T0-t)*PertePVj)+Pspv)</f>
        <v>6.3760202439334002E-2</v>
      </c>
      <c r="M259" s="845"/>
      <c r="N259" s="845"/>
      <c r="O259" s="48">
        <f>IF(t&lt;Tnet,'2025'!Resal+('2025'!Salim-'2025'!Resal)*(1-EXP(('2025'!Tnet-t)/('2025'!Tau_j))),Resal+(Salim-Resal)*(1-EXP((Tnet-t)/(Tau_j))))*Salcycl</f>
        <v>1.7112813464867333E-2</v>
      </c>
      <c r="P259" s="169">
        <f>(INDEX(Models!$BJ259:$BT259,,T259)*(1-R259)+INDEX(Models!$BJ259:$BT259,,T259+1)*R259-ERP_i)*Q259*Ramure*Pc/MaxiM</f>
        <v>1.5850063848361199E-6</v>
      </c>
      <c r="Q259" s="305">
        <f t="shared" si="80"/>
        <v>0.5</v>
      </c>
      <c r="R259" s="177">
        <f t="shared" si="81"/>
        <v>0.95718644234314754</v>
      </c>
      <c r="S259" s="811">
        <f t="shared" si="82"/>
        <v>-2</v>
      </c>
      <c r="T259" s="176">
        <f t="shared" si="83"/>
        <v>4</v>
      </c>
      <c r="U259" s="251">
        <f t="shared" si="84"/>
        <v>-1.0428135576568525</v>
      </c>
      <c r="V259" s="383">
        <f t="shared" si="85"/>
        <v>48.915407934731725</v>
      </c>
      <c r="W259" s="402">
        <f t="shared" si="86"/>
        <v>38.40310070693625</v>
      </c>
      <c r="X259" s="157">
        <f t="shared" si="87"/>
        <v>46267</v>
      </c>
      <c r="Y259" s="385">
        <f t="shared" si="88"/>
        <v>36.535537085707915</v>
      </c>
      <c r="Z259" s="385">
        <f t="shared" si="89"/>
        <v>39.02369583187955</v>
      </c>
      <c r="AA259" s="386">
        <f t="shared" si="90"/>
        <v>41.731424808798039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6.4884652017623737E-2</v>
      </c>
      <c r="AD259" s="231">
        <f>(INDEX(Models!$BJ259:$BT259,,AH259)*(1-AF259)+INDEX(Models!$BJ259:$BT259,,AH259+1)*AF259-ERP_i)*AE259*Ramure*Pc/MaxiM</f>
        <v>4.247624478877648E-5</v>
      </c>
      <c r="AE259" s="305">
        <f t="shared" si="92"/>
        <v>0.5</v>
      </c>
      <c r="AF259" s="177">
        <f t="shared" si="93"/>
        <v>0.48217400871712668</v>
      </c>
      <c r="AG259" s="811">
        <f t="shared" si="99"/>
        <v>2</v>
      </c>
      <c r="AH259" s="176">
        <f t="shared" si="94"/>
        <v>8</v>
      </c>
      <c r="AI259" s="225">
        <f t="shared" si="95"/>
        <v>2.4821740087171267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'2025'!Wh/'2025'!Env_an*'2026'!Env_an</f>
        <v>32.064323353506062</v>
      </c>
      <c r="C260" s="841"/>
      <c r="D260" s="393">
        <f t="shared" si="77"/>
        <v>34.248731728137201</v>
      </c>
      <c r="E260" s="385">
        <f t="shared" si="100"/>
        <v>34.848135933813218</v>
      </c>
      <c r="F260" s="385">
        <f t="shared" si="78"/>
        <v>34.848158868306626</v>
      </c>
      <c r="G260" s="110">
        <f t="shared" si="101"/>
        <v>0.65838448034545038</v>
      </c>
      <c r="H260" s="414" t="b">
        <f>Wh_hp&gt;='2025'!Maxi_hp</f>
        <v>0</v>
      </c>
      <c r="I260" s="390">
        <f>IF(H260,Wh_hp,'2025'!Maxi_hp)</f>
        <v>54.150203084511908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6.3780708493696658E-2</v>
      </c>
      <c r="M260" s="845"/>
      <c r="N260" s="845"/>
      <c r="O260" s="48">
        <f>IF(t&lt;Tnet,'2025'!Resal+('2025'!Salim-'2025'!Resal)*(1-EXP(('2025'!Tnet-t)/('2025'!Tau_j))),Resal+(Salim-Resal)*(1-EXP((Tnet-t)/(Tau_j))))*Salcycl</f>
        <v>1.7200466814479277E-2</v>
      </c>
      <c r="P260" s="169">
        <f>(INDEX(Models!$BJ260:$BT260,,T260)*(1-R260)+INDEX(Models!$BJ260:$BT260,,T260+1)*R260-ERP_i)*Q260*Ramure*Pc/MaxiM</f>
        <v>1.2854573107869173E-6</v>
      </c>
      <c r="Q260" s="305">
        <f t="shared" si="80"/>
        <v>0.5</v>
      </c>
      <c r="R260" s="177">
        <f t="shared" si="81"/>
        <v>0.957787424421773</v>
      </c>
      <c r="S260" s="811">
        <f t="shared" si="82"/>
        <v>-2</v>
      </c>
      <c r="T260" s="176">
        <f t="shared" si="83"/>
        <v>4</v>
      </c>
      <c r="U260" s="251">
        <f t="shared" si="84"/>
        <v>-1.042212575578227</v>
      </c>
      <c r="V260" s="383">
        <f t="shared" si="85"/>
        <v>48.701487042537451</v>
      </c>
      <c r="W260" s="402">
        <f t="shared" si="86"/>
        <v>32.064323353506062</v>
      </c>
      <c r="X260" s="157">
        <f t="shared" si="87"/>
        <v>46268</v>
      </c>
      <c r="Y260" s="385">
        <f t="shared" si="88"/>
        <v>30.50669098978149</v>
      </c>
      <c r="Z260" s="385">
        <f t="shared" si="89"/>
        <v>32.58498437977989</v>
      </c>
      <c r="AA260" s="386">
        <f t="shared" si="90"/>
        <v>34.84738993852158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6.4923242823438698E-2</v>
      </c>
      <c r="AD260" s="231">
        <f>(INDEX(Models!$BJ260:$BT260,,AH260)*(1-AF260)+INDEX(Models!$BJ260:$BT260,,AH260+1)*AF260-ERP_i)*AE260*Ramure*Pc/MaxiM</f>
        <v>4.3097808885563501E-5</v>
      </c>
      <c r="AE260" s="305">
        <f t="shared" si="92"/>
        <v>0.5</v>
      </c>
      <c r="AF260" s="177">
        <f t="shared" si="93"/>
        <v>0.48277499079575215</v>
      </c>
      <c r="AG260" s="811">
        <f t="shared" si="99"/>
        <v>2</v>
      </c>
      <c r="AH260" s="176">
        <f t="shared" si="94"/>
        <v>8</v>
      </c>
      <c r="AI260" s="225">
        <f t="shared" si="95"/>
        <v>2.4827749907957521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'2025'!Wh/'2025'!Env_an*'2026'!Env_an</f>
        <v>46.504635056282957</v>
      </c>
      <c r="C261" s="841"/>
      <c r="D261" s="393">
        <f t="shared" si="77"/>
        <v>49.67388951644817</v>
      </c>
      <c r="E261" s="385">
        <f t="shared" si="100"/>
        <v>50.54775544211391</v>
      </c>
      <c r="F261" s="385">
        <f t="shared" si="78"/>
        <v>50.547805555186955</v>
      </c>
      <c r="G261" s="110">
        <f t="shared" si="101"/>
        <v>0.95926347475770835</v>
      </c>
      <c r="H261" s="414" t="b">
        <f>Wh_hp&gt;='2025'!Maxi_hp</f>
        <v>0</v>
      </c>
      <c r="I261" s="390">
        <f>IF(H261,Wh_hp,'2025'!Maxi_hp)</f>
        <v>53.283178554064911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6.3801214098924142E-2</v>
      </c>
      <c r="M261" s="845"/>
      <c r="N261" s="845"/>
      <c r="O261" s="48">
        <f>IF(t&lt;Tnet,'2025'!Resal+('2025'!Salim-'2025'!Resal)*(1-EXP(('2025'!Tnet-t)/('2025'!Tau_j))),Resal+(Salim-Resal)*(1-EXP((Tnet-t)/(Tau_j))))*Salcycl</f>
        <v>1.7287927387131374E-2</v>
      </c>
      <c r="P261" s="169">
        <f>(INDEX(Models!$BJ261:$BT261,,T261)*(1-R261)+INDEX(Models!$BJ261:$BT261,,T261+1)*R261-ERP_i)*Q261*Ramure*Pc/MaxiM</f>
        <v>1.0526590181257506E-6</v>
      </c>
      <c r="Q261" s="305">
        <f t="shared" si="80"/>
        <v>0.5</v>
      </c>
      <c r="R261" s="177">
        <f t="shared" si="81"/>
        <v>0.95836561014753729</v>
      </c>
      <c r="S261" s="811">
        <f t="shared" si="82"/>
        <v>-2</v>
      </c>
      <c r="T261" s="176">
        <f t="shared" si="83"/>
        <v>4</v>
      </c>
      <c r="U261" s="251">
        <f t="shared" si="84"/>
        <v>-1.0416343898524627</v>
      </c>
      <c r="V261" s="383">
        <f t="shared" si="85"/>
        <v>48.479519372066527</v>
      </c>
      <c r="W261" s="402">
        <f t="shared" si="86"/>
        <v>46.504635056282957</v>
      </c>
      <c r="X261" s="157">
        <f t="shared" si="87"/>
        <v>46269</v>
      </c>
      <c r="Y261" s="385">
        <f t="shared" si="88"/>
        <v>44.246778246991681</v>
      </c>
      <c r="Z261" s="385">
        <f t="shared" si="89"/>
        <v>47.262161533786745</v>
      </c>
      <c r="AA261" s="386">
        <f t="shared" si="90"/>
        <v>50.545681866543461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6.4961441047056159E-2</v>
      </c>
      <c r="AD261" s="231">
        <f>(INDEX(Models!$BJ261:$BT261,,AH261)*(1-AF261)+INDEX(Models!$BJ261:$BT261,,AH261+1)*AF261-ERP_i)*AE261*Ramure*Pc/MaxiM</f>
        <v>4.4609517366460755E-5</v>
      </c>
      <c r="AE261" s="305">
        <f t="shared" si="92"/>
        <v>0.5</v>
      </c>
      <c r="AF261" s="177">
        <f t="shared" si="93"/>
        <v>0.48335317652151621</v>
      </c>
      <c r="AG261" s="811">
        <f t="shared" si="99"/>
        <v>2</v>
      </c>
      <c r="AH261" s="176">
        <f t="shared" si="94"/>
        <v>8</v>
      </c>
      <c r="AI261" s="225">
        <f t="shared" si="95"/>
        <v>2.4833531765215162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'2025'!Wh/'2025'!Env_an*'2026'!Env_an</f>
        <v>39.313386280907515</v>
      </c>
      <c r="C262" s="841"/>
      <c r="D262" s="393">
        <f t="shared" si="77"/>
        <v>41.993482533715131</v>
      </c>
      <c r="E262" s="385">
        <f t="shared" si="100"/>
        <v>42.736029175582836</v>
      </c>
      <c r="F262" s="385">
        <f t="shared" si="78"/>
        <v>42.736057334873252</v>
      </c>
      <c r="G262" s="110">
        <f t="shared" si="101"/>
        <v>0.81477443328248211</v>
      </c>
      <c r="H262" s="414" t="b">
        <f>Wh_hp&gt;='2025'!Maxi_hp</f>
        <v>0</v>
      </c>
      <c r="I262" s="390">
        <f>IF(H262,Wh_hp,'2025'!Maxi_hp)</f>
        <v>52.787883333438941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6.3821719255026221E-2</v>
      </c>
      <c r="M262" s="845"/>
      <c r="N262" s="845"/>
      <c r="O262" s="48">
        <f>IF(t&lt;Tnet,'2025'!Resal+('2025'!Salim-'2025'!Resal)*(1-EXP(('2025'!Tnet-t)/('2025'!Tau_j))),Resal+(Salim-Resal)*(1-EXP((Tnet-t)/(Tau_j))))*Salcycl</f>
        <v>1.737519035324778E-2</v>
      </c>
      <c r="P262" s="169">
        <f>(INDEX(Models!$BJ262:$BT262,,T262)*(1-R262)+INDEX(Models!$BJ262:$BT262,,T262+1)*R262-ERP_i)*Q262*Ramure*Pc/MaxiM</f>
        <v>8.9600031320456814E-7</v>
      </c>
      <c r="Q262" s="305">
        <f t="shared" si="80"/>
        <v>0.5</v>
      </c>
      <c r="R262" s="177">
        <f t="shared" si="81"/>
        <v>0.9589218114403093</v>
      </c>
      <c r="S262" s="811">
        <f t="shared" si="82"/>
        <v>-2</v>
      </c>
      <c r="T262" s="176">
        <f t="shared" si="83"/>
        <v>4</v>
      </c>
      <c r="U262" s="251">
        <f t="shared" si="84"/>
        <v>-1.0410781885596907</v>
      </c>
      <c r="V262" s="383">
        <f t="shared" si="85"/>
        <v>48.250626620382988</v>
      </c>
      <c r="W262" s="402">
        <f t="shared" si="86"/>
        <v>39.313386280907515</v>
      </c>
      <c r="X262" s="157">
        <f t="shared" si="87"/>
        <v>46270</v>
      </c>
      <c r="Y262" s="385">
        <f t="shared" si="88"/>
        <v>37.406721726129618</v>
      </c>
      <c r="Z262" s="385">
        <f t="shared" si="89"/>
        <v>39.956835674891778</v>
      </c>
      <c r="AA262" s="386">
        <f t="shared" si="90"/>
        <v>42.734548545388542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6.4999232823216624E-2</v>
      </c>
      <c r="AD262" s="231">
        <f>(INDEX(Models!$BJ262:$BT262,,AH262)*(1-AF262)+INDEX(Models!$BJ262:$BT262,,AH262+1)*AF262-ERP_i)*AE262*Ramure*Pc/MaxiM</f>
        <v>4.8008164647597299E-5</v>
      </c>
      <c r="AE262" s="305">
        <f t="shared" si="92"/>
        <v>0.5</v>
      </c>
      <c r="AF262" s="177">
        <f t="shared" si="93"/>
        <v>0.483909377814288</v>
      </c>
      <c r="AG262" s="811">
        <f t="shared" si="99"/>
        <v>2</v>
      </c>
      <c r="AH262" s="176">
        <f t="shared" si="94"/>
        <v>8</v>
      </c>
      <c r="AI262" s="225">
        <f t="shared" si="95"/>
        <v>2.483909377814288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'2025'!Wh/'2025'!Env_an*'2026'!Env_an</f>
        <v>44.584473358042011</v>
      </c>
      <c r="C263" s="841"/>
      <c r="D263" s="393">
        <f t="shared" si="77"/>
        <v>47.624956496898093</v>
      </c>
      <c r="E263" s="385">
        <f t="shared" si="100"/>
        <v>48.471375811443657</v>
      </c>
      <c r="F263" s="385">
        <f t="shared" si="78"/>
        <v>48.471409042014081</v>
      </c>
      <c r="G263" s="110">
        <f t="shared" si="101"/>
        <v>0.92854891241107451</v>
      </c>
      <c r="H263" s="414" t="b">
        <f>Wh_hp&gt;='2025'!Maxi_hp</f>
        <v>0</v>
      </c>
      <c r="I263" s="390">
        <f>IF(H263,Wh_hp,'2025'!Maxi_hp)</f>
        <v>54.673871330579189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6.3842223962012778E-2</v>
      </c>
      <c r="M263" s="845"/>
      <c r="N263" s="845"/>
      <c r="O263" s="48">
        <f>IF(t&lt;Tnet,'2025'!Resal+('2025'!Salim-'2025'!Resal)*(1-EXP(('2025'!Tnet-t)/('2025'!Tau_j))),Resal+(Salim-Resal)*(1-EXP((Tnet-t)/(Tau_j))))*Salcycl</f>
        <v>1.7462250666005007E-2</v>
      </c>
      <c r="P263" s="169">
        <f>(INDEX(Models!$BJ263:$BT263,,T263)*(1-R263)+INDEX(Models!$BJ263:$BT263,,T263+1)*R263-ERP_i)*Q263*Ramure*Pc/MaxiM</f>
        <v>7.6350355308718791E-7</v>
      </c>
      <c r="Q263" s="305">
        <f t="shared" si="80"/>
        <v>0.5</v>
      </c>
      <c r="R263" s="177">
        <f t="shared" si="81"/>
        <v>0.95945681537194094</v>
      </c>
      <c r="S263" s="811">
        <f t="shared" si="82"/>
        <v>-2</v>
      </c>
      <c r="T263" s="176">
        <f t="shared" si="83"/>
        <v>4</v>
      </c>
      <c r="U263" s="251">
        <f t="shared" si="84"/>
        <v>-1.0405431846280591</v>
      </c>
      <c r="V263" s="383">
        <f t="shared" si="85"/>
        <v>48.015208770929853</v>
      </c>
      <c r="W263" s="402">
        <f t="shared" si="86"/>
        <v>44.584473358042011</v>
      </c>
      <c r="X263" s="157">
        <f t="shared" si="87"/>
        <v>46271</v>
      </c>
      <c r="Y263" s="385">
        <f t="shared" si="88"/>
        <v>42.423709438740381</v>
      </c>
      <c r="Z263" s="385">
        <f t="shared" si="89"/>
        <v>45.316837102273794</v>
      </c>
      <c r="AA263" s="386">
        <f t="shared" si="90"/>
        <v>48.469102942143245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6.5036603702615617E-2</v>
      </c>
      <c r="AD263" s="231">
        <f>(INDEX(Models!$BJ263:$BT263,,AH263)*(1-AF263)+INDEX(Models!$BJ263:$BT263,,AH263+1)*AF263-ERP_i)*AE263*Ramure*Pc/MaxiM</f>
        <v>5.2984809541854755E-5</v>
      </c>
      <c r="AE263" s="305">
        <f t="shared" si="92"/>
        <v>0.5</v>
      </c>
      <c r="AF263" s="177">
        <f t="shared" si="93"/>
        <v>0.48444438174591964</v>
      </c>
      <c r="AG263" s="811">
        <f t="shared" si="99"/>
        <v>2</v>
      </c>
      <c r="AH263" s="176">
        <f t="shared" si="94"/>
        <v>8</v>
      </c>
      <c r="AI263" s="225">
        <f t="shared" si="95"/>
        <v>2.4844443817459196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'2025'!Wh/'2025'!Env_an*'2026'!Env_an</f>
        <v>34.688367679980196</v>
      </c>
      <c r="C264" s="841"/>
      <c r="D264" s="393">
        <f t="shared" si="77"/>
        <v>37.054787503566367</v>
      </c>
      <c r="E264" s="385">
        <f t="shared" si="100"/>
        <v>37.716681432750804</v>
      </c>
      <c r="F264" s="385">
        <f t="shared" si="78"/>
        <v>37.716696480999659</v>
      </c>
      <c r="G264" s="110">
        <f t="shared" si="101"/>
        <v>0.72609794909672032</v>
      </c>
      <c r="H264" s="414" t="b">
        <f>Wh_hp&gt;='2025'!Maxi_hp</f>
        <v>0</v>
      </c>
      <c r="I264" s="390">
        <f>IF(H264,Wh_hp,'2025'!Maxi_hp)</f>
        <v>50.140065797662274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6.3862728219893583E-2</v>
      </c>
      <c r="M264" s="845"/>
      <c r="N264" s="845"/>
      <c r="O264" s="48">
        <f>IF(t&lt;Tnet,'2025'!Resal+('2025'!Salim-'2025'!Resal)*(1-EXP(('2025'!Tnet-t)/('2025'!Tau_j))),Resal+(Salim-Resal)*(1-EXP((Tnet-t)/(Tau_j))))*Salcycl</f>
        <v>1.754910305045259E-2</v>
      </c>
      <c r="P264" s="169">
        <f>(INDEX(Models!$BJ264:$BT264,,T264)*(1-R264)+INDEX(Models!$BJ264:$BT264,,T264+1)*R264-ERP_i)*Q264*Ramure*Pc/MaxiM</f>
        <v>6.5545174506601911E-7</v>
      </c>
      <c r="Q264" s="305">
        <f t="shared" si="80"/>
        <v>0.5</v>
      </c>
      <c r="R264" s="177">
        <f t="shared" si="81"/>
        <v>0.95997138460497844</v>
      </c>
      <c r="S264" s="811">
        <f t="shared" si="82"/>
        <v>-2</v>
      </c>
      <c r="T264" s="176">
        <f t="shared" si="83"/>
        <v>4</v>
      </c>
      <c r="U264" s="251">
        <f t="shared" si="84"/>
        <v>-1.0400286153950216</v>
      </c>
      <c r="V264" s="383">
        <f t="shared" si="85"/>
        <v>47.773663080279199</v>
      </c>
      <c r="W264" s="402">
        <f t="shared" si="86"/>
        <v>34.688367679980196</v>
      </c>
      <c r="X264" s="157">
        <f t="shared" si="87"/>
        <v>46272</v>
      </c>
      <c r="Y264" s="385">
        <f t="shared" si="88"/>
        <v>33.00919169580316</v>
      </c>
      <c r="Z264" s="385">
        <f t="shared" si="89"/>
        <v>35.261059131888558</v>
      </c>
      <c r="AA264" s="386">
        <f t="shared" si="90"/>
        <v>37.715329053749066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6.5073538623058771E-2</v>
      </c>
      <c r="AD264" s="231">
        <f>(INDEX(Models!$BJ264:$BT264,,AH264)*(1-AF264)+INDEX(Models!$BJ264:$BT264,,AH264+1)*AF264-ERP_i)*AE264*Ramure*Pc/MaxiM</f>
        <v>5.9560589828138898E-5</v>
      </c>
      <c r="AE264" s="305">
        <f t="shared" si="92"/>
        <v>0.5</v>
      </c>
      <c r="AF264" s="177">
        <f t="shared" si="93"/>
        <v>0.48495895097895758</v>
      </c>
      <c r="AG264" s="811">
        <f t="shared" si="99"/>
        <v>2</v>
      </c>
      <c r="AH264" s="176">
        <f t="shared" si="94"/>
        <v>8</v>
      </c>
      <c r="AI264" s="225">
        <f t="shared" si="95"/>
        <v>2.4849589509789576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'2025'!Wh/'2025'!Env_an*'2026'!Env_an</f>
        <v>37.98510871939466</v>
      </c>
      <c r="C265" s="841"/>
      <c r="D265" s="393">
        <f t="shared" si="77"/>
        <v>40.577319004458168</v>
      </c>
      <c r="E265" s="385">
        <f t="shared" si="100"/>
        <v>41.305777031010884</v>
      </c>
      <c r="F265" s="385">
        <f t="shared" si="78"/>
        <v>41.305793886144215</v>
      </c>
      <c r="G265" s="110">
        <f t="shared" si="101"/>
        <v>0.79924238252711699</v>
      </c>
      <c r="H265" s="414" t="b">
        <f>Wh_hp&gt;='2025'!Maxi_hp</f>
        <v>0</v>
      </c>
      <c r="I265" s="390">
        <f>IF(H265,Wh_hp,'2025'!Maxi_hp)</f>
        <v>49.195092920557293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6.3883232028678516E-2</v>
      </c>
      <c r="M265" s="845"/>
      <c r="N265" s="845"/>
      <c r="O265" s="48">
        <f>IF(t&lt;Tnet,'2025'!Resal+('2025'!Salim-'2025'!Resal)*(1-EXP(('2025'!Tnet-t)/('2025'!Tau_j))),Resal+(Salim-Resal)*(1-EXP((Tnet-t)/(Tau_j))))*Salcycl</f>
        <v>1.7635741993324947E-2</v>
      </c>
      <c r="P265" s="169">
        <f>(INDEX(Models!$BJ265:$BT265,,T265)*(1-R265)+INDEX(Models!$BJ265:$BT265,,T265+1)*R265-ERP_i)*Q265*Ramure*Pc/MaxiM</f>
        <v>5.7214709546361803E-7</v>
      </c>
      <c r="Q265" s="305">
        <f t="shared" si="80"/>
        <v>0.5</v>
      </c>
      <c r="R265" s="177">
        <f t="shared" si="81"/>
        <v>0.96046625785182438</v>
      </c>
      <c r="S265" s="811">
        <f t="shared" si="82"/>
        <v>-2</v>
      </c>
      <c r="T265" s="176">
        <f t="shared" si="83"/>
        <v>4</v>
      </c>
      <c r="U265" s="251">
        <f t="shared" si="84"/>
        <v>-1.0395337421481756</v>
      </c>
      <c r="V265" s="383">
        <f t="shared" si="85"/>
        <v>47.526386634203568</v>
      </c>
      <c r="W265" s="402">
        <f t="shared" si="86"/>
        <v>37.98510871939466</v>
      </c>
      <c r="X265" s="157">
        <f t="shared" si="87"/>
        <v>46273</v>
      </c>
      <c r="Y265" s="385">
        <f t="shared" si="88"/>
        <v>36.14768712440403</v>
      </c>
      <c r="Z265" s="385">
        <f t="shared" si="89"/>
        <v>38.614506609832929</v>
      </c>
      <c r="AA265" s="386">
        <f t="shared" si="90"/>
        <v>41.303797787674206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6.5110021883842503E-2</v>
      </c>
      <c r="AD265" s="231">
        <f>(INDEX(Models!$BJ265:$BT265,,AH265)*(1-AF265)+INDEX(Models!$BJ265:$BT265,,AH265+1)*AF265-ERP_i)*AE265*Ramure*Pc/MaxiM</f>
        <v>6.775751454502388E-5</v>
      </c>
      <c r="AE265" s="305">
        <f t="shared" si="92"/>
        <v>0.5</v>
      </c>
      <c r="AF265" s="177">
        <f t="shared" si="93"/>
        <v>0.4854538242258033</v>
      </c>
      <c r="AG265" s="811">
        <f t="shared" si="99"/>
        <v>2</v>
      </c>
      <c r="AH265" s="176">
        <f t="shared" si="94"/>
        <v>8</v>
      </c>
      <c r="AI265" s="225">
        <f t="shared" si="95"/>
        <v>2.4854538242258033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'2025'!Wh/'2025'!Env_an*'2026'!Env_an</f>
        <v>21.145880580711076</v>
      </c>
      <c r="C266" s="841"/>
      <c r="D266" s="393">
        <f t="shared" si="77"/>
        <v>22.589429506466733</v>
      </c>
      <c r="E266" s="385">
        <f t="shared" si="100"/>
        <v>22.996985808353624</v>
      </c>
      <c r="F266" s="385">
        <f t="shared" si="78"/>
        <v>22.996988295391411</v>
      </c>
      <c r="G266" s="110">
        <f t="shared" si="101"/>
        <v>0.44730659654941712</v>
      </c>
      <c r="H266" s="414" t="b">
        <f>Wh_hp&gt;='2025'!Maxi_hp</f>
        <v>0</v>
      </c>
      <c r="I266" s="390">
        <f>IF(H266,Wh_hp,'2025'!Maxi_hp)</f>
        <v>49.204296027158733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6.3903735388377458E-2</v>
      </c>
      <c r="M266" s="845"/>
      <c r="N266" s="845"/>
      <c r="O266" s="48">
        <f>IF(t&lt;Tnet,'2025'!Resal+('2025'!Salim-'2025'!Resal)*(1-EXP(('2025'!Tnet-t)/('2025'!Tau_j))),Resal+(Salim-Resal)*(1-EXP((Tnet-t)/(Tau_j))))*Salcycl</f>
        <v>1.7722161733858575E-2</v>
      </c>
      <c r="P266" s="169">
        <f>(INDEX(Models!$BJ266:$BT266,,T266)*(1-R266)+INDEX(Models!$BJ266:$BT266,,T266+1)*R266-ERP_i)*Q266*Ramure*Pc/MaxiM</f>
        <v>5.1390959840701632E-7</v>
      </c>
      <c r="Q266" s="305">
        <f t="shared" si="80"/>
        <v>0.5</v>
      </c>
      <c r="R266" s="177">
        <f t="shared" si="81"/>
        <v>0.96094215035117947</v>
      </c>
      <c r="S266" s="811">
        <f t="shared" si="82"/>
        <v>-2</v>
      </c>
      <c r="T266" s="176">
        <f t="shared" si="83"/>
        <v>4</v>
      </c>
      <c r="U266" s="251">
        <f t="shared" si="84"/>
        <v>-1.0390578496488205</v>
      </c>
      <c r="V266" s="383">
        <f t="shared" si="85"/>
        <v>47.273776339559227</v>
      </c>
      <c r="W266" s="402">
        <f t="shared" si="86"/>
        <v>21.145880580711076</v>
      </c>
      <c r="X266" s="157">
        <f t="shared" si="87"/>
        <v>46274</v>
      </c>
      <c r="Y266" s="385">
        <f t="shared" si="88"/>
        <v>20.124641743173431</v>
      </c>
      <c r="Z266" s="385">
        <f t="shared" si="89"/>
        <v>21.498474573577059</v>
      </c>
      <c r="AA266" s="386">
        <f t="shared" si="90"/>
        <v>22.996612762327356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6.5146037124411679E-2</v>
      </c>
      <c r="AD266" s="231">
        <f>(INDEX(Models!$BJ266:$BT266,,AH266)*(1-AF266)+INDEX(Models!$BJ266:$BT266,,AH266+1)*AF266-ERP_i)*AE266*Ramure*Pc/MaxiM</f>
        <v>7.7598357010800966E-5</v>
      </c>
      <c r="AE266" s="305">
        <f t="shared" si="92"/>
        <v>0.5</v>
      </c>
      <c r="AF266" s="177">
        <f t="shared" si="93"/>
        <v>0.48592971672515839</v>
      </c>
      <c r="AG266" s="811">
        <f t="shared" si="99"/>
        <v>2</v>
      </c>
      <c r="AH266" s="176">
        <f t="shared" si="94"/>
        <v>8</v>
      </c>
      <c r="AI266" s="225">
        <f t="shared" si="95"/>
        <v>2.4859297167251584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'2025'!Wh/'2025'!Env_an*'2026'!Env_an</f>
        <v>44.670951801984032</v>
      </c>
      <c r="C267" s="841"/>
      <c r="D267" s="393">
        <f t="shared" si="77"/>
        <v>47.721513182661354</v>
      </c>
      <c r="E267" s="385">
        <f t="shared" si="100"/>
        <v>48.586763577777177</v>
      </c>
      <c r="F267" s="385">
        <f t="shared" si="78"/>
        <v>48.586785286055473</v>
      </c>
      <c r="G267" s="110">
        <f t="shared" si="101"/>
        <v>0.95011767816977832</v>
      </c>
      <c r="H267" s="414" t="b">
        <f>Wh_hp&gt;='2025'!Maxi_hp</f>
        <v>0</v>
      </c>
      <c r="I267" s="390">
        <f>IF(H267,Wh_hp,'2025'!Maxi_hp)</f>
        <v>48.586786151003643</v>
      </c>
      <c r="J267" s="85">
        <f>IF(H267,An,'2025'!An_max)</f>
        <v>2025</v>
      </c>
      <c r="K267" s="197">
        <f t="shared" si="79"/>
        <v>46275</v>
      </c>
      <c r="L267" s="147">
        <f>IF(t&lt;Tvie,1-EXP((T0-t)*PertePVj)+'2025'!Pspv,1-EXP((T0-t)*PertePVj)+Pspv)</f>
        <v>6.392423829900018E-2</v>
      </c>
      <c r="M267" s="845"/>
      <c r="N267" s="845"/>
      <c r="O267" s="48">
        <f>IF(t&lt;Tnet,'2025'!Resal+('2025'!Salim-'2025'!Resal)*(1-EXP(('2025'!Tnet-t)/('2025'!Tau_j))),Resal+(Salim-Resal)*(1-EXP((Tnet-t)/(Tau_j))))*Salcycl</f>
        <v>1.7808356255932457E-2</v>
      </c>
      <c r="P267" s="169">
        <f>(INDEX(Models!$BJ267:$BT267,,T267)*(1-R267)+INDEX(Models!$BJ267:$BT267,,T267+1)*R267-ERP_i)*Q267*Ramure*Pc/MaxiM</f>
        <v>4.8107551996348385E-7</v>
      </c>
      <c r="Q267" s="305">
        <f t="shared" si="80"/>
        <v>0.5</v>
      </c>
      <c r="R267" s="177">
        <f t="shared" si="81"/>
        <v>0.96139975435884439</v>
      </c>
      <c r="S267" s="811">
        <f t="shared" si="82"/>
        <v>-2</v>
      </c>
      <c r="T267" s="176">
        <f t="shared" si="83"/>
        <v>4</v>
      </c>
      <c r="U267" s="251">
        <f t="shared" si="84"/>
        <v>-1.0386002456411556</v>
      </c>
      <c r="V267" s="383">
        <f t="shared" si="85"/>
        <v>47.016228933493764</v>
      </c>
      <c r="W267" s="402">
        <f t="shared" si="86"/>
        <v>44.670951801984032</v>
      </c>
      <c r="X267" s="157">
        <f t="shared" si="87"/>
        <v>46275</v>
      </c>
      <c r="Y267" s="385">
        <f t="shared" si="88"/>
        <v>42.512876395978687</v>
      </c>
      <c r="Z267" s="385">
        <f t="shared" si="89"/>
        <v>45.416063672801407</v>
      </c>
      <c r="AA267" s="386">
        <f t="shared" si="90"/>
        <v>48.582764400603828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6.5181567308324403E-2</v>
      </c>
      <c r="AD267" s="231">
        <f>(INDEX(Models!$BJ267:$BT267,,AH267)*(1-AF267)+INDEX(Models!$BJ267:$BT267,,AH267+1)*AF267-ERP_i)*AE267*Ramure*Pc/MaxiM</f>
        <v>8.9106539587215008E-5</v>
      </c>
      <c r="AE267" s="305">
        <f t="shared" si="92"/>
        <v>0.5</v>
      </c>
      <c r="AF267" s="177">
        <f t="shared" si="93"/>
        <v>0.48638732073282309</v>
      </c>
      <c r="AG267" s="811">
        <f t="shared" si="99"/>
        <v>2</v>
      </c>
      <c r="AH267" s="176">
        <f t="shared" si="94"/>
        <v>8</v>
      </c>
      <c r="AI267" s="225">
        <f t="shared" si="95"/>
        <v>2.4863873207328231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'2025'!Wh/'2025'!Env_an*'2026'!Env_an</f>
        <v>45.195573645262066</v>
      </c>
      <c r="C268" s="841"/>
      <c r="D268" s="393">
        <f t="shared" si="77"/>
        <v>48.283018763212795</v>
      </c>
      <c r="E268" s="385">
        <f t="shared" si="100"/>
        <v>49.162752757836138</v>
      </c>
      <c r="F268" s="385">
        <f t="shared" si="78"/>
        <v>49.162775239491744</v>
      </c>
      <c r="G268" s="110">
        <f t="shared" si="101"/>
        <v>0.96666459800863203</v>
      </c>
      <c r="H268" s="414" t="b">
        <f>Wh_hp&gt;='2025'!Maxi_hp</f>
        <v>0</v>
      </c>
      <c r="I268" s="390">
        <f>IF(H268,Wh_hp,'2025'!Maxi_hp)</f>
        <v>49.162775823111645</v>
      </c>
      <c r="J268" s="85">
        <f>IF(H268,An,'2025'!An_max)</f>
        <v>2025</v>
      </c>
      <c r="K268" s="197">
        <f t="shared" si="79"/>
        <v>46276</v>
      </c>
      <c r="L268" s="147">
        <f>IF(t&lt;Tvie,1-EXP((T0-t)*PertePVj)+'2025'!Pspv,1-EXP((T0-t)*PertePVj)+Pspv)</f>
        <v>6.3944740760556562E-2</v>
      </c>
      <c r="M268" s="845"/>
      <c r="N268" s="845"/>
      <c r="O268" s="48">
        <f>IF(t&lt;Tnet,'2025'!Resal+('2025'!Salim-'2025'!Resal)*(1-EXP(('2025'!Tnet-t)/('2025'!Tau_j))),Resal+(Salim-Resal)*(1-EXP((Tnet-t)/(Tau_j))))*Salcycl</f>
        <v>1.7894319281849525E-2</v>
      </c>
      <c r="P268" s="169">
        <f>(INDEX(Models!$BJ268:$BT268,,T268)*(1-R268)+INDEX(Models!$BJ268:$BT268,,T268+1)*R268-ERP_i)*Q268*Ramure*Pc/MaxiM</f>
        <v>4.8015619012222937E-7</v>
      </c>
      <c r="Q268" s="305">
        <f t="shared" si="80"/>
        <v>0.5</v>
      </c>
      <c r="R268" s="177">
        <f t="shared" si="81"/>
        <v>0.96183973965018099</v>
      </c>
      <c r="S268" s="811">
        <f t="shared" si="82"/>
        <v>-2</v>
      </c>
      <c r="T268" s="176">
        <f t="shared" si="83"/>
        <v>4</v>
      </c>
      <c r="U268" s="251">
        <f t="shared" si="84"/>
        <v>-1.038160260349819</v>
      </c>
      <c r="V268" s="383">
        <f t="shared" si="85"/>
        <v>46.754140686361126</v>
      </c>
      <c r="W268" s="402">
        <f t="shared" si="86"/>
        <v>45.195573645262066</v>
      </c>
      <c r="X268" s="157">
        <f t="shared" si="87"/>
        <v>46276</v>
      </c>
      <c r="Y268" s="385">
        <f t="shared" si="88"/>
        <v>43.013609047965673</v>
      </c>
      <c r="Z268" s="385">
        <f t="shared" si="89"/>
        <v>45.951997623425314</v>
      </c>
      <c r="AA268" s="386">
        <f t="shared" si="90"/>
        <v>49.157909055245334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6.5216594713520218E-2</v>
      </c>
      <c r="AD268" s="231">
        <f>(INDEX(Models!$BJ268:$BT268,,AH268)*(1-AF268)+INDEX(Models!$BJ268:$BT268,,AH268+1)*AF268-ERP_i)*AE268*Ramure*Pc/MaxiM</f>
        <v>1.0393044573195984E-4</v>
      </c>
      <c r="AE268" s="305">
        <f t="shared" si="92"/>
        <v>0.5</v>
      </c>
      <c r="AF268" s="177">
        <f t="shared" si="93"/>
        <v>0.48682730602416013</v>
      </c>
      <c r="AG268" s="811">
        <f t="shared" si="99"/>
        <v>2</v>
      </c>
      <c r="AH268" s="176">
        <f t="shared" si="94"/>
        <v>8</v>
      </c>
      <c r="AI268" s="225">
        <f t="shared" si="95"/>
        <v>2.4868273060241601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'2025'!Wh/'2025'!Env_an*'2026'!Env_an</f>
        <v>31.652275946925275</v>
      </c>
      <c r="C269" s="841"/>
      <c r="D269" s="393">
        <f t="shared" si="77"/>
        <v>33.815278441899899</v>
      </c>
      <c r="E269" s="385">
        <f t="shared" si="100"/>
        <v>34.434410670093186</v>
      </c>
      <c r="F269" s="385">
        <f t="shared" si="78"/>
        <v>34.434419932280797</v>
      </c>
      <c r="G269" s="110">
        <f t="shared" si="101"/>
        <v>0.68087099714363608</v>
      </c>
      <c r="H269" s="414" t="b">
        <f>Wh_hp&gt;='2025'!Maxi_hp</f>
        <v>0</v>
      </c>
      <c r="I269" s="390">
        <f>IF(H269,Wh_hp,'2025'!Maxi_hp)</f>
        <v>50.761032411385656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6.3965242773056374E-2</v>
      </c>
      <c r="M269" s="845"/>
      <c r="N269" s="845"/>
      <c r="O269" s="48">
        <f>IF(t&lt;Tnet,'2025'!Resal+('2025'!Salim-'2025'!Resal)*(1-EXP(('2025'!Tnet-t)/('2025'!Tau_j))),Resal+(Salim-Resal)*(1-EXP((Tnet-t)/(Tau_j))))*Salcycl</f>
        <v>1.7980044268073078E-2</v>
      </c>
      <c r="P269" s="169">
        <f>(INDEX(Models!$BJ269:$BT269,,T269)*(1-R269)+INDEX(Models!$BJ269:$BT269,,T269+1)*R269-ERP_i)*Q269*Ramure*Pc/MaxiM</f>
        <v>4.9435708669041143E-7</v>
      </c>
      <c r="Q269" s="305">
        <f t="shared" si="80"/>
        <v>0.5</v>
      </c>
      <c r="R269" s="177">
        <f t="shared" si="81"/>
        <v>0.96226275403176809</v>
      </c>
      <c r="S269" s="811">
        <f t="shared" si="82"/>
        <v>-2</v>
      </c>
      <c r="T269" s="176">
        <f t="shared" si="83"/>
        <v>4</v>
      </c>
      <c r="U269" s="251">
        <f t="shared" si="84"/>
        <v>-1.0377372459682319</v>
      </c>
      <c r="V269" s="383">
        <f t="shared" si="85"/>
        <v>46.48790879039926</v>
      </c>
      <c r="W269" s="402">
        <f t="shared" si="86"/>
        <v>31.652275946925275</v>
      </c>
      <c r="X269" s="157">
        <f t="shared" si="87"/>
        <v>46277</v>
      </c>
      <c r="Y269" s="385">
        <f t="shared" si="88"/>
        <v>30.126659995912636</v>
      </c>
      <c r="Z269" s="385">
        <f t="shared" si="89"/>
        <v>32.185407393593572</v>
      </c>
      <c r="AA269" s="386">
        <f t="shared" si="90"/>
        <v>34.432142606008924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6.5251100929840586E-2</v>
      </c>
      <c r="AD269" s="231">
        <f>(INDEX(Models!$BJ269:$BT269,,AH269)*(1-AF269)+INDEX(Models!$BJ269:$BT269,,AH269+1)*AF269-ERP_i)*AE269*Ramure*Pc/MaxiM</f>
        <v>1.2154929577075485E-4</v>
      </c>
      <c r="AE269" s="305">
        <f t="shared" si="92"/>
        <v>0.5</v>
      </c>
      <c r="AF269" s="177">
        <f t="shared" si="93"/>
        <v>0.48725032040574678</v>
      </c>
      <c r="AG269" s="811">
        <f t="shared" si="99"/>
        <v>2</v>
      </c>
      <c r="AH269" s="176">
        <f t="shared" si="94"/>
        <v>8</v>
      </c>
      <c r="AI269" s="225">
        <f t="shared" si="95"/>
        <v>2.4872503204057468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'2025'!Wh/'2025'!Env_an*'2026'!Env_an</f>
        <v>11.223207087857848</v>
      </c>
      <c r="C270" s="841"/>
      <c r="D270" s="393">
        <f t="shared" si="77"/>
        <v>11.990423244037364</v>
      </c>
      <c r="E270" s="385">
        <f t="shared" si="100"/>
        <v>12.211021755550554</v>
      </c>
      <c r="F270" s="385">
        <f t="shared" si="78"/>
        <v>12.211021755550554</v>
      </c>
      <c r="G270" s="110">
        <f t="shared" si="101"/>
        <v>0.24283219389995248</v>
      </c>
      <c r="H270" s="414" t="b">
        <f>Wh_hp&gt;='2025'!Maxi_hp</f>
        <v>0</v>
      </c>
      <c r="I270" s="390">
        <f>IF(H270,Wh_hp,'2025'!Maxi_hp)</f>
        <v>48.245201516580117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6.3985744336509609E-2</v>
      </c>
      <c r="M270" s="845"/>
      <c r="N270" s="845"/>
      <c r="O270" s="48">
        <f>IF(t&lt;Tnet,'2025'!Resal+('2025'!Salim-'2025'!Resal)*(1-EXP(('2025'!Tnet-t)/('2025'!Tau_j))),Resal+(Salim-Resal)*(1-EXP((Tnet-t)/(Tau_j))))*Salcycl</f>
        <v>1.8065524403223388E-2</v>
      </c>
      <c r="P270" s="169">
        <f>(INDEX(Models!$BJ270:$BT270,,T270)*(1-R270)+INDEX(Models!$BJ270:$BT270,,T270+1)*R270-ERP_i)*Q270*Ramure*Pc/MaxiM</f>
        <v>5.2389350465902617E-7</v>
      </c>
      <c r="Q270" s="305">
        <f t="shared" si="80"/>
        <v>0.5</v>
      </c>
      <c r="R270" s="177">
        <f t="shared" si="81"/>
        <v>0.96266942385997822</v>
      </c>
      <c r="S270" s="811">
        <f t="shared" si="82"/>
        <v>-2</v>
      </c>
      <c r="T270" s="176">
        <f t="shared" si="83"/>
        <v>4</v>
      </c>
      <c r="U270" s="251">
        <f t="shared" si="84"/>
        <v>-1.0373305761400218</v>
      </c>
      <c r="V270" s="383">
        <f t="shared" si="85"/>
        <v>46.217929459207298</v>
      </c>
      <c r="W270" s="402">
        <f t="shared" si="86"/>
        <v>11.223207087857848</v>
      </c>
      <c r="X270" s="157">
        <f t="shared" si="87"/>
        <v>46278</v>
      </c>
      <c r="Y270" s="385">
        <f t="shared" si="88"/>
        <v>10.683502334832594</v>
      </c>
      <c r="Z270" s="385">
        <f t="shared" si="89"/>
        <v>11.41382438375325</v>
      </c>
      <c r="AA270" s="386">
        <f t="shared" si="90"/>
        <v>12.211021755550554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6.5285066864690225E-2</v>
      </c>
      <c r="AD270" s="231">
        <f>(INDEX(Models!$BJ270:$BT270,,AH270)*(1-AF270)+INDEX(Models!$BJ270:$BT270,,AH270+1)*AF270-ERP_i)*AE270*Ramure*Pc/MaxiM</f>
        <v>1.420024773424036E-4</v>
      </c>
      <c r="AE270" s="305">
        <f t="shared" si="92"/>
        <v>0.5</v>
      </c>
      <c r="AF270" s="177">
        <f t="shared" si="93"/>
        <v>0.48765699023395692</v>
      </c>
      <c r="AG270" s="811">
        <f t="shared" si="99"/>
        <v>2</v>
      </c>
      <c r="AH270" s="176">
        <f t="shared" si="94"/>
        <v>8</v>
      </c>
      <c r="AI270" s="225">
        <f t="shared" si="95"/>
        <v>2.4876569902339569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'2025'!Wh/'2025'!Env_an*'2026'!Env_an</f>
        <v>37.243177391334982</v>
      </c>
      <c r="C271" s="841"/>
      <c r="D271" s="393">
        <f t="shared" ref="D271:D334" si="102">Wh/(1-Ppv)</f>
        <v>39.789984933475665</v>
      </c>
      <c r="E271" s="385">
        <f t="shared" si="100"/>
        <v>40.525554242865439</v>
      </c>
      <c r="F271" s="385">
        <f t="shared" ref="F271:F334" si="103">Wh_sa/(1-Pvg*MEDIAN((-Sdif+Wh/Env_an)/Csdif,0,1))</f>
        <v>40.525571062721198</v>
      </c>
      <c r="G271" s="110">
        <f t="shared" si="101"/>
        <v>0.81061044570811391</v>
      </c>
      <c r="H271" s="414" t="b">
        <f>Wh_hp&gt;='2025'!Maxi_hp</f>
        <v>0</v>
      </c>
      <c r="I271" s="390">
        <f>IF(H271,Wh_hp,'2025'!Maxi_hp)</f>
        <v>47.954871485084247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6.4006245450925814E-2</v>
      </c>
      <c r="M271" s="845"/>
      <c r="N271" s="845"/>
      <c r="O271" s="48">
        <f>IF(t&lt;Tnet,'2025'!Resal+('2025'!Salim-'2025'!Resal)*(1-EXP(('2025'!Tnet-t)/('2025'!Tau_j))),Resal+(Salim-Resal)*(1-EXP((Tnet-t)/(Tau_j))))*Salcycl</f>
        <v>1.8150752608627748E-2</v>
      </c>
      <c r="P271" s="169">
        <f>(INDEX(Models!$BJ271:$BT271,,T271)*(1-R271)+INDEX(Models!$BJ271:$BT271,,T271+1)*R271-ERP_i)*Q271*Ramure*Pc/MaxiM</f>
        <v>5.6898571424469663E-7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0.96306035456441386</v>
      </c>
      <c r="S271" s="811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-1.0369396454355861</v>
      </c>
      <c r="V271" s="383">
        <f t="shared" ref="V271:V334" si="110">MaxiM*(1-Ppv)*(1-Pvg)*(1-Psa)</f>
        <v>45.944598734456044</v>
      </c>
      <c r="W271" s="402">
        <f t="shared" ref="W271:W334" si="111">Wh*(A271&gt;Tmaj)</f>
        <v>37.243177391334982</v>
      </c>
      <c r="X271" s="157">
        <f t="shared" ref="X271:X334" si="112">t</f>
        <v>46279</v>
      </c>
      <c r="Y271" s="385">
        <f t="shared" ref="Y271:Y334" si="113">Wh_pvt_s*(1-Ppv)</f>
        <v>35.449766200236489</v>
      </c>
      <c r="Z271" s="385">
        <f t="shared" ref="Z271:Z334" si="114">Wh_sa_s*(1-Psa_s)</f>
        <v>37.873934551320616</v>
      </c>
      <c r="AA271" s="386">
        <f t="shared" ref="AA271:AA334" si="115">Wh_hp*(1-Pvg_s*MEDIAN((-Sdif+Wh/Env_an)/Csdif,0,1))</f>
        <v>40.520683727496689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6.5318472757655621E-2</v>
      </c>
      <c r="AD271" s="231">
        <f>(INDEX(Models!$BJ271:$BT271,,AH271)*(1-AF271)+INDEX(Models!$BJ271:$BT271,,AH271+1)*AF271-ERP_i)*AE271*Ramure*Pc/MaxiM</f>
        <v>1.6532983181196417E-4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0.48804792093839255</v>
      </c>
      <c r="AG271" s="811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2.4880479209383926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'2025'!Wh/'2025'!Env_an*'2026'!Env_an</f>
        <v>40.908321874087775</v>
      </c>
      <c r="C272" s="841"/>
      <c r="D272" s="393">
        <f t="shared" si="102"/>
        <v>43.706721003345599</v>
      </c>
      <c r="E272" s="385">
        <f t="shared" si="100"/>
        <v>44.518548863867665</v>
      </c>
      <c r="F272" s="385">
        <f t="shared" si="103"/>
        <v>44.518572729036926</v>
      </c>
      <c r="G272" s="110">
        <f t="shared" si="101"/>
        <v>0.89577030135716496</v>
      </c>
      <c r="H272" s="414" t="b">
        <f>Wh_hp&gt;='2025'!Maxi_hp</f>
        <v>0</v>
      </c>
      <c r="I272" s="390">
        <f>IF(H272,Wh_hp,'2025'!Maxi_hp)</f>
        <v>48.916978336718785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6.4026746116315092E-2</v>
      </c>
      <c r="M272" s="845"/>
      <c r="N272" s="845"/>
      <c r="O272" s="48">
        <f>IF(t&lt;Tnet,'2025'!Resal+('2025'!Salim-'2025'!Resal)*(1-EXP(('2025'!Tnet-t)/('2025'!Tau_j))),Resal+(Salim-Resal)*(1-EXP((Tnet-t)/(Tau_j))))*Salcycl</f>
        <v>1.8235721541700282E-2</v>
      </c>
      <c r="P272" s="169">
        <f>(INDEX(Models!$BJ272:$BT272,,T272)*(1-R272)+INDEX(Models!$BJ272:$BT272,,T272+1)*R272-ERP_i)*Q272*Ramure*Pc/MaxiM</f>
        <v>6.2985765967120292E-7</v>
      </c>
      <c r="Q272" s="305">
        <f t="shared" si="105"/>
        <v>0.5</v>
      </c>
      <c r="R272" s="177">
        <f t="shared" si="106"/>
        <v>0.96343613117431182</v>
      </c>
      <c r="S272" s="811">
        <f t="shared" si="107"/>
        <v>-2</v>
      </c>
      <c r="T272" s="176">
        <f t="shared" si="108"/>
        <v>4</v>
      </c>
      <c r="U272" s="251">
        <f t="shared" si="109"/>
        <v>-1.0365638688256882</v>
      </c>
      <c r="V272" s="383">
        <f t="shared" si="110"/>
        <v>45.668312485355393</v>
      </c>
      <c r="W272" s="402">
        <f t="shared" si="111"/>
        <v>40.908321874087775</v>
      </c>
      <c r="X272" s="157">
        <f t="shared" si="112"/>
        <v>46280</v>
      </c>
      <c r="Y272" s="385">
        <f t="shared" si="113"/>
        <v>38.938772978004266</v>
      </c>
      <c r="Z272" s="385">
        <f t="shared" si="114"/>
        <v>41.602441967688172</v>
      </c>
      <c r="AA272" s="386">
        <f t="shared" si="115"/>
        <v>44.511314130947802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6.5351298204812031E-2</v>
      </c>
      <c r="AD272" s="231">
        <f>(INDEX(Models!$BJ272:$BT272,,AH272)*(1-AF272)+INDEX(Models!$BJ272:$BT272,,AH272+1)*AF272-ERP_i)*AE272*Ramure*Pc/MaxiM</f>
        <v>1.9157138817625077E-4</v>
      </c>
      <c r="AE272" s="305">
        <f t="shared" si="117"/>
        <v>0.5</v>
      </c>
      <c r="AF272" s="177">
        <f t="shared" si="118"/>
        <v>0.48842369754829074</v>
      </c>
      <c r="AG272" s="811">
        <f t="shared" ref="AG272:AG335" si="124">INDEX(Echel_vg,AH272)</f>
        <v>2</v>
      </c>
      <c r="AH272" s="176">
        <f t="shared" si="119"/>
        <v>8</v>
      </c>
      <c r="AI272" s="225">
        <f t="shared" si="120"/>
        <v>2.4884236975482907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'2025'!Wh/'2025'!Env_an*'2026'!Env_an</f>
        <v>27.23648811267735</v>
      </c>
      <c r="C273" s="841"/>
      <c r="D273" s="393">
        <f t="shared" si="102"/>
        <v>29.100280976745371</v>
      </c>
      <c r="E273" s="385">
        <f t="shared" si="100"/>
        <v>29.643359886871462</v>
      </c>
      <c r="F273" s="385">
        <f t="shared" si="103"/>
        <v>29.643368867304325</v>
      </c>
      <c r="G273" s="110">
        <f t="shared" si="101"/>
        <v>0.60006162816802278</v>
      </c>
      <c r="H273" s="414" t="b">
        <f>Wh_hp&gt;='2025'!Maxi_hp</f>
        <v>0</v>
      </c>
      <c r="I273" s="390">
        <f>IF(H273,Wh_hp,'2025'!Maxi_hp)</f>
        <v>46.225866499783969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6.4047246332687213E-2</v>
      </c>
      <c r="M273" s="845"/>
      <c r="N273" s="845"/>
      <c r="O273" s="48">
        <f>IF(t&lt;Tnet,'2025'!Resal+('2025'!Salim-'2025'!Resal)*(1-EXP(('2025'!Tnet-t)/('2025'!Tau_j))),Resal+(Salim-Resal)*(1-EXP((Tnet-t)/(Tau_j))))*Salcycl</f>
        <v>1.8320423602407231E-2</v>
      </c>
      <c r="P273" s="169">
        <f>(INDEX(Models!$BJ273:$BT273,,T273)*(1-R273)+INDEX(Models!$BJ273:$BT273,,T273+1)*R273-ERP_i)*Q273*Ramure*Pc/MaxiM</f>
        <v>7.0673555428084993E-7</v>
      </c>
      <c r="Q273" s="305">
        <f t="shared" si="105"/>
        <v>0.5</v>
      </c>
      <c r="R273" s="177">
        <f t="shared" si="106"/>
        <v>0.96379731884620745</v>
      </c>
      <c r="S273" s="811">
        <f t="shared" si="107"/>
        <v>-2</v>
      </c>
      <c r="T273" s="176">
        <f t="shared" si="108"/>
        <v>4</v>
      </c>
      <c r="U273" s="251">
        <f t="shared" si="109"/>
        <v>-1.0362026811537925</v>
      </c>
      <c r="V273" s="383">
        <f t="shared" si="110"/>
        <v>45.389466408812687</v>
      </c>
      <c r="W273" s="402">
        <f t="shared" si="111"/>
        <v>27.23648811267735</v>
      </c>
      <c r="X273" s="157">
        <f t="shared" si="112"/>
        <v>46281</v>
      </c>
      <c r="Y273" s="385">
        <f t="shared" si="113"/>
        <v>25.928286519781665</v>
      </c>
      <c r="Z273" s="385">
        <f t="shared" si="114"/>
        <v>27.702559149687541</v>
      </c>
      <c r="AA273" s="386">
        <f t="shared" si="115"/>
        <v>29.640563597487429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6.5383522193355595E-2</v>
      </c>
      <c r="AD273" s="231">
        <f>(INDEX(Models!$BJ273:$BT273,,AH273)*(1-AF273)+INDEX(Models!$BJ273:$BT273,,AH273+1)*AF273-ERP_i)*AE273*Ramure*Pc/MaxiM</f>
        <v>2.2076707756285251E-4</v>
      </c>
      <c r="AE273" s="305">
        <f t="shared" si="117"/>
        <v>0.5</v>
      </c>
      <c r="AF273" s="177">
        <f t="shared" si="118"/>
        <v>0.48878488522018637</v>
      </c>
      <c r="AG273" s="811">
        <f t="shared" si="124"/>
        <v>2</v>
      </c>
      <c r="AH273" s="176">
        <f t="shared" si="119"/>
        <v>8</v>
      </c>
      <c r="AI273" s="225">
        <f t="shared" si="120"/>
        <v>2.4887848852201864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'2025'!Wh/'2025'!Env_an*'2026'!Env_an</f>
        <v>47.100710700963567</v>
      </c>
      <c r="C274" s="841"/>
      <c r="D274" s="393">
        <f t="shared" si="102"/>
        <v>50.324914548781727</v>
      </c>
      <c r="E274" s="385">
        <f t="shared" si="100"/>
        <v>51.268503717780654</v>
      </c>
      <c r="F274" s="385">
        <f t="shared" si="103"/>
        <v>51.268544724739876</v>
      </c>
      <c r="G274" s="110">
        <f t="shared" si="101"/>
        <v>1.0441658803409344</v>
      </c>
      <c r="H274" s="414" t="b">
        <f>Wh_hp&gt;='2025'!Maxi_hp</f>
        <v>1</v>
      </c>
      <c r="I274" s="390">
        <f>IF(H274,Wh_hp,'2025'!Maxi_hp)</f>
        <v>51.268544724739876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6.4067746100051948E-2</v>
      </c>
      <c r="M274" s="845"/>
      <c r="N274" s="845"/>
      <c r="O274" s="48">
        <f>IF(t&lt;Tnet,'2025'!Resal+('2025'!Salim-'2025'!Resal)*(1-EXP(('2025'!Tnet-t)/('2025'!Tau_j))),Resal+(Salim-Resal)*(1-EXP((Tnet-t)/(Tau_j))))*Salcycl</f>
        <v>1.8404850943049365E-2</v>
      </c>
      <c r="P274" s="169">
        <f>(INDEX(Models!$BJ274:$BT274,,T274)*(1-R274)+INDEX(Models!$BJ274:$BT274,,T274+1)*R274-ERP_i)*Q274*Ramure*Pc/MaxiM</f>
        <v>7.9984636673695901E-7</v>
      </c>
      <c r="Q274" s="305">
        <f t="shared" si="105"/>
        <v>0.5</v>
      </c>
      <c r="R274" s="177">
        <f t="shared" si="106"/>
        <v>0.96414446339130588</v>
      </c>
      <c r="S274" s="811">
        <f t="shared" si="107"/>
        <v>-2</v>
      </c>
      <c r="T274" s="176">
        <f t="shared" si="108"/>
        <v>4</v>
      </c>
      <c r="U274" s="251">
        <f t="shared" si="109"/>
        <v>-1.0358555366086941</v>
      </c>
      <c r="V274" s="383">
        <f t="shared" si="110"/>
        <v>45.108456029596134</v>
      </c>
      <c r="W274" s="402">
        <f t="shared" si="111"/>
        <v>47.100710700963567</v>
      </c>
      <c r="X274" s="157">
        <f t="shared" si="112"/>
        <v>46282</v>
      </c>
      <c r="Y274" s="385">
        <f t="shared" si="113"/>
        <v>44.833669062750566</v>
      </c>
      <c r="Z274" s="385">
        <f t="shared" si="114"/>
        <v>47.902686199703638</v>
      </c>
      <c r="AA274" s="386">
        <f t="shared" si="115"/>
        <v>51.255576016818964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6.5415123147091525E-2</v>
      </c>
      <c r="AD274" s="231">
        <f>(INDEX(Models!$BJ274:$BT274,,AH274)*(1-AF274)+INDEX(Models!$BJ274:$BT274,,AH274+1)*AF274-ERP_i)*AE274*Ramure*Pc/MaxiM</f>
        <v>2.5295642758226444E-4</v>
      </c>
      <c r="AE274" s="305">
        <f t="shared" si="117"/>
        <v>0.5</v>
      </c>
      <c r="AF274" s="177">
        <f t="shared" si="118"/>
        <v>0.48913202976528458</v>
      </c>
      <c r="AG274" s="811">
        <f t="shared" si="124"/>
        <v>2</v>
      </c>
      <c r="AH274" s="176">
        <f t="shared" si="119"/>
        <v>8</v>
      </c>
      <c r="AI274" s="225">
        <f t="shared" si="120"/>
        <v>2.4891320297652846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'2025'!Wh/'2025'!Env_an*'2026'!Env_an</f>
        <v>45.538685448645964</v>
      </c>
      <c r="C275" s="841"/>
      <c r="D275" s="393">
        <f t="shared" si="102"/>
        <v>48.65702906894785</v>
      </c>
      <c r="E275" s="385">
        <f t="shared" si="100"/>
        <v>49.573595043716018</v>
      </c>
      <c r="F275" s="385">
        <f t="shared" si="103"/>
        <v>49.573640129498479</v>
      </c>
      <c r="G275" s="110">
        <f t="shared" si="101"/>
        <v>1.0159673549059565</v>
      </c>
      <c r="H275" s="414" t="b">
        <f>Wh_hp&gt;='2025'!Maxi_hp</f>
        <v>1</v>
      </c>
      <c r="I275" s="390">
        <f>IF(H275,Wh_hp,'2025'!Maxi_hp)</f>
        <v>49.573640129498479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6.4088245418419176E-2</v>
      </c>
      <c r="M275" s="845"/>
      <c r="N275" s="845"/>
      <c r="O275" s="48">
        <f>IF(t&lt;Tnet,'2025'!Resal+('2025'!Salim-'2025'!Resal)*(1-EXP(('2025'!Tnet-t)/('2025'!Tau_j))),Resal+(Salim-Resal)*(1-EXP((Tnet-t)/(Tau_j))))*Salcycl</f>
        <v>1.8488995481564453E-2</v>
      </c>
      <c r="P275" s="169">
        <f>(INDEX(Models!$BJ275:$BT275,,T275)*(1-R275)+INDEX(Models!$BJ275:$BT275,,T275+1)*R275-ERP_i)*Q275*Ramure*Pc/MaxiM</f>
        <v>9.0947088704900572E-7</v>
      </c>
      <c r="Q275" s="305">
        <f t="shared" si="105"/>
        <v>0.5</v>
      </c>
      <c r="R275" s="177">
        <f t="shared" si="106"/>
        <v>0.96447809180116373</v>
      </c>
      <c r="S275" s="811">
        <f t="shared" si="107"/>
        <v>-2</v>
      </c>
      <c r="T275" s="176">
        <f t="shared" si="108"/>
        <v>4</v>
      </c>
      <c r="U275" s="251">
        <f t="shared" si="109"/>
        <v>-1.0355219081988363</v>
      </c>
      <c r="V275" s="383">
        <f t="shared" si="110"/>
        <v>44.822981003027664</v>
      </c>
      <c r="W275" s="402">
        <f t="shared" si="111"/>
        <v>45.538685448645964</v>
      </c>
      <c r="X275" s="157">
        <f t="shared" si="112"/>
        <v>46283</v>
      </c>
      <c r="Y275" s="385">
        <f t="shared" si="113"/>
        <v>43.347583891302797</v>
      </c>
      <c r="Z275" s="385">
        <f t="shared" si="114"/>
        <v>46.315887880564397</v>
      </c>
      <c r="AA275" s="386">
        <f t="shared" si="115"/>
        <v>49.559353226159708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6.5446078983195058E-2</v>
      </c>
      <c r="AD275" s="231">
        <f>(INDEX(Models!$BJ275:$BT275,,AH275)*(1-AF275)+INDEX(Models!$BJ275:$BT275,,AH275+1)*AF275-ERP_i)*AE275*Ramure*Pc/MaxiM</f>
        <v>2.881955672702536E-4</v>
      </c>
      <c r="AE275" s="305">
        <f t="shared" si="117"/>
        <v>0.5</v>
      </c>
      <c r="AF275" s="177">
        <f t="shared" si="118"/>
        <v>0.48946565817514243</v>
      </c>
      <c r="AG275" s="811">
        <f t="shared" si="124"/>
        <v>2</v>
      </c>
      <c r="AH275" s="176">
        <f t="shared" si="119"/>
        <v>8</v>
      </c>
      <c r="AI275" s="225">
        <f t="shared" si="120"/>
        <v>2.4894656581751424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'2025'!Wh/'2025'!Env_an*'2026'!Env_an</f>
        <v>44.364547324721336</v>
      </c>
      <c r="C276" s="841"/>
      <c r="D276" s="393">
        <f t="shared" si="102"/>
        <v>47.403527978216317</v>
      </c>
      <c r="E276" s="385">
        <f t="shared" si="100"/>
        <v>48.300607870874828</v>
      </c>
      <c r="F276" s="385">
        <f t="shared" si="103"/>
        <v>48.300657377528474</v>
      </c>
      <c r="G276" s="110">
        <f t="shared" si="101"/>
        <v>0.99626197308391318</v>
      </c>
      <c r="H276" s="414" t="b">
        <f>Wh_hp&gt;='2025'!Maxi_hp</f>
        <v>0</v>
      </c>
      <c r="I276" s="390">
        <f>IF(H276,Wh_hp,'2025'!Maxi_hp)</f>
        <v>48.300657515214404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6.4108744287798669E-2</v>
      </c>
      <c r="M276" s="845"/>
      <c r="N276" s="845"/>
      <c r="O276" s="48">
        <f>IF(t&lt;Tnet,'2025'!Resal+('2025'!Salim-'2025'!Resal)*(1-EXP(('2025'!Tnet-t)/('2025'!Tau_j))),Resal+(Salim-Resal)*(1-EXP((Tnet-t)/(Tau_j))))*Salcycl</f>
        <v>1.8572848918521477E-2</v>
      </c>
      <c r="P276" s="169">
        <f>(INDEX(Models!$BJ276:$BT276,,T276)*(1-R276)+INDEX(Models!$BJ276:$BT276,,T276+1)*R276-ERP_i)*Q276*Ramure*Pc/MaxiM</f>
        <v>1.0304712751247339E-6</v>
      </c>
      <c r="Q276" s="305">
        <f t="shared" si="105"/>
        <v>0.5</v>
      </c>
      <c r="R276" s="177">
        <f t="shared" si="106"/>
        <v>0.96479871277042517</v>
      </c>
      <c r="S276" s="811">
        <f t="shared" si="107"/>
        <v>-2</v>
      </c>
      <c r="T276" s="176">
        <f t="shared" si="108"/>
        <v>4</v>
      </c>
      <c r="U276" s="251">
        <f t="shared" si="109"/>
        <v>-1.0352012872295748</v>
      </c>
      <c r="V276" s="383">
        <f t="shared" si="110"/>
        <v>44.531005176544483</v>
      </c>
      <c r="W276" s="402">
        <f t="shared" si="111"/>
        <v>44.364547324721336</v>
      </c>
      <c r="X276" s="157">
        <f t="shared" si="112"/>
        <v>46284</v>
      </c>
      <c r="Y276" s="385">
        <f t="shared" si="113"/>
        <v>42.230600957344144</v>
      </c>
      <c r="Z276" s="385">
        <f t="shared" si="114"/>
        <v>45.123405843991129</v>
      </c>
      <c r="AA276" s="386">
        <f t="shared" si="115"/>
        <v>48.284927485304657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6.5476367180539369E-2</v>
      </c>
      <c r="AD276" s="231">
        <f>(INDEX(Models!$BJ276:$BT276,,AH276)*(1-AF276)+INDEX(Models!$BJ276:$BT276,,AH276+1)*AF276-ERP_i)*AE276*Ramure*Pc/MaxiM</f>
        <v>3.2741461812693309E-4</v>
      </c>
      <c r="AE276" s="305">
        <f t="shared" si="117"/>
        <v>0.5</v>
      </c>
      <c r="AF276" s="177">
        <f t="shared" si="118"/>
        <v>0.48978627914440409</v>
      </c>
      <c r="AG276" s="811">
        <f t="shared" si="124"/>
        <v>2</v>
      </c>
      <c r="AH276" s="176">
        <f t="shared" si="119"/>
        <v>8</v>
      </c>
      <c r="AI276" s="225">
        <f t="shared" si="120"/>
        <v>2.4897862791444041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'2025'!Wh/'2025'!Env_an*'2026'!Env_an</f>
        <v>45.701607062448645</v>
      </c>
      <c r="C277" s="841"/>
      <c r="D277" s="393">
        <f t="shared" si="102"/>
        <v>48.833246157513095</v>
      </c>
      <c r="E277" s="385">
        <f t="shared" si="100"/>
        <v>49.761618962769838</v>
      </c>
      <c r="F277" s="385">
        <f t="shared" si="103"/>
        <v>49.761676374869339</v>
      </c>
      <c r="G277" s="110">
        <f t="shared" si="101"/>
        <v>1.033194140520195</v>
      </c>
      <c r="H277" s="414" t="b">
        <f>Wh_hp&gt;='2025'!Maxi_hp</f>
        <v>0</v>
      </c>
      <c r="I277" s="390">
        <f>IF(H277,Wh_hp,'2025'!Maxi_hp)</f>
        <v>49.76167637486936</v>
      </c>
      <c r="J277" s="85">
        <f>IF(H277,An,'2025'!An_max)</f>
        <v>2022</v>
      </c>
      <c r="K277" s="197">
        <f t="shared" si="104"/>
        <v>46285</v>
      </c>
      <c r="L277" s="147">
        <f>IF(t&lt;Tvie,1-EXP((T0-t)*PertePVj)+'2025'!Pspv,1-EXP((T0-t)*PertePVj)+Pspv)</f>
        <v>6.4129242708200418E-2</v>
      </c>
      <c r="M277" s="845"/>
      <c r="N277" s="845"/>
      <c r="O277" s="48">
        <f>IF(t&lt;Tnet,'2025'!Resal+('2025'!Salim-'2025'!Resal)*(1-EXP(('2025'!Tnet-t)/('2025'!Tau_j))),Resal+(Salim-Resal)*(1-EXP((Tnet-t)/(Tau_j))))*Salcycl</f>
        <v>1.8656402757943346E-2</v>
      </c>
      <c r="P277" s="169">
        <f>(INDEX(Models!$BJ277:$BT277,,T277)*(1-R277)+INDEX(Models!$BJ277:$BT277,,T277+1)*R277-ERP_i)*Q277*Ramure*Pc/MaxiM</f>
        <v>1.1537412660734473E-6</v>
      </c>
      <c r="Q277" s="305">
        <f t="shared" si="105"/>
        <v>0.5</v>
      </c>
      <c r="R277" s="177">
        <f t="shared" si="106"/>
        <v>0.96510681721548397</v>
      </c>
      <c r="S277" s="811">
        <f t="shared" si="107"/>
        <v>-2</v>
      </c>
      <c r="T277" s="176">
        <f t="shared" si="108"/>
        <v>4</v>
      </c>
      <c r="U277" s="251">
        <f t="shared" si="109"/>
        <v>-1.034893182784516</v>
      </c>
      <c r="V277" s="383">
        <f t="shared" si="110"/>
        <v>44.233320021964779</v>
      </c>
      <c r="W277" s="402">
        <f t="shared" si="111"/>
        <v>45.701607062448645</v>
      </c>
      <c r="X277" s="157">
        <f t="shared" si="112"/>
        <v>46285</v>
      </c>
      <c r="Y277" s="385">
        <f t="shared" si="113"/>
        <v>43.503766818662129</v>
      </c>
      <c r="Z277" s="385">
        <f t="shared" si="114"/>
        <v>46.484801966194873</v>
      </c>
      <c r="AA277" s="386">
        <f t="shared" si="115"/>
        <v>49.74328376447977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6.550596485975628E-2</v>
      </c>
      <c r="AD277" s="231">
        <f>(INDEX(Models!$BJ277:$BT277,,AH277)*(1-AF277)+INDEX(Models!$BJ277:$BT277,,AH277+1)*AF277-ERP_i)*AE277*Ramure*Pc/MaxiM</f>
        <v>3.6961396258061268E-4</v>
      </c>
      <c r="AE277" s="305">
        <f t="shared" si="117"/>
        <v>0.5</v>
      </c>
      <c r="AF277" s="177">
        <f t="shared" si="118"/>
        <v>0.49009438358946289</v>
      </c>
      <c r="AG277" s="811">
        <f t="shared" si="124"/>
        <v>2</v>
      </c>
      <c r="AH277" s="176">
        <f t="shared" si="119"/>
        <v>8</v>
      </c>
      <c r="AI277" s="225">
        <f t="shared" si="120"/>
        <v>2.4900943835894629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'2025'!Wh/'2025'!Env_an*'2026'!Env_an</f>
        <v>44.587391233005157</v>
      </c>
      <c r="C278" s="841"/>
      <c r="D278" s="393">
        <f t="shared" si="102"/>
        <v>47.643723757030806</v>
      </c>
      <c r="E278" s="385">
        <f t="shared" si="100"/>
        <v>48.553601168177401</v>
      </c>
      <c r="F278" s="385">
        <f t="shared" si="103"/>
        <v>48.553663283529339</v>
      </c>
      <c r="G278" s="110">
        <f t="shared" si="101"/>
        <v>1.014947969107177</v>
      </c>
      <c r="H278" s="414" t="b">
        <f>Wh_hp&gt;='2025'!Maxi_hp</f>
        <v>1</v>
      </c>
      <c r="I278" s="390">
        <f>IF(H278,Wh_hp,'2025'!Maxi_hp)</f>
        <v>48.553663283529339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6.4149740679634082E-2</v>
      </c>
      <c r="M278" s="845"/>
      <c r="N278" s="845"/>
      <c r="O278" s="48">
        <f>IF(t&lt;Tnet,'2025'!Resal+('2025'!Salim-'2025'!Resal)*(1-EXP(('2025'!Tnet-t)/('2025'!Tau_j))),Resal+(Salim-Resal)*(1-EXP((Tnet-t)/(Tau_j))))*Salcycl</f>
        <v>1.8739648332057015E-2</v>
      </c>
      <c r="P278" s="169">
        <f>(INDEX(Models!$BJ278:$BT278,,T278)*(1-R278)+INDEX(Models!$BJ278:$BT278,,T278+1)*R278-ERP_i)*Q278*Ramure*Pc/MaxiM</f>
        <v>1.2793133975128316E-6</v>
      </c>
      <c r="Q278" s="305">
        <f t="shared" si="105"/>
        <v>0.5</v>
      </c>
      <c r="R278" s="177">
        <f t="shared" si="106"/>
        <v>0.96540287878807174</v>
      </c>
      <c r="S278" s="811">
        <f t="shared" si="107"/>
        <v>-2</v>
      </c>
      <c r="T278" s="176">
        <f t="shared" si="108"/>
        <v>4</v>
      </c>
      <c r="U278" s="251">
        <f t="shared" si="109"/>
        <v>-1.0345971212119283</v>
      </c>
      <c r="V278" s="383">
        <f t="shared" si="110"/>
        <v>43.930716243737606</v>
      </c>
      <c r="W278" s="402">
        <f t="shared" si="111"/>
        <v>44.587391233005157</v>
      </c>
      <c r="X278" s="157">
        <f t="shared" si="112"/>
        <v>46286</v>
      </c>
      <c r="Y278" s="385">
        <f t="shared" si="113"/>
        <v>42.443508664996138</v>
      </c>
      <c r="Z278" s="385">
        <f t="shared" si="114"/>
        <v>45.352884440956934</v>
      </c>
      <c r="AA278" s="386">
        <f t="shared" si="115"/>
        <v>48.533521433474156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6.5534848875060253E-2</v>
      </c>
      <c r="AD278" s="231">
        <f>(INDEX(Models!$BJ278:$BT278,,AH278)*(1-AF278)+INDEX(Models!$BJ278:$BT278,,AH278+1)*AF278-ERP_i)*AE278*Ramure*Pc/MaxiM</f>
        <v>4.1483687724161688E-4</v>
      </c>
      <c r="AE278" s="305">
        <f t="shared" si="117"/>
        <v>0.5</v>
      </c>
      <c r="AF278" s="177">
        <f t="shared" si="118"/>
        <v>0.49039044516205044</v>
      </c>
      <c r="AG278" s="811">
        <f t="shared" si="124"/>
        <v>2</v>
      </c>
      <c r="AH278" s="176">
        <f t="shared" si="119"/>
        <v>8</v>
      </c>
      <c r="AI278" s="225">
        <f t="shared" si="120"/>
        <v>2.4903904451620504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'2025'!Wh/'2025'!Env_an*'2026'!Env_an</f>
        <v>43.425398845139647</v>
      </c>
      <c r="C279" s="841"/>
      <c r="D279" s="393">
        <f t="shared" si="102"/>
        <v>46.403096607776142</v>
      </c>
      <c r="E279" s="385">
        <f t="shared" si="100"/>
        <v>47.293277965831983</v>
      </c>
      <c r="F279" s="385">
        <f t="shared" si="103"/>
        <v>47.293344084796949</v>
      </c>
      <c r="G279" s="110">
        <f t="shared" si="101"/>
        <v>0.99544778510706478</v>
      </c>
      <c r="H279" s="414" t="b">
        <f>Wh_hp&gt;='2025'!Maxi_hp</f>
        <v>0</v>
      </c>
      <c r="I279" s="390">
        <f>IF(H279,Wh_hp,'2025'!Maxi_hp)</f>
        <v>47.293344308799753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6.4170238202109542E-2</v>
      </c>
      <c r="M279" s="845"/>
      <c r="N279" s="845"/>
      <c r="O279" s="48">
        <f>IF(t&lt;Tnet,'2025'!Resal+('2025'!Salim-'2025'!Resal)*(1-EXP(('2025'!Tnet-t)/('2025'!Tau_j))),Resal+(Salim-Resal)*(1-EXP((Tnet-t)/(Tau_j))))*Salcycl</f>
        <v>1.8822576830030024E-2</v>
      </c>
      <c r="P279" s="169">
        <f>(INDEX(Models!$BJ279:$BT279,,T279)*(1-R279)+INDEX(Models!$BJ279:$BT279,,T279+1)*R279-ERP_i)*Q279*Ramure*Pc/MaxiM</f>
        <v>1.4072119959207249E-6</v>
      </c>
      <c r="Q279" s="305">
        <f t="shared" si="105"/>
        <v>0.5</v>
      </c>
      <c r="R279" s="177">
        <f t="shared" si="106"/>
        <v>0.96568735438288167</v>
      </c>
      <c r="S279" s="811">
        <f t="shared" si="107"/>
        <v>-2</v>
      </c>
      <c r="T279" s="176">
        <f t="shared" si="108"/>
        <v>4</v>
      </c>
      <c r="U279" s="251">
        <f t="shared" si="109"/>
        <v>-1.0343126456171183</v>
      </c>
      <c r="V279" s="383">
        <f t="shared" si="110"/>
        <v>43.623984198296363</v>
      </c>
      <c r="W279" s="402">
        <f t="shared" si="111"/>
        <v>43.425398845139647</v>
      </c>
      <c r="X279" s="157">
        <f t="shared" si="112"/>
        <v>46287</v>
      </c>
      <c r="Y279" s="385">
        <f t="shared" si="113"/>
        <v>41.337769017630841</v>
      </c>
      <c r="Z279" s="385">
        <f t="shared" si="114"/>
        <v>44.172317129788489</v>
      </c>
      <c r="AA279" s="386">
        <f t="shared" si="115"/>
        <v>47.271583784474608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6.5562995917729572E-2</v>
      </c>
      <c r="AD279" s="231">
        <f>(INDEX(Models!$BJ279:$BT279,,AH279)*(1-AF279)+INDEX(Models!$BJ279:$BT279,,AH279+1)*AF279-ERP_i)*AE279*Ramure*Pc/MaxiM</f>
        <v>4.6312515123813573E-4</v>
      </c>
      <c r="AE279" s="305">
        <f t="shared" si="117"/>
        <v>0.5</v>
      </c>
      <c r="AF279" s="177">
        <f t="shared" si="118"/>
        <v>0.49067492075686081</v>
      </c>
      <c r="AG279" s="811">
        <f t="shared" si="124"/>
        <v>2</v>
      </c>
      <c r="AH279" s="176">
        <f t="shared" si="119"/>
        <v>8</v>
      </c>
      <c r="AI279" s="225">
        <f t="shared" si="120"/>
        <v>2.4906749207568608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'2025'!Wh/'2025'!Env_an*'2026'!Env_an</f>
        <v>27.436670264373177</v>
      </c>
      <c r="C280" s="841"/>
      <c r="D280" s="393">
        <f t="shared" si="102"/>
        <v>29.318656374335504</v>
      </c>
      <c r="E280" s="385">
        <f t="shared" si="100"/>
        <v>29.883611407034739</v>
      </c>
      <c r="F280" s="385">
        <f t="shared" si="103"/>
        <v>29.88363329242031</v>
      </c>
      <c r="G280" s="110">
        <f t="shared" si="101"/>
        <v>0.63343728863753979</v>
      </c>
      <c r="H280" s="414" t="b">
        <f>Wh_hp&gt;='2025'!Maxi_hp</f>
        <v>0</v>
      </c>
      <c r="I280" s="390">
        <f>IF(H280,Wh_hp,'2025'!Maxi_hp)</f>
        <v>44.303472000025792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6.4190735275636679E-2</v>
      </c>
      <c r="M280" s="845"/>
      <c r="N280" s="845"/>
      <c r="O280" s="48">
        <f>IF(t&lt;Tnet,'2025'!Resal+('2025'!Salim-'2025'!Resal)*(1-EXP(('2025'!Tnet-t)/('2025'!Tau_j))),Resal+(Salim-Resal)*(1-EXP((Tnet-t)/(Tau_j))))*Salcycl</f>
        <v>1.8905179330709641E-2</v>
      </c>
      <c r="P280" s="169">
        <f>(INDEX(Models!$BJ280:$BT280,,T280)*(1-R280)+INDEX(Models!$BJ280:$BT280,,T280+1)*R280-ERP_i)*Q280*Ramure*Pc/MaxiM</f>
        <v>1.5374606664783298E-6</v>
      </c>
      <c r="Q280" s="305">
        <f t="shared" si="105"/>
        <v>0.5</v>
      </c>
      <c r="R280" s="177">
        <f t="shared" si="106"/>
        <v>0.96596068463844698</v>
      </c>
      <c r="S280" s="811">
        <f t="shared" si="107"/>
        <v>-2</v>
      </c>
      <c r="T280" s="176">
        <f t="shared" si="108"/>
        <v>4</v>
      </c>
      <c r="U280" s="251">
        <f t="shared" si="109"/>
        <v>-1.034039315361553</v>
      </c>
      <c r="V280" s="383">
        <f t="shared" si="110"/>
        <v>43.313913890217279</v>
      </c>
      <c r="W280" s="402">
        <f t="shared" si="111"/>
        <v>27.436670264373177</v>
      </c>
      <c r="X280" s="157">
        <f t="shared" si="112"/>
        <v>46288</v>
      </c>
      <c r="Y280" s="385">
        <f t="shared" si="113"/>
        <v>26.124716470336715</v>
      </c>
      <c r="Z280" s="385">
        <f t="shared" si="114"/>
        <v>27.916710653673196</v>
      </c>
      <c r="AA280" s="386">
        <f t="shared" si="115"/>
        <v>29.876309206103464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6.5590382630995869E-2</v>
      </c>
      <c r="AD280" s="231">
        <f>(INDEX(Models!$BJ280:$BT280,,AH280)*(1-AF280)+INDEX(Models!$BJ280:$BT280,,AH280+1)*AF280-ERP_i)*AE280*Ramure*Pc/MaxiM</f>
        <v>5.1452119005894882E-4</v>
      </c>
      <c r="AE280" s="305">
        <f t="shared" si="117"/>
        <v>0.5</v>
      </c>
      <c r="AF280" s="177">
        <f t="shared" si="118"/>
        <v>0.4909482510124259</v>
      </c>
      <c r="AG280" s="811">
        <f t="shared" si="124"/>
        <v>2</v>
      </c>
      <c r="AH280" s="176">
        <f t="shared" si="119"/>
        <v>8</v>
      </c>
      <c r="AI280" s="225">
        <f t="shared" si="120"/>
        <v>2.4909482510124259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'2025'!Wh/'2025'!Env_an*'2026'!Env_an</f>
        <v>17.199025386501344</v>
      </c>
      <c r="C281" s="841"/>
      <c r="D281" s="393">
        <f t="shared" si="102"/>
        <v>18.379174844581559</v>
      </c>
      <c r="E281" s="385">
        <f t="shared" si="100"/>
        <v>18.734902815837422</v>
      </c>
      <c r="F281" s="385">
        <f t="shared" si="103"/>
        <v>18.734907284091584</v>
      </c>
      <c r="G281" s="110">
        <f t="shared" si="101"/>
        <v>0.39996471676910017</v>
      </c>
      <c r="H281" s="414" t="b">
        <f>Wh_hp&gt;='2025'!Maxi_hp</f>
        <v>0</v>
      </c>
      <c r="I281" s="390">
        <f>IF(H281,Wh_hp,'2025'!Maxi_hp)</f>
        <v>40.249037915880088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6.4211231900225374E-2</v>
      </c>
      <c r="M281" s="845"/>
      <c r="N281" s="845"/>
      <c r="O281" s="48">
        <f>IF(t&lt;Tnet,'2025'!Resal+('2025'!Salim-'2025'!Resal)*(1-EXP(('2025'!Tnet-t)/('2025'!Tau_j))),Resal+(Salim-Resal)*(1-EXP((Tnet-t)/(Tau_j))))*Salcycl</f>
        <v>1.8987446839337271E-2</v>
      </c>
      <c r="P281" s="169">
        <f>(INDEX(Models!$BJ281:$BT281,,T281)*(1-R281)+INDEX(Models!$BJ281:$BT281,,T281+1)*R281-ERP_i)*Q281*Ramure*Pc/MaxiM</f>
        <v>1.6700717620768489E-6</v>
      </c>
      <c r="Q281" s="305">
        <f t="shared" si="105"/>
        <v>0.5</v>
      </c>
      <c r="R281" s="177">
        <f t="shared" si="106"/>
        <v>0.96622329443058308</v>
      </c>
      <c r="S281" s="811">
        <f t="shared" si="107"/>
        <v>-2</v>
      </c>
      <c r="T281" s="176">
        <f t="shared" si="108"/>
        <v>4</v>
      </c>
      <c r="U281" s="251">
        <f t="shared" si="109"/>
        <v>-1.0337767055694169</v>
      </c>
      <c r="V281" s="383">
        <f t="shared" si="110"/>
        <v>43.00129497364113</v>
      </c>
      <c r="W281" s="402">
        <f t="shared" si="111"/>
        <v>17.199025386501344</v>
      </c>
      <c r="X281" s="157">
        <f t="shared" si="112"/>
        <v>46289</v>
      </c>
      <c r="Y281" s="385">
        <f t="shared" si="113"/>
        <v>16.38019306634137</v>
      </c>
      <c r="Z281" s="385">
        <f t="shared" si="114"/>
        <v>17.504156519855663</v>
      </c>
      <c r="AA281" s="386">
        <f t="shared" si="115"/>
        <v>18.733384760469519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6.5616985735953468E-2</v>
      </c>
      <c r="AD281" s="231">
        <f>(INDEX(Models!$BJ281:$BT281,,AH281)*(1-AF281)+INDEX(Models!$BJ281:$BT281,,AH281+1)*AF281-ERP_i)*AE281*Ramure*Pc/MaxiM</f>
        <v>5.6906425115173015E-4</v>
      </c>
      <c r="AE281" s="305">
        <f t="shared" si="117"/>
        <v>0.5</v>
      </c>
      <c r="AF281" s="177">
        <f t="shared" si="118"/>
        <v>0.491210860804562</v>
      </c>
      <c r="AG281" s="811">
        <f t="shared" si="124"/>
        <v>2</v>
      </c>
      <c r="AH281" s="176">
        <f t="shared" si="119"/>
        <v>8</v>
      </c>
      <c r="AI281" s="225">
        <f t="shared" si="120"/>
        <v>2.491210860804562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'2025'!Wh/'2025'!Env_an*'2026'!Env_an</f>
        <v>30.445309245693149</v>
      </c>
      <c r="C282" s="841"/>
      <c r="D282" s="393">
        <f t="shared" si="102"/>
        <v>32.535094594617846</v>
      </c>
      <c r="E282" s="385">
        <f t="shared" si="100"/>
        <v>33.167579450039476</v>
      </c>
      <c r="F282" s="385">
        <f t="shared" si="103"/>
        <v>33.167619815374692</v>
      </c>
      <c r="G282" s="110">
        <f t="shared" si="101"/>
        <v>0.71322301204050709</v>
      </c>
      <c r="H282" s="414" t="b">
        <f>Wh_hp&gt;='2025'!Maxi_hp</f>
        <v>0</v>
      </c>
      <c r="I282" s="390">
        <f>IF(H282,Wh_hp,'2025'!Maxi_hp)</f>
        <v>46.514117854235721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6.4231728075885286E-2</v>
      </c>
      <c r="M282" s="845"/>
      <c r="N282" s="845"/>
      <c r="O282" s="48">
        <f>IF(t&lt;Tnet,'2025'!Resal+('2025'!Salim-'2025'!Resal)*(1-EXP(('2025'!Tnet-t)/('2025'!Tau_j))),Resal+(Salim-Resal)*(1-EXP((Tnet-t)/(Tau_j))))*Salcycl</f>
        <v>1.9069370328164855E-2</v>
      </c>
      <c r="P282" s="169">
        <f>(INDEX(Models!$BJ282:$BT282,,T282)*(1-R282)+INDEX(Models!$BJ282:$BT282,,T282+1)*R282-ERP_i)*Q282*Ramure*Pc/MaxiM</f>
        <v>2.0616130977850185E-6</v>
      </c>
      <c r="Q282" s="305">
        <f t="shared" si="105"/>
        <v>0.5</v>
      </c>
      <c r="R282" s="177">
        <f t="shared" si="106"/>
        <v>0.96647559335780131</v>
      </c>
      <c r="S282" s="811">
        <f t="shared" si="107"/>
        <v>-2</v>
      </c>
      <c r="T282" s="176">
        <f t="shared" si="108"/>
        <v>4</v>
      </c>
      <c r="U282" s="251">
        <f t="shared" si="109"/>
        <v>-1.0335244066421987</v>
      </c>
      <c r="V282" s="383">
        <f t="shared" si="110"/>
        <v>42.68690580294907</v>
      </c>
      <c r="W282" s="402">
        <f t="shared" si="111"/>
        <v>30.445309245693149</v>
      </c>
      <c r="X282" s="157">
        <f t="shared" si="112"/>
        <v>46290</v>
      </c>
      <c r="Y282" s="385">
        <f t="shared" si="113"/>
        <v>28.989160838593524</v>
      </c>
      <c r="Z282" s="385">
        <f t="shared" si="114"/>
        <v>30.978995236701479</v>
      </c>
      <c r="AA282" s="386">
        <f t="shared" si="115"/>
        <v>33.155408494174182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6.5642782167956812E-2</v>
      </c>
      <c r="AD282" s="231">
        <f>(INDEX(Models!$BJ282:$BT282,,AH282)*(1-AF282)+INDEX(Models!$BJ282:$BT282,,AH282+1)*AF282-ERP_i)*AE282*Ramure*Pc/MaxiM</f>
        <v>6.2367919385122492E-4</v>
      </c>
      <c r="AE282" s="305">
        <f t="shared" si="117"/>
        <v>0.5</v>
      </c>
      <c r="AF282" s="177">
        <f t="shared" si="118"/>
        <v>0.49146315973178023</v>
      </c>
      <c r="AG282" s="811">
        <f t="shared" si="124"/>
        <v>2</v>
      </c>
      <c r="AH282" s="176">
        <f t="shared" si="119"/>
        <v>8</v>
      </c>
      <c r="AI282" s="225">
        <f t="shared" si="120"/>
        <v>2.4914631597317802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'2025'!Wh/'2025'!Env_an*'2026'!Env_an</f>
        <v>32.833273743748535</v>
      </c>
      <c r="C283" s="841"/>
      <c r="D283" s="393">
        <f t="shared" si="102"/>
        <v>35.087739002890395</v>
      </c>
      <c r="E283" s="385">
        <f t="shared" si="100"/>
        <v>35.772822202453618</v>
      </c>
      <c r="F283" s="385">
        <f t="shared" si="103"/>
        <v>35.772887958779343</v>
      </c>
      <c r="G283" s="110">
        <f t="shared" si="101"/>
        <v>0.77488919395470257</v>
      </c>
      <c r="H283" s="414" t="b">
        <f>Wh_hp&gt;='2025'!Maxi_hp</f>
        <v>0</v>
      </c>
      <c r="I283" s="390">
        <f>IF(H283,Wh_hp,'2025'!Maxi_hp)</f>
        <v>46.475483095151723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6.4252223802626407E-2</v>
      </c>
      <c r="M283" s="845"/>
      <c r="N283" s="845"/>
      <c r="O283" s="48">
        <f>IF(t&lt;Tnet,'2025'!Resal+('2025'!Salim-'2025'!Resal)*(1-EXP(('2025'!Tnet-t)/('2025'!Tau_j))),Resal+(Salim-Resal)*(1-EXP((Tnet-t)/(Tau_j))))*Salcycl</f>
        <v>1.9150940780854428E-2</v>
      </c>
      <c r="P283" s="169">
        <f>(INDEX(Models!$BJ283:$BT283,,T283)*(1-R283)+INDEX(Models!$BJ283:$BT283,,T283+1)*R283-ERP_i)*Q283*Ramure*Pc/MaxiM</f>
        <v>2.7094969775630004E-6</v>
      </c>
      <c r="Q283" s="305">
        <f t="shared" si="105"/>
        <v>0.5</v>
      </c>
      <c r="R283" s="177">
        <f t="shared" si="106"/>
        <v>0.96671797621817923</v>
      </c>
      <c r="S283" s="811">
        <f t="shared" si="107"/>
        <v>-2</v>
      </c>
      <c r="T283" s="176">
        <f t="shared" si="108"/>
        <v>4</v>
      </c>
      <c r="U283" s="251">
        <f t="shared" si="109"/>
        <v>-1.0332820237818208</v>
      </c>
      <c r="V283" s="383">
        <f t="shared" si="110"/>
        <v>42.37153568668937</v>
      </c>
      <c r="W283" s="402">
        <f t="shared" si="111"/>
        <v>32.833273743748535</v>
      </c>
      <c r="X283" s="157">
        <f t="shared" si="112"/>
        <v>46291</v>
      </c>
      <c r="Y283" s="385">
        <f t="shared" si="113"/>
        <v>31.261855603755169</v>
      </c>
      <c r="Z283" s="385">
        <f t="shared" si="114"/>
        <v>33.408420943082454</v>
      </c>
      <c r="AA283" s="386">
        <f t="shared" si="115"/>
        <v>35.756467696896728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6.5667749222836705E-2</v>
      </c>
      <c r="AD283" s="231">
        <f>(INDEX(Models!$BJ283:$BT283,,AH283)*(1-AF283)+INDEX(Models!$BJ283:$BT283,,AH283+1)*AF283-ERP_i)*AE283*Ramure*Pc/MaxiM</f>
        <v>6.7659878276299704E-4</v>
      </c>
      <c r="AE283" s="305">
        <f t="shared" si="117"/>
        <v>0.5</v>
      </c>
      <c r="AF283" s="177">
        <f t="shared" si="118"/>
        <v>0.49170554259215837</v>
      </c>
      <c r="AG283" s="811">
        <f t="shared" si="124"/>
        <v>2</v>
      </c>
      <c r="AH283" s="176">
        <f t="shared" si="119"/>
        <v>8</v>
      </c>
      <c r="AI283" s="225">
        <f t="shared" si="120"/>
        <v>2.4917055425921584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'2025'!Wh/'2025'!Env_an*'2026'!Env_an</f>
        <v>14.840059652676455</v>
      </c>
      <c r="C284" s="841"/>
      <c r="D284" s="393">
        <f t="shared" si="102"/>
        <v>15.859385480450129</v>
      </c>
      <c r="E284" s="385">
        <f t="shared" si="100"/>
        <v>16.170376576035448</v>
      </c>
      <c r="F284" s="385">
        <f t="shared" si="103"/>
        <v>16.170380993888319</v>
      </c>
      <c r="G284" s="110">
        <f t="shared" si="101"/>
        <v>0.3528633117598341</v>
      </c>
      <c r="H284" s="414" t="b">
        <f>Wh_hp&gt;='2025'!Maxi_hp</f>
        <v>0</v>
      </c>
      <c r="I284" s="390">
        <f>IF(H284,Wh_hp,'2025'!Maxi_hp)</f>
        <v>45.12039737403196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6.4272719080458507E-2</v>
      </c>
      <c r="M284" s="845"/>
      <c r="N284" s="845"/>
      <c r="O284" s="48">
        <f>IF(t&lt;Tnet,'2025'!Resal+('2025'!Salim-'2025'!Resal)*(1-EXP(('2025'!Tnet-t)/('2025'!Tau_j))),Resal+(Salim-Resal)*(1-EXP((Tnet-t)/(Tau_j))))*Salcycl</f>
        <v>1.9232149240494996E-2</v>
      </c>
      <c r="P284" s="169">
        <f>(INDEX(Models!$BJ284:$BT284,,T284)*(1-R284)+INDEX(Models!$BJ284:$BT284,,T284+1)*R284-ERP_i)*Q284*Ramure*Pc/MaxiM</f>
        <v>3.6176368886319407E-6</v>
      </c>
      <c r="Q284" s="305">
        <f t="shared" si="105"/>
        <v>0.5</v>
      </c>
      <c r="R284" s="177">
        <f t="shared" si="106"/>
        <v>0.96695082347724859</v>
      </c>
      <c r="S284" s="811">
        <f t="shared" si="107"/>
        <v>-2</v>
      </c>
      <c r="T284" s="176">
        <f t="shared" si="108"/>
        <v>4</v>
      </c>
      <c r="U284" s="251">
        <f t="shared" si="109"/>
        <v>-1.0330491765227514</v>
      </c>
      <c r="V284" s="383">
        <f t="shared" si="110"/>
        <v>42.055973309054416</v>
      </c>
      <c r="W284" s="402">
        <f t="shared" si="111"/>
        <v>14.840059652676455</v>
      </c>
      <c r="X284" s="157">
        <f t="shared" si="112"/>
        <v>46292</v>
      </c>
      <c r="Y284" s="385">
        <f t="shared" si="113"/>
        <v>14.136301656417986</v>
      </c>
      <c r="Z284" s="385">
        <f t="shared" si="114"/>
        <v>15.107288143321211</v>
      </c>
      <c r="AA284" s="386">
        <f t="shared" si="115"/>
        <v>16.169492240016183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6.5691864712129469E-2</v>
      </c>
      <c r="AD284" s="231">
        <f>(INDEX(Models!$BJ284:$BT284,,AH284)*(1-AF284)+INDEX(Models!$BJ284:$BT284,,AH284+1)*AF284-ERP_i)*AE284*Ramure*Pc/MaxiM</f>
        <v>7.2777181287279424E-4</v>
      </c>
      <c r="AE284" s="305">
        <f t="shared" si="117"/>
        <v>0.5</v>
      </c>
      <c r="AF284" s="177">
        <f t="shared" si="118"/>
        <v>0.49193838985122751</v>
      </c>
      <c r="AG284" s="811">
        <f t="shared" si="124"/>
        <v>2</v>
      </c>
      <c r="AH284" s="176">
        <f t="shared" si="119"/>
        <v>8</v>
      </c>
      <c r="AI284" s="225">
        <f t="shared" si="120"/>
        <v>2.4919383898512275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'2025'!Wh/'2025'!Env_an*'2026'!Env_an</f>
        <v>17.051754979310441</v>
      </c>
      <c r="C285" s="841"/>
      <c r="D285" s="393">
        <f t="shared" si="102"/>
        <v>18.223395654265612</v>
      </c>
      <c r="E285" s="385">
        <f t="shared" si="100"/>
        <v>18.582274884966935</v>
      </c>
      <c r="F285" s="385">
        <f t="shared" si="103"/>
        <v>18.58228868263144</v>
      </c>
      <c r="G285" s="110">
        <f t="shared" si="101"/>
        <v>0.40851160969242251</v>
      </c>
      <c r="H285" s="414" t="b">
        <f>Wh_hp&gt;='2025'!Maxi_hp</f>
        <v>0</v>
      </c>
      <c r="I285" s="390">
        <f>IF(H285,Wh_hp,'2025'!Maxi_hp)</f>
        <v>42.169880552957594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6.4293213909391356E-2</v>
      </c>
      <c r="M285" s="845"/>
      <c r="N285" s="845"/>
      <c r="O285" s="48">
        <f>IF(t&lt;Tnet,'2025'!Resal+('2025'!Salim-'2025'!Resal)*(1-EXP(('2025'!Tnet-t)/('2025'!Tau_j))),Resal+(Salim-Resal)*(1-EXP((Tnet-t)/(Tau_j))))*Salcycl</f>
        <v>1.9312986861025064E-2</v>
      </c>
      <c r="P285" s="169">
        <f>(INDEX(Models!$BJ285:$BT285,,T285)*(1-R285)+INDEX(Models!$BJ285:$BT285,,T285+1)*R285-ERP_i)*Q285*Ramure*Pc/MaxiM</f>
        <v>4.7898464879579689E-6</v>
      </c>
      <c r="Q285" s="305">
        <f t="shared" si="105"/>
        <v>0.5</v>
      </c>
      <c r="R285" s="177">
        <f t="shared" si="106"/>
        <v>0.96717450172653519</v>
      </c>
      <c r="S285" s="811">
        <f t="shared" si="107"/>
        <v>-2</v>
      </c>
      <c r="T285" s="176">
        <f t="shared" si="108"/>
        <v>4</v>
      </c>
      <c r="U285" s="251">
        <f t="shared" si="109"/>
        <v>-1.0328254982734648</v>
      </c>
      <c r="V285" s="383">
        <f t="shared" si="110"/>
        <v>41.74100701330461</v>
      </c>
      <c r="W285" s="402">
        <f t="shared" si="111"/>
        <v>17.051754979310441</v>
      </c>
      <c r="X285" s="157">
        <f t="shared" si="112"/>
        <v>46293</v>
      </c>
      <c r="Y285" s="385">
        <f t="shared" si="113"/>
        <v>16.242990300436723</v>
      </c>
      <c r="Z285" s="385">
        <f t="shared" si="114"/>
        <v>17.359060062287334</v>
      </c>
      <c r="AA285" s="386">
        <f t="shared" si="115"/>
        <v>18.58005004115541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6.5715107126382538E-2</v>
      </c>
      <c r="AD285" s="231">
        <f>(INDEX(Models!$BJ285:$BT285,,AH285)*(1-AF285)+INDEX(Models!$BJ285:$BT285,,AH285+1)*AF285-ERP_i)*AE285*Ramure*Pc/MaxiM</f>
        <v>7.7714232060441127E-4</v>
      </c>
      <c r="AE285" s="305">
        <f t="shared" si="117"/>
        <v>0.5</v>
      </c>
      <c r="AF285" s="177">
        <f t="shared" si="118"/>
        <v>0.49216206810051411</v>
      </c>
      <c r="AG285" s="811">
        <f t="shared" si="124"/>
        <v>2</v>
      </c>
      <c r="AH285" s="176">
        <f t="shared" si="119"/>
        <v>8</v>
      </c>
      <c r="AI285" s="225">
        <f t="shared" si="120"/>
        <v>2.4921620681005141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'2025'!Wh/'2025'!Env_an*'2026'!Env_an</f>
        <v>23.386037139978363</v>
      </c>
      <c r="C286" s="841"/>
      <c r="D286" s="393">
        <f t="shared" si="102"/>
        <v>24.993459183018942</v>
      </c>
      <c r="E286" s="385">
        <f t="shared" si="100"/>
        <v>25.487754548046428</v>
      </c>
      <c r="F286" s="385">
        <f t="shared" si="103"/>
        <v>25.487814546888657</v>
      </c>
      <c r="G286" s="110">
        <f t="shared" si="101"/>
        <v>0.56450398768340149</v>
      </c>
      <c r="H286" s="414" t="b">
        <f>Wh_hp&gt;='2025'!Maxi_hp</f>
        <v>0</v>
      </c>
      <c r="I286" s="390">
        <f>IF(H286,Wh_hp,'2025'!Maxi_hp)</f>
        <v>44.457549596928516</v>
      </c>
      <c r="J286" s="85">
        <f>IF(H286,An,'2025'!An_max)</f>
        <v>2019</v>
      </c>
      <c r="K286" s="197">
        <f t="shared" si="104"/>
        <v>46294</v>
      </c>
      <c r="L286" s="147">
        <f>IF(t&lt;Tvie,1-EXP((T0-t)*PertePVj)+'2025'!Pspv,1-EXP((T0-t)*PertePVj)+Pspv)</f>
        <v>6.4313708289434945E-2</v>
      </c>
      <c r="M286" s="845"/>
      <c r="N286" s="845"/>
      <c r="O286" s="48">
        <f>IF(t&lt;Tnet,'2025'!Resal+('2025'!Salim-'2025'!Resal)*(1-EXP(('2025'!Tnet-t)/('2025'!Tau_j))),Resal+(Salim-Resal)*(1-EXP((Tnet-t)/(Tau_j))))*Salcycl</f>
        <v>1.9393444961803175E-2</v>
      </c>
      <c r="P286" s="169">
        <f>(INDEX(Models!$BJ286:$BT286,,T286)*(1-R286)+INDEX(Models!$BJ286:$BT286,,T286+1)*R286-ERP_i)*Q286*Ramure*Pc/MaxiM</f>
        <v>6.2297769194875944E-6</v>
      </c>
      <c r="Q286" s="305">
        <f t="shared" si="105"/>
        <v>0.5</v>
      </c>
      <c r="R286" s="177">
        <f t="shared" si="106"/>
        <v>0.96738936413244536</v>
      </c>
      <c r="S286" s="811">
        <f t="shared" si="107"/>
        <v>-2</v>
      </c>
      <c r="T286" s="176">
        <f t="shared" si="108"/>
        <v>4</v>
      </c>
      <c r="U286" s="251">
        <f t="shared" si="109"/>
        <v>-1.0326106358675546</v>
      </c>
      <c r="V286" s="383">
        <f t="shared" si="110"/>
        <v>41.427424803775196</v>
      </c>
      <c r="W286" s="402">
        <f t="shared" si="111"/>
        <v>23.386037139978363</v>
      </c>
      <c r="X286" s="157">
        <f t="shared" si="112"/>
        <v>46294</v>
      </c>
      <c r="Y286" s="385">
        <f t="shared" si="113"/>
        <v>22.273909603420133</v>
      </c>
      <c r="Z286" s="385">
        <f t="shared" si="114"/>
        <v>23.804890379125165</v>
      </c>
      <c r="AA286" s="386">
        <f t="shared" si="115"/>
        <v>25.479872362483079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6.5737455805476533E-2</v>
      </c>
      <c r="AD286" s="231">
        <f>(INDEX(Models!$BJ286:$BT286,,AH286)*(1-AF286)+INDEX(Models!$BJ286:$BT286,,AH286+1)*AF286-ERP_i)*AE286*Ramure*Pc/MaxiM</f>
        <v>8.2464986427707699E-4</v>
      </c>
      <c r="AE286" s="305">
        <f t="shared" si="117"/>
        <v>0.5</v>
      </c>
      <c r="AF286" s="177">
        <f t="shared" si="118"/>
        <v>0.4923769305064245</v>
      </c>
      <c r="AG286" s="811">
        <f t="shared" si="124"/>
        <v>2</v>
      </c>
      <c r="AH286" s="176">
        <f t="shared" si="119"/>
        <v>8</v>
      </c>
      <c r="AI286" s="225">
        <f t="shared" si="120"/>
        <v>2.4923769305064245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'2025'!Wh/'2025'!Env_an*'2026'!Env_an</f>
        <v>28.576965511372933</v>
      </c>
      <c r="C287" s="841"/>
      <c r="D287" s="393">
        <f t="shared" si="102"/>
        <v>30.541851138722965</v>
      </c>
      <c r="E287" s="385">
        <f t="shared" si="100"/>
        <v>31.148420372725933</v>
      </c>
      <c r="F287" s="385">
        <f t="shared" si="103"/>
        <v>31.148559958049852</v>
      </c>
      <c r="G287" s="110">
        <f t="shared" si="101"/>
        <v>0.69503007771370096</v>
      </c>
      <c r="H287" s="414" t="b">
        <f>Wh_hp&gt;='2025'!Maxi_hp</f>
        <v>0</v>
      </c>
      <c r="I287" s="390">
        <f>IF(H287,Wh_hp,'2025'!Maxi_hp)</f>
        <v>41.406216750872005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6.4334202220598935E-2</v>
      </c>
      <c r="M287" s="845"/>
      <c r="N287" s="845"/>
      <c r="O287" s="48">
        <f>IF(t&lt;Tnet,'2025'!Resal+('2025'!Salim-'2025'!Resal)*(1-EXP(('2025'!Tnet-t)/('2025'!Tau_j))),Resal+(Salim-Resal)*(1-EXP((Tnet-t)/(Tau_j))))*Salcycl</f>
        <v>1.9473515085024699E-2</v>
      </c>
      <c r="P287" s="169">
        <f>(INDEX(Models!$BJ287:$BT287,,T287)*(1-R287)+INDEX(Models!$BJ287:$BT287,,T287+1)*R287-ERP_i)*Q287*Ramure*Pc/MaxiM</f>
        <v>7.9408504602243171E-6</v>
      </c>
      <c r="Q287" s="305">
        <f t="shared" si="105"/>
        <v>0.5</v>
      </c>
      <c r="R287" s="177">
        <f t="shared" si="106"/>
        <v>0.9675957508752544</v>
      </c>
      <c r="S287" s="811">
        <f t="shared" si="107"/>
        <v>-2</v>
      </c>
      <c r="T287" s="176">
        <f t="shared" si="108"/>
        <v>4</v>
      </c>
      <c r="U287" s="251">
        <f t="shared" si="109"/>
        <v>-1.0324042491247456</v>
      </c>
      <c r="V287" s="383">
        <f t="shared" si="110"/>
        <v>41.116014346919563</v>
      </c>
      <c r="W287" s="402">
        <f t="shared" si="111"/>
        <v>28.576965511372933</v>
      </c>
      <c r="X287" s="157">
        <f t="shared" si="112"/>
        <v>46295</v>
      </c>
      <c r="Y287" s="385">
        <f t="shared" si="113"/>
        <v>27.214751155232154</v>
      </c>
      <c r="Z287" s="385">
        <f t="shared" si="114"/>
        <v>29.085974094404687</v>
      </c>
      <c r="AA287" s="386">
        <f t="shared" si="115"/>
        <v>31.133262942273706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6.5758891114787263E-2</v>
      </c>
      <c r="AD287" s="231">
        <f>(INDEX(Models!$BJ287:$BT287,,AH287)*(1-AF287)+INDEX(Models!$BJ287:$BT287,,AH287+1)*AF287-ERP_i)*AE287*Ramure*Pc/MaxiM</f>
        <v>8.7022984478067513E-4</v>
      </c>
      <c r="AE287" s="305">
        <f t="shared" si="117"/>
        <v>0.5</v>
      </c>
      <c r="AF287" s="177">
        <f t="shared" si="118"/>
        <v>0.49258331724923332</v>
      </c>
      <c r="AG287" s="811">
        <f t="shared" si="124"/>
        <v>2</v>
      </c>
      <c r="AH287" s="176">
        <f t="shared" si="119"/>
        <v>8</v>
      </c>
      <c r="AI287" s="225">
        <f t="shared" si="120"/>
        <v>2.4925833172492333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'2025'!Wh/'2025'!Env_an*'2026'!Env_an</f>
        <v>34.271209819255404</v>
      </c>
      <c r="C288" s="841"/>
      <c r="D288" s="393">
        <f t="shared" si="102"/>
        <v>36.628420686620423</v>
      </c>
      <c r="E288" s="385">
        <f t="shared" si="100"/>
        <v>37.358906447296391</v>
      </c>
      <c r="F288" s="385">
        <f t="shared" si="103"/>
        <v>37.359192426866542</v>
      </c>
      <c r="G288" s="110">
        <f t="shared" si="101"/>
        <v>0.83982304947931063</v>
      </c>
      <c r="H288" s="414" t="b">
        <f>Wh_hp&gt;='2025'!Maxi_hp</f>
        <v>0</v>
      </c>
      <c r="I288" s="390">
        <f>IF(H288,Wh_hp,'2025'!Maxi_hp)</f>
        <v>43.530133856028712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6.4354695702893316E-2</v>
      </c>
      <c r="M288" s="845"/>
      <c r="N288" s="845"/>
      <c r="O288" s="48">
        <f>IF(t&lt;Tnet,'2025'!Resal+('2025'!Salim-'2025'!Resal)*(1-EXP(('2025'!Tnet-t)/('2025'!Tau_j))),Resal+(Salim-Resal)*(1-EXP((Tnet-t)/(Tau_j))))*Salcycl</f>
        <v>1.9553189055640335E-2</v>
      </c>
      <c r="P288" s="169">
        <f>(INDEX(Models!$BJ288:$BT288,,T288)*(1-R288)+INDEX(Models!$BJ288:$BT288,,T288+1)*R288-ERP_i)*Q288*Ramure*Pc/MaxiM</f>
        <v>9.9261906071386096E-6</v>
      </c>
      <c r="Q288" s="305">
        <f t="shared" si="105"/>
        <v>0.5</v>
      </c>
      <c r="R288" s="177">
        <f t="shared" si="106"/>
        <v>0.96779398957800256</v>
      </c>
      <c r="S288" s="811">
        <f t="shared" si="107"/>
        <v>-2</v>
      </c>
      <c r="T288" s="176">
        <f t="shared" si="108"/>
        <v>4</v>
      </c>
      <c r="U288" s="251">
        <f t="shared" si="109"/>
        <v>-1.0322060104219974</v>
      </c>
      <c r="V288" s="383">
        <f t="shared" si="110"/>
        <v>40.807562972732327</v>
      </c>
      <c r="W288" s="402">
        <f t="shared" si="111"/>
        <v>34.271209819255404</v>
      </c>
      <c r="X288" s="157">
        <f t="shared" si="112"/>
        <v>46296</v>
      </c>
      <c r="Y288" s="385">
        <f t="shared" si="113"/>
        <v>32.632624448862309</v>
      </c>
      <c r="Z288" s="385">
        <f t="shared" si="114"/>
        <v>34.877131642719256</v>
      </c>
      <c r="AA288" s="386">
        <f t="shared" si="115"/>
        <v>37.332864895174509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6.5779394625904306E-2</v>
      </c>
      <c r="AD288" s="231">
        <f>(INDEX(Models!$BJ288:$BT288,,AH288)*(1-AF288)+INDEX(Models!$BJ288:$BT288,,AH288+1)*AF288-ERP_i)*AE288*Ramure*Pc/MaxiM</f>
        <v>9.1381387018391849E-4</v>
      </c>
      <c r="AE288" s="305">
        <f t="shared" si="117"/>
        <v>0.5</v>
      </c>
      <c r="AF288" s="177">
        <f t="shared" si="118"/>
        <v>0.4927815559519817</v>
      </c>
      <c r="AG288" s="811">
        <f t="shared" si="124"/>
        <v>2</v>
      </c>
      <c r="AH288" s="176">
        <f t="shared" si="119"/>
        <v>8</v>
      </c>
      <c r="AI288" s="225">
        <f t="shared" si="120"/>
        <v>2.4927815559519817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'2025'!Wh/'2025'!Env_an*'2026'!Env_an</f>
        <v>38.202183632597141</v>
      </c>
      <c r="C289" s="841"/>
      <c r="D289" s="393">
        <f t="shared" si="102"/>
        <v>40.830665425599989</v>
      </c>
      <c r="E289" s="385">
        <f t="shared" si="100"/>
        <v>41.648324449582276</v>
      </c>
      <c r="F289" s="385">
        <f t="shared" si="103"/>
        <v>41.648790950626939</v>
      </c>
      <c r="G289" s="110">
        <f t="shared" si="101"/>
        <v>0.94324217699170021</v>
      </c>
      <c r="H289" s="414" t="b">
        <f>Wh_hp&gt;='2025'!Maxi_hp</f>
        <v>0</v>
      </c>
      <c r="I289" s="390">
        <f>IF(H289,Wh_hp,'2025'!Maxi_hp)</f>
        <v>44.550821163435508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6.4375188736327749E-2</v>
      </c>
      <c r="M289" s="845"/>
      <c r="N289" s="845"/>
      <c r="O289" s="48">
        <f>IF(t&lt;Tnet,'2025'!Resal+('2025'!Salim-'2025'!Resal)*(1-EXP(('2025'!Tnet-t)/('2025'!Tau_j))),Resal+(Salim-Resal)*(1-EXP((Tnet-t)/(Tau_j))))*Salcycl</f>
        <v>1.9632459043391053E-2</v>
      </c>
      <c r="P289" s="169">
        <f>(INDEX(Models!$BJ289:$BT289,,T289)*(1-R289)+INDEX(Models!$BJ289:$BT289,,T289+1)*R289-ERP_i)*Q289*Ramure*Pc/MaxiM</f>
        <v>1.2189141526937518E-5</v>
      </c>
      <c r="Q289" s="305">
        <f t="shared" si="105"/>
        <v>0.5</v>
      </c>
      <c r="R289" s="177">
        <f t="shared" si="106"/>
        <v>0.96798439572515904</v>
      </c>
      <c r="S289" s="811">
        <f t="shared" si="107"/>
        <v>-2</v>
      </c>
      <c r="T289" s="176">
        <f t="shared" si="108"/>
        <v>4</v>
      </c>
      <c r="U289" s="251">
        <f t="shared" si="109"/>
        <v>-1.032015604274841</v>
      </c>
      <c r="V289" s="383">
        <f t="shared" si="110"/>
        <v>40.500888115892657</v>
      </c>
      <c r="W289" s="402">
        <f t="shared" si="111"/>
        <v>38.202183632597141</v>
      </c>
      <c r="X289" s="157">
        <f t="shared" si="112"/>
        <v>46297</v>
      </c>
      <c r="Y289" s="385">
        <f t="shared" si="113"/>
        <v>36.371653039219005</v>
      </c>
      <c r="Z289" s="385">
        <f t="shared" si="114"/>
        <v>38.874186106816445</v>
      </c>
      <c r="AA289" s="386">
        <f t="shared" si="115"/>
        <v>41.61222691594044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6.5798949300527113E-2</v>
      </c>
      <c r="AD289" s="231">
        <f>(INDEX(Models!$BJ289:$BT289,,AH289)*(1-AF289)+INDEX(Models!$BJ289:$BT289,,AH289+1)*AF289-ERP_i)*AE289*Ramure*Pc/MaxiM</f>
        <v>9.5537662495170689E-4</v>
      </c>
      <c r="AE289" s="305">
        <f t="shared" si="117"/>
        <v>0.5</v>
      </c>
      <c r="AF289" s="177">
        <f t="shared" si="118"/>
        <v>0.49297196209913796</v>
      </c>
      <c r="AG289" s="811">
        <f t="shared" si="124"/>
        <v>2</v>
      </c>
      <c r="AH289" s="176">
        <f t="shared" si="119"/>
        <v>8</v>
      </c>
      <c r="AI289" s="225">
        <f t="shared" si="120"/>
        <v>2.492971962099138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'2025'!Wh/'2025'!Env_an*'2026'!Env_an</f>
        <v>34.746258198115434</v>
      </c>
      <c r="C290" s="841"/>
      <c r="D290" s="393">
        <f t="shared" si="102"/>
        <v>37.137770213770679</v>
      </c>
      <c r="E290" s="385">
        <f t="shared" si="100"/>
        <v>37.884524101464848</v>
      </c>
      <c r="F290" s="385">
        <f t="shared" si="103"/>
        <v>37.884979657063212</v>
      </c>
      <c r="G290" s="110">
        <f t="shared" si="101"/>
        <v>0.86445538775893105</v>
      </c>
      <c r="H290" s="414" t="b">
        <f>Wh_hp&gt;='2025'!Maxi_hp</f>
        <v>0</v>
      </c>
      <c r="I290" s="390">
        <f>IF(H290,Wh_hp,'2025'!Maxi_hp)</f>
        <v>42.516161138689995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6.4395681320912224E-2</v>
      </c>
      <c r="M290" s="845"/>
      <c r="N290" s="845"/>
      <c r="O290" s="48">
        <f>IF(t&lt;Tnet,'2025'!Resal+('2025'!Salim-'2025'!Resal)*(1-EXP(('2025'!Tnet-t)/('2025'!Tau_j))),Resal+(Salim-Resal)*(1-EXP((Tnet-t)/(Tau_j))))*Salcycl</f>
        <v>1.9711317626536894E-2</v>
      </c>
      <c r="P290" s="169">
        <f>(INDEX(Models!$BJ290:$BT290,,T290)*(1-R290)+INDEX(Models!$BJ290:$BT290,,T290+1)*R290-ERP_i)*Q290*Ramure*Pc/MaxiM</f>
        <v>1.4912169327215383E-5</v>
      </c>
      <c r="Q290" s="305">
        <f t="shared" si="105"/>
        <v>0.5</v>
      </c>
      <c r="R290" s="177">
        <f t="shared" si="106"/>
        <v>0.96816727307094719</v>
      </c>
      <c r="S290" s="811">
        <f t="shared" si="107"/>
        <v>-2</v>
      </c>
      <c r="T290" s="176">
        <f t="shared" si="108"/>
        <v>4</v>
      </c>
      <c r="U290" s="251">
        <f t="shared" si="109"/>
        <v>-1.0318327269290528</v>
      </c>
      <c r="V290" s="383">
        <f t="shared" si="110"/>
        <v>40.194275332482952</v>
      </c>
      <c r="W290" s="402">
        <f t="shared" si="111"/>
        <v>34.746258198115434</v>
      </c>
      <c r="X290" s="157">
        <f t="shared" si="112"/>
        <v>46298</v>
      </c>
      <c r="Y290" s="385">
        <f t="shared" si="113"/>
        <v>33.085966968992345</v>
      </c>
      <c r="Z290" s="385">
        <f t="shared" si="114"/>
        <v>35.363204624476332</v>
      </c>
      <c r="AA290" s="386">
        <f t="shared" si="115"/>
        <v>37.854708396274347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6.5817539676074524E-2</v>
      </c>
      <c r="AD290" s="231">
        <f>(INDEX(Models!$BJ290:$BT290,,AH290)*(1-AF290)+INDEX(Models!$BJ290:$BT290,,AH290+1)*AF290-ERP_i)*AE290*Ramure*Pc/MaxiM</f>
        <v>9.9090027265658835E-4</v>
      </c>
      <c r="AE290" s="305">
        <f t="shared" si="117"/>
        <v>0.5</v>
      </c>
      <c r="AF290" s="177">
        <f t="shared" si="118"/>
        <v>0.49315483944492611</v>
      </c>
      <c r="AG290" s="811">
        <f t="shared" si="124"/>
        <v>2</v>
      </c>
      <c r="AH290" s="176">
        <f t="shared" si="119"/>
        <v>8</v>
      </c>
      <c r="AI290" s="225">
        <f t="shared" si="120"/>
        <v>2.4931548394449261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'2025'!Wh/'2025'!Env_an*'2026'!Env_an</f>
        <v>39.096696369346759</v>
      </c>
      <c r="C291" s="841"/>
      <c r="D291" s="393">
        <f t="shared" si="102"/>
        <v>41.788555188897867</v>
      </c>
      <c r="E291" s="385">
        <f t="shared" si="100"/>
        <v>42.632236832711911</v>
      </c>
      <c r="F291" s="385">
        <f t="shared" si="103"/>
        <v>42.632986907925407</v>
      </c>
      <c r="G291" s="110">
        <f t="shared" si="101"/>
        <v>0.98016812988737756</v>
      </c>
      <c r="H291" s="414" t="b">
        <f>Wh_hp&gt;='2025'!Maxi_hp</f>
        <v>0</v>
      </c>
      <c r="I291" s="390">
        <f>IF(H291,Wh_hp,'2025'!Maxi_hp)</f>
        <v>42.632998176352956</v>
      </c>
      <c r="J291" s="85">
        <f>IF(H291,An,'2025'!An_max)</f>
        <v>2025</v>
      </c>
      <c r="K291" s="197">
        <f t="shared" si="104"/>
        <v>46299</v>
      </c>
      <c r="L291" s="147">
        <f>IF(t&lt;Tvie,1-EXP((T0-t)*PertePVj)+'2025'!Pspv,1-EXP((T0-t)*PertePVj)+Pspv)</f>
        <v>6.4416173456656511E-2</v>
      </c>
      <c r="M291" s="845"/>
      <c r="N291" s="845"/>
      <c r="O291" s="48">
        <f>IF(t&lt;Tnet,'2025'!Resal+('2025'!Salim-'2025'!Resal)*(1-EXP(('2025'!Tnet-t)/('2025'!Tau_j))),Resal+(Salim-Resal)*(1-EXP((Tnet-t)/(Tau_j))))*Salcycl</f>
        <v>1.9789757856821674E-2</v>
      </c>
      <c r="P291" s="169">
        <f>(INDEX(Models!$BJ291:$BT291,,T291)*(1-R291)+INDEX(Models!$BJ291:$BT291,,T291+1)*R291-ERP_i)*Q291*Ramure*Pc/MaxiM</f>
        <v>1.8106749518420916E-5</v>
      </c>
      <c r="Q291" s="305">
        <f t="shared" si="105"/>
        <v>0.5</v>
      </c>
      <c r="R291" s="177">
        <f t="shared" si="106"/>
        <v>0.96834291403727768</v>
      </c>
      <c r="S291" s="811">
        <f t="shared" si="107"/>
        <v>-2</v>
      </c>
      <c r="T291" s="176">
        <f t="shared" si="108"/>
        <v>4</v>
      </c>
      <c r="U291" s="251">
        <f t="shared" si="109"/>
        <v>-1.0316570859627223</v>
      </c>
      <c r="V291" s="383">
        <f t="shared" si="110"/>
        <v>39.887724484480614</v>
      </c>
      <c r="W291" s="402">
        <f t="shared" si="111"/>
        <v>39.096696369346759</v>
      </c>
      <c r="X291" s="157">
        <f t="shared" si="112"/>
        <v>46299</v>
      </c>
      <c r="Y291" s="385">
        <f t="shared" si="113"/>
        <v>37.223877674314579</v>
      </c>
      <c r="Z291" s="385">
        <f t="shared" si="114"/>
        <v>39.786790470549121</v>
      </c>
      <c r="AA291" s="386">
        <f t="shared" si="115"/>
        <v>42.590759605141294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6.5835152051472015E-2</v>
      </c>
      <c r="AD291" s="231">
        <f>(INDEX(Models!$BJ291:$BT291,,AH291)*(1-AF291)+INDEX(Models!$BJ291:$BT291,,AH291+1)*AF291-ERP_i)*AE291*Ramure*Pc/MaxiM</f>
        <v>1.0193633659566165E-3</v>
      </c>
      <c r="AE291" s="305">
        <f t="shared" si="117"/>
        <v>0.5</v>
      </c>
      <c r="AF291" s="177">
        <f t="shared" si="118"/>
        <v>0.49333048041125638</v>
      </c>
      <c r="AG291" s="811">
        <f t="shared" si="124"/>
        <v>2</v>
      </c>
      <c r="AH291" s="176">
        <f t="shared" si="119"/>
        <v>8</v>
      </c>
      <c r="AI291" s="225">
        <f t="shared" si="120"/>
        <v>2.4933304804112564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'2025'!Wh/'2025'!Env_an*'2026'!Env_an</f>
        <v>40.323260044104373</v>
      </c>
      <c r="C292" s="841"/>
      <c r="D292" s="393">
        <f t="shared" si="102"/>
        <v>43.100513393133703</v>
      </c>
      <c r="E292" s="385">
        <f t="shared" si="100"/>
        <v>43.974182482863569</v>
      </c>
      <c r="F292" s="385">
        <f t="shared" si="103"/>
        <v>43.975140189809316</v>
      </c>
      <c r="G292" s="110">
        <f t="shared" si="101"/>
        <v>1.0187468727927422</v>
      </c>
      <c r="H292" s="414" t="b">
        <f>Wh_hp&gt;='2025'!Maxi_hp</f>
        <v>1</v>
      </c>
      <c r="I292" s="390">
        <f>IF(H292,Wh_hp,'2025'!Maxi_hp)</f>
        <v>43.975140189809316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6.4436665143570382E-2</v>
      </c>
      <c r="M292" s="845"/>
      <c r="N292" s="845"/>
      <c r="O292" s="48">
        <f>IF(t&lt;Tnet,'2025'!Resal+('2025'!Salim-'2025'!Resal)*(1-EXP(('2025'!Tnet-t)/('2025'!Tau_j))),Resal+(Salim-Resal)*(1-EXP((Tnet-t)/(Tau_j))))*Salcycl</f>
        <v>1.9867773325185262E-2</v>
      </c>
      <c r="P292" s="169">
        <f>(INDEX(Models!$BJ292:$BT292,,T292)*(1-R292)+INDEX(Models!$BJ292:$BT292,,T292+1)*R292-ERP_i)*Q292*Ramure*Pc/MaxiM</f>
        <v>2.1778371634817711E-5</v>
      </c>
      <c r="Q292" s="305">
        <f t="shared" si="105"/>
        <v>0.5</v>
      </c>
      <c r="R292" s="177">
        <f t="shared" si="106"/>
        <v>0.96851160010125925</v>
      </c>
      <c r="S292" s="811">
        <f t="shared" si="107"/>
        <v>-2</v>
      </c>
      <c r="T292" s="176">
        <f t="shared" si="108"/>
        <v>4</v>
      </c>
      <c r="U292" s="251">
        <f t="shared" si="109"/>
        <v>-1.0314883998987407</v>
      </c>
      <c r="V292" s="383">
        <f t="shared" si="110"/>
        <v>39.581235654313403</v>
      </c>
      <c r="W292" s="402">
        <f t="shared" si="111"/>
        <v>40.323260044104373</v>
      </c>
      <c r="X292" s="157">
        <f t="shared" si="112"/>
        <v>46300</v>
      </c>
      <c r="Y292" s="385">
        <f t="shared" si="113"/>
        <v>38.392291108968756</v>
      </c>
      <c r="Z292" s="385">
        <f t="shared" si="114"/>
        <v>41.036549508281432</v>
      </c>
      <c r="AA292" s="386">
        <f t="shared" si="115"/>
        <v>43.929376939994398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6.5851774671524213E-2</v>
      </c>
      <c r="AD292" s="231">
        <f>(INDEX(Models!$BJ292:$BT292,,AH292)*(1-AF292)+INDEX(Models!$BJ292:$BT292,,AH292+1)*AF292-ERP_i)*AE292*Ramure*Pc/MaxiM</f>
        <v>1.0406618288740324E-3</v>
      </c>
      <c r="AE292" s="305">
        <f t="shared" si="117"/>
        <v>0.5</v>
      </c>
      <c r="AF292" s="177">
        <f t="shared" si="118"/>
        <v>0.49349916647523795</v>
      </c>
      <c r="AG292" s="811">
        <f t="shared" si="124"/>
        <v>2</v>
      </c>
      <c r="AH292" s="176">
        <f t="shared" si="119"/>
        <v>8</v>
      </c>
      <c r="AI292" s="225">
        <f t="shared" si="120"/>
        <v>2.4934991664752379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'2025'!Wh/'2025'!Env_an*'2026'!Env_an</f>
        <v>11.771106920009109</v>
      </c>
      <c r="C293" s="841"/>
      <c r="D293" s="393">
        <f t="shared" si="102"/>
        <v>12.582114224168279</v>
      </c>
      <c r="E293" s="385">
        <f t="shared" si="100"/>
        <v>12.838176248433731</v>
      </c>
      <c r="F293" s="385">
        <f t="shared" si="103"/>
        <v>12.838176248433731</v>
      </c>
      <c r="G293" s="110">
        <f t="shared" si="101"/>
        <v>0.29970360125300571</v>
      </c>
      <c r="H293" s="414" t="b">
        <f>Wh_hp&gt;='2025'!Maxi_hp</f>
        <v>0</v>
      </c>
      <c r="I293" s="390">
        <f>IF(H293,Wh_hp,'2025'!Maxi_hp)</f>
        <v>39.638043153684698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6.4457156381663716E-2</v>
      </c>
      <c r="M293" s="845"/>
      <c r="N293" s="845"/>
      <c r="O293" s="48">
        <f>IF(t&lt;Tnet,'2025'!Resal+('2025'!Salim-'2025'!Resal)*(1-EXP(('2025'!Tnet-t)/('2025'!Tau_j))),Resal+(Salim-Resal)*(1-EXP((Tnet-t)/(Tau_j))))*Salcycl</f>
        <v>1.994535822770719E-2</v>
      </c>
      <c r="P293" s="169">
        <f>(INDEX(Models!$BJ293:$BT293,,T293)*(1-R293)+INDEX(Models!$BJ293:$BT293,,T293+1)*R293-ERP_i)*Q293*Ramure*Pc/MaxiM</f>
        <v>2.5932315687942955E-5</v>
      </c>
      <c r="Q293" s="305">
        <f t="shared" si="105"/>
        <v>0.5</v>
      </c>
      <c r="R293" s="177">
        <f t="shared" si="106"/>
        <v>0.96867360217229836</v>
      </c>
      <c r="S293" s="811">
        <f t="shared" si="107"/>
        <v>-2</v>
      </c>
      <c r="T293" s="176">
        <f t="shared" si="108"/>
        <v>4</v>
      </c>
      <c r="U293" s="251">
        <f t="shared" si="109"/>
        <v>-1.0313263978277016</v>
      </c>
      <c r="V293" s="383">
        <f t="shared" si="110"/>
        <v>39.274808906989783</v>
      </c>
      <c r="W293" s="402">
        <f t="shared" si="111"/>
        <v>11.771106920009109</v>
      </c>
      <c r="X293" s="157">
        <f t="shared" si="112"/>
        <v>46301</v>
      </c>
      <c r="Y293" s="385">
        <f t="shared" si="113"/>
        <v>11.219552735145625</v>
      </c>
      <c r="Z293" s="385">
        <f t="shared" si="114"/>
        <v>11.992558985062098</v>
      </c>
      <c r="AA293" s="386">
        <f t="shared" si="115"/>
        <v>12.838176248433731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6.5867397908234745E-2</v>
      </c>
      <c r="AD293" s="231">
        <f>(INDEX(Models!$BJ293:$BT293,,AH293)*(1-AF293)+INDEX(Models!$BJ293:$BT293,,AH293+1)*AF293-ERP_i)*AE293*Ramure*Pc/MaxiM</f>
        <v>1.0546939375678474E-3</v>
      </c>
      <c r="AE293" s="305">
        <f t="shared" si="117"/>
        <v>0.5</v>
      </c>
      <c r="AF293" s="177">
        <f t="shared" si="118"/>
        <v>0.49366116854627728</v>
      </c>
      <c r="AG293" s="811">
        <f t="shared" si="124"/>
        <v>2</v>
      </c>
      <c r="AH293" s="176">
        <f t="shared" si="119"/>
        <v>8</v>
      </c>
      <c r="AI293" s="225">
        <f t="shared" si="120"/>
        <v>2.4936611685462773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'2025'!Wh/'2025'!Env_an*'2026'!Env_an</f>
        <v>28.770528326411931</v>
      </c>
      <c r="C294" s="841"/>
      <c r="D294" s="393">
        <f t="shared" si="102"/>
        <v>30.753437627020677</v>
      </c>
      <c r="E294" s="385">
        <f t="shared" si="100"/>
        <v>31.381779541087749</v>
      </c>
      <c r="F294" s="385">
        <f t="shared" si="103"/>
        <v>31.382380313061617</v>
      </c>
      <c r="G294" s="110">
        <f t="shared" si="101"/>
        <v>0.73829479203697612</v>
      </c>
      <c r="H294" s="414" t="b">
        <f>Wh_hp&gt;='2025'!Maxi_hp</f>
        <v>0</v>
      </c>
      <c r="I294" s="390">
        <f>IF(H294,Wh_hp,'2025'!Maxi_hp)</f>
        <v>42.817625020301556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6.4477647170946395E-2</v>
      </c>
      <c r="M294" s="845"/>
      <c r="N294" s="845"/>
      <c r="O294" s="48">
        <f>IF(t&lt;Tnet,'2025'!Resal+('2025'!Salim-'2025'!Resal)*(1-EXP(('2025'!Tnet-t)/('2025'!Tau_j))),Resal+(Salim-Resal)*(1-EXP((Tnet-t)/(Tau_j))))*Salcycl</f>
        <v>2.0022507431243487E-2</v>
      </c>
      <c r="P294" s="169">
        <f>(INDEX(Models!$BJ294:$BT294,,T294)*(1-R294)+INDEX(Models!$BJ294:$BT294,,T294+1)*R294-ERP_i)*Q294*Ramure*Pc/MaxiM</f>
        <v>3.0573640261885915E-5</v>
      </c>
      <c r="Q294" s="305">
        <f t="shared" si="105"/>
        <v>0.5</v>
      </c>
      <c r="R294" s="177">
        <f t="shared" si="106"/>
        <v>0.9688291809588212</v>
      </c>
      <c r="S294" s="811">
        <f t="shared" si="107"/>
        <v>-2</v>
      </c>
      <c r="T294" s="176">
        <f t="shared" si="108"/>
        <v>4</v>
      </c>
      <c r="U294" s="251">
        <f t="shared" si="109"/>
        <v>-1.0311708190411788</v>
      </c>
      <c r="V294" s="383">
        <f t="shared" si="110"/>
        <v>38.968444288574545</v>
      </c>
      <c r="W294" s="402">
        <f t="shared" si="111"/>
        <v>28.770528326411931</v>
      </c>
      <c r="X294" s="157">
        <f t="shared" si="112"/>
        <v>46302</v>
      </c>
      <c r="Y294" s="385">
        <f t="shared" si="113"/>
        <v>27.406468009126218</v>
      </c>
      <c r="Z294" s="385">
        <f t="shared" si="114"/>
        <v>29.295364163398194</v>
      </c>
      <c r="AA294" s="386">
        <f t="shared" si="115"/>
        <v>31.361524578455178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6.5882014437410374E-2</v>
      </c>
      <c r="AD294" s="231">
        <f>(INDEX(Models!$BJ294:$BT294,,AH294)*(1-AF294)+INDEX(Models!$BJ294:$BT294,,AH294+1)*AF294-ERP_i)*AE294*Ramure*Pc/MaxiM</f>
        <v>1.0613606409591756E-3</v>
      </c>
      <c r="AE294" s="305">
        <f t="shared" si="117"/>
        <v>0.5</v>
      </c>
      <c r="AF294" s="177">
        <f t="shared" si="118"/>
        <v>0.49381674733280034</v>
      </c>
      <c r="AG294" s="811">
        <f t="shared" si="124"/>
        <v>2</v>
      </c>
      <c r="AH294" s="176">
        <f t="shared" si="119"/>
        <v>8</v>
      </c>
      <c r="AI294" s="225">
        <f t="shared" si="120"/>
        <v>2.4938167473328003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'2025'!Wh/'2025'!Env_an*'2026'!Env_an</f>
        <v>15.680709016681941</v>
      </c>
      <c r="C295" s="841"/>
      <c r="D295" s="393">
        <f t="shared" si="102"/>
        <v>16.761814856219484</v>
      </c>
      <c r="E295" s="385">
        <f t="shared" si="100"/>
        <v>17.105624507211051</v>
      </c>
      <c r="F295" s="385">
        <f t="shared" si="103"/>
        <v>17.105716635469506</v>
      </c>
      <c r="G295" s="110">
        <f t="shared" si="101"/>
        <v>0.40557074217093941</v>
      </c>
      <c r="H295" s="414" t="b">
        <f>Wh_hp&gt;='2025'!Maxi_hp</f>
        <v>0</v>
      </c>
      <c r="I295" s="390">
        <f>IF(H295,Wh_hp,'2025'!Maxi_hp)</f>
        <v>40.412475476580589</v>
      </c>
      <c r="J295" s="85">
        <f>IF(H295,An,'2025'!An_max)</f>
        <v>2019</v>
      </c>
      <c r="K295" s="197">
        <f t="shared" si="104"/>
        <v>46303</v>
      </c>
      <c r="L295" s="147">
        <f>IF(t&lt;Tvie,1-EXP((T0-t)*PertePVj)+'2025'!Pspv,1-EXP((T0-t)*PertePVj)+Pspv)</f>
        <v>6.4498137511428189E-2</v>
      </c>
      <c r="M295" s="845"/>
      <c r="N295" s="845"/>
      <c r="O295" s="48">
        <f>IF(t&lt;Tnet,'2025'!Resal+('2025'!Salim-'2025'!Resal)*(1-EXP(('2025'!Tnet-t)/('2025'!Tau_j))),Resal+(Salim-Resal)*(1-EXP((Tnet-t)/(Tau_j))))*Salcycl</f>
        <v>2.0099216538199471E-2</v>
      </c>
      <c r="P295" s="169">
        <f>(INDEX(Models!$BJ295:$BT295,,T295)*(1-R295)+INDEX(Models!$BJ295:$BT295,,T295+1)*R295-ERP_i)*Q295*Ramure*Pc/MaxiM</f>
        <v>3.5707172827138406E-5</v>
      </c>
      <c r="Q295" s="305">
        <f t="shared" si="105"/>
        <v>0.5</v>
      </c>
      <c r="R295" s="177">
        <f t="shared" si="106"/>
        <v>0.96897858732468256</v>
      </c>
      <c r="S295" s="811">
        <f t="shared" si="107"/>
        <v>-2</v>
      </c>
      <c r="T295" s="176">
        <f t="shared" si="108"/>
        <v>4</v>
      </c>
      <c r="U295" s="251">
        <f t="shared" si="109"/>
        <v>-1.0310214126753174</v>
      </c>
      <c r="V295" s="383">
        <f t="shared" si="110"/>
        <v>38.662141824702111</v>
      </c>
      <c r="W295" s="402">
        <f t="shared" si="111"/>
        <v>15.680709016681941</v>
      </c>
      <c r="X295" s="157">
        <f t="shared" si="112"/>
        <v>46303</v>
      </c>
      <c r="Y295" s="385">
        <f t="shared" si="113"/>
        <v>14.94554855422256</v>
      </c>
      <c r="Z295" s="385">
        <f t="shared" si="114"/>
        <v>15.97596878585064</v>
      </c>
      <c r="AA295" s="386">
        <f t="shared" si="115"/>
        <v>17.102980264090593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6.5895619408871425E-2</v>
      </c>
      <c r="AD295" s="231">
        <f>(INDEX(Models!$BJ295:$BT295,,AH295)*(1-AF295)+INDEX(Models!$BJ295:$BT295,,AH295+1)*AF295-ERP_i)*AE295*Ramure*Pc/MaxiM</f>
        <v>1.0605658609406732E-3</v>
      </c>
      <c r="AE295" s="305">
        <f t="shared" si="117"/>
        <v>0.5</v>
      </c>
      <c r="AF295" s="177">
        <f t="shared" si="118"/>
        <v>0.49396615369866126</v>
      </c>
      <c r="AG295" s="811">
        <f t="shared" si="124"/>
        <v>2</v>
      </c>
      <c r="AH295" s="176">
        <f t="shared" si="119"/>
        <v>8</v>
      </c>
      <c r="AI295" s="225">
        <f t="shared" si="120"/>
        <v>2.4939661536986613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'2025'!Wh/'2025'!Env_an*'2026'!Env_an</f>
        <v>36.879313248465209</v>
      </c>
      <c r="C296" s="841"/>
      <c r="D296" s="393">
        <f t="shared" si="102"/>
        <v>39.422819447584331</v>
      </c>
      <c r="E296" s="385">
        <f t="shared" si="100"/>
        <v>40.234571314909005</v>
      </c>
      <c r="F296" s="385">
        <f t="shared" si="103"/>
        <v>40.236125937994643</v>
      </c>
      <c r="G296" s="110">
        <f t="shared" si="101"/>
        <v>0.96150037437526092</v>
      </c>
      <c r="H296" s="414" t="b">
        <f>Wh_hp&gt;='2025'!Maxi_hp</f>
        <v>0</v>
      </c>
      <c r="I296" s="390">
        <f>IF(H296,Wh_hp,'2025'!Maxi_hp)</f>
        <v>40.236172512085183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6.4518627403118867E-2</v>
      </c>
      <c r="M296" s="845"/>
      <c r="N296" s="845"/>
      <c r="O296" s="48">
        <f>IF(t&lt;Tnet,'2025'!Resal+('2025'!Salim-'2025'!Resal)*(1-EXP(('2025'!Tnet-t)/('2025'!Tau_j))),Resal+(Salim-Resal)*(1-EXP((Tnet-t)/(Tau_j))))*Salcycl</f>
        <v>2.0175481949869206E-2</v>
      </c>
      <c r="P296" s="169">
        <f>(INDEX(Models!$BJ296:$BT296,,T296)*(1-R296)+INDEX(Models!$BJ296:$BT296,,T296+1)*R296-ERP_i)*Q296*Ramure*Pc/MaxiM</f>
        <v>4.0886080554631001E-5</v>
      </c>
      <c r="Q296" s="305">
        <f t="shared" si="105"/>
        <v>0.5</v>
      </c>
      <c r="R296" s="177">
        <f t="shared" si="106"/>
        <v>0.96912206263534495</v>
      </c>
      <c r="S296" s="811">
        <f t="shared" si="107"/>
        <v>-2</v>
      </c>
      <c r="T296" s="176">
        <f t="shared" si="108"/>
        <v>4</v>
      </c>
      <c r="U296" s="251">
        <f t="shared" si="109"/>
        <v>-1.0308779373646551</v>
      </c>
      <c r="V296" s="383">
        <f t="shared" si="110"/>
        <v>38.355918834567007</v>
      </c>
      <c r="W296" s="402">
        <f t="shared" si="111"/>
        <v>36.879313248465209</v>
      </c>
      <c r="X296" s="157">
        <f t="shared" si="112"/>
        <v>46304</v>
      </c>
      <c r="Y296" s="385">
        <f t="shared" si="113"/>
        <v>35.124377740451507</v>
      </c>
      <c r="Z296" s="385">
        <f t="shared" si="114"/>
        <v>37.546848894432614</v>
      </c>
      <c r="AA296" s="386">
        <f t="shared" si="115"/>
        <v>40.196102054270092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6.5908210608596737E-2</v>
      </c>
      <c r="AD296" s="231">
        <f>(INDEX(Models!$BJ296:$BT296,,AH296)*(1-AF296)+INDEX(Models!$BJ296:$BT296,,AH296+1)*AF296-ERP_i)*AE296*Ramure*Pc/MaxiM</f>
        <v>1.0526150995599501E-3</v>
      </c>
      <c r="AE296" s="305">
        <f t="shared" si="117"/>
        <v>0.5</v>
      </c>
      <c r="AF296" s="177">
        <f t="shared" si="118"/>
        <v>0.49410962900932409</v>
      </c>
      <c r="AG296" s="811">
        <f t="shared" si="124"/>
        <v>2</v>
      </c>
      <c r="AH296" s="176">
        <f t="shared" si="119"/>
        <v>8</v>
      </c>
      <c r="AI296" s="225">
        <f t="shared" si="120"/>
        <v>2.4941096290093241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'2025'!Wh/'2025'!Env_an*'2026'!Env_an</f>
        <v>30.394391161998737</v>
      </c>
      <c r="C297" s="841"/>
      <c r="D297" s="393">
        <f t="shared" si="102"/>
        <v>32.491354485632719</v>
      </c>
      <c r="E297" s="385">
        <f t="shared" ref="E297:E360" si="125">Wh_pvt/(1-Psa)</f>
        <v>33.162947311285123</v>
      </c>
      <c r="F297" s="385">
        <f t="shared" si="103"/>
        <v>33.164030462742438</v>
      </c>
      <c r="G297" s="110">
        <f t="shared" ref="G297:G360" si="126">+Wh_hp/MaxiM</f>
        <v>0.7987953228710023</v>
      </c>
      <c r="H297" s="414" t="b">
        <f>Wh_hp&gt;='2025'!Maxi_hp</f>
        <v>0</v>
      </c>
      <c r="I297" s="390">
        <f>IF(H297,Wh_hp,'2025'!Maxi_hp)</f>
        <v>33.164255329044202</v>
      </c>
      <c r="J297" s="85">
        <f>IF(H297,An,'2025'!An_max)</f>
        <v>2025</v>
      </c>
      <c r="K297" s="197">
        <f t="shared" si="104"/>
        <v>46305</v>
      </c>
      <c r="L297" s="147">
        <f>IF(t&lt;Tvie,1-EXP((T0-t)*PertePVj)+'2025'!Pspv,1-EXP((T0-t)*PertePVj)+Pspv)</f>
        <v>6.4539116846028421E-2</v>
      </c>
      <c r="M297" s="845"/>
      <c r="N297" s="845"/>
      <c r="O297" s="48">
        <f>IF(t&lt;Tnet,'2025'!Resal+('2025'!Salim-'2025'!Resal)*(1-EXP(('2025'!Tnet-t)/('2025'!Tau_j))),Resal+(Salim-Resal)*(1-EXP((Tnet-t)/(Tau_j))))*Salcycl</f>
        <v>2.0251300927763647E-2</v>
      </c>
      <c r="P297" s="169">
        <f>(INDEX(Models!$BJ297:$BT297,,T297)*(1-R297)+INDEX(Models!$BJ297:$BT297,,T297+1)*R297-ERP_i)*Q297*Ramure*Pc/MaxiM</f>
        <v>4.5834066221467629E-5</v>
      </c>
      <c r="Q297" s="305">
        <f t="shared" si="105"/>
        <v>0.5</v>
      </c>
      <c r="R297" s="177">
        <f t="shared" si="106"/>
        <v>0.9692598390939362</v>
      </c>
      <c r="S297" s="811">
        <f t="shared" si="107"/>
        <v>-2</v>
      </c>
      <c r="T297" s="176">
        <f t="shared" si="108"/>
        <v>4</v>
      </c>
      <c r="U297" s="251">
        <f t="shared" si="109"/>
        <v>-1.0307401609060638</v>
      </c>
      <c r="V297" s="383">
        <f t="shared" si="110"/>
        <v>38.049785563331312</v>
      </c>
      <c r="W297" s="402">
        <f t="shared" si="111"/>
        <v>30.394391161998737</v>
      </c>
      <c r="X297" s="157">
        <f t="shared" si="112"/>
        <v>46305</v>
      </c>
      <c r="Y297" s="385">
        <f t="shared" si="113"/>
        <v>28.957089413287349</v>
      </c>
      <c r="Z297" s="385">
        <f t="shared" si="114"/>
        <v>30.95489072258853</v>
      </c>
      <c r="AA297" s="386">
        <f t="shared" si="115"/>
        <v>33.139435291711017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6.5919788611150346E-2</v>
      </c>
      <c r="AD297" s="231">
        <f>(INDEX(Models!$BJ297:$BT297,,AH297)*(1-AF297)+INDEX(Models!$BJ297:$BT297,,AH297+1)*AF297-ERP_i)*AE297*Ramure*Pc/MaxiM</f>
        <v>1.0407562951283268E-3</v>
      </c>
      <c r="AE297" s="305">
        <f t="shared" si="117"/>
        <v>0.5</v>
      </c>
      <c r="AF297" s="177">
        <f t="shared" si="118"/>
        <v>0.4942474054679149</v>
      </c>
      <c r="AG297" s="811">
        <f t="shared" si="124"/>
        <v>2</v>
      </c>
      <c r="AH297" s="176">
        <f t="shared" si="119"/>
        <v>8</v>
      </c>
      <c r="AI297" s="225">
        <f t="shared" si="120"/>
        <v>2.4942474054679149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'2025'!Wh/'2025'!Env_an*'2026'!Env_an</f>
        <v>22.101830997638171</v>
      </c>
      <c r="C298" s="841"/>
      <c r="D298" s="393">
        <f t="shared" si="102"/>
        <v>23.627193283104852</v>
      </c>
      <c r="E298" s="385">
        <f t="shared" si="125"/>
        <v>24.117420163877696</v>
      </c>
      <c r="F298" s="385">
        <f t="shared" si="103"/>
        <v>24.11791750732861</v>
      </c>
      <c r="G298" s="110">
        <f t="shared" si="126"/>
        <v>0.58555852258675678</v>
      </c>
      <c r="H298" s="414" t="b">
        <f>Wh_hp&gt;='2025'!Maxi_hp</f>
        <v>0</v>
      </c>
      <c r="I298" s="390">
        <f>IF(H298,Wh_hp,'2025'!Maxi_hp)</f>
        <v>42.375150802238252</v>
      </c>
      <c r="J298" s="85">
        <f>IF(H298,An,'2025'!An_max)</f>
        <v>2019</v>
      </c>
      <c r="K298" s="197">
        <f t="shared" si="104"/>
        <v>46306</v>
      </c>
      <c r="L298" s="147">
        <f>IF(t&lt;Tvie,1-EXP((T0-t)*PertePVj)+'2025'!Pspv,1-EXP((T0-t)*PertePVj)+Pspv)</f>
        <v>6.4559605840166623E-2</v>
      </c>
      <c r="M298" s="845"/>
      <c r="N298" s="845"/>
      <c r="O298" s="48">
        <f>IF(t&lt;Tnet,'2025'!Resal+('2025'!Salim-'2025'!Resal)*(1-EXP(('2025'!Tnet-t)/('2025'!Tau_j))),Resal+(Salim-Resal)*(1-EXP((Tnet-t)/(Tau_j))))*Salcycl</f>
        <v>2.0326671652347306E-2</v>
      </c>
      <c r="P298" s="169">
        <f>(INDEX(Models!$BJ298:$BT298,,T298)*(1-R298)+INDEX(Models!$BJ298:$BT298,,T298+1)*R298-ERP_i)*Q298*Ramure*Pc/MaxiM</f>
        <v>5.0546706247187096E-5</v>
      </c>
      <c r="Q298" s="305">
        <f t="shared" si="105"/>
        <v>0.5</v>
      </c>
      <c r="R298" s="177">
        <f t="shared" si="106"/>
        <v>0.96939214006730245</v>
      </c>
      <c r="S298" s="811">
        <f t="shared" si="107"/>
        <v>-2</v>
      </c>
      <c r="T298" s="176">
        <f t="shared" si="108"/>
        <v>4</v>
      </c>
      <c r="U298" s="251">
        <f t="shared" si="109"/>
        <v>-1.0306078599326975</v>
      </c>
      <c r="V298" s="383">
        <f t="shared" si="110"/>
        <v>37.743741617283227</v>
      </c>
      <c r="W298" s="402">
        <f t="shared" si="111"/>
        <v>22.101830997638171</v>
      </c>
      <c r="X298" s="157">
        <f t="shared" si="112"/>
        <v>46306</v>
      </c>
      <c r="Y298" s="385">
        <f t="shared" si="113"/>
        <v>21.064616046375125</v>
      </c>
      <c r="Z298" s="385">
        <f t="shared" si="114"/>
        <v>22.518394734593784</v>
      </c>
      <c r="AA298" s="386">
        <f t="shared" si="115"/>
        <v>24.107832752556149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6.5930356920774577E-2</v>
      </c>
      <c r="AD298" s="231">
        <f>(INDEX(Models!$BJ298:$BT298,,AH298)*(1-AF298)+INDEX(Models!$BJ298:$BT298,,AH298+1)*AF298-ERP_i)*AE298*Ramure*Pc/MaxiM</f>
        <v>1.0249479230521278E-3</v>
      </c>
      <c r="AE298" s="305">
        <f t="shared" si="117"/>
        <v>0.5</v>
      </c>
      <c r="AF298" s="177">
        <f t="shared" si="118"/>
        <v>0.49437970644128137</v>
      </c>
      <c r="AG298" s="811">
        <f t="shared" si="124"/>
        <v>2</v>
      </c>
      <c r="AH298" s="176">
        <f t="shared" si="119"/>
        <v>8</v>
      </c>
      <c r="AI298" s="225">
        <f t="shared" si="120"/>
        <v>2.4943797064412814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'2025'!Wh/'2025'!Env_an*'2026'!Env_an</f>
        <v>27.604339103311943</v>
      </c>
      <c r="C299" s="841"/>
      <c r="D299" s="393">
        <f t="shared" si="102"/>
        <v>29.510104432916954</v>
      </c>
      <c r="E299" s="385">
        <f t="shared" si="125"/>
        <v>30.124696233106363</v>
      </c>
      <c r="F299" s="385">
        <f t="shared" si="103"/>
        <v>30.125731794421014</v>
      </c>
      <c r="G299" s="110">
        <f t="shared" si="126"/>
        <v>0.73732375046441279</v>
      </c>
      <c r="H299" s="414" t="b">
        <f>Wh_hp&gt;='2025'!Maxi_hp</f>
        <v>0</v>
      </c>
      <c r="I299" s="390">
        <f>IF(H299,Wh_hp,'2025'!Maxi_hp)</f>
        <v>39.768274465309958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6.458009438554313E-2</v>
      </c>
      <c r="M299" s="845"/>
      <c r="N299" s="845"/>
      <c r="O299" s="48">
        <f>IF(t&lt;Tnet,'2025'!Resal+('2025'!Salim-'2025'!Resal)*(1-EXP(('2025'!Tnet-t)/('2025'!Tau_j))),Resal+(Salim-Resal)*(1-EXP((Tnet-t)/(Tau_j))))*Salcycl</f>
        <v>2.0401593278606626E-2</v>
      </c>
      <c r="P299" s="169">
        <f>(INDEX(Models!$BJ299:$BT299,,T299)*(1-R299)+INDEX(Models!$BJ299:$BT299,,T299+1)*R299-ERP_i)*Q299*Ramure*Pc/MaxiM</f>
        <v>5.5019681467523629E-5</v>
      </c>
      <c r="Q299" s="305">
        <f t="shared" si="105"/>
        <v>0.5</v>
      </c>
      <c r="R299" s="177">
        <f t="shared" si="106"/>
        <v>0.96951918040220386</v>
      </c>
      <c r="S299" s="811">
        <f t="shared" si="107"/>
        <v>-2</v>
      </c>
      <c r="T299" s="176">
        <f t="shared" si="108"/>
        <v>4</v>
      </c>
      <c r="U299" s="251">
        <f t="shared" si="109"/>
        <v>-1.0304808195977961</v>
      </c>
      <c r="V299" s="383">
        <f t="shared" si="110"/>
        <v>37.437786554044955</v>
      </c>
      <c r="W299" s="402">
        <f t="shared" si="111"/>
        <v>27.604339103311943</v>
      </c>
      <c r="X299" s="157">
        <f t="shared" si="112"/>
        <v>46307</v>
      </c>
      <c r="Y299" s="385">
        <f t="shared" si="113"/>
        <v>26.305478490620743</v>
      </c>
      <c r="Z299" s="385">
        <f t="shared" si="114"/>
        <v>28.121572282921701</v>
      </c>
      <c r="AA299" s="386">
        <f t="shared" si="115"/>
        <v>30.106813199996289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6.5939922099587586E-2</v>
      </c>
      <c r="AD299" s="231">
        <f>(INDEX(Models!$BJ299:$BT299,,AH299)*(1-AF299)+INDEX(Models!$BJ299:$BT299,,AH299+1)*AF299-ERP_i)*AE299*Ramure*Pc/MaxiM</f>
        <v>1.005150563598514E-3</v>
      </c>
      <c r="AE299" s="305">
        <f t="shared" si="117"/>
        <v>0.5</v>
      </c>
      <c r="AF299" s="177">
        <f t="shared" si="118"/>
        <v>0.49450674677618256</v>
      </c>
      <c r="AG299" s="811">
        <f t="shared" si="124"/>
        <v>2</v>
      </c>
      <c r="AH299" s="176">
        <f t="shared" si="119"/>
        <v>8</v>
      </c>
      <c r="AI299" s="225">
        <f t="shared" si="120"/>
        <v>2.4945067467761826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'2025'!Wh/'2025'!Env_an*'2026'!Env_an</f>
        <v>22.780170184346019</v>
      </c>
      <c r="C300" s="841"/>
      <c r="D300" s="393">
        <f t="shared" si="102"/>
        <v>24.353414977310216</v>
      </c>
      <c r="E300" s="385">
        <f t="shared" si="125"/>
        <v>24.862501192348525</v>
      </c>
      <c r="F300" s="385">
        <f t="shared" si="103"/>
        <v>24.863160921308928</v>
      </c>
      <c r="G300" s="110">
        <f t="shared" si="126"/>
        <v>0.61347285563529819</v>
      </c>
      <c r="H300" s="414" t="b">
        <f>Wh_hp&gt;='2025'!Maxi_hp</f>
        <v>0</v>
      </c>
      <c r="I300" s="390">
        <f>IF(H300,Wh_hp,'2025'!Maxi_hp)</f>
        <v>39.855056795061437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6.4600582482168045E-2</v>
      </c>
      <c r="M300" s="845"/>
      <c r="N300" s="845"/>
      <c r="O300" s="48">
        <f>IF(t&lt;Tnet,'2025'!Resal+('2025'!Salim-'2025'!Resal)*(1-EXP(('2025'!Tnet-t)/('2025'!Tau_j))),Resal+(Salim-Resal)*(1-EXP((Tnet-t)/(Tau_j))))*Salcycl</f>
        <v>2.0476065987881407E-2</v>
      </c>
      <c r="P300" s="169">
        <f>(INDEX(Models!$BJ300:$BT300,,T300)*(1-R300)+INDEX(Models!$BJ300:$BT300,,T300+1)*R300-ERP_i)*Q300*Ramure*Pc/MaxiM</f>
        <v>5.9248792309981911E-5</v>
      </c>
      <c r="Q300" s="305">
        <f t="shared" si="105"/>
        <v>0.5</v>
      </c>
      <c r="R300" s="177">
        <f t="shared" si="106"/>
        <v>0.9696411667317979</v>
      </c>
      <c r="S300" s="811">
        <f t="shared" si="107"/>
        <v>-2</v>
      </c>
      <c r="T300" s="176">
        <f t="shared" si="108"/>
        <v>4</v>
      </c>
      <c r="U300" s="251">
        <f t="shared" si="109"/>
        <v>-1.0303588332682021</v>
      </c>
      <c r="V300" s="383">
        <f t="shared" si="110"/>
        <v>37.131919881717074</v>
      </c>
      <c r="W300" s="402">
        <f t="shared" si="111"/>
        <v>22.780170184346019</v>
      </c>
      <c r="X300" s="157">
        <f t="shared" si="112"/>
        <v>46308</v>
      </c>
      <c r="Y300" s="385">
        <f t="shared" si="113"/>
        <v>21.71367601135686</v>
      </c>
      <c r="Z300" s="385">
        <f t="shared" si="114"/>
        <v>23.213266551925045</v>
      </c>
      <c r="AA300" s="386">
        <f t="shared" si="115"/>
        <v>24.852233950551941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6.5948493881391901E-2</v>
      </c>
      <c r="AD300" s="231">
        <f>(INDEX(Models!$BJ300:$BT300,,AH300)*(1-AF300)+INDEX(Models!$BJ300:$BT300,,AH300+1)*AF300-ERP_i)*AE300*Ramure*Pc/MaxiM</f>
        <v>9.8132696882421619E-4</v>
      </c>
      <c r="AE300" s="305">
        <f t="shared" si="117"/>
        <v>0.5</v>
      </c>
      <c r="AF300" s="177">
        <f t="shared" si="118"/>
        <v>0.49462873310577704</v>
      </c>
      <c r="AG300" s="811">
        <f t="shared" si="124"/>
        <v>2</v>
      </c>
      <c r="AH300" s="176">
        <f t="shared" si="119"/>
        <v>8</v>
      </c>
      <c r="AI300" s="225">
        <f t="shared" si="120"/>
        <v>2.494628733105777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'2025'!Wh/'2025'!Env_an*'2026'!Env_an</f>
        <v>19.335426251060838</v>
      </c>
      <c r="C301" s="841"/>
      <c r="D301" s="393">
        <f t="shared" si="102"/>
        <v>20.671222788553887</v>
      </c>
      <c r="E301" s="385">
        <f t="shared" si="125"/>
        <v>21.104931042778951</v>
      </c>
      <c r="F301" s="385">
        <f t="shared" si="103"/>
        <v>21.105360074546699</v>
      </c>
      <c r="G301" s="110">
        <f t="shared" si="126"/>
        <v>0.52502369654953063</v>
      </c>
      <c r="H301" s="414" t="b">
        <f>Wh_hp&gt;='2025'!Maxi_hp</f>
        <v>0</v>
      </c>
      <c r="I301" s="390">
        <f>IF(H301,Wh_hp,'2025'!Maxi_hp)</f>
        <v>41.909965007378638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6.4621070130051028E-2</v>
      </c>
      <c r="M301" s="845"/>
      <c r="N301" s="845"/>
      <c r="O301" s="48">
        <f>IF(t&lt;Tnet,'2025'!Resal+('2025'!Salim-'2025'!Resal)*(1-EXP(('2025'!Tnet-t)/('2025'!Tau_j))),Resal+(Salim-Resal)*(1-EXP((Tnet-t)/(Tau_j))))*Salcycl</f>
        <v>2.0550091035405518E-2</v>
      </c>
      <c r="P301" s="169">
        <f>(INDEX(Models!$BJ301:$BT301,,T301)*(1-R301)+INDEX(Models!$BJ301:$BT301,,T301+1)*R301-ERP_i)*Q301*Ramure*Pc/MaxiM</f>
        <v>6.3229973147990875E-5</v>
      </c>
      <c r="Q301" s="305">
        <f t="shared" si="105"/>
        <v>0.5</v>
      </c>
      <c r="R301" s="177">
        <f t="shared" si="106"/>
        <v>0.96975829777257871</v>
      </c>
      <c r="S301" s="811">
        <f t="shared" si="107"/>
        <v>-2</v>
      </c>
      <c r="T301" s="176">
        <f t="shared" si="108"/>
        <v>4</v>
      </c>
      <c r="U301" s="251">
        <f t="shared" si="109"/>
        <v>-1.0302417022274213</v>
      </c>
      <c r="V301" s="383">
        <f t="shared" si="110"/>
        <v>36.826141058331643</v>
      </c>
      <c r="W301" s="402">
        <f t="shared" si="111"/>
        <v>19.335426251060838</v>
      </c>
      <c r="X301" s="157">
        <f t="shared" si="112"/>
        <v>46309</v>
      </c>
      <c r="Y301" s="385">
        <f t="shared" si="113"/>
        <v>18.43378428636618</v>
      </c>
      <c r="Z301" s="385">
        <f t="shared" si="114"/>
        <v>19.707290486999888</v>
      </c>
      <c r="AA301" s="386">
        <f t="shared" si="115"/>
        <v>21.098890722595172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6.5956085269686507E-2</v>
      </c>
      <c r="AD301" s="231">
        <f>(INDEX(Models!$BJ301:$BT301,,AH301)*(1-AF301)+INDEX(Models!$BJ301:$BT301,,AH301+1)*AF301-ERP_i)*AE301*Ramure*Pc/MaxiM</f>
        <v>9.5344210133326988E-4</v>
      </c>
      <c r="AE301" s="305">
        <f t="shared" si="117"/>
        <v>0.5</v>
      </c>
      <c r="AF301" s="177">
        <f t="shared" si="118"/>
        <v>0.49474586414655786</v>
      </c>
      <c r="AG301" s="811">
        <f t="shared" si="124"/>
        <v>2</v>
      </c>
      <c r="AH301" s="176">
        <f t="shared" si="119"/>
        <v>8</v>
      </c>
      <c r="AI301" s="225">
        <f t="shared" si="120"/>
        <v>2.4947458641465579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'2025'!Wh/'2025'!Env_an*'2026'!Env_an</f>
        <v>35.805524264507682</v>
      </c>
      <c r="C302" s="841"/>
      <c r="D302" s="393">
        <f t="shared" si="102"/>
        <v>38.280003291860517</v>
      </c>
      <c r="E302" s="385">
        <f t="shared" si="125"/>
        <v>39.086102196136082</v>
      </c>
      <c r="F302" s="385">
        <f t="shared" si="103"/>
        <v>39.088646348636303</v>
      </c>
      <c r="G302" s="110">
        <f t="shared" si="126"/>
        <v>0.98042213911084686</v>
      </c>
      <c r="H302" s="414" t="b">
        <f>Wh_hp&gt;='2025'!Maxi_hp</f>
        <v>0</v>
      </c>
      <c r="I302" s="390">
        <f>IF(H302,Wh_hp,'2025'!Maxi_hp)</f>
        <v>39.088683998488683</v>
      </c>
      <c r="J302" s="85">
        <f>IF(H302,An,'2025'!An_max)</f>
        <v>2025</v>
      </c>
      <c r="K302" s="197">
        <f t="shared" si="104"/>
        <v>46310</v>
      </c>
      <c r="L302" s="147">
        <f>IF(t&lt;Tvie,1-EXP((T0-t)*PertePVj)+'2025'!Pspv,1-EXP((T0-t)*PertePVj)+Pspv)</f>
        <v>6.4641557329201849E-2</v>
      </c>
      <c r="M302" s="845"/>
      <c r="N302" s="845"/>
      <c r="O302" s="48">
        <f>IF(t&lt;Tnet,'2025'!Resal+('2025'!Salim-'2025'!Resal)*(1-EXP(('2025'!Tnet-t)/('2025'!Tau_j))),Resal+(Salim-Resal)*(1-EXP((Tnet-t)/(Tau_j))))*Salcycl</f>
        <v>2.0623670793023016E-2</v>
      </c>
      <c r="P302" s="169">
        <f>(INDEX(Models!$BJ302:$BT302,,T302)*(1-R302)+INDEX(Models!$BJ302:$BT302,,T302+1)*R302-ERP_i)*Q302*Ramure*Pc/MaxiM</f>
        <v>6.6959305611050362E-5</v>
      </c>
      <c r="Q302" s="305">
        <f t="shared" si="105"/>
        <v>0.5</v>
      </c>
      <c r="R302" s="177">
        <f t="shared" si="106"/>
        <v>0.96987076461194488</v>
      </c>
      <c r="S302" s="811">
        <f t="shared" si="107"/>
        <v>-2</v>
      </c>
      <c r="T302" s="176">
        <f t="shared" si="108"/>
        <v>4</v>
      </c>
      <c r="U302" s="251">
        <f t="shared" si="109"/>
        <v>-1.0301292353880551</v>
      </c>
      <c r="V302" s="383">
        <f t="shared" si="110"/>
        <v>36.520449491650446</v>
      </c>
      <c r="W302" s="402">
        <f t="shared" si="111"/>
        <v>35.805524264507682</v>
      </c>
      <c r="X302" s="157">
        <f t="shared" si="112"/>
        <v>46310</v>
      </c>
      <c r="Y302" s="385">
        <f t="shared" si="113"/>
        <v>34.119585480867173</v>
      </c>
      <c r="Z302" s="385">
        <f t="shared" si="114"/>
        <v>36.477551197852023</v>
      </c>
      <c r="AA302" s="386">
        <f t="shared" si="115"/>
        <v>39.053634893010361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6.5962712618573602E-2</v>
      </c>
      <c r="AD302" s="231">
        <f>(INDEX(Models!$BJ302:$BT302,,AH302)*(1-AF302)+INDEX(Models!$BJ302:$BT302,,AH302+1)*AF302-ERP_i)*AE302*Ramure*Pc/MaxiM</f>
        <v>9.2146314222050054E-4</v>
      </c>
      <c r="AE302" s="305">
        <f t="shared" si="117"/>
        <v>0.5</v>
      </c>
      <c r="AF302" s="177">
        <f t="shared" si="118"/>
        <v>0.4948583309859238</v>
      </c>
      <c r="AG302" s="811">
        <f t="shared" si="124"/>
        <v>2</v>
      </c>
      <c r="AH302" s="176">
        <f t="shared" si="119"/>
        <v>8</v>
      </c>
      <c r="AI302" s="225">
        <f t="shared" si="120"/>
        <v>2.4948583309859238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'2025'!Wh/'2025'!Env_an*'2026'!Env_an</f>
        <v>32.15511262461532</v>
      </c>
      <c r="C303" s="841"/>
      <c r="D303" s="393">
        <f t="shared" si="102"/>
        <v>34.378068826443375</v>
      </c>
      <c r="E303" s="385">
        <f t="shared" si="125"/>
        <v>35.104622485551609</v>
      </c>
      <c r="F303" s="385">
        <f t="shared" si="103"/>
        <v>35.106699294163946</v>
      </c>
      <c r="G303" s="110">
        <f t="shared" si="126"/>
        <v>0.88790956120901721</v>
      </c>
      <c r="H303" s="414" t="b">
        <f>Wh_hp&gt;='2025'!Maxi_hp</f>
        <v>0</v>
      </c>
      <c r="I303" s="390">
        <f>IF(H303,Wh_hp,'2025'!Maxi_hp)</f>
        <v>38.517225515333379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6.4662044079630498E-2</v>
      </c>
      <c r="M303" s="845"/>
      <c r="N303" s="845"/>
      <c r="O303" s="48">
        <f>IF(t&lt;Tnet,'2025'!Resal+('2025'!Salim-'2025'!Resal)*(1-EXP(('2025'!Tnet-t)/('2025'!Tau_j))),Resal+(Salim-Resal)*(1-EXP((Tnet-t)/(Tau_j))))*Salcycl</f>
        <v>2.0696808786571347E-2</v>
      </c>
      <c r="P303" s="169">
        <f>(INDEX(Models!$BJ303:$BT303,,T303)*(1-R303)+INDEX(Models!$BJ303:$BT303,,T303+1)*R303-ERP_i)*Q303*Ramure*Pc/MaxiM</f>
        <v>7.0434688137984742E-5</v>
      </c>
      <c r="Q303" s="305">
        <f t="shared" si="105"/>
        <v>0.5</v>
      </c>
      <c r="R303" s="177">
        <f t="shared" si="106"/>
        <v>0.96997875098657782</v>
      </c>
      <c r="S303" s="811">
        <f t="shared" si="107"/>
        <v>-2</v>
      </c>
      <c r="T303" s="176">
        <f t="shared" si="108"/>
        <v>4</v>
      </c>
      <c r="U303" s="251">
        <f t="shared" si="109"/>
        <v>-1.0300212490134222</v>
      </c>
      <c r="V303" s="383">
        <f t="shared" si="110"/>
        <v>36.213992251095519</v>
      </c>
      <c r="W303" s="402">
        <f t="shared" si="111"/>
        <v>32.15511262461532</v>
      </c>
      <c r="X303" s="157">
        <f t="shared" si="112"/>
        <v>46311</v>
      </c>
      <c r="Y303" s="385">
        <f t="shared" si="113"/>
        <v>30.647641574764322</v>
      </c>
      <c r="Z303" s="385">
        <f t="shared" si="114"/>
        <v>32.766382868112245</v>
      </c>
      <c r="AA303" s="386">
        <f t="shared" si="115"/>
        <v>35.08059333014338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6.5968395695366625E-2</v>
      </c>
      <c r="AD303" s="231">
        <f>(INDEX(Models!$BJ303:$BT303,,AH303)*(1-AF303)+INDEX(Models!$BJ303:$BT303,,AH303+1)*AF303-ERP_i)*AE303*Ramure*Pc/MaxiM</f>
        <v>8.8538030101052744E-4</v>
      </c>
      <c r="AE303" s="305">
        <f t="shared" si="117"/>
        <v>0.5</v>
      </c>
      <c r="AF303" s="177">
        <f t="shared" si="118"/>
        <v>0.49496631736055674</v>
      </c>
      <c r="AG303" s="811">
        <f t="shared" si="124"/>
        <v>2</v>
      </c>
      <c r="AH303" s="176">
        <f t="shared" si="119"/>
        <v>8</v>
      </c>
      <c r="AI303" s="225">
        <f t="shared" si="120"/>
        <v>2.4949663173605567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'2025'!Wh/'2025'!Env_an*'2026'!Env_an</f>
        <v>19.511452465768258</v>
      </c>
      <c r="C304" s="841"/>
      <c r="D304" s="393">
        <f t="shared" si="102"/>
        <v>20.860780536605873</v>
      </c>
      <c r="E304" s="385">
        <f t="shared" si="125"/>
        <v>21.303238352800644</v>
      </c>
      <c r="F304" s="385">
        <f t="shared" si="103"/>
        <v>21.303781910203671</v>
      </c>
      <c r="G304" s="110">
        <f t="shared" si="126"/>
        <v>0.54337481093033169</v>
      </c>
      <c r="H304" s="414" t="b">
        <f>Wh_hp&gt;='2025'!Maxi_hp</f>
        <v>0</v>
      </c>
      <c r="I304" s="390">
        <f>IF(H304,Wh_hp,'2025'!Maxi_hp)</f>
        <v>36.170374756257267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6.4682530381346748E-2</v>
      </c>
      <c r="M304" s="845"/>
      <c r="N304" s="845"/>
      <c r="O304" s="48">
        <f>IF(t&lt;Tnet,'2025'!Resal+('2025'!Salim-'2025'!Resal)*(1-EXP(('2025'!Tnet-t)/('2025'!Tau_j))),Resal+(Salim-Resal)*(1-EXP((Tnet-t)/(Tau_j))))*Salcycl</f>
        <v>2.0769509727454304E-2</v>
      </c>
      <c r="P304" s="169">
        <f>(INDEX(Models!$BJ304:$BT304,,T304)*(1-R304)+INDEX(Models!$BJ304:$BT304,,T304+1)*R304-ERP_i)*Q304*Ramure*Pc/MaxiM</f>
        <v>7.3377803878026048E-5</v>
      </c>
      <c r="Q304" s="305">
        <f t="shared" si="105"/>
        <v>0.5</v>
      </c>
      <c r="R304" s="177">
        <f t="shared" si="106"/>
        <v>0.97008243355182255</v>
      </c>
      <c r="S304" s="811">
        <f t="shared" si="107"/>
        <v>-2</v>
      </c>
      <c r="T304" s="176">
        <f t="shared" si="108"/>
        <v>4</v>
      </c>
      <c r="U304" s="251">
        <f t="shared" si="109"/>
        <v>-1.0299175664481774</v>
      </c>
      <c r="V304" s="383">
        <f t="shared" si="110"/>
        <v>35.90618881991076</v>
      </c>
      <c r="W304" s="402">
        <f t="shared" si="111"/>
        <v>19.511452465768258</v>
      </c>
      <c r="X304" s="157">
        <f t="shared" si="112"/>
        <v>46312</v>
      </c>
      <c r="Y304" s="385">
        <f t="shared" si="113"/>
        <v>18.605746849584559</v>
      </c>
      <c r="Z304" s="385">
        <f t="shared" si="114"/>
        <v>19.892440218368289</v>
      </c>
      <c r="AA304" s="386">
        <f t="shared" si="115"/>
        <v>21.297503795385154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6.5973157723832498E-2</v>
      </c>
      <c r="AD304" s="231">
        <f>(INDEX(Models!$BJ304:$BT304,,AH304)*(1-AF304)+INDEX(Models!$BJ304:$BT304,,AH304+1)*AF304-ERP_i)*AE304*Ramure*Pc/MaxiM</f>
        <v>8.475172545002851E-4</v>
      </c>
      <c r="AE304" s="305">
        <f t="shared" si="117"/>
        <v>0.5</v>
      </c>
      <c r="AF304" s="177">
        <f t="shared" si="118"/>
        <v>0.4950699999258017</v>
      </c>
      <c r="AG304" s="811">
        <f t="shared" si="124"/>
        <v>2</v>
      </c>
      <c r="AH304" s="176">
        <f t="shared" si="119"/>
        <v>8</v>
      </c>
      <c r="AI304" s="225">
        <f t="shared" si="120"/>
        <v>2.4950699999258017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'2025'!Wh/'2025'!Env_an*'2026'!Env_an</f>
        <v>33.118831410515057</v>
      </c>
      <c r="C305" s="841"/>
      <c r="D305" s="393">
        <f t="shared" si="102"/>
        <v>35.409962809004156</v>
      </c>
      <c r="E305" s="385">
        <f t="shared" si="125"/>
        <v>36.163678217699314</v>
      </c>
      <c r="F305" s="385">
        <f t="shared" si="103"/>
        <v>36.166140158557333</v>
      </c>
      <c r="G305" s="110">
        <f t="shared" si="126"/>
        <v>0.93036419256820857</v>
      </c>
      <c r="H305" s="414" t="b">
        <f>Wh_hp&gt;='2025'!Maxi_hp</f>
        <v>0</v>
      </c>
      <c r="I305" s="390">
        <f>IF(H305,Wh_hp,'2025'!Maxi_hp)</f>
        <v>37.794322636082605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6.4703016234360478E-2</v>
      </c>
      <c r="M305" s="845"/>
      <c r="N305" s="845"/>
      <c r="O305" s="48">
        <f>IF(t&lt;Tnet,'2025'!Resal+('2025'!Salim-'2025'!Resal)*(1-EXP(('2025'!Tnet-t)/('2025'!Tau_j))),Resal+(Salim-Resal)*(1-EXP((Tnet-t)/(Tau_j))))*Salcycl</f>
        <v>2.0841779537963789E-2</v>
      </c>
      <c r="P305" s="169">
        <f>(INDEX(Models!$BJ305:$BT305,,T305)*(1-R305)+INDEX(Models!$BJ305:$BT305,,T305+1)*R305-ERP_i)*Q305*Ramure*Pc/MaxiM</f>
        <v>7.5592226891485245E-5</v>
      </c>
      <c r="Q305" s="305">
        <f t="shared" si="105"/>
        <v>0.5</v>
      </c>
      <c r="R305" s="177">
        <f t="shared" si="106"/>
        <v>0.97018198214226326</v>
      </c>
      <c r="S305" s="811">
        <f t="shared" si="107"/>
        <v>-2</v>
      </c>
      <c r="T305" s="176">
        <f t="shared" si="108"/>
        <v>4</v>
      </c>
      <c r="U305" s="251">
        <f t="shared" si="109"/>
        <v>-1.0298180178577367</v>
      </c>
      <c r="V305" s="383">
        <f t="shared" si="110"/>
        <v>35.59743875896821</v>
      </c>
      <c r="W305" s="402">
        <f t="shared" si="111"/>
        <v>33.118831410515057</v>
      </c>
      <c r="X305" s="157">
        <f t="shared" si="112"/>
        <v>46313</v>
      </c>
      <c r="Y305" s="385">
        <f t="shared" si="113"/>
        <v>31.571231825748395</v>
      </c>
      <c r="Z305" s="385">
        <f t="shared" si="114"/>
        <v>33.755301656847109</v>
      </c>
      <c r="AA305" s="386">
        <f t="shared" si="115"/>
        <v>36.139690965911285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6.5977025407141565E-2</v>
      </c>
      <c r="AD305" s="231">
        <f>(INDEX(Models!$BJ305:$BT305,,AH305)*(1-AF305)+INDEX(Models!$BJ305:$BT305,,AH305+1)*AF305-ERP_i)*AE305*Ramure*Pc/MaxiM</f>
        <v>8.1210454958173051E-4</v>
      </c>
      <c r="AE305" s="305">
        <f t="shared" si="117"/>
        <v>0.5</v>
      </c>
      <c r="AF305" s="177">
        <f t="shared" si="118"/>
        <v>0.49516954851624195</v>
      </c>
      <c r="AG305" s="811">
        <f t="shared" si="124"/>
        <v>2</v>
      </c>
      <c r="AH305" s="176">
        <f t="shared" si="119"/>
        <v>8</v>
      </c>
      <c r="AI305" s="225">
        <f t="shared" si="120"/>
        <v>2.495169548516242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'2025'!Wh/'2025'!Env_an*'2026'!Env_an</f>
        <v>15.254533808181559</v>
      </c>
      <c r="C306" s="841"/>
      <c r="D306" s="393">
        <f t="shared" si="102"/>
        <v>16.310186169446958</v>
      </c>
      <c r="E306" s="385">
        <f t="shared" si="125"/>
        <v>16.658577416736911</v>
      </c>
      <c r="F306" s="385">
        <f t="shared" si="103"/>
        <v>16.658820043936977</v>
      </c>
      <c r="G306" s="110">
        <f t="shared" si="126"/>
        <v>0.4322580522331575</v>
      </c>
      <c r="H306" s="414" t="b">
        <f>Wh_hp&gt;='2025'!Maxi_hp</f>
        <v>0</v>
      </c>
      <c r="I306" s="390">
        <f>IF(H306,Wh_hp,'2025'!Maxi_hp)</f>
        <v>37.715287299843339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6.4723501638681347E-2</v>
      </c>
      <c r="M306" s="845"/>
      <c r="N306" s="845"/>
      <c r="O306" s="48">
        <f>IF(t&lt;Tnet,'2025'!Resal+('2025'!Salim-'2025'!Resal)*(1-EXP(('2025'!Tnet-t)/('2025'!Tau_j))),Resal+(Salim-Resal)*(1-EXP((Tnet-t)/(Tau_j))))*Salcycl</f>
        <v>2.0913625369950593E-2</v>
      </c>
      <c r="P306" s="169">
        <f>(INDEX(Models!$BJ306:$BT306,,T306)*(1-R306)+INDEX(Models!$BJ306:$BT306,,T306+1)*R306-ERP_i)*Q306*Ramure*Pc/MaxiM</f>
        <v>7.7069483715654476E-5</v>
      </c>
      <c r="Q306" s="305">
        <f t="shared" si="105"/>
        <v>0.5</v>
      </c>
      <c r="R306" s="177">
        <f t="shared" si="106"/>
        <v>0.97027756002369325</v>
      </c>
      <c r="S306" s="811">
        <f t="shared" si="107"/>
        <v>-2</v>
      </c>
      <c r="T306" s="176">
        <f t="shared" si="108"/>
        <v>4</v>
      </c>
      <c r="U306" s="251">
        <f t="shared" si="109"/>
        <v>-1.0297224399763067</v>
      </c>
      <c r="V306" s="383">
        <f t="shared" si="110"/>
        <v>35.288134555120934</v>
      </c>
      <c r="W306" s="402">
        <f t="shared" si="111"/>
        <v>15.254533808181559</v>
      </c>
      <c r="X306" s="157">
        <f t="shared" si="112"/>
        <v>46314</v>
      </c>
      <c r="Y306" s="385">
        <f t="shared" si="113"/>
        <v>14.550451434738779</v>
      </c>
      <c r="Z306" s="385">
        <f t="shared" si="114"/>
        <v>15.557379513151851</v>
      </c>
      <c r="AA306" s="386">
        <f t="shared" si="115"/>
        <v>16.656367096011195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6.5980028929749412E-2</v>
      </c>
      <c r="AD306" s="231">
        <f>(INDEX(Models!$BJ306:$BT306,,AH306)*(1-AF306)+INDEX(Models!$BJ306:$BT306,,AH306+1)*AF306-ERP_i)*AE306*Ramure*Pc/MaxiM</f>
        <v>7.7916832973149504E-4</v>
      </c>
      <c r="AE306" s="305">
        <f t="shared" si="117"/>
        <v>0.5</v>
      </c>
      <c r="AF306" s="177">
        <f t="shared" si="118"/>
        <v>0.49526512639767217</v>
      </c>
      <c r="AG306" s="811">
        <f t="shared" si="124"/>
        <v>2</v>
      </c>
      <c r="AH306" s="176">
        <f t="shared" si="119"/>
        <v>8</v>
      </c>
      <c r="AI306" s="225">
        <f t="shared" si="120"/>
        <v>2.4952651263976722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'2025'!Wh/'2025'!Env_an*'2026'!Env_an</f>
        <v>6.3193361203109051</v>
      </c>
      <c r="C307" s="841"/>
      <c r="D307" s="393">
        <f t="shared" si="102"/>
        <v>6.7567981704810514</v>
      </c>
      <c r="E307" s="385">
        <f t="shared" si="125"/>
        <v>6.9016292440110156</v>
      </c>
      <c r="F307" s="385">
        <f t="shared" si="103"/>
        <v>6.9016292440110156</v>
      </c>
      <c r="G307" s="110">
        <f t="shared" si="126"/>
        <v>0.1806485135502173</v>
      </c>
      <c r="H307" s="414" t="b">
        <f>Wh_hp&gt;='2025'!Maxi_hp</f>
        <v>0</v>
      </c>
      <c r="I307" s="390">
        <f>IF(H307,Wh_hp,'2025'!Maxi_hp)</f>
        <v>31.908942257613869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6.4743986594319347E-2</v>
      </c>
      <c r="M307" s="845"/>
      <c r="N307" s="845"/>
      <c r="O307" s="48">
        <f>IF(t&lt;Tnet,'2025'!Resal+('2025'!Salim-'2025'!Resal)*(1-EXP(('2025'!Tnet-t)/('2025'!Tau_j))),Resal+(Salim-Resal)*(1-EXP((Tnet-t)/(Tau_j))))*Salcycl</f>
        <v>2.0985055616489945E-2</v>
      </c>
      <c r="P307" s="169">
        <f>(INDEX(Models!$BJ307:$BT307,,T307)*(1-R307)+INDEX(Models!$BJ307:$BT307,,T307+1)*R307-ERP_i)*Q307*Ramure*Pc/MaxiM</f>
        <v>7.7801296198934421E-5</v>
      </c>
      <c r="Q307" s="305">
        <f t="shared" si="105"/>
        <v>0.5</v>
      </c>
      <c r="R307" s="177">
        <f t="shared" si="106"/>
        <v>0.97036932413668664</v>
      </c>
      <c r="S307" s="811">
        <f t="shared" si="107"/>
        <v>-2</v>
      </c>
      <c r="T307" s="176">
        <f t="shared" si="108"/>
        <v>4</v>
      </c>
      <c r="U307" s="251">
        <f t="shared" si="109"/>
        <v>-1.0296306758633134</v>
      </c>
      <c r="V307" s="383">
        <f t="shared" si="110"/>
        <v>34.978668484936591</v>
      </c>
      <c r="W307" s="402">
        <f t="shared" si="111"/>
        <v>6.3193361203109051</v>
      </c>
      <c r="X307" s="157">
        <f t="shared" si="112"/>
        <v>46315</v>
      </c>
      <c r="Y307" s="385">
        <f t="shared" si="113"/>
        <v>6.0288889788355169</v>
      </c>
      <c r="Z307" s="385">
        <f t="shared" si="114"/>
        <v>6.446244549534268</v>
      </c>
      <c r="AA307" s="386">
        <f t="shared" si="115"/>
        <v>6.9016292440110156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6.5982201937595228E-2</v>
      </c>
      <c r="AD307" s="231">
        <f>(INDEX(Models!$BJ307:$BT307,,AH307)*(1-AF307)+INDEX(Models!$BJ307:$BT307,,AH307+1)*AF307-ERP_i)*AE307*Ramure*Pc/MaxiM</f>
        <v>7.487351741422032E-4</v>
      </c>
      <c r="AE307" s="305">
        <f t="shared" si="117"/>
        <v>0.5</v>
      </c>
      <c r="AF307" s="177">
        <f t="shared" si="118"/>
        <v>0.49535689051066534</v>
      </c>
      <c r="AG307" s="811">
        <f t="shared" si="124"/>
        <v>2</v>
      </c>
      <c r="AH307" s="176">
        <f t="shared" si="119"/>
        <v>8</v>
      </c>
      <c r="AI307" s="225">
        <f t="shared" si="120"/>
        <v>2.4953568905106653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'2025'!Wh/'2025'!Env_an*'2026'!Env_an</f>
        <v>16.004378419448543</v>
      </c>
      <c r="C308" s="841"/>
      <c r="D308" s="393">
        <f t="shared" si="102"/>
        <v>17.112671540926655</v>
      </c>
      <c r="E308" s="385">
        <f t="shared" si="125"/>
        <v>17.48074755851432</v>
      </c>
      <c r="F308" s="385">
        <f t="shared" si="103"/>
        <v>17.481061502468183</v>
      </c>
      <c r="G308" s="110">
        <f t="shared" si="126"/>
        <v>0.46160031479840963</v>
      </c>
      <c r="H308" s="414" t="b">
        <f>Wh_hp&gt;='2025'!Maxi_hp</f>
        <v>0</v>
      </c>
      <c r="I308" s="390">
        <f>IF(H308,Wh_hp,'2025'!Maxi_hp)</f>
        <v>24.59946864863414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6.4764471101284138E-2</v>
      </c>
      <c r="M308" s="845"/>
      <c r="N308" s="845"/>
      <c r="O308" s="48">
        <f>IF(t&lt;Tnet,'2025'!Resal+('2025'!Salim-'2025'!Resal)*(1-EXP(('2025'!Tnet-t)/('2025'!Tau_j))),Resal+(Salim-Resal)*(1-EXP((Tnet-t)/(Tau_j))))*Salcycl</f>
        <v>2.1056079916238261E-2</v>
      </c>
      <c r="P308" s="169">
        <f>(INDEX(Models!$BJ308:$BT308,,T308)*(1-R308)+INDEX(Models!$BJ308:$BT308,,T308+1)*R308-ERP_i)*Q308*Ramure*Pc/MaxiM</f>
        <v>7.7779644095719917E-5</v>
      </c>
      <c r="Q308" s="305">
        <f t="shared" si="105"/>
        <v>0.5</v>
      </c>
      <c r="R308" s="177">
        <f t="shared" si="106"/>
        <v>0.97045742533197199</v>
      </c>
      <c r="S308" s="811">
        <f t="shared" si="107"/>
        <v>-2</v>
      </c>
      <c r="T308" s="176">
        <f t="shared" si="108"/>
        <v>4</v>
      </c>
      <c r="U308" s="251">
        <f t="shared" si="109"/>
        <v>-1.029542574668028</v>
      </c>
      <c r="V308" s="383">
        <f t="shared" si="110"/>
        <v>34.669432620416814</v>
      </c>
      <c r="W308" s="402">
        <f t="shared" si="111"/>
        <v>16.004378419448543</v>
      </c>
      <c r="X308" s="157">
        <f t="shared" si="112"/>
        <v>46316</v>
      </c>
      <c r="Y308" s="385">
        <f t="shared" si="113"/>
        <v>15.267608645417392</v>
      </c>
      <c r="Z308" s="385">
        <f t="shared" si="114"/>
        <v>16.324880924269124</v>
      </c>
      <c r="AA308" s="386">
        <f t="shared" si="115"/>
        <v>17.478151990539338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6.5983581496170993E-2</v>
      </c>
      <c r="AD308" s="231">
        <f>(INDEX(Models!$BJ308:$BT308,,AH308)*(1-AF308)+INDEX(Models!$BJ308:$BT308,,AH308+1)*AF308-ERP_i)*AE308*Ramure*Pc/MaxiM</f>
        <v>7.2083185400726997E-4</v>
      </c>
      <c r="AE308" s="305">
        <f t="shared" si="117"/>
        <v>0.5</v>
      </c>
      <c r="AF308" s="177">
        <f t="shared" si="118"/>
        <v>0.49544499170595069</v>
      </c>
      <c r="AG308" s="811">
        <f t="shared" si="124"/>
        <v>2</v>
      </c>
      <c r="AH308" s="176">
        <f t="shared" si="119"/>
        <v>8</v>
      </c>
      <c r="AI308" s="225">
        <f t="shared" si="120"/>
        <v>2.4954449917059507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'2025'!Wh/'2025'!Env_an*'2026'!Env_an</f>
        <v>31.948605527825361</v>
      </c>
      <c r="C309" s="841"/>
      <c r="D309" s="393">
        <f t="shared" si="102"/>
        <v>34.161774560926887</v>
      </c>
      <c r="E309" s="385">
        <f t="shared" si="125"/>
        <v>34.899077214856611</v>
      </c>
      <c r="F309" s="385">
        <f t="shared" si="103"/>
        <v>34.901495011613981</v>
      </c>
      <c r="G309" s="110">
        <f t="shared" si="126"/>
        <v>0.92979038018633475</v>
      </c>
      <c r="H309" s="414" t="b">
        <f>Wh_hp&gt;='2025'!Maxi_hp</f>
        <v>0</v>
      </c>
      <c r="I309" s="390">
        <f>IF(H309,Wh_hp,'2025'!Maxi_hp)</f>
        <v>34.901633541905234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6.4784955159585711E-2</v>
      </c>
      <c r="M309" s="845"/>
      <c r="N309" s="845"/>
      <c r="O309" s="48">
        <f>IF(t&lt;Tnet,'2025'!Resal+('2025'!Salim-'2025'!Resal)*(1-EXP(('2025'!Tnet-t)/('2025'!Tau_j))),Resal+(Salim-Resal)*(1-EXP((Tnet-t)/(Tau_j))))*Salcycl</f>
        <v>2.1126709150230842E-2</v>
      </c>
      <c r="P309" s="169">
        <f>(INDEX(Models!$BJ309:$BT309,,T309)*(1-R309)+INDEX(Models!$BJ309:$BT309,,T309+1)*R309-ERP_i)*Q309*Ramure*Pc/MaxiM</f>
        <v>7.6996826606354524E-5</v>
      </c>
      <c r="Q309" s="305">
        <f t="shared" si="105"/>
        <v>0.5</v>
      </c>
      <c r="R309" s="177">
        <f t="shared" si="106"/>
        <v>0.97054200859781781</v>
      </c>
      <c r="S309" s="811">
        <f t="shared" si="107"/>
        <v>-2</v>
      </c>
      <c r="T309" s="176">
        <f t="shared" si="108"/>
        <v>4</v>
      </c>
      <c r="U309" s="251">
        <f t="shared" si="109"/>
        <v>-1.0294579914021822</v>
      </c>
      <c r="V309" s="383">
        <f t="shared" si="110"/>
        <v>34.360818831868244</v>
      </c>
      <c r="W309" s="402">
        <f t="shared" si="111"/>
        <v>31.948605527825361</v>
      </c>
      <c r="X309" s="157">
        <f t="shared" si="112"/>
        <v>46317</v>
      </c>
      <c r="Y309" s="385">
        <f t="shared" si="113"/>
        <v>30.467575487116513</v>
      </c>
      <c r="Z309" s="385">
        <f t="shared" si="114"/>
        <v>32.578149437614663</v>
      </c>
      <c r="AA309" s="386">
        <f t="shared" si="115"/>
        <v>34.879655908995815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6.598420802619126E-2</v>
      </c>
      <c r="AD309" s="231">
        <f>(INDEX(Models!$BJ309:$BT309,,AH309)*(1-AF309)+INDEX(Models!$BJ309:$BT309,,AH309+1)*AF309-ERP_i)*AE309*Ramure*Pc/MaxiM</f>
        <v>6.9548509088010967E-4</v>
      </c>
      <c r="AE309" s="305">
        <f t="shared" si="117"/>
        <v>0.5</v>
      </c>
      <c r="AF309" s="177">
        <f t="shared" si="118"/>
        <v>0.49552957497179673</v>
      </c>
      <c r="AG309" s="811">
        <f t="shared" si="124"/>
        <v>2</v>
      </c>
      <c r="AH309" s="176">
        <f t="shared" si="119"/>
        <v>8</v>
      </c>
      <c r="AI309" s="225">
        <f t="shared" si="120"/>
        <v>2.4955295749717967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'2025'!Wh/'2025'!Env_an*'2026'!Env_an</f>
        <v>16.648507810188253</v>
      </c>
      <c r="C310" s="841"/>
      <c r="D310" s="393">
        <f t="shared" si="102"/>
        <v>17.802186304717093</v>
      </c>
      <c r="E310" s="385">
        <f t="shared" si="125"/>
        <v>18.187710391271509</v>
      </c>
      <c r="F310" s="385">
        <f t="shared" si="103"/>
        <v>18.188081771180368</v>
      </c>
      <c r="G310" s="110">
        <f t="shared" si="126"/>
        <v>0.48886984164140712</v>
      </c>
      <c r="H310" s="414" t="b">
        <f>Wh_hp&gt;='2025'!Maxi_hp</f>
        <v>0</v>
      </c>
      <c r="I310" s="390">
        <f>IF(H310,Wh_hp,'2025'!Maxi_hp)</f>
        <v>37.419724893736571</v>
      </c>
      <c r="J310" s="85">
        <f>IF(H310,An,'2025'!An_max)</f>
        <v>2018</v>
      </c>
      <c r="K310" s="197">
        <f t="shared" si="104"/>
        <v>46318</v>
      </c>
      <c r="L310" s="147">
        <f>IF(t&lt;Tvie,1-EXP((T0-t)*PertePVj)+'2025'!Pspv,1-EXP((T0-t)*PertePVj)+Pspv)</f>
        <v>6.4805438769233947E-2</v>
      </c>
      <c r="M310" s="845"/>
      <c r="N310" s="845"/>
      <c r="O310" s="48">
        <f>IF(t&lt;Tnet,'2025'!Resal+('2025'!Salim-'2025'!Resal)*(1-EXP(('2025'!Tnet-t)/('2025'!Tau_j))),Resal+(Salim-Resal)*(1-EXP((Tnet-t)/(Tau_j))))*Salcycl</f>
        <v>2.1196955430928373E-2</v>
      </c>
      <c r="P310" s="169">
        <f>(INDEX(Models!$BJ310:$BT310,,T310)*(1-R310)+INDEX(Models!$BJ310:$BT310,,T310+1)*R310-ERP_i)*Q310*Ramure*Pc/MaxiM</f>
        <v>7.5666705485966619E-5</v>
      </c>
      <c r="Q310" s="305">
        <f t="shared" si="105"/>
        <v>0.5</v>
      </c>
      <c r="R310" s="177">
        <f t="shared" si="106"/>
        <v>0.97062321327963952</v>
      </c>
      <c r="S310" s="811">
        <f t="shared" si="107"/>
        <v>-2</v>
      </c>
      <c r="T310" s="176">
        <f t="shared" si="108"/>
        <v>4</v>
      </c>
      <c r="U310" s="251">
        <f t="shared" si="109"/>
        <v>-1.0293767867203605</v>
      </c>
      <c r="V310" s="383">
        <f t="shared" si="110"/>
        <v>34.053211262402343</v>
      </c>
      <c r="W310" s="402">
        <f t="shared" si="111"/>
        <v>16.648507810188253</v>
      </c>
      <c r="X310" s="157">
        <f t="shared" si="112"/>
        <v>46318</v>
      </c>
      <c r="Y310" s="385">
        <f t="shared" si="113"/>
        <v>15.884155612677544</v>
      </c>
      <c r="Z310" s="385">
        <f t="shared" si="114"/>
        <v>16.98486739676196</v>
      </c>
      <c r="AA310" s="386">
        <f t="shared" si="115"/>
        <v>18.18477378738768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6.5984125216775186E-2</v>
      </c>
      <c r="AD310" s="231">
        <f>(INDEX(Models!$BJ310:$BT310,,AH310)*(1-AF310)+INDEX(Models!$BJ310:$BT310,,AH310+1)*AF310-ERP_i)*AE310*Ramure*Pc/MaxiM</f>
        <v>6.7398432016108924E-4</v>
      </c>
      <c r="AE310" s="305">
        <f t="shared" si="117"/>
        <v>0.5</v>
      </c>
      <c r="AF310" s="177">
        <f t="shared" si="118"/>
        <v>0.49561077965361866</v>
      </c>
      <c r="AG310" s="811">
        <f t="shared" si="124"/>
        <v>2</v>
      </c>
      <c r="AH310" s="176">
        <f t="shared" si="119"/>
        <v>8</v>
      </c>
      <c r="AI310" s="225">
        <f t="shared" si="120"/>
        <v>2.4956107796536187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'2025'!Wh/'2025'!Env_an*'2026'!Env_an</f>
        <v>24.676381496535225</v>
      </c>
      <c r="C311" s="841"/>
      <c r="D311" s="393">
        <f t="shared" si="102"/>
        <v>26.386939154118032</v>
      </c>
      <c r="E311" s="385">
        <f t="shared" si="125"/>
        <v>26.960299312514945</v>
      </c>
      <c r="F311" s="385">
        <f t="shared" si="103"/>
        <v>26.961532706015451</v>
      </c>
      <c r="G311" s="110">
        <f t="shared" si="126"/>
        <v>0.73119650540075298</v>
      </c>
      <c r="H311" s="414" t="b">
        <f>Wh_hp&gt;='2025'!Maxi_hp</f>
        <v>0</v>
      </c>
      <c r="I311" s="390">
        <f>IF(H311,Wh_hp,'2025'!Maxi_hp)</f>
        <v>38.572719008292552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6.4825921930238395E-2</v>
      </c>
      <c r="M311" s="845"/>
      <c r="N311" s="845"/>
      <c r="O311" s="48">
        <f>IF(t&lt;Tnet,'2025'!Resal+('2025'!Salim-'2025'!Resal)*(1-EXP(('2025'!Tnet-t)/('2025'!Tau_j))),Resal+(Salim-Resal)*(1-EXP((Tnet-t)/(Tau_j))))*Salcycl</f>
        <v>2.1266832083379806E-2</v>
      </c>
      <c r="P311" s="169">
        <f>(INDEX(Models!$BJ311:$BT311,,T311)*(1-R311)+INDEX(Models!$BJ311:$BT311,,T311+1)*R311-ERP_i)*Q311*Ramure*Pc/MaxiM</f>
        <v>7.4260673791571091E-5</v>
      </c>
      <c r="Q311" s="305">
        <f t="shared" si="105"/>
        <v>0.5</v>
      </c>
      <c r="R311" s="177">
        <f t="shared" si="106"/>
        <v>0.97070117329203232</v>
      </c>
      <c r="S311" s="811">
        <f t="shared" si="107"/>
        <v>-2</v>
      </c>
      <c r="T311" s="176">
        <f t="shared" si="108"/>
        <v>4</v>
      </c>
      <c r="U311" s="251">
        <f t="shared" si="109"/>
        <v>-1.0292988267079677</v>
      </c>
      <c r="V311" s="383">
        <f t="shared" si="110"/>
        <v>33.746985459300362</v>
      </c>
      <c r="W311" s="402">
        <f t="shared" si="111"/>
        <v>24.676381496535225</v>
      </c>
      <c r="X311" s="157">
        <f t="shared" si="112"/>
        <v>46319</v>
      </c>
      <c r="Y311" s="385">
        <f t="shared" si="113"/>
        <v>23.54052341650295</v>
      </c>
      <c r="Z311" s="385">
        <f t="shared" si="114"/>
        <v>25.17234381120954</v>
      </c>
      <c r="AA311" s="386">
        <f t="shared" si="115"/>
        <v>26.950637997161202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6.5983379916236998E-2</v>
      </c>
      <c r="AD311" s="231">
        <f>(INDEX(Models!$BJ311:$BT311,,AH311)*(1-AF311)+INDEX(Models!$BJ311:$BT311,,AH311+1)*AF311-ERP_i)*AE311*Ramure*Pc/MaxiM</f>
        <v>6.5595320548441521E-4</v>
      </c>
      <c r="AE311" s="305">
        <f t="shared" si="117"/>
        <v>0.5</v>
      </c>
      <c r="AF311" s="177">
        <f t="shared" si="118"/>
        <v>0.49568873966601146</v>
      </c>
      <c r="AG311" s="811">
        <f t="shared" si="124"/>
        <v>2</v>
      </c>
      <c r="AH311" s="176">
        <f t="shared" si="119"/>
        <v>8</v>
      </c>
      <c r="AI311" s="225">
        <f t="shared" si="120"/>
        <v>2.4956887396660115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'2025'!Wh/'2025'!Env_an*'2026'!Env_an</f>
        <v>21.280813954488917</v>
      </c>
      <c r="C312" s="841"/>
      <c r="D312" s="393">
        <f t="shared" si="102"/>
        <v>22.75649054886642</v>
      </c>
      <c r="E312" s="385">
        <f t="shared" si="125"/>
        <v>23.25261659918036</v>
      </c>
      <c r="F312" s="385">
        <f t="shared" si="103"/>
        <v>23.253429750283829</v>
      </c>
      <c r="G312" s="110">
        <f t="shared" si="126"/>
        <v>0.63631571241430396</v>
      </c>
      <c r="H312" s="414" t="b">
        <f>Wh_hp&gt;='2025'!Maxi_hp</f>
        <v>0</v>
      </c>
      <c r="I312" s="390">
        <f>IF(H312,Wh_hp,'2025'!Maxi_hp)</f>
        <v>35.926796289859503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6.4846404642609157E-2</v>
      </c>
      <c r="M312" s="845"/>
      <c r="N312" s="845"/>
      <c r="O312" s="48">
        <f>IF(t&lt;Tnet,'2025'!Resal+('2025'!Salim-'2025'!Resal)*(1-EXP(('2025'!Tnet-t)/('2025'!Tau_j))),Resal+(Salim-Resal)*(1-EXP((Tnet-t)/(Tau_j))))*Salcycl</f>
        <v>2.1336353618432273E-2</v>
      </c>
      <c r="P312" s="169">
        <f>(INDEX(Models!$BJ312:$BT312,,T312)*(1-R312)+INDEX(Models!$BJ312:$BT312,,T312+1)*R312-ERP_i)*Q312*Ramure*Pc/MaxiM</f>
        <v>7.2778659317610314E-5</v>
      </c>
      <c r="Q312" s="305">
        <f t="shared" si="105"/>
        <v>0.5</v>
      </c>
      <c r="R312" s="177">
        <f t="shared" si="106"/>
        <v>0.97077601732344054</v>
      </c>
      <c r="S312" s="811">
        <f t="shared" si="107"/>
        <v>-2</v>
      </c>
      <c r="T312" s="176">
        <f t="shared" si="108"/>
        <v>4</v>
      </c>
      <c r="U312" s="251">
        <f t="shared" si="109"/>
        <v>-1.0292239826765595</v>
      </c>
      <c r="V312" s="383">
        <f t="shared" si="110"/>
        <v>33.44253315235747</v>
      </c>
      <c r="W312" s="402">
        <f t="shared" si="111"/>
        <v>21.280813954488917</v>
      </c>
      <c r="X312" s="157">
        <f t="shared" si="112"/>
        <v>46320</v>
      </c>
      <c r="Y312" s="385">
        <f t="shared" si="113"/>
        <v>20.304454802681104</v>
      </c>
      <c r="Z312" s="385">
        <f t="shared" si="114"/>
        <v>21.712427673361272</v>
      </c>
      <c r="AA312" s="386">
        <f t="shared" si="115"/>
        <v>23.246263117838122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6.5982022000768525E-2</v>
      </c>
      <c r="AD312" s="231">
        <f>(INDEX(Models!$BJ312:$BT312,,AH312)*(1-AF312)+INDEX(Models!$BJ312:$BT312,,AH312+1)*AF312-ERP_i)*AE312*Ramure*Pc/MaxiM</f>
        <v>6.4142801872496395E-4</v>
      </c>
      <c r="AE312" s="305">
        <f t="shared" si="117"/>
        <v>0.5</v>
      </c>
      <c r="AF312" s="177">
        <f t="shared" si="118"/>
        <v>0.49576358369741946</v>
      </c>
      <c r="AG312" s="811">
        <f t="shared" si="124"/>
        <v>2</v>
      </c>
      <c r="AH312" s="176">
        <f t="shared" si="119"/>
        <v>8</v>
      </c>
      <c r="AI312" s="225">
        <f t="shared" si="120"/>
        <v>2.4957635836974195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'2025'!Wh/'2025'!Env_an*'2026'!Env_an</f>
        <v>13.338707564805196</v>
      </c>
      <c r="C313" s="841"/>
      <c r="D313" s="393">
        <f t="shared" si="102"/>
        <v>14.263966678152974</v>
      </c>
      <c r="E313" s="385">
        <f t="shared" si="125"/>
        <v>14.575973192661333</v>
      </c>
      <c r="F313" s="385">
        <f t="shared" si="103"/>
        <v>14.57612519113812</v>
      </c>
      <c r="G313" s="110">
        <f t="shared" si="126"/>
        <v>0.40246824652083807</v>
      </c>
      <c r="H313" s="414" t="b">
        <f>Wh_hp&gt;='2025'!Maxi_hp</f>
        <v>0</v>
      </c>
      <c r="I313" s="390">
        <f>IF(H313,Wh_hp,'2025'!Maxi_hp)</f>
        <v>37.208706699200022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6.4866886906355892E-2</v>
      </c>
      <c r="M313" s="845"/>
      <c r="N313" s="845"/>
      <c r="O313" s="48">
        <f>IF(t&lt;Tnet,'2025'!Resal+('2025'!Salim-'2025'!Resal)*(1-EXP(('2025'!Tnet-t)/('2025'!Tau_j))),Resal+(Salim-Resal)*(1-EXP((Tnet-t)/(Tau_j))))*Salcycl</f>
        <v>2.1405535697983265E-2</v>
      </c>
      <c r="P313" s="169">
        <f>(INDEX(Models!$BJ313:$BT313,,T313)*(1-R313)+INDEX(Models!$BJ313:$BT313,,T313+1)*R313-ERP_i)*Q313*Ramure*Pc/MaxiM</f>
        <v>7.12200358251804E-5</v>
      </c>
      <c r="Q313" s="305">
        <f t="shared" si="105"/>
        <v>0.5</v>
      </c>
      <c r="R313" s="177">
        <f t="shared" si="106"/>
        <v>0.97084786903366993</v>
      </c>
      <c r="S313" s="811">
        <f t="shared" si="107"/>
        <v>-2</v>
      </c>
      <c r="T313" s="176">
        <f t="shared" si="108"/>
        <v>4</v>
      </c>
      <c r="U313" s="251">
        <f t="shared" si="109"/>
        <v>-1.0291521309663301</v>
      </c>
      <c r="V313" s="383">
        <f t="shared" si="110"/>
        <v>33.140245928020029</v>
      </c>
      <c r="W313" s="402">
        <f t="shared" si="111"/>
        <v>13.338707564805196</v>
      </c>
      <c r="X313" s="157">
        <f t="shared" si="112"/>
        <v>46321</v>
      </c>
      <c r="Y313" s="385">
        <f t="shared" si="113"/>
        <v>12.730092582267332</v>
      </c>
      <c r="Z313" s="385">
        <f t="shared" si="114"/>
        <v>13.613134220168014</v>
      </c>
      <c r="AA313" s="386">
        <f t="shared" si="115"/>
        <v>14.574779704046147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6.598010422148394E-2</v>
      </c>
      <c r="AD313" s="231">
        <f>(INDEX(Models!$BJ313:$BT313,,AH313)*(1-AF313)+INDEX(Models!$BJ313:$BT313,,AH313+1)*AF313-ERP_i)*AE313*Ramure*Pc/MaxiM</f>
        <v>6.3043815253032798E-4</v>
      </c>
      <c r="AE313" s="305">
        <f t="shared" si="117"/>
        <v>0.5</v>
      </c>
      <c r="AF313" s="177">
        <f t="shared" si="118"/>
        <v>0.49583543540764907</v>
      </c>
      <c r="AG313" s="811">
        <f t="shared" si="124"/>
        <v>2</v>
      </c>
      <c r="AH313" s="176">
        <f t="shared" si="119"/>
        <v>8</v>
      </c>
      <c r="AI313" s="225">
        <f t="shared" si="120"/>
        <v>2.4958354354076491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'2025'!Wh/'2025'!Env_an*'2026'!Env_an</f>
        <v>14.246536955680662</v>
      </c>
      <c r="C314" s="841"/>
      <c r="D314" s="393">
        <f t="shared" si="102"/>
        <v>15.235102680842211</v>
      </c>
      <c r="E314" s="385">
        <f t="shared" si="125"/>
        <v>15.569447140097912</v>
      </c>
      <c r="F314" s="385">
        <f t="shared" si="103"/>
        <v>15.569654239977796</v>
      </c>
      <c r="G314" s="110">
        <f t="shared" si="126"/>
        <v>0.4337853720630041</v>
      </c>
      <c r="H314" s="414" t="b">
        <f>Wh_hp&gt;='2025'!Maxi_hp</f>
        <v>0</v>
      </c>
      <c r="I314" s="390">
        <f>IF(H314,Wh_hp,'2025'!Maxi_hp)</f>
        <v>29.570719829876996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6.4887368721488592E-2</v>
      </c>
      <c r="M314" s="845"/>
      <c r="N314" s="845"/>
      <c r="O314" s="48">
        <f>IF(t&lt;Tnet,'2025'!Resal+('2025'!Salim-'2025'!Resal)*(1-EXP(('2025'!Tnet-t)/('2025'!Tau_j))),Resal+(Salim-Resal)*(1-EXP((Tnet-t)/(Tau_j))))*Salcycl</f>
        <v>2.1474395092335809E-2</v>
      </c>
      <c r="P314" s="169">
        <f>(INDEX(Models!$BJ314:$BT314,,T314)*(1-R314)+INDEX(Models!$BJ314:$BT314,,T314+1)*R314-ERP_i)*Q314*Ramure*Pc/MaxiM</f>
        <v>6.9584263504529303E-5</v>
      </c>
      <c r="Q314" s="305">
        <f t="shared" si="105"/>
        <v>0.5</v>
      </c>
      <c r="R314" s="177">
        <f t="shared" si="106"/>
        <v>0.97091684724444738</v>
      </c>
      <c r="S314" s="811">
        <f t="shared" si="107"/>
        <v>-2</v>
      </c>
      <c r="T314" s="176">
        <f t="shared" si="108"/>
        <v>4</v>
      </c>
      <c r="U314" s="251">
        <f t="shared" si="109"/>
        <v>-1.0290831527555526</v>
      </c>
      <c r="V314" s="383">
        <f t="shared" si="110"/>
        <v>32.840515213567564</v>
      </c>
      <c r="W314" s="402">
        <f t="shared" si="111"/>
        <v>14.246536955680662</v>
      </c>
      <c r="X314" s="157">
        <f t="shared" si="112"/>
        <v>46322</v>
      </c>
      <c r="Y314" s="385">
        <f t="shared" si="113"/>
        <v>13.59716665825507</v>
      </c>
      <c r="Z314" s="385">
        <f t="shared" si="114"/>
        <v>14.540672645673338</v>
      </c>
      <c r="AA314" s="386">
        <f t="shared" si="115"/>
        <v>15.56780000426917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6.5977682030483556E-2</v>
      </c>
      <c r="AD314" s="231">
        <f>(INDEX(Models!$BJ314:$BT314,,AH314)*(1-AF314)+INDEX(Models!$BJ314:$BT314,,AH314+1)*AF314-ERP_i)*AE314*Ramure*Pc/MaxiM</f>
        <v>6.2301159335115546E-4</v>
      </c>
      <c r="AE314" s="305">
        <f t="shared" si="117"/>
        <v>0.5</v>
      </c>
      <c r="AF314" s="177">
        <f t="shared" si="118"/>
        <v>0.49590441361842608</v>
      </c>
      <c r="AG314" s="811">
        <f t="shared" si="124"/>
        <v>2</v>
      </c>
      <c r="AH314" s="176">
        <f t="shared" si="119"/>
        <v>8</v>
      </c>
      <c r="AI314" s="225">
        <f t="shared" si="120"/>
        <v>2.4959044136184261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'2025'!Wh/'2025'!Env_an*'2026'!Env_an</f>
        <v>16.822525936826629</v>
      </c>
      <c r="C315" s="841"/>
      <c r="D315" s="393">
        <f t="shared" si="102"/>
        <v>17.990233303113573</v>
      </c>
      <c r="E315" s="385">
        <f t="shared" si="125"/>
        <v>18.386329064016316</v>
      </c>
      <c r="F315" s="385">
        <f t="shared" si="103"/>
        <v>18.386715778552908</v>
      </c>
      <c r="G315" s="110">
        <f t="shared" si="126"/>
        <v>0.51689639745979199</v>
      </c>
      <c r="H315" s="414" t="b">
        <f>Wh_hp&gt;='2025'!Maxi_hp</f>
        <v>0</v>
      </c>
      <c r="I315" s="390">
        <f>IF(H315,Wh_hp,'2025'!Maxi_hp)</f>
        <v>24.903019933810778</v>
      </c>
      <c r="J315" s="85">
        <f>IF(H315,An,'2025'!An_max)</f>
        <v>2020</v>
      </c>
      <c r="K315" s="197">
        <f t="shared" si="104"/>
        <v>46323</v>
      </c>
      <c r="L315" s="147">
        <f>IF(t&lt;Tvie,1-EXP((T0-t)*PertePVj)+'2025'!Pspv,1-EXP((T0-t)*PertePVj)+Pspv)</f>
        <v>6.4907850088016805E-2</v>
      </c>
      <c r="M315" s="845"/>
      <c r="N315" s="845"/>
      <c r="O315" s="48">
        <f>IF(t&lt;Tnet,'2025'!Resal+('2025'!Salim-'2025'!Resal)*(1-EXP(('2025'!Tnet-t)/('2025'!Tau_j))),Resal+(Salim-Resal)*(1-EXP((Tnet-t)/(Tau_j))))*Salcycl</f>
        <v>2.1542949629784279E-2</v>
      </c>
      <c r="P315" s="169">
        <f>(INDEX(Models!$BJ315:$BT315,,T315)*(1-R315)+INDEX(Models!$BJ315:$BT315,,T315+1)*R315-ERP_i)*Q315*Ramure*Pc/MaxiM</f>
        <v>6.7870892164200683E-5</v>
      </c>
      <c r="Q315" s="305">
        <f t="shared" si="105"/>
        <v>0.5</v>
      </c>
      <c r="R315" s="177">
        <f t="shared" si="106"/>
        <v>0.97098306612322949</v>
      </c>
      <c r="S315" s="811">
        <f t="shared" si="107"/>
        <v>-2</v>
      </c>
      <c r="T315" s="176">
        <f t="shared" si="108"/>
        <v>4</v>
      </c>
      <c r="U315" s="251">
        <f t="shared" si="109"/>
        <v>-1.0290169338767705</v>
      </c>
      <c r="V315" s="383">
        <f t="shared" si="110"/>
        <v>32.543732282015284</v>
      </c>
      <c r="W315" s="402">
        <f t="shared" si="111"/>
        <v>16.822525936826629</v>
      </c>
      <c r="X315" s="157">
        <f t="shared" si="112"/>
        <v>46323</v>
      </c>
      <c r="Y315" s="385">
        <f t="shared" si="113"/>
        <v>16.055869277037704</v>
      </c>
      <c r="Z315" s="385">
        <f t="shared" si="114"/>
        <v>17.170360459714033</v>
      </c>
      <c r="AA315" s="386">
        <f t="shared" si="115"/>
        <v>18.383187847400297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6.5974813386774911E-2</v>
      </c>
      <c r="AD315" s="231">
        <f>(INDEX(Models!$BJ315:$BT315,,AH315)*(1-AF315)+INDEX(Models!$BJ315:$BT315,,AH315+1)*AF315-ERP_i)*AE315*Ramure*Pc/MaxiM</f>
        <v>6.1917464218547494E-4</v>
      </c>
      <c r="AE315" s="305">
        <f t="shared" si="117"/>
        <v>0.5</v>
      </c>
      <c r="AF315" s="177">
        <f t="shared" si="118"/>
        <v>0.49597063249720819</v>
      </c>
      <c r="AG315" s="811">
        <f t="shared" si="124"/>
        <v>2</v>
      </c>
      <c r="AH315" s="176">
        <f t="shared" si="119"/>
        <v>8</v>
      </c>
      <c r="AI315" s="225">
        <f t="shared" si="120"/>
        <v>2.4959706324972082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'2025'!Wh/'2025'!Env_an*'2026'!Env_an</f>
        <v>26.415537820219964</v>
      </c>
      <c r="C316" s="841"/>
      <c r="D316" s="393">
        <f t="shared" si="102"/>
        <v>28.24974672651329</v>
      </c>
      <c r="E316" s="385">
        <f t="shared" si="125"/>
        <v>28.873743495677051</v>
      </c>
      <c r="F316" s="385">
        <f t="shared" si="103"/>
        <v>28.875158399984276</v>
      </c>
      <c r="G316" s="110">
        <f t="shared" si="126"/>
        <v>0.81906513340645137</v>
      </c>
      <c r="H316" s="414" t="b">
        <f>Wh_hp&gt;='2025'!Maxi_hp</f>
        <v>0</v>
      </c>
      <c r="I316" s="390">
        <f>IF(H316,Wh_hp,'2025'!Maxi_hp)</f>
        <v>29.923980500554308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6.4928331005950635E-2</v>
      </c>
      <c r="M316" s="845"/>
      <c r="N316" s="845"/>
      <c r="O316" s="48">
        <f>IF(t&lt;Tnet,'2025'!Resal+('2025'!Salim-'2025'!Resal)*(1-EXP(('2025'!Tnet-t)/('2025'!Tau_j))),Resal+(Salim-Resal)*(1-EXP((Tnet-t)/(Tau_j))))*Salcycl</f>
        <v>2.1611218138624353E-2</v>
      </c>
      <c r="P316" s="169">
        <f>(INDEX(Models!$BJ316:$BT316,,T316)*(1-R316)+INDEX(Models!$BJ316:$BT316,,T316+1)*R316-ERP_i)*Q316*Ramure*Pc/MaxiM</f>
        <v>6.6079564358956786E-5</v>
      </c>
      <c r="Q316" s="305">
        <f t="shared" si="105"/>
        <v>0.5</v>
      </c>
      <c r="R316" s="177">
        <f t="shared" si="106"/>
        <v>0.97104663536046565</v>
      </c>
      <c r="S316" s="811">
        <f t="shared" si="107"/>
        <v>-2</v>
      </c>
      <c r="T316" s="176">
        <f t="shared" si="108"/>
        <v>4</v>
      </c>
      <c r="U316" s="251">
        <f t="shared" si="109"/>
        <v>-1.0289533646395344</v>
      </c>
      <c r="V316" s="383">
        <f t="shared" si="110"/>
        <v>32.250288254958924</v>
      </c>
      <c r="W316" s="402">
        <f t="shared" si="111"/>
        <v>26.415537820219964</v>
      </c>
      <c r="X316" s="157">
        <f t="shared" si="112"/>
        <v>46324</v>
      </c>
      <c r="Y316" s="385">
        <f t="shared" si="113"/>
        <v>25.207512861460444</v>
      </c>
      <c r="Z316" s="385">
        <f t="shared" si="114"/>
        <v>26.957840449362241</v>
      </c>
      <c r="AA316" s="386">
        <f t="shared" si="115"/>
        <v>28.861905326257926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6.5971558543067077E-2</v>
      </c>
      <c r="AD316" s="231">
        <f>(INDEX(Models!$BJ316:$BT316,,AH316)*(1-AF316)+INDEX(Models!$BJ316:$BT316,,AH316+1)*AF316-ERP_i)*AE316*Ramure*Pc/MaxiM</f>
        <v>6.1895163777638419E-4</v>
      </c>
      <c r="AE316" s="305">
        <f t="shared" si="117"/>
        <v>0.5</v>
      </c>
      <c r="AF316" s="177">
        <f t="shared" si="118"/>
        <v>0.49603420173444457</v>
      </c>
      <c r="AG316" s="811">
        <f t="shared" si="124"/>
        <v>2</v>
      </c>
      <c r="AH316" s="176">
        <f t="shared" si="119"/>
        <v>8</v>
      </c>
      <c r="AI316" s="225">
        <f t="shared" si="120"/>
        <v>2.4960342017344446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'2025'!Wh/'2025'!Env_an*'2026'!Env_an</f>
        <v>21.850532503208928</v>
      </c>
      <c r="C317" s="841"/>
      <c r="D317" s="393">
        <f t="shared" si="102"/>
        <v>23.368274134471868</v>
      </c>
      <c r="E317" s="385">
        <f t="shared" si="125"/>
        <v>23.88610629694762</v>
      </c>
      <c r="F317" s="385">
        <f t="shared" si="103"/>
        <v>23.886947099853252</v>
      </c>
      <c r="G317" s="110">
        <f t="shared" si="126"/>
        <v>0.68369084457798346</v>
      </c>
      <c r="H317" s="414" t="b">
        <f>Wh_hp&gt;='2025'!Maxi_hp</f>
        <v>0</v>
      </c>
      <c r="I317" s="390">
        <f>IF(H317,Wh_hp,'2025'!Maxi_hp)</f>
        <v>33.09982659368044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6.494881147529985E-2</v>
      </c>
      <c r="M317" s="845"/>
      <c r="N317" s="845"/>
      <c r="O317" s="48">
        <f>IF(t&lt;Tnet,'2025'!Resal+('2025'!Salim-'2025'!Resal)*(1-EXP(('2025'!Tnet-t)/('2025'!Tau_j))),Resal+(Salim-Resal)*(1-EXP((Tnet-t)/(Tau_j))))*Salcycl</f>
        <v>2.1679220381847077E-2</v>
      </c>
      <c r="P317" s="169">
        <f>(INDEX(Models!$BJ317:$BT317,,T317)*(1-R317)+INDEX(Models!$BJ317:$BT317,,T317+1)*R317-ERP_i)*Q317*Ramure*Pc/MaxiM</f>
        <v>6.4213701620227266E-5</v>
      </c>
      <c r="Q317" s="305">
        <f t="shared" si="105"/>
        <v>0.5</v>
      </c>
      <c r="R317" s="177">
        <f t="shared" si="106"/>
        <v>0.97110766034050822</v>
      </c>
      <c r="S317" s="811">
        <f t="shared" si="107"/>
        <v>-2</v>
      </c>
      <c r="T317" s="176">
        <f t="shared" si="108"/>
        <v>4</v>
      </c>
      <c r="U317" s="251">
        <f t="shared" si="109"/>
        <v>-1.0288923396594918</v>
      </c>
      <c r="V317" s="383">
        <f t="shared" si="110"/>
        <v>31.958740815697499</v>
      </c>
      <c r="W317" s="402">
        <f t="shared" si="111"/>
        <v>21.850532503208928</v>
      </c>
      <c r="X317" s="157">
        <f t="shared" si="112"/>
        <v>46325</v>
      </c>
      <c r="Y317" s="385">
        <f t="shared" si="113"/>
        <v>20.854971658452907</v>
      </c>
      <c r="Z317" s="385">
        <f t="shared" si="114"/>
        <v>22.303561467428697</v>
      </c>
      <c r="AA317" s="386">
        <f t="shared" si="115"/>
        <v>23.878797498828973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6.5967979814625433E-2</v>
      </c>
      <c r="AD317" s="231">
        <f>(INDEX(Models!$BJ317:$BT317,,AH317)*(1-AF317)+INDEX(Models!$BJ317:$BT317,,AH317+1)*AF317-ERP_i)*AE317*Ramure*Pc/MaxiM</f>
        <v>6.2240038062476408E-4</v>
      </c>
      <c r="AE317" s="305">
        <f t="shared" si="117"/>
        <v>0.5</v>
      </c>
      <c r="AF317" s="177">
        <f t="shared" si="118"/>
        <v>0.49609522671448714</v>
      </c>
      <c r="AG317" s="811">
        <f t="shared" si="124"/>
        <v>2</v>
      </c>
      <c r="AH317" s="176">
        <f t="shared" si="119"/>
        <v>8</v>
      </c>
      <c r="AI317" s="225">
        <f t="shared" si="120"/>
        <v>2.4960952267144871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'2025'!Wh/'2025'!Env_an*'2026'!Env_an</f>
        <v>21.330985200358889</v>
      </c>
      <c r="C318" s="841"/>
      <c r="D318" s="393">
        <f t="shared" si="102"/>
        <v>22.813138655615958</v>
      </c>
      <c r="E318" s="385">
        <f t="shared" si="125"/>
        <v>23.320284342492087</v>
      </c>
      <c r="F318" s="385">
        <f t="shared" si="103"/>
        <v>23.321061465789107</v>
      </c>
      <c r="G318" s="110">
        <f t="shared" si="126"/>
        <v>0.67356967754583452</v>
      </c>
      <c r="H318" s="414" t="b">
        <f>Wh_hp&gt;='2025'!Maxi_hp</f>
        <v>0</v>
      </c>
      <c r="I318" s="390">
        <f>IF(H318,Wh_hp,'2025'!Maxi_hp)</f>
        <v>33.51042975379562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6.4969291496074111E-2</v>
      </c>
      <c r="M318" s="845"/>
      <c r="N318" s="845"/>
      <c r="O318" s="48">
        <f>IF(t&lt;Tnet,'2025'!Resal+('2025'!Salim-'2025'!Resal)*(1-EXP(('2025'!Tnet-t)/('2025'!Tau_j))),Resal+(Salim-Resal)*(1-EXP((Tnet-t)/(Tau_j))))*Salcycl</f>
        <v>2.1746976984841262E-2</v>
      </c>
      <c r="P318" s="169">
        <f>(INDEX(Models!$BJ318:$BT318,,T318)*(1-R318)+INDEX(Models!$BJ318:$BT318,,T318+1)*R318-ERP_i)*Q318*Ramure*Pc/MaxiM</f>
        <v>6.2437461561152822E-5</v>
      </c>
      <c r="Q318" s="305">
        <f t="shared" si="105"/>
        <v>0.5</v>
      </c>
      <c r="R318" s="177">
        <f t="shared" si="106"/>
        <v>0.97116624230636917</v>
      </c>
      <c r="S318" s="811">
        <f t="shared" si="107"/>
        <v>-2</v>
      </c>
      <c r="T318" s="176">
        <f t="shared" si="108"/>
        <v>4</v>
      </c>
      <c r="U318" s="251">
        <f t="shared" si="109"/>
        <v>-1.0288337576936308</v>
      </c>
      <c r="V318" s="383">
        <f t="shared" si="110"/>
        <v>31.667643076179441</v>
      </c>
      <c r="W318" s="402">
        <f t="shared" si="111"/>
        <v>21.330985200358889</v>
      </c>
      <c r="X318" s="157">
        <f t="shared" si="112"/>
        <v>46326</v>
      </c>
      <c r="Y318" s="385">
        <f t="shared" si="113"/>
        <v>20.360650626504704</v>
      </c>
      <c r="Z318" s="385">
        <f t="shared" si="114"/>
        <v>21.775381750918417</v>
      </c>
      <c r="AA318" s="386">
        <f t="shared" si="115"/>
        <v>23.313218169119107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6.5964141331535359E-2</v>
      </c>
      <c r="AD318" s="231">
        <f>(INDEX(Models!$BJ318:$BT318,,AH318)*(1-AF318)+INDEX(Models!$BJ318:$BT318,,AH318+1)*AF318-ERP_i)*AE318*Ramure*Pc/MaxiM</f>
        <v>6.3016452630311015E-4</v>
      </c>
      <c r="AE318" s="305">
        <f t="shared" si="117"/>
        <v>0.5</v>
      </c>
      <c r="AF318" s="177">
        <f t="shared" si="118"/>
        <v>0.49615380868034809</v>
      </c>
      <c r="AG318" s="811">
        <f t="shared" si="124"/>
        <v>2</v>
      </c>
      <c r="AH318" s="176">
        <f t="shared" si="119"/>
        <v>8</v>
      </c>
      <c r="AI318" s="225">
        <f t="shared" si="120"/>
        <v>2.4961538086803481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'2025'!Wh/'2025'!Env_an*'2026'!Env_an</f>
        <v>22.689585877217727</v>
      </c>
      <c r="C319" s="841"/>
      <c r="D319" s="393">
        <f t="shared" si="102"/>
        <v>24.266671288870722</v>
      </c>
      <c r="E319" s="385">
        <f t="shared" si="125"/>
        <v>24.80784219453782</v>
      </c>
      <c r="F319" s="385">
        <f t="shared" si="103"/>
        <v>24.808757530372837</v>
      </c>
      <c r="G319" s="110">
        <f t="shared" si="126"/>
        <v>0.72310178975677042</v>
      </c>
      <c r="H319" s="414" t="b">
        <f>Wh_hp&gt;='2025'!Maxi_hp</f>
        <v>0</v>
      </c>
      <c r="I319" s="390">
        <f>IF(H319,Wh_hp,'2025'!Maxi_hp)</f>
        <v>32.377451552901285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6.4989771068283408E-2</v>
      </c>
      <c r="M319" s="845"/>
      <c r="N319" s="845"/>
      <c r="O319" s="48">
        <f>IF(t&lt;Tnet,'2025'!Resal+('2025'!Salim-'2025'!Resal)*(1-EXP(('2025'!Tnet-t)/('2025'!Tau_j))),Resal+(Salim-Resal)*(1-EXP((Tnet-t)/(Tau_j))))*Salcycl</f>
        <v>2.1814509356491041E-2</v>
      </c>
      <c r="P319" s="169">
        <f>(INDEX(Models!$BJ319:$BT319,,T319)*(1-R319)+INDEX(Models!$BJ319:$BT319,,T319+1)*R319-ERP_i)*Q319*Ramure*Pc/MaxiM</f>
        <v>6.1039463420048954E-5</v>
      </c>
      <c r="Q319" s="305">
        <f t="shared" si="105"/>
        <v>0.5</v>
      </c>
      <c r="R319" s="177">
        <f t="shared" si="106"/>
        <v>0.97122247851851085</v>
      </c>
      <c r="S319" s="811">
        <f t="shared" si="107"/>
        <v>-2</v>
      </c>
      <c r="T319" s="176">
        <f t="shared" si="108"/>
        <v>4</v>
      </c>
      <c r="U319" s="251">
        <f t="shared" si="109"/>
        <v>-1.0287775214814892</v>
      </c>
      <c r="V319" s="383">
        <f t="shared" si="110"/>
        <v>31.377377799131089</v>
      </c>
      <c r="W319" s="402">
        <f t="shared" si="111"/>
        <v>22.689585877217727</v>
      </c>
      <c r="X319" s="157">
        <f t="shared" si="112"/>
        <v>46327</v>
      </c>
      <c r="Y319" s="385">
        <f t="shared" si="113"/>
        <v>21.65802272612931</v>
      </c>
      <c r="Z319" s="385">
        <f t="shared" si="114"/>
        <v>23.163407261195843</v>
      </c>
      <c r="AA319" s="386">
        <f t="shared" si="115"/>
        <v>24.79916273258802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6.5960108775876783E-2</v>
      </c>
      <c r="AD319" s="231">
        <f>(INDEX(Models!$BJ319:$BT319,,AH319)*(1-AF319)+INDEX(Models!$BJ319:$BT319,,AH319+1)*AF319-ERP_i)*AE319*Ramure*Pc/MaxiM</f>
        <v>6.3983216433240837E-4</v>
      </c>
      <c r="AE319" s="305">
        <f t="shared" si="117"/>
        <v>0.5</v>
      </c>
      <c r="AF319" s="177">
        <f t="shared" si="118"/>
        <v>0.49621004489248977</v>
      </c>
      <c r="AG319" s="811">
        <f t="shared" si="124"/>
        <v>2</v>
      </c>
      <c r="AH319" s="176">
        <f t="shared" si="119"/>
        <v>8</v>
      </c>
      <c r="AI319" s="225">
        <f t="shared" si="120"/>
        <v>2.4962100448924898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'2025'!Wh/'2025'!Env_an*'2026'!Env_an</f>
        <v>27.268470180326261</v>
      </c>
      <c r="C320" s="841"/>
      <c r="D320" s="393">
        <f t="shared" si="102"/>
        <v>29.164458953613146</v>
      </c>
      <c r="E320" s="385">
        <f t="shared" si="125"/>
        <v>29.816907746410838</v>
      </c>
      <c r="F320" s="385">
        <f t="shared" si="103"/>
        <v>29.818383353813864</v>
      </c>
      <c r="G320" s="110">
        <f t="shared" si="126"/>
        <v>0.87711938446895132</v>
      </c>
      <c r="H320" s="414" t="b">
        <f>Wh_hp&gt;='2025'!Maxi_hp</f>
        <v>0</v>
      </c>
      <c r="I320" s="390">
        <f>IF(H320,Wh_hp,'2025'!Maxi_hp)</f>
        <v>29.818544719634914</v>
      </c>
      <c r="J320" s="85">
        <f>IF(H320,An,'2025'!An_max)</f>
        <v>2025</v>
      </c>
      <c r="K320" s="197">
        <f t="shared" si="104"/>
        <v>46328</v>
      </c>
      <c r="L320" s="147">
        <f>IF(t&lt;Tvie,1-EXP((T0-t)*PertePVj)+'2025'!Pspv,1-EXP((T0-t)*PertePVj)+Pspv)</f>
        <v>6.5010250191937513E-2</v>
      </c>
      <c r="M320" s="845"/>
      <c r="N320" s="845"/>
      <c r="O320" s="48">
        <f>IF(t&lt;Tnet,'2025'!Resal+('2025'!Salim-'2025'!Resal)*(1-EXP(('2025'!Tnet-t)/('2025'!Tau_j))),Resal+(Salim-Resal)*(1-EXP((Tnet-t)/(Tau_j))))*Salcycl</f>
        <v>2.1881839604116143E-2</v>
      </c>
      <c r="P320" s="169">
        <f>(INDEX(Models!$BJ320:$BT320,,T320)*(1-R320)+INDEX(Models!$BJ320:$BT320,,T320+1)*R320-ERP_i)*Q320*Ramure*Pc/MaxiM</f>
        <v>6.0022233952148801E-5</v>
      </c>
      <c r="Q320" s="305">
        <f t="shared" si="105"/>
        <v>0.5</v>
      </c>
      <c r="R320" s="177">
        <f t="shared" si="106"/>
        <v>0.97127646240786492</v>
      </c>
      <c r="S320" s="811">
        <f t="shared" si="107"/>
        <v>-2</v>
      </c>
      <c r="T320" s="176">
        <f t="shared" si="108"/>
        <v>4</v>
      </c>
      <c r="U320" s="251">
        <f t="shared" si="109"/>
        <v>-1.0287235375921351</v>
      </c>
      <c r="V320" s="383">
        <f t="shared" si="110"/>
        <v>31.088336839400768</v>
      </c>
      <c r="W320" s="402">
        <f t="shared" si="111"/>
        <v>27.268470180326261</v>
      </c>
      <c r="X320" s="157">
        <f t="shared" si="112"/>
        <v>46328</v>
      </c>
      <c r="Y320" s="385">
        <f t="shared" si="113"/>
        <v>26.027052780992509</v>
      </c>
      <c r="Z320" s="385">
        <f t="shared" si="114"/>
        <v>27.836725254298692</v>
      </c>
      <c r="AA320" s="386">
        <f t="shared" si="115"/>
        <v>29.802368772264042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6.5955949105451689E-2</v>
      </c>
      <c r="AD320" s="231">
        <f>(INDEX(Models!$BJ320:$BT320,,AH320)*(1-AF320)+INDEX(Models!$BJ320:$BT320,,AH320+1)*AF320-ERP_i)*AE320*Ramure*Pc/MaxiM</f>
        <v>6.5141375575791154E-4</v>
      </c>
      <c r="AE320" s="305">
        <f t="shared" si="117"/>
        <v>0.5</v>
      </c>
      <c r="AF320" s="177">
        <f t="shared" si="118"/>
        <v>0.49626402878184406</v>
      </c>
      <c r="AG320" s="811">
        <f t="shared" si="124"/>
        <v>2</v>
      </c>
      <c r="AH320" s="176">
        <f t="shared" si="119"/>
        <v>8</v>
      </c>
      <c r="AI320" s="225">
        <f t="shared" si="120"/>
        <v>2.4962640287818441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'2025'!Wh/'2025'!Env_an*'2026'!Env_an</f>
        <v>9.3630415759982668</v>
      </c>
      <c r="C321" s="841"/>
      <c r="D321" s="393">
        <f t="shared" si="102"/>
        <v>10.014277329834117</v>
      </c>
      <c r="E321" s="385">
        <f t="shared" si="125"/>
        <v>10.239013335682293</v>
      </c>
      <c r="F321" s="385">
        <f t="shared" si="103"/>
        <v>10.239016798125315</v>
      </c>
      <c r="G321" s="110">
        <f t="shared" si="126"/>
        <v>0.30396790562686393</v>
      </c>
      <c r="H321" s="414" t="b">
        <f>Wh_hp&gt;='2025'!Maxi_hp</f>
        <v>0</v>
      </c>
      <c r="I321" s="390">
        <f>IF(H321,Wh_hp,'2025'!Maxi_hp)</f>
        <v>30.00122544451607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6.5030728867046195E-2</v>
      </c>
      <c r="M321" s="845"/>
      <c r="N321" s="845"/>
      <c r="O321" s="48">
        <f>IF(t&lt;Tnet,'2025'!Resal+('2025'!Salim-'2025'!Resal)*(1-EXP(('2025'!Tnet-t)/('2025'!Tau_j))),Resal+(Salim-Resal)*(1-EXP((Tnet-t)/(Tau_j))))*Salcycl</f>
        <v>2.1948990442759227E-2</v>
      </c>
      <c r="P321" s="169">
        <f>(INDEX(Models!$BJ321:$BT321,,T321)*(1-R321)+INDEX(Models!$BJ321:$BT321,,T321+1)*R321-ERP_i)*Q321*Ramure*Pc/MaxiM</f>
        <v>5.9388288742093225E-5</v>
      </c>
      <c r="Q321" s="305">
        <f t="shared" si="105"/>
        <v>0.5</v>
      </c>
      <c r="R321" s="177">
        <f t="shared" si="106"/>
        <v>0.97132828372325819</v>
      </c>
      <c r="S321" s="811">
        <f t="shared" si="107"/>
        <v>-2</v>
      </c>
      <c r="T321" s="176">
        <f t="shared" si="108"/>
        <v>4</v>
      </c>
      <c r="U321" s="251">
        <f t="shared" si="109"/>
        <v>-1.0286717162767418</v>
      </c>
      <c r="V321" s="383">
        <f t="shared" si="110"/>
        <v>30.800911917685781</v>
      </c>
      <c r="W321" s="402">
        <f t="shared" si="111"/>
        <v>9.3630415759982668</v>
      </c>
      <c r="X321" s="157">
        <f t="shared" si="112"/>
        <v>46329</v>
      </c>
      <c r="Y321" s="385">
        <f t="shared" si="113"/>
        <v>8.9417653516440474</v>
      </c>
      <c r="Z321" s="385">
        <f t="shared" si="114"/>
        <v>9.5636997147604834</v>
      </c>
      <c r="AA321" s="386">
        <f t="shared" si="115"/>
        <v>10.238978032133572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6.5951730265835423E-2</v>
      </c>
      <c r="AD321" s="231">
        <f>(INDEX(Models!$BJ321:$BT321,,AH321)*(1-AF321)+INDEX(Models!$BJ321:$BT321,,AH321+1)*AF321-ERP_i)*AE321*Ramure*Pc/MaxiM</f>
        <v>6.6491950808097999E-4</v>
      </c>
      <c r="AE321" s="305">
        <f t="shared" si="117"/>
        <v>0.5</v>
      </c>
      <c r="AF321" s="177">
        <f t="shared" si="118"/>
        <v>0.49631585009723711</v>
      </c>
      <c r="AG321" s="811">
        <f t="shared" si="124"/>
        <v>2</v>
      </c>
      <c r="AH321" s="176">
        <f t="shared" si="119"/>
        <v>8</v>
      </c>
      <c r="AI321" s="225">
        <f t="shared" si="120"/>
        <v>2.4963158500972371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'2025'!Wh/'2025'!Env_an*'2026'!Env_an</f>
        <v>16.420426254159114</v>
      </c>
      <c r="C322" s="841"/>
      <c r="D322" s="393">
        <f t="shared" si="102"/>
        <v>17.562915080209471</v>
      </c>
      <c r="E322" s="385">
        <f t="shared" si="125"/>
        <v>17.95828440201462</v>
      </c>
      <c r="F322" s="385">
        <f t="shared" si="103"/>
        <v>17.958645661638077</v>
      </c>
      <c r="G322" s="110">
        <f t="shared" si="126"/>
        <v>0.53808026549126109</v>
      </c>
      <c r="H322" s="414" t="b">
        <f>Wh_hp&gt;='2025'!Maxi_hp</f>
        <v>0</v>
      </c>
      <c r="I322" s="390">
        <f>IF(H322,Wh_hp,'2025'!Maxi_hp)</f>
        <v>23.180990079496752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6.5051207093619445E-2</v>
      </c>
      <c r="M322" s="845"/>
      <c r="N322" s="845"/>
      <c r="O322" s="48">
        <f>IF(t&lt;Tnet,'2025'!Resal+('2025'!Salim-'2025'!Resal)*(1-EXP(('2025'!Tnet-t)/('2025'!Tau_j))),Resal+(Salim-Resal)*(1-EXP((Tnet-t)/(Tau_j))))*Salcycl</f>
        <v>2.2015985099378209E-2</v>
      </c>
      <c r="P322" s="169">
        <f>(INDEX(Models!$BJ322:$BT322,,T322)*(1-R322)+INDEX(Models!$BJ322:$BT322,,T322+1)*R322-ERP_i)*Q322*Ramure*Pc/MaxiM</f>
        <v>5.9140117234843225E-5</v>
      </c>
      <c r="Q322" s="305">
        <f t="shared" si="105"/>
        <v>0.5</v>
      </c>
      <c r="R322" s="177">
        <f t="shared" si="106"/>
        <v>0.97137802867343059</v>
      </c>
      <c r="S322" s="811">
        <f t="shared" si="107"/>
        <v>-2</v>
      </c>
      <c r="T322" s="176">
        <f t="shared" si="108"/>
        <v>4</v>
      </c>
      <c r="U322" s="251">
        <f t="shared" si="109"/>
        <v>-1.0286219713265694</v>
      </c>
      <c r="V322" s="383">
        <f t="shared" si="110"/>
        <v>30.515494629495951</v>
      </c>
      <c r="W322" s="402">
        <f t="shared" si="111"/>
        <v>16.420426254159114</v>
      </c>
      <c r="X322" s="157">
        <f t="shared" si="112"/>
        <v>46330</v>
      </c>
      <c r="Y322" s="385">
        <f t="shared" si="113"/>
        <v>15.679498501485359</v>
      </c>
      <c r="Z322" s="385">
        <f t="shared" si="114"/>
        <v>16.770435579411885</v>
      </c>
      <c r="AA322" s="386">
        <f t="shared" si="115"/>
        <v>17.954489661478888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6.594752089263646E-2</v>
      </c>
      <c r="AD322" s="231">
        <f>(INDEX(Models!$BJ322:$BT322,,AH322)*(1-AF322)+INDEX(Models!$BJ322:$BT322,,AH322+1)*AF322-ERP_i)*AE322*Ramure*Pc/MaxiM</f>
        <v>6.8035927815368147E-4</v>
      </c>
      <c r="AE322" s="305">
        <f t="shared" si="117"/>
        <v>0.5</v>
      </c>
      <c r="AF322" s="177">
        <f t="shared" si="118"/>
        <v>0.49636559504740951</v>
      </c>
      <c r="AG322" s="811">
        <f t="shared" si="124"/>
        <v>2</v>
      </c>
      <c r="AH322" s="176">
        <f t="shared" si="119"/>
        <v>8</v>
      </c>
      <c r="AI322" s="225">
        <f t="shared" si="120"/>
        <v>2.4963655950474095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'2025'!Wh/'2025'!Env_an*'2026'!Env_an</f>
        <v>28.592267896397967</v>
      </c>
      <c r="C323" s="841"/>
      <c r="D323" s="393">
        <f t="shared" si="102"/>
        <v>30.582310358707282</v>
      </c>
      <c r="E323" s="385">
        <f t="shared" si="125"/>
        <v>31.272905144915043</v>
      </c>
      <c r="F323" s="385">
        <f t="shared" si="103"/>
        <v>31.274615418633548</v>
      </c>
      <c r="G323" s="110">
        <f t="shared" si="126"/>
        <v>0.94574245609225971</v>
      </c>
      <c r="H323" s="414" t="b">
        <f>Wh_hp&gt;='2025'!Maxi_hp</f>
        <v>0</v>
      </c>
      <c r="I323" s="390">
        <f>IF(H323,Wh_hp,'2025'!Maxi_hp)</f>
        <v>31.274689215653005</v>
      </c>
      <c r="J323" s="85">
        <f>IF(H323,An,'2025'!An_max)</f>
        <v>2025</v>
      </c>
      <c r="K323" s="197">
        <f t="shared" si="104"/>
        <v>46331</v>
      </c>
      <c r="L323" s="147">
        <f>IF(t&lt;Tvie,1-EXP((T0-t)*PertePVj)+'2025'!Pspv,1-EXP((T0-t)*PertePVj)+Pspv)</f>
        <v>6.5071684871666924E-2</v>
      </c>
      <c r="M323" s="845"/>
      <c r="N323" s="845"/>
      <c r="O323" s="48">
        <f>IF(t&lt;Tnet,'2025'!Resal+('2025'!Salim-'2025'!Resal)*(1-EXP(('2025'!Tnet-t)/('2025'!Tau_j))),Resal+(Salim-Resal)*(1-EXP((Tnet-t)/(Tau_j))))*Salcycl</f>
        <v>2.2082847212551038E-2</v>
      </c>
      <c r="P323" s="169">
        <f>(INDEX(Models!$BJ323:$BT323,,T323)*(1-R323)+INDEX(Models!$BJ323:$BT323,,T323+1)*R323-ERP_i)*Q323*Ramure*Pc/MaxiM</f>
        <v>5.9280167267693079E-5</v>
      </c>
      <c r="Q323" s="305">
        <f t="shared" si="105"/>
        <v>0.5</v>
      </c>
      <c r="R323" s="177">
        <f t="shared" si="106"/>
        <v>0.97142578006381997</v>
      </c>
      <c r="S323" s="811">
        <f t="shared" si="107"/>
        <v>-2</v>
      </c>
      <c r="T323" s="176">
        <f t="shared" si="108"/>
        <v>4</v>
      </c>
      <c r="U323" s="251">
        <f t="shared" si="109"/>
        <v>-1.02857421993618</v>
      </c>
      <c r="V323" s="383">
        <f t="shared" si="110"/>
        <v>30.232476440406334</v>
      </c>
      <c r="W323" s="402">
        <f t="shared" si="111"/>
        <v>28.592267896397967</v>
      </c>
      <c r="X323" s="157">
        <f t="shared" si="112"/>
        <v>46331</v>
      </c>
      <c r="Y323" s="385">
        <f t="shared" si="113"/>
        <v>27.293790845626049</v>
      </c>
      <c r="Z323" s="385">
        <f t="shared" si="114"/>
        <v>29.193458368922716</v>
      </c>
      <c r="AA323" s="386">
        <f t="shared" si="115"/>
        <v>31.25448506714023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6.5943390005948288E-2</v>
      </c>
      <c r="AD323" s="231">
        <f>(INDEX(Models!$BJ323:$BT323,,AH323)*(1-AF323)+INDEX(Models!$BJ323:$BT323,,AH323+1)*AF323-ERP_i)*AE323*Ramure*Pc/MaxiM</f>
        <v>6.9774246704953783E-4</v>
      </c>
      <c r="AE323" s="305">
        <f t="shared" si="117"/>
        <v>0.5</v>
      </c>
      <c r="AF323" s="177">
        <f t="shared" si="118"/>
        <v>0.49641334643779889</v>
      </c>
      <c r="AG323" s="811">
        <f t="shared" si="124"/>
        <v>2</v>
      </c>
      <c r="AH323" s="176">
        <f t="shared" si="119"/>
        <v>8</v>
      </c>
      <c r="AI323" s="225">
        <f t="shared" si="120"/>
        <v>2.4964133464377989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'2025'!Wh/'2025'!Env_an*'2026'!Env_an</f>
        <v>29.45568974106699</v>
      </c>
      <c r="C324" s="841"/>
      <c r="D324" s="393">
        <f t="shared" si="102"/>
        <v>31.506517059926558</v>
      </c>
      <c r="E324" s="385">
        <f t="shared" si="125"/>
        <v>32.220181209103117</v>
      </c>
      <c r="F324" s="385">
        <f t="shared" si="103"/>
        <v>32.222066008521772</v>
      </c>
      <c r="G324" s="110">
        <f t="shared" si="126"/>
        <v>0.98342035185110444</v>
      </c>
      <c r="H324" s="414" t="b">
        <f>Wh_hp&gt;='2025'!Maxi_hp</f>
        <v>0</v>
      </c>
      <c r="I324" s="390">
        <f>IF(H324,Wh_hp,'2025'!Maxi_hp)</f>
        <v>32.22208948922934</v>
      </c>
      <c r="J324" s="85">
        <f>IF(H324,An,'2025'!An_max)</f>
        <v>2025</v>
      </c>
      <c r="K324" s="197">
        <f t="shared" si="104"/>
        <v>46332</v>
      </c>
      <c r="L324" s="147">
        <f>IF(t&lt;Tvie,1-EXP((T0-t)*PertePVj)+'2025'!Pspv,1-EXP((T0-t)*PertePVj)+Pspv)</f>
        <v>6.5092162201198511E-2</v>
      </c>
      <c r="M324" s="845"/>
      <c r="N324" s="845"/>
      <c r="O324" s="48">
        <f>IF(t&lt;Tnet,'2025'!Resal+('2025'!Salim-'2025'!Resal)*(1-EXP(('2025'!Tnet-t)/('2025'!Tau_j))),Resal+(Salim-Resal)*(1-EXP((Tnet-t)/(Tau_j))))*Salcycl</f>
        <v>2.2149600728344935E-2</v>
      </c>
      <c r="P324" s="169">
        <f>(INDEX(Models!$BJ324:$BT324,,T324)*(1-R324)+INDEX(Models!$BJ324:$BT324,,T324+1)*R324-ERP_i)*Q324*Ramure*Pc/MaxiM</f>
        <v>5.9912991075206445E-5</v>
      </c>
      <c r="Q324" s="305">
        <f t="shared" si="105"/>
        <v>0.5</v>
      </c>
      <c r="R324" s="177">
        <f t="shared" si="106"/>
        <v>0.97147161742828914</v>
      </c>
      <c r="S324" s="811">
        <f t="shared" si="107"/>
        <v>-2</v>
      </c>
      <c r="T324" s="176">
        <f t="shared" si="108"/>
        <v>4</v>
      </c>
      <c r="U324" s="251">
        <f t="shared" si="109"/>
        <v>-1.0285283825717109</v>
      </c>
      <c r="V324" s="383">
        <f t="shared" si="110"/>
        <v>29.952245636917915</v>
      </c>
      <c r="W324" s="402">
        <f t="shared" si="111"/>
        <v>29.45568974106699</v>
      </c>
      <c r="X324" s="157">
        <f t="shared" si="112"/>
        <v>46332</v>
      </c>
      <c r="Y324" s="385">
        <f t="shared" si="113"/>
        <v>28.118564699633136</v>
      </c>
      <c r="Z324" s="385">
        <f t="shared" si="114"/>
        <v>30.0762958259469</v>
      </c>
      <c r="AA324" s="386">
        <f t="shared" si="115"/>
        <v>32.199512581574851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6.593940669905958E-2</v>
      </c>
      <c r="AD324" s="231">
        <f>(INDEX(Models!$BJ324:$BT324,,AH324)*(1-AF324)+INDEX(Models!$BJ324:$BT324,,AH324+1)*AF324-ERP_i)*AE324*Ramure*Pc/MaxiM</f>
        <v>7.1691621613016157E-4</v>
      </c>
      <c r="AE324" s="305">
        <f t="shared" si="117"/>
        <v>0.5</v>
      </c>
      <c r="AF324" s="177">
        <f t="shared" si="118"/>
        <v>0.49645918380226828</v>
      </c>
      <c r="AG324" s="811">
        <f t="shared" si="124"/>
        <v>2</v>
      </c>
      <c r="AH324" s="176">
        <f t="shared" si="119"/>
        <v>8</v>
      </c>
      <c r="AI324" s="225">
        <f t="shared" si="120"/>
        <v>2.4964591838022683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'2025'!Wh/'2025'!Env_an*'2026'!Env_an</f>
        <v>27.220663566492931</v>
      </c>
      <c r="C325" s="841"/>
      <c r="D325" s="393">
        <f t="shared" si="102"/>
        <v>29.116516817352725</v>
      </c>
      <c r="E325" s="385">
        <f t="shared" si="125"/>
        <v>29.778074555597172</v>
      </c>
      <c r="F325" s="385">
        <f t="shared" si="103"/>
        <v>29.779671535763569</v>
      </c>
      <c r="G325" s="110">
        <f t="shared" si="126"/>
        <v>0.91728000722071368</v>
      </c>
      <c r="H325" s="414" t="b">
        <f>Wh_hp&gt;='2025'!Maxi_hp</f>
        <v>0</v>
      </c>
      <c r="I325" s="390">
        <f>IF(H325,Wh_hp,'2025'!Maxi_hp)</f>
        <v>29.779781428954571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6.5112639082223978E-2</v>
      </c>
      <c r="M325" s="845"/>
      <c r="N325" s="845"/>
      <c r="O325" s="48">
        <f>IF(t&lt;Tnet,'2025'!Resal+('2025'!Salim-'2025'!Resal)*(1-EXP(('2025'!Tnet-t)/('2025'!Tau_j))),Resal+(Salim-Resal)*(1-EXP((Tnet-t)/(Tau_j))))*Salcycl</f>
        <v>2.2216269793041352E-2</v>
      </c>
      <c r="P325" s="169">
        <f>(INDEX(Models!$BJ325:$BT325,,T325)*(1-R325)+INDEX(Models!$BJ325:$BT325,,T325+1)*R325-ERP_i)*Q325*Ramure*Pc/MaxiM</f>
        <v>6.0812213359377881E-5</v>
      </c>
      <c r="Q325" s="305">
        <f t="shared" si="105"/>
        <v>0.5</v>
      </c>
      <c r="R325" s="177">
        <f t="shared" si="106"/>
        <v>0.97151561715596024</v>
      </c>
      <c r="S325" s="811">
        <f t="shared" si="107"/>
        <v>-2</v>
      </c>
      <c r="T325" s="176">
        <f t="shared" si="108"/>
        <v>4</v>
      </c>
      <c r="U325" s="251">
        <f t="shared" si="109"/>
        <v>-1.0284843828440398</v>
      </c>
      <c r="V325" s="383">
        <f t="shared" si="110"/>
        <v>29.675200312226792</v>
      </c>
      <c r="W325" s="402">
        <f t="shared" si="111"/>
        <v>27.220663566492931</v>
      </c>
      <c r="X325" s="157">
        <f t="shared" si="112"/>
        <v>46333</v>
      </c>
      <c r="Y325" s="385">
        <f t="shared" si="113"/>
        <v>25.988056877991372</v>
      </c>
      <c r="Z325" s="385">
        <f t="shared" si="114"/>
        <v>27.798062060095642</v>
      </c>
      <c r="AA325" s="386">
        <f t="shared" si="115"/>
        <v>29.760328351297506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6.5935639823554354E-2</v>
      </c>
      <c r="AD325" s="231">
        <f>(INDEX(Models!$BJ325:$BT325,,AH325)*(1-AF325)+INDEX(Models!$BJ325:$BT325,,AH325+1)*AF325-ERP_i)*AE325*Ramure*Pc/MaxiM</f>
        <v>7.3657887903218861E-4</v>
      </c>
      <c r="AE325" s="305">
        <f t="shared" si="117"/>
        <v>0.5</v>
      </c>
      <c r="AF325" s="177">
        <f t="shared" si="118"/>
        <v>0.49650318352993938</v>
      </c>
      <c r="AG325" s="811">
        <f t="shared" si="124"/>
        <v>2</v>
      </c>
      <c r="AH325" s="176">
        <f t="shared" si="119"/>
        <v>8</v>
      </c>
      <c r="AI325" s="225">
        <f t="shared" si="120"/>
        <v>2.4965031835299394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'2025'!Wh/'2025'!Env_an*'2026'!Env_an</f>
        <v>20.493594106387448</v>
      </c>
      <c r="C326" s="841"/>
      <c r="D326" s="393">
        <f t="shared" si="102"/>
        <v>21.921403406723048</v>
      </c>
      <c r="E326" s="385">
        <f t="shared" si="125"/>
        <v>22.421008007211388</v>
      </c>
      <c r="F326" s="385">
        <f t="shared" si="103"/>
        <v>22.421796197189632</v>
      </c>
      <c r="G326" s="110">
        <f t="shared" si="126"/>
        <v>0.69700127432659409</v>
      </c>
      <c r="H326" s="414" t="b">
        <f>Wh_hp&gt;='2025'!Maxi_hp</f>
        <v>0</v>
      </c>
      <c r="I326" s="390">
        <f>IF(H326,Wh_hp,'2025'!Maxi_hp)</f>
        <v>27.215230575971084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6.5133115514753315E-2</v>
      </c>
      <c r="M326" s="845"/>
      <c r="N326" s="845"/>
      <c r="O326" s="48">
        <f>IF(t&lt;Tnet,'2025'!Resal+('2025'!Salim-'2025'!Resal)*(1-EXP(('2025'!Tnet-t)/('2025'!Tau_j))),Resal+(Salim-Resal)*(1-EXP((Tnet-t)/(Tau_j))))*Salcycl</f>
        <v>2.2282878643442212E-2</v>
      </c>
      <c r="P326" s="169">
        <f>(INDEX(Models!$BJ326:$BT326,,T326)*(1-R326)+INDEX(Models!$BJ326:$BT326,,T326+1)*R326-ERP_i)*Q326*Ramure*Pc/MaxiM</f>
        <v>6.1979232185503704E-5</v>
      </c>
      <c r="Q326" s="305">
        <f t="shared" si="105"/>
        <v>0.5</v>
      </c>
      <c r="R326" s="177">
        <f t="shared" si="106"/>
        <v>0.97155785261332639</v>
      </c>
      <c r="S326" s="811">
        <f t="shared" si="107"/>
        <v>-2</v>
      </c>
      <c r="T326" s="176">
        <f t="shared" si="108"/>
        <v>4</v>
      </c>
      <c r="U326" s="251">
        <f t="shared" si="109"/>
        <v>-1.0284421473866736</v>
      </c>
      <c r="V326" s="383">
        <f t="shared" si="110"/>
        <v>29.401731492983632</v>
      </c>
      <c r="W326" s="402">
        <f t="shared" si="111"/>
        <v>20.493594106387448</v>
      </c>
      <c r="X326" s="157">
        <f t="shared" si="112"/>
        <v>46334</v>
      </c>
      <c r="Y326" s="385">
        <f t="shared" si="113"/>
        <v>19.570961411070339</v>
      </c>
      <c r="Z326" s="385">
        <f t="shared" si="114"/>
        <v>20.934489964147609</v>
      </c>
      <c r="AA326" s="386">
        <f t="shared" si="115"/>
        <v>22.412172880284654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6.5932157672981495E-2</v>
      </c>
      <c r="AD326" s="231">
        <f>(INDEX(Models!$BJ326:$BT326,,AH326)*(1-AF326)+INDEX(Models!$BJ326:$BT326,,AH326+1)*AF326-ERP_i)*AE326*Ramure*Pc/MaxiM</f>
        <v>7.5672846561075874E-4</v>
      </c>
      <c r="AE326" s="305">
        <f t="shared" si="117"/>
        <v>0.5</v>
      </c>
      <c r="AF326" s="177">
        <f t="shared" si="118"/>
        <v>0.49654541898730509</v>
      </c>
      <c r="AG326" s="811">
        <f t="shared" si="124"/>
        <v>2</v>
      </c>
      <c r="AH326" s="176">
        <f t="shared" si="119"/>
        <v>8</v>
      </c>
      <c r="AI326" s="225">
        <f t="shared" si="120"/>
        <v>2.4965454189873051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'2025'!Wh/'2025'!Env_an*'2026'!Env_an</f>
        <v>9.582471414162649</v>
      </c>
      <c r="C327" s="841"/>
      <c r="D327" s="393">
        <f t="shared" si="102"/>
        <v>10.250316337553013</v>
      </c>
      <c r="E327" s="385">
        <f t="shared" si="125"/>
        <v>10.484642343046714</v>
      </c>
      <c r="F327" s="385">
        <f t="shared" si="103"/>
        <v>10.48466982218892</v>
      </c>
      <c r="G327" s="110">
        <f t="shared" si="126"/>
        <v>0.32891024211952019</v>
      </c>
      <c r="H327" s="414" t="b">
        <f>Wh_hp&gt;='2025'!Maxi_hp</f>
        <v>0</v>
      </c>
      <c r="I327" s="390">
        <f>IF(H327,Wh_hp,'2025'!Maxi_hp)</f>
        <v>21.819080346731017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6.5153591498796071E-2</v>
      </c>
      <c r="M327" s="845"/>
      <c r="N327" s="845"/>
      <c r="O327" s="48">
        <f>IF(t&lt;Tnet,'2025'!Resal+('2025'!Salim-'2025'!Resal)*(1-EXP(('2025'!Tnet-t)/('2025'!Tau_j))),Resal+(Salim-Resal)*(1-EXP((Tnet-t)/(Tau_j))))*Salcycl</f>
        <v>2.2349451495510729E-2</v>
      </c>
      <c r="P327" s="169">
        <f>(INDEX(Models!$BJ327:$BT327,,T327)*(1-R327)+INDEX(Models!$BJ327:$BT327,,T327+1)*R327-ERP_i)*Q327*Ramure*Pc/MaxiM</f>
        <v>6.3415354857231505E-5</v>
      </c>
      <c r="Q327" s="305">
        <f t="shared" si="105"/>
        <v>0.5</v>
      </c>
      <c r="R327" s="177">
        <f t="shared" si="106"/>
        <v>0.97159839426179584</v>
      </c>
      <c r="S327" s="811">
        <f t="shared" si="107"/>
        <v>-2</v>
      </c>
      <c r="T327" s="176">
        <f t="shared" si="108"/>
        <v>4</v>
      </c>
      <c r="U327" s="251">
        <f t="shared" si="109"/>
        <v>-1.0284016057382042</v>
      </c>
      <c r="V327" s="383">
        <f t="shared" si="110"/>
        <v>29.132230086986112</v>
      </c>
      <c r="W327" s="402">
        <f t="shared" si="111"/>
        <v>9.582471414162649</v>
      </c>
      <c r="X327" s="157">
        <f t="shared" si="112"/>
        <v>46335</v>
      </c>
      <c r="Y327" s="385">
        <f t="shared" si="113"/>
        <v>9.1550547368312731</v>
      </c>
      <c r="Z327" s="385">
        <f t="shared" si="114"/>
        <v>9.7931110967299428</v>
      </c>
      <c r="AA327" s="386">
        <f t="shared" si="115"/>
        <v>10.484332975548066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6.5929027667302645E-2</v>
      </c>
      <c r="AD327" s="231">
        <f>(INDEX(Models!$BJ327:$BT327,,AH327)*(1-AF327)+INDEX(Models!$BJ327:$BT327,,AH327+1)*AF327-ERP_i)*AE327*Ramure*Pc/MaxiM</f>
        <v>7.7736230274888789E-4</v>
      </c>
      <c r="AE327" s="305">
        <f t="shared" si="117"/>
        <v>0.5</v>
      </c>
      <c r="AF327" s="177">
        <f t="shared" si="118"/>
        <v>0.49658596063577454</v>
      </c>
      <c r="AG327" s="811">
        <f t="shared" si="124"/>
        <v>2</v>
      </c>
      <c r="AH327" s="176">
        <f t="shared" si="119"/>
        <v>8</v>
      </c>
      <c r="AI327" s="225">
        <f t="shared" si="120"/>
        <v>2.4965859606357745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'2025'!Wh/'2025'!Env_an*'2026'!Env_an</f>
        <v>19.899165405620291</v>
      </c>
      <c r="C328" s="841"/>
      <c r="D328" s="393">
        <f t="shared" si="102"/>
        <v>21.286492708318722</v>
      </c>
      <c r="E328" s="385">
        <f t="shared" si="125"/>
        <v>21.774592238644551</v>
      </c>
      <c r="F328" s="385">
        <f t="shared" si="103"/>
        <v>21.775380953851311</v>
      </c>
      <c r="G328" s="110">
        <f t="shared" si="126"/>
        <v>0.68931757295529128</v>
      </c>
      <c r="H328" s="414" t="b">
        <f>Wh_hp&gt;='2025'!Maxi_hp</f>
        <v>0</v>
      </c>
      <c r="I328" s="390">
        <f>IF(H328,Wh_hp,'2025'!Maxi_hp)</f>
        <v>21.789231727925742</v>
      </c>
      <c r="J328" s="85">
        <f>IF(H328,An,'2025'!An_max)</f>
        <v>2018</v>
      </c>
      <c r="K328" s="197">
        <f t="shared" si="104"/>
        <v>46336</v>
      </c>
      <c r="L328" s="147">
        <f>IF(t&lt;Tvie,1-EXP((T0-t)*PertePVj)+'2025'!Pspv,1-EXP((T0-t)*PertePVj)+Pspv)</f>
        <v>6.5174067034362348E-2</v>
      </c>
      <c r="M328" s="845"/>
      <c r="N328" s="845"/>
      <c r="O328" s="48">
        <f>IF(t&lt;Tnet,'2025'!Resal+('2025'!Salim-'2025'!Resal)*(1-EXP(('2025'!Tnet-t)/('2025'!Tau_j))),Resal+(Salim-Resal)*(1-EXP((Tnet-t)/(Tau_j))))*Salcycl</f>
        <v>2.2416012432121463E-2</v>
      </c>
      <c r="P328" s="169">
        <f>(INDEX(Models!$BJ328:$BT328,,T328)*(1-R328)+INDEX(Models!$BJ328:$BT328,,T328+1)*R328-ERP_i)*Q328*Ramure*Pc/MaxiM</f>
        <v>6.5121779705628487E-5</v>
      </c>
      <c r="Q328" s="305">
        <f t="shared" si="105"/>
        <v>0.5</v>
      </c>
      <c r="R328" s="177">
        <f t="shared" si="106"/>
        <v>0.97163730977083107</v>
      </c>
      <c r="S328" s="811">
        <f t="shared" si="107"/>
        <v>-2</v>
      </c>
      <c r="T328" s="176">
        <f t="shared" si="108"/>
        <v>4</v>
      </c>
      <c r="U328" s="251">
        <f t="shared" si="109"/>
        <v>-1.0283626902291689</v>
      </c>
      <c r="V328" s="383">
        <f t="shared" si="110"/>
        <v>28.867086890229547</v>
      </c>
      <c r="W328" s="402">
        <f t="shared" si="111"/>
        <v>19.899165405620291</v>
      </c>
      <c r="X328" s="157">
        <f t="shared" si="112"/>
        <v>46336</v>
      </c>
      <c r="Y328" s="385">
        <f t="shared" si="113"/>
        <v>19.00573775809006</v>
      </c>
      <c r="Z328" s="385">
        <f t="shared" si="114"/>
        <v>20.330777193778033</v>
      </c>
      <c r="AA328" s="386">
        <f t="shared" si="115"/>
        <v>21.765710289142458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6.5926316040337135E-2</v>
      </c>
      <c r="AD328" s="231">
        <f>(INDEX(Models!$BJ328:$BT328,,AH328)*(1-AF328)+INDEX(Models!$BJ328:$BT328,,AH328+1)*AF328-ERP_i)*AE328*Ramure*Pc/MaxiM</f>
        <v>7.9847692979736378E-4</v>
      </c>
      <c r="AE328" s="305">
        <f t="shared" si="117"/>
        <v>0.5</v>
      </c>
      <c r="AF328" s="177">
        <f t="shared" si="118"/>
        <v>0.49662487614480977</v>
      </c>
      <c r="AG328" s="811">
        <f t="shared" si="124"/>
        <v>2</v>
      </c>
      <c r="AH328" s="176">
        <f t="shared" si="119"/>
        <v>8</v>
      </c>
      <c r="AI328" s="225">
        <f t="shared" si="120"/>
        <v>2.4966248761448098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'2025'!Wh/'2025'!Env_an*'2026'!Env_an</f>
        <v>26.9500049353116</v>
      </c>
      <c r="C329" s="841"/>
      <c r="D329" s="393">
        <f t="shared" si="102"/>
        <v>28.829533148503813</v>
      </c>
      <c r="E329" s="385">
        <f t="shared" si="125"/>
        <v>29.492603113446943</v>
      </c>
      <c r="F329" s="385">
        <f t="shared" si="103"/>
        <v>29.494418444035727</v>
      </c>
      <c r="G329" s="110">
        <f t="shared" si="126"/>
        <v>0.94208218018033185</v>
      </c>
      <c r="H329" s="414" t="b">
        <f>Wh_hp&gt;='2025'!Maxi_hp</f>
        <v>0</v>
      </c>
      <c r="I329" s="390">
        <f>IF(H329,Wh_hp,'2025'!Maxi_hp)</f>
        <v>29.494502522363131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6.5194542121461807E-2</v>
      </c>
      <c r="M329" s="845"/>
      <c r="N329" s="845"/>
      <c r="O329" s="48">
        <f>IF(t&lt;Tnet,'2025'!Resal+('2025'!Salim-'2025'!Resal)*(1-EXP(('2025'!Tnet-t)/('2025'!Tau_j))),Resal+(Salim-Resal)*(1-EXP((Tnet-t)/(Tau_j))))*Salcycl</f>
        <v>2.2482585290710018E-2</v>
      </c>
      <c r="P329" s="169">
        <f>(INDEX(Models!$BJ329:$BT329,,T329)*(1-R329)+INDEX(Models!$BJ329:$BT329,,T329+1)*R329-ERP_i)*Q329*Ramure*Pc/MaxiM</f>
        <v>6.7099575663990762E-5</v>
      </c>
      <c r="Q329" s="305">
        <f t="shared" si="105"/>
        <v>0.5</v>
      </c>
      <c r="R329" s="177">
        <f t="shared" si="106"/>
        <v>0.97167466412682812</v>
      </c>
      <c r="S329" s="811">
        <f t="shared" si="107"/>
        <v>-2</v>
      </c>
      <c r="T329" s="176">
        <f t="shared" si="108"/>
        <v>4</v>
      </c>
      <c r="U329" s="251">
        <f t="shared" si="109"/>
        <v>-1.0283253358731719</v>
      </c>
      <c r="V329" s="383">
        <f t="shared" si="110"/>
        <v>28.606692585326684</v>
      </c>
      <c r="W329" s="402">
        <f t="shared" si="111"/>
        <v>26.9500049353116</v>
      </c>
      <c r="X329" s="157">
        <f t="shared" si="112"/>
        <v>46337</v>
      </c>
      <c r="Y329" s="385">
        <f t="shared" si="113"/>
        <v>25.734541843558404</v>
      </c>
      <c r="Z329" s="385">
        <f t="shared" si="114"/>
        <v>27.529302088116566</v>
      </c>
      <c r="AA329" s="386">
        <f t="shared" si="115"/>
        <v>29.47223209663051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6.5924087532415701E-2</v>
      </c>
      <c r="AD329" s="231">
        <f>(INDEX(Models!$BJ329:$BT329,,AH329)*(1-AF329)+INDEX(Models!$BJ329:$BT329,,AH329+1)*AF329-ERP_i)*AE329*Ramure*Pc/MaxiM</f>
        <v>8.2006798410297788E-4</v>
      </c>
      <c r="AE329" s="305">
        <f t="shared" si="117"/>
        <v>0.5</v>
      </c>
      <c r="AF329" s="177">
        <f t="shared" si="118"/>
        <v>0.49666223050080704</v>
      </c>
      <c r="AG329" s="811">
        <f t="shared" si="124"/>
        <v>2</v>
      </c>
      <c r="AH329" s="176">
        <f t="shared" si="119"/>
        <v>8</v>
      </c>
      <c r="AI329" s="225">
        <f t="shared" si="120"/>
        <v>2.496662230500807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'2025'!Wh/'2025'!Env_an*'2026'!Env_an</f>
        <v>26.994141361333135</v>
      </c>
      <c r="C330" s="841"/>
      <c r="D330" s="393">
        <f t="shared" si="102"/>
        <v>28.877380194719684</v>
      </c>
      <c r="E330" s="385">
        <f t="shared" si="125"/>
        <v>29.543563731506051</v>
      </c>
      <c r="F330" s="385">
        <f t="shared" si="103"/>
        <v>29.545472568118353</v>
      </c>
      <c r="G330" s="110">
        <f t="shared" si="126"/>
        <v>0.95212149602675511</v>
      </c>
      <c r="H330" s="414" t="b">
        <f>Wh_hp&gt;='2025'!Maxi_hp</f>
        <v>0</v>
      </c>
      <c r="I330" s="390">
        <f>IF(H330,Wh_hp,'2025'!Maxi_hp)</f>
        <v>29.545544526554973</v>
      </c>
      <c r="J330" s="85">
        <f>IF(H330,An,'2025'!An_max)</f>
        <v>2025</v>
      </c>
      <c r="K330" s="197">
        <f t="shared" si="104"/>
        <v>46338</v>
      </c>
      <c r="L330" s="147">
        <f>IF(t&lt;Tvie,1-EXP((T0-t)*PertePVj)+'2025'!Pspv,1-EXP((T0-t)*PertePVj)+Pspv)</f>
        <v>6.5215016760104327E-2</v>
      </c>
      <c r="M330" s="845"/>
      <c r="N330" s="845"/>
      <c r="O330" s="48">
        <f>IF(t&lt;Tnet,'2025'!Resal+('2025'!Salim-'2025'!Resal)*(1-EXP(('2025'!Tnet-t)/('2025'!Tau_j))),Resal+(Salim-Resal)*(1-EXP((Tnet-t)/(Tau_j))))*Salcycl</f>
        <v>2.2549193551620592E-2</v>
      </c>
      <c r="P330" s="169">
        <f>(INDEX(Models!$BJ330:$BT330,,T330)*(1-R330)+INDEX(Models!$BJ330:$BT330,,T330+1)*R330-ERP_i)*Q330*Ramure*Pc/MaxiM</f>
        <v>6.9349659301345062E-5</v>
      </c>
      <c r="Q330" s="305">
        <f t="shared" si="105"/>
        <v>0.5</v>
      </c>
      <c r="R330" s="177">
        <f t="shared" si="106"/>
        <v>0.97171051973789124</v>
      </c>
      <c r="S330" s="811">
        <f t="shared" si="107"/>
        <v>-2</v>
      </c>
      <c r="T330" s="176">
        <f t="shared" si="108"/>
        <v>4</v>
      </c>
      <c r="U330" s="251">
        <f t="shared" si="109"/>
        <v>-1.0282894802621088</v>
      </c>
      <c r="V330" s="383">
        <f t="shared" si="110"/>
        <v>28.351437746785951</v>
      </c>
      <c r="W330" s="402">
        <f t="shared" si="111"/>
        <v>26.994141361333135</v>
      </c>
      <c r="X330" s="157">
        <f t="shared" si="112"/>
        <v>46338</v>
      </c>
      <c r="Y330" s="385">
        <f t="shared" si="113"/>
        <v>25.777735887551145</v>
      </c>
      <c r="Z330" s="385">
        <f t="shared" si="114"/>
        <v>27.576112528260154</v>
      </c>
      <c r="AA330" s="386">
        <f t="shared" si="115"/>
        <v>29.522293092716495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6.5922405090426017E-2</v>
      </c>
      <c r="AD330" s="231">
        <f>(INDEX(Models!$BJ330:$BT330,,AH330)*(1-AF330)+INDEX(Models!$BJ330:$BT330,,AH330+1)*AF330-ERP_i)*AE330*Ramure*Pc/MaxiM</f>
        <v>8.4213007626884949E-4</v>
      </c>
      <c r="AE330" s="305">
        <f t="shared" si="117"/>
        <v>0.5</v>
      </c>
      <c r="AF330" s="177">
        <f t="shared" si="118"/>
        <v>0.49669808611187038</v>
      </c>
      <c r="AG330" s="811">
        <f t="shared" si="124"/>
        <v>2</v>
      </c>
      <c r="AH330" s="176">
        <f t="shared" si="119"/>
        <v>8</v>
      </c>
      <c r="AI330" s="225">
        <f t="shared" si="120"/>
        <v>2.4966980861118704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'2025'!Wh/'2025'!Env_an*'2026'!Env_an</f>
        <v>26.07466912935627</v>
      </c>
      <c r="C331" s="841"/>
      <c r="D331" s="393">
        <f t="shared" si="102"/>
        <v>27.894372194194968</v>
      </c>
      <c r="E331" s="385">
        <f t="shared" si="125"/>
        <v>28.539824884717959</v>
      </c>
      <c r="F331" s="385">
        <f t="shared" si="103"/>
        <v>28.541665060966601</v>
      </c>
      <c r="G331" s="110">
        <f t="shared" si="126"/>
        <v>0.92790014668981891</v>
      </c>
      <c r="H331" s="414" t="b">
        <f>Wh_hp&gt;='2025'!Maxi_hp</f>
        <v>0</v>
      </c>
      <c r="I331" s="390">
        <f>IF(H331,Wh_hp,'2025'!Maxi_hp)</f>
        <v>29.179515996539571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6.5235490950299679E-2</v>
      </c>
      <c r="M331" s="845"/>
      <c r="N331" s="845"/>
      <c r="O331" s="48">
        <f>IF(t&lt;Tnet,'2025'!Resal+('2025'!Salim-'2025'!Resal)*(1-EXP(('2025'!Tnet-t)/('2025'!Tau_j))),Resal+(Salim-Resal)*(1-EXP((Tnet-t)/(Tau_j))))*Salcycl</f>
        <v>2.2615860227951392E-2</v>
      </c>
      <c r="P331" s="169">
        <f>(INDEX(Models!$BJ331:$BT331,,T331)*(1-R331)+INDEX(Models!$BJ331:$BT331,,T331+1)*R331-ERP_i)*Q331*Ramure*Pc/MaxiM</f>
        <v>7.1875821237805352E-5</v>
      </c>
      <c r="Q331" s="305">
        <f t="shared" si="105"/>
        <v>0.5</v>
      </c>
      <c r="R331" s="177">
        <f t="shared" si="106"/>
        <v>0.971744936534642</v>
      </c>
      <c r="S331" s="811">
        <f t="shared" si="107"/>
        <v>-2</v>
      </c>
      <c r="T331" s="176">
        <f t="shared" si="108"/>
        <v>4</v>
      </c>
      <c r="U331" s="251">
        <f t="shared" si="109"/>
        <v>-1.028255063465358</v>
      </c>
      <c r="V331" s="383">
        <f t="shared" si="110"/>
        <v>28.100519428165207</v>
      </c>
      <c r="W331" s="402">
        <f t="shared" si="111"/>
        <v>26.07466912935627</v>
      </c>
      <c r="X331" s="157">
        <f t="shared" si="112"/>
        <v>46339</v>
      </c>
      <c r="Y331" s="385">
        <f t="shared" si="113"/>
        <v>24.90164222105043</v>
      </c>
      <c r="Z331" s="385">
        <f t="shared" si="114"/>
        <v>26.639481901560341</v>
      </c>
      <c r="AA331" s="386">
        <f t="shared" si="115"/>
        <v>28.519527043163986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6.5921329577388069E-2</v>
      </c>
      <c r="AD331" s="231">
        <f>(INDEX(Models!$BJ331:$BT331,,AH331)*(1-AF331)+INDEX(Models!$BJ331:$BT331,,AH331+1)*AF331-ERP_i)*AE331*Ramure*Pc/MaxiM</f>
        <v>8.6469337451477242E-4</v>
      </c>
      <c r="AE331" s="305">
        <f t="shared" si="117"/>
        <v>0.5</v>
      </c>
      <c r="AF331" s="177">
        <f t="shared" si="118"/>
        <v>0.49673250290862114</v>
      </c>
      <c r="AG331" s="811">
        <f t="shared" si="124"/>
        <v>2</v>
      </c>
      <c r="AH331" s="176">
        <f t="shared" si="119"/>
        <v>8</v>
      </c>
      <c r="AI331" s="225">
        <f t="shared" si="120"/>
        <v>2.4967325029086211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'2025'!Wh/'2025'!Env_an*'2026'!Env_an</f>
        <v>9.1811217747310288</v>
      </c>
      <c r="C332" s="841"/>
      <c r="D332" s="393">
        <f t="shared" si="102"/>
        <v>9.822070457723111</v>
      </c>
      <c r="E332" s="385">
        <f t="shared" si="125"/>
        <v>10.050031377409391</v>
      </c>
      <c r="F332" s="385">
        <f t="shared" si="103"/>
        <v>10.050063176103867</v>
      </c>
      <c r="G332" s="110">
        <f t="shared" si="126"/>
        <v>0.32960490088977185</v>
      </c>
      <c r="H332" s="414" t="b">
        <f>Wh_hp&gt;='2025'!Maxi_hp</f>
        <v>0</v>
      </c>
      <c r="I332" s="390">
        <f>IF(H332,Wh_hp,'2025'!Maxi_hp)</f>
        <v>19.900379192311398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6.5255964692057744E-2</v>
      </c>
      <c r="M332" s="845"/>
      <c r="N332" s="845"/>
      <c r="O332" s="48">
        <f>IF(t&lt;Tnet,'2025'!Resal+('2025'!Salim-'2025'!Resal)*(1-EXP(('2025'!Tnet-t)/('2025'!Tau_j))),Resal+(Salim-Resal)*(1-EXP((Tnet-t)/(Tau_j))))*Salcycl</f>
        <v>2.2682607757692562E-2</v>
      </c>
      <c r="P332" s="169">
        <f>(INDEX(Models!$BJ332:$BT332,,T332)*(1-R332)+INDEX(Models!$BJ332:$BT332,,T332+1)*R332-ERP_i)*Q332*Ramure*Pc/MaxiM</f>
        <v>7.4753045621348503E-5</v>
      </c>
      <c r="Q332" s="305">
        <f t="shared" si="105"/>
        <v>0.5</v>
      </c>
      <c r="R332" s="177">
        <f t="shared" si="106"/>
        <v>0.97177797206720373</v>
      </c>
      <c r="S332" s="811">
        <f t="shared" si="107"/>
        <v>-2</v>
      </c>
      <c r="T332" s="176">
        <f t="shared" si="108"/>
        <v>4</v>
      </c>
      <c r="U332" s="251">
        <f t="shared" si="109"/>
        <v>-1.0282220279327963</v>
      </c>
      <c r="V332" s="383">
        <f t="shared" si="110"/>
        <v>27.852936896242074</v>
      </c>
      <c r="W332" s="402">
        <f t="shared" si="111"/>
        <v>9.1811217747310288</v>
      </c>
      <c r="X332" s="157">
        <f t="shared" si="112"/>
        <v>46340</v>
      </c>
      <c r="Y332" s="385">
        <f t="shared" si="113"/>
        <v>8.7746304242116029</v>
      </c>
      <c r="Z332" s="385">
        <f t="shared" si="114"/>
        <v>9.3872013008576047</v>
      </c>
      <c r="AA332" s="386">
        <f t="shared" si="115"/>
        <v>10.049685831491665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6.5920919493632282E-2</v>
      </c>
      <c r="AD332" s="231">
        <f>(INDEX(Models!$BJ332:$BT332,,AH332)*(1-AF332)+INDEX(Models!$BJ332:$BT332,,AH332+1)*AF332-ERP_i)*AE332*Ramure*Pc/MaxiM</f>
        <v>8.8706972018721844E-4</v>
      </c>
      <c r="AE332" s="305">
        <f t="shared" si="117"/>
        <v>0.5</v>
      </c>
      <c r="AF332" s="177">
        <f t="shared" si="118"/>
        <v>0.49676553844118265</v>
      </c>
      <c r="AG332" s="811">
        <f t="shared" si="124"/>
        <v>2</v>
      </c>
      <c r="AH332" s="176">
        <f t="shared" si="119"/>
        <v>8</v>
      </c>
      <c r="AI332" s="225">
        <f t="shared" si="120"/>
        <v>2.4967655384411827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'2025'!Wh/'2025'!Env_an*'2026'!Env_an</f>
        <v>11.938275284251681</v>
      </c>
      <c r="C333" s="841"/>
      <c r="D333" s="393">
        <f t="shared" si="102"/>
        <v>12.771984969033079</v>
      </c>
      <c r="E333" s="385">
        <f t="shared" si="125"/>
        <v>13.069304562956463</v>
      </c>
      <c r="F333" s="385">
        <f t="shared" si="103"/>
        <v>13.069496941060173</v>
      </c>
      <c r="G333" s="110">
        <f t="shared" si="126"/>
        <v>0.43238118504873641</v>
      </c>
      <c r="H333" s="414" t="b">
        <f>Wh_hp&gt;='2025'!Maxi_hp</f>
        <v>0</v>
      </c>
      <c r="I333" s="390">
        <f>IF(H333,Wh_hp,'2025'!Maxi_hp)</f>
        <v>27.219183293094108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6.5276437985388291E-2</v>
      </c>
      <c r="M333" s="845"/>
      <c r="N333" s="845"/>
      <c r="O333" s="48">
        <f>IF(t&lt;Tnet,'2025'!Resal+('2025'!Salim-'2025'!Resal)*(1-EXP(('2025'!Tnet-t)/('2025'!Tau_j))),Resal+(Salim-Resal)*(1-EXP((Tnet-t)/(Tau_j))))*Salcycl</f>
        <v>2.2749457898938612E-2</v>
      </c>
      <c r="P333" s="169">
        <f>(INDEX(Models!$BJ333:$BT333,,T333)*(1-R333)+INDEX(Models!$BJ333:$BT333,,T333+1)*R333-ERP_i)*Q333*Ramure*Pc/MaxiM</f>
        <v>7.7817816734918307E-5</v>
      </c>
      <c r="Q333" s="305">
        <f t="shared" si="105"/>
        <v>0.5</v>
      </c>
      <c r="R333" s="177">
        <f t="shared" si="106"/>
        <v>0.9718096815984989</v>
      </c>
      <c r="S333" s="811">
        <f t="shared" si="107"/>
        <v>-2</v>
      </c>
      <c r="T333" s="176">
        <f t="shared" si="108"/>
        <v>4</v>
      </c>
      <c r="U333" s="251">
        <f t="shared" si="109"/>
        <v>-1.0281903184015011</v>
      </c>
      <c r="V333" s="383">
        <f t="shared" si="110"/>
        <v>27.608791507067988</v>
      </c>
      <c r="W333" s="402">
        <f t="shared" si="111"/>
        <v>11.938275284251681</v>
      </c>
      <c r="X333" s="157">
        <f t="shared" si="112"/>
        <v>46341</v>
      </c>
      <c r="Y333" s="385">
        <f t="shared" si="113"/>
        <v>11.409087500960469</v>
      </c>
      <c r="Z333" s="385">
        <f t="shared" si="114"/>
        <v>12.205841346686968</v>
      </c>
      <c r="AA333" s="386">
        <f t="shared" si="115"/>
        <v>13.067250587426631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6.5921230711571133E-2</v>
      </c>
      <c r="AD333" s="231">
        <f>(INDEX(Models!$BJ333:$BT333,,AH333)*(1-AF333)+INDEX(Models!$BJ333:$BT333,,AH333+1)*AF333-ERP_i)*AE333*Ramure*Pc/MaxiM</f>
        <v>9.0866024774210823E-4</v>
      </c>
      <c r="AE333" s="305">
        <f t="shared" si="117"/>
        <v>0.5</v>
      </c>
      <c r="AF333" s="177">
        <f t="shared" si="118"/>
        <v>0.4967972479724776</v>
      </c>
      <c r="AG333" s="811">
        <f t="shared" si="124"/>
        <v>2</v>
      </c>
      <c r="AH333" s="176">
        <f t="shared" si="119"/>
        <v>8</v>
      </c>
      <c r="AI333" s="225">
        <f t="shared" si="120"/>
        <v>2.4967972479724776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'2025'!Wh/'2025'!Env_an*'2026'!Env_an</f>
        <v>26.503922338716656</v>
      </c>
      <c r="C334" s="841"/>
      <c r="D334" s="393">
        <f t="shared" si="102"/>
        <v>28.355445323562819</v>
      </c>
      <c r="E334" s="385">
        <f t="shared" si="125"/>
        <v>29.017521621685248</v>
      </c>
      <c r="F334" s="385">
        <f t="shared" si="103"/>
        <v>29.01976817212833</v>
      </c>
      <c r="G334" s="110">
        <f t="shared" si="126"/>
        <v>0.96841753650850126</v>
      </c>
      <c r="H334" s="414" t="b">
        <f>Wh_hp&gt;='2025'!Maxi_hp</f>
        <v>0</v>
      </c>
      <c r="I334" s="390">
        <f>IF(H334,Wh_hp,'2025'!Maxi_hp)</f>
        <v>29.019822672351918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6.5296910830301202E-2</v>
      </c>
      <c r="M334" s="845"/>
      <c r="N334" s="845"/>
      <c r="O334" s="48">
        <f>IF(t&lt;Tnet,'2025'!Resal+('2025'!Salim-'2025'!Resal)*(1-EXP(('2025'!Tnet-t)/('2025'!Tau_j))),Resal+(Salim-Resal)*(1-EXP((Tnet-t)/(Tau_j))))*Salcycl</f>
        <v>2.2816431628938507E-2</v>
      </c>
      <c r="P334" s="169">
        <f>(INDEX(Models!$BJ334:$BT334,,T334)*(1-R334)+INDEX(Models!$BJ334:$BT334,,T334+1)*R334-ERP_i)*Q334*Ramure*Pc/MaxiM</f>
        <v>8.1071860357929306E-5</v>
      </c>
      <c r="Q334" s="305">
        <f t="shared" si="105"/>
        <v>0.5</v>
      </c>
      <c r="R334" s="177">
        <f t="shared" si="106"/>
        <v>0.97184011819398841</v>
      </c>
      <c r="S334" s="811">
        <f t="shared" si="107"/>
        <v>-2</v>
      </c>
      <c r="T334" s="176">
        <f t="shared" si="108"/>
        <v>4</v>
      </c>
      <c r="U334" s="251">
        <f t="shared" si="109"/>
        <v>-1.0281598818060116</v>
      </c>
      <c r="V334" s="383">
        <f t="shared" si="110"/>
        <v>27.368179940243134</v>
      </c>
      <c r="W334" s="402">
        <f t="shared" si="111"/>
        <v>26.503922338716656</v>
      </c>
      <c r="X334" s="157">
        <f t="shared" si="112"/>
        <v>46342</v>
      </c>
      <c r="Y334" s="385">
        <f t="shared" si="113"/>
        <v>25.314245646103018</v>
      </c>
      <c r="Z334" s="385">
        <f t="shared" si="114"/>
        <v>27.082659658897441</v>
      </c>
      <c r="AA334" s="386">
        <f t="shared" si="115"/>
        <v>28.994012092733811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6.592231622595536E-2</v>
      </c>
      <c r="AD334" s="231">
        <f>(INDEX(Models!$BJ334:$BT334,,AH334)*(1-AF334)+INDEX(Models!$BJ334:$BT334,,AH334+1)*AF334-ERP_i)*AE334*Ramure*Pc/MaxiM</f>
        <v>9.2946645309927836E-4</v>
      </c>
      <c r="AE334" s="305">
        <f t="shared" si="117"/>
        <v>0.5</v>
      </c>
      <c r="AF334" s="177">
        <f t="shared" si="118"/>
        <v>0.49682768456796733</v>
      </c>
      <c r="AG334" s="811">
        <f t="shared" si="124"/>
        <v>2</v>
      </c>
      <c r="AH334" s="176">
        <f t="shared" si="119"/>
        <v>8</v>
      </c>
      <c r="AI334" s="225">
        <f t="shared" si="120"/>
        <v>2.4968276845679673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'2025'!Wh/'2025'!Env_an*'2026'!Env_an</f>
        <v>12.405593488351673</v>
      </c>
      <c r="C335" s="841"/>
      <c r="D335" s="393">
        <f t="shared" ref="D335:D379" si="127">Wh/(1-Ppv)</f>
        <v>13.272519747055448</v>
      </c>
      <c r="E335" s="385">
        <f t="shared" si="125"/>
        <v>13.583355120180705</v>
      </c>
      <c r="F335" s="385">
        <f t="shared" ref="F335:F379" si="128">Wh_sa/(1-Pvg*MEDIAN((-Sdif+Wh/Env_an)/Csdif,0,1))</f>
        <v>13.583613011567609</v>
      </c>
      <c r="G335" s="110">
        <f t="shared" si="126"/>
        <v>0.45721461016837872</v>
      </c>
      <c r="H335" s="414" t="b">
        <f>Wh_hp&gt;='2025'!Maxi_hp</f>
        <v>0</v>
      </c>
      <c r="I335" s="390">
        <f>IF(H335,Wh_hp,'2025'!Maxi_hp)</f>
        <v>28.670073792979203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6.5317383226806247E-2</v>
      </c>
      <c r="M335" s="845"/>
      <c r="N335" s="845"/>
      <c r="O335" s="48">
        <f>IF(t&lt;Tnet,'2025'!Resal+('2025'!Salim-'2025'!Resal)*(1-EXP(('2025'!Tnet-t)/('2025'!Tau_j))),Resal+(Salim-Resal)*(1-EXP((Tnet-t)/(Tau_j))))*Salcycl</f>
        <v>2.2883549047720268E-2</v>
      </c>
      <c r="P335" s="169">
        <f>(INDEX(Models!$BJ335:$BT335,,T335)*(1-R335)+INDEX(Models!$BJ335:$BT335,,T335+1)*R335-ERP_i)*Q335*Ramure*Pc/MaxiM</f>
        <v>8.4516967762362531E-5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0.9718693328079826</v>
      </c>
      <c r="S335" s="811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-1.0281306671920174</v>
      </c>
      <c r="V335" s="383">
        <f t="shared" ref="V335:V379" si="135">MaxiM*(1-Ppv)*(1-Pvg)*(1-Psa)</f>
        <v>27.13119887250944</v>
      </c>
      <c r="W335" s="402">
        <f t="shared" ref="W335:W379" si="136">Wh*(A335&gt;Tmaj)</f>
        <v>12.405593488351673</v>
      </c>
      <c r="X335" s="157">
        <f t="shared" ref="X335:X379" si="137">t</f>
        <v>46343</v>
      </c>
      <c r="Y335" s="385">
        <f t="shared" ref="Y335:Y379" si="138">Wh_pvt_s*(1-Ppv)</f>
        <v>11.856839321975894</v>
      </c>
      <c r="Z335" s="385">
        <f t="shared" ref="Z335:Z379" si="139">Wh_sa_s*(1-Psa_s)</f>
        <v>12.685417605078907</v>
      </c>
      <c r="AA335" s="386">
        <f t="shared" ref="AA335:AA379" si="140">Wh_hp*(1-Pvg_s*MEDIAN((-Sdif+Wh/Env_an)/Csdif,0,1))</f>
        <v>13.580715780357364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6.5924225921389357E-2</v>
      </c>
      <c r="AD335" s="231">
        <f>(INDEX(Models!$BJ335:$BT335,,AH335)*(1-AF335)+INDEX(Models!$BJ335:$BT335,,AH335+1)*AF335-ERP_i)*AE335*Ramure*Pc/MaxiM</f>
        <v>9.494896271529321E-4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0.49685689918196152</v>
      </c>
      <c r="AG335" s="811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2.4968568991819615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'2025'!Wh/'2025'!Env_an*'2026'!Env_an</f>
        <v>14.724555954922288</v>
      </c>
      <c r="C336" s="841"/>
      <c r="D336" s="393">
        <f t="shared" si="127"/>
        <v>15.75388073267678</v>
      </c>
      <c r="E336" s="385">
        <f t="shared" si="125"/>
        <v>16.123938492451025</v>
      </c>
      <c r="F336" s="385">
        <f t="shared" si="128"/>
        <v>16.124440920349556</v>
      </c>
      <c r="G336" s="110">
        <f t="shared" si="126"/>
        <v>0.54739188071564249</v>
      </c>
      <c r="H336" s="414" t="b">
        <f>Wh_hp&gt;='2025'!Maxi_hp</f>
        <v>0</v>
      </c>
      <c r="I336" s="390">
        <f>IF(H336,Wh_hp,'2025'!Maxi_hp)</f>
        <v>27.452705708144066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6.5337855174913306E-2</v>
      </c>
      <c r="M336" s="845"/>
      <c r="N336" s="845"/>
      <c r="O336" s="48">
        <f>IF(t&lt;Tnet,'2025'!Resal+('2025'!Salim-'2025'!Resal)*(1-EXP(('2025'!Tnet-t)/('2025'!Tau_j))),Resal+(Salim-Resal)*(1-EXP((Tnet-t)/(Tau_j))))*Salcycl</f>
        <v>2.2950829286994507E-2</v>
      </c>
      <c r="P336" s="169">
        <f>(INDEX(Models!$BJ336:$BT336,,T336)*(1-R336)+INDEX(Models!$BJ336:$BT336,,T336+1)*R336-ERP_i)*Q336*Ramure*Pc/MaxiM</f>
        <v>8.8154991579378106E-5</v>
      </c>
      <c r="Q336" s="305">
        <f t="shared" si="130"/>
        <v>0.5</v>
      </c>
      <c r="R336" s="177">
        <f t="shared" si="131"/>
        <v>0.97189737436664592</v>
      </c>
      <c r="S336" s="811">
        <f t="shared" si="132"/>
        <v>-2</v>
      </c>
      <c r="T336" s="176">
        <f t="shared" si="133"/>
        <v>4</v>
      </c>
      <c r="U336" s="251">
        <f t="shared" si="134"/>
        <v>-1.0281026256333541</v>
      </c>
      <c r="V336" s="383">
        <f t="shared" si="135"/>
        <v>26.897944987308446</v>
      </c>
      <c r="W336" s="402">
        <f t="shared" si="136"/>
        <v>14.724555954922288</v>
      </c>
      <c r="X336" s="157">
        <f t="shared" si="137"/>
        <v>46344</v>
      </c>
      <c r="Y336" s="385">
        <f t="shared" si="138"/>
        <v>14.072504712113217</v>
      </c>
      <c r="Z336" s="385">
        <f t="shared" si="139"/>
        <v>15.056247639885699</v>
      </c>
      <c r="AA336" s="386">
        <f t="shared" si="140"/>
        <v>16.118919765780483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6.5927006358749582E-2</v>
      </c>
      <c r="AD336" s="231">
        <f>(INDEX(Models!$BJ336:$BT336,,AH336)*(1-AF336)+INDEX(Models!$BJ336:$BT336,,AH336+1)*AF336-ERP_i)*AE336*Ramure*Pc/MaxiM</f>
        <v>9.6873070935521259E-4</v>
      </c>
      <c r="AE336" s="305">
        <f t="shared" si="142"/>
        <v>0.5</v>
      </c>
      <c r="AF336" s="177">
        <f t="shared" si="143"/>
        <v>0.49688494074062506</v>
      </c>
      <c r="AG336" s="811">
        <f t="shared" ref="AG336:AG379" si="149">INDEX(Echel_vg,AH336)</f>
        <v>2</v>
      </c>
      <c r="AH336" s="176">
        <f t="shared" si="144"/>
        <v>8</v>
      </c>
      <c r="AI336" s="225">
        <f t="shared" si="145"/>
        <v>2.4968849407406251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'2025'!Wh/'2025'!Env_an*'2026'!Env_an</f>
        <v>7.5407960180564242</v>
      </c>
      <c r="C337" s="841"/>
      <c r="D337" s="393">
        <f t="shared" si="127"/>
        <v>8.0681144798808031</v>
      </c>
      <c r="E337" s="385">
        <f t="shared" si="125"/>
        <v>8.2582042230765627</v>
      </c>
      <c r="F337" s="385">
        <f t="shared" si="128"/>
        <v>8.2582042230765627</v>
      </c>
      <c r="G337" s="110">
        <f t="shared" si="126"/>
        <v>0.28273424171528722</v>
      </c>
      <c r="H337" s="414" t="b">
        <f>Wh_hp&gt;='2025'!Maxi_hp</f>
        <v>0</v>
      </c>
      <c r="I337" s="390">
        <f>IF(H337,Wh_hp,'2025'!Maxi_hp)</f>
        <v>29.080430360791048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6.535832667463215E-2</v>
      </c>
      <c r="M337" s="845"/>
      <c r="N337" s="845"/>
      <c r="O337" s="48">
        <f>IF(t&lt;Tnet,'2025'!Resal+('2025'!Salim-'2025'!Resal)*(1-EXP(('2025'!Tnet-t)/('2025'!Tau_j))),Resal+(Salim-Resal)*(1-EXP((Tnet-t)/(Tau_j))))*Salcycl</f>
        <v>2.3018290425002634E-2</v>
      </c>
      <c r="P337" s="169">
        <f>(INDEX(Models!$BJ337:$BT337,,T337)*(1-R337)+INDEX(Models!$BJ337:$BT337,,T337+1)*R337-ERP_i)*Q337*Ramure*Pc/MaxiM</f>
        <v>9.1987839250790484E-5</v>
      </c>
      <c r="Q337" s="305">
        <f t="shared" si="130"/>
        <v>0.5</v>
      </c>
      <c r="R337" s="177">
        <f t="shared" si="131"/>
        <v>0.97192428984781642</v>
      </c>
      <c r="S337" s="811">
        <f t="shared" si="132"/>
        <v>-2</v>
      </c>
      <c r="T337" s="176">
        <f t="shared" si="133"/>
        <v>4</v>
      </c>
      <c r="U337" s="251">
        <f t="shared" si="134"/>
        <v>-1.0280757101521836</v>
      </c>
      <c r="V337" s="383">
        <f t="shared" si="135"/>
        <v>26.668514965786699</v>
      </c>
      <c r="W337" s="402">
        <f t="shared" si="136"/>
        <v>7.5407960180564242</v>
      </c>
      <c r="X337" s="157">
        <f t="shared" si="137"/>
        <v>46345</v>
      </c>
      <c r="Y337" s="385">
        <f t="shared" si="138"/>
        <v>7.2095782189249711</v>
      </c>
      <c r="Z337" s="385">
        <f t="shared" si="139"/>
        <v>7.7137350330998666</v>
      </c>
      <c r="AA337" s="386">
        <f t="shared" si="140"/>
        <v>8.2582042230765627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6.5930700582003329E-2</v>
      </c>
      <c r="AD337" s="231">
        <f>(INDEX(Models!$BJ337:$BT337,,AH337)*(1-AF337)+INDEX(Models!$BJ337:$BT337,,AH337+1)*AF337-ERP_i)*AE337*Ramure*Pc/MaxiM</f>
        <v>9.8719014196271956E-4</v>
      </c>
      <c r="AE337" s="305">
        <f t="shared" si="142"/>
        <v>0.5</v>
      </c>
      <c r="AF337" s="177">
        <f t="shared" si="143"/>
        <v>0.49691185622179557</v>
      </c>
      <c r="AG337" s="811">
        <f t="shared" si="149"/>
        <v>2</v>
      </c>
      <c r="AH337" s="176">
        <f t="shared" si="144"/>
        <v>8</v>
      </c>
      <c r="AI337" s="225">
        <f t="shared" si="145"/>
        <v>2.4969118562217956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'2025'!Wh/'2025'!Env_an*'2026'!Env_an</f>
        <v>15.07134050238805</v>
      </c>
      <c r="C338" s="841"/>
      <c r="D338" s="393">
        <f t="shared" si="127"/>
        <v>16.125613741393799</v>
      </c>
      <c r="E338" s="385">
        <f t="shared" si="125"/>
        <v>16.506686265409627</v>
      </c>
      <c r="F338" s="385">
        <f t="shared" si="128"/>
        <v>16.50729625596146</v>
      </c>
      <c r="G338" s="110">
        <f t="shared" si="126"/>
        <v>0.56992198894241486</v>
      </c>
      <c r="H338" s="414" t="b">
        <f>Wh_hp&gt;='2025'!Maxi_hp</f>
        <v>0</v>
      </c>
      <c r="I338" s="390">
        <f>IF(H338,Wh_hp,'2025'!Maxi_hp)</f>
        <v>30.110087627610774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6.5378797725972548E-2</v>
      </c>
      <c r="M338" s="845"/>
      <c r="N338" s="845"/>
      <c r="O338" s="48">
        <f>IF(t&lt;Tnet,'2025'!Resal+('2025'!Salim-'2025'!Resal)*(1-EXP(('2025'!Tnet-t)/('2025'!Tau_j))),Resal+(Salim-Resal)*(1-EXP((Tnet-t)/(Tau_j))))*Salcycl</f>
        <v>2.3085949407930403E-2</v>
      </c>
      <c r="P338" s="169">
        <f>(INDEX(Models!$BJ338:$BT338,,T338)*(1-R338)+INDEX(Models!$BJ338:$BT338,,T338+1)*R338-ERP_i)*Q338*Ramure*Pc/MaxiM</f>
        <v>9.5819291615217121E-5</v>
      </c>
      <c r="Q338" s="305">
        <f t="shared" si="130"/>
        <v>0.5</v>
      </c>
      <c r="R338" s="177">
        <f t="shared" si="131"/>
        <v>0.97195012435775552</v>
      </c>
      <c r="S338" s="811">
        <f t="shared" si="132"/>
        <v>-2</v>
      </c>
      <c r="T338" s="176">
        <f t="shared" si="133"/>
        <v>4</v>
      </c>
      <c r="U338" s="251">
        <f t="shared" si="134"/>
        <v>-1.0280498756422445</v>
      </c>
      <c r="V338" s="383">
        <f t="shared" si="135"/>
        <v>26.443010736235461</v>
      </c>
      <c r="W338" s="402">
        <f t="shared" si="136"/>
        <v>15.07134050238805</v>
      </c>
      <c r="X338" s="157">
        <f t="shared" si="137"/>
        <v>46346</v>
      </c>
      <c r="Y338" s="385">
        <f t="shared" si="138"/>
        <v>14.405232067918099</v>
      </c>
      <c r="Z338" s="385">
        <f t="shared" si="139"/>
        <v>15.412909564718541</v>
      </c>
      <c r="AA338" s="386">
        <f t="shared" si="140"/>
        <v>16.500902299255564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6.593534794676699E-2</v>
      </c>
      <c r="AD338" s="231">
        <f>(INDEX(Models!$BJ338:$BT338,,AH338)*(1-AF338)+INDEX(Models!$BJ338:$BT338,,AH338+1)*AF338-ERP_i)*AE338*Ramure*Pc/MaxiM</f>
        <v>1.0043834291169405E-3</v>
      </c>
      <c r="AE338" s="305">
        <f t="shared" si="142"/>
        <v>0.5</v>
      </c>
      <c r="AF338" s="177">
        <f t="shared" si="143"/>
        <v>0.49693769073173444</v>
      </c>
      <c r="AG338" s="811">
        <f t="shared" si="149"/>
        <v>2</v>
      </c>
      <c r="AH338" s="176">
        <f t="shared" si="144"/>
        <v>8</v>
      </c>
      <c r="AI338" s="225">
        <f t="shared" si="145"/>
        <v>2.4969376907317344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'2025'!Wh/'2025'!Env_an*'2026'!Env_an</f>
        <v>3.185004648857491</v>
      </c>
      <c r="C339" s="841"/>
      <c r="D339" s="393">
        <f t="shared" si="127"/>
        <v>3.4078773329898198</v>
      </c>
      <c r="E339" s="385">
        <f t="shared" si="125"/>
        <v>3.4886529831052528</v>
      </c>
      <c r="F339" s="385">
        <f t="shared" si="128"/>
        <v>3.4886529831052528</v>
      </c>
      <c r="G339" s="110">
        <f t="shared" si="126"/>
        <v>0.12145314930781391</v>
      </c>
      <c r="H339" s="414" t="b">
        <f>Wh_hp&gt;='2025'!Maxi_hp</f>
        <v>0</v>
      </c>
      <c r="I339" s="390">
        <f>IF(H339,Wh_hp,'2025'!Maxi_hp)</f>
        <v>29.084066217541494</v>
      </c>
      <c r="J339" s="85">
        <f>IF(H339,An,'2025'!An_max)</f>
        <v>2019</v>
      </c>
      <c r="K339" s="197">
        <f t="shared" si="129"/>
        <v>46347</v>
      </c>
      <c r="L339" s="147">
        <f>IF(t&lt;Tvie,1-EXP((T0-t)*PertePVj)+'2025'!Pspv,1-EXP((T0-t)*PertePVj)+Pspv)</f>
        <v>6.5399268328944493E-2</v>
      </c>
      <c r="M339" s="845"/>
      <c r="N339" s="845"/>
      <c r="O339" s="48">
        <f>IF(t&lt;Tnet,'2025'!Resal+('2025'!Salim-'2025'!Resal)*(1-EXP(('2025'!Tnet-t)/('2025'!Tau_j))),Resal+(Salim-Resal)*(1-EXP((Tnet-t)/(Tau_j))))*Salcycl</f>
        <v>2.3153821978457289E-2</v>
      </c>
      <c r="P339" s="169">
        <f>(INDEX(Models!$BJ339:$BT339,,T339)*(1-R339)+INDEX(Models!$BJ339:$BT339,,T339+1)*R339-ERP_i)*Q339*Ramure*Pc/MaxiM</f>
        <v>9.9544660261363129E-5</v>
      </c>
      <c r="Q339" s="305">
        <f t="shared" si="130"/>
        <v>0.5</v>
      </c>
      <c r="R339" s="177">
        <f t="shared" si="131"/>
        <v>0.97197492120494067</v>
      </c>
      <c r="S339" s="811">
        <f t="shared" si="132"/>
        <v>-2</v>
      </c>
      <c r="T339" s="176">
        <f t="shared" si="133"/>
        <v>4</v>
      </c>
      <c r="U339" s="251">
        <f t="shared" si="134"/>
        <v>-1.0280250787950593</v>
      </c>
      <c r="V339" s="383">
        <f t="shared" si="135"/>
        <v>26.221531650697976</v>
      </c>
      <c r="W339" s="402">
        <f t="shared" si="136"/>
        <v>3.185004648857491</v>
      </c>
      <c r="X339" s="157">
        <f t="shared" si="137"/>
        <v>46347</v>
      </c>
      <c r="Y339" s="385">
        <f t="shared" si="138"/>
        <v>3.0454972085600462</v>
      </c>
      <c r="Z339" s="385">
        <f t="shared" si="139"/>
        <v>3.258607772663233</v>
      </c>
      <c r="AA339" s="386">
        <f t="shared" si="140"/>
        <v>3.4886529831052528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6.5940983971772463E-2</v>
      </c>
      <c r="AD339" s="231">
        <f>(INDEX(Models!$BJ339:$BT339,,AH339)*(1-AF339)+INDEX(Models!$BJ339:$BT339,,AH339+1)*AF339-ERP_i)*AE339*Ramure*Pc/MaxiM</f>
        <v>1.0204732876572488E-3</v>
      </c>
      <c r="AE339" s="305">
        <f t="shared" si="142"/>
        <v>0.5</v>
      </c>
      <c r="AF339" s="177">
        <f t="shared" si="143"/>
        <v>0.49696248757891937</v>
      </c>
      <c r="AG339" s="811">
        <f t="shared" si="149"/>
        <v>2</v>
      </c>
      <c r="AH339" s="176">
        <f t="shared" si="144"/>
        <v>8</v>
      </c>
      <c r="AI339" s="225">
        <f t="shared" si="145"/>
        <v>2.4969624875789194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'2025'!Wh/'2025'!Env_an*'2026'!Env_an</f>
        <v>7.9175674625336239</v>
      </c>
      <c r="C340" s="841"/>
      <c r="D340" s="393">
        <f t="shared" si="127"/>
        <v>8.4717897312389656</v>
      </c>
      <c r="E340" s="385">
        <f t="shared" si="125"/>
        <v>8.6731980655145158</v>
      </c>
      <c r="F340" s="385">
        <f t="shared" si="128"/>
        <v>8.6732037829641211</v>
      </c>
      <c r="G340" s="110">
        <f t="shared" si="126"/>
        <v>0.30444173291601034</v>
      </c>
      <c r="H340" s="414" t="b">
        <f>Wh_hp&gt;='2025'!Maxi_hp</f>
        <v>0</v>
      </c>
      <c r="I340" s="390">
        <f>IF(H340,Wh_hp,'2025'!Maxi_hp)</f>
        <v>29.591035421411469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6.5419738483557643E-2</v>
      </c>
      <c r="M340" s="845"/>
      <c r="N340" s="845"/>
      <c r="O340" s="48">
        <f>IF(t&lt;Tnet,'2025'!Resal+('2025'!Salim-'2025'!Resal)*(1-EXP(('2025'!Tnet-t)/('2025'!Tau_j))),Resal+(Salim-Resal)*(1-EXP((Tnet-t)/(Tau_j))))*Salcycl</f>
        <v>2.3221922611956578E-2</v>
      </c>
      <c r="P340" s="169">
        <f>(INDEX(Models!$BJ340:$BT340,,T340)*(1-R340)+INDEX(Models!$BJ340:$BT340,,T340+1)*R340-ERP_i)*Q340*Ramure*Pc/MaxiM</f>
        <v>1.0316383736066833E-4</v>
      </c>
      <c r="Q340" s="305">
        <f t="shared" si="130"/>
        <v>0.5</v>
      </c>
      <c r="R340" s="177">
        <f t="shared" si="131"/>
        <v>0.97199872197100934</v>
      </c>
      <c r="S340" s="811">
        <f t="shared" si="132"/>
        <v>-2</v>
      </c>
      <c r="T340" s="176">
        <f t="shared" si="133"/>
        <v>4</v>
      </c>
      <c r="U340" s="251">
        <f t="shared" si="134"/>
        <v>-1.0280012780289907</v>
      </c>
      <c r="V340" s="383">
        <f t="shared" si="135"/>
        <v>26.00417425973734</v>
      </c>
      <c r="W340" s="402">
        <f t="shared" si="136"/>
        <v>7.9175674625336239</v>
      </c>
      <c r="X340" s="157">
        <f t="shared" si="137"/>
        <v>46348</v>
      </c>
      <c r="Y340" s="385">
        <f t="shared" si="138"/>
        <v>7.5711962489726439</v>
      </c>
      <c r="Z340" s="385">
        <f t="shared" si="139"/>
        <v>8.1011728588058158</v>
      </c>
      <c r="AA340" s="386">
        <f t="shared" si="140"/>
        <v>8.6731463969149072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6.5947640214230274E-2</v>
      </c>
      <c r="AD340" s="231">
        <f>(INDEX(Models!$BJ340:$BT340,,AH340)*(1-AF340)+INDEX(Models!$BJ340:$BT340,,AH340+1)*AF340-ERP_i)*AE340*Ramure*Pc/MaxiM</f>
        <v>1.0354555714507103E-3</v>
      </c>
      <c r="AE340" s="305">
        <f t="shared" si="142"/>
        <v>0.5</v>
      </c>
      <c r="AF340" s="177">
        <f t="shared" si="143"/>
        <v>0.49698628834498804</v>
      </c>
      <c r="AG340" s="811">
        <f t="shared" si="149"/>
        <v>2</v>
      </c>
      <c r="AH340" s="176">
        <f t="shared" si="144"/>
        <v>8</v>
      </c>
      <c r="AI340" s="225">
        <f t="shared" si="145"/>
        <v>2.496986288344988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'2025'!Wh/'2025'!Env_an*'2026'!Env_an</f>
        <v>11.865669545864032</v>
      </c>
      <c r="C341" s="841"/>
      <c r="D341" s="393">
        <f t="shared" si="127"/>
        <v>12.696533330287027</v>
      </c>
      <c r="E341" s="385">
        <f t="shared" si="125"/>
        <v>12.999290237726381</v>
      </c>
      <c r="F341" s="385">
        <f t="shared" si="128"/>
        <v>12.999607345860992</v>
      </c>
      <c r="G341" s="110">
        <f t="shared" si="126"/>
        <v>0.46003167859575572</v>
      </c>
      <c r="H341" s="414" t="b">
        <f>Wh_hp&gt;='2025'!Maxi_hp</f>
        <v>0</v>
      </c>
      <c r="I341" s="390">
        <f>IF(H341,Wh_hp,'2025'!Maxi_hp)</f>
        <v>29.56301535081597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6.544020818982188E-2</v>
      </c>
      <c r="M341" s="845"/>
      <c r="N341" s="845"/>
      <c r="O341" s="48">
        <f>IF(t&lt;Tnet,'2025'!Resal+('2025'!Salim-'2025'!Resal)*(1-EXP(('2025'!Tnet-t)/('2025'!Tau_j))),Resal+(Salim-Resal)*(1-EXP((Tnet-t)/(Tau_j))))*Salcycl</f>
        <v>2.3290264460800812E-2</v>
      </c>
      <c r="P341" s="169">
        <f>(INDEX(Models!$BJ341:$BT341,,T341)*(1-R341)+INDEX(Models!$BJ341:$BT341,,T341+1)*R341-ERP_i)*Q341*Ramure*Pc/MaxiM</f>
        <v>1.0667594646383907E-4</v>
      </c>
      <c r="Q341" s="305">
        <f t="shared" si="130"/>
        <v>0.5</v>
      </c>
      <c r="R341" s="177">
        <f t="shared" si="131"/>
        <v>0.97202156657895888</v>
      </c>
      <c r="S341" s="811">
        <f t="shared" si="132"/>
        <v>-2</v>
      </c>
      <c r="T341" s="176">
        <f t="shared" si="133"/>
        <v>4</v>
      </c>
      <c r="U341" s="251">
        <f t="shared" si="134"/>
        <v>-1.0279784334210411</v>
      </c>
      <c r="V341" s="383">
        <f t="shared" si="135"/>
        <v>25.791035139068292</v>
      </c>
      <c r="W341" s="402">
        <f t="shared" si="136"/>
        <v>11.865669545864032</v>
      </c>
      <c r="X341" s="157">
        <f t="shared" si="137"/>
        <v>46349</v>
      </c>
      <c r="Y341" s="385">
        <f t="shared" si="138"/>
        <v>11.344901927353458</v>
      </c>
      <c r="Z341" s="385">
        <f t="shared" si="139"/>
        <v>12.139300263901962</v>
      </c>
      <c r="AA341" s="386">
        <f t="shared" si="140"/>
        <v>12.996488110210779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6.5955344169888588E-2</v>
      </c>
      <c r="AD341" s="231">
        <f>(INDEX(Models!$BJ341:$BT341,,AH341)*(1-AF341)+INDEX(Models!$BJ341:$BT341,,AH341+1)*AF341-ERP_i)*AE341*Ramure*Pc/MaxiM</f>
        <v>1.0493184466456086E-3</v>
      </c>
      <c r="AE341" s="305">
        <f t="shared" si="142"/>
        <v>0.5</v>
      </c>
      <c r="AF341" s="177">
        <f t="shared" si="143"/>
        <v>0.4970091329529378</v>
      </c>
      <c r="AG341" s="811">
        <f t="shared" si="149"/>
        <v>2</v>
      </c>
      <c r="AH341" s="176">
        <f t="shared" si="144"/>
        <v>8</v>
      </c>
      <c r="AI341" s="225">
        <f t="shared" si="145"/>
        <v>2.4970091329529378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'2025'!Wh/'2025'!Env_an*'2026'!Env_an</f>
        <v>13.059746823284904</v>
      </c>
      <c r="C342" s="841"/>
      <c r="D342" s="393">
        <f t="shared" si="127"/>
        <v>13.974528955740857</v>
      </c>
      <c r="E342" s="385">
        <f t="shared" si="125"/>
        <v>14.308765393425073</v>
      </c>
      <c r="F342" s="385">
        <f t="shared" si="128"/>
        <v>14.309239070869989</v>
      </c>
      <c r="G342" s="110">
        <f t="shared" si="126"/>
        <v>0.51046180306733935</v>
      </c>
      <c r="H342" s="414" t="b">
        <f>Wh_hp&gt;='2025'!Maxi_hp</f>
        <v>0</v>
      </c>
      <c r="I342" s="390">
        <f>IF(H342,Wh_hp,'2025'!Maxi_hp)</f>
        <v>27.223770958160259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6.5460677447746973E-2</v>
      </c>
      <c r="M342" s="845"/>
      <c r="N342" s="845"/>
      <c r="O342" s="48">
        <f>IF(t&lt;Tnet,'2025'!Resal+('2025'!Salim-'2025'!Resal)*(1-EXP(('2025'!Tnet-t)/('2025'!Tau_j))),Resal+(Salim-Resal)*(1-EXP((Tnet-t)/(Tau_j))))*Salcycl</f>
        <v>2.3358859307162843E-2</v>
      </c>
      <c r="P342" s="169">
        <f>(INDEX(Models!$BJ342:$BT342,,T342)*(1-R342)+INDEX(Models!$BJ342:$BT342,,T342+1)*R342-ERP_i)*Q342*Ramure*Pc/MaxiM</f>
        <v>1.1008035796251379E-4</v>
      </c>
      <c r="Q342" s="305">
        <f t="shared" si="130"/>
        <v>0.5</v>
      </c>
      <c r="R342" s="177">
        <f t="shared" si="131"/>
        <v>0.97204349335870699</v>
      </c>
      <c r="S342" s="811">
        <f t="shared" si="132"/>
        <v>-2</v>
      </c>
      <c r="T342" s="176">
        <f t="shared" si="133"/>
        <v>4</v>
      </c>
      <c r="U342" s="251">
        <f t="shared" si="134"/>
        <v>-1.027956506641293</v>
      </c>
      <c r="V342" s="383">
        <f t="shared" si="135"/>
        <v>25.582210863862748</v>
      </c>
      <c r="W342" s="402">
        <f t="shared" si="136"/>
        <v>13.059746823284904</v>
      </c>
      <c r="X342" s="157">
        <f t="shared" si="137"/>
        <v>46350</v>
      </c>
      <c r="Y342" s="385">
        <f t="shared" si="138"/>
        <v>12.486449182357184</v>
      </c>
      <c r="Z342" s="385">
        <f t="shared" si="139"/>
        <v>13.36107414748086</v>
      </c>
      <c r="AA342" s="386">
        <f t="shared" si="140"/>
        <v>14.304669041208715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6.5964119198393012E-2</v>
      </c>
      <c r="AD342" s="231">
        <f>(INDEX(Models!$BJ342:$BT342,,AH342)*(1-AF342)+INDEX(Models!$BJ342:$BT342,,AH342+1)*AF342-ERP_i)*AE342*Ramure*Pc/MaxiM</f>
        <v>1.062052893614764E-3</v>
      </c>
      <c r="AE342" s="305">
        <f t="shared" si="142"/>
        <v>0.5</v>
      </c>
      <c r="AF342" s="177">
        <f t="shared" si="143"/>
        <v>0.49703105973268569</v>
      </c>
      <c r="AG342" s="811">
        <f t="shared" si="149"/>
        <v>2</v>
      </c>
      <c r="AH342" s="176">
        <f t="shared" si="144"/>
        <v>8</v>
      </c>
      <c r="AI342" s="225">
        <f t="shared" si="145"/>
        <v>2.4970310597326857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'2025'!Wh/'2025'!Env_an*'2026'!Env_an</f>
        <v>5.0567975093491961</v>
      </c>
      <c r="C343" s="841"/>
      <c r="D343" s="393">
        <f t="shared" si="127"/>
        <v>5.4111241192162289</v>
      </c>
      <c r="E343" s="385">
        <f t="shared" si="125"/>
        <v>5.5409355931138968</v>
      </c>
      <c r="F343" s="385">
        <f t="shared" si="128"/>
        <v>5.5409355931138968</v>
      </c>
      <c r="G343" s="110">
        <f t="shared" si="126"/>
        <v>0.19923809720095351</v>
      </c>
      <c r="H343" s="414" t="b">
        <f>Wh_hp&gt;='2025'!Maxi_hp</f>
        <v>0</v>
      </c>
      <c r="I343" s="390">
        <f>IF(H343,Wh_hp,'2025'!Maxi_hp)</f>
        <v>26.38503248912658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6.5481146257342804E-2</v>
      </c>
      <c r="M343" s="845"/>
      <c r="N343" s="845"/>
      <c r="O343" s="48">
        <f>IF(t&lt;Tnet,'2025'!Resal+('2025'!Salim-'2025'!Resal)*(1-EXP(('2025'!Tnet-t)/('2025'!Tau_j))),Resal+(Salim-Resal)*(1-EXP((Tnet-t)/(Tau_j))))*Salcycl</f>
        <v>2.3427717524634961E-2</v>
      </c>
      <c r="P343" s="169">
        <f>(INDEX(Models!$BJ343:$BT343,,T343)*(1-R343)+INDEX(Models!$BJ343:$BT343,,T343+1)*R343-ERP_i)*Q343*Ramure*Pc/MaxiM</f>
        <v>1.1337685618213521E-4</v>
      </c>
      <c r="Q343" s="305">
        <f t="shared" si="130"/>
        <v>0.5</v>
      </c>
      <c r="R343" s="177">
        <f t="shared" si="131"/>
        <v>0.97206453911010415</v>
      </c>
      <c r="S343" s="811">
        <f t="shared" si="132"/>
        <v>-2</v>
      </c>
      <c r="T343" s="176">
        <f t="shared" si="133"/>
        <v>4</v>
      </c>
      <c r="U343" s="251">
        <f t="shared" si="134"/>
        <v>-1.0279354608898958</v>
      </c>
      <c r="V343" s="383">
        <f t="shared" si="135"/>
        <v>25.377798004392094</v>
      </c>
      <c r="W343" s="402">
        <f t="shared" si="136"/>
        <v>5.0567975093491961</v>
      </c>
      <c r="X343" s="157">
        <f t="shared" si="137"/>
        <v>46351</v>
      </c>
      <c r="Y343" s="385">
        <f t="shared" si="138"/>
        <v>4.8364883109372965</v>
      </c>
      <c r="Z343" s="385">
        <f t="shared" si="139"/>
        <v>5.1753779943204261</v>
      </c>
      <c r="AA343" s="386">
        <f t="shared" si="140"/>
        <v>5.5409355931138968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6.5973984474350211E-2</v>
      </c>
      <c r="AD343" s="231">
        <f>(INDEX(Models!$BJ343:$BT343,,AH343)*(1-AF343)+INDEX(Models!$BJ343:$BT343,,AH343+1)*AF343-ERP_i)*AE343*Ramure*Pc/MaxiM</f>
        <v>1.0736539714071396E-3</v>
      </c>
      <c r="AE343" s="305">
        <f t="shared" si="142"/>
        <v>0.5</v>
      </c>
      <c r="AF343" s="177">
        <f t="shared" si="143"/>
        <v>0.4970521054840833</v>
      </c>
      <c r="AG343" s="811">
        <f t="shared" si="149"/>
        <v>2</v>
      </c>
      <c r="AH343" s="176">
        <f t="shared" si="144"/>
        <v>8</v>
      </c>
      <c r="AI343" s="225">
        <f t="shared" si="145"/>
        <v>2.4970521054840833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'2025'!Wh/'2025'!Env_an*'2026'!Env_an</f>
        <v>10.136291669129218</v>
      </c>
      <c r="C344" s="841"/>
      <c r="D344" s="393">
        <f t="shared" si="127"/>
        <v>10.846772800995762</v>
      </c>
      <c r="E344" s="385">
        <f t="shared" si="125"/>
        <v>11.107770394108391</v>
      </c>
      <c r="F344" s="385">
        <f t="shared" si="128"/>
        <v>11.107960150773351</v>
      </c>
      <c r="G344" s="110">
        <f t="shared" si="126"/>
        <v>0.40254691748288585</v>
      </c>
      <c r="H344" s="414" t="b">
        <f>Wh_hp&gt;='2025'!Maxi_hp</f>
        <v>0</v>
      </c>
      <c r="I344" s="390">
        <f>IF(H344,Wh_hp,'2025'!Maxi_hp)</f>
        <v>26.793324525882319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6.5501614618619142E-2</v>
      </c>
      <c r="M344" s="845"/>
      <c r="N344" s="845"/>
      <c r="O344" s="48">
        <f>IF(t&lt;Tnet,'2025'!Resal+('2025'!Salim-'2025'!Resal)*(1-EXP(('2025'!Tnet-t)/('2025'!Tau_j))),Resal+(Salim-Resal)*(1-EXP((Tnet-t)/(Tau_j))))*Salcycl</f>
        <v>2.3496848048917524E-2</v>
      </c>
      <c r="P344" s="169">
        <f>(INDEX(Models!$BJ344:$BT344,,T344)*(1-R344)+INDEX(Models!$BJ344:$BT344,,T344+1)*R344-ERP_i)*Q344*Ramure*Pc/MaxiM</f>
        <v>1.1656510786930827E-4</v>
      </c>
      <c r="Q344" s="305">
        <f t="shared" si="130"/>
        <v>0.5</v>
      </c>
      <c r="R344" s="177">
        <f t="shared" si="131"/>
        <v>0.97208473916350258</v>
      </c>
      <c r="S344" s="811">
        <f t="shared" si="132"/>
        <v>-2</v>
      </c>
      <c r="T344" s="176">
        <f t="shared" si="133"/>
        <v>4</v>
      </c>
      <c r="U344" s="251">
        <f t="shared" si="134"/>
        <v>-1.0279152608364974</v>
      </c>
      <c r="V344" s="383">
        <f t="shared" si="135"/>
        <v>25.177893138650813</v>
      </c>
      <c r="W344" s="402">
        <f t="shared" si="136"/>
        <v>10.136291669129218</v>
      </c>
      <c r="X344" s="157">
        <f t="shared" si="137"/>
        <v>46352</v>
      </c>
      <c r="Y344" s="385">
        <f t="shared" si="138"/>
        <v>9.6938821139413562</v>
      </c>
      <c r="Z344" s="385">
        <f t="shared" si="139"/>
        <v>10.373353518406731</v>
      </c>
      <c r="AA344" s="386">
        <f t="shared" si="140"/>
        <v>11.106195316168803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6.5984954964295767E-2</v>
      </c>
      <c r="AD344" s="231">
        <f>(INDEX(Models!$BJ344:$BT344,,AH344)*(1-AF344)+INDEX(Models!$BJ344:$BT344,,AH344+1)*AF344-ERP_i)*AE344*Ramure*Pc/MaxiM</f>
        <v>1.0841154701672511E-3</v>
      </c>
      <c r="AE344" s="305">
        <f t="shared" si="142"/>
        <v>0.5</v>
      </c>
      <c r="AF344" s="177">
        <f t="shared" si="143"/>
        <v>0.49707230553748172</v>
      </c>
      <c r="AG344" s="811">
        <f t="shared" si="149"/>
        <v>2</v>
      </c>
      <c r="AH344" s="176">
        <f t="shared" si="144"/>
        <v>8</v>
      </c>
      <c r="AI344" s="225">
        <f t="shared" si="145"/>
        <v>2.4970723055374817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'2025'!Wh/'2025'!Env_an*'2026'!Env_an</f>
        <v>14.418439888264883</v>
      </c>
      <c r="C345" s="841"/>
      <c r="D345" s="393">
        <f t="shared" si="127"/>
        <v>15.429406750804503</v>
      </c>
      <c r="E345" s="385">
        <f t="shared" si="125"/>
        <v>15.801795956839928</v>
      </c>
      <c r="F345" s="385">
        <f t="shared" si="128"/>
        <v>15.80254480359163</v>
      </c>
      <c r="G345" s="110">
        <f t="shared" si="126"/>
        <v>0.5771720458382108</v>
      </c>
      <c r="H345" s="414" t="b">
        <f>Wh_hp&gt;='2025'!Maxi_hp</f>
        <v>0</v>
      </c>
      <c r="I345" s="390">
        <f>IF(H345,Wh_hp,'2025'!Maxi_hp)</f>
        <v>25.130362962848679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6.5522082531585868E-2</v>
      </c>
      <c r="M345" s="845"/>
      <c r="N345" s="845"/>
      <c r="O345" s="48">
        <f>IF(t&lt;Tnet,'2025'!Resal+('2025'!Salim-'2025'!Resal)*(1-EXP(('2025'!Tnet-t)/('2025'!Tau_j))),Resal+(Salim-Resal)*(1-EXP((Tnet-t)/(Tau_j))))*Salcycl</f>
        <v>2.3566258357755492E-2</v>
      </c>
      <c r="P345" s="169">
        <f>(INDEX(Models!$BJ345:$BT345,,T345)*(1-R345)+INDEX(Models!$BJ345:$BT345,,T345+1)*R345-ERP_i)*Q345*Ramure*Pc/MaxiM</f>
        <v>1.1966004715089177E-4</v>
      </c>
      <c r="Q345" s="305">
        <f t="shared" si="130"/>
        <v>0.5</v>
      </c>
      <c r="R345" s="177">
        <f t="shared" si="131"/>
        <v>0.97210412743796315</v>
      </c>
      <c r="S345" s="811">
        <f t="shared" si="132"/>
        <v>-2</v>
      </c>
      <c r="T345" s="176">
        <f t="shared" si="133"/>
        <v>4</v>
      </c>
      <c r="U345" s="251">
        <f t="shared" si="134"/>
        <v>-1.0278958725620368</v>
      </c>
      <c r="V345" s="383">
        <f t="shared" si="135"/>
        <v>24.97937640743945</v>
      </c>
      <c r="W345" s="402">
        <f t="shared" si="136"/>
        <v>14.418439888264883</v>
      </c>
      <c r="X345" s="157">
        <f t="shared" si="137"/>
        <v>46353</v>
      </c>
      <c r="Y345" s="385">
        <f t="shared" si="138"/>
        <v>13.786569112265886</v>
      </c>
      <c r="Z345" s="385">
        <f t="shared" si="139"/>
        <v>14.753231568719096</v>
      </c>
      <c r="AA345" s="386">
        <f t="shared" si="140"/>
        <v>15.795701109234191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6.5997041429561171E-2</v>
      </c>
      <c r="AD345" s="231">
        <f>(INDEX(Models!$BJ345:$BT345,,AH345)*(1-AF345)+INDEX(Models!$BJ345:$BT345,,AH345+1)*AF345-ERP_i)*AE345*Ramure*Pc/MaxiM</f>
        <v>1.0935705972384283E-3</v>
      </c>
      <c r="AE345" s="305">
        <f t="shared" si="142"/>
        <v>0.5</v>
      </c>
      <c r="AF345" s="177">
        <f t="shared" si="143"/>
        <v>0.49709169381194229</v>
      </c>
      <c r="AG345" s="811">
        <f t="shared" si="149"/>
        <v>2</v>
      </c>
      <c r="AH345" s="176">
        <f t="shared" si="144"/>
        <v>8</v>
      </c>
      <c r="AI345" s="225">
        <f t="shared" si="145"/>
        <v>2.4970916938119423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'2025'!Wh/'2025'!Env_an*'2026'!Env_an</f>
        <v>10.451378820427502</v>
      </c>
      <c r="C346" s="841"/>
      <c r="D346" s="393">
        <f t="shared" si="127"/>
        <v>11.184435225365897</v>
      </c>
      <c r="E346" s="385">
        <f t="shared" si="125"/>
        <v>11.455189564239523</v>
      </c>
      <c r="F346" s="385">
        <f t="shared" si="128"/>
        <v>11.455433694061568</v>
      </c>
      <c r="G346" s="110">
        <f t="shared" si="126"/>
        <v>0.42172432018998607</v>
      </c>
      <c r="H346" s="414" t="b">
        <f>Wh_hp&gt;='2025'!Maxi_hp</f>
        <v>0</v>
      </c>
      <c r="I346" s="390">
        <f>IF(H346,Wh_hp,'2025'!Maxi_hp)</f>
        <v>18.630206084198146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6.5542549996252863E-2</v>
      </c>
      <c r="M346" s="845"/>
      <c r="N346" s="845"/>
      <c r="O346" s="48">
        <f>IF(t&lt;Tnet,'2025'!Resal+('2025'!Salim-'2025'!Resal)*(1-EXP(('2025'!Tnet-t)/('2025'!Tau_j))),Resal+(Salim-Resal)*(1-EXP((Tnet-t)/(Tau_j))))*Salcycl</f>
        <v>2.3635954460226358E-2</v>
      </c>
      <c r="P346" s="169">
        <f>(INDEX(Models!$BJ346:$BT346,,T346)*(1-R346)+INDEX(Models!$BJ346:$BT346,,T346+1)*R346-ERP_i)*Q346*Ramure*Pc/MaxiM</f>
        <v>1.2251174269113009E-4</v>
      </c>
      <c r="Q346" s="305">
        <f t="shared" si="130"/>
        <v>0.5</v>
      </c>
      <c r="R346" s="177">
        <f t="shared" si="131"/>
        <v>0.97212273649719805</v>
      </c>
      <c r="S346" s="811">
        <f t="shared" si="132"/>
        <v>-2</v>
      </c>
      <c r="T346" s="176">
        <f t="shared" si="133"/>
        <v>4</v>
      </c>
      <c r="U346" s="251">
        <f t="shared" si="134"/>
        <v>-1.027877263502802</v>
      </c>
      <c r="V346" s="383">
        <f t="shared" si="135"/>
        <v>24.779982118851727</v>
      </c>
      <c r="W346" s="402">
        <f t="shared" si="136"/>
        <v>10.451378820427502</v>
      </c>
      <c r="X346" s="157">
        <f t="shared" si="137"/>
        <v>46354</v>
      </c>
      <c r="Y346" s="385">
        <f t="shared" si="138"/>
        <v>9.9960845296345511</v>
      </c>
      <c r="Z346" s="385">
        <f t="shared" si="139"/>
        <v>10.697206737015652</v>
      </c>
      <c r="AA346" s="386">
        <f t="shared" si="140"/>
        <v>11.45323783502435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6.6010250454830596E-2</v>
      </c>
      <c r="AD346" s="231">
        <f>(INDEX(Models!$BJ346:$BT346,,AH346)*(1-AF346)+INDEX(Models!$BJ346:$BT346,,AH346+1)*AF346-ERP_i)*AE346*Ramure*Pc/MaxiM</f>
        <v>1.1019486070999213E-3</v>
      </c>
      <c r="AE346" s="305">
        <f t="shared" si="142"/>
        <v>0.5</v>
      </c>
      <c r="AF346" s="177">
        <f t="shared" si="143"/>
        <v>0.49711030287117675</v>
      </c>
      <c r="AG346" s="811">
        <f t="shared" si="149"/>
        <v>2</v>
      </c>
      <c r="AH346" s="176">
        <f t="shared" si="144"/>
        <v>8</v>
      </c>
      <c r="AI346" s="225">
        <f t="shared" si="145"/>
        <v>2.4971103028711767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'2025'!Wh/'2025'!Env_an*'2026'!Env_an</f>
        <v>14.54129167996636</v>
      </c>
      <c r="C347" s="841"/>
      <c r="D347" s="393">
        <f t="shared" si="127"/>
        <v>15.56155411730199</v>
      </c>
      <c r="E347" s="385">
        <f t="shared" si="125"/>
        <v>15.93941289735416</v>
      </c>
      <c r="F347" s="385">
        <f t="shared" si="128"/>
        <v>15.940243100392941</v>
      </c>
      <c r="G347" s="110">
        <f t="shared" si="126"/>
        <v>0.59152114848658066</v>
      </c>
      <c r="H347" s="414" t="b">
        <f>Wh_hp&gt;='2025'!Maxi_hp</f>
        <v>0</v>
      </c>
      <c r="I347" s="390">
        <f>IF(H347,Wh_hp,'2025'!Maxi_hp)</f>
        <v>26.41641779115476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6.5563017012629787E-2</v>
      </c>
      <c r="M347" s="845"/>
      <c r="N347" s="845"/>
      <c r="O347" s="48">
        <f>IF(t&lt;Tnet,'2025'!Resal+('2025'!Salim-'2025'!Resal)*(1-EXP(('2025'!Tnet-t)/('2025'!Tau_j))),Resal+(Salim-Resal)*(1-EXP((Tnet-t)/(Tau_j))))*Salcycl</f>
        <v>2.3705940895407208E-2</v>
      </c>
      <c r="P347" s="169">
        <f>(INDEX(Models!$BJ347:$BT347,,T347)*(1-R347)+INDEX(Models!$BJ347:$BT347,,T347+1)*R347-ERP_i)*Q347*Ramure*Pc/MaxiM</f>
        <v>1.2504117780995583E-4</v>
      </c>
      <c r="Q347" s="305">
        <f t="shared" si="130"/>
        <v>0.5</v>
      </c>
      <c r="R347" s="177">
        <f t="shared" si="131"/>
        <v>0.97214059760332705</v>
      </c>
      <c r="S347" s="811">
        <f t="shared" si="132"/>
        <v>-2</v>
      </c>
      <c r="T347" s="176">
        <f t="shared" si="133"/>
        <v>4</v>
      </c>
      <c r="U347" s="251">
        <f t="shared" si="134"/>
        <v>-1.0278594023966729</v>
      </c>
      <c r="V347" s="383">
        <f t="shared" si="135"/>
        <v>24.58108343925317</v>
      </c>
      <c r="W347" s="402">
        <f t="shared" si="136"/>
        <v>14.54129167996636</v>
      </c>
      <c r="X347" s="157">
        <f t="shared" si="137"/>
        <v>46355</v>
      </c>
      <c r="Y347" s="385">
        <f t="shared" si="138"/>
        <v>13.905274818954851</v>
      </c>
      <c r="Z347" s="385">
        <f t="shared" si="139"/>
        <v>14.880912327014345</v>
      </c>
      <c r="AA347" s="386">
        <f t="shared" si="140"/>
        <v>15.932873692482991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6.6024584501975597E-2</v>
      </c>
      <c r="AD347" s="231">
        <f>(INDEX(Models!$BJ347:$BT347,,AH347)*(1-AF347)+INDEX(Models!$BJ347:$BT347,,AH347+1)*AF347-ERP_i)*AE347*Ramure*Pc/MaxiM</f>
        <v>1.1099446783218194E-3</v>
      </c>
      <c r="AE347" s="305">
        <f t="shared" si="142"/>
        <v>0.5</v>
      </c>
      <c r="AF347" s="177">
        <f t="shared" si="143"/>
        <v>0.49712816397730597</v>
      </c>
      <c r="AG347" s="811">
        <f t="shared" si="149"/>
        <v>2</v>
      </c>
      <c r="AH347" s="176">
        <f t="shared" si="144"/>
        <v>8</v>
      </c>
      <c r="AI347" s="225">
        <f t="shared" si="145"/>
        <v>2.497128163977306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'2025'!Wh/'2025'!Env_an*'2026'!Env_an</f>
        <v>4.0512231644172729</v>
      </c>
      <c r="C348" s="841"/>
      <c r="D348" s="393">
        <f t="shared" si="127"/>
        <v>4.3355645937656835</v>
      </c>
      <c r="E348" s="385">
        <f t="shared" si="125"/>
        <v>4.441158560032</v>
      </c>
      <c r="F348" s="385">
        <f t="shared" si="128"/>
        <v>4.441158560032</v>
      </c>
      <c r="G348" s="110">
        <f t="shared" si="126"/>
        <v>0.16612119305432227</v>
      </c>
      <c r="H348" s="414" t="b">
        <f>Wh_hp&gt;='2025'!Maxi_hp</f>
        <v>0</v>
      </c>
      <c r="I348" s="390">
        <f>IF(H348,Wh_hp,'2025'!Maxi_hp)</f>
        <v>25.687652657075112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6.5583483580726409E-2</v>
      </c>
      <c r="M348" s="845"/>
      <c r="N348" s="845"/>
      <c r="O348" s="48">
        <f>IF(t&lt;Tnet,'2025'!Resal+('2025'!Salim-'2025'!Resal)*(1-EXP(('2025'!Tnet-t)/('2025'!Tau_j))),Resal+(Salim-Resal)*(1-EXP((Tnet-t)/(Tau_j))))*Salcycl</f>
        <v>2.3776220740372663E-2</v>
      </c>
      <c r="P348" s="169">
        <f>(INDEX(Models!$BJ348:$BT348,,T348)*(1-R348)+INDEX(Models!$BJ348:$BT348,,T348+1)*R348-ERP_i)*Q348*Ramure*Pc/MaxiM</f>
        <v>1.2724018119926762E-4</v>
      </c>
      <c r="Q348" s="305">
        <f t="shared" si="130"/>
        <v>0.5</v>
      </c>
      <c r="R348" s="177">
        <f t="shared" si="131"/>
        <v>0.97215774076853623</v>
      </c>
      <c r="S348" s="811">
        <f t="shared" si="132"/>
        <v>-2</v>
      </c>
      <c r="T348" s="176">
        <f t="shared" si="133"/>
        <v>4</v>
      </c>
      <c r="U348" s="251">
        <f t="shared" si="134"/>
        <v>-1.0278422592314638</v>
      </c>
      <c r="V348" s="383">
        <f t="shared" si="135"/>
        <v>24.384051255417827</v>
      </c>
      <c r="W348" s="402">
        <f t="shared" si="136"/>
        <v>4.0512231644172729</v>
      </c>
      <c r="X348" s="157">
        <f t="shared" si="137"/>
        <v>46356</v>
      </c>
      <c r="Y348" s="385">
        <f t="shared" si="138"/>
        <v>3.8758328745113104</v>
      </c>
      <c r="Z348" s="385">
        <f t="shared" si="139"/>
        <v>4.1478642622496418</v>
      </c>
      <c r="AA348" s="386">
        <f t="shared" si="140"/>
        <v>4.441158560032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6.6040041988558298E-2</v>
      </c>
      <c r="AD348" s="231">
        <f>(INDEX(Models!$BJ348:$BT348,,AH348)*(1-AF348)+INDEX(Models!$BJ348:$BT348,,AH348+1)*AF348-ERP_i)*AE348*Ramure*Pc/MaxiM</f>
        <v>1.1175009369956874E-3</v>
      </c>
      <c r="AE348" s="305">
        <f t="shared" si="142"/>
        <v>0.5</v>
      </c>
      <c r="AF348" s="177">
        <f t="shared" si="143"/>
        <v>0.49714530714251515</v>
      </c>
      <c r="AG348" s="811">
        <f t="shared" si="149"/>
        <v>2</v>
      </c>
      <c r="AH348" s="176">
        <f t="shared" si="144"/>
        <v>8</v>
      </c>
      <c r="AI348" s="225">
        <f t="shared" si="145"/>
        <v>2.4971453071425151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'2025'!Wh/'2025'!Env_an*'2026'!Env_an</f>
        <v>3.4859160890124139</v>
      </c>
      <c r="C349" s="841"/>
      <c r="D349" s="393">
        <f t="shared" si="127"/>
        <v>3.7306622688476452</v>
      </c>
      <c r="E349" s="385">
        <f t="shared" si="125"/>
        <v>3.8217999512130283</v>
      </c>
      <c r="F349" s="385">
        <f t="shared" si="128"/>
        <v>3.8217999512130283</v>
      </c>
      <c r="G349" s="110">
        <f t="shared" si="126"/>
        <v>0.14408553841246718</v>
      </c>
      <c r="H349" s="414" t="b">
        <f>Wh_hp&gt;='2025'!Maxi_hp</f>
        <v>0</v>
      </c>
      <c r="I349" s="390">
        <f>IF(H349,Wh_hp,'2025'!Maxi_hp)</f>
        <v>26.512351889003813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6.5603949700552833E-2</v>
      </c>
      <c r="M349" s="845"/>
      <c r="N349" s="845"/>
      <c r="O349" s="48">
        <f>IF(t&lt;Tnet,'2025'!Resal+('2025'!Salim-'2025'!Resal)*(1-EXP(('2025'!Tnet-t)/('2025'!Tau_j))),Resal+(Salim-Resal)*(1-EXP((Tnet-t)/(Tau_j))))*Salcycl</f>
        <v>2.3846795627399713E-2</v>
      </c>
      <c r="P349" s="169">
        <f>(INDEX(Models!$BJ349:$BT349,,T349)*(1-R349)+INDEX(Models!$BJ349:$BT349,,T349+1)*R349-ERP_i)*Q349*Ramure*Pc/MaxiM</f>
        <v>1.2909938319916349E-4</v>
      </c>
      <c r="Q349" s="305">
        <f t="shared" si="130"/>
        <v>0.5</v>
      </c>
      <c r="R349" s="177">
        <f t="shared" si="131"/>
        <v>0.97217419480471179</v>
      </c>
      <c r="S349" s="811">
        <f t="shared" si="132"/>
        <v>-2</v>
      </c>
      <c r="T349" s="176">
        <f t="shared" si="133"/>
        <v>4</v>
      </c>
      <c r="U349" s="251">
        <f t="shared" si="134"/>
        <v>-1.0278258051952882</v>
      </c>
      <c r="V349" s="383">
        <f t="shared" si="135"/>
        <v>24.190255995141943</v>
      </c>
      <c r="W349" s="402">
        <f t="shared" si="136"/>
        <v>3.4859160890124139</v>
      </c>
      <c r="X349" s="157">
        <f t="shared" si="137"/>
        <v>46357</v>
      </c>
      <c r="Y349" s="385">
        <f t="shared" si="138"/>
        <v>3.3351816590702765</v>
      </c>
      <c r="Z349" s="385">
        <f t="shared" si="139"/>
        <v>3.5693447740938615</v>
      </c>
      <c r="AA349" s="386">
        <f t="shared" si="140"/>
        <v>3.8217999512130283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6.6056617390200772E-2</v>
      </c>
      <c r="AD349" s="231">
        <f>(INDEX(Models!$BJ349:$BT349,,AH349)*(1-AF349)+INDEX(Models!$BJ349:$BT349,,AH349+1)*AF349-ERP_i)*AE349*Ramure*Pc/MaxiM</f>
        <v>1.1245543555620085E-3</v>
      </c>
      <c r="AE349" s="305">
        <f t="shared" si="142"/>
        <v>0.5</v>
      </c>
      <c r="AF349" s="177">
        <f t="shared" si="143"/>
        <v>0.49716176117869049</v>
      </c>
      <c r="AG349" s="811">
        <f t="shared" si="149"/>
        <v>2</v>
      </c>
      <c r="AH349" s="176">
        <f t="shared" si="144"/>
        <v>8</v>
      </c>
      <c r="AI349" s="225">
        <f t="shared" si="145"/>
        <v>2.4971617611786905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'2025'!Wh/'2025'!Env_an*'2026'!Env_an</f>
        <v>5.7805593639578161</v>
      </c>
      <c r="C350" s="841"/>
      <c r="D350" s="393">
        <f t="shared" si="127"/>
        <v>6.1865479567939969</v>
      </c>
      <c r="E350" s="385">
        <f t="shared" si="125"/>
        <v>6.3381415069616169</v>
      </c>
      <c r="F350" s="385">
        <f t="shared" si="128"/>
        <v>6.3381415069616169</v>
      </c>
      <c r="G350" s="110">
        <f t="shared" si="126"/>
        <v>0.24081446997529635</v>
      </c>
      <c r="H350" s="414" t="b">
        <f>Wh_hp&gt;='2025'!Maxi_hp</f>
        <v>0</v>
      </c>
      <c r="I350" s="390">
        <f>IF(H350,Wh_hp,'2025'!Maxi_hp)</f>
        <v>10.56169638849005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6.5624415372118605E-2</v>
      </c>
      <c r="M350" s="845"/>
      <c r="N350" s="845"/>
      <c r="O350" s="48">
        <f>IF(t&lt;Tnet,'2025'!Resal+('2025'!Salim-'2025'!Resal)*(1-EXP(('2025'!Tnet-t)/('2025'!Tau_j))),Resal+(Salim-Resal)*(1-EXP((Tnet-t)/(Tau_j))))*Salcycl</f>
        <v>2.3917665770181163E-2</v>
      </c>
      <c r="P350" s="169">
        <f>(INDEX(Models!$BJ350:$BT350,,T350)*(1-R350)+INDEX(Models!$BJ350:$BT350,,T350+1)*R350-ERP_i)*Q350*Ramure*Pc/MaxiM</f>
        <v>1.3060836200664351E-4</v>
      </c>
      <c r="Q350" s="305">
        <f t="shared" si="130"/>
        <v>0.5</v>
      </c>
      <c r="R350" s="177">
        <f t="shared" si="131"/>
        <v>0.97218998737113349</v>
      </c>
      <c r="S350" s="811">
        <f t="shared" si="132"/>
        <v>-2</v>
      </c>
      <c r="T350" s="176">
        <f t="shared" si="133"/>
        <v>4</v>
      </c>
      <c r="U350" s="251">
        <f t="shared" si="134"/>
        <v>-1.0278100126288665</v>
      </c>
      <c r="V350" s="383">
        <f t="shared" si="135"/>
        <v>24.001067606779284</v>
      </c>
      <c r="W350" s="402">
        <f t="shared" si="136"/>
        <v>5.7805593639578161</v>
      </c>
      <c r="X350" s="157">
        <f t="shared" si="137"/>
        <v>46358</v>
      </c>
      <c r="Y350" s="385">
        <f t="shared" si="138"/>
        <v>5.530899139507901</v>
      </c>
      <c r="Z350" s="385">
        <f t="shared" si="139"/>
        <v>5.9193532349313287</v>
      </c>
      <c r="AA350" s="386">
        <f t="shared" si="140"/>
        <v>6.3381415069616169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6.6074301365834809E-2</v>
      </c>
      <c r="AD350" s="231">
        <f>(INDEX(Models!$BJ350:$BT350,,AH350)*(1-AF350)+INDEX(Models!$BJ350:$BT350,,AH350+1)*AF350-ERP_i)*AE350*Ramure*Pc/MaxiM</f>
        <v>1.1310368941501578E-3</v>
      </c>
      <c r="AE350" s="305">
        <f t="shared" si="142"/>
        <v>0.5</v>
      </c>
      <c r="AF350" s="177">
        <f t="shared" si="143"/>
        <v>0.49717755374511263</v>
      </c>
      <c r="AG350" s="811">
        <f t="shared" si="149"/>
        <v>2</v>
      </c>
      <c r="AH350" s="176">
        <f t="shared" si="144"/>
        <v>8</v>
      </c>
      <c r="AI350" s="225">
        <f t="shared" si="145"/>
        <v>2.4971775537451126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'2025'!Wh/'2025'!Env_an*'2026'!Env_an</f>
        <v>8.6343518151803469</v>
      </c>
      <c r="C351" s="841"/>
      <c r="D351" s="393">
        <f t="shared" si="127"/>
        <v>9.2409744816111612</v>
      </c>
      <c r="E351" s="385">
        <f t="shared" si="125"/>
        <v>9.4681031996791365</v>
      </c>
      <c r="F351" s="385">
        <f t="shared" si="128"/>
        <v>9.4682146112945649</v>
      </c>
      <c r="G351" s="110">
        <f t="shared" si="126"/>
        <v>0.36247242129956797</v>
      </c>
      <c r="H351" s="414" t="b">
        <f>Wh_hp&gt;='2025'!Maxi_hp</f>
        <v>0</v>
      </c>
      <c r="I351" s="390">
        <f>IF(H351,Wh_hp,'2025'!Maxi_hp)</f>
        <v>17.22212353344614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6.5644880595433719E-2</v>
      </c>
      <c r="M351" s="845"/>
      <c r="N351" s="845"/>
      <c r="O351" s="48">
        <f>IF(t&lt;Tnet,'2025'!Resal+('2025'!Salim-'2025'!Resal)*(1-EXP(('2025'!Tnet-t)/('2025'!Tau_j))),Resal+(Salim-Resal)*(1-EXP((Tnet-t)/(Tau_j))))*Salcycl</f>
        <v>2.3988829998776655E-2</v>
      </c>
      <c r="P351" s="169">
        <f>(INDEX(Models!$BJ351:$BT351,,T351)*(1-R351)+INDEX(Models!$BJ351:$BT351,,T351+1)*R351-ERP_i)*Q351*Ramure*Pc/MaxiM</f>
        <v>1.3175581551088427E-4</v>
      </c>
      <c r="Q351" s="305">
        <f t="shared" si="130"/>
        <v>0.5</v>
      </c>
      <c r="R351" s="177">
        <f t="shared" si="131"/>
        <v>0.9722051450202962</v>
      </c>
      <c r="S351" s="811">
        <f t="shared" si="132"/>
        <v>-2</v>
      </c>
      <c r="T351" s="176">
        <f t="shared" si="133"/>
        <v>4</v>
      </c>
      <c r="U351" s="251">
        <f t="shared" si="134"/>
        <v>-1.0277948549797038</v>
      </c>
      <c r="V351" s="383">
        <f t="shared" si="135"/>
        <v>23.817855564293144</v>
      </c>
      <c r="W351" s="402">
        <f t="shared" si="136"/>
        <v>8.6343518151803469</v>
      </c>
      <c r="X351" s="157">
        <f t="shared" si="137"/>
        <v>46359</v>
      </c>
      <c r="Y351" s="385">
        <f t="shared" si="138"/>
        <v>8.261131941279519</v>
      </c>
      <c r="Z351" s="385">
        <f t="shared" si="139"/>
        <v>8.8415333417812985</v>
      </c>
      <c r="AA351" s="386">
        <f t="shared" si="140"/>
        <v>9.4672532786736792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6.6093080904669879E-2</v>
      </c>
      <c r="AD351" s="231">
        <f>(INDEX(Models!$BJ351:$BT351,,AH351)*(1-AF351)+INDEX(Models!$BJ351:$BT351,,AH351+1)*AF351-ERP_i)*AE351*Ramure*Pc/MaxiM</f>
        <v>1.1368757463361971E-3</v>
      </c>
      <c r="AE351" s="305">
        <f t="shared" si="142"/>
        <v>0.5</v>
      </c>
      <c r="AF351" s="177">
        <f t="shared" si="143"/>
        <v>0.49719271139427512</v>
      </c>
      <c r="AG351" s="811">
        <f t="shared" si="149"/>
        <v>2</v>
      </c>
      <c r="AH351" s="176">
        <f t="shared" si="144"/>
        <v>8</v>
      </c>
      <c r="AI351" s="225">
        <f t="shared" si="145"/>
        <v>2.4971927113942751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'2025'!Wh/'2025'!Env_an*'2026'!Env_an</f>
        <v>17.142993186827876</v>
      </c>
      <c r="C352" s="841"/>
      <c r="D352" s="393">
        <f t="shared" si="127"/>
        <v>18.347808359549592</v>
      </c>
      <c r="E352" s="385">
        <f t="shared" si="125"/>
        <v>18.800145226844627</v>
      </c>
      <c r="F352" s="385">
        <f t="shared" si="128"/>
        <v>18.801659135285213</v>
      </c>
      <c r="G352" s="110">
        <f t="shared" si="126"/>
        <v>0.72507019666739436</v>
      </c>
      <c r="H352" s="414" t="b">
        <f>Wh_hp&gt;='2025'!Maxi_hp</f>
        <v>0</v>
      </c>
      <c r="I352" s="390">
        <f>IF(H352,Wh_hp,'2025'!Maxi_hp)</f>
        <v>18.802161730519916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6.5665345370507833E-2</v>
      </c>
      <c r="M352" s="845"/>
      <c r="N352" s="845"/>
      <c r="O352" s="48">
        <f>IF(t&lt;Tnet,'2025'!Resal+('2025'!Salim-'2025'!Resal)*(1-EXP(('2025'!Tnet-t)/('2025'!Tau_j))),Resal+(Salim-Resal)*(1-EXP((Tnet-t)/(Tau_j))))*Salcycl</f>
        <v>2.4060285802959918E-2</v>
      </c>
      <c r="P352" s="169">
        <f>(INDEX(Models!$BJ352:$BT352,,T352)*(1-R352)+INDEX(Models!$BJ352:$BT352,,T352+1)*R352-ERP_i)*Q352*Ramure*Pc/MaxiM</f>
        <v>1.325873969466624E-4</v>
      </c>
      <c r="Q352" s="305">
        <f t="shared" si="130"/>
        <v>0.5</v>
      </c>
      <c r="R352" s="177">
        <f t="shared" si="131"/>
        <v>0.97221969324193114</v>
      </c>
      <c r="S352" s="811">
        <f t="shared" si="132"/>
        <v>-2</v>
      </c>
      <c r="T352" s="176">
        <f t="shared" si="133"/>
        <v>4</v>
      </c>
      <c r="U352" s="251">
        <f t="shared" si="134"/>
        <v>-1.0277803067580689</v>
      </c>
      <c r="V352" s="383">
        <f t="shared" si="135"/>
        <v>23.641987495359302</v>
      </c>
      <c r="W352" s="402">
        <f t="shared" si="136"/>
        <v>17.142993186827876</v>
      </c>
      <c r="X352" s="157">
        <f t="shared" si="137"/>
        <v>46360</v>
      </c>
      <c r="Y352" s="385">
        <f t="shared" si="138"/>
        <v>16.394254067913817</v>
      </c>
      <c r="Z352" s="385">
        <f t="shared" si="139"/>
        <v>17.546447610267556</v>
      </c>
      <c r="AA352" s="386">
        <f t="shared" si="140"/>
        <v>18.788618401835578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6.6112939493553499E-2</v>
      </c>
      <c r="AD352" s="231">
        <f>(INDEX(Models!$BJ352:$BT352,,AH352)*(1-AF352)+INDEX(Models!$BJ352:$BT352,,AH352+1)*AF352-ERP_i)*AE352*Ramure*Pc/MaxiM</f>
        <v>1.1421013688863179E-3</v>
      </c>
      <c r="AE352" s="305">
        <f t="shared" si="142"/>
        <v>0.5</v>
      </c>
      <c r="AF352" s="177">
        <f t="shared" si="143"/>
        <v>0.49720725961591006</v>
      </c>
      <c r="AG352" s="811">
        <f t="shared" si="149"/>
        <v>2</v>
      </c>
      <c r="AH352" s="176">
        <f t="shared" si="144"/>
        <v>8</v>
      </c>
      <c r="AI352" s="225">
        <f t="shared" si="145"/>
        <v>2.4972072596159101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'2025'!Wh/'2025'!Env_an*'2026'!Env_an</f>
        <v>23.332855783994191</v>
      </c>
      <c r="C353" s="841"/>
      <c r="D353" s="393">
        <f t="shared" si="127"/>
        <v>24.973243504346286</v>
      </c>
      <c r="E353" s="385">
        <f t="shared" si="125"/>
        <v>25.590801477551256</v>
      </c>
      <c r="F353" s="385">
        <f t="shared" si="128"/>
        <v>25.594183658486802</v>
      </c>
      <c r="G353" s="110">
        <f t="shared" si="126"/>
        <v>0.9939510462929243</v>
      </c>
      <c r="H353" s="414" t="b">
        <f>Wh_hp&gt;='2025'!Maxi_hp</f>
        <v>0</v>
      </c>
      <c r="I353" s="390">
        <f>IF(H353,Wh_hp,'2025'!Maxi_hp)</f>
        <v>25.594198791491184</v>
      </c>
      <c r="J353" s="85">
        <f>IF(H353,An,'2025'!An_max)</f>
        <v>2025</v>
      </c>
      <c r="K353" s="197">
        <f t="shared" si="129"/>
        <v>46361</v>
      </c>
      <c r="L353" s="147">
        <f>IF(t&lt;Tvie,1-EXP((T0-t)*PertePVj)+'2025'!Pspv,1-EXP((T0-t)*PertePVj)+Pspv)</f>
        <v>6.5685809697350939E-2</v>
      </c>
      <c r="M353" s="845"/>
      <c r="N353" s="845"/>
      <c r="O353" s="48">
        <f>IF(t&lt;Tnet,'2025'!Resal+('2025'!Salim-'2025'!Resal)*(1-EXP(('2025'!Tnet-t)/('2025'!Tau_j))),Resal+(Salim-Resal)*(1-EXP((Tnet-t)/(Tau_j))))*Salcycl</f>
        <v>2.4132029383554212E-2</v>
      </c>
      <c r="P353" s="169">
        <f>(INDEX(Models!$BJ353:$BT353,,T353)*(1-R353)+INDEX(Models!$BJ353:$BT353,,T353+1)*R353-ERP_i)*Q353*Ramure*Pc/MaxiM</f>
        <v>1.3329812599388968E-4</v>
      </c>
      <c r="Q353" s="305">
        <f t="shared" si="130"/>
        <v>0.5</v>
      </c>
      <c r="R353" s="177">
        <f t="shared" si="131"/>
        <v>0.97223365650530003</v>
      </c>
      <c r="S353" s="811">
        <f t="shared" si="132"/>
        <v>-2</v>
      </c>
      <c r="T353" s="176">
        <f t="shared" si="133"/>
        <v>4</v>
      </c>
      <c r="U353" s="251">
        <f t="shared" si="134"/>
        <v>-1.0277663434947</v>
      </c>
      <c r="V353" s="383">
        <f t="shared" si="135"/>
        <v>23.474827051053229</v>
      </c>
      <c r="W353" s="402">
        <f t="shared" si="136"/>
        <v>23.332855783994191</v>
      </c>
      <c r="X353" s="157">
        <f t="shared" si="137"/>
        <v>46361</v>
      </c>
      <c r="Y353" s="385">
        <f t="shared" si="138"/>
        <v>22.306153391595636</v>
      </c>
      <c r="Z353" s="385">
        <f t="shared" si="139"/>
        <v>23.874360063363785</v>
      </c>
      <c r="AA353" s="386">
        <f t="shared" si="140"/>
        <v>25.565077233040114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6.6133857303245683E-2</v>
      </c>
      <c r="AD353" s="231">
        <f>(INDEX(Models!$BJ353:$BT353,,AH353)*(1-AF353)+INDEX(Models!$BJ353:$BT353,,AH353+1)*AF353-ERP_i)*AE353*Ramure*Pc/MaxiM</f>
        <v>1.1471390917166422E-3</v>
      </c>
      <c r="AE353" s="305">
        <f t="shared" si="142"/>
        <v>0.5</v>
      </c>
      <c r="AF353" s="177">
        <f t="shared" si="143"/>
        <v>0.49722122287927917</v>
      </c>
      <c r="AG353" s="811">
        <f t="shared" si="149"/>
        <v>2</v>
      </c>
      <c r="AH353" s="176">
        <f t="shared" si="144"/>
        <v>8</v>
      </c>
      <c r="AI353" s="225">
        <f t="shared" si="145"/>
        <v>2.4972212228792792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'2025'!Wh/'2025'!Env_an*'2026'!Env_an</f>
        <v>10.806008232807443</v>
      </c>
      <c r="C354" s="841"/>
      <c r="D354" s="393">
        <f t="shared" si="127"/>
        <v>11.56596467169593</v>
      </c>
      <c r="E354" s="385">
        <f t="shared" si="125"/>
        <v>11.852851755934156</v>
      </c>
      <c r="F354" s="385">
        <f t="shared" si="128"/>
        <v>11.853222234961184</v>
      </c>
      <c r="G354" s="110">
        <f t="shared" si="126"/>
        <v>0.46337673350662167</v>
      </c>
      <c r="H354" s="414" t="b">
        <f>Wh_hp&gt;='2025'!Maxi_hp</f>
        <v>0</v>
      </c>
      <c r="I354" s="390">
        <f>IF(H354,Wh_hp,'2025'!Maxi_hp)</f>
        <v>20.632916228723204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6.5706273575972696E-2</v>
      </c>
      <c r="M354" s="845"/>
      <c r="N354" s="845"/>
      <c r="O354" s="48">
        <f>IF(t&lt;Tnet,'2025'!Resal+('2025'!Salim-'2025'!Resal)*(1-EXP(('2025'!Tnet-t)/('2025'!Tau_j))),Resal+(Salim-Resal)*(1-EXP((Tnet-t)/(Tau_j))))*Salcycl</f>
        <v>2.420405571128436E-2</v>
      </c>
      <c r="P354" s="169">
        <f>(INDEX(Models!$BJ354:$BT354,,T354)*(1-R354)+INDEX(Models!$BJ354:$BT354,,T354+1)*R354-ERP_i)*Q354*Ramure*Pc/MaxiM</f>
        <v>1.3387781834639197E-4</v>
      </c>
      <c r="Q354" s="305">
        <f t="shared" si="130"/>
        <v>0.5</v>
      </c>
      <c r="R354" s="177">
        <f t="shared" si="131"/>
        <v>0.97224705829982305</v>
      </c>
      <c r="S354" s="811">
        <f t="shared" si="132"/>
        <v>-2</v>
      </c>
      <c r="T354" s="176">
        <f t="shared" si="133"/>
        <v>4</v>
      </c>
      <c r="U354" s="251">
        <f t="shared" si="134"/>
        <v>-1.0277529417001769</v>
      </c>
      <c r="V354" s="383">
        <f t="shared" si="135"/>
        <v>23.317742302997097</v>
      </c>
      <c r="W354" s="402">
        <f t="shared" si="136"/>
        <v>10.806008232807443</v>
      </c>
      <c r="X354" s="157">
        <f t="shared" si="137"/>
        <v>46362</v>
      </c>
      <c r="Y354" s="385">
        <f t="shared" si="138"/>
        <v>10.338974643200091</v>
      </c>
      <c r="Z354" s="385">
        <f t="shared" si="139"/>
        <v>11.066085911517476</v>
      </c>
      <c r="AA354" s="386">
        <f t="shared" si="140"/>
        <v>11.850034563059832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6.6155811391990671E-2</v>
      </c>
      <c r="AD354" s="231">
        <f>(INDEX(Models!$BJ354:$BT354,,AH354)*(1-AF354)+INDEX(Models!$BJ354:$BT354,,AH354+1)*AF354-ERP_i)*AE354*Ramure*Pc/MaxiM</f>
        <v>1.1519101720301613E-3</v>
      </c>
      <c r="AE354" s="305">
        <f t="shared" si="142"/>
        <v>0.5</v>
      </c>
      <c r="AF354" s="177">
        <f t="shared" si="143"/>
        <v>0.49723462467380219</v>
      </c>
      <c r="AG354" s="811">
        <f t="shared" si="149"/>
        <v>2</v>
      </c>
      <c r="AH354" s="176">
        <f t="shared" si="144"/>
        <v>8</v>
      </c>
      <c r="AI354" s="225">
        <f t="shared" si="145"/>
        <v>2.4972346246738022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'2025'!Wh/'2025'!Env_an*'2026'!Env_an</f>
        <v>19.606673084103193</v>
      </c>
      <c r="C355" s="841"/>
      <c r="D355" s="393">
        <f t="shared" si="127"/>
        <v>20.986015399048348</v>
      </c>
      <c r="E355" s="385">
        <f t="shared" si="125"/>
        <v>21.508155084546367</v>
      </c>
      <c r="F355" s="385">
        <f t="shared" si="128"/>
        <v>21.510409201960332</v>
      </c>
      <c r="G355" s="110">
        <f t="shared" si="126"/>
        <v>0.84610775352043843</v>
      </c>
      <c r="H355" s="414" t="b">
        <f>Wh_hp&gt;='2025'!Maxi_hp</f>
        <v>0</v>
      </c>
      <c r="I355" s="390">
        <f>IF(H355,Wh_hp,'2025'!Maxi_hp)</f>
        <v>21.510735238277935</v>
      </c>
      <c r="J355" s="85">
        <f>IF(H355,An,'2025'!An_max)</f>
        <v>2025</v>
      </c>
      <c r="K355" s="197">
        <f t="shared" si="129"/>
        <v>46363</v>
      </c>
      <c r="L355" s="147">
        <f>IF(t&lt;Tvie,1-EXP((T0-t)*PertePVj)+'2025'!Pspv,1-EXP((T0-t)*PertePVj)+Pspv)</f>
        <v>6.5726737006382985E-2</v>
      </c>
      <c r="M355" s="845"/>
      <c r="N355" s="845"/>
      <c r="O355" s="48">
        <f>IF(t&lt;Tnet,'2025'!Resal+('2025'!Salim-'2025'!Resal)*(1-EXP(('2025'!Tnet-t)/('2025'!Tau_j))),Resal+(Salim-Resal)*(1-EXP((Tnet-t)/(Tau_j))))*Salcycl</f>
        <v>2.4276358592614837E-2</v>
      </c>
      <c r="P355" s="169">
        <f>(INDEX(Models!$BJ355:$BT355,,T355)*(1-R355)+INDEX(Models!$BJ355:$BT355,,T355+1)*R355-ERP_i)*Q355*Ramure*Pc/MaxiM</f>
        <v>1.343159818778255E-4</v>
      </c>
      <c r="Q355" s="305">
        <f t="shared" si="130"/>
        <v>0.5</v>
      </c>
      <c r="R355" s="177">
        <f t="shared" si="131"/>
        <v>0.97225992117410809</v>
      </c>
      <c r="S355" s="811">
        <f t="shared" si="132"/>
        <v>-2</v>
      </c>
      <c r="T355" s="176">
        <f t="shared" si="133"/>
        <v>4</v>
      </c>
      <c r="U355" s="251">
        <f t="shared" si="134"/>
        <v>-1.0277400788258919</v>
      </c>
      <c r="V355" s="383">
        <f t="shared" si="135"/>
        <v>23.172100803396457</v>
      </c>
      <c r="W355" s="402">
        <f t="shared" si="136"/>
        <v>19.606673084103193</v>
      </c>
      <c r="X355" s="157">
        <f t="shared" si="137"/>
        <v>46363</v>
      </c>
      <c r="Y355" s="385">
        <f t="shared" si="138"/>
        <v>18.749701314317729</v>
      </c>
      <c r="Z355" s="385">
        <f t="shared" si="139"/>
        <v>20.068755103019392</v>
      </c>
      <c r="AA355" s="386">
        <f t="shared" si="140"/>
        <v>21.491003401524669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6.6178775924644759E-2</v>
      </c>
      <c r="AD355" s="231">
        <f>(INDEX(Models!$BJ355:$BT355,,AH355)*(1-AF355)+INDEX(Models!$BJ355:$BT355,,AH355+1)*AF355-ERP_i)*AE355*Ramure*Pc/MaxiM</f>
        <v>1.1563324623163958E-3</v>
      </c>
      <c r="AE355" s="305">
        <f t="shared" si="142"/>
        <v>0.5</v>
      </c>
      <c r="AF355" s="177">
        <f t="shared" si="143"/>
        <v>0.49724748754808701</v>
      </c>
      <c r="AG355" s="811">
        <f t="shared" si="149"/>
        <v>2</v>
      </c>
      <c r="AH355" s="176">
        <f t="shared" si="144"/>
        <v>8</v>
      </c>
      <c r="AI355" s="225">
        <f t="shared" si="145"/>
        <v>2.497247487548087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'2025'!Wh/'2025'!Env_an*'2026'!Env_an</f>
        <v>4.0476271012352933</v>
      </c>
      <c r="C356" s="841"/>
      <c r="D356" s="393">
        <f t="shared" si="127"/>
        <v>4.3324752156866611</v>
      </c>
      <c r="E356" s="385">
        <f t="shared" si="125"/>
        <v>4.4405990545180654</v>
      </c>
      <c r="F356" s="385">
        <f t="shared" si="128"/>
        <v>4.4405990545180654</v>
      </c>
      <c r="G356" s="110">
        <f t="shared" si="126"/>
        <v>0.17566018172079068</v>
      </c>
      <c r="H356" s="414" t="b">
        <f>Wh_hp&gt;='2025'!Maxi_hp</f>
        <v>0</v>
      </c>
      <c r="I356" s="390">
        <f>IF(H356,Wh_hp,'2025'!Maxi_hp)</f>
        <v>16.757981515209075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6.5747199988591687E-2</v>
      </c>
      <c r="M356" s="845"/>
      <c r="N356" s="845"/>
      <c r="O356" s="48">
        <f>IF(t&lt;Tnet,'2025'!Resal+('2025'!Salim-'2025'!Resal)*(1-EXP(('2025'!Tnet-t)/('2025'!Tau_j))),Resal+(Salim-Resal)*(1-EXP((Tnet-t)/(Tau_j))))*Salcycl</f>
        <v>2.4348930741989454E-2</v>
      </c>
      <c r="P356" s="169">
        <f>(INDEX(Models!$BJ356:$BT356,,T356)*(1-R356)+INDEX(Models!$BJ356:$BT356,,T356+1)*R356-ERP_i)*Q356*Ramure*Pc/MaxiM</f>
        <v>1.3460194616695138E-4</v>
      </c>
      <c r="Q356" s="305">
        <f t="shared" si="130"/>
        <v>0.5</v>
      </c>
      <c r="R356" s="177">
        <f t="shared" si="131"/>
        <v>0.97227226677344225</v>
      </c>
      <c r="S356" s="811">
        <f t="shared" si="132"/>
        <v>-2</v>
      </c>
      <c r="T356" s="176">
        <f t="shared" si="133"/>
        <v>4</v>
      </c>
      <c r="U356" s="251">
        <f t="shared" si="134"/>
        <v>-1.0277277332265577</v>
      </c>
      <c r="V356" s="383">
        <f t="shared" si="135"/>
        <v>23.039269589182638</v>
      </c>
      <c r="W356" s="402">
        <f t="shared" si="136"/>
        <v>4.0476271012352933</v>
      </c>
      <c r="X356" s="157">
        <f t="shared" si="137"/>
        <v>46364</v>
      </c>
      <c r="Y356" s="385">
        <f t="shared" si="138"/>
        <v>3.873990699078151</v>
      </c>
      <c r="Z356" s="385">
        <f t="shared" si="139"/>
        <v>4.1466193079976268</v>
      </c>
      <c r="AA356" s="386">
        <f t="shared" si="140"/>
        <v>4.4405990545180654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6.6202722405512088E-2</v>
      </c>
      <c r="AD356" s="231">
        <f>(INDEX(Models!$BJ356:$BT356,,AH356)*(1-AF356)+INDEX(Models!$BJ356:$BT356,,AH356+1)*AF356-ERP_i)*AE356*Ramure*Pc/MaxiM</f>
        <v>1.1603209202317275E-3</v>
      </c>
      <c r="AE356" s="305">
        <f t="shared" si="142"/>
        <v>0.5</v>
      </c>
      <c r="AF356" s="177">
        <f t="shared" si="143"/>
        <v>0.49725983314742095</v>
      </c>
      <c r="AG356" s="811">
        <f t="shared" si="149"/>
        <v>2</v>
      </c>
      <c r="AH356" s="176">
        <f t="shared" si="144"/>
        <v>8</v>
      </c>
      <c r="AI356" s="225">
        <f t="shared" si="145"/>
        <v>2.4972598331474209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'2025'!Wh/'2025'!Env_an*'2026'!Env_an</f>
        <v>4.8972616373826954</v>
      </c>
      <c r="C357" s="841"/>
      <c r="D357" s="393">
        <f t="shared" si="127"/>
        <v>5.2420168312801634</v>
      </c>
      <c r="E357" s="385">
        <f t="shared" si="125"/>
        <v>5.3732408504929445</v>
      </c>
      <c r="F357" s="385">
        <f t="shared" si="128"/>
        <v>5.3732408504929445</v>
      </c>
      <c r="G357" s="110">
        <f t="shared" si="126"/>
        <v>0.21363309042329842</v>
      </c>
      <c r="H357" s="414" t="b">
        <f>Wh_hp&gt;='2025'!Maxi_hp</f>
        <v>0</v>
      </c>
      <c r="I357" s="390">
        <f>IF(H357,Wh_hp,'2025'!Maxi_hp)</f>
        <v>11.880379374635188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6.5767662522608572E-2</v>
      </c>
      <c r="M357" s="845"/>
      <c r="N357" s="845"/>
      <c r="O357" s="48">
        <f>IF(t&lt;Tnet,'2025'!Resal+('2025'!Salim-'2025'!Resal)*(1-EXP(('2025'!Tnet-t)/('2025'!Tau_j))),Resal+(Salim-Resal)*(1-EXP((Tnet-t)/(Tau_j))))*Salcycl</f>
        <v>2.4421763859839428E-2</v>
      </c>
      <c r="P357" s="169">
        <f>(INDEX(Models!$BJ357:$BT357,,T357)*(1-R357)+INDEX(Models!$BJ357:$BT357,,T357+1)*R357-ERP_i)*Q357*Ramure*Pc/MaxiM</f>
        <v>1.3472501224692898E-4</v>
      </c>
      <c r="Q357" s="305">
        <f t="shared" si="130"/>
        <v>0.5</v>
      </c>
      <c r="R357" s="177">
        <f t="shared" si="131"/>
        <v>0.97228411587580221</v>
      </c>
      <c r="S357" s="811">
        <f t="shared" si="132"/>
        <v>-2</v>
      </c>
      <c r="T357" s="176">
        <f t="shared" si="133"/>
        <v>4</v>
      </c>
      <c r="U357" s="251">
        <f t="shared" si="134"/>
        <v>-1.0277158841241978</v>
      </c>
      <c r="V357" s="383">
        <f t="shared" si="135"/>
        <v>22.920615172707386</v>
      </c>
      <c r="W357" s="402">
        <f t="shared" si="136"/>
        <v>4.8972616373826954</v>
      </c>
      <c r="X357" s="157">
        <f t="shared" si="137"/>
        <v>46365</v>
      </c>
      <c r="Y357" s="385">
        <f t="shared" si="138"/>
        <v>4.6874022867622607</v>
      </c>
      <c r="Z357" s="385">
        <f t="shared" si="139"/>
        <v>5.0173838976920413</v>
      </c>
      <c r="AA357" s="386">
        <f t="shared" si="140"/>
        <v>5.3732408504929445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6.6227619922947789E-2</v>
      </c>
      <c r="AD357" s="231">
        <f>(INDEX(Models!$BJ357:$BT357,,AH357)*(1-AF357)+INDEX(Models!$BJ357:$BT357,,AH357+1)*AF357-ERP_i)*AE357*Ramure*Pc/MaxiM</f>
        <v>1.1637882634830963E-3</v>
      </c>
      <c r="AE357" s="305">
        <f t="shared" si="142"/>
        <v>0.5</v>
      </c>
      <c r="AF357" s="177">
        <f t="shared" si="143"/>
        <v>0.49727168224978113</v>
      </c>
      <c r="AG357" s="811">
        <f t="shared" si="149"/>
        <v>2</v>
      </c>
      <c r="AH357" s="176">
        <f t="shared" si="144"/>
        <v>8</v>
      </c>
      <c r="AI357" s="225">
        <f t="shared" si="145"/>
        <v>2.4972716822497811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'2025'!Wh/'2025'!Env_an*'2026'!Env_an</f>
        <v>11.527560590215487</v>
      </c>
      <c r="C358" s="841"/>
      <c r="D358" s="393">
        <f t="shared" si="127"/>
        <v>12.33934281276818</v>
      </c>
      <c r="E358" s="385">
        <f t="shared" si="125"/>
        <v>12.649182627608502</v>
      </c>
      <c r="F358" s="385">
        <f t="shared" si="128"/>
        <v>12.649682040014978</v>
      </c>
      <c r="G358" s="110">
        <f t="shared" si="126"/>
        <v>0.50515882114115396</v>
      </c>
      <c r="H358" s="414" t="b">
        <f>Wh_hp&gt;='2025'!Maxi_hp</f>
        <v>0</v>
      </c>
      <c r="I358" s="390">
        <f>IF(H358,Wh_hp,'2025'!Maxi_hp)</f>
        <v>21.95872257479607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6.578812460844341E-2</v>
      </c>
      <c r="M358" s="845"/>
      <c r="N358" s="845"/>
      <c r="O358" s="48">
        <f>IF(t&lt;Tnet,'2025'!Resal+('2025'!Salim-'2025'!Resal)*(1-EXP(('2025'!Tnet-t)/('2025'!Tau_j))),Resal+(Salim-Resal)*(1-EXP((Tnet-t)/(Tau_j))))*Salcycl</f>
        <v>2.4494848715683498E-2</v>
      </c>
      <c r="P358" s="169">
        <f>(INDEX(Models!$BJ358:$BT358,,T358)*(1-R358)+INDEX(Models!$BJ358:$BT358,,T358+1)*R358-ERP_i)*Q358*Ramure*Pc/MaxiM</f>
        <v>1.3467462171723235E-4</v>
      </c>
      <c r="Q358" s="305">
        <f t="shared" si="130"/>
        <v>0.5</v>
      </c>
      <c r="R358" s="177">
        <f t="shared" si="131"/>
        <v>0.97229548842644675</v>
      </c>
      <c r="S358" s="811">
        <f t="shared" si="132"/>
        <v>-2</v>
      </c>
      <c r="T358" s="176">
        <f t="shared" si="133"/>
        <v>4</v>
      </c>
      <c r="U358" s="251">
        <f t="shared" si="134"/>
        <v>-1.0277045115735532</v>
      </c>
      <c r="V358" s="383">
        <f t="shared" si="135"/>
        <v>22.817503536370591</v>
      </c>
      <c r="W358" s="402">
        <f t="shared" si="136"/>
        <v>11.527560590215487</v>
      </c>
      <c r="X358" s="157">
        <f t="shared" si="137"/>
        <v>46366</v>
      </c>
      <c r="Y358" s="385">
        <f t="shared" si="138"/>
        <v>11.030760452755455</v>
      </c>
      <c r="Z358" s="385">
        <f t="shared" si="139"/>
        <v>11.807557518076003</v>
      </c>
      <c r="AA358" s="386">
        <f t="shared" si="140"/>
        <v>12.645355780431835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6.6253435403714908E-2</v>
      </c>
      <c r="AD358" s="231">
        <f>(INDEX(Models!$BJ358:$BT358,,AH358)*(1-AF358)+INDEX(Models!$BJ358:$BT358,,AH358+1)*AF358-ERP_i)*AE358*Ramure*Pc/MaxiM</f>
        <v>1.1666457726191601E-3</v>
      </c>
      <c r="AE358" s="305">
        <f t="shared" si="142"/>
        <v>0.5</v>
      </c>
      <c r="AF358" s="177">
        <f t="shared" si="143"/>
        <v>0.49728305480042589</v>
      </c>
      <c r="AG358" s="811">
        <f t="shared" si="149"/>
        <v>2</v>
      </c>
      <c r="AH358" s="176">
        <f t="shared" si="144"/>
        <v>8</v>
      </c>
      <c r="AI358" s="225">
        <f t="shared" si="145"/>
        <v>2.4972830548004259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'2025'!Wh/'2025'!Env_an*'2026'!Env_an</f>
        <v>16.104070789104988</v>
      </c>
      <c r="C359" s="841"/>
      <c r="D359" s="393">
        <f t="shared" si="127"/>
        <v>17.238512955705126</v>
      </c>
      <c r="E359" s="385">
        <f t="shared" si="125"/>
        <v>17.6726989196492</v>
      </c>
      <c r="F359" s="385">
        <f t="shared" si="128"/>
        <v>17.674086051136804</v>
      </c>
      <c r="G359" s="110">
        <f t="shared" si="126"/>
        <v>0.70853666470897336</v>
      </c>
      <c r="H359" s="414" t="b">
        <f>Wh_hp&gt;='2025'!Maxi_hp</f>
        <v>0</v>
      </c>
      <c r="I359" s="390">
        <f>IF(H359,Wh_hp,'2025'!Maxi_hp)</f>
        <v>18.260406248134906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6.5808586246106082E-2</v>
      </c>
      <c r="M359" s="845"/>
      <c r="N359" s="845"/>
      <c r="O359" s="48">
        <f>IF(t&lt;Tnet,'2025'!Resal+('2025'!Salim-'2025'!Resal)*(1-EXP(('2025'!Tnet-t)/('2025'!Tau_j))),Resal+(Salim-Resal)*(1-EXP((Tnet-t)/(Tau_j))))*Salcycl</f>
        <v>2.4568175235607555E-2</v>
      </c>
      <c r="P359" s="169">
        <f>(INDEX(Models!$BJ359:$BT359,,T359)*(1-R359)+INDEX(Models!$BJ359:$BT359,,T359+1)*R359-ERP_i)*Q359*Ramure*Pc/MaxiM</f>
        <v>1.3446383637137881E-4</v>
      </c>
      <c r="Q359" s="305">
        <f t="shared" si="130"/>
        <v>0.5</v>
      </c>
      <c r="R359" s="177">
        <f t="shared" si="131"/>
        <v>0.97230640357113818</v>
      </c>
      <c r="S359" s="811">
        <f t="shared" si="132"/>
        <v>-2</v>
      </c>
      <c r="T359" s="176">
        <f t="shared" si="133"/>
        <v>4</v>
      </c>
      <c r="U359" s="251">
        <f t="shared" si="134"/>
        <v>-1.0276935964288618</v>
      </c>
      <c r="V359" s="383">
        <f t="shared" si="135"/>
        <v>22.727361921859082</v>
      </c>
      <c r="W359" s="402">
        <f t="shared" si="136"/>
        <v>16.104070789104988</v>
      </c>
      <c r="X359" s="157">
        <f t="shared" si="137"/>
        <v>46367</v>
      </c>
      <c r="Y359" s="385">
        <f t="shared" si="138"/>
        <v>15.406110334032808</v>
      </c>
      <c r="Z359" s="385">
        <f t="shared" si="139"/>
        <v>16.49138507078105</v>
      </c>
      <c r="AA359" s="386">
        <f t="shared" si="140"/>
        <v>17.662026555375594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6.6280133875025196E-2</v>
      </c>
      <c r="AD359" s="231">
        <f>(INDEX(Models!$BJ359:$BT359,,AH359)*(1-AF359)+INDEX(Models!$BJ359:$BT359,,AH359+1)*AF359-ERP_i)*AE359*Ramure*Pc/MaxiM</f>
        <v>1.1690067446722735E-3</v>
      </c>
      <c r="AE359" s="305">
        <f t="shared" si="142"/>
        <v>0.5</v>
      </c>
      <c r="AF359" s="177">
        <f t="shared" si="143"/>
        <v>0.4972939699451171</v>
      </c>
      <c r="AG359" s="811">
        <f t="shared" si="149"/>
        <v>2</v>
      </c>
      <c r="AH359" s="176">
        <f t="shared" si="144"/>
        <v>8</v>
      </c>
      <c r="AI359" s="225">
        <f t="shared" si="145"/>
        <v>2.4972939699451171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'2025'!Wh/'2025'!Env_an*'2026'!Env_an</f>
        <v>5.6083677436129529</v>
      </c>
      <c r="C360" s="841"/>
      <c r="D360" s="393">
        <f t="shared" si="127"/>
        <v>6.0035775338736626</v>
      </c>
      <c r="E360" s="385">
        <f t="shared" si="125"/>
        <v>6.1552536483199933</v>
      </c>
      <c r="F360" s="385">
        <f t="shared" si="128"/>
        <v>6.1552536483199933</v>
      </c>
      <c r="G360" s="110">
        <f t="shared" si="126"/>
        <v>0.24761113375696112</v>
      </c>
      <c r="H360" s="414" t="b">
        <f>Wh_hp&gt;='2025'!Maxi_hp</f>
        <v>0</v>
      </c>
      <c r="I360" s="390">
        <f>IF(H360,Wh_hp,'2025'!Maxi_hp)</f>
        <v>23.792403120855759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6.5829047435606358E-2</v>
      </c>
      <c r="M360" s="845"/>
      <c r="N360" s="845"/>
      <c r="O360" s="48">
        <f>IF(t&lt;Tnet,'2025'!Resal+('2025'!Salim-'2025'!Resal)*(1-EXP(('2025'!Tnet-t)/('2025'!Tau_j))),Resal+(Salim-Resal)*(1-EXP((Tnet-t)/(Tau_j))))*Salcycl</f>
        <v>2.46417325933804E-2</v>
      </c>
      <c r="P360" s="169">
        <f>(INDEX(Models!$BJ360:$BT360,,T360)*(1-R360)+INDEX(Models!$BJ360:$BT360,,T360+1)*R360-ERP_i)*Q360*Ramure*Pc/MaxiM</f>
        <v>1.3411073843207561E-4</v>
      </c>
      <c r="Q360" s="305">
        <f t="shared" si="130"/>
        <v>0.5</v>
      </c>
      <c r="R360" s="177">
        <f t="shared" si="131"/>
        <v>0.9723168796880528</v>
      </c>
      <c r="S360" s="811">
        <f t="shared" si="132"/>
        <v>-2</v>
      </c>
      <c r="T360" s="176">
        <f t="shared" si="133"/>
        <v>4</v>
      </c>
      <c r="U360" s="251">
        <f t="shared" si="134"/>
        <v>-1.0276831203119472</v>
      </c>
      <c r="V360" s="383">
        <f t="shared" si="135"/>
        <v>22.646863718081139</v>
      </c>
      <c r="W360" s="402">
        <f t="shared" si="136"/>
        <v>5.6083677436129529</v>
      </c>
      <c r="X360" s="157">
        <f t="shared" si="137"/>
        <v>46368</v>
      </c>
      <c r="Y360" s="385">
        <f t="shared" si="138"/>
        <v>5.3687860881940122</v>
      </c>
      <c r="Z360" s="385">
        <f t="shared" si="139"/>
        <v>5.7471130668922559</v>
      </c>
      <c r="AA360" s="386">
        <f t="shared" si="140"/>
        <v>6.1552536483199933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6.6307678732156677E-2</v>
      </c>
      <c r="AD360" s="231">
        <f>(INDEX(Models!$BJ360:$BT360,,AH360)*(1-AF360)+INDEX(Models!$BJ360:$BT360,,AH360+1)*AF360-ERP_i)*AE360*Ramure*Pc/MaxiM</f>
        <v>1.1710278321072837E-3</v>
      </c>
      <c r="AE360" s="305">
        <f t="shared" si="142"/>
        <v>0.5</v>
      </c>
      <c r="AF360" s="177">
        <f t="shared" si="143"/>
        <v>0.49730444606203195</v>
      </c>
      <c r="AG360" s="811">
        <f t="shared" si="149"/>
        <v>2</v>
      </c>
      <c r="AH360" s="176">
        <f t="shared" si="144"/>
        <v>8</v>
      </c>
      <c r="AI360" s="225">
        <f t="shared" si="145"/>
        <v>2.4973044460620319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'2025'!Wh/'2025'!Env_an*'2026'!Env_an</f>
        <v>5.3237281019466476</v>
      </c>
      <c r="C361" s="841"/>
      <c r="D361" s="393">
        <f t="shared" si="127"/>
        <v>5.6990047626663447</v>
      </c>
      <c r="E361" s="385">
        <f t="shared" ref="E361:E379" si="150">Wh_pvt/(1-Psa)</f>
        <v>5.8434280633355371</v>
      </c>
      <c r="F361" s="385">
        <f t="shared" si="128"/>
        <v>5.8434280633355371</v>
      </c>
      <c r="G361" s="110">
        <f t="shared" ref="G361:G379" si="151">+Wh_hp/MaxiM</f>
        <v>0.23577955945845874</v>
      </c>
      <c r="H361" s="414" t="b">
        <f>Wh_hp&gt;='2025'!Maxi_hp</f>
        <v>0</v>
      </c>
      <c r="I361" s="390">
        <f>IF(H361,Wh_hp,'2025'!Maxi_hp)</f>
        <v>25.480851358483925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6.5849508176954008E-2</v>
      </c>
      <c r="M361" s="845"/>
      <c r="N361" s="845"/>
      <c r="O361" s="48">
        <f>IF(t&lt;Tnet,'2025'!Resal+('2025'!Salim-'2025'!Resal)*(1-EXP(('2025'!Tnet-t)/('2025'!Tau_j))),Resal+(Salim-Resal)*(1-EXP((Tnet-t)/(Tau_j))))*Salcycl</f>
        <v>2.471550930443954E-2</v>
      </c>
      <c r="P361" s="169">
        <f>(INDEX(Models!$BJ361:$BT361,,T361)*(1-R361)+INDEX(Models!$BJ361:$BT361,,T361+1)*R361-ERP_i)*Q361*Ramure*Pc/MaxiM</f>
        <v>1.3379107626264718E-4</v>
      </c>
      <c r="Q361" s="305">
        <f t="shared" si="130"/>
        <v>0.5</v>
      </c>
      <c r="R361" s="177">
        <f t="shared" si="131"/>
        <v>0.97232693441842866</v>
      </c>
      <c r="S361" s="811">
        <f t="shared" si="132"/>
        <v>-2</v>
      </c>
      <c r="T361" s="176">
        <f t="shared" si="133"/>
        <v>4</v>
      </c>
      <c r="U361" s="251">
        <f t="shared" si="134"/>
        <v>-1.0276730655815713</v>
      </c>
      <c r="V361" s="383">
        <f t="shared" si="135"/>
        <v>22.576239631883794</v>
      </c>
      <c r="W361" s="402">
        <f t="shared" si="136"/>
        <v>5.3237281019466476</v>
      </c>
      <c r="X361" s="157">
        <f t="shared" si="137"/>
        <v>46369</v>
      </c>
      <c r="Y361" s="385">
        <f t="shared" si="138"/>
        <v>5.0965366019723861</v>
      </c>
      <c r="Z361" s="385">
        <f t="shared" si="139"/>
        <v>5.4557982322807703</v>
      </c>
      <c r="AA361" s="386">
        <f t="shared" si="140"/>
        <v>5.8434280633355371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6.6336032009522219E-2</v>
      </c>
      <c r="AD361" s="231">
        <f>(INDEX(Models!$BJ361:$BT361,,AH361)*(1-AF361)+INDEX(Models!$BJ361:$BT361,,AH361+1)*AF361-ERP_i)*AE361*Ramure*Pc/MaxiM</f>
        <v>1.1727672810876923E-3</v>
      </c>
      <c r="AE361" s="305">
        <f t="shared" si="142"/>
        <v>0.5</v>
      </c>
      <c r="AF361" s="177">
        <f t="shared" si="143"/>
        <v>0.4973145007924078</v>
      </c>
      <c r="AG361" s="811">
        <f t="shared" si="149"/>
        <v>2</v>
      </c>
      <c r="AH361" s="176">
        <f t="shared" si="144"/>
        <v>8</v>
      </c>
      <c r="AI361" s="225">
        <f t="shared" si="145"/>
        <v>2.4973145007924078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'2025'!Wh/'2025'!Env_an*'2026'!Env_an</f>
        <v>16.892177481698642</v>
      </c>
      <c r="C362" s="841"/>
      <c r="D362" s="393">
        <f t="shared" si="127"/>
        <v>18.083325566606643</v>
      </c>
      <c r="E362" s="385">
        <f t="shared" si="150"/>
        <v>18.542997068608102</v>
      </c>
      <c r="F362" s="385">
        <f t="shared" si="128"/>
        <v>18.544589469643149</v>
      </c>
      <c r="G362" s="110">
        <f t="shared" si="151"/>
        <v>0.75020339201164055</v>
      </c>
      <c r="H362" s="414" t="b">
        <f>Wh_hp&gt;='2025'!Maxi_hp</f>
        <v>0</v>
      </c>
      <c r="I362" s="390">
        <f>IF(H362,Wh_hp,'2025'!Maxi_hp)</f>
        <v>22.845836803064749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6.5869968470159024E-2</v>
      </c>
      <c r="M362" s="845"/>
      <c r="N362" s="845"/>
      <c r="O362" s="48">
        <f>IF(t&lt;Tnet,'2025'!Resal+('2025'!Salim-'2025'!Resal)*(1-EXP(('2025'!Tnet-t)/('2025'!Tau_j))),Resal+(Salim-Resal)*(1-EXP((Tnet-t)/(Tau_j))))*Salcycl</f>
        <v>2.4789493321963972E-2</v>
      </c>
      <c r="P362" s="169">
        <f>(INDEX(Models!$BJ362:$BT362,,T362)*(1-R362)+INDEX(Models!$BJ362:$BT362,,T362+1)*R362-ERP_i)*Q362*Ramure*Pc/MaxiM</f>
        <v>1.3350269388778645E-4</v>
      </c>
      <c r="Q362" s="305">
        <f t="shared" si="130"/>
        <v>0.5</v>
      </c>
      <c r="R362" s="177">
        <f t="shared" si="131"/>
        <v>0.97233658469599815</v>
      </c>
      <c r="S362" s="811">
        <f t="shared" si="132"/>
        <v>-2</v>
      </c>
      <c r="T362" s="176">
        <f t="shared" si="133"/>
        <v>4</v>
      </c>
      <c r="U362" s="251">
        <f t="shared" si="134"/>
        <v>-1.0276634153040018</v>
      </c>
      <c r="V362" s="383">
        <f t="shared" si="135"/>
        <v>22.515724337850617</v>
      </c>
      <c r="W362" s="402">
        <f t="shared" si="136"/>
        <v>16.892177481698642</v>
      </c>
      <c r="X362" s="157">
        <f t="shared" si="137"/>
        <v>46370</v>
      </c>
      <c r="Y362" s="385">
        <f t="shared" si="138"/>
        <v>16.161195642101319</v>
      </c>
      <c r="Z362" s="385">
        <f t="shared" si="139"/>
        <v>17.300798707471003</v>
      </c>
      <c r="AA362" s="386">
        <f t="shared" si="140"/>
        <v>18.530583764835878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6.6365154653063224E-2</v>
      </c>
      <c r="AD362" s="231">
        <f>(INDEX(Models!$BJ362:$BT362,,AH362)*(1-AF362)+INDEX(Models!$BJ362:$BT362,,AH362+1)*AF362-ERP_i)*AE362*Ramure*Pc/MaxiM</f>
        <v>1.1742012724265428E-3</v>
      </c>
      <c r="AE362" s="305">
        <f t="shared" si="142"/>
        <v>0.5</v>
      </c>
      <c r="AF362" s="177">
        <f t="shared" si="143"/>
        <v>0.49732415106997685</v>
      </c>
      <c r="AG362" s="811">
        <f t="shared" si="149"/>
        <v>2</v>
      </c>
      <c r="AH362" s="176">
        <f t="shared" si="144"/>
        <v>8</v>
      </c>
      <c r="AI362" s="225">
        <f t="shared" si="145"/>
        <v>2.4973241510699768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'2025'!Wh/'2025'!Env_an*'2026'!Env_an</f>
        <v>5.6031070323443819</v>
      </c>
      <c r="C363" s="841"/>
      <c r="D363" s="393">
        <f t="shared" si="127"/>
        <v>5.9983402399341275</v>
      </c>
      <c r="E363" s="385">
        <f t="shared" si="150"/>
        <v>6.1512837421024562</v>
      </c>
      <c r="F363" s="385">
        <f t="shared" si="128"/>
        <v>6.1512837421024562</v>
      </c>
      <c r="G363" s="110">
        <f t="shared" si="151"/>
        <v>0.24937559309517449</v>
      </c>
      <c r="H363" s="414" t="b">
        <f>Wh_hp&gt;='2025'!Maxi_hp</f>
        <v>0</v>
      </c>
      <c r="I363" s="390">
        <f>IF(H363,Wh_hp,'2025'!Maxi_hp)</f>
        <v>25.557265904120406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6.5890428315231064E-2</v>
      </c>
      <c r="M363" s="845"/>
      <c r="N363" s="845"/>
      <c r="O363" s="48">
        <f>IF(t&lt;Tnet,'2025'!Resal+('2025'!Salim-'2025'!Resal)*(1-EXP(('2025'!Tnet-t)/('2025'!Tau_j))),Resal+(Salim-Resal)*(1-EXP((Tnet-t)/(Tau_j))))*Salcycl</f>
        <v>2.4863672134241979E-2</v>
      </c>
      <c r="P363" s="169">
        <f>(INDEX(Models!$BJ363:$BT363,,T363)*(1-R363)+INDEX(Models!$BJ363:$BT363,,T363+1)*R363-ERP_i)*Q363*Ramure*Pc/MaxiM</f>
        <v>1.3324339945902774E-4</v>
      </c>
      <c r="Q363" s="305">
        <f t="shared" si="130"/>
        <v>0.5</v>
      </c>
      <c r="R363" s="177">
        <f t="shared" si="131"/>
        <v>0.9723458467752546</v>
      </c>
      <c r="S363" s="811">
        <f t="shared" si="132"/>
        <v>-2</v>
      </c>
      <c r="T363" s="176">
        <f t="shared" si="133"/>
        <v>4</v>
      </c>
      <c r="U363" s="251">
        <f t="shared" si="134"/>
        <v>-1.0276541532247454</v>
      </c>
      <c r="V363" s="383">
        <f t="shared" si="135"/>
        <v>22.465552405434128</v>
      </c>
      <c r="W363" s="402">
        <f t="shared" si="136"/>
        <v>5.6031070323443819</v>
      </c>
      <c r="X363" s="157">
        <f t="shared" si="137"/>
        <v>46371</v>
      </c>
      <c r="Y363" s="385">
        <f t="shared" si="138"/>
        <v>5.3644691038487169</v>
      </c>
      <c r="Z363" s="385">
        <f t="shared" si="139"/>
        <v>5.7428692162668984</v>
      </c>
      <c r="AA363" s="386">
        <f t="shared" si="140"/>
        <v>6.1512837421024562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6.6395006791861208E-2</v>
      </c>
      <c r="AD363" s="231">
        <f>(INDEX(Models!$BJ363:$BT363,,AH363)*(1-AF363)+INDEX(Models!$BJ363:$BT363,,AH363+1)*AF363-ERP_i)*AE363*Ramure*Pc/MaxiM</f>
        <v>1.1753062936461277E-3</v>
      </c>
      <c r="AE363" s="305">
        <f t="shared" si="142"/>
        <v>0.5</v>
      </c>
      <c r="AF363" s="177">
        <f t="shared" si="143"/>
        <v>0.49733341314923329</v>
      </c>
      <c r="AG363" s="811">
        <f t="shared" si="149"/>
        <v>2</v>
      </c>
      <c r="AH363" s="176">
        <f t="shared" si="144"/>
        <v>8</v>
      </c>
      <c r="AI363" s="225">
        <f t="shared" si="145"/>
        <v>2.4973334131492333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'2025'!Wh/'2025'!Env_an*'2026'!Env_an</f>
        <v>4.774302031106199</v>
      </c>
      <c r="C364" s="841"/>
      <c r="D364" s="393">
        <f t="shared" si="127"/>
        <v>5.1111847556093739</v>
      </c>
      <c r="E364" s="385">
        <f t="shared" si="150"/>
        <v>5.2419076201018706</v>
      </c>
      <c r="F364" s="385">
        <f t="shared" si="128"/>
        <v>5.2419076201018706</v>
      </c>
      <c r="G364" s="110">
        <f t="shared" si="151"/>
        <v>0.21286345629136391</v>
      </c>
      <c r="H364" s="414" t="b">
        <f>Wh_hp&gt;='2025'!Maxi_hp</f>
        <v>0</v>
      </c>
      <c r="I364" s="390">
        <f>IF(H364,Wh_hp,'2025'!Maxi_hp)</f>
        <v>25.18523938599883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6.59108877121799E-2</v>
      </c>
      <c r="M364" s="845"/>
      <c r="N364" s="845"/>
      <c r="O364" s="48">
        <f>IF(t&lt;Tnet,'2025'!Resal+('2025'!Salim-'2025'!Resal)*(1-EXP(('2025'!Tnet-t)/('2025'!Tau_j))),Resal+(Salim-Resal)*(1-EXP((Tnet-t)/(Tau_j))))*Salcycl</f>
        <v>2.4938032862539514E-2</v>
      </c>
      <c r="P364" s="169">
        <f>(INDEX(Models!$BJ364:$BT364,,T364)*(1-R364)+INDEX(Models!$BJ364:$BT364,,T364+1)*R364-ERP_i)*Q364*Ramure*Pc/MaxiM</f>
        <v>1.3301097499466549E-4</v>
      </c>
      <c r="Q364" s="305">
        <f t="shared" si="130"/>
        <v>0.5</v>
      </c>
      <c r="R364" s="177">
        <f t="shared" si="131"/>
        <v>0.97235473625859981</v>
      </c>
      <c r="S364" s="811">
        <f t="shared" si="132"/>
        <v>-2</v>
      </c>
      <c r="T364" s="176">
        <f t="shared" si="133"/>
        <v>4</v>
      </c>
      <c r="U364" s="251">
        <f t="shared" si="134"/>
        <v>-1.0276452637414002</v>
      </c>
      <c r="V364" s="383">
        <f t="shared" si="135"/>
        <v>22.425958310119739</v>
      </c>
      <c r="W364" s="402">
        <f t="shared" si="136"/>
        <v>4.774302031106199</v>
      </c>
      <c r="X364" s="157">
        <f t="shared" si="137"/>
        <v>46372</v>
      </c>
      <c r="Y364" s="385">
        <f t="shared" si="138"/>
        <v>4.5711621953881183</v>
      </c>
      <c r="Z364" s="385">
        <f t="shared" si="139"/>
        <v>4.8937110338350776</v>
      </c>
      <c r="AA364" s="386">
        <f t="shared" si="140"/>
        <v>5.2419076201018706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6.6425548006896498E-2</v>
      </c>
      <c r="AD364" s="231">
        <f>(INDEX(Models!$BJ364:$BT364,,AH364)*(1-AF364)+INDEX(Models!$BJ364:$BT364,,AH364+1)*AF364-ERP_i)*AE364*Ramure*Pc/MaxiM</f>
        <v>1.1760593465674699E-3</v>
      </c>
      <c r="AE364" s="305">
        <f t="shared" si="142"/>
        <v>0.5</v>
      </c>
      <c r="AF364" s="177">
        <f t="shared" si="143"/>
        <v>0.49734230263257873</v>
      </c>
      <c r="AG364" s="811">
        <f t="shared" si="149"/>
        <v>2</v>
      </c>
      <c r="AH364" s="176">
        <f t="shared" si="144"/>
        <v>8</v>
      </c>
      <c r="AI364" s="225">
        <f t="shared" si="145"/>
        <v>2.4973423026325787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'2025'!Wh/'2025'!Env_an*'2026'!Env_an</f>
        <v>3.4888948836509015</v>
      </c>
      <c r="C365" s="841"/>
      <c r="D365" s="393">
        <f t="shared" si="127"/>
        <v>3.7351589427385918</v>
      </c>
      <c r="E365" s="385">
        <f t="shared" si="150"/>
        <v>3.8309816091319622</v>
      </c>
      <c r="F365" s="385">
        <f t="shared" si="128"/>
        <v>3.8309816091319622</v>
      </c>
      <c r="G365" s="110">
        <f t="shared" si="151"/>
        <v>0.15575318431348623</v>
      </c>
      <c r="H365" s="414" t="b">
        <f>Wh_hp&gt;='2025'!Maxi_hp</f>
        <v>0</v>
      </c>
      <c r="I365" s="390">
        <f>IF(H365,Wh_hp,'2025'!Maxi_hp)</f>
        <v>25.601732712427946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6.5931346661015522E-2</v>
      </c>
      <c r="M365" s="845"/>
      <c r="N365" s="845"/>
      <c r="O365" s="48">
        <f>IF(t&lt;Tnet,'2025'!Resal+('2025'!Salim-'2025'!Resal)*(1-EXP(('2025'!Tnet-t)/('2025'!Tau_j))),Resal+(Salim-Resal)*(1-EXP((Tnet-t)/(Tau_j))))*Salcycl</f>
        <v>2.5012562358680244E-2</v>
      </c>
      <c r="P365" s="169">
        <f>(INDEX(Models!$BJ365:$BT365,,T365)*(1-R365)+INDEX(Models!$BJ365:$BT365,,T365+1)*R365-ERP_i)*Q365*Ramure*Pc/MaxiM</f>
        <v>1.3280318664391324E-4</v>
      </c>
      <c r="Q365" s="305">
        <f t="shared" si="130"/>
        <v>0.5</v>
      </c>
      <c r="R365" s="177">
        <f t="shared" si="131"/>
        <v>0.97236326812241236</v>
      </c>
      <c r="S365" s="811">
        <f t="shared" si="132"/>
        <v>-2</v>
      </c>
      <c r="T365" s="176">
        <f t="shared" si="133"/>
        <v>4</v>
      </c>
      <c r="U365" s="251">
        <f t="shared" si="134"/>
        <v>-1.0276367318775876</v>
      </c>
      <c r="V365" s="383">
        <f t="shared" si="135"/>
        <v>22.397176421583016</v>
      </c>
      <c r="W365" s="402">
        <f t="shared" si="136"/>
        <v>3.4888948836509015</v>
      </c>
      <c r="X365" s="157">
        <f t="shared" si="137"/>
        <v>46373</v>
      </c>
      <c r="Y365" s="385">
        <f t="shared" si="138"/>
        <v>3.3405910539228851</v>
      </c>
      <c r="Z365" s="385">
        <f t="shared" si="139"/>
        <v>3.5763870696028435</v>
      </c>
      <c r="AA365" s="386">
        <f t="shared" si="140"/>
        <v>3.8309816091319622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6.6456737594938683E-2</v>
      </c>
      <c r="AD365" s="231">
        <f>(INDEX(Models!$BJ365:$BT365,,AH365)*(1-AF365)+INDEX(Models!$BJ365:$BT365,,AH365+1)*AF365-ERP_i)*AE365*Ramure*Pc/MaxiM</f>
        <v>1.1764381589604328E-3</v>
      </c>
      <c r="AE365" s="305">
        <f t="shared" si="142"/>
        <v>0.5</v>
      </c>
      <c r="AF365" s="177">
        <f t="shared" si="143"/>
        <v>0.49735083449639106</v>
      </c>
      <c r="AG365" s="811">
        <f t="shared" si="149"/>
        <v>2</v>
      </c>
      <c r="AH365" s="176">
        <f t="shared" si="144"/>
        <v>8</v>
      </c>
      <c r="AI365" s="225">
        <f t="shared" si="145"/>
        <v>2.4973508344963911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'2025'!Wh/'2025'!Env_an*'2026'!Env_an</f>
        <v>20.949946775615619</v>
      </c>
      <c r="C366" s="841"/>
      <c r="D366" s="393">
        <f t="shared" si="127"/>
        <v>22.429192509968384</v>
      </c>
      <c r="E366" s="385">
        <f t="shared" si="150"/>
        <v>23.006358720703062</v>
      </c>
      <c r="F366" s="385">
        <f t="shared" si="128"/>
        <v>23.009131894779763</v>
      </c>
      <c r="G366" s="110">
        <f t="shared" si="151"/>
        <v>0.93611334606455909</v>
      </c>
      <c r="H366" s="414" t="b">
        <f>Wh_hp&gt;='2025'!Maxi_hp</f>
        <v>0</v>
      </c>
      <c r="I366" s="390">
        <f>IF(H366,Wh_hp,'2025'!Maxi_hp)</f>
        <v>25.724211482819697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6.5951805161747701E-2</v>
      </c>
      <c r="M366" s="845"/>
      <c r="N366" s="845"/>
      <c r="O366" s="48">
        <f>IF(t&lt;Tnet,'2025'!Resal+('2025'!Salim-'2025'!Resal)*(1-EXP(('2025'!Tnet-t)/('2025'!Tau_j))),Resal+(Salim-Resal)*(1-EXP((Tnet-t)/(Tau_j))))*Salcycl</f>
        <v>2.5087247301559829E-2</v>
      </c>
      <c r="P366" s="169">
        <f>(INDEX(Models!$BJ366:$BT366,,T366)*(1-R366)+INDEX(Models!$BJ366:$BT366,,T366+1)*R366-ERP_i)*Q366*Ramure*Pc/MaxiM</f>
        <v>1.3262722873566861E-4</v>
      </c>
      <c r="Q366" s="305">
        <f t="shared" si="130"/>
        <v>0.5</v>
      </c>
      <c r="R366" s="177">
        <f t="shared" si="131"/>
        <v>0.97237145674208159</v>
      </c>
      <c r="S366" s="811">
        <f t="shared" si="132"/>
        <v>-2</v>
      </c>
      <c r="T366" s="176">
        <f t="shared" si="133"/>
        <v>4</v>
      </c>
      <c r="U366" s="251">
        <f t="shared" si="134"/>
        <v>-1.0276285432579184</v>
      </c>
      <c r="V366" s="383">
        <f t="shared" si="135"/>
        <v>22.379440791729103</v>
      </c>
      <c r="W366" s="402">
        <f t="shared" si="136"/>
        <v>20.949946775615619</v>
      </c>
      <c r="X366" s="157">
        <f t="shared" si="137"/>
        <v>46374</v>
      </c>
      <c r="Y366" s="385">
        <f t="shared" si="138"/>
        <v>20.04124389643238</v>
      </c>
      <c r="Z366" s="385">
        <f t="shared" si="139"/>
        <v>21.456327422058656</v>
      </c>
      <c r="AA366" s="386">
        <f t="shared" si="140"/>
        <v>22.984535511891877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6.6488534825624265E-2</v>
      </c>
      <c r="AD366" s="231">
        <f>(INDEX(Models!$BJ366:$BT366,,AH366)*(1-AF366)+INDEX(Models!$BJ366:$BT366,,AH366+1)*AF366-ERP_i)*AE366*Ramure*Pc/MaxiM</f>
        <v>1.1763235949543809E-3</v>
      </c>
      <c r="AE366" s="305">
        <f t="shared" si="142"/>
        <v>0.5</v>
      </c>
      <c r="AF366" s="177">
        <f t="shared" si="143"/>
        <v>0.49735902311606051</v>
      </c>
      <c r="AG366" s="811">
        <f t="shared" si="149"/>
        <v>2</v>
      </c>
      <c r="AH366" s="176">
        <f t="shared" si="144"/>
        <v>8</v>
      </c>
      <c r="AI366" s="225">
        <f t="shared" si="145"/>
        <v>2.4973590231160605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'2025'!Wh/'2025'!Env_an*'2026'!Env_an</f>
        <v>16.953478441136355</v>
      </c>
      <c r="C367" s="841"/>
      <c r="D367" s="393">
        <f t="shared" si="127"/>
        <v>18.150936822797657</v>
      </c>
      <c r="E367" s="385">
        <f t="shared" si="150"/>
        <v>18.619440569684496</v>
      </c>
      <c r="F367" s="385">
        <f t="shared" si="128"/>
        <v>18.621053108324517</v>
      </c>
      <c r="G367" s="110">
        <f t="shared" si="151"/>
        <v>0.7577308100483473</v>
      </c>
      <c r="H367" s="414" t="b">
        <f>Wh_hp&gt;='2025'!Maxi_hp</f>
        <v>0</v>
      </c>
      <c r="I367" s="390">
        <f>IF(H367,Wh_hp,'2025'!Maxi_hp)</f>
        <v>25.408167099175618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6.5972263214386206E-2</v>
      </c>
      <c r="M367" s="845"/>
      <c r="N367" s="845"/>
      <c r="O367" s="48">
        <f>IF(t&lt;Tnet,'2025'!Resal+('2025'!Salim-'2025'!Resal)*(1-EXP(('2025'!Tnet-t)/('2025'!Tau_j))),Resal+(Salim-Resal)*(1-EXP((Tnet-t)/(Tau_j))))*Salcycl</f>
        <v>2.516207429183669E-2</v>
      </c>
      <c r="P367" s="169">
        <f>(INDEX(Models!$BJ367:$BT367,,T367)*(1-R367)+INDEX(Models!$BJ367:$BT367,,T367+1)*R367-ERP_i)*Q367*Ramure*Pc/MaxiM</f>
        <v>1.3242221178934839E-4</v>
      </c>
      <c r="Q367" s="305">
        <f t="shared" si="130"/>
        <v>0.5</v>
      </c>
      <c r="R367" s="177">
        <f t="shared" si="131"/>
        <v>0.97237931591604765</v>
      </c>
      <c r="S367" s="811">
        <f t="shared" si="132"/>
        <v>-2</v>
      </c>
      <c r="T367" s="176">
        <f t="shared" si="133"/>
        <v>4</v>
      </c>
      <c r="U367" s="251">
        <f t="shared" si="134"/>
        <v>-1.0276206840839524</v>
      </c>
      <c r="V367" s="383">
        <f t="shared" si="135"/>
        <v>22.372986900616997</v>
      </c>
      <c r="W367" s="402">
        <f t="shared" si="136"/>
        <v>16.953478441136355</v>
      </c>
      <c r="X367" s="157">
        <f t="shared" si="137"/>
        <v>46375</v>
      </c>
      <c r="Y367" s="385">
        <f t="shared" si="138"/>
        <v>16.223128484014246</v>
      </c>
      <c r="Z367" s="385">
        <f t="shared" si="139"/>
        <v>17.36900077490731</v>
      </c>
      <c r="AA367" s="386">
        <f t="shared" si="140"/>
        <v>18.606737697537479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6.6520899189865937E-2</v>
      </c>
      <c r="AD367" s="231">
        <f>(INDEX(Models!$BJ367:$BT367,,AH367)*(1-AF367)+INDEX(Models!$BJ367:$BT367,,AH367+1)*AF367-ERP_i)*AE367*Ramure*Pc/MaxiM</f>
        <v>1.1755863159137259E-3</v>
      </c>
      <c r="AE367" s="305">
        <f t="shared" si="142"/>
        <v>0.5</v>
      </c>
      <c r="AF367" s="177">
        <f t="shared" si="143"/>
        <v>0.49736688229002679</v>
      </c>
      <c r="AG367" s="811">
        <f t="shared" si="149"/>
        <v>2</v>
      </c>
      <c r="AH367" s="176">
        <f t="shared" si="144"/>
        <v>8</v>
      </c>
      <c r="AI367" s="225">
        <f t="shared" si="145"/>
        <v>2.4973668822900268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'2025'!Wh/'2025'!Env_an*'2026'!Env_an</f>
        <v>4.4566585032201882</v>
      </c>
      <c r="C368" s="841"/>
      <c r="D368" s="393">
        <f t="shared" si="127"/>
        <v>4.7715457925850444</v>
      </c>
      <c r="E368" s="385">
        <f t="shared" si="150"/>
        <v>4.895083152688132</v>
      </c>
      <c r="F368" s="385">
        <f t="shared" si="128"/>
        <v>4.895083152688132</v>
      </c>
      <c r="G368" s="110">
        <f t="shared" si="151"/>
        <v>0.1991268066335648</v>
      </c>
      <c r="H368" s="414" t="b">
        <f>Wh_hp&gt;='2025'!Maxi_hp</f>
        <v>0</v>
      </c>
      <c r="I368" s="390">
        <f>IF(H368,Wh_hp,'2025'!Maxi_hp)</f>
        <v>22.549218247197125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6.5992720818940809E-2</v>
      </c>
      <c r="M368" s="845"/>
      <c r="N368" s="845"/>
      <c r="O368" s="48">
        <f>IF(t&lt;Tnet,'2025'!Resal+('2025'!Salim-'2025'!Resal)*(1-EXP(('2025'!Tnet-t)/('2025'!Tau_j))),Resal+(Salim-Resal)*(1-EXP((Tnet-t)/(Tau_j))))*Salcycl</f>
        <v>2.5237029944066829E-2</v>
      </c>
      <c r="P368" s="169">
        <f>(INDEX(Models!$BJ368:$BT368,,T368)*(1-R368)+INDEX(Models!$BJ368:$BT368,,T368+1)*R368-ERP_i)*Q368*Ramure*Pc/MaxiM</f>
        <v>1.3218612898898891E-4</v>
      </c>
      <c r="Q368" s="305">
        <f t="shared" si="130"/>
        <v>0.5</v>
      </c>
      <c r="R368" s="177">
        <f t="shared" si="131"/>
        <v>0.97238685888888599</v>
      </c>
      <c r="S368" s="811">
        <f t="shared" si="132"/>
        <v>-2</v>
      </c>
      <c r="T368" s="176">
        <f t="shared" si="133"/>
        <v>4</v>
      </c>
      <c r="U368" s="251">
        <f t="shared" si="134"/>
        <v>-1.027613141111114</v>
      </c>
      <c r="V368" s="383">
        <f t="shared" si="135"/>
        <v>22.378048792719941</v>
      </c>
      <c r="W368" s="402">
        <f t="shared" si="136"/>
        <v>4.4566585032201882</v>
      </c>
      <c r="X368" s="157">
        <f t="shared" si="137"/>
        <v>46376</v>
      </c>
      <c r="Y368" s="385">
        <f t="shared" si="138"/>
        <v>4.2677564844444289</v>
      </c>
      <c r="Z368" s="385">
        <f t="shared" si="139"/>
        <v>4.5692968133893048</v>
      </c>
      <c r="AA368" s="386">
        <f t="shared" si="140"/>
        <v>4.895083152688132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6.655379063784074E-2</v>
      </c>
      <c r="AD368" s="231">
        <f>(INDEX(Models!$BJ368:$BT368,,AH368)*(1-AF368)+INDEX(Models!$BJ368:$BT368,,AH368+1)*AF368-ERP_i)*AE368*Ramure*Pc/MaxiM</f>
        <v>1.1742085285816961E-3</v>
      </c>
      <c r="AE368" s="305">
        <f t="shared" si="142"/>
        <v>0.5</v>
      </c>
      <c r="AF368" s="177">
        <f t="shared" si="143"/>
        <v>0.49737442526286513</v>
      </c>
      <c r="AG368" s="811">
        <f t="shared" si="149"/>
        <v>2</v>
      </c>
      <c r="AH368" s="176">
        <f t="shared" si="144"/>
        <v>8</v>
      </c>
      <c r="AI368" s="225">
        <f t="shared" si="145"/>
        <v>2.4973744252628651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'2025'!Wh/'2025'!Env_an*'2026'!Env_an</f>
        <v>20.099408720435235</v>
      </c>
      <c r="C369" s="841"/>
      <c r="D369" s="393">
        <f t="shared" si="127"/>
        <v>21.520013180556738</v>
      </c>
      <c r="E369" s="385">
        <f t="shared" si="150"/>
        <v>22.078875917200278</v>
      </c>
      <c r="F369" s="385">
        <f t="shared" si="128"/>
        <v>22.081362297630456</v>
      </c>
      <c r="G369" s="110">
        <f t="shared" si="151"/>
        <v>0.89748362151268857</v>
      </c>
      <c r="H369" s="414" t="b">
        <f>Wh_hp&gt;='2025'!Maxi_hp</f>
        <v>0</v>
      </c>
      <c r="I369" s="390">
        <f>IF(H369,Wh_hp,'2025'!Maxi_hp)</f>
        <v>22.081581243363594</v>
      </c>
      <c r="J369" s="85">
        <f>IF(H369,An,'2025'!An_max)</f>
        <v>2025</v>
      </c>
      <c r="K369" s="197">
        <f t="shared" si="129"/>
        <v>46377</v>
      </c>
      <c r="L369" s="147">
        <f>IF(t&lt;Tvie,1-EXP((T0-t)*PertePVj)+'2025'!Pspv,1-EXP((T0-t)*PertePVj)+Pspv)</f>
        <v>6.6013177975421278E-2</v>
      </c>
      <c r="M369" s="845"/>
      <c r="N369" s="845"/>
      <c r="O369" s="48">
        <f>IF(t&lt;Tnet,'2025'!Resal+('2025'!Salim-'2025'!Resal)*(1-EXP(('2025'!Tnet-t)/('2025'!Tau_j))),Resal+(Salim-Resal)*(1-EXP((Tnet-t)/(Tau_j))))*Salcycl</f>
        <v>2.5312100975582948E-2</v>
      </c>
      <c r="P369" s="169">
        <f>(INDEX(Models!$BJ369:$BT369,,T369)*(1-R369)+INDEX(Models!$BJ369:$BT369,,T369+1)*R369-ERP_i)*Q369*Ramure*Pc/MaxiM</f>
        <v>1.3191711602555801E-4</v>
      </c>
      <c r="Q369" s="305">
        <f t="shared" si="130"/>
        <v>0.5</v>
      </c>
      <c r="R369" s="177">
        <f t="shared" si="131"/>
        <v>0.9723940983734729</v>
      </c>
      <c r="S369" s="811">
        <f t="shared" si="132"/>
        <v>-2</v>
      </c>
      <c r="T369" s="176">
        <f t="shared" si="133"/>
        <v>4</v>
      </c>
      <c r="U369" s="251">
        <f t="shared" si="134"/>
        <v>-1.0276059016265271</v>
      </c>
      <c r="V369" s="383">
        <f t="shared" si="135"/>
        <v>22.394860418236618</v>
      </c>
      <c r="W369" s="402">
        <f t="shared" si="136"/>
        <v>20.099408720435235</v>
      </c>
      <c r="X369" s="157">
        <f t="shared" si="137"/>
        <v>46377</v>
      </c>
      <c r="Y369" s="385">
        <f t="shared" si="138"/>
        <v>19.231166740839694</v>
      </c>
      <c r="Z369" s="385">
        <f t="shared" si="139"/>
        <v>20.590404797310519</v>
      </c>
      <c r="AA369" s="386">
        <f t="shared" si="140"/>
        <v>22.059269094262685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6.6587169804923269E-2</v>
      </c>
      <c r="AD369" s="231">
        <f>(INDEX(Models!$BJ369:$BT369,,AH369)*(1-AF369)+INDEX(Models!$BJ369:$BT369,,AH369+1)*AF369-ERP_i)*AE369*Ramure*Pc/MaxiM</f>
        <v>1.1721744736523797E-3</v>
      </c>
      <c r="AE369" s="305">
        <f t="shared" si="142"/>
        <v>0.5</v>
      </c>
      <c r="AF369" s="177">
        <f t="shared" si="143"/>
        <v>0.49738166474745205</v>
      </c>
      <c r="AG369" s="811">
        <f t="shared" si="149"/>
        <v>2</v>
      </c>
      <c r="AH369" s="176">
        <f t="shared" si="144"/>
        <v>8</v>
      </c>
      <c r="AI369" s="225">
        <f t="shared" si="145"/>
        <v>2.497381664747452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'2025'!Wh/'2025'!Env_an*'2026'!Env_an</f>
        <v>16.610471355658579</v>
      </c>
      <c r="C370" s="841"/>
      <c r="D370" s="393">
        <f t="shared" si="127"/>
        <v>17.78487103230497</v>
      </c>
      <c r="E370" s="385">
        <f t="shared" si="150"/>
        <v>18.248141608632658</v>
      </c>
      <c r="F370" s="385">
        <f t="shared" si="128"/>
        <v>18.249653970688577</v>
      </c>
      <c r="G370" s="110">
        <f t="shared" si="151"/>
        <v>0.74072051096715008</v>
      </c>
      <c r="H370" s="414" t="b">
        <f>Wh_hp&gt;='2025'!Maxi_hp</f>
        <v>0</v>
      </c>
      <c r="I370" s="390">
        <f>IF(H370,Wh_hp,'2025'!Maxi_hp)</f>
        <v>25.041754314682116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6.6033634683837605E-2</v>
      </c>
      <c r="M370" s="845"/>
      <c r="N370" s="845"/>
      <c r="O370" s="48">
        <f>IF(t&lt;Tnet,'2025'!Resal+('2025'!Salim-'2025'!Resal)*(1-EXP(('2025'!Tnet-t)/('2025'!Tau_j))),Resal+(Salim-Resal)*(1-EXP((Tnet-t)/(Tau_j))))*Salcycl</f>
        <v>2.5387274291455889E-2</v>
      </c>
      <c r="P370" s="169">
        <f>(INDEX(Models!$BJ370:$BT370,,T370)*(1-R370)+INDEX(Models!$BJ370:$BT370,,T370+1)*R370-ERP_i)*Q370*Ramure*Pc/MaxiM</f>
        <v>1.3161346834080374E-4</v>
      </c>
      <c r="Q370" s="305">
        <f t="shared" si="130"/>
        <v>0.5</v>
      </c>
      <c r="R370" s="177">
        <f t="shared" si="131"/>
        <v>0.97240104657227033</v>
      </c>
      <c r="S370" s="811">
        <f t="shared" si="132"/>
        <v>-2</v>
      </c>
      <c r="T370" s="176">
        <f t="shared" si="133"/>
        <v>4</v>
      </c>
      <c r="U370" s="251">
        <f t="shared" si="134"/>
        <v>-1.0275989534277297</v>
      </c>
      <c r="V370" s="383">
        <f t="shared" si="135"/>
        <v>22.423655620024356</v>
      </c>
      <c r="W370" s="402">
        <f t="shared" si="136"/>
        <v>16.610471355658579</v>
      </c>
      <c r="X370" s="157">
        <f t="shared" si="137"/>
        <v>46378</v>
      </c>
      <c r="Y370" s="385">
        <f t="shared" si="138"/>
        <v>15.897322409872976</v>
      </c>
      <c r="Z370" s="385">
        <f t="shared" si="139"/>
        <v>17.021300766534008</v>
      </c>
      <c r="AA370" s="386">
        <f t="shared" si="140"/>
        <v>18.236215657463447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6.6620998224059494E-2</v>
      </c>
      <c r="AD370" s="231">
        <f>(INDEX(Models!$BJ370:$BT370,,AH370)*(1-AF370)+INDEX(Models!$BJ370:$BT370,,AH370+1)*AF370-ERP_i)*AE370*Ramure*Pc/MaxiM</f>
        <v>1.1694706338918576E-3</v>
      </c>
      <c r="AE370" s="305">
        <f t="shared" si="142"/>
        <v>0.5</v>
      </c>
      <c r="AF370" s="177">
        <f t="shared" si="143"/>
        <v>0.49738861294624925</v>
      </c>
      <c r="AG370" s="811">
        <f t="shared" si="149"/>
        <v>2</v>
      </c>
      <c r="AH370" s="176">
        <f t="shared" si="144"/>
        <v>8</v>
      </c>
      <c r="AI370" s="225">
        <f t="shared" si="145"/>
        <v>2.4973886129462493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'2025'!Wh/'2025'!Env_an*'2026'!Env_an</f>
        <v>17.153334931201798</v>
      </c>
      <c r="C371" s="841"/>
      <c r="D371" s="393">
        <f t="shared" si="127"/>
        <v>18.366518622629286</v>
      </c>
      <c r="E371" s="385">
        <f t="shared" si="150"/>
        <v>18.846395670940783</v>
      </c>
      <c r="F371" s="385">
        <f t="shared" si="128"/>
        <v>18.848034213653523</v>
      </c>
      <c r="G371" s="110">
        <f t="shared" si="151"/>
        <v>0.76353561980256035</v>
      </c>
      <c r="H371" s="414" t="b">
        <f>Wh_hp&gt;='2025'!Maxi_hp</f>
        <v>0</v>
      </c>
      <c r="I371" s="390">
        <f>IF(H371,Wh_hp,'2025'!Maxi_hp)</f>
        <v>19.829576058520093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6.6054090944199562E-2</v>
      </c>
      <c r="M371" s="845"/>
      <c r="N371" s="845"/>
      <c r="O371" s="48">
        <f>IF(t&lt;Tnet,'2025'!Resal+('2025'!Salim-'2025'!Resal)*(1-EXP(('2025'!Tnet-t)/('2025'!Tau_j))),Resal+(Salim-Resal)*(1-EXP((Tnet-t)/(Tau_j))))*Salcycl</f>
        <v>2.5462537064921121E-2</v>
      </c>
      <c r="P371" s="169">
        <f>(INDEX(Models!$BJ371:$BT371,,T371)*(1-R371)+INDEX(Models!$BJ371:$BT371,,T371+1)*R371-ERP_i)*Q371*Ramure*Pc/MaxiM</f>
        <v>1.3127284920153078E-4</v>
      </c>
      <c r="Q371" s="305">
        <f t="shared" si="130"/>
        <v>0.5</v>
      </c>
      <c r="R371" s="177">
        <f t="shared" si="131"/>
        <v>0.97240104657227033</v>
      </c>
      <c r="S371" s="811">
        <f t="shared" si="132"/>
        <v>-2</v>
      </c>
      <c r="T371" s="176">
        <f t="shared" si="133"/>
        <v>4</v>
      </c>
      <c r="U371" s="251">
        <f t="shared" si="134"/>
        <v>-1.0275989534277297</v>
      </c>
      <c r="V371" s="383">
        <f t="shared" si="135"/>
        <v>22.464668141344855</v>
      </c>
      <c r="W371" s="402">
        <f t="shared" si="136"/>
        <v>17.153334931201798</v>
      </c>
      <c r="X371" s="157">
        <f t="shared" si="137"/>
        <v>46379</v>
      </c>
      <c r="Y371" s="385">
        <f t="shared" si="138"/>
        <v>16.417021805495228</v>
      </c>
      <c r="Z371" s="385">
        <f t="shared" si="139"/>
        <v>17.578129146785908</v>
      </c>
      <c r="AA371" s="386">
        <f t="shared" si="140"/>
        <v>18.833479194732963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6.6655238523221416E-2</v>
      </c>
      <c r="AD371" s="231">
        <f>(INDEX(Models!$BJ371:$BT371,,AH371)*(1-AF371)+INDEX(Models!$BJ371:$BT371,,AH371+1)*AF371-ERP_i)*AE371*Ramure*Pc/MaxiM</f>
        <v>1.1660842216853363E-3</v>
      </c>
      <c r="AE371" s="305">
        <f t="shared" si="142"/>
        <v>0.5</v>
      </c>
      <c r="AF371" s="177">
        <f t="shared" si="143"/>
        <v>0.49738861294624925</v>
      </c>
      <c r="AG371" s="811">
        <f t="shared" si="149"/>
        <v>2</v>
      </c>
      <c r="AH371" s="176">
        <f t="shared" si="144"/>
        <v>8</v>
      </c>
      <c r="AI371" s="225">
        <f t="shared" si="145"/>
        <v>2.4973886129462493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'2025'!Wh/'2025'!Env_an*'2026'!Env_an</f>
        <v>20.613712129250068</v>
      </c>
      <c r="C372" s="841"/>
      <c r="D372" s="393">
        <f t="shared" si="127"/>
        <v>22.072117274092413</v>
      </c>
      <c r="E372" s="385">
        <f t="shared" si="150"/>
        <v>22.650564602653109</v>
      </c>
      <c r="F372" s="385">
        <f t="shared" si="128"/>
        <v>22.653171532488177</v>
      </c>
      <c r="G372" s="110">
        <f t="shared" si="151"/>
        <v>0.9154128088817115</v>
      </c>
      <c r="H372" s="414" t="b">
        <f>Wh_hp&gt;='2025'!Maxi_hp</f>
        <v>0</v>
      </c>
      <c r="I372" s="390">
        <f>IF(H372,Wh_hp,'2025'!Maxi_hp)</f>
        <v>22.653355426259242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6.6074546756516916E-2</v>
      </c>
      <c r="M372" s="845"/>
      <c r="N372" s="845"/>
      <c r="O372" s="48">
        <f>IF(t&lt;Tnet,'2025'!Resal+('2025'!Salim-'2025'!Resal)*(1-EXP(('2025'!Tnet-t)/('2025'!Tau_j))),Resal+(Salim-Resal)*(1-EXP((Tnet-t)/(Tau_j))))*Salcycl</f>
        <v>2.5537876812701716E-2</v>
      </c>
      <c r="P372" s="169">
        <f>(INDEX(Models!$BJ372:$BT372,,T372)*(1-R372)+INDEX(Models!$BJ372:$BT372,,T372+1)*R372-ERP_i)*Q372*Ramure*Pc/MaxiM</f>
        <v>1.3089456684602465E-4</v>
      </c>
      <c r="Q372" s="305">
        <f t="shared" si="130"/>
        <v>0.5</v>
      </c>
      <c r="R372" s="177">
        <f t="shared" si="131"/>
        <v>0.97240104657227033</v>
      </c>
      <c r="S372" s="811">
        <f t="shared" si="132"/>
        <v>-2</v>
      </c>
      <c r="T372" s="176">
        <f t="shared" si="133"/>
        <v>4</v>
      </c>
      <c r="U372" s="251">
        <f t="shared" si="134"/>
        <v>-1.0275989534277297</v>
      </c>
      <c r="V372" s="383">
        <f t="shared" si="135"/>
        <v>22.518131598553556</v>
      </c>
      <c r="W372" s="402">
        <f t="shared" si="136"/>
        <v>20.613712129250068</v>
      </c>
      <c r="X372" s="157">
        <f t="shared" si="137"/>
        <v>46380</v>
      </c>
      <c r="Y372" s="385">
        <f t="shared" si="138"/>
        <v>19.725285757700309</v>
      </c>
      <c r="Z372" s="385">
        <f t="shared" si="139"/>
        <v>21.120835382733425</v>
      </c>
      <c r="AA372" s="386">
        <f t="shared" si="140"/>
        <v>22.630028706945868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6.6689854606734267E-2</v>
      </c>
      <c r="AD372" s="231">
        <f>(INDEX(Models!$BJ372:$BT372,,AH372)*(1-AF372)+INDEX(Models!$BJ372:$BT372,,AH372+1)*AF372-ERP_i)*AE372*Ramure*Pc/MaxiM</f>
        <v>1.1620067729503534E-3</v>
      </c>
      <c r="AE372" s="305">
        <f t="shared" si="142"/>
        <v>0.5</v>
      </c>
      <c r="AF372" s="177">
        <f t="shared" si="143"/>
        <v>0.49738861294624925</v>
      </c>
      <c r="AG372" s="811">
        <f t="shared" si="149"/>
        <v>2</v>
      </c>
      <c r="AH372" s="176">
        <f t="shared" si="144"/>
        <v>8</v>
      </c>
      <c r="AI372" s="225">
        <f t="shared" si="145"/>
        <v>2.4973886129462493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'2025'!Wh/'2025'!Env_an*'2026'!Env_an</f>
        <v>12.264776368766608</v>
      </c>
      <c r="C373" s="841"/>
      <c r="D373" s="393">
        <f t="shared" si="127"/>
        <v>13.132788020857172</v>
      </c>
      <c r="E373" s="385">
        <f t="shared" si="150"/>
        <v>13.478003929075092</v>
      </c>
      <c r="F373" s="385">
        <f t="shared" si="128"/>
        <v>13.47861442356248</v>
      </c>
      <c r="G373" s="110">
        <f t="shared" si="151"/>
        <v>0.54297240174312067</v>
      </c>
      <c r="H373" s="414" t="b">
        <f>Wh_hp&gt;='2025'!Maxi_hp</f>
        <v>0</v>
      </c>
      <c r="I373" s="390">
        <f>IF(H373,Wh_hp,'2025'!Maxi_hp)</f>
        <v>16.332134440633631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6.609500212079944E-2</v>
      </c>
      <c r="M373" s="845"/>
      <c r="N373" s="845"/>
      <c r="O373" s="48">
        <f>IF(t&lt;Tnet,'2025'!Resal+('2025'!Salim-'2025'!Resal)*(1-EXP(('2025'!Tnet-t)/('2025'!Tau_j))),Resal+(Salim-Resal)*(1-EXP((Tnet-t)/(Tau_j))))*Salcycl</f>
        <v>2.5613281464713911E-2</v>
      </c>
      <c r="P373" s="169">
        <f>(INDEX(Models!$BJ373:$BT373,,T373)*(1-R373)+INDEX(Models!$BJ373:$BT373,,T373+1)*R373-ERP_i)*Q373*Ramure*Pc/MaxiM</f>
        <v>1.3046527270518595E-4</v>
      </c>
      <c r="Q373" s="305">
        <f t="shared" si="130"/>
        <v>0.5</v>
      </c>
      <c r="R373" s="177">
        <f t="shared" si="131"/>
        <v>0.97240104657227033</v>
      </c>
      <c r="S373" s="811">
        <f t="shared" si="132"/>
        <v>-2</v>
      </c>
      <c r="T373" s="176">
        <f t="shared" si="133"/>
        <v>4</v>
      </c>
      <c r="U373" s="251">
        <f t="shared" si="134"/>
        <v>-1.0275989534277297</v>
      </c>
      <c r="V373" s="383">
        <f t="shared" si="135"/>
        <v>22.586289229658036</v>
      </c>
      <c r="W373" s="402">
        <f t="shared" si="136"/>
        <v>12.264776368766608</v>
      </c>
      <c r="X373" s="157">
        <f t="shared" si="137"/>
        <v>46381</v>
      </c>
      <c r="Y373" s="385">
        <f t="shared" si="138"/>
        <v>11.743111115442749</v>
      </c>
      <c r="Z373" s="385">
        <f t="shared" si="139"/>
        <v>12.574203095721847</v>
      </c>
      <c r="AA373" s="386">
        <f t="shared" si="140"/>
        <v>13.473199818196608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6.6724811819431046E-2</v>
      </c>
      <c r="AD373" s="231">
        <f>(INDEX(Models!$BJ373:$BT373,,AH373)*(1-AF373)+INDEX(Models!$BJ373:$BT373,,AH373+1)*AF373-ERP_i)*AE373*Ramure*Pc/MaxiM</f>
        <v>1.1571242332922712E-3</v>
      </c>
      <c r="AE373" s="305">
        <f t="shared" si="142"/>
        <v>0.5</v>
      </c>
      <c r="AF373" s="177">
        <f t="shared" si="143"/>
        <v>0.49738861294624925</v>
      </c>
      <c r="AG373" s="811">
        <f t="shared" si="149"/>
        <v>2</v>
      </c>
      <c r="AH373" s="176">
        <f t="shared" si="144"/>
        <v>8</v>
      </c>
      <c r="AI373" s="225">
        <f t="shared" si="145"/>
        <v>2.4973886129462493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'2025'!Wh/'2025'!Env_an*'2026'!Env_an</f>
        <v>20.899514339698822</v>
      </c>
      <c r="C374" s="841"/>
      <c r="D374" s="393">
        <f t="shared" si="127"/>
        <v>22.379120092715919</v>
      </c>
      <c r="E374" s="385">
        <f t="shared" si="150"/>
        <v>22.969169092401373</v>
      </c>
      <c r="F374" s="385">
        <f t="shared" si="128"/>
        <v>22.971821701243549</v>
      </c>
      <c r="G374" s="110">
        <f t="shared" si="151"/>
        <v>0.92186884758012111</v>
      </c>
      <c r="H374" s="414" t="b">
        <f>Wh_hp&gt;='2025'!Maxi_hp</f>
        <v>0</v>
      </c>
      <c r="I374" s="390">
        <f>IF(H374,Wh_hp,'2025'!Maxi_hp)</f>
        <v>24.2954595694269</v>
      </c>
      <c r="J374" s="85">
        <f>IF(H374,An,'2025'!An_max)</f>
        <v>2018</v>
      </c>
      <c r="K374" s="197">
        <f t="shared" si="129"/>
        <v>46382</v>
      </c>
      <c r="L374" s="147">
        <f>IF(t&lt;Tvie,1-EXP((T0-t)*PertePVj)+'2025'!Pspv,1-EXP((T0-t)*PertePVj)+Pspv)</f>
        <v>6.6115457037056902E-2</v>
      </c>
      <c r="M374" s="845"/>
      <c r="N374" s="845"/>
      <c r="O374" s="48">
        <f>IF(t&lt;Tnet,'2025'!Resal+('2025'!Salim-'2025'!Resal)*(1-EXP(('2025'!Tnet-t)/('2025'!Tau_j))),Resal+(Salim-Resal)*(1-EXP((Tnet-t)/(Tau_j))))*Salcycl</f>
        <v>2.5688739427698875E-2</v>
      </c>
      <c r="P374" s="169">
        <f>(INDEX(Models!$BJ374:$BT374,,T374)*(1-R374)+INDEX(Models!$BJ374:$BT374,,T374+1)*R374-ERP_i)*Q374*Ramure*Pc/MaxiM</f>
        <v>1.2997734908423567E-4</v>
      </c>
      <c r="Q374" s="305">
        <f t="shared" si="130"/>
        <v>0.5</v>
      </c>
      <c r="R374" s="177">
        <f t="shared" si="131"/>
        <v>0.97240104657227033</v>
      </c>
      <c r="S374" s="811">
        <f t="shared" si="132"/>
        <v>-2</v>
      </c>
      <c r="T374" s="176">
        <f t="shared" si="133"/>
        <v>4</v>
      </c>
      <c r="U374" s="251">
        <f t="shared" si="134"/>
        <v>-1.0275989534277297</v>
      </c>
      <c r="V374" s="383">
        <f t="shared" si="135"/>
        <v>22.670482043997069</v>
      </c>
      <c r="W374" s="402">
        <f t="shared" si="136"/>
        <v>20.899514339698822</v>
      </c>
      <c r="X374" s="157">
        <f t="shared" si="137"/>
        <v>46382</v>
      </c>
      <c r="Y374" s="385">
        <f t="shared" si="138"/>
        <v>20.000344325953492</v>
      </c>
      <c r="Z374" s="385">
        <f t="shared" si="139"/>
        <v>21.416292277949303</v>
      </c>
      <c r="AA374" s="386">
        <f t="shared" si="140"/>
        <v>22.948324168594247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6.6760077092757594E-2</v>
      </c>
      <c r="AD374" s="231">
        <f>(INDEX(Models!$BJ374:$BT374,,AH374)*(1-AF374)+INDEX(Models!$BJ374:$BT374,,AH374+1)*AF374-ERP_i)*AE374*Ramure*Pc/MaxiM</f>
        <v>1.1513748107957499E-3</v>
      </c>
      <c r="AE374" s="305">
        <f t="shared" si="142"/>
        <v>0.5</v>
      </c>
      <c r="AF374" s="177">
        <f t="shared" si="143"/>
        <v>0.49738861294624925</v>
      </c>
      <c r="AG374" s="811">
        <f t="shared" si="149"/>
        <v>2</v>
      </c>
      <c r="AH374" s="176">
        <f t="shared" si="144"/>
        <v>8</v>
      </c>
      <c r="AI374" s="225">
        <f t="shared" si="145"/>
        <v>2.4973886129462493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'2025'!Wh/'2025'!Env_an*'2026'!Env_an</f>
        <v>7.5316994824276433</v>
      </c>
      <c r="C375" s="841"/>
      <c r="D375" s="393">
        <f t="shared" si="127"/>
        <v>8.0650916714958178</v>
      </c>
      <c r="E375" s="385">
        <f t="shared" si="150"/>
        <v>8.2783777804823782</v>
      </c>
      <c r="F375" s="385">
        <f t="shared" si="128"/>
        <v>8.2784249167552613</v>
      </c>
      <c r="G375" s="110">
        <f t="shared" si="151"/>
        <v>0.33073793970059834</v>
      </c>
      <c r="H375" s="414" t="b">
        <f>Wh_hp&gt;='2025'!Maxi_hp</f>
        <v>0</v>
      </c>
      <c r="I375" s="390">
        <f>IF(H375,Wh_hp,'2025'!Maxi_hp)</f>
        <v>24.678488393426758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6.6135911505299294E-2</v>
      </c>
      <c r="M375" s="845"/>
      <c r="N375" s="845"/>
      <c r="O375" s="48">
        <f>IF(t&lt;Tnet,'2025'!Resal+('2025'!Salim-'2025'!Resal)*(1-EXP(('2025'!Tnet-t)/('2025'!Tau_j))),Resal+(Salim-Resal)*(1-EXP((Tnet-t)/(Tau_j))))*Salcycl</f>
        <v>2.576423964238719E-2</v>
      </c>
      <c r="P375" s="169">
        <f>(INDEX(Models!$BJ375:$BT375,,T375)*(1-R375)+INDEX(Models!$BJ375:$BT375,,T375+1)*R375-ERP_i)*Q375*Ramure*Pc/MaxiM</f>
        <v>1.2949488130208162E-4</v>
      </c>
      <c r="Q375" s="305">
        <f t="shared" si="130"/>
        <v>0.5</v>
      </c>
      <c r="R375" s="177">
        <f t="shared" si="131"/>
        <v>0.97240104657227033</v>
      </c>
      <c r="S375" s="811">
        <f t="shared" si="132"/>
        <v>-2</v>
      </c>
      <c r="T375" s="176">
        <f t="shared" si="133"/>
        <v>4</v>
      </c>
      <c r="U375" s="251">
        <f t="shared" si="134"/>
        <v>-1.0275989534277297</v>
      </c>
      <c r="V375" s="383">
        <f t="shared" si="135"/>
        <v>22.769589276394445</v>
      </c>
      <c r="W375" s="402">
        <f t="shared" si="136"/>
        <v>7.5316994824276433</v>
      </c>
      <c r="X375" s="157">
        <f t="shared" si="137"/>
        <v>46383</v>
      </c>
      <c r="Y375" s="385">
        <f t="shared" si="138"/>
        <v>7.2141687040570384</v>
      </c>
      <c r="Z375" s="385">
        <f t="shared" si="139"/>
        <v>7.7250734801094945</v>
      </c>
      <c r="AA375" s="386">
        <f t="shared" si="140"/>
        <v>8.2780081598294171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6.6795619072126694E-2</v>
      </c>
      <c r="AD375" s="231">
        <f>(INDEX(Models!$BJ375:$BT375,,AH375)*(1-AF375)+INDEX(Models!$BJ375:$BT375,,AH375+1)*AF375-ERP_i)*AE375*Ramure*Pc/MaxiM</f>
        <v>1.1449333038927054E-3</v>
      </c>
      <c r="AE375" s="305">
        <f t="shared" si="142"/>
        <v>0.5</v>
      </c>
      <c r="AF375" s="177">
        <f t="shared" si="143"/>
        <v>0.49738861294624925</v>
      </c>
      <c r="AG375" s="811">
        <f t="shared" si="149"/>
        <v>2</v>
      </c>
      <c r="AH375" s="176">
        <f t="shared" si="144"/>
        <v>8</v>
      </c>
      <c r="AI375" s="225">
        <f t="shared" si="145"/>
        <v>2.4973886129462493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'2025'!Wh/'2025'!Env_an*'2026'!Env_an</f>
        <v>20.074257982858008</v>
      </c>
      <c r="C376" s="841"/>
      <c r="D376" s="393">
        <f t="shared" si="127"/>
        <v>21.49638038080662</v>
      </c>
      <c r="E376" s="385">
        <f t="shared" si="150"/>
        <v>22.066575656512338</v>
      </c>
      <c r="F376" s="385">
        <f t="shared" si="128"/>
        <v>22.068923698229</v>
      </c>
      <c r="G376" s="110">
        <f t="shared" si="151"/>
        <v>0.87725601664207409</v>
      </c>
      <c r="H376" s="414" t="b">
        <f>Wh_hp&gt;='2025'!Maxi_hp</f>
        <v>0</v>
      </c>
      <c r="I376" s="390">
        <f>IF(H376,Wh_hp,'2025'!Maxi_hp)</f>
        <v>22.069179928956952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6.6156365525536387E-2</v>
      </c>
      <c r="M376" s="845"/>
      <c r="N376" s="845"/>
      <c r="O376" s="48">
        <f>IF(t&lt;Tnet,'2025'!Resal+('2025'!Salim-'2025'!Resal)*(1-EXP(('2025'!Tnet-t)/('2025'!Tau_j))),Resal+(Salim-Resal)*(1-EXP((Tnet-t)/(Tau_j))))*Salcycl</f>
        <v>2.5839771633866502E-2</v>
      </c>
      <c r="P376" s="169">
        <f>(INDEX(Models!$BJ376:$BT376,,T376)*(1-R376)+INDEX(Models!$BJ376:$BT376,,T376+1)*R376-ERP_i)*Q376*Ramure*Pc/MaxiM</f>
        <v>1.2901472980687034E-4</v>
      </c>
      <c r="Q376" s="305">
        <f t="shared" si="130"/>
        <v>0.5</v>
      </c>
      <c r="R376" s="177">
        <f t="shared" si="131"/>
        <v>0.97240104657227033</v>
      </c>
      <c r="S376" s="811">
        <f t="shared" si="132"/>
        <v>-2</v>
      </c>
      <c r="T376" s="176">
        <f t="shared" si="133"/>
        <v>4</v>
      </c>
      <c r="U376" s="251">
        <f t="shared" si="134"/>
        <v>-1.0275989534277297</v>
      </c>
      <c r="V376" s="383">
        <f t="shared" si="135"/>
        <v>22.882492107594317</v>
      </c>
      <c r="W376" s="402">
        <f t="shared" si="136"/>
        <v>20.074257982858008</v>
      </c>
      <c r="X376" s="157">
        <f t="shared" si="137"/>
        <v>46384</v>
      </c>
      <c r="Y376" s="385">
        <f t="shared" si="138"/>
        <v>19.213552530728908</v>
      </c>
      <c r="Z376" s="385">
        <f t="shared" si="139"/>
        <v>20.574699897742153</v>
      </c>
      <c r="AA376" s="386">
        <f t="shared" si="140"/>
        <v>22.048213022907824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6.6831408224998029E-2</v>
      </c>
      <c r="AD376" s="231">
        <f>(INDEX(Models!$BJ376:$BT376,,AH376)*(1-AF376)+INDEX(Models!$BJ376:$BT376,,AH376+1)*AF376-ERP_i)*AE376*Ramure*Pc/MaxiM</f>
        <v>1.1379619713403825E-3</v>
      </c>
      <c r="AE376" s="305">
        <f t="shared" si="142"/>
        <v>0.5</v>
      </c>
      <c r="AF376" s="177">
        <f t="shared" si="143"/>
        <v>0.49738861294624925</v>
      </c>
      <c r="AG376" s="811">
        <f t="shared" si="149"/>
        <v>2</v>
      </c>
      <c r="AH376" s="176">
        <f t="shared" si="144"/>
        <v>8</v>
      </c>
      <c r="AI376" s="225">
        <f t="shared" si="145"/>
        <v>2.4973886129462493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'2025'!Wh/'2025'!Env_an*'2026'!Env_an</f>
        <v>9.8678761186423802</v>
      </c>
      <c r="C377" s="841"/>
      <c r="D377" s="393">
        <f t="shared" si="127"/>
        <v>10.567178370008376</v>
      </c>
      <c r="E377" s="385">
        <f t="shared" si="150"/>
        <v>10.848316011159918</v>
      </c>
      <c r="F377" s="385">
        <f t="shared" si="128"/>
        <v>10.848572774894643</v>
      </c>
      <c r="G377" s="110">
        <f t="shared" si="151"/>
        <v>0.42884259194407237</v>
      </c>
      <c r="H377" s="414" t="b">
        <f>Wh_hp&gt;='2025'!Maxi_hp</f>
        <v>0</v>
      </c>
      <c r="I377" s="390">
        <f>IF(H377,Wh_hp,'2025'!Maxi_hp)</f>
        <v>24.70046719987749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6.6176819097777839E-2</v>
      </c>
      <c r="M377" s="845"/>
      <c r="N377" s="845"/>
      <c r="O377" s="48">
        <f>IF(t&lt;Tnet,'2025'!Resal+('2025'!Salim-'2025'!Resal)*(1-EXP(('2025'!Tnet-t)/('2025'!Tau_j))),Resal+(Salim-Resal)*(1-EXP((Tnet-t)/(Tau_j))))*Salcycl</f>
        <v>2.5915325554890629E-2</v>
      </c>
      <c r="P377" s="169">
        <f>(INDEX(Models!$BJ377:$BT377,,T377)*(1-R377)+INDEX(Models!$BJ377:$BT377,,T377+1)*R377-ERP_i)*Q377*Ramure*Pc/MaxiM</f>
        <v>1.2854289390186173E-4</v>
      </c>
      <c r="Q377" s="305">
        <f t="shared" si="130"/>
        <v>0.5</v>
      </c>
      <c r="R377" s="177">
        <f t="shared" si="131"/>
        <v>0.97240104657227033</v>
      </c>
      <c r="S377" s="811">
        <f t="shared" si="132"/>
        <v>-2</v>
      </c>
      <c r="T377" s="176">
        <f t="shared" si="133"/>
        <v>4</v>
      </c>
      <c r="U377" s="251">
        <f t="shared" si="134"/>
        <v>-1.0275989534277297</v>
      </c>
      <c r="V377" s="383">
        <f t="shared" si="135"/>
        <v>23.008071928438287</v>
      </c>
      <c r="W377" s="402">
        <f t="shared" si="136"/>
        <v>9.8678761186423802</v>
      </c>
      <c r="X377" s="157">
        <f t="shared" si="137"/>
        <v>46385</v>
      </c>
      <c r="Y377" s="385">
        <f t="shared" si="138"/>
        <v>9.4512706535330526</v>
      </c>
      <c r="Z377" s="385">
        <f t="shared" si="139"/>
        <v>10.121049516463724</v>
      </c>
      <c r="AA377" s="386">
        <f t="shared" si="140"/>
        <v>10.846314553885147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6.6867416929341533E-2</v>
      </c>
      <c r="AD377" s="231">
        <f>(INDEX(Models!$BJ377:$BT377,,AH377)*(1-AF377)+INDEX(Models!$BJ377:$BT377,,AH377+1)*AF377-ERP_i)*AE377*Ramure*Pc/MaxiM</f>
        <v>1.1305267230985725E-3</v>
      </c>
      <c r="AE377" s="305">
        <f t="shared" si="142"/>
        <v>0.5</v>
      </c>
      <c r="AF377" s="177">
        <f t="shared" si="143"/>
        <v>0.49738861294624925</v>
      </c>
      <c r="AG377" s="811">
        <f t="shared" si="149"/>
        <v>2</v>
      </c>
      <c r="AH377" s="176">
        <f t="shared" si="144"/>
        <v>8</v>
      </c>
      <c r="AI377" s="225">
        <f t="shared" si="145"/>
        <v>2.4973886129462493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'2025'!Wh/'2025'!Env_an*'2026'!Env_an</f>
        <v>12.992841115360676</v>
      </c>
      <c r="C378" s="841"/>
      <c r="D378" s="393">
        <f t="shared" si="127"/>
        <v>13.913903578197761</v>
      </c>
      <c r="E378" s="385">
        <f t="shared" si="150"/>
        <v>14.285188369478963</v>
      </c>
      <c r="F378" s="385">
        <f t="shared" si="128"/>
        <v>14.285871572936543</v>
      </c>
      <c r="G378" s="110">
        <f t="shared" si="151"/>
        <v>0.5613169170039215</v>
      </c>
      <c r="H378" s="414" t="b">
        <f>Wh_hp&gt;='2025'!Maxi_hp</f>
        <v>0</v>
      </c>
      <c r="I378" s="390">
        <f>IF(H378,Wh_hp,'2025'!Maxi_hp)</f>
        <v>26.021620495154139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6.6197272222033643E-2</v>
      </c>
      <c r="M378" s="845"/>
      <c r="N378" s="845"/>
      <c r="O378" s="48">
        <f>IF(t&lt;Tnet,'2025'!Resal+('2025'!Salim-'2025'!Resal)*(1-EXP(('2025'!Tnet-t)/('2025'!Tau_j))),Resal+(Salim-Resal)*(1-EXP((Tnet-t)/(Tau_j))))*Salcycl</f>
        <v>2.5990892221937411E-2</v>
      </c>
      <c r="P378" s="169">
        <f>(INDEX(Models!$BJ378:$BT378,,T378)*(1-R378)+INDEX(Models!$BJ378:$BT378,,T378+1)*R378-ERP_i)*Q378*Ramure*Pc/MaxiM</f>
        <v>1.2808520004779572E-4</v>
      </c>
      <c r="Q378" s="305">
        <f t="shared" si="130"/>
        <v>0.5</v>
      </c>
      <c r="R378" s="177">
        <f t="shared" si="131"/>
        <v>0.97240104657227033</v>
      </c>
      <c r="S378" s="811">
        <f t="shared" si="132"/>
        <v>-2</v>
      </c>
      <c r="T378" s="176">
        <f t="shared" si="133"/>
        <v>4</v>
      </c>
      <c r="U378" s="251">
        <f t="shared" si="134"/>
        <v>-1.0275989534277297</v>
      </c>
      <c r="V378" s="383">
        <f t="shared" si="135"/>
        <v>23.145210570375852</v>
      </c>
      <c r="W378" s="402">
        <f t="shared" si="136"/>
        <v>12.992841115360676</v>
      </c>
      <c r="X378" s="157">
        <f t="shared" si="137"/>
        <v>46386</v>
      </c>
      <c r="Y378" s="385">
        <f t="shared" si="138"/>
        <v>12.442461250394024</v>
      </c>
      <c r="Z378" s="385">
        <f t="shared" si="139"/>
        <v>13.324507286460307</v>
      </c>
      <c r="AA378" s="386">
        <f t="shared" si="140"/>
        <v>14.279883156255242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6.6903619542323461E-2</v>
      </c>
      <c r="AD378" s="231">
        <f>(INDEX(Models!$BJ378:$BT378,,AH378)*(1-AF378)+INDEX(Models!$BJ378:$BT378,,AH378+1)*AF378-ERP_i)*AE378*Ramure*Pc/MaxiM</f>
        <v>1.1226927207179977E-3</v>
      </c>
      <c r="AE378" s="305">
        <f t="shared" si="142"/>
        <v>0.5</v>
      </c>
      <c r="AF378" s="177">
        <f t="shared" si="143"/>
        <v>0.49738861294624925</v>
      </c>
      <c r="AG378" s="811">
        <f t="shared" si="149"/>
        <v>2</v>
      </c>
      <c r="AH378" s="176">
        <f t="shared" si="144"/>
        <v>8</v>
      </c>
      <c r="AI378" s="225">
        <f t="shared" si="145"/>
        <v>2.4973886129462493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'2025'!Wh/'2025'!Env_an*'2026'!Env_an</f>
        <v>12.056700365749931</v>
      </c>
      <c r="C379" s="841"/>
      <c r="D379" s="393">
        <f t="shared" si="127"/>
        <v>12.91168261299133</v>
      </c>
      <c r="E379" s="385">
        <f t="shared" si="150"/>
        <v>13.257252291229957</v>
      </c>
      <c r="F379" s="385">
        <f t="shared" si="128"/>
        <v>13.257778397327259</v>
      </c>
      <c r="G379" s="110">
        <f t="shared" si="151"/>
        <v>0.51756958332994762</v>
      </c>
      <c r="H379" s="414" t="b">
        <f>Wh_hp&gt;='2025'!Maxi_hp</f>
        <v>0</v>
      </c>
      <c r="I379" s="390">
        <f>IF(H379,Wh_hp,'2025'!Maxi_hp)</f>
        <v>25.489311551615195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6.6217724898313568E-2</v>
      </c>
      <c r="M379" s="845"/>
      <c r="N379" s="845"/>
      <c r="O379" s="48">
        <f>IF(t&lt;Tnet,'2025'!Resal+('2025'!Salim-'2025'!Resal)*(1-EXP(('2025'!Tnet-t)/('2025'!Tau_j))),Resal+(Salim-Resal)*(1-EXP((Tnet-t)/(Tau_j))))*Salcycl</f>
        <v>2.6066463143892219E-2</v>
      </c>
      <c r="P379" s="169">
        <f>(INDEX(Models!$BJ379:$BT379,,T379)*(1-R379)+INDEX(Models!$BJ379:$BT379,,T379+1)*R379-ERP_i)*Q379*Ramure*Pc/MaxiM</f>
        <v>1.2764727816610489E-4</v>
      </c>
      <c r="Q379" s="306">
        <f t="shared" si="130"/>
        <v>0.5</v>
      </c>
      <c r="R379" s="177">
        <f t="shared" si="131"/>
        <v>0.97240104657227033</v>
      </c>
      <c r="S379" s="811">
        <f t="shared" si="132"/>
        <v>-2</v>
      </c>
      <c r="T379" s="176">
        <f t="shared" si="133"/>
        <v>4</v>
      </c>
      <c r="U379" s="307">
        <f t="shared" si="134"/>
        <v>-1.0275989534277297</v>
      </c>
      <c r="V379" s="383">
        <f t="shared" si="135"/>
        <v>23.292790285397551</v>
      </c>
      <c r="W379" s="402">
        <f t="shared" si="136"/>
        <v>12.056700365749931</v>
      </c>
      <c r="X379" s="157">
        <f t="shared" si="137"/>
        <v>46387</v>
      </c>
      <c r="Y379" s="385">
        <f t="shared" si="138"/>
        <v>11.547167233369048</v>
      </c>
      <c r="Z379" s="385">
        <f t="shared" si="139"/>
        <v>12.366016727091541</v>
      </c>
      <c r="AA379" s="386">
        <f t="shared" si="140"/>
        <v>13.253184818789618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6.6939992449233848E-2</v>
      </c>
      <c r="AD379" s="231">
        <f>(INDEX(Models!$BJ379:$BT379,,AH379)*(1-AF379)+INDEX(Models!$BJ379:$BT379,,AH379+1)*AF379-ERP_i)*AE379*Ramure*Pc/MaxiM</f>
        <v>1.1145238581707559E-3</v>
      </c>
      <c r="AE379" s="306">
        <f t="shared" si="142"/>
        <v>0.5</v>
      </c>
      <c r="AF379" s="177">
        <f t="shared" si="143"/>
        <v>0.49738861294624925</v>
      </c>
      <c r="AG379" s="811">
        <f t="shared" si="149"/>
        <v>2</v>
      </c>
      <c r="AH379" s="176">
        <f t="shared" si="144"/>
        <v>8</v>
      </c>
      <c r="AI379" s="222">
        <f t="shared" si="145"/>
        <v>2.4973886129462493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9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16.688760379988651</v>
      </c>
      <c r="J380" s="85">
        <f>IF(H380,An,'2025'!An_max)</f>
        <v>2024</v>
      </c>
      <c r="K380" s="234"/>
      <c r="L380" s="214"/>
      <c r="M380" s="850"/>
      <c r="N380" s="850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1.6923364315875087</v>
      </c>
      <c r="C381" s="375"/>
      <c r="D381" s="373">
        <f>MIN(D15:D380)</f>
        <v>1.7983086061934854</v>
      </c>
      <c r="E381" s="373">
        <f>MIN(E15:E380)</f>
        <v>1.8937704034160432</v>
      </c>
      <c r="F381" s="374">
        <f>MIN(F15:F380)</f>
        <v>1.8937704034160432</v>
      </c>
      <c r="G381" s="125">
        <f>+MIN(G15:G380)</f>
        <v>6.8508114272852833E-2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5.8743276379716436E-2</v>
      </c>
      <c r="M381" s="847"/>
      <c r="N381" s="847"/>
      <c r="O381" s="47">
        <f t="shared" si="152"/>
        <v>5.0553188945380769E-3</v>
      </c>
      <c r="P381" s="168">
        <f t="shared" si="152"/>
        <v>1.5111716092327135E-7</v>
      </c>
      <c r="Q381" s="310">
        <f t="shared" si="152"/>
        <v>0.5</v>
      </c>
      <c r="R381" s="311">
        <f t="shared" si="152"/>
        <v>0.47240231960844126</v>
      </c>
      <c r="S381" s="811">
        <f t="shared" si="152"/>
        <v>-2</v>
      </c>
      <c r="T381" s="176">
        <f t="shared" si="152"/>
        <v>4</v>
      </c>
      <c r="U381" s="252">
        <f>MIN(U15:U380)</f>
        <v>-1.5275976803915587</v>
      </c>
      <c r="V381" s="57">
        <f>MIN(V15:V380)</f>
        <v>22.372986900616997</v>
      </c>
      <c r="W381" s="58"/>
      <c r="X381" s="112" t="s">
        <v>7</v>
      </c>
      <c r="Y381" s="373">
        <f>MIN(Y15:Y380)</f>
        <v>1.6242064863238639</v>
      </c>
      <c r="Z381" s="373">
        <f>MIN(Z15:Z380)</f>
        <v>1.7259124415655254</v>
      </c>
      <c r="AA381" s="373">
        <f>MIN(AA15:AA380)</f>
        <v>1.8937704034160432</v>
      </c>
      <c r="AB381" s="200" t="s">
        <v>7</v>
      </c>
      <c r="AC381" s="47">
        <f t="shared" ref="AC381:AH381" si="153">MIN(AC15:AC380)</f>
        <v>5.6711783164717575E-2</v>
      </c>
      <c r="AD381" s="168">
        <f t="shared" si="153"/>
        <v>1.3700489433034485E-5</v>
      </c>
      <c r="AE381" s="310">
        <f t="shared" si="153"/>
        <v>0.5</v>
      </c>
      <c r="AF381" s="311">
        <f t="shared" si="153"/>
        <v>1.3715615505782708E-4</v>
      </c>
      <c r="AG381" s="811">
        <f t="shared" si="153"/>
        <v>1</v>
      </c>
      <c r="AH381" s="176">
        <f t="shared" si="153"/>
        <v>7</v>
      </c>
      <c r="AI381" s="226">
        <f>MIN(AI15:AI380)</f>
        <v>1.9973898859824202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29.816802660566673</v>
      </c>
      <c r="C382" s="375"/>
      <c r="D382" s="375">
        <f>AVERAGE(D15:D380)</f>
        <v>31.801274351476959</v>
      </c>
      <c r="E382" s="375">
        <f>AVERAGE(E15:E380)</f>
        <v>32.606989800798701</v>
      </c>
      <c r="F382" s="376">
        <f>AVERAGE(F15:F380)</f>
        <v>32.607711669124434</v>
      </c>
      <c r="G382" s="126">
        <f>AVERAGE(G15:G380)</f>
        <v>0.67230651423996413</v>
      </c>
      <c r="H382" s="94"/>
      <c r="I382" s="376">
        <f>AVERAGE(I15:I380)</f>
        <v>43.922124875731825</v>
      </c>
      <c r="J382" s="59">
        <f>AVERAGE(J15:J380)</f>
        <v>2020.7131147540983</v>
      </c>
      <c r="K382" s="200" t="s">
        <v>8</v>
      </c>
      <c r="L382" s="147">
        <f t="shared" ref="L382:V382" si="154">AVERAGE(L15:L380)</f>
        <v>6.2485452903560598E-2</v>
      </c>
      <c r="M382" s="845"/>
      <c r="N382" s="845"/>
      <c r="O382" s="48">
        <f t="shared" si="154"/>
        <v>2.8352291094437668E-2</v>
      </c>
      <c r="P382" s="169">
        <f t="shared" si="154"/>
        <v>4.0443282443530727E-5</v>
      </c>
      <c r="Q382" s="312">
        <f t="shared" si="154"/>
        <v>0.5</v>
      </c>
      <c r="R382" s="177">
        <f t="shared" si="154"/>
        <v>0.75228591660758526</v>
      </c>
      <c r="S382" s="811">
        <f t="shared" si="154"/>
        <v>-2</v>
      </c>
      <c r="T382" s="176">
        <f t="shared" si="154"/>
        <v>4</v>
      </c>
      <c r="U382" s="251">
        <f>AVERAGE(U15:U380)</f>
        <v>-1.2477140833924163</v>
      </c>
      <c r="V382" s="59">
        <f t="shared" si="154"/>
        <v>42.926694909248397</v>
      </c>
      <c r="X382" s="112" t="s">
        <v>8</v>
      </c>
      <c r="Y382" s="375">
        <f>AVERAGE(Y15:Y380)</f>
        <v>28.424773044048617</v>
      </c>
      <c r="Z382" s="375">
        <f>AVERAGE(Z15:Z380)</f>
        <v>30.316466991833739</v>
      </c>
      <c r="AA382" s="375">
        <f>AVERAGE(AA15:AA380)</f>
        <v>32.59873931174603</v>
      </c>
      <c r="AB382" s="200" t="s">
        <v>8</v>
      </c>
      <c r="AC382" s="48">
        <f t="shared" ref="AC382:AH382" si="155">AVERAGE(AC15:AC380)</f>
        <v>7.2132002843551077E-2</v>
      </c>
      <c r="AD382" s="169">
        <f t="shared" si="155"/>
        <v>4.9806200066191092E-4</v>
      </c>
      <c r="AE382" s="312">
        <f t="shared" si="155"/>
        <v>0.5</v>
      </c>
      <c r="AF382" s="177">
        <f t="shared" si="155"/>
        <v>0.38412279805005717</v>
      </c>
      <c r="AG382" s="811">
        <f t="shared" si="155"/>
        <v>1.893150684931507</v>
      </c>
      <c r="AH382" s="176">
        <f t="shared" si="155"/>
        <v>7.8931506849315065</v>
      </c>
      <c r="AI382" s="225">
        <f>AVERAGE(AI15:AI380)</f>
        <v>2.2772734829815633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58.071884056110079</v>
      </c>
      <c r="C383" s="377"/>
      <c r="D383" s="377">
        <f>MAX(D15:D380)</f>
        <v>61.896435632780673</v>
      </c>
      <c r="E383" s="377">
        <f>MAX(E15:E380)</f>
        <v>62.394157613637297</v>
      </c>
      <c r="F383" s="378">
        <f>MAX(F15:F380)</f>
        <v>62.396058385652786</v>
      </c>
      <c r="G383" s="127">
        <f>+MAX(G15:G380)</f>
        <v>1.0441658803409344</v>
      </c>
      <c r="H383" s="94"/>
      <c r="I383" s="378">
        <f>MAX(I15:I380)</f>
        <v>66.115436428019962</v>
      </c>
      <c r="J383" s="60">
        <f>MAX(J15:J380)</f>
        <v>2026</v>
      </c>
      <c r="K383" s="200" t="s">
        <v>9</v>
      </c>
      <c r="L383" s="148">
        <f t="shared" ref="L383:T383" si="156">MAX(L15:L380)</f>
        <v>6.6217724898313568E-2</v>
      </c>
      <c r="M383" s="848"/>
      <c r="N383" s="848"/>
      <c r="O383" s="49">
        <f t="shared" si="156"/>
        <v>5.6633644338352725E-2</v>
      </c>
      <c r="P383" s="170">
        <f t="shared" si="156"/>
        <v>1.3472501224692898E-4</v>
      </c>
      <c r="Q383" s="313">
        <f t="shared" si="156"/>
        <v>0.5</v>
      </c>
      <c r="R383" s="314">
        <f t="shared" si="156"/>
        <v>0.97240104657227033</v>
      </c>
      <c r="S383" s="812">
        <f t="shared" si="156"/>
        <v>-2</v>
      </c>
      <c r="T383" s="233">
        <f t="shared" si="156"/>
        <v>4</v>
      </c>
      <c r="U383" s="253">
        <f>MAX(U15:U380)</f>
        <v>-1.0275989534277297</v>
      </c>
      <c r="V383" s="60">
        <f>MAX(V15:V380)</f>
        <v>59.336402633298057</v>
      </c>
      <c r="X383" s="112" t="s">
        <v>9</v>
      </c>
      <c r="Y383" s="377">
        <f>MAX(Y15:Y380)</f>
        <v>55.050264359362799</v>
      </c>
      <c r="Z383" s="377">
        <f>MAX(Z15:Z380)</f>
        <v>58.675815325615318</v>
      </c>
      <c r="AA383" s="377">
        <f>MAX(AA15:AA380)</f>
        <v>62.369872647143616</v>
      </c>
      <c r="AB383" s="200" t="s">
        <v>9</v>
      </c>
      <c r="AC383" s="49">
        <f t="shared" ref="AC383:AH383" si="157">MAX(AC15:AC380)</f>
        <v>9.1595781916916391E-2</v>
      </c>
      <c r="AD383" s="170">
        <f t="shared" si="157"/>
        <v>1.1764381589604328E-3</v>
      </c>
      <c r="AE383" s="313">
        <f t="shared" si="157"/>
        <v>0.5</v>
      </c>
      <c r="AF383" s="314">
        <f t="shared" si="157"/>
        <v>0.99999937969646679</v>
      </c>
      <c r="AG383" s="812">
        <f t="shared" si="157"/>
        <v>2</v>
      </c>
      <c r="AH383" s="233">
        <f t="shared" si="157"/>
        <v>8</v>
      </c>
      <c r="AI383" s="227">
        <f>MAX(AI15:AI380)</f>
        <v>2.4973886129462493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'2026'!An+1</f>
        <v>2027</v>
      </c>
      <c r="K1" s="1271"/>
      <c r="L1" s="113" t="str">
        <f>"Calcul pertes et enveloppes en "&amp;TEXT(An,0)</f>
        <v>Calcul pertes et enveloppes en 2027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2027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395.58962406000563</v>
      </c>
      <c r="AK4" s="834">
        <f>AM12-AK12</f>
        <v>3.0572681411803653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395.58962406000563</v>
      </c>
      <c r="AA5" s="237">
        <f>Wh_Pvg_s-Wh_Pvg</f>
        <v>3.0572681411803653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10632.237283248156</v>
      </c>
      <c r="AK6" s="516">
        <f>SUMIF(AK15:AK380,"FAUX",Wh)</f>
        <v>10632.237283248156</v>
      </c>
      <c r="AL6" s="516">
        <f>SUMIF(AJ15:AJ380,"FAUX",Wh_s)</f>
        <v>10233.276145562351</v>
      </c>
      <c r="AM6" s="516">
        <f>SUMIF(AK15:AK380,"FAUX",Wh_s)</f>
        <v>10233.276145562351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AND(YEAR(Tnet)=An,Resal_2027="I")</f>
        <v>0</v>
      </c>
      <c r="F7" s="320" t="b">
        <f>YEAR(Tnet)=An</f>
        <v>0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AND(YEAR(Tnet)=An,Resal_2027&lt;&gt;"I")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11430.529535002745</v>
      </c>
      <c r="AK8" s="516">
        <f>SUMIF(AK15:AK380,"FAUX",Wh_sa)</f>
        <v>11901.22138207563</v>
      </c>
      <c r="AL8" s="516">
        <f>SUMIF(AJ15:AJ380,"FAUX",Wh_pvt_s)</f>
        <v>11001.660917141544</v>
      </c>
      <c r="AM8" s="516">
        <f>SUMIF(AK15:AK380,"FAUX",Wh_sa_s)</f>
        <v>11897.648007384923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11430.529535002745</v>
      </c>
      <c r="E9" s="184">
        <f>SUM(E$15:E$380)</f>
        <v>11901.22138207563</v>
      </c>
      <c r="F9" s="184">
        <f>SUM(F$15:F$380)</f>
        <v>11901.709115782414</v>
      </c>
      <c r="H9" s="1272">
        <f>+SUM(Wh)</f>
        <v>10632.237283248156</v>
      </c>
      <c r="I9" s="1273"/>
      <c r="J9" s="1274"/>
      <c r="K9" s="191"/>
      <c r="L9" s="232"/>
      <c r="M9" s="232"/>
      <c r="N9" s="232"/>
      <c r="O9" s="223">
        <f>Tnet_2027</f>
        <v>46142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10233.276145562351</v>
      </c>
      <c r="Y9" s="1267"/>
      <c r="Z9" s="516">
        <f>SUM(Z$15:Z$380)</f>
        <v>11001.660917141544</v>
      </c>
      <c r="AA9" s="516">
        <f>SUM(AA$15:AA$380)</f>
        <v>11897.648007384923</v>
      </c>
      <c r="AB9" s="516">
        <f>F9</f>
        <v>11901.709115782414</v>
      </c>
      <c r="AC9" s="325">
        <f>IF(An_Tnet,Tnet,'2026'!Tnet_s)</f>
        <v>46142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5.0000000000000001E-3</v>
      </c>
      <c r="P10" s="421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IF(OR(Inflex,GainD),'2026'!Resal_s+('2026'!Salim-'2026'!Resal_s)*(1-EXP(('2026'!Tnet_s-Tnet)/('2026'!Tau_j))),IF(Acti_net,'2026'!Resal+('2026'!Salim-'2026'!Resal)*(1-EXP(('2026'!Tnet-Tnet)/'2026'!Tau_j)),'2026'!Resal_s))</f>
        <v>5.6091202501577835E-2</v>
      </c>
      <c r="AD10" s="428"/>
      <c r="AE10" s="428"/>
      <c r="AF10" s="260"/>
      <c r="AG10" s="261"/>
      <c r="AH10" s="262"/>
      <c r="AI10" s="473"/>
      <c r="AJ10" s="516">
        <f>SUMIF(AJ15:AJ380,"FAUX",Wh_sa)</f>
        <v>11901.22138207563</v>
      </c>
      <c r="AK10" s="516">
        <f>SUMIF(AK15:AK380,"FAUX",Wh_hp)</f>
        <v>11901.709115782414</v>
      </c>
      <c r="AL10" s="516">
        <f>SUMIF(AJ15:AJ380,"FAUX",Wh_sa_s)</f>
        <v>11897.648007384923</v>
      </c>
      <c r="AM10" s="516">
        <f>SUMIF(AK15:AK380,"FAUX",Wh_hp)</f>
        <v>11901.709115782414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798.29225175458851</v>
      </c>
      <c r="E11" s="51">
        <f>(E$9-D$9)*Prod_an/D$9</f>
        <v>437.81938448646571</v>
      </c>
      <c r="F11" s="186">
        <f>(F$9-E$9)*Prod_an/E$9</f>
        <v>0.43572842946881185</v>
      </c>
      <c r="G11" s="185" t="s">
        <v>6</v>
      </c>
      <c r="K11" s="194"/>
      <c r="L11" s="211">
        <f>Tvie_2027</f>
        <v>43259</v>
      </c>
      <c r="M11" s="844"/>
      <c r="N11" s="844"/>
      <c r="O11" s="202">
        <f>IF(An_Tnet,Salim_2027,'2026'!Salim)</f>
        <v>0.11</v>
      </c>
      <c r="P11" s="256">
        <f>Ttai_2027</f>
        <v>45747</v>
      </c>
      <c r="Q11" s="272">
        <f>Dens_2027</f>
        <v>0.5</v>
      </c>
      <c r="R11" s="277"/>
      <c r="S11" s="230"/>
      <c r="T11" s="230"/>
      <c r="U11" s="266">
        <f>Htf_2027</f>
        <v>-0.52759895342772967</v>
      </c>
      <c r="V11" s="428"/>
      <c r="W11" s="519"/>
      <c r="X11" s="526" t="s">
        <v>43</v>
      </c>
      <c r="Y11" s="50">
        <f>Z$9-Prod_an_s</f>
        <v>768.3847715791926</v>
      </c>
      <c r="Z11" s="51">
        <f>(AA$9-Z$9)*Prod_an_s/Z$9</f>
        <v>833.40900854647134</v>
      </c>
      <c r="AA11" s="186">
        <f>(AB$9-AA$9)*Prod_an_s/AA$9</f>
        <v>3.492996570649177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4.4165880340934383E-2</v>
      </c>
      <c r="K12" s="191"/>
      <c r="L12" s="212">
        <f>Pspv_2027</f>
        <v>0</v>
      </c>
      <c r="M12" s="212"/>
      <c r="N12" s="212"/>
      <c r="O12" s="205">
        <f>IF(An_Tnet,Tau_2027*365,'2026'!Tau_j)</f>
        <v>1095</v>
      </c>
      <c r="P12" s="281">
        <f>INDEX(Croivg,MIN(MAX(Ttai-$A$15,0)+1,366))</f>
        <v>2.3909964587625958E-6</v>
      </c>
      <c r="Q12" s="280">
        <f>'2026'!Df</f>
        <v>0.5</v>
      </c>
      <c r="R12" s="278"/>
      <c r="S12" s="279"/>
      <c r="T12" s="279"/>
      <c r="U12" s="267">
        <f>'2026'!Hdf</f>
        <v>-1.0275989534277297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'2026'!Df_s</f>
        <v>0.5</v>
      </c>
      <c r="AF12" s="203"/>
      <c r="AG12" s="203"/>
      <c r="AH12" s="203"/>
      <c r="AI12" s="297">
        <f>'2026'!Hdf_s</f>
        <v>2.4973886129462493</v>
      </c>
      <c r="AJ12" s="833">
        <f>IF($AJ8=0,0,($AJ10-$AJ8)*$AJ6/$AJ8)</f>
        <v>437.81938448646571</v>
      </c>
      <c r="AK12" s="834">
        <f>IF($AK8=0,0,($AK10-$AK8)*$AK6/$AK8)</f>
        <v>0.43572842946881185</v>
      </c>
      <c r="AL12" s="833">
        <f>IF($AL8=0,0,($AL10-$AL8)*$AL6/$AL8)</f>
        <v>833.40900854647134</v>
      </c>
      <c r="AM12" s="834">
        <f>IF($AM8=0,0,($AM10-$AM8)*$AM6/$AM8)</f>
        <v>3.492996570649177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437.81938448646571</v>
      </c>
      <c r="AK13" s="73">
        <f>+AK11+AK12</f>
        <v>0.43572842946881185</v>
      </c>
      <c r="AL13" s="73">
        <f>+AL11+AL12</f>
        <v>833.40900854647134</v>
      </c>
      <c r="AM13" s="73">
        <f>+AM11+AM12</f>
        <v>3.492996570649177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2027</v>
      </c>
      <c r="W14" s="838" t="s">
        <v>116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'2026'!Wh/'2026'!Env_an*'2027'!Env_an</f>
        <v>22.302742754305925</v>
      </c>
      <c r="C15" s="841"/>
      <c r="D15" s="393">
        <f t="shared" ref="D15:D78" si="0">Wh/(1-Ppv)</f>
        <v>23.884830379631396</v>
      </c>
      <c r="E15" s="400">
        <f t="shared" ref="E15:E79" si="1">Wh_pvt/(1-Psa)</f>
        <v>24.525989547486567</v>
      </c>
      <c r="F15" s="400">
        <f t="shared" ref="F15:F78" si="2">Wh_sa/(1-Pvg*MEDIAN((-Sdif+Wh/Env_an)/Csdif,0,1))</f>
        <v>24.528892405175789</v>
      </c>
      <c r="G15" s="123">
        <f>+Wh_hp/MaxiM</f>
        <v>0.95108041415053479</v>
      </c>
      <c r="H15" s="414" t="b">
        <f>Wh_hp&gt;='2026'!Maxi_hp</f>
        <v>0</v>
      </c>
      <c r="I15" s="396">
        <f>IF(H15,Wh_hp,'2026'!Maxi_hp)</f>
        <v>24.52900434144814</v>
      </c>
      <c r="J15" s="84">
        <f>IF(H15,An,'2026'!An_max)</f>
        <v>2026</v>
      </c>
      <c r="K15" s="197">
        <f t="shared" ref="K15:K78" si="3">t</f>
        <v>46388</v>
      </c>
      <c r="L15" s="146">
        <f>IF(t&lt;Tvie,1-EXP((T0-t)*PertePVj)+'2026'!Pspv,1-EXP((T0-t)*PertePVj)+Pspv)</f>
        <v>6.6238177126627273E-2</v>
      </c>
      <c r="M15" s="845"/>
      <c r="N15" s="845"/>
      <c r="O15" s="48">
        <f>IF(t&lt;Tnet,'2026'!Resal+('2026'!Salim-'2026'!Resal)*(1-EXP(('2026'!Tnet-t)/('2026'!Tau_j))),Resal+(Salim-Resal)*(1-EXP((Tnet-t)/(Tau_j))))*Salcycl</f>
        <v>2.6142030543304832E-2</v>
      </c>
      <c r="P15" s="302">
        <f>(INDEX(Models!$BJ15:$BT15,,T15)*(1-R15)+INDEX(Models!$BJ15:$BT15,,T15+1)*R15-ERP_i)*Q15*Ramure*Pc/MaxiM</f>
        <v>1.2723470152725471E-4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0.97240224207049963</v>
      </c>
      <c r="S15" s="810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-1.0275977579295004</v>
      </c>
      <c r="V15" s="382">
        <f t="shared" ref="V15:V78" si="9">MaxiM*(1-Ppv)*(1-Pvg)*(1-Psa)</f>
        <v>23.449693760361036</v>
      </c>
      <c r="W15" s="402">
        <f t="shared" ref="W15:W78" si="10">Wh*(A15&gt;Tmaj)</f>
        <v>22.302742754305925</v>
      </c>
      <c r="X15" s="156">
        <f t="shared" ref="X15:X78" si="11">t</f>
        <v>46388</v>
      </c>
      <c r="Y15" s="385">
        <f t="shared" ref="Y15:Y78" si="12">Wh_pvt_s*(1-Ppv)</f>
        <v>21.34811810318552</v>
      </c>
      <c r="Z15" s="385">
        <f>Wh_sa_s*(1-Psa_s)</f>
        <v>22.862487606842901</v>
      </c>
      <c r="AA15" s="386">
        <f t="shared" ref="AA15:AA78" si="13">Wh_hp*(1-Pvg_s*MEDIAN((-Sdif+Wh/Env_an)/Csdif,0,1))</f>
        <v>24.503657144937193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6.6976514092851686E-2</v>
      </c>
      <c r="AD15" s="231">
        <f>(INDEX(Models!$BJ15:$BT15,,AH15)*(1-AF15)+INDEX(Models!$BJ15:$BT15,,AH15+1)*AF15-ERP_i)*AE15*Ramure*Pc/MaxiM</f>
        <v>1.1060827460959842E-3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0.49738980844447855</v>
      </c>
      <c r="AG15" s="810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2.4973898084444786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'2026'!Wh/'2026'!Env_an*'2027'!Env_an</f>
        <v>16.03620950450264</v>
      </c>
      <c r="C16" s="841"/>
      <c r="D16" s="393">
        <f t="shared" si="0"/>
        <v>17.174144791004643</v>
      </c>
      <c r="E16" s="385">
        <f t="shared" si="1"/>
        <v>17.636532112574042</v>
      </c>
      <c r="F16" s="385">
        <f t="shared" si="2"/>
        <v>17.637742174735187</v>
      </c>
      <c r="G16" s="110">
        <f t="shared" ref="G16:G79" si="21">+Wh_hp/MaxiM</f>
        <v>0.67903486805295943</v>
      </c>
      <c r="H16" s="414" t="b">
        <f>Wh_hp&gt;='2026'!Maxi_hp</f>
        <v>0</v>
      </c>
      <c r="I16" s="390">
        <f>IF(H16,Wh_hp,'2026'!Maxi_hp)</f>
        <v>24.297474136240545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6.6258628906984751E-2</v>
      </c>
      <c r="M16" s="845"/>
      <c r="N16" s="845"/>
      <c r="O16" s="48">
        <f>IF(t&lt;Tnet,'2026'!Resal+('2026'!Salim-'2026'!Resal)*(1-EXP(('2026'!Tnet-t)/('2026'!Tau_j))),Resal+(Salim-Resal)*(1-EXP((Tnet-t)/(Tau_j))))*Salcycl</f>
        <v>2.6217587370236894E-2</v>
      </c>
      <c r="P16" s="169">
        <f>(INDEX(Models!$BJ16:$BT16,,T16)*(1-R16)+INDEX(Models!$BJ16:$BT16,,T16+1)*R16-ERP_i)*Q16*Ramure*Pc/MaxiM</f>
        <v>1.2668884424827339E-4</v>
      </c>
      <c r="Q16" s="305">
        <f t="shared" si="4"/>
        <v>0.5</v>
      </c>
      <c r="R16" s="177">
        <f t="shared" si="5"/>
        <v>0.97243145668449404</v>
      </c>
      <c r="S16" s="811">
        <f t="shared" si="6"/>
        <v>-2</v>
      </c>
      <c r="T16" s="176">
        <f t="shared" si="7"/>
        <v>4</v>
      </c>
      <c r="U16" s="251">
        <f t="shared" si="8"/>
        <v>-1.027568543315506</v>
      </c>
      <c r="V16" s="383">
        <f t="shared" si="9"/>
        <v>23.614807976625002</v>
      </c>
      <c r="W16" s="402">
        <f t="shared" si="10"/>
        <v>16.03620950450264</v>
      </c>
      <c r="X16" s="157">
        <f t="shared" si="11"/>
        <v>46389</v>
      </c>
      <c r="Y16" s="385">
        <f t="shared" si="12"/>
        <v>15.356312685586435</v>
      </c>
      <c r="Z16" s="385">
        <f t="shared" ref="Z16:Z78" si="22">Wh_sa_s*(1-Psa_s)</f>
        <v>16.446002245365548</v>
      </c>
      <c r="AA16" s="386">
        <f t="shared" si="13"/>
        <v>17.62726078024107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6.7013164983616091E-2</v>
      </c>
      <c r="AD16" s="231">
        <f>(INDEX(Models!$BJ16:$BT16,,AH16)*(1-AF16)+INDEX(Models!$BJ16:$BT16,,AH16+1)*AF16-ERP_i)*AE16*Ramure*Pc/MaxiM</f>
        <v>1.0973616043936556E-3</v>
      </c>
      <c r="AE16" s="305">
        <f t="shared" si="15"/>
        <v>0.5</v>
      </c>
      <c r="AF16" s="177">
        <f t="shared" ref="AF16:AF78" si="23">(Hp_vg_s-AG16)/(INDEX(Echel_vg,AH16+1)-AG16)</f>
        <v>0.49741902305847274</v>
      </c>
      <c r="AG16" s="811">
        <f t="shared" ref="AG16:AG79" si="24">INDEX(Echel_vg,AH16)</f>
        <v>2</v>
      </c>
      <c r="AH16" s="176">
        <f t="shared" si="16"/>
        <v>8</v>
      </c>
      <c r="AI16" s="225">
        <f t="shared" si="17"/>
        <v>2.4974190230584727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'2026'!Wh/'2026'!Env_an*'2027'!Env_an</f>
        <v>17.256677473338552</v>
      </c>
      <c r="C17" s="841"/>
      <c r="D17" s="393">
        <f t="shared" si="0"/>
        <v>18.481622407863554</v>
      </c>
      <c r="E17" s="385">
        <f t="shared" si="1"/>
        <v>18.980683947297699</v>
      </c>
      <c r="F17" s="385">
        <f t="shared" si="2"/>
        <v>18.982137845183882</v>
      </c>
      <c r="G17" s="110">
        <f t="shared" si="21"/>
        <v>0.72543038376293034</v>
      </c>
      <c r="H17" s="414" t="b">
        <f>Wh_hp&gt;='2026'!Maxi_hp</f>
        <v>0</v>
      </c>
      <c r="I17" s="390">
        <f>IF(H17,Wh_hp,'2026'!Maxi_hp)</f>
        <v>27.383515682442006</v>
      </c>
      <c r="J17" s="85">
        <f>IF(H17,An,'2026'!An_max)</f>
        <v>2019</v>
      </c>
      <c r="K17" s="197">
        <f t="shared" si="3"/>
        <v>46390</v>
      </c>
      <c r="L17" s="147">
        <f>IF(t&lt;Tvie,1-EXP((T0-t)*PertePVj)+'2026'!Pspv,1-EXP((T0-t)*PertePVj)+Pspv)</f>
        <v>6.6279080239395771E-2</v>
      </c>
      <c r="M17" s="845"/>
      <c r="N17" s="845"/>
      <c r="O17" s="48">
        <f>IF(t&lt;Tnet,'2026'!Resal+('2026'!Salim-'2026'!Resal)*(1-EXP(('2026'!Tnet-t)/('2026'!Tau_j))),Resal+(Salim-Resal)*(1-EXP((Tnet-t)/(Tau_j))))*Salcycl</f>
        <v>2.629312730878677E-2</v>
      </c>
      <c r="P17" s="169">
        <f>(INDEX(Models!$BJ17:$BT17,,T17)*(1-R17)+INDEX(Models!$BJ17:$BT17,,T17+1)*R17-ERP_i)*Q17*Ramure*Pc/MaxiM</f>
        <v>1.2601484703110531E-4</v>
      </c>
      <c r="Q17" s="305">
        <f t="shared" si="4"/>
        <v>0.5</v>
      </c>
      <c r="R17" s="177">
        <f t="shared" si="5"/>
        <v>0.97246189327998356</v>
      </c>
      <c r="S17" s="811">
        <f t="shared" si="6"/>
        <v>-2</v>
      </c>
      <c r="T17" s="176">
        <f t="shared" si="7"/>
        <v>4</v>
      </c>
      <c r="U17" s="251">
        <f t="shared" si="8"/>
        <v>-1.0275381067200164</v>
      </c>
      <c r="V17" s="383">
        <f t="shared" si="9"/>
        <v>23.787016557978067</v>
      </c>
      <c r="W17" s="402">
        <f t="shared" si="10"/>
        <v>17.256677473338552</v>
      </c>
      <c r="X17" s="157">
        <f t="shared" si="11"/>
        <v>46390</v>
      </c>
      <c r="Y17" s="385">
        <f t="shared" si="12"/>
        <v>16.524685932402019</v>
      </c>
      <c r="Z17" s="385">
        <f t="shared" si="22"/>
        <v>17.69767130915174</v>
      </c>
      <c r="AA17" s="386">
        <f t="shared" si="13"/>
        <v>18.969580296353495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6.7049927691138878E-2</v>
      </c>
      <c r="AD17" s="231">
        <f>(INDEX(Models!$BJ17:$BT17,,AH17)*(1-AF17)+INDEX(Models!$BJ17:$BT17,,AH17+1)*AF17-ERP_i)*AE17*Ramure*Pc/MaxiM</f>
        <v>1.0884104103779906E-3</v>
      </c>
      <c r="AE17" s="305">
        <f t="shared" si="15"/>
        <v>0.5</v>
      </c>
      <c r="AF17" s="177">
        <f>(Hp_vg_s-AG17)/(INDEX(Echel_vg,AH17+1)-AG17)</f>
        <v>0.49744945965396248</v>
      </c>
      <c r="AG17" s="811">
        <f>INDEX(Echel_vg,AH17)</f>
        <v>2</v>
      </c>
      <c r="AH17" s="176">
        <f t="shared" si="16"/>
        <v>8</v>
      </c>
      <c r="AI17" s="225">
        <f t="shared" si="17"/>
        <v>2.4974494596539625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'2026'!Wh/'2026'!Env_an*'2027'!Env_an</f>
        <v>18.233380516339139</v>
      </c>
      <c r="C18" s="841"/>
      <c r="D18" s="393">
        <f t="shared" si="0"/>
        <v>19.528083281661161</v>
      </c>
      <c r="E18" s="385">
        <f t="shared" si="1"/>
        <v>20.056958084692468</v>
      </c>
      <c r="F18" s="385">
        <f t="shared" si="2"/>
        <v>20.058611641322237</v>
      </c>
      <c r="G18" s="110">
        <f t="shared" si="21"/>
        <v>0.76079472264137971</v>
      </c>
      <c r="H18" s="414" t="b">
        <f>Wh_hp&gt;='2026'!Maxi_hp</f>
        <v>0</v>
      </c>
      <c r="I18" s="390">
        <f>IF(H18,Wh_hp,'2026'!Maxi_hp)</f>
        <v>24.454097030053351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6.6299531123870103E-2</v>
      </c>
      <c r="M18" s="845"/>
      <c r="N18" s="845"/>
      <c r="O18" s="48">
        <f>IF(t&lt;Tnet,'2026'!Resal+('2026'!Salim-'2026'!Resal)*(1-EXP(('2026'!Tnet-t)/('2026'!Tau_j))),Resal+(Salim-Resal)*(1-EXP((Tnet-t)/(Tau_j))))*Salcycl</f>
        <v>2.636864477644528E-2</v>
      </c>
      <c r="P18" s="169">
        <f>(INDEX(Models!$BJ18:$BT18,,T18)*(1-R18)+INDEX(Models!$BJ18:$BT18,,T18+1)*R18-ERP_i)*Q18*Ramure*Pc/MaxiM</f>
        <v>1.2522125870838448E-4</v>
      </c>
      <c r="Q18" s="305">
        <f t="shared" si="4"/>
        <v>0.5</v>
      </c>
      <c r="R18" s="177">
        <f t="shared" si="5"/>
        <v>0.97249360281127872</v>
      </c>
      <c r="S18" s="811">
        <f t="shared" si="6"/>
        <v>-2</v>
      </c>
      <c r="T18" s="176">
        <f t="shared" si="7"/>
        <v>4</v>
      </c>
      <c r="U18" s="251">
        <f t="shared" si="8"/>
        <v>-1.0275063971887213</v>
      </c>
      <c r="V18" s="383">
        <f t="shared" si="9"/>
        <v>23.965203482607098</v>
      </c>
      <c r="W18" s="402">
        <f t="shared" si="10"/>
        <v>18.233380516339139</v>
      </c>
      <c r="X18" s="157">
        <f t="shared" si="11"/>
        <v>46391</v>
      </c>
      <c r="Y18" s="385">
        <f t="shared" si="12"/>
        <v>17.459870015116103</v>
      </c>
      <c r="Z18" s="385">
        <f>Wh_sa_s*(1-Psa_s)</f>
        <v>18.699647903285385</v>
      </c>
      <c r="AA18" s="386">
        <f t="shared" si="13"/>
        <v>20.044359581422647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6.7086786817751834E-2</v>
      </c>
      <c r="AD18" s="231">
        <f>(INDEX(Models!$BJ18:$BT18,,AH18)*(1-AF18)+INDEX(Models!$BJ18:$BT18,,AH18+1)*AF18-ERP_i)*AE18*Ramure*Pc/MaxiM</f>
        <v>1.0792862171664325E-3</v>
      </c>
      <c r="AE18" s="305">
        <f t="shared" si="15"/>
        <v>0.5</v>
      </c>
      <c r="AF18" s="177">
        <f t="shared" si="23"/>
        <v>0.49748116918525742</v>
      </c>
      <c r="AG18" s="811">
        <f t="shared" si="24"/>
        <v>2</v>
      </c>
      <c r="AH18" s="176">
        <f t="shared" si="16"/>
        <v>8</v>
      </c>
      <c r="AI18" s="225">
        <f t="shared" si="17"/>
        <v>2.4974811691852574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'2026'!Wh/'2026'!Env_an*'2027'!Env_an</f>
        <v>14.516700017114545</v>
      </c>
      <c r="C19" s="841"/>
      <c r="D19" s="393">
        <f t="shared" si="0"/>
        <v>15.547831945012225</v>
      </c>
      <c r="E19" s="385">
        <f t="shared" si="1"/>
        <v>15.970148712194076</v>
      </c>
      <c r="F19" s="385">
        <f t="shared" si="2"/>
        <v>15.971002882108616</v>
      </c>
      <c r="G19" s="110">
        <f t="shared" si="21"/>
        <v>0.60110648982271853</v>
      </c>
      <c r="H19" s="414" t="b">
        <f>Wh_hp&gt;='2026'!Maxi_hp</f>
        <v>0</v>
      </c>
      <c r="I19" s="390">
        <f>IF(H19,Wh_hp,'2026'!Maxi_hp)</f>
        <v>27.046839831733369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6.6319981560417518E-2</v>
      </c>
      <c r="M19" s="845"/>
      <c r="N19" s="845"/>
      <c r="O19" s="48">
        <f>IF(t&lt;Tnet,'2026'!Resal+('2026'!Salim-'2026'!Resal)*(1-EXP(('2026'!Tnet-t)/('2026'!Tau_j))),Resal+(Salim-Resal)*(1-EXP((Tnet-t)/(Tau_j))))*Salcycl</f>
        <v>2.6444134916501279E-2</v>
      </c>
      <c r="P19" s="169">
        <f>(INDEX(Models!$BJ19:$BT19,,T19)*(1-R19)+INDEX(Models!$BJ19:$BT19,,T19+1)*R19-ERP_i)*Q19*Ramure*Pc/MaxiM</f>
        <v>1.2431644740748134E-4</v>
      </c>
      <c r="Q19" s="305">
        <f t="shared" si="4"/>
        <v>0.5</v>
      </c>
      <c r="R19" s="177">
        <f t="shared" si="5"/>
        <v>0.97252663834384023</v>
      </c>
      <c r="S19" s="811">
        <f t="shared" si="6"/>
        <v>-2</v>
      </c>
      <c r="T19" s="176">
        <f t="shared" si="7"/>
        <v>4</v>
      </c>
      <c r="U19" s="251">
        <f t="shared" si="8"/>
        <v>-1.0274733616561598</v>
      </c>
      <c r="V19" s="383">
        <f t="shared" si="9"/>
        <v>24.148253152143969</v>
      </c>
      <c r="W19" s="402">
        <f t="shared" si="10"/>
        <v>14.516700017114545</v>
      </c>
      <c r="X19" s="157">
        <f t="shared" si="11"/>
        <v>46392</v>
      </c>
      <c r="Y19" s="385">
        <f t="shared" si="12"/>
        <v>13.904466402268246</v>
      </c>
      <c r="Z19" s="385">
        <f t="shared" si="22"/>
        <v>14.892110924153821</v>
      </c>
      <c r="AA19" s="386">
        <f t="shared" si="13"/>
        <v>15.963650685927217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6.7123728954932196E-2</v>
      </c>
      <c r="AD19" s="231">
        <f>(INDEX(Models!$BJ19:$BT19,,AH19)*(1-AF19)+INDEX(Models!$BJ19:$BT19,,AH19+1)*AF19-ERP_i)*AE19*Ramure*Pc/MaxiM</f>
        <v>1.0700434355696161E-3</v>
      </c>
      <c r="AE19" s="305">
        <f t="shared" si="15"/>
        <v>0.5</v>
      </c>
      <c r="AF19" s="177">
        <f t="shared" si="23"/>
        <v>0.49751420471781937</v>
      </c>
      <c r="AG19" s="811">
        <f t="shared" si="24"/>
        <v>2</v>
      </c>
      <c r="AH19" s="176">
        <f t="shared" si="16"/>
        <v>8</v>
      </c>
      <c r="AI19" s="225">
        <f t="shared" si="17"/>
        <v>2.4975142047178194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'2026'!Wh/'2026'!Env_an*'2027'!Env_an</f>
        <v>20.933276398114902</v>
      </c>
      <c r="C20" s="841"/>
      <c r="D20" s="393">
        <f t="shared" si="0"/>
        <v>22.420673557542607</v>
      </c>
      <c r="E20" s="385">
        <f t="shared" si="1"/>
        <v>23.031458475966904</v>
      </c>
      <c r="F20" s="385">
        <f t="shared" si="2"/>
        <v>23.033731536463641</v>
      </c>
      <c r="G20" s="110">
        <f t="shared" si="21"/>
        <v>0.86018974811895965</v>
      </c>
      <c r="H20" s="414" t="b">
        <f>Wh_hp&gt;='2026'!Maxi_hp</f>
        <v>0</v>
      </c>
      <c r="I20" s="390">
        <f>IF(H20,Wh_hp,'2026'!Maxi_hp)</f>
        <v>26.739364860323523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6.6340431549048007E-2</v>
      </c>
      <c r="M20" s="845"/>
      <c r="N20" s="845"/>
      <c r="O20" s="48">
        <f>IF(t&lt;Tnet,'2026'!Resal+('2026'!Salim-'2026'!Resal)*(1-EXP(('2026'!Tnet-t)/('2026'!Tau_j))),Resal+(Salim-Resal)*(1-EXP((Tnet-t)/(Tau_j))))*Salcycl</f>
        <v>2.6519593583777826E-2</v>
      </c>
      <c r="P20" s="169">
        <f>(INDEX(Models!$BJ20:$BT20,,T20)*(1-R20)+INDEX(Models!$BJ20:$BT20,,T20+1)*R20-ERP_i)*Q20*Ramure*Pc/MaxiM</f>
        <v>1.2330853951649382E-4</v>
      </c>
      <c r="Q20" s="305">
        <f t="shared" si="4"/>
        <v>0.5</v>
      </c>
      <c r="R20" s="177">
        <f t="shared" si="5"/>
        <v>0.97256105514059099</v>
      </c>
      <c r="S20" s="811">
        <f t="shared" si="6"/>
        <v>-2</v>
      </c>
      <c r="T20" s="176">
        <f t="shared" si="7"/>
        <v>4</v>
      </c>
      <c r="U20" s="251">
        <f t="shared" si="8"/>
        <v>-1.027438944859409</v>
      </c>
      <c r="V20" s="383">
        <f t="shared" si="9"/>
        <v>24.335050400777732</v>
      </c>
      <c r="W20" s="402">
        <f t="shared" si="10"/>
        <v>20.933276398114902</v>
      </c>
      <c r="X20" s="157">
        <f t="shared" si="11"/>
        <v>46393</v>
      </c>
      <c r="Y20" s="385">
        <f t="shared" si="12"/>
        <v>20.044297297962533</v>
      </c>
      <c r="Z20" s="385">
        <f t="shared" si="22"/>
        <v>21.468528760668427</v>
      </c>
      <c r="AA20" s="386">
        <f t="shared" si="13"/>
        <v>23.01417804933314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6.7160742623588926E-2</v>
      </c>
      <c r="AD20" s="231">
        <f>(INDEX(Models!$BJ20:$BT20,,AH20)*(1-AF20)+INDEX(Models!$BJ20:$BT20,,AH20+1)*AF20-ERP_i)*AE20*Ramure*Pc/MaxiM</f>
        <v>1.0607337305705037E-3</v>
      </c>
      <c r="AE20" s="305">
        <f t="shared" si="15"/>
        <v>0.5</v>
      </c>
      <c r="AF20" s="177">
        <f t="shared" si="23"/>
        <v>0.49754862151457013</v>
      </c>
      <c r="AG20" s="811">
        <f t="shared" si="24"/>
        <v>2</v>
      </c>
      <c r="AH20" s="176">
        <f t="shared" si="16"/>
        <v>8</v>
      </c>
      <c r="AI20" s="225">
        <f t="shared" si="17"/>
        <v>2.4975486215145701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'2026'!Wh/'2026'!Env_an*'2027'!Env_an</f>
        <v>10.704984926774058</v>
      </c>
      <c r="C21" s="841"/>
      <c r="D21" s="393">
        <f t="shared" si="0"/>
        <v>11.465870173980319</v>
      </c>
      <c r="E21" s="385">
        <f t="shared" si="1"/>
        <v>11.779136513622317</v>
      </c>
      <c r="F21" s="385">
        <f t="shared" si="2"/>
        <v>11.779417221812201</v>
      </c>
      <c r="G21" s="110">
        <f t="shared" si="21"/>
        <v>0.43645906400587153</v>
      </c>
      <c r="H21" s="414" t="b">
        <f>Wh_hp&gt;='2026'!Maxi_hp</f>
        <v>0</v>
      </c>
      <c r="I21" s="390">
        <f>IF(H21,Wh_hp,'2026'!Maxi_hp)</f>
        <v>14.932480243717823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6.6360881089771118E-2</v>
      </c>
      <c r="M21" s="845"/>
      <c r="N21" s="845"/>
      <c r="O21" s="48">
        <f>IF(t&lt;Tnet,'2026'!Resal+('2026'!Salim-'2026'!Resal)*(1-EXP(('2026'!Tnet-t)/('2026'!Tau_j))),Resal+(Salim-Resal)*(1-EXP((Tnet-t)/(Tau_j))))*Salcycl</f>
        <v>2.6595017324038343E-2</v>
      </c>
      <c r="P21" s="169">
        <f>(INDEX(Models!$BJ21:$BT21,,T21)*(1-R21)+INDEX(Models!$BJ21:$BT21,,T21+1)*R21-ERP_i)*Q21*Ramure*Pc/MaxiM</f>
        <v>1.2220536872483768E-4</v>
      </c>
      <c r="Q21" s="305">
        <f t="shared" si="4"/>
        <v>0.5</v>
      </c>
      <c r="R21" s="177">
        <f t="shared" si="5"/>
        <v>0.97259691075165411</v>
      </c>
      <c r="S21" s="811">
        <f t="shared" si="6"/>
        <v>-2</v>
      </c>
      <c r="T21" s="176">
        <f t="shared" si="7"/>
        <v>4</v>
      </c>
      <c r="U21" s="251">
        <f t="shared" si="8"/>
        <v>-1.0274030892483459</v>
      </c>
      <c r="V21" s="383">
        <f t="shared" si="9"/>
        <v>24.524480488152005</v>
      </c>
      <c r="W21" s="402">
        <f t="shared" si="10"/>
        <v>10.704984926774058</v>
      </c>
      <c r="X21" s="157">
        <f t="shared" si="11"/>
        <v>46394</v>
      </c>
      <c r="Y21" s="385">
        <f t="shared" si="12"/>
        <v>10.256598297516412</v>
      </c>
      <c r="Z21" s="385">
        <f t="shared" si="22"/>
        <v>10.985613273668541</v>
      </c>
      <c r="AA21" s="386">
        <f t="shared" si="13"/>
        <v>11.777002121137768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6.71978181993204E-2</v>
      </c>
      <c r="AD21" s="231">
        <f>(INDEX(Models!$BJ21:$BT21,,AH21)*(1-AF21)+INDEX(Models!$BJ21:$BT21,,AH21+1)*AF21-ERP_i)*AE21*Ramure*Pc/MaxiM</f>
        <v>1.051405976256225E-3</v>
      </c>
      <c r="AE21" s="305">
        <f t="shared" si="15"/>
        <v>0.5</v>
      </c>
      <c r="AF21" s="177">
        <f t="shared" si="23"/>
        <v>0.49758447712563303</v>
      </c>
      <c r="AG21" s="811">
        <f t="shared" si="24"/>
        <v>2</v>
      </c>
      <c r="AH21" s="176">
        <f t="shared" si="16"/>
        <v>8</v>
      </c>
      <c r="AI21" s="225">
        <f t="shared" si="17"/>
        <v>2.497584477125633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'2026'!Wh/'2026'!Env_an*'2027'!Env_an</f>
        <v>7.5095329482981565</v>
      </c>
      <c r="C22" s="841"/>
      <c r="D22" s="393">
        <f t="shared" si="0"/>
        <v>8.0434691283185984</v>
      </c>
      <c r="E22" s="385">
        <f t="shared" si="1"/>
        <v>8.2638698709887635</v>
      </c>
      <c r="F22" s="385">
        <f t="shared" si="2"/>
        <v>8.2638753567922372</v>
      </c>
      <c r="G22" s="110">
        <f t="shared" si="21"/>
        <v>0.30380331000741495</v>
      </c>
      <c r="H22" s="414" t="b">
        <f>Wh_hp&gt;='2026'!Maxi_hp</f>
        <v>0</v>
      </c>
      <c r="I22" s="390">
        <f>IF(H22,Wh_hp,'2026'!Maxi_hp)</f>
        <v>20.323342747491672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6.6381330182596954E-2</v>
      </c>
      <c r="M22" s="845"/>
      <c r="N22" s="845"/>
      <c r="O22" s="48">
        <f>IF(t&lt;Tnet,'2026'!Resal+('2026'!Salim-'2026'!Resal)*(1-EXP(('2026'!Tnet-t)/('2026'!Tau_j))),Resal+(Salim-Resal)*(1-EXP((Tnet-t)/(Tau_j))))*Salcycl</f>
        <v>2.6670403347456795E-2</v>
      </c>
      <c r="P22" s="169">
        <f>(INDEX(Models!$BJ22:$BT22,,T22)*(1-R22)+INDEX(Models!$BJ22:$BT22,,T22+1)*R22-ERP_i)*Q22*Ramure*Pc/MaxiM</f>
        <v>1.210144342800061E-4</v>
      </c>
      <c r="Q22" s="305">
        <f t="shared" si="4"/>
        <v>0.5</v>
      </c>
      <c r="R22" s="177">
        <f t="shared" si="5"/>
        <v>0.97263426510765139</v>
      </c>
      <c r="S22" s="811">
        <f t="shared" si="6"/>
        <v>-2</v>
      </c>
      <c r="T22" s="176">
        <f t="shared" si="7"/>
        <v>4</v>
      </c>
      <c r="U22" s="251">
        <f t="shared" si="8"/>
        <v>-1.0273657348923486</v>
      </c>
      <c r="V22" s="383">
        <f t="shared" si="9"/>
        <v>24.715429106688447</v>
      </c>
      <c r="W22" s="402">
        <f t="shared" si="10"/>
        <v>7.5095329482981565</v>
      </c>
      <c r="X22" s="157">
        <f t="shared" si="11"/>
        <v>46395</v>
      </c>
      <c r="Y22" s="385">
        <f t="shared" si="12"/>
        <v>7.1965288266323357</v>
      </c>
      <c r="Z22" s="385">
        <f t="shared" si="22"/>
        <v>7.708210064008072</v>
      </c>
      <c r="AA22" s="386">
        <f t="shared" si="13"/>
        <v>8.2638281162280851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6.7234947823868546E-2</v>
      </c>
      <c r="AD22" s="231">
        <f>(INDEX(Models!$BJ22:$BT22,,AH22)*(1-AF22)+INDEX(Models!$BJ22:$BT22,,AH22+1)*AF22-ERP_i)*AE22*Ramure*Pc/MaxiM</f>
        <v>1.0421062608614768E-3</v>
      </c>
      <c r="AE22" s="305">
        <f t="shared" si="15"/>
        <v>0.5</v>
      </c>
      <c r="AF22" s="177">
        <f t="shared" si="23"/>
        <v>0.49762183148163031</v>
      </c>
      <c r="AG22" s="811">
        <f t="shared" si="24"/>
        <v>2</v>
      </c>
      <c r="AH22" s="176">
        <f t="shared" si="16"/>
        <v>8</v>
      </c>
      <c r="AI22" s="225">
        <f t="shared" si="17"/>
        <v>2.4976218314816303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'2026'!Wh/'2026'!Env_an*'2027'!Env_an</f>
        <v>2.2165654021242149</v>
      </c>
      <c r="C23" s="841"/>
      <c r="D23" s="393">
        <f t="shared" si="0"/>
        <v>2.3742176793573235</v>
      </c>
      <c r="E23" s="385">
        <f t="shared" si="1"/>
        <v>2.4394629441682758</v>
      </c>
      <c r="F23" s="385">
        <f t="shared" si="2"/>
        <v>2.4394629441682758</v>
      </c>
      <c r="G23" s="110">
        <f t="shared" si="21"/>
        <v>8.8971530485705427E-2</v>
      </c>
      <c r="H23" s="414" t="b">
        <f>Wh_hp&gt;='2026'!Maxi_hp</f>
        <v>0</v>
      </c>
      <c r="I23" s="390">
        <f>IF(H23,Wh_hp,'2026'!Maxi_hp)</f>
        <v>26.033603222307448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6.6401778827535063E-2</v>
      </c>
      <c r="M23" s="845"/>
      <c r="N23" s="845"/>
      <c r="O23" s="48">
        <f>IF(t&lt;Tnet,'2026'!Resal+('2026'!Salim-'2026'!Resal)*(1-EXP(('2026'!Tnet-t)/('2026'!Tau_j))),Resal+(Salim-Resal)*(1-EXP((Tnet-t)/(Tau_j))))*Salcycl</f>
        <v>2.6745749496595562E-2</v>
      </c>
      <c r="P23" s="169">
        <f>(INDEX(Models!$BJ23:$BT23,,T23)*(1-R23)+INDEX(Models!$BJ23:$BT23,,T23+1)*R23-ERP_i)*Q23*Ramure*Pc/MaxiM</f>
        <v>1.19726365584047E-4</v>
      </c>
      <c r="Q23" s="305">
        <f t="shared" si="4"/>
        <v>0.5</v>
      </c>
      <c r="R23" s="177">
        <f t="shared" si="5"/>
        <v>0.97267318061668639</v>
      </c>
      <c r="S23" s="811">
        <f t="shared" si="6"/>
        <v>-2</v>
      </c>
      <c r="T23" s="176">
        <f t="shared" si="7"/>
        <v>4</v>
      </c>
      <c r="U23" s="251">
        <f t="shared" si="8"/>
        <v>-1.0273268193833136</v>
      </c>
      <c r="V23" s="383">
        <f t="shared" si="9"/>
        <v>24.910215758968203</v>
      </c>
      <c r="W23" s="402">
        <f t="shared" si="10"/>
        <v>2.2165654021242149</v>
      </c>
      <c r="X23" s="157">
        <f t="shared" si="11"/>
        <v>46396</v>
      </c>
      <c r="Y23" s="385">
        <f t="shared" si="12"/>
        <v>2.1242674620515896</v>
      </c>
      <c r="Z23" s="385">
        <f t="shared" si="22"/>
        <v>2.2753550873134865</v>
      </c>
      <c r="AA23" s="386">
        <f t="shared" si="13"/>
        <v>2.4394629441682758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6.7272125304096916E-2</v>
      </c>
      <c r="AD23" s="231">
        <f>(INDEX(Models!$BJ23:$BT23,,AH23)*(1-AF23)+INDEX(Models!$BJ23:$BT23,,AH23+1)*AF23-ERP_i)*AE23*Ramure*Pc/MaxiM</f>
        <v>1.0327355915574715E-3</v>
      </c>
      <c r="AE23" s="305">
        <f t="shared" si="15"/>
        <v>0.5</v>
      </c>
      <c r="AF23" s="177">
        <f t="shared" si="23"/>
        <v>0.49766074699066554</v>
      </c>
      <c r="AG23" s="811">
        <f t="shared" si="24"/>
        <v>2</v>
      </c>
      <c r="AH23" s="176">
        <f t="shared" si="16"/>
        <v>8</v>
      </c>
      <c r="AI23" s="225">
        <f t="shared" si="17"/>
        <v>2.4976607469906655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'2026'!Wh/'2026'!Env_an*'2027'!Env_an</f>
        <v>1.7204585186909038</v>
      </c>
      <c r="C24" s="841"/>
      <c r="D24" s="393">
        <f t="shared" si="0"/>
        <v>1.842865767045452</v>
      </c>
      <c r="E24" s="385">
        <f t="shared" si="1"/>
        <v>1.8936556067273835</v>
      </c>
      <c r="F24" s="385">
        <f t="shared" si="2"/>
        <v>1.8936556067273835</v>
      </c>
      <c r="G24" s="110">
        <f t="shared" si="21"/>
        <v>6.8503961443845338E-2</v>
      </c>
      <c r="H24" s="414" t="b">
        <f>Wh_hp&gt;='2026'!Maxi_hp</f>
        <v>0</v>
      </c>
      <c r="I24" s="390">
        <f>IF(H24,Wh_hp,'2026'!Maxi_hp)</f>
        <v>13.230713123965954</v>
      </c>
      <c r="J24" s="85">
        <f>IF(H24,An,'2026'!An_max)</f>
        <v>2019</v>
      </c>
      <c r="K24" s="197">
        <f t="shared" si="3"/>
        <v>46397</v>
      </c>
      <c r="L24" s="147">
        <f>IF(t&lt;Tvie,1-EXP((T0-t)*PertePVj)+'2026'!Pspv,1-EXP((T0-t)*PertePVj)+Pspv)</f>
        <v>6.6422227024595437E-2</v>
      </c>
      <c r="M24" s="845"/>
      <c r="N24" s="845"/>
      <c r="O24" s="48">
        <f>IF(t&lt;Tnet,'2026'!Resal+('2026'!Salim-'2026'!Resal)*(1-EXP(('2026'!Tnet-t)/('2026'!Tau_j))),Resal+(Salim-Resal)*(1-EXP((Tnet-t)/(Tau_j))))*Salcycl</f>
        <v>2.682105420937993E-2</v>
      </c>
      <c r="P24" s="169">
        <f>(INDEX(Models!$BJ24:$BT24,,T24)*(1-R24)+INDEX(Models!$BJ24:$BT24,,T24+1)*R24-ERP_i)*Q24*Ramure*Pc/MaxiM</f>
        <v>1.1814460025184013E-4</v>
      </c>
      <c r="Q24" s="305">
        <f t="shared" si="4"/>
        <v>0.5</v>
      </c>
      <c r="R24" s="177">
        <f t="shared" si="5"/>
        <v>0.97271372226515607</v>
      </c>
      <c r="S24" s="811">
        <f t="shared" si="6"/>
        <v>-2</v>
      </c>
      <c r="T24" s="176">
        <f t="shared" si="7"/>
        <v>4</v>
      </c>
      <c r="U24" s="251">
        <f t="shared" si="8"/>
        <v>-1.0272862777348439</v>
      </c>
      <c r="V24" s="383">
        <f t="shared" si="9"/>
        <v>25.111763167406099</v>
      </c>
      <c r="W24" s="402">
        <f t="shared" si="10"/>
        <v>1.7204585186909038</v>
      </c>
      <c r="X24" s="157">
        <f t="shared" si="11"/>
        <v>46397</v>
      </c>
      <c r="Y24" s="385">
        <f t="shared" si="12"/>
        <v>1.6488802885827061</v>
      </c>
      <c r="Z24" s="385">
        <f t="shared" si="22"/>
        <v>1.7661948862895072</v>
      </c>
      <c r="AA24" s="386">
        <f t="shared" si="13"/>
        <v>1.8936556067273835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6.7309345999906553E-2</v>
      </c>
      <c r="AD24" s="231">
        <f>(INDEX(Models!$BJ24:$BT24,,AH24)*(1-AF24)+INDEX(Models!$BJ24:$BT24,,AH24+1)*AF24-ERP_i)*AE24*Ramure*Pc/MaxiM</f>
        <v>1.0227252765924661E-3</v>
      </c>
      <c r="AE24" s="305">
        <f t="shared" si="15"/>
        <v>0.5</v>
      </c>
      <c r="AF24" s="177">
        <f t="shared" si="23"/>
        <v>0.49770128863913499</v>
      </c>
      <c r="AG24" s="811">
        <f t="shared" si="24"/>
        <v>2</v>
      </c>
      <c r="AH24" s="176">
        <f t="shared" si="16"/>
        <v>8</v>
      </c>
      <c r="AI24" s="225">
        <f t="shared" si="17"/>
        <v>2.497701288639135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'2026'!Wh/'2026'!Env_an*'2027'!Env_an</f>
        <v>24.793326019063301</v>
      </c>
      <c r="C25" s="841"/>
      <c r="D25" s="393">
        <f t="shared" si="0"/>
        <v>26.55790421124442</v>
      </c>
      <c r="E25" s="385">
        <f t="shared" si="1"/>
        <v>27.291957332964941</v>
      </c>
      <c r="F25" s="385">
        <f t="shared" si="2"/>
        <v>27.295035499689568</v>
      </c>
      <c r="G25" s="110">
        <f t="shared" si="21"/>
        <v>0.97920145608642162</v>
      </c>
      <c r="H25" s="414" t="b">
        <f>Wh_hp&gt;='2026'!Maxi_hp</f>
        <v>0</v>
      </c>
      <c r="I25" s="390">
        <f>IF(H25,Wh_hp,'2026'!Maxi_hp)</f>
        <v>27.813177241518638</v>
      </c>
      <c r="J25" s="85">
        <f>IF(H25,An,'2026'!An_max)</f>
        <v>2020</v>
      </c>
      <c r="K25" s="197">
        <f t="shared" si="3"/>
        <v>46398</v>
      </c>
      <c r="L25" s="147">
        <f>IF(t&lt;Tvie,1-EXP((T0-t)*PertePVj)+'2026'!Pspv,1-EXP((T0-t)*PertePVj)+Pspv)</f>
        <v>6.6442674773787735E-2</v>
      </c>
      <c r="M25" s="845"/>
      <c r="N25" s="845"/>
      <c r="O25" s="48">
        <f>IF(t&lt;Tnet,'2026'!Resal+('2026'!Salim-'2026'!Resal)*(1-EXP(('2026'!Tnet-t)/('2026'!Tau_j))),Resal+(Salim-Resal)*(1-EXP((Tnet-t)/(Tau_j))))*Salcycl</f>
        <v>2.6896316477597826E-2</v>
      </c>
      <c r="P25" s="169">
        <f>(INDEX(Models!$BJ25:$BT25,,T25)*(1-R25)+INDEX(Models!$BJ25:$BT25,,T25+1)*R25-ERP_i)*Q25*Ramure*Pc/MaxiM</f>
        <v>1.1622665666703299E-4</v>
      </c>
      <c r="Q25" s="305">
        <f t="shared" si="4"/>
        <v>0.5</v>
      </c>
      <c r="R25" s="177">
        <f t="shared" si="5"/>
        <v>0.97275595772252199</v>
      </c>
      <c r="S25" s="811">
        <f t="shared" si="6"/>
        <v>-2</v>
      </c>
      <c r="T25" s="176">
        <f t="shared" si="7"/>
        <v>4</v>
      </c>
      <c r="U25" s="251">
        <f t="shared" si="8"/>
        <v>-1.027244042277478</v>
      </c>
      <c r="V25" s="383">
        <f t="shared" si="9"/>
        <v>25.319856551662912</v>
      </c>
      <c r="W25" s="402">
        <f t="shared" si="10"/>
        <v>24.793326019063301</v>
      </c>
      <c r="X25" s="157">
        <f t="shared" si="11"/>
        <v>46398</v>
      </c>
      <c r="Y25" s="385">
        <f t="shared" si="12"/>
        <v>23.742052814239592</v>
      </c>
      <c r="Z25" s="385">
        <f t="shared" si="22"/>
        <v>25.431810315972406</v>
      </c>
      <c r="AA25" s="386">
        <f t="shared" si="13"/>
        <v>27.26823329946561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6.7346606702576292E-2</v>
      </c>
      <c r="AD25" s="231">
        <f>(INDEX(Models!$BJ25:$BT25,,AH25)*(1-AF25)+INDEX(Models!$BJ25:$BT25,,AH25+1)*AF25-ERP_i)*AE25*Ramure*Pc/MaxiM</f>
        <v>1.0120082510235797E-3</v>
      </c>
      <c r="AE25" s="305">
        <f t="shared" si="15"/>
        <v>0.5</v>
      </c>
      <c r="AF25" s="177">
        <f t="shared" si="23"/>
        <v>0.49774352409650113</v>
      </c>
      <c r="AG25" s="811">
        <f t="shared" si="24"/>
        <v>2</v>
      </c>
      <c r="AH25" s="176">
        <f t="shared" si="16"/>
        <v>8</v>
      </c>
      <c r="AI25" s="225">
        <f t="shared" si="17"/>
        <v>2.4977435240965011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'2026'!Wh/'2026'!Env_an*'2027'!Env_an</f>
        <v>21.153580989852475</v>
      </c>
      <c r="C26" s="841"/>
      <c r="D26" s="393">
        <f t="shared" si="0"/>
        <v>22.659609373840624</v>
      </c>
      <c r="E26" s="385">
        <f t="shared" si="1"/>
        <v>23.287714807506088</v>
      </c>
      <c r="F26" s="385">
        <f t="shared" si="2"/>
        <v>23.28971881844182</v>
      </c>
      <c r="G26" s="110">
        <f t="shared" si="21"/>
        <v>0.82841537235966134</v>
      </c>
      <c r="H26" s="414" t="b">
        <f>Wh_hp&gt;='2026'!Maxi_hp</f>
        <v>0</v>
      </c>
      <c r="I26" s="390">
        <f>IF(H26,Wh_hp,'2026'!Maxi_hp)</f>
        <v>27.969146072299974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6.646312207512195E-2</v>
      </c>
      <c r="M26" s="845"/>
      <c r="N26" s="845"/>
      <c r="O26" s="48">
        <f>IF(t&lt;Tnet,'2026'!Resal+('2026'!Salim-'2026'!Resal)*(1-EXP(('2026'!Tnet-t)/('2026'!Tau_j))),Resal+(Salim-Resal)*(1-EXP((Tnet-t)/(Tau_j))))*Salcycl</f>
        <v>2.6971535801486753E-2</v>
      </c>
      <c r="P26" s="169">
        <f>(INDEX(Models!$BJ26:$BT26,,T26)*(1-R26)+INDEX(Models!$BJ26:$BT26,,T26+1)*R26-ERP_i)*Q26*Ramure*Pc/MaxiM</f>
        <v>1.1398282497640587E-4</v>
      </c>
      <c r="Q26" s="305">
        <f t="shared" si="4"/>
        <v>0.5</v>
      </c>
      <c r="R26" s="177">
        <f t="shared" si="5"/>
        <v>0.9727999574501931</v>
      </c>
      <c r="S26" s="811">
        <f t="shared" si="6"/>
        <v>-2</v>
      </c>
      <c r="T26" s="176">
        <f t="shared" si="7"/>
        <v>4</v>
      </c>
      <c r="U26" s="251">
        <f t="shared" si="8"/>
        <v>-1.0272000425498069</v>
      </c>
      <c r="V26" s="383">
        <f t="shared" si="9"/>
        <v>25.534279906546786</v>
      </c>
      <c r="W26" s="402">
        <f t="shared" si="10"/>
        <v>21.153580989852475</v>
      </c>
      <c r="X26" s="157">
        <f t="shared" si="11"/>
        <v>46399</v>
      </c>
      <c r="Y26" s="385">
        <f t="shared" si="12"/>
        <v>20.261446629704512</v>
      </c>
      <c r="Z26" s="385">
        <f t="shared" si="22"/>
        <v>21.703959542276333</v>
      </c>
      <c r="AA26" s="386">
        <f t="shared" si="13"/>
        <v>23.272126301906031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6.7383905505070341E-2</v>
      </c>
      <c r="AD26" s="231">
        <f>(INDEX(Models!$BJ26:$BT26,,AH26)*(1-AF26)+INDEX(Models!$BJ26:$BT26,,AH26+1)*AF26-ERP_i)*AE26*Ramure*Pc/MaxiM</f>
        <v>1.0006156640367451E-3</v>
      </c>
      <c r="AE26" s="305">
        <f t="shared" si="15"/>
        <v>0.5</v>
      </c>
      <c r="AF26" s="177">
        <f t="shared" si="23"/>
        <v>0.49778752382417224</v>
      </c>
      <c r="AG26" s="811">
        <f t="shared" si="24"/>
        <v>2</v>
      </c>
      <c r="AH26" s="176">
        <f t="shared" si="16"/>
        <v>8</v>
      </c>
      <c r="AI26" s="225">
        <f t="shared" si="17"/>
        <v>2.4977875238241722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'2026'!Wh/'2026'!Env_an*'2027'!Env_an</f>
        <v>5.0940319362424411</v>
      </c>
      <c r="C27" s="841"/>
      <c r="D27" s="393">
        <f t="shared" si="0"/>
        <v>5.456820862163128</v>
      </c>
      <c r="E27" s="385">
        <f t="shared" si="1"/>
        <v>5.6085126904406124</v>
      </c>
      <c r="F27" s="385">
        <f t="shared" si="2"/>
        <v>5.6085126904406124</v>
      </c>
      <c r="G27" s="110">
        <f t="shared" si="21"/>
        <v>0.19776744221439327</v>
      </c>
      <c r="H27" s="414" t="b">
        <f>Wh_hp&gt;='2026'!Maxi_hp</f>
        <v>0</v>
      </c>
      <c r="I27" s="390">
        <f>IF(H27,Wh_hp,'2026'!Maxi_hp)</f>
        <v>16.029400800100351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6.6483568928607739E-2</v>
      </c>
      <c r="M27" s="845"/>
      <c r="N27" s="845"/>
      <c r="O27" s="48">
        <f>IF(t&lt;Tnet,'2026'!Resal+('2026'!Salim-'2026'!Resal)*(1-EXP(('2026'!Tnet-t)/('2026'!Tau_j))),Resal+(Salim-Resal)*(1-EXP((Tnet-t)/(Tau_j))))*Salcycl</f>
        <v>2.7046712140998491E-2</v>
      </c>
      <c r="P27" s="169">
        <f>(INDEX(Models!$BJ27:$BT27,,T27)*(1-R27)+INDEX(Models!$BJ27:$BT27,,T27+1)*R27-ERP_i)*Q27*Ramure*Pc/MaxiM</f>
        <v>1.1142350722238254E-4</v>
      </c>
      <c r="Q27" s="305">
        <f t="shared" si="4"/>
        <v>0.5</v>
      </c>
      <c r="R27" s="177">
        <f t="shared" si="5"/>
        <v>0.97284579481466227</v>
      </c>
      <c r="S27" s="811">
        <f t="shared" si="6"/>
        <v>-2</v>
      </c>
      <c r="T27" s="176">
        <f t="shared" si="7"/>
        <v>4</v>
      </c>
      <c r="U27" s="251">
        <f t="shared" si="8"/>
        <v>-1.0271542051853377</v>
      </c>
      <c r="V27" s="383">
        <f t="shared" si="9"/>
        <v>25.754817296046852</v>
      </c>
      <c r="W27" s="402">
        <f t="shared" si="10"/>
        <v>5.0940319362424411</v>
      </c>
      <c r="X27" s="157">
        <f t="shared" si="11"/>
        <v>46400</v>
      </c>
      <c r="Y27" s="385">
        <f t="shared" si="12"/>
        <v>4.8826454849327634</v>
      </c>
      <c r="Z27" s="385">
        <f t="shared" si="22"/>
        <v>5.2303798009521643</v>
      </c>
      <c r="AA27" s="386">
        <f t="shared" si="13"/>
        <v>5.6085126904406124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6.7421241665897247E-2</v>
      </c>
      <c r="AD27" s="231">
        <f>(INDEX(Models!$BJ27:$BT27,,AH27)*(1-AF27)+INDEX(Models!$BJ27:$BT27,,AH27+1)*AF27-ERP_i)*AE27*Ramure*Pc/MaxiM</f>
        <v>9.8857853874348965E-4</v>
      </c>
      <c r="AE27" s="305">
        <f t="shared" si="15"/>
        <v>0.5</v>
      </c>
      <c r="AF27" s="177">
        <f t="shared" si="23"/>
        <v>0.49783336118864119</v>
      </c>
      <c r="AG27" s="811">
        <f t="shared" si="24"/>
        <v>2</v>
      </c>
      <c r="AH27" s="176">
        <f t="shared" si="16"/>
        <v>8</v>
      </c>
      <c r="AI27" s="225">
        <f t="shared" si="17"/>
        <v>2.4978333611886412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'2026'!Wh/'2026'!Env_an*'2027'!Env_an</f>
        <v>25.183918014960181</v>
      </c>
      <c r="C28" s="841"/>
      <c r="D28" s="393">
        <f t="shared" si="0"/>
        <v>26.978067853154972</v>
      </c>
      <c r="E28" s="385">
        <f t="shared" si="1"/>
        <v>27.730161005746528</v>
      </c>
      <c r="F28" s="385">
        <f t="shared" si="2"/>
        <v>27.733039689692085</v>
      </c>
      <c r="G28" s="110">
        <f t="shared" si="21"/>
        <v>0.96930653327272787</v>
      </c>
      <c r="H28" s="414" t="b">
        <f>Wh_hp&gt;='2026'!Maxi_hp</f>
        <v>0</v>
      </c>
      <c r="I28" s="390">
        <f>IF(H28,Wh_hp,'2026'!Maxi_hp)</f>
        <v>27.813666688911876</v>
      </c>
      <c r="J28" s="85">
        <f>IF(H28,An,'2026'!An_max)</f>
        <v>2020</v>
      </c>
      <c r="K28" s="197">
        <f t="shared" si="3"/>
        <v>46401</v>
      </c>
      <c r="L28" s="147">
        <f>IF(t&lt;Tvie,1-EXP((T0-t)*PertePVj)+'2026'!Pspv,1-EXP((T0-t)*PertePVj)+Pspv)</f>
        <v>6.6504015334254984E-2</v>
      </c>
      <c r="M28" s="845"/>
      <c r="N28" s="845"/>
      <c r="O28" s="48">
        <f>IF(t&lt;Tnet,'2026'!Resal+('2026'!Salim-'2026'!Resal)*(1-EXP(('2026'!Tnet-t)/('2026'!Tau_j))),Resal+(Salim-Resal)*(1-EXP((Tnet-t)/(Tau_j))))*Salcycl</f>
        <v>2.7121845864353244E-2</v>
      </c>
      <c r="P28" s="169">
        <f>(INDEX(Models!$BJ28:$BT28,,T28)*(1-R28)+INDEX(Models!$BJ28:$BT28,,T28+1)*R28-ERP_i)*Q28*Ramure*Pc/MaxiM</f>
        <v>1.085591650789529E-4</v>
      </c>
      <c r="Q28" s="305">
        <f t="shared" si="4"/>
        <v>0.5</v>
      </c>
      <c r="R28" s="177">
        <f t="shared" si="5"/>
        <v>0.97289354620505186</v>
      </c>
      <c r="S28" s="811">
        <f t="shared" si="6"/>
        <v>-2</v>
      </c>
      <c r="T28" s="176">
        <f t="shared" si="7"/>
        <v>4</v>
      </c>
      <c r="U28" s="251">
        <f t="shared" si="8"/>
        <v>-1.0271064537949481</v>
      </c>
      <c r="V28" s="383">
        <f t="shared" si="9"/>
        <v>25.981252863325796</v>
      </c>
      <c r="W28" s="402">
        <f t="shared" si="10"/>
        <v>25.183918014960181</v>
      </c>
      <c r="X28" s="157">
        <f t="shared" si="11"/>
        <v>46401</v>
      </c>
      <c r="Y28" s="385">
        <f t="shared" si="12"/>
        <v>24.119738445782637</v>
      </c>
      <c r="Z28" s="385">
        <f t="shared" si="22"/>
        <v>25.838074123499464</v>
      </c>
      <c r="AA28" s="386">
        <f t="shared" si="13"/>
        <v>27.70716083176297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6.7458615468129118E-2</v>
      </c>
      <c r="AD28" s="231">
        <f>(INDEX(Models!$BJ28:$BT28,,AH28)*(1-AF28)+INDEX(Models!$BJ28:$BT28,,AH28+1)*AF28-ERP_i)*AE28*Ramure*Pc/MaxiM</f>
        <v>9.7592763329213403E-4</v>
      </c>
      <c r="AE28" s="305">
        <f t="shared" si="15"/>
        <v>0.5</v>
      </c>
      <c r="AF28" s="177">
        <f t="shared" si="23"/>
        <v>0.49788111257903056</v>
      </c>
      <c r="AG28" s="811">
        <f t="shared" si="24"/>
        <v>2</v>
      </c>
      <c r="AH28" s="176">
        <f t="shared" si="16"/>
        <v>8</v>
      </c>
      <c r="AI28" s="225">
        <f t="shared" si="17"/>
        <v>2.4978811125790306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'2026'!Wh/'2026'!Env_an*'2027'!Env_an</f>
        <v>26.760994494848159</v>
      </c>
      <c r="C29" s="841"/>
      <c r="D29" s="393">
        <f t="shared" si="0"/>
        <v>28.668126142747653</v>
      </c>
      <c r="E29" s="385">
        <f t="shared" si="1"/>
        <v>29.469609269943888</v>
      </c>
      <c r="F29" s="385">
        <f t="shared" si="2"/>
        <v>29.472715702164695</v>
      </c>
      <c r="G29" s="110">
        <f t="shared" si="21"/>
        <v>1.020891005371974</v>
      </c>
      <c r="H29" s="414" t="b">
        <f>Wh_hp&gt;='2026'!Maxi_hp</f>
        <v>1</v>
      </c>
      <c r="I29" s="390">
        <f>IF(H29,Wh_hp,'2026'!Maxi_hp)</f>
        <v>29.472715702164695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6.6524461292073456E-2</v>
      </c>
      <c r="M29" s="845"/>
      <c r="N29" s="845"/>
      <c r="O29" s="48">
        <f>IF(t&lt;Tnet,'2026'!Resal+('2026'!Salim-'2026'!Resal)*(1-EXP(('2026'!Tnet-t)/('2026'!Tau_j))),Resal+(Salim-Resal)*(1-EXP((Tnet-t)/(Tau_j))))*Salcycl</f>
        <v>2.719693769451062E-2</v>
      </c>
      <c r="P29" s="169">
        <f>(INDEX(Models!$BJ29:$BT29,,T29)*(1-R29)+INDEX(Models!$BJ29:$BT29,,T29+1)*R29-ERP_i)*Q29*Ramure*Pc/MaxiM</f>
        <v>1.0540027095561374E-4</v>
      </c>
      <c r="Q29" s="305">
        <f t="shared" si="4"/>
        <v>0.5</v>
      </c>
      <c r="R29" s="177">
        <f t="shared" si="5"/>
        <v>0.97294329115522404</v>
      </c>
      <c r="S29" s="811">
        <f t="shared" si="6"/>
        <v>-2</v>
      </c>
      <c r="T29" s="176">
        <f t="shared" si="7"/>
        <v>4</v>
      </c>
      <c r="U29" s="251">
        <f t="shared" si="8"/>
        <v>-1.027056708844776</v>
      </c>
      <c r="V29" s="383">
        <f t="shared" si="9"/>
        <v>26.213370824143428</v>
      </c>
      <c r="W29" s="402">
        <f t="shared" si="10"/>
        <v>26.760994494848159</v>
      </c>
      <c r="X29" s="157">
        <f t="shared" si="11"/>
        <v>46402</v>
      </c>
      <c r="Y29" s="385">
        <f t="shared" si="12"/>
        <v>25.630406451788421</v>
      </c>
      <c r="Z29" s="385">
        <f t="shared" si="22"/>
        <v>27.456966346718456</v>
      </c>
      <c r="AA29" s="386">
        <f t="shared" si="13"/>
        <v>29.444342515822157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6.7496028075198694E-2</v>
      </c>
      <c r="AD29" s="231">
        <f>(INDEX(Models!$BJ29:$BT29,,AH29)*(1-AF29)+INDEX(Models!$BJ29:$BT29,,AH29+1)*AF29-ERP_i)*AE29*Ramure*Pc/MaxiM</f>
        <v>9.6269331368252888E-4</v>
      </c>
      <c r="AE29" s="305">
        <f t="shared" si="15"/>
        <v>0.5</v>
      </c>
      <c r="AF29" s="177">
        <f t="shared" si="23"/>
        <v>0.49793085752920296</v>
      </c>
      <c r="AG29" s="811">
        <f t="shared" si="24"/>
        <v>2</v>
      </c>
      <c r="AH29" s="176">
        <f t="shared" si="16"/>
        <v>8</v>
      </c>
      <c r="AI29" s="225">
        <f t="shared" si="17"/>
        <v>2.497930857529203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'2026'!Wh/'2026'!Env_an*'2027'!Env_an</f>
        <v>26.282831692945102</v>
      </c>
      <c r="C30" s="841"/>
      <c r="D30" s="393">
        <f t="shared" si="0"/>
        <v>28.15650360094202</v>
      </c>
      <c r="E30" s="385">
        <f t="shared" si="1"/>
        <v>28.945916301913023</v>
      </c>
      <c r="F30" s="385">
        <f t="shared" si="2"/>
        <v>28.948842858555945</v>
      </c>
      <c r="G30" s="110">
        <f t="shared" si="21"/>
        <v>0.99364308529054313</v>
      </c>
      <c r="H30" s="414" t="b">
        <f>Wh_hp&gt;='2026'!Maxi_hp</f>
        <v>0</v>
      </c>
      <c r="I30" s="390">
        <f>IF(H30,Wh_hp,'2026'!Maxi_hp)</f>
        <v>29.178076379468706</v>
      </c>
      <c r="J30" s="85">
        <f>IF(H30,An,'2026'!An_max)</f>
        <v>2019</v>
      </c>
      <c r="K30" s="197">
        <f t="shared" si="3"/>
        <v>46403</v>
      </c>
      <c r="L30" s="147">
        <f>IF(t&lt;Tvie,1-EXP((T0-t)*PertePVj)+'2026'!Pspv,1-EXP((T0-t)*PertePVj)+Pspv)</f>
        <v>6.6544906802072923E-2</v>
      </c>
      <c r="M30" s="845"/>
      <c r="N30" s="845"/>
      <c r="O30" s="48">
        <f>IF(t&lt;Tnet,'2026'!Resal+('2026'!Salim-'2026'!Resal)*(1-EXP(('2026'!Tnet-t)/('2026'!Tau_j))),Resal+(Salim-Resal)*(1-EXP((Tnet-t)/(Tau_j))))*Salcycl</f>
        <v>2.7271988654193387E-2</v>
      </c>
      <c r="P30" s="169">
        <f>(INDEX(Models!$BJ30:$BT30,,T30)*(1-R30)+INDEX(Models!$BJ30:$BT30,,T30+1)*R30-ERP_i)*Q30*Ramure*Pc/MaxiM</f>
        <v>1.0202042485071556E-4</v>
      </c>
      <c r="Q30" s="305">
        <f t="shared" si="4"/>
        <v>0.5</v>
      </c>
      <c r="R30" s="177">
        <f t="shared" si="5"/>
        <v>0.97299511247061732</v>
      </c>
      <c r="S30" s="811">
        <f t="shared" si="6"/>
        <v>-2</v>
      </c>
      <c r="T30" s="176">
        <f t="shared" si="7"/>
        <v>4</v>
      </c>
      <c r="U30" s="251">
        <f t="shared" si="8"/>
        <v>-1.0270048875293827</v>
      </c>
      <c r="V30" s="383">
        <f t="shared" si="9"/>
        <v>26.450953800819736</v>
      </c>
      <c r="W30" s="402">
        <f t="shared" si="10"/>
        <v>26.282831692945102</v>
      </c>
      <c r="X30" s="157">
        <f t="shared" si="11"/>
        <v>46403</v>
      </c>
      <c r="Y30" s="385">
        <f t="shared" si="12"/>
        <v>25.173848404372119</v>
      </c>
      <c r="Z30" s="385">
        <f t="shared" si="22"/>
        <v>26.968462208641387</v>
      </c>
      <c r="AA30" s="386">
        <f t="shared" si="13"/>
        <v>28.921641335391147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6.7533481385085498E-2</v>
      </c>
      <c r="AD30" s="231">
        <f>(INDEX(Models!$BJ30:$BT30,,AH30)*(1-AF30)+INDEX(Models!$BJ30:$BT30,,AH30+1)*AF30-ERP_i)*AE30*Ramure*Pc/MaxiM</f>
        <v>9.4825123462808443E-4</v>
      </c>
      <c r="AE30" s="305">
        <f t="shared" si="15"/>
        <v>0.5</v>
      </c>
      <c r="AF30" s="177">
        <f t="shared" si="23"/>
        <v>0.49798267884459646</v>
      </c>
      <c r="AG30" s="811">
        <f t="shared" si="24"/>
        <v>2</v>
      </c>
      <c r="AH30" s="176">
        <f t="shared" si="16"/>
        <v>8</v>
      </c>
      <c r="AI30" s="225">
        <f t="shared" si="17"/>
        <v>2.4979826788445965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'2026'!Wh/'2026'!Env_an*'2027'!Env_an</f>
        <v>13.453548645318923</v>
      </c>
      <c r="C31" s="841"/>
      <c r="D31" s="393">
        <f t="shared" si="0"/>
        <v>14.412951857088723</v>
      </c>
      <c r="E31" s="385">
        <f t="shared" si="1"/>
        <v>14.818184755754036</v>
      </c>
      <c r="F31" s="385">
        <f t="shared" si="2"/>
        <v>14.818610420980558</v>
      </c>
      <c r="G31" s="110">
        <f t="shared" si="21"/>
        <v>0.50396038911727081</v>
      </c>
      <c r="H31" s="414" t="b">
        <f>Wh_hp&gt;='2026'!Maxi_hp</f>
        <v>0</v>
      </c>
      <c r="I31" s="390">
        <f>IF(H31,Wh_hp,'2026'!Maxi_hp)</f>
        <v>14.819141293469155</v>
      </c>
      <c r="J31" s="85">
        <f>IF(H31,An,'2026'!An_max)</f>
        <v>2026</v>
      </c>
      <c r="K31" s="197">
        <f t="shared" si="3"/>
        <v>46404</v>
      </c>
      <c r="L31" s="147">
        <f>IF(t&lt;Tvie,1-EXP((T0-t)*PertePVj)+'2026'!Pspv,1-EXP((T0-t)*PertePVj)+Pspv)</f>
        <v>6.6565351864263378E-2</v>
      </c>
      <c r="M31" s="845"/>
      <c r="N31" s="845"/>
      <c r="O31" s="48">
        <f>IF(t&lt;Tnet,'2026'!Resal+('2026'!Salim-'2026'!Resal)*(1-EXP(('2026'!Tnet-t)/('2026'!Tau_j))),Resal+(Salim-Resal)*(1-EXP((Tnet-t)/(Tau_j))))*Salcycl</f>
        <v>2.7347000010102877E-2</v>
      </c>
      <c r="P31" s="169">
        <f>(INDEX(Models!$BJ31:$BT31,,T31)*(1-R31)+INDEX(Models!$BJ31:$BT31,,T31+1)*R31-ERP_i)*Q31*Ramure*Pc/MaxiM</f>
        <v>9.8568455555982405E-5</v>
      </c>
      <c r="Q31" s="305">
        <f t="shared" si="4"/>
        <v>0.5</v>
      </c>
      <c r="R31" s="177">
        <f t="shared" si="5"/>
        <v>0.97304909635997139</v>
      </c>
      <c r="S31" s="811">
        <f t="shared" si="6"/>
        <v>-2</v>
      </c>
      <c r="T31" s="176">
        <f t="shared" si="7"/>
        <v>4</v>
      </c>
      <c r="U31" s="251">
        <f t="shared" si="8"/>
        <v>-1.0269509036400286</v>
      </c>
      <c r="V31" s="383">
        <f t="shared" si="9"/>
        <v>26.693782422357486</v>
      </c>
      <c r="W31" s="402">
        <f t="shared" si="10"/>
        <v>13.453548645318923</v>
      </c>
      <c r="X31" s="157">
        <f t="shared" si="11"/>
        <v>46404</v>
      </c>
      <c r="Y31" s="385">
        <f t="shared" si="12"/>
        <v>12.894042781665659</v>
      </c>
      <c r="Z31" s="385">
        <f t="shared" si="22"/>
        <v>13.813546355299483</v>
      </c>
      <c r="AA31" s="386">
        <f t="shared" si="13"/>
        <v>14.814582158713726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6.7570977884479105E-2</v>
      </c>
      <c r="AD31" s="231">
        <f>(INDEX(Models!$BJ31:$BT31,,AH31)*(1-AF31)+INDEX(Models!$BJ31:$BT31,,AH31+1)*AF31-ERP_i)*AE31*Ramure*Pc/MaxiM</f>
        <v>9.3279780793713676E-4</v>
      </c>
      <c r="AE31" s="305">
        <f t="shared" si="15"/>
        <v>0.5</v>
      </c>
      <c r="AF31" s="177">
        <f t="shared" si="23"/>
        <v>0.49803666273395031</v>
      </c>
      <c r="AG31" s="811">
        <f t="shared" si="24"/>
        <v>2</v>
      </c>
      <c r="AH31" s="176">
        <f t="shared" si="16"/>
        <v>8</v>
      </c>
      <c r="AI31" s="225">
        <f t="shared" si="17"/>
        <v>2.4980366627339503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'2026'!Wh/'2026'!Env_an*'2027'!Env_an</f>
        <v>3.5518742627190982</v>
      </c>
      <c r="C32" s="841"/>
      <c r="D32" s="393">
        <f t="shared" si="0"/>
        <v>3.8052498551227294</v>
      </c>
      <c r="E32" s="385">
        <f t="shared" si="1"/>
        <v>3.9125394059222303</v>
      </c>
      <c r="F32" s="385">
        <f t="shared" si="2"/>
        <v>3.9125394059222303</v>
      </c>
      <c r="G32" s="110">
        <f t="shared" si="21"/>
        <v>0.13182332296129876</v>
      </c>
      <c r="H32" s="414" t="b">
        <f>Wh_hp&gt;='2026'!Maxi_hp</f>
        <v>0</v>
      </c>
      <c r="I32" s="390">
        <f>IF(H32,Wh_hp,'2026'!Maxi_hp)</f>
        <v>28.469265740450702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6.6585796478654369E-2</v>
      </c>
      <c r="M32" s="845"/>
      <c r="N32" s="845"/>
      <c r="O32" s="48">
        <f>IF(t&lt;Tnet,'2026'!Resal+('2026'!Salim-'2026'!Resal)*(1-EXP(('2026'!Tnet-t)/('2026'!Tau_j))),Resal+(Salim-Resal)*(1-EXP((Tnet-t)/(Tau_j))))*Salcycl</f>
        <v>2.7421973216960289E-2</v>
      </c>
      <c r="P32" s="169">
        <f>(INDEX(Models!$BJ32:$BT32,,T32)*(1-R32)+INDEX(Models!$BJ32:$BT32,,T32+1)*R32-ERP_i)*Q32*Ramure*Pc/MaxiM</f>
        <v>9.5048999560981079E-5</v>
      </c>
      <c r="Q32" s="305">
        <f t="shared" si="4"/>
        <v>0.5</v>
      </c>
      <c r="R32" s="177">
        <f t="shared" si="5"/>
        <v>0.97310533257211307</v>
      </c>
      <c r="S32" s="811">
        <f t="shared" si="6"/>
        <v>-2</v>
      </c>
      <c r="T32" s="176">
        <f t="shared" si="7"/>
        <v>4</v>
      </c>
      <c r="U32" s="251">
        <f t="shared" si="8"/>
        <v>-1.0268946674278869</v>
      </c>
      <c r="V32" s="383">
        <f t="shared" si="9"/>
        <v>26.941641136345311</v>
      </c>
      <c r="W32" s="402">
        <f t="shared" si="10"/>
        <v>3.5518742627190982</v>
      </c>
      <c r="X32" s="157">
        <f t="shared" si="11"/>
        <v>46405</v>
      </c>
      <c r="Y32" s="385">
        <f t="shared" si="12"/>
        <v>3.4051121941885354</v>
      </c>
      <c r="Z32" s="385">
        <f t="shared" si="22"/>
        <v>3.6480184052723881</v>
      </c>
      <c r="AA32" s="386">
        <f t="shared" si="13"/>
        <v>3.9125394059222303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6.7608520504470498E-2</v>
      </c>
      <c r="AD32" s="231">
        <f>(INDEX(Models!$BJ32:$BT32,,AH32)*(1-AF32)+INDEX(Models!$BJ32:$BT32,,AH32+1)*AF32-ERP_i)*AE32*Ramure*Pc/MaxiM</f>
        <v>9.1637542385552087E-4</v>
      </c>
      <c r="AE32" s="305">
        <f t="shared" si="15"/>
        <v>0.5</v>
      </c>
      <c r="AF32" s="177">
        <f t="shared" si="23"/>
        <v>0.49809289894609199</v>
      </c>
      <c r="AG32" s="811">
        <f t="shared" si="24"/>
        <v>2</v>
      </c>
      <c r="AH32" s="176">
        <f t="shared" si="16"/>
        <v>8</v>
      </c>
      <c r="AI32" s="225">
        <f t="shared" si="17"/>
        <v>2.498092898946092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'2026'!Wh/'2026'!Env_an*'2027'!Env_an</f>
        <v>10.273626123247247</v>
      </c>
      <c r="C33" s="841"/>
      <c r="D33" s="393">
        <f t="shared" si="0"/>
        <v>11.006743960179692</v>
      </c>
      <c r="E33" s="385">
        <f t="shared" si="1"/>
        <v>11.317952684980982</v>
      </c>
      <c r="F33" s="385">
        <f t="shared" si="2"/>
        <v>11.318067721783146</v>
      </c>
      <c r="G33" s="110">
        <f t="shared" si="21"/>
        <v>0.37775509482564773</v>
      </c>
      <c r="H33" s="414" t="b">
        <f>Wh_hp&gt;='2026'!Maxi_hp</f>
        <v>0</v>
      </c>
      <c r="I33" s="390">
        <f>IF(H33,Wh_hp,'2026'!Maxi_hp)</f>
        <v>30.474199442688686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6.6606240645255888E-2</v>
      </c>
      <c r="M33" s="845"/>
      <c r="N33" s="845"/>
      <c r="O33" s="48">
        <f>IF(t&lt;Tnet,'2026'!Resal+('2026'!Salim-'2026'!Resal)*(1-EXP(('2026'!Tnet-t)/('2026'!Tau_j))),Resal+(Salim-Resal)*(1-EXP((Tnet-t)/(Tau_j))))*Salcycl</f>
        <v>2.7496909861998799E-2</v>
      </c>
      <c r="P33" s="169">
        <f>(INDEX(Models!$BJ33:$BT33,,T33)*(1-R33)+INDEX(Models!$BJ33:$BT33,,T33+1)*R33-ERP_i)*Q33*Ramure*Pc/MaxiM</f>
        <v>9.1466523684992663E-5</v>
      </c>
      <c r="Q33" s="305">
        <f t="shared" si="4"/>
        <v>0.5</v>
      </c>
      <c r="R33" s="177">
        <f t="shared" si="5"/>
        <v>0.97316391453797402</v>
      </c>
      <c r="S33" s="811">
        <f t="shared" si="6"/>
        <v>-2</v>
      </c>
      <c r="T33" s="176">
        <f t="shared" si="7"/>
        <v>4</v>
      </c>
      <c r="U33" s="251">
        <f t="shared" si="8"/>
        <v>-1.026836085462026</v>
      </c>
      <c r="V33" s="383">
        <f t="shared" si="9"/>
        <v>27.19431447438981</v>
      </c>
      <c r="W33" s="402">
        <f t="shared" si="10"/>
        <v>10.273626123247247</v>
      </c>
      <c r="X33" s="157">
        <f t="shared" si="11"/>
        <v>46406</v>
      </c>
      <c r="Y33" s="385">
        <f t="shared" si="12"/>
        <v>9.8486017919488482</v>
      </c>
      <c r="Z33" s="385">
        <f t="shared" si="22"/>
        <v>10.551390228661047</v>
      </c>
      <c r="AA33" s="386">
        <f t="shared" si="13"/>
        <v>11.316937023471631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6.7646112479270618E-2</v>
      </c>
      <c r="AD33" s="231">
        <f>(INDEX(Models!$BJ33:$BT33,,AH33)*(1-AF33)+INDEX(Models!$BJ33:$BT33,,AH33+1)*AF33-ERP_i)*AE33*Ramure*Pc/MaxiM</f>
        <v>8.9902571998129975E-4</v>
      </c>
      <c r="AE33" s="305">
        <f t="shared" si="15"/>
        <v>0.5</v>
      </c>
      <c r="AF33" s="177">
        <f t="shared" si="23"/>
        <v>0.49815148091195294</v>
      </c>
      <c r="AG33" s="811">
        <f t="shared" si="24"/>
        <v>2</v>
      </c>
      <c r="AH33" s="176">
        <f t="shared" si="16"/>
        <v>8</v>
      </c>
      <c r="AI33" s="225">
        <f t="shared" si="17"/>
        <v>2.4981514809119529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'2026'!Wh/'2026'!Env_an*'2027'!Env_an</f>
        <v>6.4626650731588704</v>
      </c>
      <c r="C34" s="841"/>
      <c r="D34" s="393">
        <f t="shared" si="0"/>
        <v>6.9239873959282328</v>
      </c>
      <c r="E34" s="385">
        <f t="shared" si="1"/>
        <v>7.1203071636534805</v>
      </c>
      <c r="F34" s="385">
        <f t="shared" si="2"/>
        <v>7.1203071636534805</v>
      </c>
      <c r="G34" s="110">
        <f t="shared" si="21"/>
        <v>0.235399777680627</v>
      </c>
      <c r="H34" s="414" t="b">
        <f>Wh_hp&gt;='2026'!Maxi_hp</f>
        <v>0</v>
      </c>
      <c r="I34" s="390">
        <f>IF(H34,Wh_hp,'2026'!Maxi_hp)</f>
        <v>12.344744575403277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6.6626684364077704E-2</v>
      </c>
      <c r="M34" s="845"/>
      <c r="N34" s="845"/>
      <c r="O34" s="48">
        <f>IF(t&lt;Tnet,'2026'!Resal+('2026'!Salim-'2026'!Resal)*(1-EXP(('2026'!Tnet-t)/('2026'!Tau_j))),Resal+(Salim-Resal)*(1-EXP((Tnet-t)/(Tau_j))))*Salcycl</f>
        <v>2.7571811610514127E-2</v>
      </c>
      <c r="P34" s="169">
        <f>(INDEX(Models!$BJ34:$BT34,,T34)*(1-R34)+INDEX(Models!$BJ34:$BT34,,T34+1)*R34-ERP_i)*Q34*Ramure*Pc/MaxiM</f>
        <v>8.7825808303699385E-5</v>
      </c>
      <c r="Q34" s="305">
        <f t="shared" si="4"/>
        <v>0.5</v>
      </c>
      <c r="R34" s="177">
        <f t="shared" si="5"/>
        <v>0.97322493951801681</v>
      </c>
      <c r="S34" s="811">
        <f t="shared" si="6"/>
        <v>-2</v>
      </c>
      <c r="T34" s="176">
        <f t="shared" si="7"/>
        <v>4</v>
      </c>
      <c r="U34" s="251">
        <f t="shared" si="8"/>
        <v>-1.0267750604819832</v>
      </c>
      <c r="V34" s="383">
        <f t="shared" si="9"/>
        <v>27.451587032262701</v>
      </c>
      <c r="W34" s="402">
        <f t="shared" si="10"/>
        <v>6.4626650731588704</v>
      </c>
      <c r="X34" s="157">
        <f t="shared" si="11"/>
        <v>46407</v>
      </c>
      <c r="Y34" s="385">
        <f t="shared" si="12"/>
        <v>6.1960849051491067</v>
      </c>
      <c r="Z34" s="385">
        <f t="shared" si="22"/>
        <v>6.6383780223324838</v>
      </c>
      <c r="AA34" s="386">
        <f t="shared" si="13"/>
        <v>7.1203071636534805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6.768375720938917E-2</v>
      </c>
      <c r="AD34" s="231">
        <f>(INDEX(Models!$BJ34:$BT34,,AH34)*(1-AF34)+INDEX(Models!$BJ34:$BT34,,AH34+1)*AF34-ERP_i)*AE34*Ramure*Pc/MaxiM</f>
        <v>8.8079437273946501E-4</v>
      </c>
      <c r="AE34" s="305">
        <f t="shared" si="15"/>
        <v>0.5</v>
      </c>
      <c r="AF34" s="177">
        <f t="shared" si="23"/>
        <v>0.49821250589199551</v>
      </c>
      <c r="AG34" s="811">
        <f t="shared" si="24"/>
        <v>2</v>
      </c>
      <c r="AH34" s="176">
        <f t="shared" si="16"/>
        <v>8</v>
      </c>
      <c r="AI34" s="225">
        <f t="shared" si="17"/>
        <v>2.4982125058919955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'2026'!Wh/'2026'!Env_an*'2027'!Env_an</f>
        <v>20.642639925439692</v>
      </c>
      <c r="C35" s="841"/>
      <c r="D35" s="393">
        <f t="shared" si="0"/>
        <v>22.116651200886839</v>
      </c>
      <c r="E35" s="385">
        <f t="shared" si="1"/>
        <v>22.745488444846629</v>
      </c>
      <c r="F35" s="385">
        <f t="shared" si="2"/>
        <v>22.746704653996339</v>
      </c>
      <c r="G35" s="110">
        <f t="shared" si="21"/>
        <v>0.74484269283756877</v>
      </c>
      <c r="H35" s="414" t="b">
        <f>Wh_hp&gt;='2026'!Maxi_hp</f>
        <v>0</v>
      </c>
      <c r="I35" s="390">
        <f>IF(H35,Wh_hp,'2026'!Maxi_hp)</f>
        <v>22.747062321791933</v>
      </c>
      <c r="J35" s="85">
        <f>IF(H35,An,'2026'!An_max)</f>
        <v>2026</v>
      </c>
      <c r="K35" s="197">
        <f t="shared" si="3"/>
        <v>46408</v>
      </c>
      <c r="L35" s="147">
        <f>IF(t&lt;Tvie,1-EXP((T0-t)*PertePVj)+'2026'!Pspv,1-EXP((T0-t)*PertePVj)+Pspv)</f>
        <v>6.6647127635129588E-2</v>
      </c>
      <c r="M35" s="845"/>
      <c r="N35" s="845"/>
      <c r="O35" s="48">
        <f>IF(t&lt;Tnet,'2026'!Resal+('2026'!Salim-'2026'!Resal)*(1-EXP(('2026'!Tnet-t)/('2026'!Tau_j))),Resal+(Salim-Resal)*(1-EXP((Tnet-t)/(Tau_j))))*Salcycl</f>
        <v>2.7646680153059714E-2</v>
      </c>
      <c r="P35" s="169">
        <f>(INDEX(Models!$BJ35:$BT35,,T35)*(1-R35)+INDEX(Models!$BJ35:$BT35,,T35+1)*R35-ERP_i)*Q35*Ramure*Pc/MaxiM</f>
        <v>8.413158229330854E-5</v>
      </c>
      <c r="Q35" s="305">
        <f t="shared" si="4"/>
        <v>0.5</v>
      </c>
      <c r="R35" s="177">
        <f t="shared" si="5"/>
        <v>0.97328850875525297</v>
      </c>
      <c r="S35" s="811">
        <f t="shared" si="6"/>
        <v>-2</v>
      </c>
      <c r="T35" s="176">
        <f t="shared" si="7"/>
        <v>4</v>
      </c>
      <c r="U35" s="251">
        <f t="shared" si="8"/>
        <v>-1.026711491244747</v>
      </c>
      <c r="V35" s="383">
        <f t="shared" si="9"/>
        <v>27.713243483789309</v>
      </c>
      <c r="W35" s="402">
        <f t="shared" si="10"/>
        <v>20.642639925439692</v>
      </c>
      <c r="X35" s="157">
        <f t="shared" si="11"/>
        <v>46408</v>
      </c>
      <c r="Y35" s="385">
        <f t="shared" si="12"/>
        <v>19.782088479800418</v>
      </c>
      <c r="Z35" s="385">
        <f t="shared" si="22"/>
        <v>21.194651096618813</v>
      </c>
      <c r="AA35" s="386">
        <f t="shared" si="13"/>
        <v>22.734247485864095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6.7721458130628118E-2</v>
      </c>
      <c r="AD35" s="231">
        <f>(INDEX(Models!$BJ35:$BT35,,AH35)*(1-AF35)+INDEX(Models!$BJ35:$BT35,,AH35+1)*AF35-ERP_i)*AE35*Ramure*Pc/MaxiM</f>
        <v>8.6172782544119333E-4</v>
      </c>
      <c r="AE35" s="305">
        <f t="shared" si="15"/>
        <v>0.5</v>
      </c>
      <c r="AF35" s="177">
        <f t="shared" si="23"/>
        <v>0.49827607512923189</v>
      </c>
      <c r="AG35" s="811">
        <f t="shared" si="24"/>
        <v>2</v>
      </c>
      <c r="AH35" s="176">
        <f t="shared" si="16"/>
        <v>8</v>
      </c>
      <c r="AI35" s="225">
        <f t="shared" si="17"/>
        <v>2.4982760751292319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'2026'!Wh/'2026'!Env_an*'2027'!Env_an</f>
        <v>27.852217981994929</v>
      </c>
      <c r="C36" s="841"/>
      <c r="D36" s="393">
        <f t="shared" si="0"/>
        <v>29.841691020717022</v>
      </c>
      <c r="E36" s="385">
        <f t="shared" si="1"/>
        <v>30.692534646444081</v>
      </c>
      <c r="F36" s="385">
        <f t="shared" si="2"/>
        <v>30.694986170980791</v>
      </c>
      <c r="G36" s="110">
        <f t="shared" si="21"/>
        <v>0.9954657131304866</v>
      </c>
      <c r="H36" s="414" t="b">
        <f>Wh_hp&gt;='2026'!Maxi_hp</f>
        <v>0</v>
      </c>
      <c r="I36" s="390">
        <f>IF(H36,Wh_hp,'2026'!Maxi_hp)</f>
        <v>30.694994365394528</v>
      </c>
      <c r="J36" s="85">
        <f>IF(H36,An,'2026'!An_max)</f>
        <v>2026</v>
      </c>
      <c r="K36" s="197">
        <f t="shared" si="3"/>
        <v>46409</v>
      </c>
      <c r="L36" s="147">
        <f>IF(t&lt;Tvie,1-EXP((T0-t)*PertePVj)+'2026'!Pspv,1-EXP((T0-t)*PertePVj)+Pspv)</f>
        <v>6.6667570458421421E-2</v>
      </c>
      <c r="M36" s="845"/>
      <c r="N36" s="845"/>
      <c r="O36" s="48">
        <f>IF(t&lt;Tnet,'2026'!Resal+('2026'!Salim-'2026'!Resal)*(1-EXP(('2026'!Tnet-t)/('2026'!Tau_j))),Resal+(Salim-Resal)*(1-EXP((Tnet-t)/(Tau_j))))*Salcycl</f>
        <v>2.7721517154844465E-2</v>
      </c>
      <c r="P36" s="169">
        <f>(INDEX(Models!$BJ36:$BT36,,T36)*(1-R36)+INDEX(Models!$BJ36:$BT36,,T36+1)*R36-ERP_i)*Q36*Ramure*Pc/MaxiM</f>
        <v>8.0387920574815096E-5</v>
      </c>
      <c r="Q36" s="305">
        <f t="shared" si="4"/>
        <v>0.5</v>
      </c>
      <c r="R36" s="177">
        <f t="shared" si="5"/>
        <v>0.97335472763403508</v>
      </c>
      <c r="S36" s="811">
        <f t="shared" si="6"/>
        <v>-2</v>
      </c>
      <c r="T36" s="176">
        <f t="shared" si="7"/>
        <v>4</v>
      </c>
      <c r="U36" s="251">
        <f t="shared" si="8"/>
        <v>-1.0266452723659649</v>
      </c>
      <c r="V36" s="383">
        <f t="shared" si="9"/>
        <v>27.979068602758172</v>
      </c>
      <c r="W36" s="402">
        <f t="shared" si="10"/>
        <v>27.852217981994929</v>
      </c>
      <c r="X36" s="157">
        <f t="shared" si="11"/>
        <v>46409</v>
      </c>
      <c r="Y36" s="385">
        <f t="shared" si="12"/>
        <v>26.685079032901601</v>
      </c>
      <c r="Z36" s="385">
        <f t="shared" si="22"/>
        <v>28.591183792904754</v>
      </c>
      <c r="AA36" s="386">
        <f t="shared" si="13"/>
        <v>30.669312438430076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6.7759218590154366E-2</v>
      </c>
      <c r="AD36" s="231">
        <f>(INDEX(Models!$BJ36:$BT36,,AH36)*(1-AF36)+INDEX(Models!$BJ36:$BT36,,AH36+1)*AF36-ERP_i)*AE36*Ramure*Pc/MaxiM</f>
        <v>8.4186714929467726E-4</v>
      </c>
      <c r="AE36" s="305">
        <f t="shared" si="15"/>
        <v>0.5</v>
      </c>
      <c r="AF36" s="177">
        <f t="shared" si="23"/>
        <v>0.498342294008014</v>
      </c>
      <c r="AG36" s="811">
        <f t="shared" si="24"/>
        <v>2</v>
      </c>
      <c r="AH36" s="176">
        <f t="shared" si="16"/>
        <v>8</v>
      </c>
      <c r="AI36" s="225">
        <f t="shared" si="17"/>
        <v>2.498342294008014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'2026'!Wh/'2026'!Env_an*'2027'!Env_an</f>
        <v>27.916114583328898</v>
      </c>
      <c r="C37" s="841"/>
      <c r="D37" s="393">
        <f t="shared" si="0"/>
        <v>29.910806854731412</v>
      </c>
      <c r="E37" s="385">
        <f t="shared" si="1"/>
        <v>30.765988238380594</v>
      </c>
      <c r="F37" s="385">
        <f t="shared" si="2"/>
        <v>30.768304863454773</v>
      </c>
      <c r="G37" s="110">
        <f t="shared" si="21"/>
        <v>0.98812755511236439</v>
      </c>
      <c r="H37" s="414" t="b">
        <f>Wh_hp&gt;='2026'!Maxi_hp</f>
        <v>0</v>
      </c>
      <c r="I37" s="390">
        <f>IF(H37,Wh_hp,'2026'!Maxi_hp)</f>
        <v>30.768325353150232</v>
      </c>
      <c r="J37" s="85">
        <f>IF(H37,An,'2026'!An_max)</f>
        <v>2026</v>
      </c>
      <c r="K37" s="197">
        <f t="shared" si="3"/>
        <v>46410</v>
      </c>
      <c r="L37" s="147">
        <f>IF(t&lt;Tvie,1-EXP((T0-t)*PertePVj)+'2026'!Pspv,1-EXP((T0-t)*PertePVj)+Pspv)</f>
        <v>6.6688012833962862E-2</v>
      </c>
      <c r="M37" s="845"/>
      <c r="N37" s="845"/>
      <c r="O37" s="48">
        <f>IF(t&lt;Tnet,'2026'!Resal+('2026'!Salim-'2026'!Resal)*(1-EXP(('2026'!Tnet-t)/('2026'!Tau_j))),Resal+(Salim-Resal)*(1-EXP((Tnet-t)/(Tau_j))))*Salcycl</f>
        <v>2.779632420785827E-2</v>
      </c>
      <c r="P37" s="169">
        <f>(INDEX(Models!$BJ37:$BT37,,T37)*(1-R37)+INDEX(Models!$BJ37:$BT37,,T37+1)*R37-ERP_i)*Q37*Ramure*Pc/MaxiM</f>
        <v>7.659148035078813E-5</v>
      </c>
      <c r="Q37" s="305">
        <f t="shared" si="4"/>
        <v>0.5</v>
      </c>
      <c r="R37" s="177">
        <f t="shared" si="5"/>
        <v>0.9734237058448123</v>
      </c>
      <c r="S37" s="811">
        <f t="shared" si="6"/>
        <v>-2</v>
      </c>
      <c r="T37" s="176">
        <f t="shared" si="7"/>
        <v>4</v>
      </c>
      <c r="U37" s="251">
        <f t="shared" si="8"/>
        <v>-1.0265762941551877</v>
      </c>
      <c r="V37" s="383">
        <f t="shared" si="9"/>
        <v>28.251492609362689</v>
      </c>
      <c r="W37" s="402">
        <f t="shared" si="10"/>
        <v>27.916114583328898</v>
      </c>
      <c r="X37" s="157">
        <f t="shared" si="11"/>
        <v>46410</v>
      </c>
      <c r="Y37" s="385">
        <f t="shared" si="12"/>
        <v>26.747929223078255</v>
      </c>
      <c r="Z37" s="385">
        <f t="shared" si="22"/>
        <v>28.659151056547795</v>
      </c>
      <c r="AA37" s="386">
        <f t="shared" si="13"/>
        <v>30.743467184183821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6.779704173081412E-2</v>
      </c>
      <c r="AD37" s="231">
        <f>(INDEX(Models!$BJ37:$BT37,,AH37)*(1-AF37)+INDEX(Models!$BJ37:$BT37,,AH37+1)*AF37-ERP_i)*AE37*Ramure*Pc/MaxiM</f>
        <v>8.2117501232515516E-4</v>
      </c>
      <c r="AE37" s="305">
        <f t="shared" si="15"/>
        <v>0.5</v>
      </c>
      <c r="AF37" s="177">
        <f t="shared" si="23"/>
        <v>0.498411272218791</v>
      </c>
      <c r="AG37" s="811">
        <f t="shared" si="24"/>
        <v>2</v>
      </c>
      <c r="AH37" s="176">
        <f t="shared" si="16"/>
        <v>8</v>
      </c>
      <c r="AI37" s="225">
        <f t="shared" si="17"/>
        <v>2.498411272218791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'2026'!Wh/'2026'!Env_an*'2027'!Env_an</f>
        <v>28.543159793749492</v>
      </c>
      <c r="C38" s="841"/>
      <c r="D38" s="393">
        <f t="shared" si="0"/>
        <v>30.583326227886744</v>
      </c>
      <c r="E38" s="385">
        <f t="shared" si="1"/>
        <v>31.460155454221585</v>
      </c>
      <c r="F38" s="385">
        <f t="shared" si="2"/>
        <v>31.462446805790833</v>
      </c>
      <c r="G38" s="110">
        <f t="shared" si="21"/>
        <v>1.0003758637461395</v>
      </c>
      <c r="H38" s="414" t="b">
        <f>Wh_hp&gt;='2026'!Maxi_hp</f>
        <v>1</v>
      </c>
      <c r="I38" s="390">
        <f>IF(H38,Wh_hp,'2026'!Maxi_hp)</f>
        <v>31.462446805790833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6.6708454761763902E-2</v>
      </c>
      <c r="M38" s="845"/>
      <c r="N38" s="845"/>
      <c r="O38" s="48">
        <f>IF(t&lt;Tnet,'2026'!Resal+('2026'!Salim-'2026'!Resal)*(1-EXP(('2026'!Tnet-t)/('2026'!Tau_j))),Resal+(Salim-Resal)*(1-EXP((Tnet-t)/(Tau_j))))*Salcycl</f>
        <v>2.7871102786212756E-2</v>
      </c>
      <c r="P38" s="169">
        <f>(INDEX(Models!$BJ38:$BT38,,T38)*(1-R38)+INDEX(Models!$BJ38:$BT38,,T38+1)*R38-ERP_i)*Q38*Ramure*Pc/MaxiM</f>
        <v>7.2828142813933288E-5</v>
      </c>
      <c r="Q38" s="305">
        <f t="shared" si="4"/>
        <v>0.5</v>
      </c>
      <c r="R38" s="177">
        <f t="shared" si="5"/>
        <v>0.97349555755504169</v>
      </c>
      <c r="S38" s="811">
        <f t="shared" si="6"/>
        <v>-2</v>
      </c>
      <c r="T38" s="176">
        <f t="shared" si="7"/>
        <v>4</v>
      </c>
      <c r="U38" s="251">
        <f t="shared" si="8"/>
        <v>-1.0265044424449583</v>
      </c>
      <c r="V38" s="383">
        <f t="shared" si="9"/>
        <v>28.532435485661367</v>
      </c>
      <c r="W38" s="402">
        <f t="shared" si="10"/>
        <v>28.543159793749492</v>
      </c>
      <c r="X38" s="157">
        <f t="shared" si="11"/>
        <v>46411</v>
      </c>
      <c r="Y38" s="385">
        <f t="shared" si="12"/>
        <v>27.349871691443209</v>
      </c>
      <c r="Z38" s="385">
        <f t="shared" si="22"/>
        <v>29.304746015310531</v>
      </c>
      <c r="AA38" s="386">
        <f t="shared" si="13"/>
        <v>31.437292568156156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6.783493038474156E-2</v>
      </c>
      <c r="AD38" s="231">
        <f>(INDEX(Models!$BJ38:$BT38,,AH38)*(1-AF38)+INDEX(Models!$BJ38:$BT38,,AH38+1)*AF38-ERP_i)*AE38*Ramure*Pc/MaxiM</f>
        <v>7.9950036276411939E-4</v>
      </c>
      <c r="AE38" s="305">
        <f t="shared" si="15"/>
        <v>0.5</v>
      </c>
      <c r="AF38" s="177">
        <f t="shared" si="23"/>
        <v>0.49848312392902061</v>
      </c>
      <c r="AG38" s="811">
        <f t="shared" si="24"/>
        <v>2</v>
      </c>
      <c r="AH38" s="176">
        <f t="shared" si="16"/>
        <v>8</v>
      </c>
      <c r="AI38" s="225">
        <f t="shared" si="17"/>
        <v>2.4984831239290206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'2026'!Wh/'2026'!Env_an*'2027'!Env_an</f>
        <v>27.183366519978573</v>
      </c>
      <c r="C39" s="841"/>
      <c r="D39" s="393">
        <f t="shared" si="0"/>
        <v>29.126977585092437</v>
      </c>
      <c r="E39" s="385">
        <f t="shared" si="1"/>
        <v>29.964357141108668</v>
      </c>
      <c r="F39" s="385">
        <f t="shared" si="2"/>
        <v>29.966264255267532</v>
      </c>
      <c r="G39" s="110">
        <f t="shared" si="21"/>
        <v>0.94317660253097102</v>
      </c>
      <c r="H39" s="414" t="b">
        <f>Wh_hp&gt;='2026'!Maxi_hp</f>
        <v>0</v>
      </c>
      <c r="I39" s="390">
        <f>IF(H39,Wh_hp,'2026'!Maxi_hp)</f>
        <v>29.966350611851741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6.6728896241834201E-2</v>
      </c>
      <c r="M39" s="845"/>
      <c r="N39" s="845"/>
      <c r="O39" s="48">
        <f>IF(t&lt;Tnet,'2026'!Resal+('2026'!Salim-'2026'!Resal)*(1-EXP(('2026'!Tnet-t)/('2026'!Tau_j))),Resal+(Salim-Resal)*(1-EXP((Tnet-t)/(Tau_j))))*Salcycl</f>
        <v>2.7945854205142021E-2</v>
      </c>
      <c r="P39" s="169">
        <f>(INDEX(Models!$BJ39:$BT39,,T39)*(1-R39)+INDEX(Models!$BJ39:$BT39,,T39+1)*R39-ERP_i)*Q39*Ramure*Pc/MaxiM</f>
        <v>6.9264117862519487E-5</v>
      </c>
      <c r="Q39" s="305">
        <f t="shared" si="4"/>
        <v>0.5</v>
      </c>
      <c r="R39" s="177">
        <f t="shared" si="5"/>
        <v>0.97357040158644992</v>
      </c>
      <c r="S39" s="811">
        <f t="shared" si="6"/>
        <v>-2</v>
      </c>
      <c r="T39" s="176">
        <f t="shared" si="7"/>
        <v>4</v>
      </c>
      <c r="U39" s="251">
        <f t="shared" si="8"/>
        <v>-1.0264295984135501</v>
      </c>
      <c r="V39" s="383">
        <f t="shared" si="9"/>
        <v>28.820916051433958</v>
      </c>
      <c r="W39" s="402">
        <f t="shared" si="10"/>
        <v>27.183366519978573</v>
      </c>
      <c r="X39" s="157">
        <f t="shared" si="11"/>
        <v>46412</v>
      </c>
      <c r="Y39" s="385">
        <f t="shared" si="12"/>
        <v>26.049852738771861</v>
      </c>
      <c r="Z39" s="385">
        <f t="shared" si="22"/>
        <v>27.912417553562268</v>
      </c>
      <c r="AA39" s="386">
        <f t="shared" si="13"/>
        <v>29.944861772172644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6.7872886977194138E-2</v>
      </c>
      <c r="AD39" s="231">
        <f>(INDEX(Models!$BJ39:$BT39,,AH39)*(1-AF39)+INDEX(Models!$BJ39:$BT39,,AH39+1)*AF39-ERP_i)*AE39*Ramure*Pc/MaxiM</f>
        <v>7.7731272915460621E-4</v>
      </c>
      <c r="AE39" s="305">
        <f t="shared" si="15"/>
        <v>0.5</v>
      </c>
      <c r="AF39" s="177">
        <f t="shared" si="23"/>
        <v>0.49855796796042906</v>
      </c>
      <c r="AG39" s="811">
        <f t="shared" si="24"/>
        <v>2</v>
      </c>
      <c r="AH39" s="176">
        <f t="shared" si="16"/>
        <v>8</v>
      </c>
      <c r="AI39" s="225">
        <f t="shared" si="17"/>
        <v>2.4985579679604291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'2026'!Wh/'2026'!Env_an*'2027'!Env_an</f>
        <v>28.152901968483068</v>
      </c>
      <c r="C40" s="841"/>
      <c r="D40" s="393">
        <f t="shared" si="0"/>
        <v>30.166495554639891</v>
      </c>
      <c r="E40" s="385">
        <f t="shared" si="1"/>
        <v>31.036146363809642</v>
      </c>
      <c r="F40" s="385">
        <f t="shared" si="2"/>
        <v>31.038095080634623</v>
      </c>
      <c r="G40" s="110">
        <f t="shared" si="21"/>
        <v>0.96692041307435583</v>
      </c>
      <c r="H40" s="414" t="b">
        <f>Wh_hp&gt;='2026'!Maxi_hp</f>
        <v>0</v>
      </c>
      <c r="I40" s="390">
        <f>IF(H40,Wh_hp,'2026'!Maxi_hp)</f>
        <v>31.038144615723599</v>
      </c>
      <c r="J40" s="85">
        <f>IF(H40,An,'2026'!An_max)</f>
        <v>2026</v>
      </c>
      <c r="K40" s="197">
        <f t="shared" si="3"/>
        <v>46413</v>
      </c>
      <c r="L40" s="147">
        <f>IF(t&lt;Tvie,1-EXP((T0-t)*PertePVj)+'2026'!Pspv,1-EXP((T0-t)*PertePVj)+Pspv)</f>
        <v>6.6749337274183751E-2</v>
      </c>
      <c r="M40" s="845"/>
      <c r="N40" s="845"/>
      <c r="O40" s="48">
        <f>IF(t&lt;Tnet,'2026'!Resal+('2026'!Salim-'2026'!Resal)*(1-EXP(('2026'!Tnet-t)/('2026'!Tau_j))),Resal+(Salim-Resal)*(1-EXP((Tnet-t)/(Tau_j))))*Salcycl</f>
        <v>2.8020579584062896E-2</v>
      </c>
      <c r="P40" s="169">
        <f>(INDEX(Models!$BJ40:$BT40,,T40)*(1-R40)+INDEX(Models!$BJ40:$BT40,,T40+1)*R40-ERP_i)*Q40*Ramure*Pc/MaxiM</f>
        <v>6.5898532654061996E-5</v>
      </c>
      <c r="Q40" s="305">
        <f t="shared" si="4"/>
        <v>0.5</v>
      </c>
      <c r="R40" s="177">
        <f t="shared" si="5"/>
        <v>0.97364836159884272</v>
      </c>
      <c r="S40" s="811">
        <f t="shared" si="6"/>
        <v>-2</v>
      </c>
      <c r="T40" s="176">
        <f t="shared" si="7"/>
        <v>4</v>
      </c>
      <c r="U40" s="251">
        <f t="shared" si="8"/>
        <v>-1.0263516384011573</v>
      </c>
      <c r="V40" s="383">
        <f t="shared" si="9"/>
        <v>29.115958168096707</v>
      </c>
      <c r="W40" s="402">
        <f t="shared" si="10"/>
        <v>28.152901968483068</v>
      </c>
      <c r="X40" s="157">
        <f t="shared" si="11"/>
        <v>46413</v>
      </c>
      <c r="Y40" s="385">
        <f t="shared" si="12"/>
        <v>26.979780635709133</v>
      </c>
      <c r="Z40" s="385">
        <f t="shared" si="22"/>
        <v>28.909468498963864</v>
      </c>
      <c r="AA40" s="386">
        <f t="shared" si="13"/>
        <v>31.015778336920818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6.7910913441421777E-2</v>
      </c>
      <c r="AD40" s="231">
        <f>(INDEX(Models!$BJ40:$BT40,,AH40)*(1-AF40)+INDEX(Models!$BJ40:$BT40,,AH40+1)*AF40-ERP_i)*AE40*Ramure*Pc/MaxiM</f>
        <v>7.5467130242042816E-4</v>
      </c>
      <c r="AE40" s="305">
        <f t="shared" si="15"/>
        <v>0.5</v>
      </c>
      <c r="AF40" s="177">
        <f t="shared" si="23"/>
        <v>0.49863592797282141</v>
      </c>
      <c r="AG40" s="811">
        <f t="shared" si="24"/>
        <v>2</v>
      </c>
      <c r="AH40" s="176">
        <f t="shared" si="16"/>
        <v>8</v>
      </c>
      <c r="AI40" s="225">
        <f t="shared" si="17"/>
        <v>2.4986359279728214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'2026'!Wh/'2026'!Env_an*'2027'!Env_an</f>
        <v>26.230034141961958</v>
      </c>
      <c r="C41" s="841"/>
      <c r="D41" s="393">
        <f t="shared" si="0"/>
        <v>28.106713134279435</v>
      </c>
      <c r="E41" s="385">
        <f t="shared" si="1"/>
        <v>28.91920632806654</v>
      </c>
      <c r="F41" s="385">
        <f t="shared" si="2"/>
        <v>28.92073977403156</v>
      </c>
      <c r="G41" s="110">
        <f t="shared" si="21"/>
        <v>0.89166633467873146</v>
      </c>
      <c r="H41" s="414" t="b">
        <f>Wh_hp&gt;='2026'!Maxi_hp</f>
        <v>0</v>
      </c>
      <c r="I41" s="390">
        <f>IF(H41,Wh_hp,'2026'!Maxi_hp)</f>
        <v>28.920883648600167</v>
      </c>
      <c r="J41" s="85">
        <f>IF(H41,An,'2026'!An_max)</f>
        <v>2026</v>
      </c>
      <c r="K41" s="197">
        <f t="shared" si="3"/>
        <v>46414</v>
      </c>
      <c r="L41" s="147">
        <f>IF(t&lt;Tvie,1-EXP((T0-t)*PertePVj)+'2026'!Pspv,1-EXP((T0-t)*PertePVj)+Pspv)</f>
        <v>6.6769777858822099E-2</v>
      </c>
      <c r="M41" s="845"/>
      <c r="N41" s="845"/>
      <c r="O41" s="48">
        <f>IF(t&lt;Tnet,'2026'!Resal+('2026'!Salim-'2026'!Resal)*(1-EXP(('2026'!Tnet-t)/('2026'!Tau_j))),Resal+(Salim-Resal)*(1-EXP((Tnet-t)/(Tau_j))))*Salcycl</f>
        <v>2.8095279814044184E-2</v>
      </c>
      <c r="P41" s="169">
        <f>(INDEX(Models!$BJ41:$BT41,,T41)*(1-R41)+INDEX(Models!$BJ41:$BT41,,T41+1)*R41-ERP_i)*Q41*Ramure*Pc/MaxiM</f>
        <v>6.2729800521931284E-5</v>
      </c>
      <c r="Q41" s="305">
        <f t="shared" si="4"/>
        <v>0.5</v>
      </c>
      <c r="R41" s="177">
        <f t="shared" si="5"/>
        <v>0.97372956628066443</v>
      </c>
      <c r="S41" s="811">
        <f t="shared" si="6"/>
        <v>-2</v>
      </c>
      <c r="T41" s="176">
        <f t="shared" si="7"/>
        <v>4</v>
      </c>
      <c r="U41" s="251">
        <f t="shared" si="8"/>
        <v>-1.0262704337193356</v>
      </c>
      <c r="V41" s="383">
        <f t="shared" si="9"/>
        <v>29.416586094949523</v>
      </c>
      <c r="W41" s="402">
        <f t="shared" si="10"/>
        <v>26.230034141961958</v>
      </c>
      <c r="X41" s="157">
        <f t="shared" si="11"/>
        <v>46414</v>
      </c>
      <c r="Y41" s="385">
        <f t="shared" si="12"/>
        <v>25.140227804060643</v>
      </c>
      <c r="Z41" s="385">
        <f t="shared" si="22"/>
        <v>26.938934474688992</v>
      </c>
      <c r="AA41" s="386">
        <f t="shared" si="13"/>
        <v>28.902854883282551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6.7949011145244737E-2</v>
      </c>
      <c r="AD41" s="231">
        <f>(INDEX(Models!$BJ41:$BT41,,AH41)*(1-AF41)+INDEX(Models!$BJ41:$BT41,,AH41+1)*AF41-ERP_i)*AE41*Ramure*Pc/MaxiM</f>
        <v>7.3163036366145266E-4</v>
      </c>
      <c r="AE41" s="305">
        <f t="shared" si="15"/>
        <v>0.5</v>
      </c>
      <c r="AF41" s="177">
        <f t="shared" si="23"/>
        <v>0.49871713265464335</v>
      </c>
      <c r="AG41" s="811">
        <f t="shared" si="24"/>
        <v>2</v>
      </c>
      <c r="AH41" s="176">
        <f t="shared" si="16"/>
        <v>8</v>
      </c>
      <c r="AI41" s="225">
        <f t="shared" si="17"/>
        <v>2.4987171326546433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'2026'!Wh/'2026'!Env_an*'2027'!Env_an</f>
        <v>4.2843181021332066</v>
      </c>
      <c r="C42" s="841"/>
      <c r="D42" s="393">
        <f t="shared" si="0"/>
        <v>4.5909485570670299</v>
      </c>
      <c r="E42" s="385">
        <f t="shared" si="1"/>
        <v>4.7240241060572261</v>
      </c>
      <c r="F42" s="385">
        <f t="shared" si="2"/>
        <v>4.7240241060572261</v>
      </c>
      <c r="G42" s="110">
        <f t="shared" si="21"/>
        <v>0.14413859730666115</v>
      </c>
      <c r="H42" s="414" t="b">
        <f>Wh_hp&gt;='2026'!Maxi_hp</f>
        <v>0</v>
      </c>
      <c r="I42" s="390">
        <f>IF(H42,Wh_hp,'2026'!Maxi_hp)</f>
        <v>18.517028420857695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6.6790217995759238E-2</v>
      </c>
      <c r="M42" s="845"/>
      <c r="N42" s="845"/>
      <c r="O42" s="48">
        <f>IF(t&lt;Tnet,'2026'!Resal+('2026'!Salim-'2026'!Resal)*(1-EXP(('2026'!Tnet-t)/('2026'!Tau_j))),Resal+(Salim-Resal)*(1-EXP((Tnet-t)/(Tau_j))))*Salcycl</f>
        <v>2.8169955529982277E-2</v>
      </c>
      <c r="P42" s="169">
        <f>(INDEX(Models!$BJ42:$BT42,,T42)*(1-R42)+INDEX(Models!$BJ42:$BT42,,T42+1)*R42-ERP_i)*Q42*Ramure*Pc/MaxiM</f>
        <v>5.9755727652618491E-5</v>
      </c>
      <c r="Q42" s="305">
        <f t="shared" si="4"/>
        <v>0.5</v>
      </c>
      <c r="R42" s="177">
        <f t="shared" si="5"/>
        <v>0.97381414954651047</v>
      </c>
      <c r="S42" s="811">
        <f t="shared" si="6"/>
        <v>-2</v>
      </c>
      <c r="T42" s="176">
        <f t="shared" si="7"/>
        <v>4</v>
      </c>
      <c r="U42" s="251">
        <f t="shared" si="8"/>
        <v>-1.0261858504534895</v>
      </c>
      <c r="V42" s="383">
        <f t="shared" si="9"/>
        <v>29.721824477540807</v>
      </c>
      <c r="W42" s="402">
        <f t="shared" si="10"/>
        <v>4.2843181021332066</v>
      </c>
      <c r="X42" s="157">
        <f t="shared" si="11"/>
        <v>46415</v>
      </c>
      <c r="Y42" s="385">
        <f t="shared" si="12"/>
        <v>4.1087836451571471</v>
      </c>
      <c r="Z42" s="385">
        <f t="shared" si="22"/>
        <v>4.4028510249140052</v>
      </c>
      <c r="AA42" s="386">
        <f t="shared" si="13"/>
        <v>4.7240241060572261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6.7987180829879243E-2</v>
      </c>
      <c r="AD42" s="231">
        <f>(INDEX(Models!$BJ42:$BT42,,AH42)*(1-AF42)+INDEX(Models!$BJ42:$BT42,,AH42+1)*AF42-ERP_i)*AE42*Ramure*Pc/MaxiM</f>
        <v>7.0823926655118449E-4</v>
      </c>
      <c r="AE42" s="305">
        <f t="shared" si="15"/>
        <v>0.5</v>
      </c>
      <c r="AF42" s="177">
        <f t="shared" si="23"/>
        <v>0.49880171592048939</v>
      </c>
      <c r="AG42" s="811">
        <f t="shared" si="24"/>
        <v>2</v>
      </c>
      <c r="AH42" s="176">
        <f t="shared" si="16"/>
        <v>8</v>
      </c>
      <c r="AI42" s="225">
        <f t="shared" si="17"/>
        <v>2.4988017159204894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'2026'!Wh/'2026'!Env_an*'2027'!Env_an</f>
        <v>9.3944908700192435</v>
      </c>
      <c r="C43" s="841"/>
      <c r="D43" s="393">
        <f t="shared" si="0"/>
        <v>10.067079041766599</v>
      </c>
      <c r="E43" s="385">
        <f t="shared" si="1"/>
        <v>10.359684253046812</v>
      </c>
      <c r="F43" s="385">
        <f t="shared" si="2"/>
        <v>10.359695070755173</v>
      </c>
      <c r="G43" s="110">
        <f t="shared" si="21"/>
        <v>0.31281208742811351</v>
      </c>
      <c r="H43" s="414" t="b">
        <f>Wh_hp&gt;='2026'!Maxi_hp</f>
        <v>0</v>
      </c>
      <c r="I43" s="390">
        <f>IF(H43,Wh_hp,'2026'!Maxi_hp)</f>
        <v>20.355528257182332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6.6810657685004826E-2</v>
      </c>
      <c r="M43" s="845"/>
      <c r="N43" s="845"/>
      <c r="O43" s="48">
        <f>IF(t&lt;Tnet,'2026'!Resal+('2026'!Salim-'2026'!Resal)*(1-EXP(('2026'!Tnet-t)/('2026'!Tau_j))),Resal+(Salim-Resal)*(1-EXP((Tnet-t)/(Tau_j))))*Salcycl</f>
        <v>2.8244607087726383E-2</v>
      </c>
      <c r="P43" s="169">
        <f>(INDEX(Models!$BJ43:$BT43,,T43)*(1-R43)+INDEX(Models!$BJ43:$BT43,,T43+1)*R43-ERP_i)*Q43*Ramure*Pc/MaxiM</f>
        <v>5.6973613886005138E-5</v>
      </c>
      <c r="Q43" s="305">
        <f t="shared" si="4"/>
        <v>0.5</v>
      </c>
      <c r="R43" s="177">
        <f t="shared" si="5"/>
        <v>0.97390225074179559</v>
      </c>
      <c r="S43" s="811">
        <f t="shared" si="6"/>
        <v>-2</v>
      </c>
      <c r="T43" s="176">
        <f t="shared" si="7"/>
        <v>4</v>
      </c>
      <c r="U43" s="251">
        <f t="shared" si="8"/>
        <v>-1.0260977492582044</v>
      </c>
      <c r="V43" s="383">
        <f t="shared" si="9"/>
        <v>30.03069836093001</v>
      </c>
      <c r="W43" s="402">
        <f t="shared" si="10"/>
        <v>9.3944908700192435</v>
      </c>
      <c r="X43" s="157">
        <f t="shared" si="11"/>
        <v>46416</v>
      </c>
      <c r="Y43" s="385">
        <f t="shared" si="12"/>
        <v>9.0098043366490668</v>
      </c>
      <c r="Z43" s="385">
        <f t="shared" si="22"/>
        <v>9.6548513019856532</v>
      </c>
      <c r="AA43" s="386">
        <f t="shared" si="13"/>
        <v>10.359565095134636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6.802542256141153E-2</v>
      </c>
      <c r="AD43" s="231">
        <f>(INDEX(Models!$BJ43:$BT43,,AH43)*(1-AF43)+INDEX(Models!$BJ43:$BT43,,AH43+1)*AF43-ERP_i)*AE43*Ramure*Pc/MaxiM</f>
        <v>6.8454247170402784E-4</v>
      </c>
      <c r="AE43" s="305">
        <f t="shared" si="15"/>
        <v>0.5</v>
      </c>
      <c r="AF43" s="177">
        <f t="shared" si="23"/>
        <v>0.49888981711577474</v>
      </c>
      <c r="AG43" s="811">
        <f t="shared" si="24"/>
        <v>2</v>
      </c>
      <c r="AH43" s="176">
        <f t="shared" si="16"/>
        <v>8</v>
      </c>
      <c r="AI43" s="225">
        <f t="shared" si="17"/>
        <v>2.4988898171157747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'2026'!Wh/'2026'!Env_an*'2027'!Env_an</f>
        <v>4.4683954857207038</v>
      </c>
      <c r="C44" s="841"/>
      <c r="D44" s="393">
        <f t="shared" si="0"/>
        <v>4.788410191342483</v>
      </c>
      <c r="E44" s="385">
        <f t="shared" si="1"/>
        <v>4.9279664284667213</v>
      </c>
      <c r="F44" s="385">
        <f t="shared" si="2"/>
        <v>4.9279664284667213</v>
      </c>
      <c r="G44" s="110">
        <f t="shared" si="21"/>
        <v>0.14725852464935502</v>
      </c>
      <c r="H44" s="414" t="b">
        <f>Wh_hp&gt;='2026'!Maxi_hp</f>
        <v>0</v>
      </c>
      <c r="I44" s="390">
        <f>IF(H44,Wh_hp,'2026'!Maxi_hp)</f>
        <v>12.271638358981564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6.6831096926568856E-2</v>
      </c>
      <c r="M44" s="845"/>
      <c r="N44" s="845"/>
      <c r="O44" s="48">
        <f>IF(t&lt;Tnet,'2026'!Resal+('2026'!Salim-'2026'!Resal)*(1-EXP(('2026'!Tnet-t)/('2026'!Tau_j))),Resal+(Salim-Resal)*(1-EXP((Tnet-t)/(Tau_j))))*Salcycl</f>
        <v>2.8319234546340048E-2</v>
      </c>
      <c r="P44" s="169">
        <f>(INDEX(Models!$BJ44:$BT44,,T44)*(1-R44)+INDEX(Models!$BJ44:$BT44,,T44+1)*R44-ERP_i)*Q44*Ramure*Pc/MaxiM</f>
        <v>5.4510177201786635E-5</v>
      </c>
      <c r="Q44" s="305">
        <f t="shared" si="4"/>
        <v>0.5</v>
      </c>
      <c r="R44" s="177">
        <f t="shared" si="5"/>
        <v>0.9739940148547892</v>
      </c>
      <c r="S44" s="811">
        <f t="shared" si="6"/>
        <v>-2</v>
      </c>
      <c r="T44" s="176">
        <f t="shared" si="7"/>
        <v>4</v>
      </c>
      <c r="U44" s="251">
        <f t="shared" si="8"/>
        <v>-1.0260059851452108</v>
      </c>
      <c r="V44" s="383">
        <f t="shared" si="9"/>
        <v>30.342229241602951</v>
      </c>
      <c r="W44" s="402">
        <f t="shared" si="10"/>
        <v>4.4683954857207038</v>
      </c>
      <c r="X44" s="157">
        <f t="shared" si="11"/>
        <v>46417</v>
      </c>
      <c r="Y44" s="385">
        <f t="shared" si="12"/>
        <v>4.2856254280744714</v>
      </c>
      <c r="Z44" s="385">
        <f t="shared" si="22"/>
        <v>4.5925506239648399</v>
      </c>
      <c r="AA44" s="386">
        <f t="shared" si="13"/>
        <v>4.9279664284667213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6.8063735695180427E-2</v>
      </c>
      <c r="AD44" s="231">
        <f>(INDEX(Models!$BJ44:$BT44,,AH44)*(1-AF44)+INDEX(Models!$BJ44:$BT44,,AH44+1)*AF44-ERP_i)*AE44*Ramure*Pc/MaxiM</f>
        <v>6.6105039056752314E-4</v>
      </c>
      <c r="AE44" s="305">
        <f t="shared" si="15"/>
        <v>0.5</v>
      </c>
      <c r="AF44" s="177">
        <f t="shared" si="23"/>
        <v>0.4989815812287679</v>
      </c>
      <c r="AG44" s="811">
        <f t="shared" si="24"/>
        <v>2</v>
      </c>
      <c r="AH44" s="176">
        <f t="shared" si="16"/>
        <v>8</v>
      </c>
      <c r="AI44" s="225">
        <f t="shared" si="17"/>
        <v>2.4989815812287679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'2026'!Wh/'2026'!Env_an*'2027'!Env_an</f>
        <v>9.139091617962567</v>
      </c>
      <c r="C45" s="841"/>
      <c r="D45" s="393">
        <f t="shared" si="0"/>
        <v>9.7938237781044162</v>
      </c>
      <c r="E45" s="385">
        <f t="shared" si="1"/>
        <v>10.080034645388698</v>
      </c>
      <c r="F45" s="385">
        <f t="shared" si="2"/>
        <v>10.080034645388698</v>
      </c>
      <c r="G45" s="110">
        <f t="shared" si="21"/>
        <v>0.29810735823435075</v>
      </c>
      <c r="H45" s="414" t="b">
        <f>Wh_hp&gt;='2026'!Maxi_hp</f>
        <v>0</v>
      </c>
      <c r="I45" s="390">
        <f>IF(H45,Wh_hp,'2026'!Maxi_hp)</f>
        <v>23.585730416186674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6.6851535720461097E-2</v>
      </c>
      <c r="M45" s="845"/>
      <c r="N45" s="845"/>
      <c r="O45" s="48">
        <f>IF(t&lt;Tnet,'2026'!Resal+('2026'!Salim-'2026'!Resal)*(1-EXP(('2026'!Tnet-t)/('2026'!Tau_j))),Resal+(Salim-Resal)*(1-EXP((Tnet-t)/(Tau_j))))*Salcycl</f>
        <v>2.839383765562899E-2</v>
      </c>
      <c r="P45" s="169">
        <f>(INDEX(Models!$BJ45:$BT45,,T45)*(1-R45)+INDEX(Models!$BJ45:$BT45,,T45+1)*R45-ERP_i)*Q45*Ramure*Pc/MaxiM</f>
        <v>5.2303527434454805E-5</v>
      </c>
      <c r="Q45" s="305">
        <f t="shared" si="4"/>
        <v>0.5</v>
      </c>
      <c r="R45" s="177">
        <f t="shared" si="5"/>
        <v>0.9740895927362192</v>
      </c>
      <c r="S45" s="811">
        <f t="shared" si="6"/>
        <v>-2</v>
      </c>
      <c r="T45" s="176">
        <f t="shared" si="7"/>
        <v>4</v>
      </c>
      <c r="U45" s="251">
        <f t="shared" si="8"/>
        <v>-1.0259104072637808</v>
      </c>
      <c r="V45" s="383">
        <f t="shared" si="9"/>
        <v>30.655444620220596</v>
      </c>
      <c r="W45" s="402">
        <f t="shared" si="10"/>
        <v>9.139091617962567</v>
      </c>
      <c r="X45" s="157">
        <f t="shared" si="11"/>
        <v>46418</v>
      </c>
      <c r="Y45" s="385">
        <f t="shared" si="12"/>
        <v>8.7655888203056467</v>
      </c>
      <c r="Z45" s="385">
        <f t="shared" si="22"/>
        <v>9.3935629279241688</v>
      </c>
      <c r="AA45" s="386">
        <f t="shared" si="13"/>
        <v>10.080034645388698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6.8102118853189508E-2</v>
      </c>
      <c r="AD45" s="231">
        <f>(INDEX(Models!$BJ45:$BT45,,AH45)*(1-AF45)+INDEX(Models!$BJ45:$BT45,,AH45+1)*AF45-ERP_i)*AE45*Ramure*Pc/MaxiM</f>
        <v>6.3834725228111672E-4</v>
      </c>
      <c r="AE45" s="305">
        <f t="shared" si="15"/>
        <v>0.5</v>
      </c>
      <c r="AF45" s="177">
        <f t="shared" si="23"/>
        <v>0.49907715911019812</v>
      </c>
      <c r="AG45" s="811">
        <f t="shared" si="24"/>
        <v>2</v>
      </c>
      <c r="AH45" s="176">
        <f t="shared" si="16"/>
        <v>8</v>
      </c>
      <c r="AI45" s="225">
        <f t="shared" si="17"/>
        <v>2.4990771591101981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'2026'!Wh/'2026'!Env_an*'2027'!Env_an</f>
        <v>13.267689841416848</v>
      </c>
      <c r="C46" s="841"/>
      <c r="D46" s="393">
        <f t="shared" si="0"/>
        <v>14.21850964999855</v>
      </c>
      <c r="E46" s="385">
        <f t="shared" si="1"/>
        <v>14.635149162365007</v>
      </c>
      <c r="F46" s="385">
        <f t="shared" si="2"/>
        <v>14.635284336523394</v>
      </c>
      <c r="G46" s="110">
        <f t="shared" si="21"/>
        <v>0.42839567189860994</v>
      </c>
      <c r="H46" s="414" t="b">
        <f>Wh_hp&gt;='2026'!Maxi_hp</f>
        <v>0</v>
      </c>
      <c r="I46" s="390">
        <f>IF(H46,Wh_hp,'2026'!Maxi_hp)</f>
        <v>27.944973498874095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6.6871974066691209E-2</v>
      </c>
      <c r="M46" s="845"/>
      <c r="N46" s="845"/>
      <c r="O46" s="48">
        <f>IF(t&lt;Tnet,'2026'!Resal+('2026'!Salim-'2026'!Resal)*(1-EXP(('2026'!Tnet-t)/('2026'!Tau_j))),Resal+(Salim-Resal)*(1-EXP((Tnet-t)/(Tau_j))))*Salcycl</f>
        <v>2.8468415849007271E-2</v>
      </c>
      <c r="P46" s="169">
        <f>(INDEX(Models!$BJ46:$BT46,,T46)*(1-R46)+INDEX(Models!$BJ46:$BT46,,T46+1)*R46-ERP_i)*Q46*Ramure*Pc/MaxiM</f>
        <v>5.0347811143950718E-5</v>
      </c>
      <c r="Q46" s="305">
        <f t="shared" si="4"/>
        <v>0.5</v>
      </c>
      <c r="R46" s="177">
        <f t="shared" si="5"/>
        <v>0.97418914132665968</v>
      </c>
      <c r="S46" s="811">
        <f t="shared" si="6"/>
        <v>-2</v>
      </c>
      <c r="T46" s="176">
        <f t="shared" si="7"/>
        <v>4</v>
      </c>
      <c r="U46" s="251">
        <f t="shared" si="8"/>
        <v>-1.0258108586733403</v>
      </c>
      <c r="V46" s="383">
        <f t="shared" si="9"/>
        <v>30.969370725067279</v>
      </c>
      <c r="W46" s="402">
        <f t="shared" si="10"/>
        <v>13.267689841416848</v>
      </c>
      <c r="X46" s="157">
        <f t="shared" si="11"/>
        <v>46419</v>
      </c>
      <c r="Y46" s="385">
        <f t="shared" si="12"/>
        <v>12.724586788050845</v>
      </c>
      <c r="Z46" s="385">
        <f t="shared" si="22"/>
        <v>13.636485492249355</v>
      </c>
      <c r="AA46" s="386">
        <f t="shared" si="13"/>
        <v>14.633629335058222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6.8140569914531143E-2</v>
      </c>
      <c r="AD46" s="231">
        <f>(INDEX(Models!$BJ46:$BT46,,AH46)*(1-AF46)+INDEX(Models!$BJ46:$BT46,,AH46+1)*AF46-ERP_i)*AE46*Ramure*Pc/MaxiM</f>
        <v>6.1643218056886789E-4</v>
      </c>
      <c r="AE46" s="305">
        <f t="shared" si="15"/>
        <v>0.5</v>
      </c>
      <c r="AF46" s="177">
        <f t="shared" si="23"/>
        <v>0.49917670770063838</v>
      </c>
      <c r="AG46" s="811">
        <f t="shared" si="24"/>
        <v>2</v>
      </c>
      <c r="AH46" s="176">
        <f t="shared" si="16"/>
        <v>8</v>
      </c>
      <c r="AI46" s="225">
        <f t="shared" si="17"/>
        <v>2.4991767077006384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'2026'!Wh/'2026'!Env_an*'2027'!Env_an</f>
        <v>5.3297531256116235</v>
      </c>
      <c r="C47" s="841"/>
      <c r="D47" s="393">
        <f t="shared" si="0"/>
        <v>5.7118312978644923</v>
      </c>
      <c r="E47" s="385">
        <f t="shared" si="1"/>
        <v>5.8796540774700006</v>
      </c>
      <c r="F47" s="385">
        <f t="shared" si="2"/>
        <v>5.8796540774700006</v>
      </c>
      <c r="G47" s="110">
        <f t="shared" si="21"/>
        <v>0.17036371445045295</v>
      </c>
      <c r="H47" s="414" t="b">
        <f>Wh_hp&gt;='2026'!Maxi_hp</f>
        <v>0</v>
      </c>
      <c r="I47" s="390">
        <f>IF(H47,Wh_hp,'2026'!Maxi_hp)</f>
        <v>29.540538398179784</v>
      </c>
      <c r="J47" s="85">
        <f>IF(H47,An,'2026'!An_max)</f>
        <v>2020</v>
      </c>
      <c r="K47" s="197">
        <f t="shared" si="3"/>
        <v>46420</v>
      </c>
      <c r="L47" s="147">
        <f>IF(t&lt;Tvie,1-EXP((T0-t)*PertePVj)+'2026'!Pspv,1-EXP((T0-t)*PertePVj)+Pspv)</f>
        <v>6.6892411965269072E-2</v>
      </c>
      <c r="M47" s="845"/>
      <c r="N47" s="845"/>
      <c r="O47" s="48">
        <f>IF(t&lt;Tnet,'2026'!Resal+('2026'!Salim-'2026'!Resal)*(1-EXP(('2026'!Tnet-t)/('2026'!Tau_j))),Resal+(Salim-Resal)*(1-EXP((Tnet-t)/(Tau_j))))*Salcycl</f>
        <v>2.8542968241717016E-2</v>
      </c>
      <c r="P47" s="169">
        <f>(INDEX(Models!$BJ47:$BT47,,T47)*(1-R47)+INDEX(Models!$BJ47:$BT47,,T47+1)*R47-ERP_i)*Q47*Ramure*Pc/MaxiM</f>
        <v>4.8637117164210797E-5</v>
      </c>
      <c r="Q47" s="305">
        <f t="shared" si="4"/>
        <v>0.5</v>
      </c>
      <c r="R47" s="177">
        <f t="shared" si="5"/>
        <v>0.97429282389190441</v>
      </c>
      <c r="S47" s="811">
        <f t="shared" si="6"/>
        <v>-2</v>
      </c>
      <c r="T47" s="176">
        <f t="shared" si="7"/>
        <v>4</v>
      </c>
      <c r="U47" s="251">
        <f t="shared" si="8"/>
        <v>-1.0257071761080956</v>
      </c>
      <c r="V47" s="383">
        <f t="shared" si="9"/>
        <v>31.283034177646897</v>
      </c>
      <c r="W47" s="402">
        <f t="shared" si="10"/>
        <v>5.3297531256116235</v>
      </c>
      <c r="X47" s="157">
        <f t="shared" si="11"/>
        <v>46420</v>
      </c>
      <c r="Y47" s="385">
        <f t="shared" si="12"/>
        <v>5.1122955173976257</v>
      </c>
      <c r="Z47" s="385">
        <f t="shared" si="22"/>
        <v>5.4787846363621497</v>
      </c>
      <c r="AA47" s="386">
        <f t="shared" si="13"/>
        <v>5.8796540774700006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6.8179086018669913E-2</v>
      </c>
      <c r="AD47" s="231">
        <f>(INDEX(Models!$BJ47:$BT47,,AH47)*(1-AF47)+INDEX(Models!$BJ47:$BT47,,AH47+1)*AF47-ERP_i)*AE47*Ramure*Pc/MaxiM</f>
        <v>5.9530131294150367E-4</v>
      </c>
      <c r="AE47" s="305">
        <f t="shared" si="15"/>
        <v>0.5</v>
      </c>
      <c r="AF47" s="177">
        <f t="shared" si="23"/>
        <v>0.49928039026588333</v>
      </c>
      <c r="AG47" s="811">
        <f t="shared" si="24"/>
        <v>2</v>
      </c>
      <c r="AH47" s="176">
        <f t="shared" si="16"/>
        <v>8</v>
      </c>
      <c r="AI47" s="225">
        <f t="shared" si="17"/>
        <v>2.4992803902658833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'2026'!Wh/'2026'!Env_an*'2027'!Env_an</f>
        <v>10.04564260559571</v>
      </c>
      <c r="C48" s="841"/>
      <c r="D48" s="393">
        <f t="shared" si="0"/>
        <v>10.766028231457854</v>
      </c>
      <c r="E48" s="385">
        <f t="shared" si="1"/>
        <v>11.083201685130398</v>
      </c>
      <c r="F48" s="385">
        <f t="shared" si="2"/>
        <v>11.083215086652512</v>
      </c>
      <c r="G48" s="110">
        <f t="shared" si="21"/>
        <v>0.31793113027008879</v>
      </c>
      <c r="H48" s="414" t="b">
        <f>Wh_hp&gt;='2026'!Maxi_hp</f>
        <v>0</v>
      </c>
      <c r="I48" s="390">
        <f>IF(H48,Wh_hp,'2026'!Maxi_hp)</f>
        <v>27.40840746637317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6.6912849416204456E-2</v>
      </c>
      <c r="M48" s="845"/>
      <c r="N48" s="845"/>
      <c r="O48" s="48">
        <f>IF(t&lt;Tnet,'2026'!Resal+('2026'!Salim-'2026'!Resal)*(1-EXP(('2026'!Tnet-t)/('2026'!Tau_j))),Resal+(Salim-Resal)*(1-EXP((Tnet-t)/(Tau_j))))*Salcycl</f>
        <v>2.8617493634359604E-2</v>
      </c>
      <c r="P48" s="169">
        <f>(INDEX(Models!$BJ48:$BT48,,T48)*(1-R48)+INDEX(Models!$BJ48:$BT48,,T48+1)*R48-ERP_i)*Q48*Ramure*Pc/MaxiM</f>
        <v>4.7165559212007253E-5</v>
      </c>
      <c r="Q48" s="305">
        <f t="shared" si="4"/>
        <v>0.5</v>
      </c>
      <c r="R48" s="177">
        <f t="shared" si="5"/>
        <v>0.97440081026653758</v>
      </c>
      <c r="S48" s="811">
        <f t="shared" si="6"/>
        <v>-2</v>
      </c>
      <c r="T48" s="176">
        <f t="shared" si="7"/>
        <v>4</v>
      </c>
      <c r="U48" s="251">
        <f t="shared" si="8"/>
        <v>-1.0255991897334624</v>
      </c>
      <c r="V48" s="383">
        <f t="shared" si="9"/>
        <v>31.595461995402786</v>
      </c>
      <c r="W48" s="402">
        <f t="shared" si="10"/>
        <v>10.04564260559571</v>
      </c>
      <c r="X48" s="157">
        <f t="shared" si="11"/>
        <v>46421</v>
      </c>
      <c r="Y48" s="385">
        <f t="shared" si="12"/>
        <v>9.6359833791286462</v>
      </c>
      <c r="Z48" s="385">
        <f t="shared" si="22"/>
        <v>10.32699182825505</v>
      </c>
      <c r="AA48" s="386">
        <f t="shared" si="13"/>
        <v>11.083051722086514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6.8217663581301782E-2</v>
      </c>
      <c r="AD48" s="231">
        <f>(INDEX(Models!$BJ48:$BT48,,AH48)*(1-AF48)+INDEX(Models!$BJ48:$BT48,,AH48+1)*AF48-ERP_i)*AE48*Ramure*Pc/MaxiM</f>
        <v>5.7494820699480231E-4</v>
      </c>
      <c r="AE48" s="305">
        <f t="shared" si="15"/>
        <v>0.5</v>
      </c>
      <c r="AF48" s="177">
        <f t="shared" si="23"/>
        <v>0.49938837664051627</v>
      </c>
      <c r="AG48" s="811">
        <f t="shared" si="24"/>
        <v>2</v>
      </c>
      <c r="AH48" s="176">
        <f t="shared" si="16"/>
        <v>8</v>
      </c>
      <c r="AI48" s="225">
        <f t="shared" si="17"/>
        <v>2.4993883766405163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'2026'!Wh/'2026'!Env_an*'2027'!Env_an</f>
        <v>9.9469126129155772</v>
      </c>
      <c r="C49" s="841"/>
      <c r="D49" s="393">
        <f t="shared" si="0"/>
        <v>10.660451678472066</v>
      </c>
      <c r="E49" s="385">
        <f t="shared" si="1"/>
        <v>10.975356503234508</v>
      </c>
      <c r="F49" s="385">
        <f t="shared" si="2"/>
        <v>10.975364971540367</v>
      </c>
      <c r="G49" s="110">
        <f t="shared" si="21"/>
        <v>0.31174583823988117</v>
      </c>
      <c r="H49" s="414" t="b">
        <f>Wh_hp&gt;='2026'!Maxi_hp</f>
        <v>0</v>
      </c>
      <c r="I49" s="390">
        <f>IF(H49,Wh_hp,'2026'!Maxi_hp)</f>
        <v>27.911356460515268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6.6933286419507354E-2</v>
      </c>
      <c r="M49" s="845"/>
      <c r="N49" s="845"/>
      <c r="O49" s="48">
        <f>IF(t&lt;Tnet,'2026'!Resal+('2026'!Salim-'2026'!Resal)*(1-EXP(('2026'!Tnet-t)/('2026'!Tau_j))),Resal+(Salim-Resal)*(1-EXP((Tnet-t)/(Tau_j))))*Salcycl</f>
        <v>2.8691990521641668E-2</v>
      </c>
      <c r="P49" s="169">
        <f>(INDEX(Models!$BJ49:$BT49,,T49)*(1-R49)+INDEX(Models!$BJ49:$BT49,,T49+1)*R49-ERP_i)*Q49*Ramure*Pc/MaxiM</f>
        <v>4.592734968224118E-5</v>
      </c>
      <c r="Q49" s="305">
        <f t="shared" si="4"/>
        <v>0.5</v>
      </c>
      <c r="R49" s="177">
        <f t="shared" si="5"/>
        <v>0.97451327710590352</v>
      </c>
      <c r="S49" s="811">
        <f t="shared" si="6"/>
        <v>-2</v>
      </c>
      <c r="T49" s="176">
        <f t="shared" si="7"/>
        <v>4</v>
      </c>
      <c r="U49" s="251">
        <f t="shared" si="8"/>
        <v>-1.0254867228940965</v>
      </c>
      <c r="V49" s="383">
        <f t="shared" si="9"/>
        <v>31.905681590399958</v>
      </c>
      <c r="W49" s="402">
        <f t="shared" si="10"/>
        <v>9.9469126129155772</v>
      </c>
      <c r="X49" s="157">
        <f t="shared" si="11"/>
        <v>46422</v>
      </c>
      <c r="Y49" s="385">
        <f t="shared" si="12"/>
        <v>9.5416631675781769</v>
      </c>
      <c r="Z49" s="385">
        <f t="shared" si="22"/>
        <v>10.2261317746119</v>
      </c>
      <c r="AA49" s="386">
        <f t="shared" si="13"/>
        <v>10.975262570811674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6.8256298322380005E-2</v>
      </c>
      <c r="AD49" s="231">
        <f>(INDEX(Models!$BJ49:$BT49,,AH49)*(1-AF49)+INDEX(Models!$BJ49:$BT49,,AH49+1)*AF49-ERP_i)*AE49*Ramure*Pc/MaxiM</f>
        <v>5.5536421955891188E-4</v>
      </c>
      <c r="AE49" s="305">
        <f t="shared" si="15"/>
        <v>0.5</v>
      </c>
      <c r="AF49" s="177">
        <f t="shared" si="23"/>
        <v>0.49950084347988222</v>
      </c>
      <c r="AG49" s="811">
        <f t="shared" si="24"/>
        <v>2</v>
      </c>
      <c r="AH49" s="176">
        <f t="shared" si="16"/>
        <v>8</v>
      </c>
      <c r="AI49" s="225">
        <f t="shared" si="17"/>
        <v>2.4995008434798822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'2026'!Wh/'2026'!Env_an*'2027'!Env_an</f>
        <v>9.6237070023495246</v>
      </c>
      <c r="C50" s="841"/>
      <c r="D50" s="393">
        <f t="shared" si="0"/>
        <v>10.314286910866265</v>
      </c>
      <c r="E50" s="385">
        <f t="shared" si="1"/>
        <v>10.619780367278699</v>
      </c>
      <c r="F50" s="385">
        <f t="shared" si="2"/>
        <v>10.619780367278699</v>
      </c>
      <c r="G50" s="110">
        <f t="shared" si="21"/>
        <v>0.29874144454606683</v>
      </c>
      <c r="H50" s="414" t="b">
        <f>Wh_hp&gt;='2026'!Maxi_hp</f>
        <v>0</v>
      </c>
      <c r="I50" s="390">
        <f>IF(H50,Wh_hp,'2026'!Maxi_hp)</f>
        <v>35.533389786711119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6.6953722975187313E-2</v>
      </c>
      <c r="M50" s="845"/>
      <c r="N50" s="845"/>
      <c r="O50" s="48">
        <f>IF(t&lt;Tnet,'2026'!Resal+('2026'!Salim-'2026'!Resal)*(1-EXP(('2026'!Tnet-t)/('2026'!Tau_j))),Resal+(Salim-Resal)*(1-EXP((Tnet-t)/(Tau_j))))*Salcycl</f>
        <v>2.876645710618558E-2</v>
      </c>
      <c r="P50" s="169">
        <f>(INDEX(Models!$BJ50:$BT50,,T50)*(1-R50)+INDEX(Models!$BJ50:$BT50,,T50+1)*R50-ERP_i)*Q50*Ramure*Pc/MaxiM</f>
        <v>4.4916865322407724E-5</v>
      </c>
      <c r="Q50" s="305">
        <f t="shared" si="4"/>
        <v>0.5</v>
      </c>
      <c r="R50" s="177">
        <f t="shared" si="5"/>
        <v>0.97463040814668433</v>
      </c>
      <c r="S50" s="811">
        <f t="shared" si="6"/>
        <v>-2</v>
      </c>
      <c r="T50" s="176">
        <f t="shared" si="7"/>
        <v>4</v>
      </c>
      <c r="U50" s="251">
        <f t="shared" si="8"/>
        <v>-1.0253695918533157</v>
      </c>
      <c r="V50" s="383">
        <f t="shared" si="9"/>
        <v>32.212720770031154</v>
      </c>
      <c r="W50" s="402">
        <f t="shared" si="10"/>
        <v>9.6237070023495246</v>
      </c>
      <c r="X50" s="157">
        <f t="shared" si="11"/>
        <v>46423</v>
      </c>
      <c r="Y50" s="385">
        <f t="shared" si="12"/>
        <v>9.2320288355374807</v>
      </c>
      <c r="Z50" s="385">
        <f t="shared" si="22"/>
        <v>9.8945026231447812</v>
      </c>
      <c r="AA50" s="386">
        <f t="shared" si="13"/>
        <v>10.619780367278699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6.829498530578075E-2</v>
      </c>
      <c r="AD50" s="231">
        <f>(INDEX(Models!$BJ50:$BT50,,AH50)*(1-AF50)+INDEX(Models!$BJ50:$BT50,,AH50+1)*AF50-ERP_i)*AE50*Ramure*Pc/MaxiM</f>
        <v>5.3653885781068265E-4</v>
      </c>
      <c r="AE50" s="305">
        <f t="shared" si="15"/>
        <v>0.5</v>
      </c>
      <c r="AF50" s="177">
        <f t="shared" si="23"/>
        <v>0.49961797452066303</v>
      </c>
      <c r="AG50" s="811">
        <f t="shared" si="24"/>
        <v>2</v>
      </c>
      <c r="AH50" s="176">
        <f t="shared" si="16"/>
        <v>8</v>
      </c>
      <c r="AI50" s="225">
        <f t="shared" si="17"/>
        <v>2.499617974520663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'2026'!Wh/'2026'!Env_an*'2027'!Env_an</f>
        <v>22.017095204733167</v>
      </c>
      <c r="C51" s="841"/>
      <c r="D51" s="393">
        <f t="shared" si="0"/>
        <v>23.597519210293516</v>
      </c>
      <c r="E51" s="385">
        <f t="shared" si="1"/>
        <v>24.29830395381795</v>
      </c>
      <c r="F51" s="385">
        <f t="shared" si="2"/>
        <v>24.298881542169454</v>
      </c>
      <c r="G51" s="110">
        <f t="shared" si="21"/>
        <v>0.67706825455771646</v>
      </c>
      <c r="H51" s="414" t="b">
        <f>Wh_hp&gt;='2026'!Maxi_hp</f>
        <v>0</v>
      </c>
      <c r="I51" s="390">
        <f>IF(H51,Wh_hp,'2026'!Maxi_hp)</f>
        <v>37.103452774243969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6.6974159083254325E-2</v>
      </c>
      <c r="M51" s="845"/>
      <c r="N51" s="845"/>
      <c r="O51" s="48">
        <f>IF(t&lt;Tnet,'2026'!Resal+('2026'!Salim-'2026'!Resal)*(1-EXP(('2026'!Tnet-t)/('2026'!Tau_j))),Resal+(Salim-Resal)*(1-EXP((Tnet-t)/(Tau_j))))*Salcycl</f>
        <v>2.8840891317203219E-2</v>
      </c>
      <c r="P51" s="169">
        <f>(INDEX(Models!$BJ51:$BT51,,T51)*(1-R51)+INDEX(Models!$BJ51:$BT51,,T51+1)*R51-ERP_i)*Q51*Ramure*Pc/MaxiM</f>
        <v>4.4125977298555839E-5</v>
      </c>
      <c r="Q51" s="305">
        <f t="shared" si="4"/>
        <v>0.5</v>
      </c>
      <c r="R51" s="177">
        <f t="shared" si="5"/>
        <v>0.97475239447627837</v>
      </c>
      <c r="S51" s="811">
        <f t="shared" si="6"/>
        <v>-2</v>
      </c>
      <c r="T51" s="176">
        <f t="shared" si="7"/>
        <v>4</v>
      </c>
      <c r="U51" s="251">
        <f t="shared" si="8"/>
        <v>-1.0252476055237216</v>
      </c>
      <c r="V51" s="383">
        <f t="shared" si="9"/>
        <v>32.517618231176797</v>
      </c>
      <c r="W51" s="402">
        <f t="shared" si="10"/>
        <v>22.017095204733167</v>
      </c>
      <c r="X51" s="157">
        <f t="shared" si="11"/>
        <v>46424</v>
      </c>
      <c r="Y51" s="385">
        <f t="shared" si="12"/>
        <v>21.116358701057429</v>
      </c>
      <c r="Z51" s="385">
        <f t="shared" si="22"/>
        <v>22.632126330294909</v>
      </c>
      <c r="AA51" s="386">
        <f t="shared" si="13"/>
        <v>24.292095562113897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6.833371898997001E-2</v>
      </c>
      <c r="AD51" s="231">
        <f>(INDEX(Models!$BJ51:$BT51,,AH51)*(1-AF51)+INDEX(Models!$BJ51:$BT51,,AH51+1)*AF51-ERP_i)*AE51*Ramure*Pc/MaxiM</f>
        <v>5.1842804845343032E-4</v>
      </c>
      <c r="AE51" s="305">
        <f t="shared" si="15"/>
        <v>0.5</v>
      </c>
      <c r="AF51" s="177">
        <f t="shared" si="23"/>
        <v>0.49973996085025751</v>
      </c>
      <c r="AG51" s="811">
        <f t="shared" si="24"/>
        <v>2</v>
      </c>
      <c r="AH51" s="176">
        <f t="shared" si="16"/>
        <v>8</v>
      </c>
      <c r="AI51" s="225">
        <f t="shared" si="17"/>
        <v>2.4997399608502575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'2026'!Wh/'2026'!Env_an*'2027'!Env_an</f>
        <v>9.4473534307466487</v>
      </c>
      <c r="C52" s="841"/>
      <c r="D52" s="393">
        <f t="shared" si="0"/>
        <v>10.125722077838992</v>
      </c>
      <c r="E52" s="385">
        <f t="shared" si="1"/>
        <v>10.427228420199354</v>
      </c>
      <c r="F52" s="385">
        <f t="shared" si="2"/>
        <v>10.427228420199354</v>
      </c>
      <c r="G52" s="110">
        <f t="shared" si="21"/>
        <v>0.28782180305452532</v>
      </c>
      <c r="H52" s="414" t="b">
        <f>Wh_hp&gt;='2026'!Maxi_hp</f>
        <v>0</v>
      </c>
      <c r="I52" s="390">
        <f>IF(H52,Wh_hp,'2026'!Maxi_hp)</f>
        <v>25.358898167859724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6.6994594743718161E-2</v>
      </c>
      <c r="M52" s="845"/>
      <c r="N52" s="845"/>
      <c r="O52" s="48">
        <f>IF(t&lt;Tnet,'2026'!Resal+('2026'!Salim-'2026'!Resal)*(1-EXP(('2026'!Tnet-t)/('2026'!Tau_j))),Resal+(Salim-Resal)*(1-EXP((Tnet-t)/(Tau_j))))*Salcycl</f>
        <v>2.8915290833783958E-2</v>
      </c>
      <c r="P52" s="169">
        <f>(INDEX(Models!$BJ52:$BT52,,T52)*(1-R52)+INDEX(Models!$BJ52:$BT52,,T52+1)*R52-ERP_i)*Q52*Ramure*Pc/MaxiM</f>
        <v>4.3714458474951833E-5</v>
      </c>
      <c r="Q52" s="305">
        <f t="shared" si="4"/>
        <v>0.5</v>
      </c>
      <c r="R52" s="177">
        <f t="shared" si="5"/>
        <v>0.97487943481118</v>
      </c>
      <c r="S52" s="811">
        <f t="shared" si="6"/>
        <v>-2</v>
      </c>
      <c r="T52" s="176">
        <f t="shared" si="7"/>
        <v>4</v>
      </c>
      <c r="U52" s="251">
        <f t="shared" si="8"/>
        <v>-1.02512056518882</v>
      </c>
      <c r="V52" s="383">
        <f t="shared" si="9"/>
        <v>32.822184923279629</v>
      </c>
      <c r="W52" s="402">
        <f t="shared" si="10"/>
        <v>9.4473534307466487</v>
      </c>
      <c r="X52" s="157">
        <f t="shared" si="11"/>
        <v>46425</v>
      </c>
      <c r="Y52" s="385">
        <f t="shared" si="12"/>
        <v>9.063487704653225</v>
      </c>
      <c r="Z52" s="385">
        <f t="shared" si="22"/>
        <v>9.7142928150171102</v>
      </c>
      <c r="AA52" s="386">
        <f t="shared" si="13"/>
        <v>10.427228420199354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6.8372493288932204E-2</v>
      </c>
      <c r="AD52" s="231">
        <f>(INDEX(Models!$BJ52:$BT52,,AH52)*(1-AF52)+INDEX(Models!$BJ52:$BT52,,AH52+1)*AF52-ERP_i)*AE52*Ramure*Pc/MaxiM</f>
        <v>5.0193845250612009E-4</v>
      </c>
      <c r="AE52" s="305">
        <f t="shared" si="15"/>
        <v>0.5</v>
      </c>
      <c r="AF52" s="177">
        <f t="shared" si="23"/>
        <v>0.4998670011851587</v>
      </c>
      <c r="AG52" s="811">
        <f t="shared" si="24"/>
        <v>2</v>
      </c>
      <c r="AH52" s="176">
        <f t="shared" si="16"/>
        <v>8</v>
      </c>
      <c r="AI52" s="225">
        <f t="shared" si="17"/>
        <v>2.4998670011851587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'2026'!Wh/'2026'!Env_an*'2027'!Env_an</f>
        <v>33.113036409758564</v>
      </c>
      <c r="C53" s="841"/>
      <c r="D53" s="393">
        <f t="shared" si="0"/>
        <v>35.491500370276945</v>
      </c>
      <c r="E53" s="385">
        <f t="shared" si="1"/>
        <v>36.55110420197105</v>
      </c>
      <c r="F53" s="385">
        <f t="shared" si="2"/>
        <v>36.552696863238211</v>
      </c>
      <c r="G53" s="110">
        <f t="shared" si="21"/>
        <v>0.9995899831268048</v>
      </c>
      <c r="H53" s="414" t="b">
        <f>Wh_hp&gt;='2026'!Maxi_hp</f>
        <v>0</v>
      </c>
      <c r="I53" s="390">
        <f>IF(H53,Wh_hp,'2026'!Maxi_hp)</f>
        <v>36.552697340822597</v>
      </c>
      <c r="J53" s="85">
        <f>IF(H53,An,'2026'!An_max)</f>
        <v>2026</v>
      </c>
      <c r="K53" s="197">
        <f t="shared" si="3"/>
        <v>46426</v>
      </c>
      <c r="L53" s="147">
        <f>IF(t&lt;Tvie,1-EXP((T0-t)*PertePVj)+'2026'!Pspv,1-EXP((T0-t)*PertePVj)+Pspv)</f>
        <v>6.7015029956588479E-2</v>
      </c>
      <c r="M53" s="845"/>
      <c r="N53" s="845"/>
      <c r="O53" s="48">
        <f>IF(t&lt;Tnet,'2026'!Resal+('2026'!Salim-'2026'!Resal)*(1-EXP(('2026'!Tnet-t)/('2026'!Tau_j))),Resal+(Salim-Resal)*(1-EXP((Tnet-t)/(Tau_j))))*Salcycl</f>
        <v>2.8989653112503459E-2</v>
      </c>
      <c r="P53" s="169">
        <f>(INDEX(Models!$BJ53:$BT53,,T53)*(1-R53)+INDEX(Models!$BJ53:$BT53,,T53+1)*R53-ERP_i)*Q53*Ramure*Pc/MaxiM</f>
        <v>4.3597183665242245E-5</v>
      </c>
      <c r="Q53" s="305">
        <f t="shared" si="4"/>
        <v>0.5</v>
      </c>
      <c r="R53" s="177">
        <f t="shared" si="5"/>
        <v>0.97501173578454625</v>
      </c>
      <c r="S53" s="811">
        <f t="shared" si="6"/>
        <v>-2</v>
      </c>
      <c r="T53" s="176">
        <f t="shared" si="7"/>
        <v>4</v>
      </c>
      <c r="U53" s="251">
        <f t="shared" si="8"/>
        <v>-1.0249882642154537</v>
      </c>
      <c r="V53" s="383">
        <f t="shared" si="9"/>
        <v>33.126618036528711</v>
      </c>
      <c r="W53" s="402">
        <f t="shared" si="10"/>
        <v>33.113036409758564</v>
      </c>
      <c r="X53" s="157">
        <f t="shared" si="11"/>
        <v>46426</v>
      </c>
      <c r="Y53" s="385">
        <f t="shared" si="12"/>
        <v>31.754610766675142</v>
      </c>
      <c r="Z53" s="385">
        <f t="shared" si="22"/>
        <v>34.035500877573206</v>
      </c>
      <c r="AA53" s="386">
        <f t="shared" si="13"/>
        <v>36.534901011125214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6.8411301642528552E-2</v>
      </c>
      <c r="AD53" s="231">
        <f>(INDEX(Models!$BJ53:$BT53,,AH53)*(1-AF53)+INDEX(Models!$BJ53:$BT53,,AH53+1)*AF53-ERP_i)*AE53*Ramure*Pc/MaxiM</f>
        <v>4.8714001467120593E-4</v>
      </c>
      <c r="AE53" s="305">
        <f t="shared" si="15"/>
        <v>0.5</v>
      </c>
      <c r="AF53" s="177">
        <f t="shared" si="23"/>
        <v>0.49999930215852517</v>
      </c>
      <c r="AG53" s="811">
        <f t="shared" si="24"/>
        <v>2</v>
      </c>
      <c r="AH53" s="176">
        <f t="shared" si="16"/>
        <v>8</v>
      </c>
      <c r="AI53" s="225">
        <f t="shared" si="17"/>
        <v>2.4999993021585252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'2026'!Wh/'2026'!Env_an*'2027'!Env_an</f>
        <v>33.330148196053685</v>
      </c>
      <c r="C54" s="841"/>
      <c r="D54" s="393">
        <f t="shared" si="0"/>
        <v>35.724989467169493</v>
      </c>
      <c r="E54" s="385">
        <f t="shared" si="1"/>
        <v>36.79438043571102</v>
      </c>
      <c r="F54" s="385">
        <f t="shared" si="2"/>
        <v>36.795983899580364</v>
      </c>
      <c r="G54" s="110">
        <f t="shared" si="21"/>
        <v>0.99697974978543547</v>
      </c>
      <c r="H54" s="414" t="b">
        <f>Wh_hp&gt;='2026'!Maxi_hp</f>
        <v>0</v>
      </c>
      <c r="I54" s="390">
        <f>IF(H54,Wh_hp,'2026'!Maxi_hp)</f>
        <v>36.795987454131286</v>
      </c>
      <c r="J54" s="85">
        <f>IF(H54,An,'2026'!An_max)</f>
        <v>2026</v>
      </c>
      <c r="K54" s="197">
        <f t="shared" si="3"/>
        <v>46427</v>
      </c>
      <c r="L54" s="147">
        <f>IF(t&lt;Tvie,1-EXP((T0-t)*PertePVj)+'2026'!Pspv,1-EXP((T0-t)*PertePVj)+Pspv)</f>
        <v>6.7035464721875271E-2</v>
      </c>
      <c r="M54" s="845"/>
      <c r="N54" s="845"/>
      <c r="O54" s="48">
        <f>IF(t&lt;Tnet,'2026'!Resal+('2026'!Salim-'2026'!Resal)*(1-EXP(('2026'!Tnet-t)/('2026'!Tau_j))),Resal+(Salim-Resal)*(1-EXP((Tnet-t)/(Tau_j))))*Salcycl</f>
        <v>2.9063975419018652E-2</v>
      </c>
      <c r="P54" s="169">
        <f>(INDEX(Models!$BJ54:$BT54,,T54)*(1-R54)+INDEX(Models!$BJ54:$BT54,,T54+1)*R54-ERP_i)*Q54*Ramure*Pc/MaxiM</f>
        <v>4.3765966221886767E-5</v>
      </c>
      <c r="Q54" s="305">
        <f t="shared" si="4"/>
        <v>0.5</v>
      </c>
      <c r="R54" s="177">
        <f t="shared" si="5"/>
        <v>0.97514951224313728</v>
      </c>
      <c r="S54" s="811">
        <f t="shared" si="6"/>
        <v>-2</v>
      </c>
      <c r="T54" s="176">
        <f t="shared" si="7"/>
        <v>4</v>
      </c>
      <c r="U54" s="251">
        <f t="shared" si="8"/>
        <v>-1.0248504877568627</v>
      </c>
      <c r="V54" s="383">
        <f t="shared" si="9"/>
        <v>33.431112226163165</v>
      </c>
      <c r="W54" s="402">
        <f t="shared" si="10"/>
        <v>33.330148196053685</v>
      </c>
      <c r="X54" s="157">
        <f t="shared" si="11"/>
        <v>46427</v>
      </c>
      <c r="Y54" s="385">
        <f t="shared" si="12"/>
        <v>31.96440709190588</v>
      </c>
      <c r="Z54" s="385">
        <f t="shared" si="22"/>
        <v>34.261116991308803</v>
      </c>
      <c r="AA54" s="386">
        <f t="shared" si="13"/>
        <v>36.778618467593986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6.8450137095371816E-2</v>
      </c>
      <c r="AD54" s="231">
        <f>(INDEX(Models!$BJ54:$BT54,,AH54)*(1-AF54)+INDEX(Models!$BJ54:$BT54,,AH54+1)*AF54-ERP_i)*AE54*Ramure*Pc/MaxiM</f>
        <v>4.7398318370205718E-4</v>
      </c>
      <c r="AE54" s="305">
        <f t="shared" si="15"/>
        <v>0.5</v>
      </c>
      <c r="AF54" s="177">
        <f t="shared" si="23"/>
        <v>0.50013707861711643</v>
      </c>
      <c r="AG54" s="811">
        <f t="shared" si="24"/>
        <v>2</v>
      </c>
      <c r="AH54" s="176">
        <f t="shared" si="16"/>
        <v>8</v>
      </c>
      <c r="AI54" s="225">
        <f t="shared" si="17"/>
        <v>2.5001370786171164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'2026'!Wh/'2026'!Env_an*'2027'!Env_an</f>
        <v>30.983908000262101</v>
      </c>
      <c r="C55" s="841"/>
      <c r="D55" s="393">
        <f t="shared" si="0"/>
        <v>33.210894380880873</v>
      </c>
      <c r="E55" s="385">
        <f t="shared" si="1"/>
        <v>34.207645472944201</v>
      </c>
      <c r="F55" s="385">
        <f t="shared" si="2"/>
        <v>34.208981697675028</v>
      </c>
      <c r="G55" s="110">
        <f t="shared" si="21"/>
        <v>0.91842171643767567</v>
      </c>
      <c r="H55" s="414" t="b">
        <f>Wh_hp&gt;='2026'!Maxi_hp</f>
        <v>0</v>
      </c>
      <c r="I55" s="390">
        <f>IF(H55,Wh_hp,'2026'!Maxi_hp)</f>
        <v>34.209071855181072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6.7055899039588196E-2</v>
      </c>
      <c r="M55" s="845"/>
      <c r="N55" s="845"/>
      <c r="O55" s="48">
        <f>IF(t&lt;Tnet,'2026'!Resal+('2026'!Salim-'2026'!Resal)*(1-EXP(('2026'!Tnet-t)/('2026'!Tau_j))),Resal+(Salim-Resal)*(1-EXP((Tnet-t)/(Tau_j))))*Salcycl</f>
        <v>2.9138254863278631E-2</v>
      </c>
      <c r="P55" s="169">
        <f>(INDEX(Models!$BJ55:$BT55,,T55)*(1-R55)+INDEX(Models!$BJ55:$BT55,,T55+1)*R55-ERP_i)*Q55*Ramure*Pc/MaxiM</f>
        <v>4.4212934789077948E-5</v>
      </c>
      <c r="Q55" s="305">
        <f t="shared" si="4"/>
        <v>0.5</v>
      </c>
      <c r="R55" s="177">
        <f t="shared" si="5"/>
        <v>0.97529298755379989</v>
      </c>
      <c r="S55" s="811">
        <f t="shared" si="6"/>
        <v>-2</v>
      </c>
      <c r="T55" s="176">
        <f t="shared" si="7"/>
        <v>4</v>
      </c>
      <c r="U55" s="251">
        <f t="shared" si="8"/>
        <v>-1.0247070124462001</v>
      </c>
      <c r="V55" s="383">
        <f t="shared" si="9"/>
        <v>33.735862078683709</v>
      </c>
      <c r="W55" s="402">
        <f t="shared" si="10"/>
        <v>30.983908000262101</v>
      </c>
      <c r="X55" s="157">
        <f t="shared" si="11"/>
        <v>46428</v>
      </c>
      <c r="Y55" s="385">
        <f t="shared" si="12"/>
        <v>29.717091473247326</v>
      </c>
      <c r="Z55" s="385">
        <f t="shared" si="22"/>
        <v>31.853024680316114</v>
      </c>
      <c r="AA55" s="386">
        <f t="shared" si="13"/>
        <v>34.19500619945525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6.8488992383234193E-2</v>
      </c>
      <c r="AD55" s="231">
        <f>(INDEX(Models!$BJ55:$BT55,,AH55)*(1-AF55)+INDEX(Models!$BJ55:$BT55,,AH55+1)*AF55-ERP_i)*AE55*Ramure*Pc/MaxiM</f>
        <v>4.6242056233478015E-4</v>
      </c>
      <c r="AE55" s="305">
        <f t="shared" si="15"/>
        <v>0.5</v>
      </c>
      <c r="AF55" s="177">
        <f t="shared" si="23"/>
        <v>0.50028055392777881</v>
      </c>
      <c r="AG55" s="811">
        <f t="shared" si="24"/>
        <v>2</v>
      </c>
      <c r="AH55" s="176">
        <f t="shared" si="16"/>
        <v>8</v>
      </c>
      <c r="AI55" s="225">
        <f t="shared" si="17"/>
        <v>2.5002805539277788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'2026'!Wh/'2026'!Env_an*'2027'!Env_an</f>
        <v>17.296166098309342</v>
      </c>
      <c r="C56" s="841"/>
      <c r="D56" s="393">
        <f t="shared" si="0"/>
        <v>18.539744148902475</v>
      </c>
      <c r="E56" s="385">
        <f t="shared" si="1"/>
        <v>19.097633548119074</v>
      </c>
      <c r="F56" s="385">
        <f t="shared" si="2"/>
        <v>19.09788863886785</v>
      </c>
      <c r="G56" s="110">
        <f t="shared" si="21"/>
        <v>0.50808109142061453</v>
      </c>
      <c r="H56" s="414" t="b">
        <f>Wh_hp&gt;='2026'!Maxi_hp</f>
        <v>0</v>
      </c>
      <c r="I56" s="390">
        <f>IF(H56,Wh_hp,'2026'!Maxi_hp)</f>
        <v>30.625815125737557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6.7076332909737135E-2</v>
      </c>
      <c r="M56" s="845"/>
      <c r="N56" s="845"/>
      <c r="O56" s="48">
        <f>IF(t&lt;Tnet,'2026'!Resal+('2026'!Salim-'2026'!Resal)*(1-EXP(('2026'!Tnet-t)/('2026'!Tau_j))),Resal+(Salim-Resal)*(1-EXP((Tnet-t)/(Tau_j))))*Salcycl</f>
        <v>2.9212488437948148E-2</v>
      </c>
      <c r="P56" s="169">
        <f>(INDEX(Models!$BJ56:$BT56,,T56)*(1-R56)+INDEX(Models!$BJ56:$BT56,,T56+1)*R56-ERP_i)*Q56*Ramure*Pc/MaxiM</f>
        <v>4.4930504280845019E-5</v>
      </c>
      <c r="Q56" s="305">
        <f t="shared" si="4"/>
        <v>0.5</v>
      </c>
      <c r="R56" s="177">
        <f t="shared" si="5"/>
        <v>0.97544239391966103</v>
      </c>
      <c r="S56" s="811">
        <f t="shared" si="6"/>
        <v>-2</v>
      </c>
      <c r="T56" s="176">
        <f t="shared" si="7"/>
        <v>4</v>
      </c>
      <c r="U56" s="251">
        <f t="shared" si="8"/>
        <v>-1.024557606080339</v>
      </c>
      <c r="V56" s="383">
        <f t="shared" si="9"/>
        <v>34.041062111380718</v>
      </c>
      <c r="W56" s="402">
        <f t="shared" si="10"/>
        <v>17.296166098309342</v>
      </c>
      <c r="X56" s="157">
        <f t="shared" si="11"/>
        <v>46429</v>
      </c>
      <c r="Y56" s="385">
        <f t="shared" si="12"/>
        <v>16.593688149494369</v>
      </c>
      <c r="Z56" s="385">
        <f t="shared" si="22"/>
        <v>17.786758697256722</v>
      </c>
      <c r="AA56" s="386">
        <f t="shared" si="13"/>
        <v>19.095320121707736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6.8527860025945853E-2</v>
      </c>
      <c r="AD56" s="231">
        <f>(INDEX(Models!$BJ56:$BT56,,AH56)*(1-AF56)+INDEX(Models!$BJ56:$BT56,,AH56+1)*AF56-ERP_i)*AE56*Ramure*Pc/MaxiM</f>
        <v>4.5240672902455733E-4</v>
      </c>
      <c r="AE56" s="305">
        <f t="shared" si="15"/>
        <v>0.5</v>
      </c>
      <c r="AF56" s="177">
        <f t="shared" si="23"/>
        <v>0.50042996029364017</v>
      </c>
      <c r="AG56" s="811">
        <f t="shared" si="24"/>
        <v>2</v>
      </c>
      <c r="AH56" s="176">
        <f t="shared" si="16"/>
        <v>8</v>
      </c>
      <c r="AI56" s="225">
        <f t="shared" si="17"/>
        <v>2.5004299602936402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'2026'!Wh/'2026'!Env_an*'2027'!Env_an</f>
        <v>26.276925520122926</v>
      </c>
      <c r="C57" s="841"/>
      <c r="D57" s="393">
        <f t="shared" si="0"/>
        <v>28.166828639682539</v>
      </c>
      <c r="E57" s="385">
        <f t="shared" si="1"/>
        <v>29.01662917152094</v>
      </c>
      <c r="F57" s="385">
        <f t="shared" si="2"/>
        <v>29.017514240459047</v>
      </c>
      <c r="G57" s="110">
        <f t="shared" si="21"/>
        <v>0.76503310041696215</v>
      </c>
      <c r="H57" s="414" t="b">
        <f>Wh_hp&gt;='2026'!Maxi_hp</f>
        <v>0</v>
      </c>
      <c r="I57" s="390">
        <f>IF(H57,Wh_hp,'2026'!Maxi_hp)</f>
        <v>38.463815462769276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6.7096766332331859E-2</v>
      </c>
      <c r="M57" s="845"/>
      <c r="N57" s="845"/>
      <c r="O57" s="48">
        <f>IF(t&lt;Tnet,'2026'!Resal+('2026'!Salim-'2026'!Resal)*(1-EXP(('2026'!Tnet-t)/('2026'!Tau_j))),Resal+(Salim-Resal)*(1-EXP((Tnet-t)/(Tau_j))))*Salcycl</f>
        <v>2.9286673059614257E-2</v>
      </c>
      <c r="P57" s="169">
        <f>(INDEX(Models!$BJ57:$BT57,,T57)*(1-R57)+INDEX(Models!$BJ57:$BT57,,T57+1)*R57-ERP_i)*Q57*Ramure*Pc/MaxiM</f>
        <v>4.5911349261656971E-5</v>
      </c>
      <c r="Q57" s="305">
        <f t="shared" si="4"/>
        <v>0.5</v>
      </c>
      <c r="R57" s="177">
        <f t="shared" si="5"/>
        <v>0.97559797270618387</v>
      </c>
      <c r="S57" s="811">
        <f t="shared" si="6"/>
        <v>-2</v>
      </c>
      <c r="T57" s="176">
        <f t="shared" si="7"/>
        <v>4</v>
      </c>
      <c r="U57" s="251">
        <f t="shared" si="8"/>
        <v>-1.0244020272938161</v>
      </c>
      <c r="V57" s="383">
        <f t="shared" si="9"/>
        <v>34.346906770497903</v>
      </c>
      <c r="W57" s="402">
        <f t="shared" si="10"/>
        <v>26.276925520122926</v>
      </c>
      <c r="X57" s="157">
        <f t="shared" si="11"/>
        <v>46430</v>
      </c>
      <c r="Y57" s="385">
        <f t="shared" si="12"/>
        <v>25.20695906793835</v>
      </c>
      <c r="Z57" s="385">
        <f t="shared" si="22"/>
        <v>27.019907486908686</v>
      </c>
      <c r="AA57" s="386">
        <f t="shared" si="13"/>
        <v>29.008956870603932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6.8566732425695623E-2</v>
      </c>
      <c r="AD57" s="231">
        <f>(INDEX(Models!$BJ57:$BT57,,AH57)*(1-AF57)+INDEX(Models!$BJ57:$BT57,,AH57+1)*AF57-ERP_i)*AE57*Ramure*Pc/MaxiM</f>
        <v>4.4389807309111223E-4</v>
      </c>
      <c r="AE57" s="305">
        <f t="shared" si="15"/>
        <v>0.5</v>
      </c>
      <c r="AF57" s="177">
        <f t="shared" si="23"/>
        <v>0.50058553908016279</v>
      </c>
      <c r="AG57" s="811">
        <f t="shared" si="24"/>
        <v>2</v>
      </c>
      <c r="AH57" s="176">
        <f t="shared" si="16"/>
        <v>8</v>
      </c>
      <c r="AI57" s="225">
        <f t="shared" si="17"/>
        <v>2.5005855390801628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'2026'!Wh/'2026'!Env_an*'2027'!Env_an</f>
        <v>31.06159319280945</v>
      </c>
      <c r="C58" s="841"/>
      <c r="D58" s="393">
        <f t="shared" si="0"/>
        <v>33.296351020458097</v>
      </c>
      <c r="E58" s="385">
        <f t="shared" si="1"/>
        <v>34.303530305576587</v>
      </c>
      <c r="F58" s="385">
        <f t="shared" si="2"/>
        <v>34.304902281704962</v>
      </c>
      <c r="G58" s="110">
        <f t="shared" si="21"/>
        <v>0.89633918329544959</v>
      </c>
      <c r="H58" s="414" t="b">
        <f>Wh_hp&gt;='2026'!Maxi_hp</f>
        <v>0</v>
      </c>
      <c r="I58" s="390">
        <f>IF(H58,Wh_hp,'2026'!Maxi_hp)</f>
        <v>39.79279391744533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6.7117199307382247E-2</v>
      </c>
      <c r="M58" s="845"/>
      <c r="N58" s="845"/>
      <c r="O58" s="48">
        <f>IF(t&lt;Tnet,'2026'!Resal+('2026'!Salim-'2026'!Resal)*(1-EXP(('2026'!Tnet-t)/('2026'!Tau_j))),Resal+(Salim-Resal)*(1-EXP((Tnet-t)/(Tau_j))))*Salcycl</f>
        <v>2.9360805612323827E-2</v>
      </c>
      <c r="P58" s="169">
        <f>(INDEX(Models!$BJ58:$BT58,,T58)*(1-R58)+INDEX(Models!$BJ58:$BT58,,T58+1)*R58-ERP_i)*Q58*Ramure*Pc/MaxiM</f>
        <v>4.6945127640794173E-5</v>
      </c>
      <c r="Q58" s="305">
        <f t="shared" si="4"/>
        <v>0.5</v>
      </c>
      <c r="R58" s="177">
        <f t="shared" si="5"/>
        <v>0.97575997477722298</v>
      </c>
      <c r="S58" s="811">
        <f t="shared" si="6"/>
        <v>-2</v>
      </c>
      <c r="T58" s="176">
        <f t="shared" si="7"/>
        <v>4</v>
      </c>
      <c r="U58" s="251">
        <f t="shared" si="8"/>
        <v>-1.024240025222777</v>
      </c>
      <c r="V58" s="383">
        <f t="shared" si="9"/>
        <v>34.653597474203906</v>
      </c>
      <c r="W58" s="402">
        <f t="shared" si="10"/>
        <v>31.06159319280945</v>
      </c>
      <c r="X58" s="157">
        <f t="shared" si="11"/>
        <v>46431</v>
      </c>
      <c r="Y58" s="385">
        <f t="shared" si="12"/>
        <v>29.795769136376155</v>
      </c>
      <c r="Z58" s="385">
        <f t="shared" si="22"/>
        <v>31.939455968374933</v>
      </c>
      <c r="AA58" s="386">
        <f t="shared" si="13"/>
        <v>34.29208511014992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6.8605601969611574E-2</v>
      </c>
      <c r="AD58" s="231">
        <f>(INDEX(Models!$BJ58:$BT58,,AH58)*(1-AF58)+INDEX(Models!$BJ58:$BT58,,AH58+1)*AF58-ERP_i)*AE58*Ramure*Pc/MaxiM</f>
        <v>4.3856721862745577E-4</v>
      </c>
      <c r="AE58" s="305">
        <f t="shared" si="15"/>
        <v>0.5</v>
      </c>
      <c r="AF58" s="177">
        <f t="shared" si="23"/>
        <v>0.50074754115120212</v>
      </c>
      <c r="AG58" s="811">
        <f t="shared" si="24"/>
        <v>2</v>
      </c>
      <c r="AH58" s="176">
        <f t="shared" si="16"/>
        <v>8</v>
      </c>
      <c r="AI58" s="225">
        <f t="shared" si="17"/>
        <v>2.5007475411512021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'2026'!Wh/'2026'!Env_an*'2027'!Env_an</f>
        <v>15.212935108702268</v>
      </c>
      <c r="C59" s="841"/>
      <c r="D59" s="393">
        <f t="shared" si="0"/>
        <v>16.307802338114914</v>
      </c>
      <c r="E59" s="385">
        <f t="shared" si="1"/>
        <v>16.802378379725969</v>
      </c>
      <c r="F59" s="385">
        <f t="shared" si="2"/>
        <v>16.802533811880203</v>
      </c>
      <c r="G59" s="110">
        <f t="shared" si="21"/>
        <v>0.43511919572486191</v>
      </c>
      <c r="H59" s="414" t="b">
        <f>Wh_hp&gt;='2026'!Maxi_hp</f>
        <v>0</v>
      </c>
      <c r="I59" s="390">
        <f>IF(H59,Wh_hp,'2026'!Maxi_hp)</f>
        <v>40.073233720515397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6.7137631834897959E-2</v>
      </c>
      <c r="M59" s="845"/>
      <c r="N59" s="845"/>
      <c r="O59" s="48">
        <f>IF(t&lt;Tnet,'2026'!Resal+('2026'!Salim-'2026'!Resal)*(1-EXP(('2026'!Tnet-t)/('2026'!Tau_j))),Resal+(Salim-Resal)*(1-EXP((Tnet-t)/(Tau_j))))*Salcycl</f>
        <v>2.9434882992982712E-2</v>
      </c>
      <c r="P59" s="169">
        <f>(INDEX(Models!$BJ59:$BT59,,T59)*(1-R59)+INDEX(Models!$BJ59:$BT59,,T59+1)*R59-ERP_i)*Q59*Ramure*Pc/MaxiM</f>
        <v>4.7917372977953544E-5</v>
      </c>
      <c r="Q59" s="305">
        <f t="shared" si="4"/>
        <v>0.5</v>
      </c>
      <c r="R59" s="177">
        <f t="shared" si="5"/>
        <v>0.97592866084120478</v>
      </c>
      <c r="S59" s="811">
        <f t="shared" si="6"/>
        <v>-2</v>
      </c>
      <c r="T59" s="176">
        <f t="shared" si="7"/>
        <v>4</v>
      </c>
      <c r="U59" s="251">
        <f t="shared" si="8"/>
        <v>-1.0240713391587952</v>
      </c>
      <c r="V59" s="383">
        <f t="shared" si="9"/>
        <v>34.96133247252974</v>
      </c>
      <c r="W59" s="402">
        <f t="shared" si="10"/>
        <v>15.212935108702268</v>
      </c>
      <c r="X59" s="157">
        <f t="shared" si="11"/>
        <v>46432</v>
      </c>
      <c r="Y59" s="385">
        <f t="shared" si="12"/>
        <v>14.597258670313042</v>
      </c>
      <c r="Z59" s="385">
        <f t="shared" si="22"/>
        <v>15.647815978497652</v>
      </c>
      <c r="AA59" s="386">
        <f t="shared" si="13"/>
        <v>16.801119793172575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6.8644461135476578E-2</v>
      </c>
      <c r="AD59" s="231">
        <f>(INDEX(Models!$BJ59:$BT59,,AH59)*(1-AF59)+INDEX(Models!$BJ59:$BT59,,AH59+1)*AF59-ERP_i)*AE59*Ramure*Pc/MaxiM</f>
        <v>4.3592049627962299E-4</v>
      </c>
      <c r="AE59" s="305">
        <f t="shared" si="15"/>
        <v>0.5</v>
      </c>
      <c r="AF59" s="177">
        <f t="shared" si="23"/>
        <v>0.5009162272151837</v>
      </c>
      <c r="AG59" s="811">
        <f t="shared" si="24"/>
        <v>2</v>
      </c>
      <c r="AH59" s="176">
        <f t="shared" si="16"/>
        <v>8</v>
      </c>
      <c r="AI59" s="225">
        <f t="shared" si="17"/>
        <v>2.5009162272151837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'2026'!Wh/'2026'!Env_an*'2027'!Env_an</f>
        <v>19.126483446869916</v>
      </c>
      <c r="C60" s="841"/>
      <c r="D60" s="393">
        <f t="shared" si="0"/>
        <v>20.503455844983417</v>
      </c>
      <c r="E60" s="385">
        <f t="shared" si="1"/>
        <v>21.126887088998664</v>
      </c>
      <c r="F60" s="385">
        <f t="shared" si="2"/>
        <v>21.127244155242092</v>
      </c>
      <c r="G60" s="110">
        <f t="shared" si="21"/>
        <v>0.54226557475607196</v>
      </c>
      <c r="H60" s="414" t="b">
        <f>Wh_hp&gt;='2026'!Maxi_hp</f>
        <v>0</v>
      </c>
      <c r="I60" s="390">
        <f>IF(H60,Wh_hp,'2026'!Maxi_hp)</f>
        <v>40.326165520091415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6.7158063914888988E-2</v>
      </c>
      <c r="M60" s="845"/>
      <c r="N60" s="845"/>
      <c r="O60" s="48">
        <f>IF(t&lt;Tnet,'2026'!Resal+('2026'!Salim-'2026'!Resal)*(1-EXP(('2026'!Tnet-t)/('2026'!Tau_j))),Resal+(Salim-Resal)*(1-EXP((Tnet-t)/(Tau_j))))*Salcycl</f>
        <v>2.9508902158135952E-2</v>
      </c>
      <c r="P60" s="169">
        <f>(INDEX(Models!$BJ60:$BT60,,T60)*(1-R60)+INDEX(Models!$BJ60:$BT60,,T60+1)*R60-ERP_i)*Q60*Ramure*Pc/MaxiM</f>
        <v>4.8829383263441162E-5</v>
      </c>
      <c r="Q60" s="305">
        <f t="shared" si="4"/>
        <v>0.5</v>
      </c>
      <c r="R60" s="177">
        <f t="shared" si="5"/>
        <v>0.97610430180753527</v>
      </c>
      <c r="S60" s="811">
        <f t="shared" si="6"/>
        <v>-2</v>
      </c>
      <c r="T60" s="176">
        <f t="shared" si="7"/>
        <v>4</v>
      </c>
      <c r="U60" s="251">
        <f t="shared" si="8"/>
        <v>-1.0238956981924647</v>
      </c>
      <c r="V60" s="383">
        <f t="shared" si="9"/>
        <v>35.270305998404964</v>
      </c>
      <c r="W60" s="402">
        <f t="shared" si="10"/>
        <v>19.126483446869916</v>
      </c>
      <c r="X60" s="157">
        <f t="shared" si="11"/>
        <v>46433</v>
      </c>
      <c r="Y60" s="385">
        <f t="shared" si="12"/>
        <v>18.351973613820245</v>
      </c>
      <c r="Z60" s="385">
        <f t="shared" si="22"/>
        <v>19.673186746769328</v>
      </c>
      <c r="AA60" s="386">
        <f t="shared" si="13"/>
        <v>21.124056727083016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6.8683302599426094E-2</v>
      </c>
      <c r="AD60" s="231">
        <f>(INDEX(Models!$BJ60:$BT60,,AH60)*(1-AF60)+INDEX(Models!$BJ60:$BT60,,AH60+1)*AF60-ERP_i)*AE60*Ramure*Pc/MaxiM</f>
        <v>4.3588592892382296E-4</v>
      </c>
      <c r="AE60" s="305">
        <f t="shared" si="15"/>
        <v>0.5</v>
      </c>
      <c r="AF60" s="177">
        <f t="shared" si="23"/>
        <v>0.50109186818151397</v>
      </c>
      <c r="AG60" s="811">
        <f t="shared" si="24"/>
        <v>2</v>
      </c>
      <c r="AH60" s="176">
        <f t="shared" si="16"/>
        <v>8</v>
      </c>
      <c r="AI60" s="225">
        <f t="shared" si="17"/>
        <v>2.501091868181514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'2026'!Wh/'2026'!Env_an*'2027'!Env_an</f>
        <v>10.019077726804692</v>
      </c>
      <c r="C61" s="841"/>
      <c r="D61" s="393">
        <f t="shared" si="0"/>
        <v>10.740616161806571</v>
      </c>
      <c r="E61" s="385">
        <f t="shared" si="1"/>
        <v>11.068040454959716</v>
      </c>
      <c r="F61" s="385">
        <f t="shared" si="2"/>
        <v>11.068040454959716</v>
      </c>
      <c r="G61" s="110">
        <f t="shared" si="21"/>
        <v>0.28157333940507723</v>
      </c>
      <c r="H61" s="414" t="b">
        <f>Wh_hp&gt;='2026'!Maxi_hp</f>
        <v>0</v>
      </c>
      <c r="I61" s="390">
        <f>IF(H61,Wh_hp,'2026'!Maxi_hp)</f>
        <v>40.772992464506032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6.7178495547364991E-2</v>
      </c>
      <c r="M61" s="845"/>
      <c r="N61" s="845"/>
      <c r="O61" s="48">
        <f>IF(t&lt;Tnet,'2026'!Resal+('2026'!Salim-'2026'!Resal)*(1-EXP(('2026'!Tnet-t)/('2026'!Tau_j))),Resal+(Salim-Resal)*(1-EXP((Tnet-t)/(Tau_j))))*Salcycl</f>
        <v>2.9582860171641519E-2</v>
      </c>
      <c r="P61" s="169">
        <f>(INDEX(Models!$BJ61:$BT61,,T61)*(1-R61)+INDEX(Models!$BJ61:$BT61,,T61+1)*R61-ERP_i)*Q61*Ramure*Pc/MaxiM</f>
        <v>4.9682403921263098E-5</v>
      </c>
      <c r="Q61" s="305">
        <f t="shared" si="4"/>
        <v>0.5</v>
      </c>
      <c r="R61" s="177">
        <f t="shared" si="5"/>
        <v>0.97628717915332319</v>
      </c>
      <c r="S61" s="811">
        <f t="shared" si="6"/>
        <v>-2</v>
      </c>
      <c r="T61" s="176">
        <f t="shared" si="7"/>
        <v>4</v>
      </c>
      <c r="U61" s="251">
        <f t="shared" si="8"/>
        <v>-1.0237128208466768</v>
      </c>
      <c r="V61" s="383">
        <f t="shared" si="9"/>
        <v>35.580712208428281</v>
      </c>
      <c r="W61" s="402">
        <f t="shared" si="10"/>
        <v>10.019077726804692</v>
      </c>
      <c r="X61" s="157">
        <f t="shared" si="11"/>
        <v>46434</v>
      </c>
      <c r="Y61" s="385">
        <f t="shared" si="12"/>
        <v>9.6149842048255199</v>
      </c>
      <c r="Z61" s="385">
        <f t="shared" si="22"/>
        <v>10.307421257904471</v>
      </c>
      <c r="AA61" s="386">
        <f t="shared" si="13"/>
        <v>11.068040454959716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6.8722119344477403E-2</v>
      </c>
      <c r="AD61" s="231">
        <f>(INDEX(Models!$BJ61:$BT61,,AH61)*(1-AF61)+INDEX(Models!$BJ61:$BT61,,AH61+1)*AF61-ERP_i)*AE61*Ramure*Pc/MaxiM</f>
        <v>4.3839369860399906E-4</v>
      </c>
      <c r="AE61" s="305">
        <f t="shared" si="15"/>
        <v>0.5</v>
      </c>
      <c r="AF61" s="177">
        <f t="shared" si="23"/>
        <v>0.50127474552730211</v>
      </c>
      <c r="AG61" s="811">
        <f t="shared" si="24"/>
        <v>2</v>
      </c>
      <c r="AH61" s="176">
        <f t="shared" si="16"/>
        <v>8</v>
      </c>
      <c r="AI61" s="225">
        <f t="shared" si="17"/>
        <v>2.5012747455273021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'2026'!Wh/'2026'!Env_an*'2027'!Env_an</f>
        <v>10.839509794859735</v>
      </c>
      <c r="C62" s="841"/>
      <c r="D62" s="393">
        <f t="shared" si="0"/>
        <v>11.620387353209415</v>
      </c>
      <c r="E62" s="385">
        <f t="shared" si="1"/>
        <v>11.975543091723877</v>
      </c>
      <c r="F62" s="385">
        <f t="shared" si="2"/>
        <v>11.975544816470727</v>
      </c>
      <c r="G62" s="110">
        <f t="shared" si="21"/>
        <v>0.30198203419768288</v>
      </c>
      <c r="H62" s="414" t="b">
        <f>Wh_hp&gt;='2026'!Maxi_hp</f>
        <v>0</v>
      </c>
      <c r="I62" s="390">
        <f>IF(H62,Wh_hp,'2026'!Maxi_hp)</f>
        <v>41.216821259374889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6.719892673233574E-2</v>
      </c>
      <c r="M62" s="845"/>
      <c r="N62" s="845"/>
      <c r="O62" s="48">
        <f>IF(t&lt;Tnet,'2026'!Resal+('2026'!Salim-'2026'!Resal)*(1-EXP(('2026'!Tnet-t)/('2026'!Tau_j))),Resal+(Salim-Resal)*(1-EXP((Tnet-t)/(Tau_j))))*Salcycl</f>
        <v>2.96567542527491E-2</v>
      </c>
      <c r="P62" s="169">
        <f>(INDEX(Models!$BJ62:$BT62,,T62)*(1-R62)+INDEX(Models!$BJ62:$BT62,,T62+1)*R62-ERP_i)*Q62*Ramure*Pc/MaxiM</f>
        <v>5.0477634321853999E-5</v>
      </c>
      <c r="Q62" s="305">
        <f t="shared" si="4"/>
        <v>0.5</v>
      </c>
      <c r="R62" s="177">
        <f t="shared" si="5"/>
        <v>0.97647758530047968</v>
      </c>
      <c r="S62" s="811">
        <f t="shared" si="6"/>
        <v>-2</v>
      </c>
      <c r="T62" s="176">
        <f t="shared" si="7"/>
        <v>4</v>
      </c>
      <c r="U62" s="251">
        <f t="shared" si="8"/>
        <v>-1.0235224146995203</v>
      </c>
      <c r="V62" s="383">
        <f t="shared" si="9"/>
        <v>35.892745182339127</v>
      </c>
      <c r="W62" s="402">
        <f t="shared" si="10"/>
        <v>10.839509794859735</v>
      </c>
      <c r="X62" s="157">
        <f t="shared" si="11"/>
        <v>46435</v>
      </c>
      <c r="Y62" s="385">
        <f t="shared" si="12"/>
        <v>10.402673510261705</v>
      </c>
      <c r="Z62" s="385">
        <f t="shared" si="22"/>
        <v>11.152081411978276</v>
      </c>
      <c r="AA62" s="386">
        <f t="shared" si="13"/>
        <v>11.975529666963778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6.8760904768755418E-2</v>
      </c>
      <c r="AD62" s="231">
        <f>(INDEX(Models!$BJ62:$BT62,,AH62)*(1-AF62)+INDEX(Models!$BJ62:$BT62,,AH62+1)*AF62-ERP_i)*AE62*Ramure*Pc/MaxiM</f>
        <v>4.4337594910401454E-4</v>
      </c>
      <c r="AE62" s="305">
        <f t="shared" si="15"/>
        <v>0.5</v>
      </c>
      <c r="AF62" s="177">
        <f t="shared" si="23"/>
        <v>0.50146515167445838</v>
      </c>
      <c r="AG62" s="811">
        <f t="shared" si="24"/>
        <v>2</v>
      </c>
      <c r="AH62" s="176">
        <f t="shared" si="16"/>
        <v>8</v>
      </c>
      <c r="AI62" s="225">
        <f t="shared" si="17"/>
        <v>2.5014651516744584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'2026'!Wh/'2026'!Env_an*'2027'!Env_an</f>
        <v>27.603799644107479</v>
      </c>
      <c r="C63" s="841"/>
      <c r="D63" s="393">
        <f t="shared" si="0"/>
        <v>29.59302368157163</v>
      </c>
      <c r="E63" s="385">
        <f t="shared" si="1"/>
        <v>30.499800495831664</v>
      </c>
      <c r="F63" s="385">
        <f t="shared" si="2"/>
        <v>30.500832392543639</v>
      </c>
      <c r="G63" s="110">
        <f t="shared" si="21"/>
        <v>0.7623836696582893</v>
      </c>
      <c r="H63" s="414" t="b">
        <f>Wh_hp&gt;='2026'!Maxi_hp</f>
        <v>0</v>
      </c>
      <c r="I63" s="390">
        <f>IF(H63,Wh_hp,'2026'!Maxi_hp)</f>
        <v>40.739227562492772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6.7219357469811225E-2</v>
      </c>
      <c r="M63" s="845"/>
      <c r="N63" s="845"/>
      <c r="O63" s="48">
        <f>IF(t&lt;Tnet,'2026'!Resal+('2026'!Salim-'2026'!Resal)*(1-EXP(('2026'!Tnet-t)/('2026'!Tau_j))),Resal+(Salim-Resal)*(1-EXP((Tnet-t)/(Tau_j))))*Salcycl</f>
        <v>2.9730581824099534E-2</v>
      </c>
      <c r="P63" s="169">
        <f>(INDEX(Models!$BJ63:$BT63,,T63)*(1-R63)+INDEX(Models!$BJ63:$BT63,,T63+1)*R63-ERP_i)*Q63*Ramure*Pc/MaxiM</f>
        <v>5.1216233940369279E-5</v>
      </c>
      <c r="Q63" s="305">
        <f t="shared" si="4"/>
        <v>0.5</v>
      </c>
      <c r="R63" s="177">
        <f t="shared" si="5"/>
        <v>0.97667582400322783</v>
      </c>
      <c r="S63" s="811">
        <f t="shared" si="6"/>
        <v>-2</v>
      </c>
      <c r="T63" s="176">
        <f t="shared" si="7"/>
        <v>4</v>
      </c>
      <c r="U63" s="251">
        <f t="shared" si="8"/>
        <v>-1.0233241759967722</v>
      </c>
      <c r="V63" s="383">
        <f t="shared" si="9"/>
        <v>36.206598919663897</v>
      </c>
      <c r="W63" s="402">
        <f t="shared" si="10"/>
        <v>27.603799644107479</v>
      </c>
      <c r="X63" s="157">
        <f t="shared" si="11"/>
        <v>46436</v>
      </c>
      <c r="Y63" s="385">
        <f t="shared" si="12"/>
        <v>26.485306940452244</v>
      </c>
      <c r="Z63" s="385">
        <f t="shared" si="22"/>
        <v>28.393928575329614</v>
      </c>
      <c r="AA63" s="386">
        <f t="shared" si="13"/>
        <v>30.491750417052501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6.8799652792306668E-2</v>
      </c>
      <c r="AD63" s="231">
        <f>(INDEX(Models!$BJ63:$BT63,,AH63)*(1-AF63)+INDEX(Models!$BJ63:$BT63,,AH63+1)*AF63-ERP_i)*AE63*Ramure*Pc/MaxiM</f>
        <v>4.507666087092898E-4</v>
      </c>
      <c r="AE63" s="305">
        <f t="shared" si="15"/>
        <v>0.5</v>
      </c>
      <c r="AF63" s="177">
        <f t="shared" si="23"/>
        <v>0.50166339037720675</v>
      </c>
      <c r="AG63" s="811">
        <f t="shared" si="24"/>
        <v>2</v>
      </c>
      <c r="AH63" s="176">
        <f t="shared" si="16"/>
        <v>8</v>
      </c>
      <c r="AI63" s="225">
        <f t="shared" si="17"/>
        <v>2.5016633903772068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'2026'!Wh/'2026'!Env_an*'2027'!Env_an</f>
        <v>20.004423230759254</v>
      </c>
      <c r="C64" s="841"/>
      <c r="D64" s="393">
        <f t="shared" si="0"/>
        <v>21.446479993732655</v>
      </c>
      <c r="E64" s="385">
        <f t="shared" si="1"/>
        <v>22.105314309582944</v>
      </c>
      <c r="F64" s="385">
        <f t="shared" si="2"/>
        <v>22.105720327907786</v>
      </c>
      <c r="G64" s="110">
        <f t="shared" si="21"/>
        <v>0.54771087179722189</v>
      </c>
      <c r="H64" s="414" t="b">
        <f>Wh_hp&gt;='2026'!Maxi_hp</f>
        <v>0</v>
      </c>
      <c r="I64" s="390">
        <f>IF(H64,Wh_hp,'2026'!Maxi_hp)</f>
        <v>38.479174675338513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6.7239787759800995E-2</v>
      </c>
      <c r="M64" s="845"/>
      <c r="N64" s="845"/>
      <c r="O64" s="48">
        <f>IF(t&lt;Tnet,'2026'!Resal+('2026'!Salim-'2026'!Resal)*(1-EXP(('2026'!Tnet-t)/('2026'!Tau_j))),Resal+(Salim-Resal)*(1-EXP((Tnet-t)/(Tau_j))))*Salcycl</f>
        <v>2.9804340559169213E-2</v>
      </c>
      <c r="P64" s="169">
        <f>(INDEX(Models!$BJ64:$BT64,,T64)*(1-R64)+INDEX(Models!$BJ64:$BT64,,T64+1)*R64-ERP_i)*Q64*Ramure*Pc/MaxiM</f>
        <v>5.1899328148391522E-5</v>
      </c>
      <c r="Q64" s="305">
        <f t="shared" si="4"/>
        <v>0.5</v>
      </c>
      <c r="R64" s="177">
        <f t="shared" si="5"/>
        <v>0.97688221074603687</v>
      </c>
      <c r="S64" s="811">
        <f t="shared" si="6"/>
        <v>-2</v>
      </c>
      <c r="T64" s="176">
        <f t="shared" si="7"/>
        <v>4</v>
      </c>
      <c r="U64" s="251">
        <f t="shared" si="8"/>
        <v>-1.0231177892539631</v>
      </c>
      <c r="V64" s="383">
        <f t="shared" si="9"/>
        <v>36.522467337979997</v>
      </c>
      <c r="W64" s="402">
        <f t="shared" si="10"/>
        <v>20.004423230759254</v>
      </c>
      <c r="X64" s="157">
        <f t="shared" si="11"/>
        <v>46437</v>
      </c>
      <c r="Y64" s="385">
        <f t="shared" si="12"/>
        <v>19.196806095371539</v>
      </c>
      <c r="Z64" s="385">
        <f t="shared" si="22"/>
        <v>20.580644246463731</v>
      </c>
      <c r="AA64" s="386">
        <f t="shared" si="13"/>
        <v>22.102117739093107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6.8838357961430563E-2</v>
      </c>
      <c r="AD64" s="231">
        <f>(INDEX(Models!$BJ64:$BT64,,AH64)*(1-AF64)+INDEX(Models!$BJ64:$BT64,,AH64+1)*AF64-ERP_i)*AE64*Ramure*Pc/MaxiM</f>
        <v>4.6050123267215003E-4</v>
      </c>
      <c r="AE64" s="305">
        <f t="shared" si="15"/>
        <v>0.5</v>
      </c>
      <c r="AF64" s="177">
        <f t="shared" si="23"/>
        <v>0.50186977712001557</v>
      </c>
      <c r="AG64" s="811">
        <f t="shared" si="24"/>
        <v>2</v>
      </c>
      <c r="AH64" s="176">
        <f t="shared" si="16"/>
        <v>8</v>
      </c>
      <c r="AI64" s="225">
        <f t="shared" si="17"/>
        <v>2.5018697771200156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'2026'!Wh/'2026'!Env_an*'2027'!Env_an</f>
        <v>19.080754149485696</v>
      </c>
      <c r="C65" s="841"/>
      <c r="D65" s="393">
        <f t="shared" si="0"/>
        <v>20.456674529778322</v>
      </c>
      <c r="E65" s="385">
        <f t="shared" si="1"/>
        <v>21.086703661236278</v>
      </c>
      <c r="F65" s="385">
        <f t="shared" si="2"/>
        <v>21.087048500114765</v>
      </c>
      <c r="G65" s="110">
        <f t="shared" si="21"/>
        <v>0.51790734377599479</v>
      </c>
      <c r="H65" s="414" t="b">
        <f>Wh_hp&gt;='2026'!Maxi_hp</f>
        <v>0</v>
      </c>
      <c r="I65" s="390">
        <f>IF(H65,Wh_hp,'2026'!Maxi_hp)</f>
        <v>40.655100676030095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6.7260217602315042E-2</v>
      </c>
      <c r="M65" s="845"/>
      <c r="N65" s="845"/>
      <c r="O65" s="48">
        <f>IF(t&lt;Tnet,'2026'!Resal+('2026'!Salim-'2026'!Resal)*(1-EXP(('2026'!Tnet-t)/('2026'!Tau_j))),Resal+(Salim-Resal)*(1-EXP((Tnet-t)/(Tau_j))))*Salcycl</f>
        <v>2.9878028428698366E-2</v>
      </c>
      <c r="P65" s="169">
        <f>(INDEX(Models!$BJ65:$BT65,,T65)*(1-R65)+INDEX(Models!$BJ65:$BT65,,T65+1)*R65-ERP_i)*Q65*Ramure*Pc/MaxiM</f>
        <v>5.2527805868771745E-5</v>
      </c>
      <c r="Q65" s="305">
        <f t="shared" si="4"/>
        <v>0.5</v>
      </c>
      <c r="R65" s="177">
        <f t="shared" si="5"/>
        <v>0.97709707315194705</v>
      </c>
      <c r="S65" s="811">
        <f t="shared" si="6"/>
        <v>-2</v>
      </c>
      <c r="T65" s="176">
        <f t="shared" si="7"/>
        <v>4</v>
      </c>
      <c r="U65" s="251">
        <f t="shared" si="8"/>
        <v>-1.022902926848053</v>
      </c>
      <c r="V65" s="383">
        <f t="shared" si="9"/>
        <v>36.840689994196552</v>
      </c>
      <c r="W65" s="402">
        <f t="shared" si="10"/>
        <v>19.080754149485696</v>
      </c>
      <c r="X65" s="157">
        <f t="shared" si="11"/>
        <v>46438</v>
      </c>
      <c r="Y65" s="385">
        <f t="shared" si="12"/>
        <v>18.311311596570036</v>
      </c>
      <c r="Z65" s="385">
        <f t="shared" si="22"/>
        <v>19.631747184085246</v>
      </c>
      <c r="AA65" s="386">
        <f t="shared" si="13"/>
        <v>21.083946494641634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6.8877015549506232E-2</v>
      </c>
      <c r="AD65" s="231">
        <f>(INDEX(Models!$BJ65:$BT65,,AH65)*(1-AF65)+INDEX(Models!$BJ65:$BT65,,AH65+1)*AF65-ERP_i)*AE65*Ramure*Pc/MaxiM</f>
        <v>4.7251499602501008E-4</v>
      </c>
      <c r="AE65" s="305">
        <f t="shared" si="15"/>
        <v>0.5</v>
      </c>
      <c r="AF65" s="177">
        <f t="shared" si="23"/>
        <v>0.50208463952592597</v>
      </c>
      <c r="AG65" s="811">
        <f t="shared" si="24"/>
        <v>2</v>
      </c>
      <c r="AH65" s="176">
        <f t="shared" si="16"/>
        <v>8</v>
      </c>
      <c r="AI65" s="225">
        <f t="shared" si="17"/>
        <v>2.502084639525926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'2026'!Wh/'2026'!Env_an*'2027'!Env_an</f>
        <v>21.09304779989219</v>
      </c>
      <c r="C66" s="841"/>
      <c r="D66" s="393">
        <f t="shared" si="0"/>
        <v>22.614570751629465</v>
      </c>
      <c r="E66" s="385">
        <f t="shared" si="1"/>
        <v>23.312828278944142</v>
      </c>
      <c r="F66" s="385">
        <f t="shared" si="2"/>
        <v>23.313298715019229</v>
      </c>
      <c r="G66" s="110">
        <f t="shared" si="21"/>
        <v>0.56758948812082233</v>
      </c>
      <c r="H66" s="414" t="b">
        <f>Wh_hp&gt;='2026'!Maxi_hp</f>
        <v>0</v>
      </c>
      <c r="I66" s="390">
        <f>IF(H66,Wh_hp,'2026'!Maxi_hp)</f>
        <v>38.737384022485628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6.7280646997363136E-2</v>
      </c>
      <c r="M66" s="845"/>
      <c r="N66" s="845"/>
      <c r="O66" s="48">
        <f>IF(t&lt;Tnet,'2026'!Resal+('2026'!Salim-'2026'!Resal)*(1-EXP(('2026'!Tnet-t)/('2026'!Tau_j))),Resal+(Salim-Resal)*(1-EXP((Tnet-t)/(Tau_j))))*Salcycl</f>
        <v>2.9951643745659676E-2</v>
      </c>
      <c r="P66" s="169">
        <f>(INDEX(Models!$BJ66:$BT66,,T66)*(1-R66)+INDEX(Models!$BJ66:$BT66,,T66+1)*R66-ERP_i)*Q66*Ramure*Pc/MaxiM</f>
        <v>5.2783215739631982E-5</v>
      </c>
      <c r="Q66" s="305">
        <f t="shared" si="4"/>
        <v>0.5</v>
      </c>
      <c r="R66" s="177">
        <f t="shared" si="5"/>
        <v>0.97732075140123387</v>
      </c>
      <c r="S66" s="811">
        <f t="shared" si="6"/>
        <v>-2</v>
      </c>
      <c r="T66" s="176">
        <f t="shared" si="7"/>
        <v>4</v>
      </c>
      <c r="U66" s="251">
        <f t="shared" si="8"/>
        <v>-1.0226792485987661</v>
      </c>
      <c r="V66" s="383">
        <f t="shared" si="9"/>
        <v>37.161294390546388</v>
      </c>
      <c r="W66" s="402">
        <f t="shared" si="10"/>
        <v>21.09304779989219</v>
      </c>
      <c r="X66" s="157">
        <f t="shared" si="11"/>
        <v>46439</v>
      </c>
      <c r="Y66" s="385">
        <f t="shared" si="12"/>
        <v>20.24244121605836</v>
      </c>
      <c r="Z66" s="385">
        <f t="shared" si="22"/>
        <v>21.702606631773335</v>
      </c>
      <c r="AA66" s="386">
        <f t="shared" si="13"/>
        <v>23.30895795965473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6.8915621653349524E-2</v>
      </c>
      <c r="AD66" s="231">
        <f>(INDEX(Models!$BJ66:$BT66,,AH66)*(1-AF66)+INDEX(Models!$BJ66:$BT66,,AH66+1)*AF66-ERP_i)*AE66*Ramure*Pc/MaxiM</f>
        <v>4.8703541035770883E-4</v>
      </c>
      <c r="AE66" s="305">
        <f t="shared" si="15"/>
        <v>0.5</v>
      </c>
      <c r="AF66" s="177">
        <f t="shared" si="23"/>
        <v>0.50230831777521256</v>
      </c>
      <c r="AG66" s="811">
        <f t="shared" si="24"/>
        <v>2</v>
      </c>
      <c r="AH66" s="176">
        <f t="shared" si="16"/>
        <v>8</v>
      </c>
      <c r="AI66" s="225">
        <f t="shared" si="17"/>
        <v>2.5023083177752126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'2026'!Wh/'2026'!Env_an*'2027'!Env_an</f>
        <v>32.601440505220523</v>
      </c>
      <c r="C67" s="841"/>
      <c r="D67" s="393">
        <f t="shared" si="0"/>
        <v>34.953873821877039</v>
      </c>
      <c r="E67" s="385">
        <f t="shared" si="1"/>
        <v>36.035857105614674</v>
      </c>
      <c r="F67" s="385">
        <f t="shared" si="2"/>
        <v>36.037397801888218</v>
      </c>
      <c r="G67" s="110">
        <f t="shared" si="21"/>
        <v>0.86973447205484256</v>
      </c>
      <c r="H67" s="414" t="b">
        <f>Wh_hp&gt;='2026'!Maxi_hp</f>
        <v>0</v>
      </c>
      <c r="I67" s="390">
        <f>IF(H67,Wh_hp,'2026'!Maxi_hp)</f>
        <v>40.196901311599696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6.7301075944954936E-2</v>
      </c>
      <c r="M67" s="845"/>
      <c r="N67" s="845"/>
      <c r="O67" s="48">
        <f>IF(t&lt;Tnet,'2026'!Resal+('2026'!Salim-'2026'!Resal)*(1-EXP(('2026'!Tnet-t)/('2026'!Tau_j))),Resal+(Salim-Resal)*(1-EXP((Tnet-t)/(Tau_j))))*Salcycl</f>
        <v>3.0025185208347783E-2</v>
      </c>
      <c r="P67" s="169">
        <f>(INDEX(Models!$BJ67:$BT67,,T67)*(1-R67)+INDEX(Models!$BJ67:$BT67,,T67+1)*R67-ERP_i)*Q67*Ramure*Pc/MaxiM</f>
        <v>5.2527008836445688E-5</v>
      </c>
      <c r="Q67" s="305">
        <f t="shared" si="4"/>
        <v>0.5</v>
      </c>
      <c r="R67" s="177">
        <f t="shared" si="5"/>
        <v>0.977553598660303</v>
      </c>
      <c r="S67" s="811">
        <f t="shared" si="6"/>
        <v>-2</v>
      </c>
      <c r="T67" s="176">
        <f t="shared" si="7"/>
        <v>4</v>
      </c>
      <c r="U67" s="251">
        <f t="shared" si="8"/>
        <v>-1.022446401339697</v>
      </c>
      <c r="V67" s="383">
        <f t="shared" si="9"/>
        <v>37.483994118596556</v>
      </c>
      <c r="W67" s="402">
        <f t="shared" si="10"/>
        <v>32.601440505220523</v>
      </c>
      <c r="X67" s="157">
        <f t="shared" si="11"/>
        <v>46440</v>
      </c>
      <c r="Y67" s="385">
        <f t="shared" si="12"/>
        <v>31.281535585215963</v>
      </c>
      <c r="Z67" s="385">
        <f t="shared" si="22"/>
        <v>33.538728070163209</v>
      </c>
      <c r="AA67" s="386">
        <f t="shared" si="13"/>
        <v>36.022639388727931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6.8954173284203474E-2</v>
      </c>
      <c r="AD67" s="231">
        <f>(INDEX(Models!$BJ67:$BT67,,AH67)*(1-AF67)+INDEX(Models!$BJ67:$BT67,,AH67+1)*AF67-ERP_i)*AE67*Ramure*Pc/MaxiM</f>
        <v>5.0315906632181554E-4</v>
      </c>
      <c r="AE67" s="305">
        <f t="shared" si="15"/>
        <v>0.5</v>
      </c>
      <c r="AF67" s="177">
        <f t="shared" si="23"/>
        <v>0.50254116503428214</v>
      </c>
      <c r="AG67" s="811">
        <f t="shared" si="24"/>
        <v>2</v>
      </c>
      <c r="AH67" s="176">
        <f t="shared" si="16"/>
        <v>8</v>
      </c>
      <c r="AI67" s="225">
        <f t="shared" si="17"/>
        <v>2.5025411650342821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'2026'!Wh/'2026'!Env_an*'2027'!Env_an</f>
        <v>33.732209385038956</v>
      </c>
      <c r="C68" s="841"/>
      <c r="D68" s="393">
        <f t="shared" si="0"/>
        <v>36.167028130063066</v>
      </c>
      <c r="E68" s="385">
        <f t="shared" si="1"/>
        <v>37.289388454247522</v>
      </c>
      <c r="F68" s="385">
        <f t="shared" si="2"/>
        <v>37.291021727970119</v>
      </c>
      <c r="G68" s="110">
        <f t="shared" si="21"/>
        <v>0.89217881625599704</v>
      </c>
      <c r="H68" s="414" t="b">
        <f>Wh_hp&gt;='2026'!Maxi_hp</f>
        <v>0</v>
      </c>
      <c r="I68" s="390">
        <f>IF(H68,Wh_hp,'2026'!Maxi_hp)</f>
        <v>40.899659056750139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6.7321504445100433E-2</v>
      </c>
      <c r="M68" s="845"/>
      <c r="N68" s="845"/>
      <c r="O68" s="48">
        <f>IF(t&lt;Tnet,'2026'!Resal+('2026'!Salim-'2026'!Resal)*(1-EXP(('2026'!Tnet-t)/('2026'!Tau_j))),Resal+(Salim-Resal)*(1-EXP((Tnet-t)/(Tau_j))))*Salcycl</f>
        <v>3.0098651941196097E-2</v>
      </c>
      <c r="P68" s="169">
        <f>(INDEX(Models!$BJ68:$BT68,,T68)*(1-R68)+INDEX(Models!$BJ68:$BT68,,T68+1)*R68-ERP_i)*Q68*Ramure*Pc/MaxiM</f>
        <v>5.177196477801242E-5</v>
      </c>
      <c r="Q68" s="305">
        <f t="shared" si="4"/>
        <v>0.5</v>
      </c>
      <c r="R68" s="177">
        <f t="shared" si="5"/>
        <v>0.97779598152068092</v>
      </c>
      <c r="S68" s="811">
        <f t="shared" si="6"/>
        <v>-2</v>
      </c>
      <c r="T68" s="176">
        <f t="shared" si="7"/>
        <v>4</v>
      </c>
      <c r="U68" s="251">
        <f t="shared" si="8"/>
        <v>-1.0222040184793191</v>
      </c>
      <c r="V68" s="383">
        <f t="shared" si="9"/>
        <v>37.80849733326788</v>
      </c>
      <c r="W68" s="402">
        <f t="shared" si="10"/>
        <v>33.732209385038956</v>
      </c>
      <c r="X68" s="157">
        <f t="shared" si="11"/>
        <v>46441</v>
      </c>
      <c r="Y68" s="385">
        <f t="shared" si="12"/>
        <v>32.366664357755965</v>
      </c>
      <c r="Z68" s="385">
        <f t="shared" si="22"/>
        <v>34.70291693441407</v>
      </c>
      <c r="AA68" s="386">
        <f t="shared" si="13"/>
        <v>37.274590390961869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6.8992668452538305E-2</v>
      </c>
      <c r="AD68" s="231">
        <f>(INDEX(Models!$BJ68:$BT68,,AH68)*(1-AF68)+INDEX(Models!$BJ68:$BT68,,AH68+1)*AF68-ERP_i)*AE68*Ramure*Pc/MaxiM</f>
        <v>5.2084509110711039E-4</v>
      </c>
      <c r="AE68" s="305">
        <f t="shared" si="15"/>
        <v>0.5</v>
      </c>
      <c r="AF68" s="177">
        <f t="shared" si="23"/>
        <v>0.50278354789465984</v>
      </c>
      <c r="AG68" s="811">
        <f t="shared" si="24"/>
        <v>2</v>
      </c>
      <c r="AH68" s="176">
        <f t="shared" si="16"/>
        <v>8</v>
      </c>
      <c r="AI68" s="225">
        <f t="shared" si="17"/>
        <v>2.5027835478946598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'2026'!Wh/'2026'!Env_an*'2027'!Env_an</f>
        <v>20.737993617757425</v>
      </c>
      <c r="C69" s="841"/>
      <c r="D69" s="393">
        <f t="shared" si="0"/>
        <v>22.235366143668422</v>
      </c>
      <c r="E69" s="385">
        <f t="shared" si="1"/>
        <v>22.927124337257709</v>
      </c>
      <c r="F69" s="385">
        <f t="shared" si="2"/>
        <v>22.927527861672495</v>
      </c>
      <c r="G69" s="110">
        <f t="shared" si="21"/>
        <v>0.54379378280653612</v>
      </c>
      <c r="H69" s="414" t="b">
        <f>Wh_hp&gt;='2026'!Maxi_hp</f>
        <v>0</v>
      </c>
      <c r="I69" s="390">
        <f>IF(H69,Wh_hp,'2026'!Maxi_hp)</f>
        <v>41.03378848015074</v>
      </c>
      <c r="J69" s="85">
        <f>IF(H69,An,'2026'!An_max)</f>
        <v>2019</v>
      </c>
      <c r="K69" s="197">
        <f t="shared" si="3"/>
        <v>46442</v>
      </c>
      <c r="L69" s="147">
        <f>IF(t&lt;Tvie,1-EXP((T0-t)*PertePVj)+'2026'!Pspv,1-EXP((T0-t)*PertePVj)+Pspv)</f>
        <v>6.7341932497809398E-2</v>
      </c>
      <c r="M69" s="845"/>
      <c r="N69" s="845"/>
      <c r="O69" s="48">
        <f>IF(t&lt;Tnet,'2026'!Resal+('2026'!Salim-'2026'!Resal)*(1-EXP(('2026'!Tnet-t)/('2026'!Tau_j))),Resal+(Salim-Resal)*(1-EXP((Tnet-t)/(Tau_j))))*Salcycl</f>
        <v>3.0172043532958298E-2</v>
      </c>
      <c r="P69" s="169">
        <f>(INDEX(Models!$BJ69:$BT69,,T69)*(1-R69)+INDEX(Models!$BJ69:$BT69,,T69+1)*R69-ERP_i)*Q69*Ramure*Pc/MaxiM</f>
        <v>5.0530791317477743E-5</v>
      </c>
      <c r="Q69" s="305">
        <f t="shared" si="4"/>
        <v>0.5</v>
      </c>
      <c r="R69" s="177">
        <f t="shared" si="5"/>
        <v>0.97804828044789915</v>
      </c>
      <c r="S69" s="811">
        <f t="shared" si="6"/>
        <v>-2</v>
      </c>
      <c r="T69" s="176">
        <f t="shared" si="7"/>
        <v>4</v>
      </c>
      <c r="U69" s="251">
        <f t="shared" si="8"/>
        <v>-1.0219517195521008</v>
      </c>
      <c r="V69" s="383">
        <f t="shared" si="9"/>
        <v>38.134512277987859</v>
      </c>
      <c r="W69" s="402">
        <f t="shared" si="10"/>
        <v>20.737993617757425</v>
      </c>
      <c r="X69" s="157">
        <f t="shared" si="11"/>
        <v>46442</v>
      </c>
      <c r="Y69" s="385">
        <f t="shared" si="12"/>
        <v>19.903669498493173</v>
      </c>
      <c r="Z69" s="385">
        <f t="shared" si="22"/>
        <v>21.340800226816697</v>
      </c>
      <c r="AA69" s="386">
        <f t="shared" si="13"/>
        <v>22.92321512565378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6.9031106245919766E-2</v>
      </c>
      <c r="AD69" s="231">
        <f>(INDEX(Models!$BJ69:$BT69,,AH69)*(1-AF69)+INDEX(Models!$BJ69:$BT69,,AH69+1)*AF69-ERP_i)*AE69*Ramure*Pc/MaxiM</f>
        <v>5.4005645206118549E-4</v>
      </c>
      <c r="AE69" s="305">
        <f t="shared" si="15"/>
        <v>0.5</v>
      </c>
      <c r="AF69" s="177">
        <f t="shared" si="23"/>
        <v>0.50303584682187807</v>
      </c>
      <c r="AG69" s="811">
        <f t="shared" si="24"/>
        <v>2</v>
      </c>
      <c r="AH69" s="176">
        <f t="shared" si="16"/>
        <v>8</v>
      </c>
      <c r="AI69" s="225">
        <f t="shared" si="17"/>
        <v>2.5030358468218781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'2026'!Wh/'2026'!Env_an*'2027'!Env_an</f>
        <v>30.204048818312778</v>
      </c>
      <c r="C70" s="841"/>
      <c r="D70" s="393">
        <f t="shared" si="0"/>
        <v>32.385620659328588</v>
      </c>
      <c r="E70" s="385">
        <f t="shared" si="1"/>
        <v>33.395685182522662</v>
      </c>
      <c r="F70" s="385">
        <f t="shared" si="2"/>
        <v>33.396815444040804</v>
      </c>
      <c r="G70" s="110">
        <f t="shared" si="21"/>
        <v>0.78528924712907344</v>
      </c>
      <c r="H70" s="414" t="b">
        <f>Wh_hp&gt;='2026'!Maxi_hp</f>
        <v>0</v>
      </c>
      <c r="I70" s="390">
        <f>IF(H70,Wh_hp,'2026'!Maxi_hp)</f>
        <v>42.028165575806206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6.736236010309149E-2</v>
      </c>
      <c r="M70" s="845"/>
      <c r="N70" s="845"/>
      <c r="O70" s="48">
        <f>IF(t&lt;Tnet,'2026'!Resal+('2026'!Salim-'2026'!Resal)*(1-EXP(('2026'!Tnet-t)/('2026'!Tau_j))),Resal+(Salim-Resal)*(1-EXP((Tnet-t)/(Tau_j))))*Salcycl</f>
        <v>3.0245360071925752E-2</v>
      </c>
      <c r="P70" s="169">
        <f>(INDEX(Models!$BJ70:$BT70,,T70)*(1-R70)+INDEX(Models!$BJ70:$BT70,,T70+1)*R70-ERP_i)*Q70*Ramure*Pc/MaxiM</f>
        <v>4.8815836291405693E-5</v>
      </c>
      <c r="Q70" s="305">
        <f t="shared" si="4"/>
        <v>0.5</v>
      </c>
      <c r="R70" s="177">
        <f t="shared" si="5"/>
        <v>0.97831089024003526</v>
      </c>
      <c r="S70" s="811">
        <f t="shared" si="6"/>
        <v>-2</v>
      </c>
      <c r="T70" s="176">
        <f t="shared" si="7"/>
        <v>4</v>
      </c>
      <c r="U70" s="251">
        <f t="shared" si="8"/>
        <v>-1.0216891097599647</v>
      </c>
      <c r="V70" s="383">
        <f t="shared" si="9"/>
        <v>38.461747292467365</v>
      </c>
      <c r="W70" s="402">
        <f t="shared" si="10"/>
        <v>30.204048818312778</v>
      </c>
      <c r="X70" s="157">
        <f t="shared" si="11"/>
        <v>46443</v>
      </c>
      <c r="Y70" s="385">
        <f t="shared" si="12"/>
        <v>28.984538457358003</v>
      </c>
      <c r="Z70" s="385">
        <f t="shared" si="22"/>
        <v>31.078027754232483</v>
      </c>
      <c r="AA70" s="386">
        <f t="shared" si="13"/>
        <v>33.383831893874607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6.9069486899291599E-2</v>
      </c>
      <c r="AD70" s="231">
        <f>(INDEX(Models!$BJ70:$BT70,,AH70)*(1-AF70)+INDEX(Models!$BJ70:$BT70,,AH70+1)*AF70-ERP_i)*AE70*Ramure*Pc/MaxiM</f>
        <v>5.6075770892114797E-4</v>
      </c>
      <c r="AE70" s="305">
        <f t="shared" si="15"/>
        <v>0.5</v>
      </c>
      <c r="AF70" s="177">
        <f t="shared" si="23"/>
        <v>0.50329845661401418</v>
      </c>
      <c r="AG70" s="811">
        <f t="shared" si="24"/>
        <v>2</v>
      </c>
      <c r="AH70" s="176">
        <f t="shared" si="16"/>
        <v>8</v>
      </c>
      <c r="AI70" s="225">
        <f t="shared" si="17"/>
        <v>2.5032984566140142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'2026'!Wh/'2026'!Env_an*'2027'!Env_an</f>
        <v>38.896509361683577</v>
      </c>
      <c r="C71" s="841"/>
      <c r="D71" s="393">
        <f t="shared" si="0"/>
        <v>41.706831946031492</v>
      </c>
      <c r="E71" s="385">
        <f t="shared" si="1"/>
        <v>43.01086113408418</v>
      </c>
      <c r="F71" s="385">
        <f t="shared" si="2"/>
        <v>43.012867213846988</v>
      </c>
      <c r="G71" s="110">
        <f t="shared" si="21"/>
        <v>1.0027480999671898</v>
      </c>
      <c r="H71" s="414" t="b">
        <f>Wh_hp&gt;='2026'!Maxi_hp</f>
        <v>1</v>
      </c>
      <c r="I71" s="390">
        <f>IF(H71,Wh_hp,'2026'!Maxi_hp)</f>
        <v>43.012867213846988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6.73827872609567E-2</v>
      </c>
      <c r="M71" s="845"/>
      <c r="N71" s="845"/>
      <c r="O71" s="48">
        <f>IF(t&lt;Tnet,'2026'!Resal+('2026'!Salim-'2026'!Resal)*(1-EXP(('2026'!Tnet-t)/('2026'!Tau_j))),Resal+(Salim-Resal)*(1-EXP((Tnet-t)/(Tau_j))))*Salcycl</f>
        <v>3.0318602177888128E-2</v>
      </c>
      <c r="P71" s="169">
        <f>(INDEX(Models!$BJ71:$BT71,,T71)*(1-R71)+INDEX(Models!$BJ71:$BT71,,T71+1)*R71-ERP_i)*Q71*Ramure*Pc/MaxiM</f>
        <v>4.6639061582125452E-5</v>
      </c>
      <c r="Q71" s="305">
        <f t="shared" si="4"/>
        <v>0.5</v>
      </c>
      <c r="R71" s="177">
        <f t="shared" si="5"/>
        <v>0.97858422049560057</v>
      </c>
      <c r="S71" s="811">
        <f t="shared" si="6"/>
        <v>-2</v>
      </c>
      <c r="T71" s="176">
        <f t="shared" si="7"/>
        <v>4</v>
      </c>
      <c r="U71" s="251">
        <f t="shared" si="8"/>
        <v>-1.0214157795043994</v>
      </c>
      <c r="V71" s="383">
        <f t="shared" si="9"/>
        <v>38.789910809061901</v>
      </c>
      <c r="W71" s="402">
        <f t="shared" si="10"/>
        <v>38.896509361683577</v>
      </c>
      <c r="X71" s="157">
        <f t="shared" si="11"/>
        <v>46444</v>
      </c>
      <c r="Y71" s="385">
        <f t="shared" si="12"/>
        <v>37.320544829020896</v>
      </c>
      <c r="Z71" s="385">
        <f t="shared" si="22"/>
        <v>40.017001958834314</v>
      </c>
      <c r="AA71" s="386">
        <f t="shared" si="13"/>
        <v>42.987794363885868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6.9107811857109916E-2</v>
      </c>
      <c r="AD71" s="231">
        <f>(INDEX(Models!$BJ71:$BT71,,AH71)*(1-AF71)+INDEX(Models!$BJ71:$BT71,,AH71+1)*AF71-ERP_i)*AE71*Ramure*Pc/MaxiM</f>
        <v>5.8291510390288492E-4</v>
      </c>
      <c r="AE71" s="305">
        <f t="shared" si="15"/>
        <v>0.5</v>
      </c>
      <c r="AF71" s="177">
        <f t="shared" si="23"/>
        <v>0.50357178686957926</v>
      </c>
      <c r="AG71" s="811">
        <f t="shared" si="24"/>
        <v>2</v>
      </c>
      <c r="AH71" s="176">
        <f t="shared" si="16"/>
        <v>8</v>
      </c>
      <c r="AI71" s="225">
        <f t="shared" si="17"/>
        <v>2.5035717868695793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'2026'!Wh/'2026'!Env_an*'2027'!Env_an</f>
        <v>27.106499932494451</v>
      </c>
      <c r="C72" s="841"/>
      <c r="D72" s="393">
        <f t="shared" si="0"/>
        <v>29.065615857337512</v>
      </c>
      <c r="E72" s="385">
        <f t="shared" si="1"/>
        <v>29.976659633170573</v>
      </c>
      <c r="F72" s="385">
        <f t="shared" si="2"/>
        <v>29.977402312984413</v>
      </c>
      <c r="G72" s="110">
        <f t="shared" si="21"/>
        <v>0.69291593525235373</v>
      </c>
      <c r="H72" s="414" t="b">
        <f>Wh_hp&gt;='2026'!Maxi_hp</f>
        <v>0</v>
      </c>
      <c r="I72" s="390">
        <f>IF(H72,Wh_hp,'2026'!Maxi_hp)</f>
        <v>42.246597609719124</v>
      </c>
      <c r="J72" s="85">
        <f>IF(H72,An,'2026'!An_max)</f>
        <v>2019</v>
      </c>
      <c r="K72" s="197">
        <f t="shared" si="3"/>
        <v>46445</v>
      </c>
      <c r="L72" s="147">
        <f>IF(t&lt;Tvie,1-EXP((T0-t)*PertePVj)+'2026'!Pspv,1-EXP((T0-t)*PertePVj)+Pspv)</f>
        <v>6.7403213971414577E-2</v>
      </c>
      <c r="M72" s="845"/>
      <c r="N72" s="845"/>
      <c r="O72" s="48">
        <f>IF(t&lt;Tnet,'2026'!Resal+('2026'!Salim-'2026'!Resal)*(1-EXP(('2026'!Tnet-t)/('2026'!Tau_j))),Resal+(Salim-Resal)*(1-EXP((Tnet-t)/(Tau_j))))*Salcycl</f>
        <v>3.0391771030583638E-2</v>
      </c>
      <c r="P72" s="169">
        <f>(INDEX(Models!$BJ72:$BT72,,T72)*(1-R72)+INDEX(Models!$BJ72:$BT72,,T72+1)*R72-ERP_i)*Q72*Ramure*Pc/MaxiM</f>
        <v>4.4135819211564467E-5</v>
      </c>
      <c r="Q72" s="305">
        <f t="shared" si="4"/>
        <v>0.5</v>
      </c>
      <c r="R72" s="177">
        <f t="shared" si="5"/>
        <v>0.97886869609041072</v>
      </c>
      <c r="S72" s="811">
        <f t="shared" si="6"/>
        <v>-2</v>
      </c>
      <c r="T72" s="176">
        <f t="shared" si="7"/>
        <v>4</v>
      </c>
      <c r="U72" s="251">
        <f t="shared" si="8"/>
        <v>-1.0211313039095893</v>
      </c>
      <c r="V72" s="383">
        <f t="shared" si="9"/>
        <v>39.118706508367914</v>
      </c>
      <c r="W72" s="402">
        <f t="shared" si="10"/>
        <v>27.106499932494451</v>
      </c>
      <c r="X72" s="157">
        <f t="shared" si="11"/>
        <v>46445</v>
      </c>
      <c r="Y72" s="385">
        <f t="shared" si="12"/>
        <v>26.014904310823074</v>
      </c>
      <c r="Z72" s="385">
        <f t="shared" si="22"/>
        <v>27.895125418141511</v>
      </c>
      <c r="AA72" s="386">
        <f t="shared" si="13"/>
        <v>29.967242908341674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6.9146083826863158E-2</v>
      </c>
      <c r="AD72" s="231">
        <f>(INDEX(Models!$BJ72:$BT72,,AH72)*(1-AF72)+INDEX(Models!$BJ72:$BT72,,AH72+1)*AF72-ERP_i)*AE72*Ramure*Pc/MaxiM</f>
        <v>6.0375095465382475E-4</v>
      </c>
      <c r="AE72" s="305">
        <f t="shared" si="15"/>
        <v>0.5</v>
      </c>
      <c r="AF72" s="177">
        <f t="shared" si="23"/>
        <v>0.50385626246438964</v>
      </c>
      <c r="AG72" s="811">
        <f t="shared" si="24"/>
        <v>2</v>
      </c>
      <c r="AH72" s="176">
        <f t="shared" si="16"/>
        <v>8</v>
      </c>
      <c r="AI72" s="225">
        <f t="shared" si="17"/>
        <v>2.5038562624643896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'2026'!Wh/'2026'!Env_an*'2027'!Env_an</f>
        <v>33.494686320951175</v>
      </c>
      <c r="C73" s="841"/>
      <c r="D73" s="393">
        <f t="shared" si="0"/>
        <v>35.916293577689075</v>
      </c>
      <c r="E73" s="385">
        <f t="shared" si="1"/>
        <v>37.04486037366258</v>
      </c>
      <c r="F73" s="385">
        <f t="shared" si="2"/>
        <v>37.046066151998822</v>
      </c>
      <c r="G73" s="110">
        <f t="shared" si="21"/>
        <v>0.84908046029006023</v>
      </c>
      <c r="H73" s="414" t="b">
        <f>Wh_hp&gt;='2026'!Maxi_hp</f>
        <v>0</v>
      </c>
      <c r="I73" s="390">
        <f>IF(H73,Wh_hp,'2026'!Maxi_hp)</f>
        <v>37.046234992652799</v>
      </c>
      <c r="J73" s="85">
        <f>IF(H73,An,'2026'!An_max)</f>
        <v>2026</v>
      </c>
      <c r="K73" s="197">
        <f t="shared" si="3"/>
        <v>46446</v>
      </c>
      <c r="L73" s="147">
        <f>IF(t&lt;Tvie,1-EXP((T0-t)*PertePVj)+'2026'!Pspv,1-EXP((T0-t)*PertePVj)+Pspv)</f>
        <v>6.7423640234475224E-2</v>
      </c>
      <c r="M73" s="845"/>
      <c r="N73" s="845"/>
      <c r="O73" s="48">
        <f>IF(t&lt;Tnet,'2026'!Resal+('2026'!Salim-'2026'!Resal)*(1-EXP(('2026'!Tnet-t)/('2026'!Tau_j))),Resal+(Salim-Resal)*(1-EXP((Tnet-t)/(Tau_j))))*Salcycl</f>
        <v>3.0464868394425738E-2</v>
      </c>
      <c r="P73" s="169">
        <f>(INDEX(Models!$BJ73:$BT73,,T73)*(1-R73)+INDEX(Models!$BJ73:$BT73,,T73+1)*R73-ERP_i)*Q73*Ramure*Pc/MaxiM</f>
        <v>4.1493629233426124E-5</v>
      </c>
      <c r="Q73" s="305">
        <f t="shared" si="4"/>
        <v>0.5</v>
      </c>
      <c r="R73" s="177">
        <f t="shared" si="5"/>
        <v>0.97916475766299826</v>
      </c>
      <c r="S73" s="811">
        <f t="shared" si="6"/>
        <v>-2</v>
      </c>
      <c r="T73" s="176">
        <f t="shared" si="7"/>
        <v>4</v>
      </c>
      <c r="U73" s="251">
        <f t="shared" si="8"/>
        <v>-1.0208352423370017</v>
      </c>
      <c r="V73" s="383">
        <f t="shared" si="9"/>
        <v>39.447835922877182</v>
      </c>
      <c r="W73" s="402">
        <f t="shared" si="10"/>
        <v>33.494686320951175</v>
      </c>
      <c r="X73" s="157">
        <f t="shared" si="11"/>
        <v>46446</v>
      </c>
      <c r="Y73" s="385">
        <f t="shared" si="12"/>
        <v>32.142401461556986</v>
      </c>
      <c r="Z73" s="385">
        <f t="shared" si="22"/>
        <v>34.466240887382632</v>
      </c>
      <c r="AA73" s="386">
        <f t="shared" si="13"/>
        <v>37.027997207231493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6.9184306823609598E-2</v>
      </c>
      <c r="AD73" s="231">
        <f>(INDEX(Models!$BJ73:$BT73,,AH73)*(1-AF73)+INDEX(Models!$BJ73:$BT73,,AH73+1)*AF73-ERP_i)*AE73*Ramure*Pc/MaxiM</f>
        <v>6.2179429857139108E-4</v>
      </c>
      <c r="AE73" s="305">
        <f t="shared" si="15"/>
        <v>0.5</v>
      </c>
      <c r="AF73" s="177">
        <f t="shared" si="23"/>
        <v>0.50415232403697718</v>
      </c>
      <c r="AG73" s="811">
        <f t="shared" si="24"/>
        <v>2</v>
      </c>
      <c r="AH73" s="176">
        <f t="shared" si="16"/>
        <v>8</v>
      </c>
      <c r="AI73" s="225">
        <f t="shared" si="17"/>
        <v>2.5041523240369772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'2026'!Wh/'2026'!Env_an*'2027'!Env_an</f>
        <v>38.881186371010244</v>
      </c>
      <c r="C74" s="841"/>
      <c r="D74" s="393">
        <f t="shared" si="0"/>
        <v>41.693141350061993</v>
      </c>
      <c r="E74" s="385">
        <f t="shared" si="1"/>
        <v>43.00646843804585</v>
      </c>
      <c r="F74" s="385">
        <f t="shared" si="2"/>
        <v>43.008079970050758</v>
      </c>
      <c r="G74" s="110">
        <f t="shared" si="21"/>
        <v>0.97747769751384694</v>
      </c>
      <c r="H74" s="414" t="b">
        <f>Wh_hp&gt;='2026'!Maxi_hp</f>
        <v>0</v>
      </c>
      <c r="I74" s="390">
        <f>IF(H74,Wh_hp,'2026'!Maxi_hp)</f>
        <v>43.008107255244283</v>
      </c>
      <c r="J74" s="85">
        <f>IF(H74,An,'2026'!An_max)</f>
        <v>2026</v>
      </c>
      <c r="K74" s="197">
        <f t="shared" si="3"/>
        <v>46447</v>
      </c>
      <c r="L74" s="147">
        <f>IF(t&lt;Tvie,1-EXP((T0-t)*PertePVj)+'2026'!Pspv,1-EXP((T0-t)*PertePVj)+Pspv)</f>
        <v>6.7444066050148188E-2</v>
      </c>
      <c r="M74" s="845"/>
      <c r="N74" s="845"/>
      <c r="O74" s="48">
        <f>IF(t&lt;Tnet,'2026'!Resal+('2026'!Salim-'2026'!Resal)*(1-EXP(('2026'!Tnet-t)/('2026'!Tau_j))),Resal+(Salim-Resal)*(1-EXP((Tnet-t)/(Tau_j))))*Salcycl</f>
        <v>3.0537896639334872E-2</v>
      </c>
      <c r="P74" s="169">
        <f>(INDEX(Models!$BJ74:$BT74,,T74)*(1-R74)+INDEX(Models!$BJ74:$BT74,,T74+1)*R74-ERP_i)*Q74*Ramure*Pc/MaxiM</f>
        <v>3.8716058466656673E-5</v>
      </c>
      <c r="Q74" s="305">
        <f t="shared" si="4"/>
        <v>0.5</v>
      </c>
      <c r="R74" s="177">
        <f t="shared" si="5"/>
        <v>0.97947286210805706</v>
      </c>
      <c r="S74" s="811">
        <f t="shared" si="6"/>
        <v>-2</v>
      </c>
      <c r="T74" s="176">
        <f t="shared" si="7"/>
        <v>4</v>
      </c>
      <c r="U74" s="251">
        <f t="shared" si="8"/>
        <v>-1.0205271378919429</v>
      </c>
      <c r="V74" s="383">
        <f t="shared" si="9"/>
        <v>39.777007738649317</v>
      </c>
      <c r="W74" s="402">
        <f t="shared" si="10"/>
        <v>38.881186371010244</v>
      </c>
      <c r="X74" s="157">
        <f t="shared" si="11"/>
        <v>46447</v>
      </c>
      <c r="Y74" s="385">
        <f t="shared" si="12"/>
        <v>37.308084295125845</v>
      </c>
      <c r="Z74" s="385">
        <f t="shared" si="22"/>
        <v>40.006269797787901</v>
      </c>
      <c r="AA74" s="386">
        <f t="shared" si="13"/>
        <v>42.981560259963935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6.9222486205263056E-2</v>
      </c>
      <c r="AD74" s="231">
        <f>(INDEX(Models!$BJ74:$BT74,,AH74)*(1-AF74)+INDEX(Models!$BJ74:$BT74,,AH74+1)*AF74-ERP_i)*AE74*Ramure*Pc/MaxiM</f>
        <v>6.3711961234087051E-4</v>
      </c>
      <c r="AE74" s="305">
        <f t="shared" si="15"/>
        <v>0.5</v>
      </c>
      <c r="AF74" s="177">
        <f t="shared" si="23"/>
        <v>0.50446042848203598</v>
      </c>
      <c r="AG74" s="811">
        <f t="shared" si="24"/>
        <v>2</v>
      </c>
      <c r="AH74" s="176">
        <f t="shared" si="16"/>
        <v>8</v>
      </c>
      <c r="AI74" s="225">
        <f t="shared" si="17"/>
        <v>2.504460428482036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'2026'!Wh/'2026'!Env_an*'2027'!Env_an</f>
        <v>10.70709389302654</v>
      </c>
      <c r="C75" s="841"/>
      <c r="D75" s="393">
        <f t="shared" si="0"/>
        <v>11.481701012450115</v>
      </c>
      <c r="E75" s="385">
        <f t="shared" si="1"/>
        <v>11.844264108151833</v>
      </c>
      <c r="F75" s="385">
        <f t="shared" si="2"/>
        <v>11.844264108151833</v>
      </c>
      <c r="G75" s="110">
        <f t="shared" si="21"/>
        <v>0.26696077901207715</v>
      </c>
      <c r="H75" s="414" t="b">
        <f>Wh_hp&gt;='2026'!Maxi_hp</f>
        <v>0</v>
      </c>
      <c r="I75" s="390">
        <f>IF(H75,Wh_hp,'2026'!Maxi_hp)</f>
        <v>29.154269715170336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6.7464491418443462E-2</v>
      </c>
      <c r="M75" s="845"/>
      <c r="N75" s="845"/>
      <c r="O75" s="48">
        <f>IF(t&lt;Tnet,'2026'!Resal+('2026'!Salim-'2026'!Resal)*(1-EXP(('2026'!Tnet-t)/('2026'!Tau_j))),Resal+(Salim-Resal)*(1-EXP((Tnet-t)/(Tau_j))))*Salcycl</f>
        <v>3.0610858757546898E-2</v>
      </c>
      <c r="P75" s="169">
        <f>(INDEX(Models!$BJ75:$BT75,,T75)*(1-R75)+INDEX(Models!$BJ75:$BT75,,T75+1)*R75-ERP_i)*Q75*Ramure*Pc/MaxiM</f>
        <v>3.5806466011001918E-5</v>
      </c>
      <c r="Q75" s="305">
        <f t="shared" si="4"/>
        <v>0.5</v>
      </c>
      <c r="R75" s="177">
        <f t="shared" si="5"/>
        <v>0.97979348307731873</v>
      </c>
      <c r="S75" s="811">
        <f t="shared" si="6"/>
        <v>-2</v>
      </c>
      <c r="T75" s="176">
        <f t="shared" si="7"/>
        <v>4</v>
      </c>
      <c r="U75" s="251">
        <f t="shared" si="8"/>
        <v>-1.0202065169226813</v>
      </c>
      <c r="V75" s="383">
        <f t="shared" si="9"/>
        <v>40.105930726807692</v>
      </c>
      <c r="W75" s="402">
        <f t="shared" si="10"/>
        <v>10.70709389302654</v>
      </c>
      <c r="X75" s="157">
        <f t="shared" si="11"/>
        <v>46448</v>
      </c>
      <c r="Y75" s="385">
        <f t="shared" si="12"/>
        <v>10.280199575672398</v>
      </c>
      <c r="Z75" s="385">
        <f t="shared" si="22"/>
        <v>11.02392292955065</v>
      </c>
      <c r="AA75" s="386">
        <f t="shared" si="13"/>
        <v>11.844264108151833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6.9260628698458476E-2</v>
      </c>
      <c r="AD75" s="231">
        <f>(INDEX(Models!$BJ75:$BT75,,AH75)*(1-AF75)+INDEX(Models!$BJ75:$BT75,,AH75+1)*AF75-ERP_i)*AE75*Ramure*Pc/MaxiM</f>
        <v>6.4979975167811749E-4</v>
      </c>
      <c r="AE75" s="305">
        <f t="shared" si="15"/>
        <v>0.5</v>
      </c>
      <c r="AF75" s="177">
        <f t="shared" si="23"/>
        <v>0.50478104945129765</v>
      </c>
      <c r="AG75" s="811">
        <f t="shared" si="24"/>
        <v>2</v>
      </c>
      <c r="AH75" s="176">
        <f t="shared" si="16"/>
        <v>8</v>
      </c>
      <c r="AI75" s="225">
        <f t="shared" si="17"/>
        <v>2.5047810494512976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'2026'!Wh/'2026'!Env_an*'2027'!Env_an</f>
        <v>34.507136308728697</v>
      </c>
      <c r="C76" s="841"/>
      <c r="D76" s="393">
        <f t="shared" si="0"/>
        <v>37.004373348331704</v>
      </c>
      <c r="E76" s="385">
        <f t="shared" si="1"/>
        <v>38.175748800356644</v>
      </c>
      <c r="F76" s="385">
        <f t="shared" si="2"/>
        <v>38.176737807404301</v>
      </c>
      <c r="G76" s="110">
        <f t="shared" si="21"/>
        <v>0.85340633540979594</v>
      </c>
      <c r="H76" s="414" t="b">
        <f>Wh_hp&gt;='2026'!Maxi_hp</f>
        <v>0</v>
      </c>
      <c r="I76" s="390">
        <f>IF(H76,Wh_hp,'2026'!Maxi_hp)</f>
        <v>39.010447727103518</v>
      </c>
      <c r="J76" s="85">
        <f>IF(H76,An,'2026'!An_max)</f>
        <v>2019</v>
      </c>
      <c r="K76" s="197">
        <f t="shared" si="3"/>
        <v>46449</v>
      </c>
      <c r="L76" s="147">
        <f>IF(t&lt;Tvie,1-EXP((T0-t)*PertePVj)+'2026'!Pspv,1-EXP((T0-t)*PertePVj)+Pspv)</f>
        <v>6.7484916339370704E-2</v>
      </c>
      <c r="M76" s="845"/>
      <c r="N76" s="845"/>
      <c r="O76" s="48">
        <f>IF(t&lt;Tnet,'2026'!Resal+('2026'!Salim-'2026'!Resal)*(1-EXP(('2026'!Tnet-t)/('2026'!Tau_j))),Resal+(Salim-Resal)*(1-EXP((Tnet-t)/(Tau_j))))*Salcycl</f>
        <v>3.0683758376312303E-2</v>
      </c>
      <c r="P76" s="169">
        <f>(INDEX(Models!$BJ76:$BT76,,T76)*(1-R76)+INDEX(Models!$BJ76:$BT76,,T76+1)*R76-ERP_i)*Q76*Ramure*Pc/MaxiM</f>
        <v>3.2767996509684977E-5</v>
      </c>
      <c r="Q76" s="305">
        <f t="shared" si="4"/>
        <v>0.5</v>
      </c>
      <c r="R76" s="177">
        <f t="shared" si="5"/>
        <v>0.98012711148717657</v>
      </c>
      <c r="S76" s="811">
        <f t="shared" si="6"/>
        <v>-2</v>
      </c>
      <c r="T76" s="176">
        <f t="shared" si="7"/>
        <v>4</v>
      </c>
      <c r="U76" s="251">
        <f t="shared" si="8"/>
        <v>-1.0198728885128234</v>
      </c>
      <c r="V76" s="383">
        <f t="shared" si="9"/>
        <v>40.434313741774211</v>
      </c>
      <c r="W76" s="402">
        <f t="shared" si="10"/>
        <v>34.507136308728697</v>
      </c>
      <c r="X76" s="157">
        <f t="shared" si="11"/>
        <v>46449</v>
      </c>
      <c r="Y76" s="385">
        <f t="shared" si="12"/>
        <v>33.116035895666577</v>
      </c>
      <c r="Z76" s="385">
        <f t="shared" si="22"/>
        <v>35.512600788898887</v>
      </c>
      <c r="AA76" s="386">
        <f t="shared" si="13"/>
        <v>38.156820461427941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6.9298742414925507E-2</v>
      </c>
      <c r="AD76" s="231">
        <f>(INDEX(Models!$BJ76:$BT76,,AH76)*(1-AF76)+INDEX(Models!$BJ76:$BT76,,AH76+1)*AF76-ERP_i)*AE76*Ramure*Pc/MaxiM</f>
        <v>6.5990583685205306E-4</v>
      </c>
      <c r="AE76" s="305">
        <f t="shared" si="15"/>
        <v>0.5</v>
      </c>
      <c r="AF76" s="177">
        <f t="shared" si="23"/>
        <v>0.50511467786115549</v>
      </c>
      <c r="AG76" s="811">
        <f t="shared" si="24"/>
        <v>2</v>
      </c>
      <c r="AH76" s="176">
        <f t="shared" si="16"/>
        <v>8</v>
      </c>
      <c r="AI76" s="225">
        <f t="shared" si="17"/>
        <v>2.5051146778611555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'2026'!Wh/'2026'!Env_an*'2027'!Env_an</f>
        <v>3.9689285238114276</v>
      </c>
      <c r="C77" s="841"/>
      <c r="D77" s="393">
        <f t="shared" si="0"/>
        <v>4.256247995319888</v>
      </c>
      <c r="E77" s="385">
        <f t="shared" si="1"/>
        <v>4.3913097518066859</v>
      </c>
      <c r="F77" s="385">
        <f t="shared" si="2"/>
        <v>4.3913097518066859</v>
      </c>
      <c r="G77" s="110">
        <f t="shared" si="21"/>
        <v>9.7365784397666064E-2</v>
      </c>
      <c r="H77" s="414" t="b">
        <f>Wh_hp&gt;='2026'!Maxi_hp</f>
        <v>0</v>
      </c>
      <c r="I77" s="390">
        <f>IF(H77,Wh_hp,'2026'!Maxi_hp)</f>
        <v>30.286197485540761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6.7505340812939685E-2</v>
      </c>
      <c r="M77" s="845"/>
      <c r="N77" s="845"/>
      <c r="O77" s="48">
        <f>IF(t&lt;Tnet,'2026'!Resal+('2026'!Salim-'2026'!Resal)*(1-EXP(('2026'!Tnet-t)/('2026'!Tau_j))),Resal+(Salim-Resal)*(1-EXP((Tnet-t)/(Tau_j))))*Salcycl</f>
        <v>3.0756599766443415E-2</v>
      </c>
      <c r="P77" s="169">
        <f>(INDEX(Models!$BJ77:$BT77,,T77)*(1-R77)+INDEX(Models!$BJ77:$BT77,,T77+1)*R77-ERP_i)*Q77*Ramure*Pc/MaxiM</f>
        <v>2.9603573353662603E-5</v>
      </c>
      <c r="Q77" s="305">
        <f t="shared" si="4"/>
        <v>0.5</v>
      </c>
      <c r="R77" s="177">
        <f t="shared" si="5"/>
        <v>0.98047425603227478</v>
      </c>
      <c r="S77" s="811">
        <f t="shared" si="6"/>
        <v>-2</v>
      </c>
      <c r="T77" s="176">
        <f t="shared" si="7"/>
        <v>4</v>
      </c>
      <c r="U77" s="251">
        <f t="shared" si="8"/>
        <v>-1.0195257439677252</v>
      </c>
      <c r="V77" s="383">
        <f t="shared" si="9"/>
        <v>40.761865720047268</v>
      </c>
      <c r="W77" s="402">
        <f t="shared" si="10"/>
        <v>3.9689285238114276</v>
      </c>
      <c r="X77" s="157">
        <f t="shared" si="11"/>
        <v>46450</v>
      </c>
      <c r="Y77" s="385">
        <f t="shared" si="12"/>
        <v>3.8109473568385459</v>
      </c>
      <c r="Z77" s="385">
        <f t="shared" si="22"/>
        <v>4.0868302239509795</v>
      </c>
      <c r="AA77" s="386">
        <f t="shared" si="13"/>
        <v>4.3913097518066859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6.933683685839663E-2</v>
      </c>
      <c r="AD77" s="231">
        <f>(INDEX(Models!$BJ77:$BT77,,AH77)*(1-AF77)+INDEX(Models!$BJ77:$BT77,,AH77+1)*AF77-ERP_i)*AE77*Ramure*Pc/MaxiM</f>
        <v>6.6750714401626009E-4</v>
      </c>
      <c r="AE77" s="305">
        <f t="shared" si="15"/>
        <v>0.5</v>
      </c>
      <c r="AF77" s="177">
        <f t="shared" si="23"/>
        <v>0.5054618224062537</v>
      </c>
      <c r="AG77" s="811">
        <f t="shared" si="24"/>
        <v>2</v>
      </c>
      <c r="AH77" s="176">
        <f t="shared" si="16"/>
        <v>8</v>
      </c>
      <c r="AI77" s="225">
        <f t="shared" si="17"/>
        <v>2.5054618224062537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'2026'!Wh/'2026'!Env_an*'2027'!Env_an</f>
        <v>13.13901140419307</v>
      </c>
      <c r="C78" s="841"/>
      <c r="D78" s="393">
        <f t="shared" si="0"/>
        <v>14.090481976616504</v>
      </c>
      <c r="E78" s="385">
        <f t="shared" si="1"/>
        <v>14.538701235802478</v>
      </c>
      <c r="F78" s="385">
        <f t="shared" si="2"/>
        <v>14.538712044251113</v>
      </c>
      <c r="G78" s="110">
        <f t="shared" si="21"/>
        <v>0.31976686280149086</v>
      </c>
      <c r="H78" s="414" t="b">
        <f>Wh_hp&gt;='2026'!Maxi_hp</f>
        <v>0</v>
      </c>
      <c r="I78" s="390">
        <f>IF(H78,Wh_hp,'2026'!Maxi_hp)</f>
        <v>44.531611979407565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6.7525764839160396E-2</v>
      </c>
      <c r="M78" s="845"/>
      <c r="N78" s="845"/>
      <c r="O78" s="48">
        <f>IF(t&lt;Tnet,'2026'!Resal+('2026'!Salim-'2026'!Resal)*(1-EXP(('2026'!Tnet-t)/('2026'!Tau_j))),Resal+(Salim-Resal)*(1-EXP((Tnet-t)/(Tau_j))))*Salcycl</f>
        <v>3.082938784670846E-2</v>
      </c>
      <c r="P78" s="169">
        <f>(INDEX(Models!$BJ78:$BT78,,T78)*(1-R78)+INDEX(Models!$BJ78:$BT78,,T78+1)*R78-ERP_i)*Q78*Ramure*Pc/MaxiM</f>
        <v>2.6315891802061527E-5</v>
      </c>
      <c r="Q78" s="305">
        <f t="shared" si="4"/>
        <v>0.5</v>
      </c>
      <c r="R78" s="177">
        <f t="shared" si="5"/>
        <v>0.98083544370417042</v>
      </c>
      <c r="S78" s="811">
        <f t="shared" si="6"/>
        <v>-2</v>
      </c>
      <c r="T78" s="176">
        <f t="shared" si="7"/>
        <v>4</v>
      </c>
      <c r="U78" s="251">
        <f t="shared" si="8"/>
        <v>-1.0191645562958296</v>
      </c>
      <c r="V78" s="383">
        <f t="shared" si="9"/>
        <v>41.088295678632385</v>
      </c>
      <c r="W78" s="402">
        <f t="shared" si="10"/>
        <v>13.13901140419307</v>
      </c>
      <c r="X78" s="157">
        <f t="shared" si="11"/>
        <v>46451</v>
      </c>
      <c r="Y78" s="385">
        <f t="shared" si="12"/>
        <v>12.616220589540958</v>
      </c>
      <c r="Z78" s="385">
        <f t="shared" si="22"/>
        <v>13.529832904567948</v>
      </c>
      <c r="AA78" s="386">
        <f t="shared" si="13"/>
        <v>14.53843576518666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6.937492292216775E-2</v>
      </c>
      <c r="AD78" s="231">
        <f>(INDEX(Models!$BJ78:$BT78,,AH78)*(1-AF78)+INDEX(Models!$BJ78:$BT78,,AH78+1)*AF78-ERP_i)*AE78*Ramure*Pc/MaxiM</f>
        <v>6.7267100136517318E-4</v>
      </c>
      <c r="AE78" s="305">
        <f t="shared" si="15"/>
        <v>0.5</v>
      </c>
      <c r="AF78" s="177">
        <f t="shared" si="23"/>
        <v>0.50582301007814934</v>
      </c>
      <c r="AG78" s="811">
        <f t="shared" si="24"/>
        <v>2</v>
      </c>
      <c r="AH78" s="176">
        <f t="shared" si="16"/>
        <v>8</v>
      </c>
      <c r="AI78" s="225">
        <f t="shared" si="17"/>
        <v>2.5058230100781493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'2026'!Wh/'2026'!Env_an*'2027'!Env_an</f>
        <v>15.698391373455294</v>
      </c>
      <c r="C79" s="841"/>
      <c r="D79" s="393">
        <f t="shared" ref="D79:D142" si="25">Wh/(1-Ppv)</f>
        <v>16.835569953671094</v>
      </c>
      <c r="E79" s="385">
        <f t="shared" si="1"/>
        <v>17.372414534483234</v>
      </c>
      <c r="F79" s="385">
        <f t="shared" ref="F79:F142" si="26">Wh_sa/(1-Pvg*MEDIAN((-Sdif+Wh/Env_an)/Csdif,0,1))</f>
        <v>17.372459477370601</v>
      </c>
      <c r="G79" s="110">
        <f t="shared" si="21"/>
        <v>0.37904809347933921</v>
      </c>
      <c r="H79" s="414" t="b">
        <f>Wh_hp&gt;='2026'!Maxi_hp</f>
        <v>0</v>
      </c>
      <c r="I79" s="390">
        <f>IF(H79,Wh_hp,'2026'!Maxi_hp)</f>
        <v>23.382336400970807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6.7546188418042385E-2</v>
      </c>
      <c r="M79" s="845"/>
      <c r="N79" s="845"/>
      <c r="O79" s="48">
        <f>IF(t&lt;Tnet,'2026'!Resal+('2026'!Salim-'2026'!Resal)*(1-EXP(('2026'!Tnet-t)/('2026'!Tau_j))),Resal+(Salim-Resal)*(1-EXP((Tnet-t)/(Tau_j))))*Salcycl</f>
        <v>3.0902128184112462E-2</v>
      </c>
      <c r="P79" s="169">
        <f>(INDEX(Models!$BJ79:$BT79,,T79)*(1-R79)+INDEX(Models!$BJ79:$BT79,,T79+1)*R79-ERP_i)*Q79*Ramure*Pc/MaxiM</f>
        <v>2.2906777011315943E-5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0.9812112203140686</v>
      </c>
      <c r="S79" s="811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-1.0187887796859314</v>
      </c>
      <c r="V79" s="383">
        <f t="shared" ref="V79:V142" si="33">MaxiM*(1-Ppv)*(1-Pvg)*(1-Psa)</f>
        <v>41.41446073775338</v>
      </c>
      <c r="W79" s="402">
        <f t="shared" ref="W79:W142" si="34">Wh*(A79&gt;Tmaj)</f>
        <v>15.698391373455294</v>
      </c>
      <c r="X79" s="157">
        <f t="shared" ref="X79:X142" si="35">t</f>
        <v>46452</v>
      </c>
      <c r="Y79" s="385">
        <f t="shared" ref="Y79:Y142" si="36">Wh_pvt_s*(1-Ppv)</f>
        <v>15.073443618210693</v>
      </c>
      <c r="Z79" s="385">
        <f t="shared" ref="Z79:Z142" si="37">Wh_sa_s*(1-Psa_s)</f>
        <v>16.165351496218126</v>
      </c>
      <c r="AA79" s="386">
        <f t="shared" ref="AA79:AA142" si="38">Wh_hp*(1-Pvg_s*MEDIAN((-Sdif+Wh/Env_an)/Csdif,0,1))</f>
        <v>17.371134262476531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6.9413012877519636E-2</v>
      </c>
      <c r="AD79" s="231">
        <f>(INDEX(Models!$BJ79:$BT79,,AH79)*(1-AF79)+INDEX(Models!$BJ79:$BT79,,AH79+1)*AF79-ERP_i)*AE79*Ramure*Pc/MaxiM</f>
        <v>6.7544396561205252E-4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0.50619878668804752</v>
      </c>
      <c r="AG79" s="811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2.5061987866880475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'2026'!Wh/'2026'!Env_an*'2027'!Env_an</f>
        <v>36.66623316420656</v>
      </c>
      <c r="C80" s="841"/>
      <c r="D80" s="393">
        <f t="shared" si="25"/>
        <v>39.323166264071226</v>
      </c>
      <c r="E80" s="385">
        <f t="shared" ref="E80:E143" si="47">Wh_pvt/(1-Psa)</f>
        <v>40.58012873074378</v>
      </c>
      <c r="F80" s="385">
        <f t="shared" si="26"/>
        <v>40.580784354002397</v>
      </c>
      <c r="G80" s="110">
        <f t="shared" ref="G80:G143" si="48">+Wh_hp/MaxiM</f>
        <v>0.87841371842003413</v>
      </c>
      <c r="H80" s="414" t="b">
        <f>Wh_hp&gt;='2026'!Maxi_hp</f>
        <v>0</v>
      </c>
      <c r="I80" s="390">
        <f>IF(H80,Wh_hp,'2026'!Maxi_hp)</f>
        <v>42.685529835046331</v>
      </c>
      <c r="J80" s="85">
        <f>IF(H80,An,'2026'!An_max)</f>
        <v>2019</v>
      </c>
      <c r="K80" s="197">
        <f t="shared" si="27"/>
        <v>46453</v>
      </c>
      <c r="L80" s="147">
        <f>IF(t&lt;Tvie,1-EXP((T0-t)*PertePVj)+'2026'!Pspv,1-EXP((T0-t)*PertePVj)+Pspv)</f>
        <v>6.7566611549595645E-2</v>
      </c>
      <c r="M80" s="845"/>
      <c r="N80" s="845"/>
      <c r="O80" s="48">
        <f>IF(t&lt;Tnet,'2026'!Resal+('2026'!Salim-'2026'!Resal)*(1-EXP(('2026'!Tnet-t)/('2026'!Tau_j))),Resal+(Salim-Resal)*(1-EXP((Tnet-t)/(Tau_j))))*Salcycl</f>
        <v>3.0974826990143849E-2</v>
      </c>
      <c r="P80" s="169">
        <f>(INDEX(Models!$BJ80:$BT80,,T80)*(1-R80)+INDEX(Models!$BJ80:$BT80,,T80+1)*R80-ERP_i)*Q80*Ramure*Pc/MaxiM</f>
        <v>1.9551997388710928E-5</v>
      </c>
      <c r="Q80" s="305">
        <f t="shared" si="28"/>
        <v>0.5</v>
      </c>
      <c r="R80" s="177">
        <f t="shared" si="29"/>
        <v>0.98160215101850423</v>
      </c>
      <c r="S80" s="811">
        <f t="shared" si="30"/>
        <v>-2</v>
      </c>
      <c r="T80" s="176">
        <f t="shared" si="31"/>
        <v>4</v>
      </c>
      <c r="U80" s="251">
        <f t="shared" si="32"/>
        <v>-1.0183978489814958</v>
      </c>
      <c r="V80" s="383">
        <f t="shared" si="33"/>
        <v>41.741275067753762</v>
      </c>
      <c r="W80" s="402">
        <f t="shared" si="34"/>
        <v>36.66623316420656</v>
      </c>
      <c r="X80" s="157">
        <f t="shared" si="35"/>
        <v>46453</v>
      </c>
      <c r="Y80" s="385">
        <f t="shared" si="36"/>
        <v>35.191322304468891</v>
      </c>
      <c r="Z80" s="385">
        <f t="shared" si="37"/>
        <v>37.741379427599398</v>
      </c>
      <c r="AA80" s="386">
        <f t="shared" si="38"/>
        <v>40.558191249371276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6.9451120353290971E-2</v>
      </c>
      <c r="AD80" s="231">
        <f>(INDEX(Models!$BJ80:$BT80,,AH80)*(1-AF80)+INDEX(Models!$BJ80:$BT80,,AH80+1)*AF80-ERP_i)*AE80*Ramure*Pc/MaxiM</f>
        <v>6.7377158596429421E-4</v>
      </c>
      <c r="AE80" s="305">
        <f t="shared" si="40"/>
        <v>0.5</v>
      </c>
      <c r="AF80" s="177">
        <f t="shared" si="41"/>
        <v>0.50658971739248315</v>
      </c>
      <c r="AG80" s="811">
        <f t="shared" ref="AG80:AG143" si="49">INDEX(Echel_vg,AH80)</f>
        <v>2</v>
      </c>
      <c r="AH80" s="176">
        <f t="shared" si="42"/>
        <v>8</v>
      </c>
      <c r="AI80" s="225">
        <f t="shared" si="43"/>
        <v>2.5065897173924832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'2026'!Wh/'2026'!Env_an*'2027'!Env_an</f>
        <v>31.686894409873112</v>
      </c>
      <c r="C81" s="841"/>
      <c r="D81" s="393">
        <f t="shared" si="25"/>
        <v>33.983755667571373</v>
      </c>
      <c r="E81" s="385">
        <f t="shared" si="47"/>
        <v>35.072674208368426</v>
      </c>
      <c r="F81" s="385">
        <f t="shared" si="26"/>
        <v>35.073049680686808</v>
      </c>
      <c r="G81" s="110">
        <f t="shared" si="48"/>
        <v>0.75321643028319252</v>
      </c>
      <c r="H81" s="414" t="b">
        <f>Wh_hp&gt;='2026'!Maxi_hp</f>
        <v>0</v>
      </c>
      <c r="I81" s="390">
        <f>IF(H81,Wh_hp,'2026'!Maxi_hp)</f>
        <v>35.07315355008631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6.7587034233829946E-2</v>
      </c>
      <c r="M81" s="845"/>
      <c r="N81" s="845"/>
      <c r="O81" s="48">
        <f>IF(t&lt;Tnet,'2026'!Resal+('2026'!Salim-'2026'!Resal)*(1-EXP(('2026'!Tnet-t)/('2026'!Tau_j))),Resal+(Salim-Resal)*(1-EXP((Tnet-t)/(Tau_j))))*Salcycl</f>
        <v>3.1047491113102434E-2</v>
      </c>
      <c r="P81" s="169">
        <f>(INDEX(Models!$BJ81:$BT81,,T81)*(1-R81)+INDEX(Models!$BJ81:$BT81,,T81+1)*R81-ERP_i)*Q81*Ramure*Pc/MaxiM</f>
        <v>1.6534557651435084E-5</v>
      </c>
      <c r="Q81" s="305">
        <f t="shared" si="28"/>
        <v>0.5</v>
      </c>
      <c r="R81" s="177">
        <f t="shared" si="29"/>
        <v>0.98200882084671437</v>
      </c>
      <c r="S81" s="811">
        <f t="shared" si="30"/>
        <v>-2</v>
      </c>
      <c r="T81" s="176">
        <f t="shared" si="31"/>
        <v>4</v>
      </c>
      <c r="U81" s="251">
        <f t="shared" si="32"/>
        <v>-1.0179911791532856</v>
      </c>
      <c r="V81" s="383">
        <f t="shared" si="33"/>
        <v>42.068532266677707</v>
      </c>
      <c r="W81" s="402">
        <f t="shared" si="34"/>
        <v>31.686894409873112</v>
      </c>
      <c r="X81" s="157">
        <f t="shared" si="35"/>
        <v>46454</v>
      </c>
      <c r="Y81" s="385">
        <f t="shared" si="36"/>
        <v>30.416937833477544</v>
      </c>
      <c r="Z81" s="385">
        <f t="shared" si="37"/>
        <v>32.621744817205261</v>
      </c>
      <c r="AA81" s="386">
        <f t="shared" si="38"/>
        <v>35.057891785286714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6.9489260306972278E-2</v>
      </c>
      <c r="AD81" s="231">
        <f>(INDEX(Models!$BJ81:$BT81,,AH81)*(1-AF81)+INDEX(Models!$BJ81:$BT81,,AH81+1)*AF81-ERP_i)*AE81*Ramure*Pc/MaxiM</f>
        <v>6.6750352315734151E-4</v>
      </c>
      <c r="AE81" s="305">
        <f t="shared" si="40"/>
        <v>0.5</v>
      </c>
      <c r="AF81" s="177">
        <f t="shared" si="41"/>
        <v>0.50699638722069329</v>
      </c>
      <c r="AG81" s="811">
        <f t="shared" si="49"/>
        <v>2</v>
      </c>
      <c r="AH81" s="176">
        <f t="shared" si="42"/>
        <v>8</v>
      </c>
      <c r="AI81" s="225">
        <f t="shared" si="43"/>
        <v>2.5069963872206933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'2026'!Wh/'2026'!Env_an*'2027'!Env_an</f>
        <v>28.273613752038475</v>
      </c>
      <c r="C82" s="841"/>
      <c r="D82" s="393">
        <f t="shared" si="25"/>
        <v>30.323723573569804</v>
      </c>
      <c r="E82" s="385">
        <f t="shared" si="47"/>
        <v>31.297712390091004</v>
      </c>
      <c r="F82" s="385">
        <f t="shared" si="26"/>
        <v>31.297939541271575</v>
      </c>
      <c r="G82" s="110">
        <f t="shared" si="48"/>
        <v>0.666888436739006</v>
      </c>
      <c r="H82" s="414" t="b">
        <f>Wh_hp&gt;='2026'!Maxi_hp</f>
        <v>0</v>
      </c>
      <c r="I82" s="390">
        <f>IF(H82,Wh_hp,'2026'!Maxi_hp)</f>
        <v>44.010087492548095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6.7607456470755056E-2</v>
      </c>
      <c r="M82" s="845"/>
      <c r="N82" s="845"/>
      <c r="O82" s="48">
        <f>IF(t&lt;Tnet,'2026'!Resal+('2026'!Salim-'2026'!Resal)*(1-EXP(('2026'!Tnet-t)/('2026'!Tau_j))),Resal+(Salim-Resal)*(1-EXP((Tnet-t)/(Tau_j))))*Salcycl</f>
        <v>3.1120128026659564E-2</v>
      </c>
      <c r="P82" s="169">
        <f>(INDEX(Models!$BJ82:$BT82,,T82)*(1-R82)+INDEX(Models!$BJ82:$BT82,,T82+1)*R82-ERP_i)*Q82*Ramure*Pc/MaxiM</f>
        <v>1.3847075654567717E-5</v>
      </c>
      <c r="Q82" s="305">
        <f t="shared" si="28"/>
        <v>0.5</v>
      </c>
      <c r="R82" s="177">
        <f t="shared" si="29"/>
        <v>0.98243183522830124</v>
      </c>
      <c r="S82" s="811">
        <f t="shared" si="30"/>
        <v>-2</v>
      </c>
      <c r="T82" s="176">
        <f t="shared" si="31"/>
        <v>4</v>
      </c>
      <c r="U82" s="251">
        <f t="shared" si="32"/>
        <v>-1.0175681647716988</v>
      </c>
      <c r="V82" s="383">
        <f t="shared" si="33"/>
        <v>42.396037909414233</v>
      </c>
      <c r="W82" s="402">
        <f t="shared" si="34"/>
        <v>28.273613752038475</v>
      </c>
      <c r="X82" s="157">
        <f t="shared" si="35"/>
        <v>46455</v>
      </c>
      <c r="Y82" s="385">
        <f t="shared" si="36"/>
        <v>27.143671140663315</v>
      </c>
      <c r="Z82" s="385">
        <f t="shared" si="37"/>
        <v>29.111849219557751</v>
      </c>
      <c r="AA82" s="386">
        <f t="shared" si="38"/>
        <v>31.287166061897974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6.9527448987761101E-2</v>
      </c>
      <c r="AD82" s="231">
        <f>(INDEX(Models!$BJ82:$BT82,,AH82)*(1-AF82)+INDEX(Models!$BJ82:$BT82,,AH82+1)*AF82-ERP_i)*AE82*Ramure*Pc/MaxiM</f>
        <v>6.5674844204572898E-4</v>
      </c>
      <c r="AE82" s="305">
        <f t="shared" si="40"/>
        <v>0.5</v>
      </c>
      <c r="AF82" s="177">
        <f t="shared" si="41"/>
        <v>0.50741940160227994</v>
      </c>
      <c r="AG82" s="811">
        <f t="shared" si="49"/>
        <v>2</v>
      </c>
      <c r="AH82" s="176">
        <f t="shared" si="42"/>
        <v>8</v>
      </c>
      <c r="AI82" s="225">
        <f t="shared" si="43"/>
        <v>2.5074194016022799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'2026'!Wh/'2026'!Env_an*'2027'!Env_an</f>
        <v>24.560886397154867</v>
      </c>
      <c r="C83" s="841"/>
      <c r="D83" s="393">
        <f t="shared" si="25"/>
        <v>26.342364625112534</v>
      </c>
      <c r="E83" s="385">
        <f t="shared" si="47"/>
        <v>27.19051133372059</v>
      </c>
      <c r="F83" s="385">
        <f t="shared" si="26"/>
        <v>27.190633934482843</v>
      </c>
      <c r="G83" s="110">
        <f t="shared" si="48"/>
        <v>0.57487469450562223</v>
      </c>
      <c r="H83" s="414" t="b">
        <f>Wh_hp&gt;='2026'!Maxi_hp</f>
        <v>0</v>
      </c>
      <c r="I83" s="390">
        <f>IF(H83,Wh_hp,'2026'!Maxi_hp)</f>
        <v>43.468612982947825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6.7627878260380636E-2</v>
      </c>
      <c r="M83" s="845"/>
      <c r="N83" s="845"/>
      <c r="O83" s="48">
        <f>IF(t&lt;Tnet,'2026'!Resal+('2026'!Salim-'2026'!Resal)*(1-EXP(('2026'!Tnet-t)/('2026'!Tau_j))),Resal+(Salim-Resal)*(1-EXP((Tnet-t)/(Tau_j))))*Salcycl</f>
        <v>3.1192745814832033E-2</v>
      </c>
      <c r="P83" s="169">
        <f>(INDEX(Models!$BJ83:$BT83,,T83)*(1-R83)+INDEX(Models!$BJ83:$BT83,,T83+1)*R83-ERP_i)*Q83*Ramure*Pc/MaxiM</f>
        <v>1.1482350080494083E-5</v>
      </c>
      <c r="Q83" s="305">
        <f t="shared" si="28"/>
        <v>0.5</v>
      </c>
      <c r="R83" s="177">
        <f t="shared" si="29"/>
        <v>0.98287182051963784</v>
      </c>
      <c r="S83" s="811">
        <f t="shared" si="30"/>
        <v>-2</v>
      </c>
      <c r="T83" s="176">
        <f t="shared" si="31"/>
        <v>4</v>
      </c>
      <c r="U83" s="251">
        <f t="shared" si="32"/>
        <v>-1.0171281794803622</v>
      </c>
      <c r="V83" s="383">
        <f t="shared" si="33"/>
        <v>42.723597608020626</v>
      </c>
      <c r="W83" s="402">
        <f t="shared" si="34"/>
        <v>24.560886397154867</v>
      </c>
      <c r="X83" s="157">
        <f t="shared" si="35"/>
        <v>46456</v>
      </c>
      <c r="Y83" s="385">
        <f t="shared" si="36"/>
        <v>23.582230952493251</v>
      </c>
      <c r="Z83" s="385">
        <f t="shared" si="37"/>
        <v>25.292724227418489</v>
      </c>
      <c r="AA83" s="386">
        <f t="shared" si="38"/>
        <v>27.183783243180073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6.9565703892081152E-2</v>
      </c>
      <c r="AD83" s="231">
        <f>(INDEX(Models!$BJ83:$BT83,,AH83)*(1-AF83)+INDEX(Models!$BJ83:$BT83,,AH83+1)*AF83-ERP_i)*AE83*Ramure*Pc/MaxiM</f>
        <v>6.4161131126330294E-4</v>
      </c>
      <c r="AE83" s="305">
        <f t="shared" si="40"/>
        <v>0.5</v>
      </c>
      <c r="AF83" s="177">
        <f t="shared" si="41"/>
        <v>0.50785938689361698</v>
      </c>
      <c r="AG83" s="811">
        <f t="shared" si="49"/>
        <v>2</v>
      </c>
      <c r="AH83" s="176">
        <f t="shared" si="42"/>
        <v>8</v>
      </c>
      <c r="AI83" s="225">
        <f t="shared" si="43"/>
        <v>2.507859386893617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'2026'!Wh/'2026'!Env_an*'2027'!Env_an</f>
        <v>15.584511152968915</v>
      </c>
      <c r="C84" s="841"/>
      <c r="D84" s="393">
        <f t="shared" si="25"/>
        <v>16.715270799986978</v>
      </c>
      <c r="E84" s="385">
        <f t="shared" si="47"/>
        <v>17.254746544269072</v>
      </c>
      <c r="F84" s="385">
        <f t="shared" si="26"/>
        <v>17.254760961329115</v>
      </c>
      <c r="G84" s="110">
        <f t="shared" si="48"/>
        <v>0.36199788626832202</v>
      </c>
      <c r="H84" s="414" t="b">
        <f>Wh_hp&gt;='2026'!Maxi_hp</f>
        <v>0</v>
      </c>
      <c r="I84" s="390">
        <f>IF(H84,Wh_hp,'2026'!Maxi_hp)</f>
        <v>34.137173352401021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6.7648299602716788E-2</v>
      </c>
      <c r="M84" s="845"/>
      <c r="N84" s="845"/>
      <c r="O84" s="48">
        <f>IF(t&lt;Tnet,'2026'!Resal+('2026'!Salim-'2026'!Resal)*(1-EXP(('2026'!Tnet-t)/('2026'!Tau_j))),Resal+(Salim-Resal)*(1-EXP((Tnet-t)/(Tau_j))))*Salcycl</f>
        <v>3.1265353153580346E-2</v>
      </c>
      <c r="P84" s="169">
        <f>(INDEX(Models!$BJ84:$BT84,,T84)*(1-R84)+INDEX(Models!$BJ84:$BT84,,T84+1)*R84-ERP_i)*Q84*Ramure*Pc/MaxiM</f>
        <v>9.4333753450217713E-6</v>
      </c>
      <c r="Q84" s="305">
        <f t="shared" si="28"/>
        <v>0.5</v>
      </c>
      <c r="R84" s="177">
        <f t="shared" si="29"/>
        <v>0.98332942452730276</v>
      </c>
      <c r="S84" s="811">
        <f t="shared" si="30"/>
        <v>-2</v>
      </c>
      <c r="T84" s="176">
        <f t="shared" si="31"/>
        <v>4</v>
      </c>
      <c r="U84" s="251">
        <f t="shared" si="32"/>
        <v>-1.0166705754726972</v>
      </c>
      <c r="V84" s="383">
        <f t="shared" si="33"/>
        <v>43.05101701135353</v>
      </c>
      <c r="W84" s="402">
        <f t="shared" si="34"/>
        <v>15.584511152968915</v>
      </c>
      <c r="X84" s="157">
        <f t="shared" si="35"/>
        <v>46457</v>
      </c>
      <c r="Y84" s="385">
        <f t="shared" si="36"/>
        <v>14.966925406592432</v>
      </c>
      <c r="Z84" s="385">
        <f t="shared" si="37"/>
        <v>16.0528751116289</v>
      </c>
      <c r="AA84" s="386">
        <f t="shared" si="38"/>
        <v>17.253810061339038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6.9604043712124711E-2</v>
      </c>
      <c r="AD84" s="231">
        <f>(INDEX(Models!$BJ84:$BT84,,AH84)*(1-AF84)+INDEX(Models!$BJ84:$BT84,,AH84+1)*AF84-ERP_i)*AE84*Ramure*Pc/MaxiM</f>
        <v>6.2219318609205555E-4</v>
      </c>
      <c r="AE84" s="305">
        <f t="shared" si="40"/>
        <v>0.5</v>
      </c>
      <c r="AF84" s="177">
        <f t="shared" si="41"/>
        <v>0.50831699090128168</v>
      </c>
      <c r="AG84" s="811">
        <f t="shared" si="49"/>
        <v>2</v>
      </c>
      <c r="AH84" s="176">
        <f t="shared" si="42"/>
        <v>8</v>
      </c>
      <c r="AI84" s="225">
        <f t="shared" si="43"/>
        <v>2.5083169909012817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'2026'!Wh/'2026'!Env_an*'2027'!Env_an</f>
        <v>14.48000403549778</v>
      </c>
      <c r="C85" s="841"/>
      <c r="D85" s="393">
        <f t="shared" si="25"/>
        <v>15.530964533581535</v>
      </c>
      <c r="E85" s="385">
        <f t="shared" si="47"/>
        <v>16.033419170824587</v>
      </c>
      <c r="F85" s="385">
        <f t="shared" si="26"/>
        <v>16.033425128507769</v>
      </c>
      <c r="G85" s="110">
        <f t="shared" si="48"/>
        <v>0.33380663085014101</v>
      </c>
      <c r="H85" s="414" t="b">
        <f>Wh_hp&gt;='2026'!Maxi_hp</f>
        <v>0</v>
      </c>
      <c r="I85" s="390">
        <f>IF(H85,Wh_hp,'2026'!Maxi_hp)</f>
        <v>42.294025676295831</v>
      </c>
      <c r="J85" s="85">
        <f>IF(H85,An,'2026'!An_max)</f>
        <v>2019</v>
      </c>
      <c r="K85" s="197">
        <f t="shared" si="27"/>
        <v>46458</v>
      </c>
      <c r="L85" s="147">
        <f>IF(t&lt;Tvie,1-EXP((T0-t)*PertePVj)+'2026'!Pspv,1-EXP((T0-t)*PertePVj)+Pspv)</f>
        <v>6.7668720497773061E-2</v>
      </c>
      <c r="M85" s="845"/>
      <c r="N85" s="845"/>
      <c r="O85" s="48">
        <f>IF(t&lt;Tnet,'2026'!Resal+('2026'!Salim-'2026'!Resal)*(1-EXP(('2026'!Tnet-t)/('2026'!Tau_j))),Resal+(Salim-Resal)*(1-EXP((Tnet-t)/(Tau_j))))*Salcycl</f>
        <v>3.1337959289266734E-2</v>
      </c>
      <c r="P85" s="169">
        <f>(INDEX(Models!$BJ85:$BT85,,T85)*(1-R85)+INDEX(Models!$BJ85:$BT85,,T85+1)*R85-ERP_i)*Q85*Ramure*Pc/MaxiM</f>
        <v>7.6933563411429154E-6</v>
      </c>
      <c r="Q85" s="305">
        <f t="shared" si="28"/>
        <v>0.5</v>
      </c>
      <c r="R85" s="177">
        <f t="shared" si="29"/>
        <v>0.98380531702665808</v>
      </c>
      <c r="S85" s="811">
        <f t="shared" si="30"/>
        <v>-2</v>
      </c>
      <c r="T85" s="176">
        <f t="shared" si="31"/>
        <v>4</v>
      </c>
      <c r="U85" s="251">
        <f t="shared" si="32"/>
        <v>-1.0161946829733419</v>
      </c>
      <c r="V85" s="383">
        <f t="shared" si="33"/>
        <v>43.378101804672454</v>
      </c>
      <c r="W85" s="402">
        <f t="shared" si="34"/>
        <v>14.48000403549778</v>
      </c>
      <c r="X85" s="157">
        <f t="shared" si="35"/>
        <v>46458</v>
      </c>
      <c r="Y85" s="385">
        <f t="shared" si="36"/>
        <v>13.907013472912924</v>
      </c>
      <c r="Z85" s="385">
        <f t="shared" si="37"/>
        <v>14.916386244530914</v>
      </c>
      <c r="AA85" s="386">
        <f t="shared" si="38"/>
        <v>16.032961583684678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6.9642488278023648E-2</v>
      </c>
      <c r="AD85" s="231">
        <f>(INDEX(Models!$BJ85:$BT85,,AH85)*(1-AF85)+INDEX(Models!$BJ85:$BT85,,AH85+1)*AF85-ERP_i)*AE85*Ramure*Pc/MaxiM</f>
        <v>5.9859099505432298E-4</v>
      </c>
      <c r="AE85" s="305">
        <f t="shared" si="40"/>
        <v>0.5</v>
      </c>
      <c r="AF85" s="177">
        <f t="shared" si="41"/>
        <v>0.50879288340063678</v>
      </c>
      <c r="AG85" s="811">
        <f t="shared" si="49"/>
        <v>2</v>
      </c>
      <c r="AH85" s="176">
        <f t="shared" si="42"/>
        <v>8</v>
      </c>
      <c r="AI85" s="225">
        <f t="shared" si="43"/>
        <v>2.5087928834006368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'2026'!Wh/'2026'!Env_an*'2027'!Env_an</f>
        <v>9.8286535161472699</v>
      </c>
      <c r="C86" s="841"/>
      <c r="D86" s="393">
        <f t="shared" si="25"/>
        <v>10.542249315979856</v>
      </c>
      <c r="E86" s="385">
        <f t="shared" si="47"/>
        <v>10.884125960027493</v>
      </c>
      <c r="F86" s="385">
        <f t="shared" si="26"/>
        <v>10.884125960027493</v>
      </c>
      <c r="G86" s="110">
        <f t="shared" si="48"/>
        <v>0.22488660353368189</v>
      </c>
      <c r="H86" s="414" t="b">
        <f>Wh_hp&gt;='2026'!Maxi_hp</f>
        <v>0</v>
      </c>
      <c r="I86" s="390">
        <f>IF(H86,Wh_hp,'2026'!Maxi_hp)</f>
        <v>41.647039184319176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6.7689140945559223E-2</v>
      </c>
      <c r="M86" s="845"/>
      <c r="N86" s="845"/>
      <c r="O86" s="48">
        <f>IF(t&lt;Tnet,'2026'!Resal+('2026'!Salim-'2026'!Resal)*(1-EXP(('2026'!Tnet-t)/('2026'!Tau_j))),Resal+(Salim-Resal)*(1-EXP((Tnet-t)/(Tau_j))))*Salcycl</f>
        <v>3.1410574014229156E-2</v>
      </c>
      <c r="P86" s="169">
        <f>(INDEX(Models!$BJ86:$BT86,,T86)*(1-R86)+INDEX(Models!$BJ86:$BT86,,T86+1)*R86-ERP_i)*Q86*Ramure*Pc/MaxiM</f>
        <v>6.2520759009773473E-6</v>
      </c>
      <c r="Q86" s="305">
        <f t="shared" si="28"/>
        <v>0.5</v>
      </c>
      <c r="R86" s="177">
        <f t="shared" si="29"/>
        <v>0.98430019027350379</v>
      </c>
      <c r="S86" s="811">
        <f t="shared" si="30"/>
        <v>-2</v>
      </c>
      <c r="T86" s="176">
        <f t="shared" si="31"/>
        <v>4</v>
      </c>
      <c r="U86" s="251">
        <f t="shared" si="32"/>
        <v>-1.0156998097264962</v>
      </c>
      <c r="V86" s="383">
        <f t="shared" si="33"/>
        <v>43.704657868548523</v>
      </c>
      <c r="W86" s="402">
        <f t="shared" si="34"/>
        <v>9.8286535161472699</v>
      </c>
      <c r="X86" s="157">
        <f t="shared" si="35"/>
        <v>46459</v>
      </c>
      <c r="Y86" s="385">
        <f t="shared" si="36"/>
        <v>9.4403080296509554</v>
      </c>
      <c r="Z86" s="385">
        <f t="shared" si="37"/>
        <v>10.125708542347573</v>
      </c>
      <c r="AA86" s="386">
        <f t="shared" si="38"/>
        <v>10.884125960027493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6.9681058494292236E-2</v>
      </c>
      <c r="AD86" s="231">
        <f>(INDEX(Models!$BJ86:$BT86,,AH86)*(1-AF86)+INDEX(Models!$BJ86:$BT86,,AH86+1)*AF86-ERP_i)*AE86*Ramure*Pc/MaxiM</f>
        <v>5.7144855934934105E-4</v>
      </c>
      <c r="AE86" s="305">
        <f t="shared" si="40"/>
        <v>0.5</v>
      </c>
      <c r="AF86" s="177">
        <f t="shared" si="41"/>
        <v>0.50928775664748294</v>
      </c>
      <c r="AG86" s="811">
        <f t="shared" si="49"/>
        <v>2</v>
      </c>
      <c r="AH86" s="176">
        <f t="shared" si="42"/>
        <v>8</v>
      </c>
      <c r="AI86" s="225">
        <f t="shared" si="43"/>
        <v>2.5092877566474829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'2026'!Wh/'2026'!Env_an*'2027'!Env_an</f>
        <v>14.163399511460648</v>
      </c>
      <c r="C87" s="841"/>
      <c r="D87" s="393">
        <f t="shared" si="25"/>
        <v>15.192046296037981</v>
      </c>
      <c r="E87" s="385">
        <f t="shared" si="47"/>
        <v>15.685888376819252</v>
      </c>
      <c r="F87" s="385">
        <f t="shared" si="26"/>
        <v>15.685890801364005</v>
      </c>
      <c r="G87" s="110">
        <f t="shared" si="48"/>
        <v>0.32167094011407915</v>
      </c>
      <c r="H87" s="414" t="b">
        <f>Wh_hp&gt;='2026'!Maxi_hp</f>
        <v>0</v>
      </c>
      <c r="I87" s="390">
        <f>IF(H87,Wh_hp,'2026'!Maxi_hp)</f>
        <v>41.178376020580401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6.7709560946085268E-2</v>
      </c>
      <c r="M87" s="845"/>
      <c r="N87" s="845"/>
      <c r="O87" s="48">
        <f>IF(t&lt;Tnet,'2026'!Resal+('2026'!Salim-'2026'!Resal)*(1-EXP(('2026'!Tnet-t)/('2026'!Tau_j))),Resal+(Salim-Resal)*(1-EXP((Tnet-t)/(Tau_j))))*Salcycl</f>
        <v>3.1483207639745436E-2</v>
      </c>
      <c r="P87" s="169">
        <f>(INDEX(Models!$BJ87:$BT87,,T87)*(1-R87)+INDEX(Models!$BJ87:$BT87,,T87+1)*R87-ERP_i)*Q87*Ramure*Pc/MaxiM</f>
        <v>4.9924085675999705E-6</v>
      </c>
      <c r="Q87" s="305">
        <f t="shared" si="28"/>
        <v>0.5</v>
      </c>
      <c r="R87" s="177">
        <f t="shared" si="29"/>
        <v>0.98481475950654151</v>
      </c>
      <c r="S87" s="811">
        <f t="shared" si="30"/>
        <v>-2</v>
      </c>
      <c r="T87" s="176">
        <f t="shared" si="31"/>
        <v>4</v>
      </c>
      <c r="U87" s="251">
        <f t="shared" si="32"/>
        <v>-1.0151852404934585</v>
      </c>
      <c r="V87" s="383">
        <f t="shared" si="33"/>
        <v>44.030495842010389</v>
      </c>
      <c r="W87" s="402">
        <f t="shared" si="34"/>
        <v>14.163399511460648</v>
      </c>
      <c r="X87" s="157">
        <f t="shared" si="35"/>
        <v>46460</v>
      </c>
      <c r="Y87" s="385">
        <f t="shared" si="36"/>
        <v>13.604008708424457</v>
      </c>
      <c r="Z87" s="385">
        <f t="shared" si="37"/>
        <v>14.592028555210499</v>
      </c>
      <c r="AA87" s="386">
        <f t="shared" si="38"/>
        <v>15.685626957350715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6.9719776271214062E-2</v>
      </c>
      <c r="AD87" s="231">
        <f>(INDEX(Models!$BJ87:$BT87,,AH87)*(1-AF87)+INDEX(Models!$BJ87:$BT87,,AH87+1)*AF87-ERP_i)*AE87*Ramure*Pc/MaxiM</f>
        <v>5.4328430555465634E-4</v>
      </c>
      <c r="AE87" s="305">
        <f t="shared" si="40"/>
        <v>0.5</v>
      </c>
      <c r="AF87" s="177">
        <f t="shared" si="41"/>
        <v>0.50980232588052043</v>
      </c>
      <c r="AG87" s="811">
        <f t="shared" si="49"/>
        <v>2</v>
      </c>
      <c r="AH87" s="176">
        <f t="shared" si="42"/>
        <v>8</v>
      </c>
      <c r="AI87" s="225">
        <f t="shared" si="43"/>
        <v>2.5098023258805204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'2026'!Wh/'2026'!Env_an*'2027'!Env_an</f>
        <v>14.186483307474157</v>
      </c>
      <c r="C88" s="841"/>
      <c r="D88" s="393">
        <f t="shared" si="25"/>
        <v>15.217139895878024</v>
      </c>
      <c r="E88" s="385">
        <f t="shared" si="47"/>
        <v>15.712976556600488</v>
      </c>
      <c r="F88" s="385">
        <f t="shared" si="26"/>
        <v>15.712978297843767</v>
      </c>
      <c r="G88" s="110">
        <f t="shared" si="48"/>
        <v>0.31983529664482291</v>
      </c>
      <c r="H88" s="414" t="b">
        <f>Wh_hp&gt;='2026'!Maxi_hp</f>
        <v>0</v>
      </c>
      <c r="I88" s="390">
        <f>IF(H88,Wh_hp,'2026'!Maxi_hp)</f>
        <v>31.428093358036886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6.7729980499360964E-2</v>
      </c>
      <c r="M88" s="845"/>
      <c r="N88" s="845"/>
      <c r="O88" s="48">
        <f>IF(t&lt;Tnet,'2026'!Resal+('2026'!Salim-'2026'!Resal)*(1-EXP(('2026'!Tnet-t)/('2026'!Tau_j))),Resal+(Salim-Resal)*(1-EXP((Tnet-t)/(Tau_j))))*Salcycl</f>
        <v>3.1555870966674296E-2</v>
      </c>
      <c r="P88" s="169">
        <f>(INDEX(Models!$BJ88:$BT88,,T88)*(1-R88)+INDEX(Models!$BJ88:$BT88,,T88+1)*R88-ERP_i)*Q88*Ramure*Pc/MaxiM</f>
        <v>3.9105124647650152E-6</v>
      </c>
      <c r="Q88" s="305">
        <f t="shared" si="28"/>
        <v>0.5</v>
      </c>
      <c r="R88" s="177">
        <f t="shared" si="29"/>
        <v>0.98534976343817315</v>
      </c>
      <c r="S88" s="811">
        <f t="shared" si="30"/>
        <v>-2</v>
      </c>
      <c r="T88" s="176">
        <f t="shared" si="31"/>
        <v>4</v>
      </c>
      <c r="U88" s="251">
        <f t="shared" si="32"/>
        <v>-1.0146502365618268</v>
      </c>
      <c r="V88" s="383">
        <f t="shared" si="33"/>
        <v>44.355421530870672</v>
      </c>
      <c r="W88" s="402">
        <f t="shared" si="34"/>
        <v>14.186483307474157</v>
      </c>
      <c r="X88" s="157">
        <f t="shared" si="35"/>
        <v>46461</v>
      </c>
      <c r="Y88" s="385">
        <f t="shared" si="36"/>
        <v>13.626663615122144</v>
      </c>
      <c r="Z88" s="385">
        <f t="shared" si="37"/>
        <v>14.616648964450372</v>
      </c>
      <c r="AA88" s="386">
        <f t="shared" si="38"/>
        <v>15.712749375771022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6.9758664451864308E-2</v>
      </c>
      <c r="AD88" s="231">
        <f>(INDEX(Models!$BJ88:$BT88,,AH88)*(1-AF88)+INDEX(Models!$BJ88:$BT88,,AH88+1)*AF88-ERP_i)*AE88*Ramure*Pc/MaxiM</f>
        <v>5.1411691294945151E-4</v>
      </c>
      <c r="AE88" s="305">
        <f t="shared" si="40"/>
        <v>0.5</v>
      </c>
      <c r="AF88" s="177">
        <f t="shared" si="41"/>
        <v>0.51033732981215207</v>
      </c>
      <c r="AG88" s="811">
        <f t="shared" si="49"/>
        <v>2</v>
      </c>
      <c r="AH88" s="176">
        <f t="shared" si="42"/>
        <v>8</v>
      </c>
      <c r="AI88" s="225">
        <f t="shared" si="43"/>
        <v>2.5103373298121521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'2026'!Wh/'2026'!Env_an*'2027'!Env_an</f>
        <v>12.786411475747832</v>
      </c>
      <c r="C89" s="841"/>
      <c r="D89" s="393">
        <f t="shared" si="25"/>
        <v>13.715652407183205</v>
      </c>
      <c r="E89" s="385">
        <f t="shared" si="47"/>
        <v>14.163627774107185</v>
      </c>
      <c r="F89" s="385">
        <f t="shared" si="26"/>
        <v>14.163627774107185</v>
      </c>
      <c r="G89" s="110">
        <f t="shared" si="48"/>
        <v>0.28618152097434002</v>
      </c>
      <c r="H89" s="414" t="b">
        <f>Wh_hp&gt;='2026'!Maxi_hp</f>
        <v>0</v>
      </c>
      <c r="I89" s="390">
        <f>IF(H89,Wh_hp,'2026'!Maxi_hp)</f>
        <v>50.491533478793343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6.7750399605395972E-2</v>
      </c>
      <c r="M89" s="845"/>
      <c r="N89" s="845"/>
      <c r="O89" s="48">
        <f>IF(t&lt;Tnet,'2026'!Resal+('2026'!Salim-'2026'!Resal)*(1-EXP(('2026'!Tnet-t)/('2026'!Tau_j))),Resal+(Salim-Resal)*(1-EXP((Tnet-t)/(Tau_j))))*Salcycl</f>
        <v>3.1628575254069681E-2</v>
      </c>
      <c r="P89" s="169">
        <f>(INDEX(Models!$BJ89:$BT89,,T89)*(1-R89)+INDEX(Models!$BJ89:$BT89,,T89+1)*R89-ERP_i)*Q89*Ramure*Pc/MaxiM</f>
        <v>3.0026910655356092E-6</v>
      </c>
      <c r="Q89" s="305">
        <f t="shared" si="28"/>
        <v>0.5</v>
      </c>
      <c r="R89" s="177">
        <f t="shared" si="29"/>
        <v>0.98590596473094494</v>
      </c>
      <c r="S89" s="811">
        <f t="shared" si="30"/>
        <v>-2</v>
      </c>
      <c r="T89" s="176">
        <f t="shared" si="31"/>
        <v>4</v>
      </c>
      <c r="U89" s="251">
        <f t="shared" si="32"/>
        <v>-1.0140940352690551</v>
      </c>
      <c r="V89" s="383">
        <f t="shared" si="33"/>
        <v>44.679240778969799</v>
      </c>
      <c r="W89" s="402">
        <f t="shared" si="34"/>
        <v>12.786411475747832</v>
      </c>
      <c r="X89" s="157">
        <f t="shared" si="35"/>
        <v>46462</v>
      </c>
      <c r="Y89" s="385">
        <f t="shared" si="36"/>
        <v>12.282424348724126</v>
      </c>
      <c r="Z89" s="385">
        <f t="shared" si="37"/>
        <v>13.175038469874595</v>
      </c>
      <c r="AA89" s="386">
        <f t="shared" si="38"/>
        <v>14.163627774107185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6.9797746735469124E-2</v>
      </c>
      <c r="AD89" s="231">
        <f>(INDEX(Models!$BJ89:$BT89,,AH89)*(1-AF89)+INDEX(Models!$BJ89:$BT89,,AH89+1)*AF89-ERP_i)*AE89*Ramure*Pc/MaxiM</f>
        <v>4.8396300055837124E-4</v>
      </c>
      <c r="AE89" s="305">
        <f t="shared" si="40"/>
        <v>0.5</v>
      </c>
      <c r="AF89" s="177">
        <f t="shared" si="41"/>
        <v>0.51089353110492386</v>
      </c>
      <c r="AG89" s="811">
        <f t="shared" si="49"/>
        <v>2</v>
      </c>
      <c r="AH89" s="176">
        <f t="shared" si="42"/>
        <v>8</v>
      </c>
      <c r="AI89" s="225">
        <f t="shared" si="43"/>
        <v>2.5108935311049239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'2026'!Wh/'2026'!Env_an*'2027'!Env_an</f>
        <v>10.666591587220953</v>
      </c>
      <c r="C90" s="841"/>
      <c r="D90" s="393">
        <f t="shared" si="25"/>
        <v>11.442027128307529</v>
      </c>
      <c r="E90" s="385">
        <f t="shared" si="47"/>
        <v>11.816630042608139</v>
      </c>
      <c r="F90" s="385">
        <f t="shared" si="26"/>
        <v>11.816630042608139</v>
      </c>
      <c r="G90" s="110">
        <f t="shared" si="48"/>
        <v>0.23702556409198697</v>
      </c>
      <c r="H90" s="414" t="b">
        <f>Wh_hp&gt;='2026'!Maxi_hp</f>
        <v>0</v>
      </c>
      <c r="I90" s="390">
        <f>IF(H90,Wh_hp,'2026'!Maxi_hp)</f>
        <v>27.136616542417517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6.7770818264200061E-2</v>
      </c>
      <c r="M90" s="845"/>
      <c r="N90" s="845"/>
      <c r="O90" s="48">
        <f>IF(t&lt;Tnet,'2026'!Resal+('2026'!Salim-'2026'!Resal)*(1-EXP(('2026'!Tnet-t)/('2026'!Tau_j))),Resal+(Salim-Resal)*(1-EXP((Tnet-t)/(Tau_j))))*Salcycl</f>
        <v>3.1701332186069492E-2</v>
      </c>
      <c r="P90" s="169">
        <f>(INDEX(Models!$BJ90:$BT90,,T90)*(1-R90)+INDEX(Models!$BJ90:$BT90,,T90+1)*R90-ERP_i)*Q90*Ramure*Pc/MaxiM</f>
        <v>2.2654014482856802E-6</v>
      </c>
      <c r="Q90" s="305">
        <f t="shared" si="28"/>
        <v>0.5</v>
      </c>
      <c r="R90" s="177">
        <f t="shared" si="29"/>
        <v>0.98648415045670923</v>
      </c>
      <c r="S90" s="811">
        <f t="shared" si="30"/>
        <v>-2</v>
      </c>
      <c r="T90" s="176">
        <f t="shared" si="31"/>
        <v>4</v>
      </c>
      <c r="U90" s="251">
        <f t="shared" si="32"/>
        <v>-1.0135158495432908</v>
      </c>
      <c r="V90" s="383">
        <f t="shared" si="33"/>
        <v>45.001759468313494</v>
      </c>
      <c r="W90" s="402">
        <f t="shared" si="34"/>
        <v>10.666591587220953</v>
      </c>
      <c r="X90" s="157">
        <f t="shared" si="35"/>
        <v>46463</v>
      </c>
      <c r="Y90" s="385">
        <f t="shared" si="36"/>
        <v>10.246495892881294</v>
      </c>
      <c r="Z90" s="385">
        <f t="shared" si="37"/>
        <v>10.991391487876873</v>
      </c>
      <c r="AA90" s="386">
        <f t="shared" si="38"/>
        <v>11.816630042608139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6.9837047597804028E-2</v>
      </c>
      <c r="AD90" s="231">
        <f>(INDEX(Models!$BJ90:$BT90,,AH90)*(1-AF90)+INDEX(Models!$BJ90:$BT90,,AH90+1)*AF90-ERP_i)*AE90*Ramure*Pc/MaxiM</f>
        <v>4.5283705914391106E-4</v>
      </c>
      <c r="AE90" s="305">
        <f t="shared" si="40"/>
        <v>0.5</v>
      </c>
      <c r="AF90" s="177">
        <f t="shared" si="41"/>
        <v>0.51147171683068837</v>
      </c>
      <c r="AG90" s="811">
        <f t="shared" si="49"/>
        <v>2</v>
      </c>
      <c r="AH90" s="176">
        <f t="shared" si="42"/>
        <v>8</v>
      </c>
      <c r="AI90" s="225">
        <f t="shared" si="43"/>
        <v>2.5114717168306884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'2026'!Wh/'2026'!Env_an*'2027'!Env_an</f>
        <v>14.221241411157617</v>
      </c>
      <c r="C91" s="841"/>
      <c r="D91" s="393">
        <f t="shared" si="25"/>
        <v>15.255425573767608</v>
      </c>
      <c r="E91" s="385">
        <f t="shared" si="47"/>
        <v>15.756061082472955</v>
      </c>
      <c r="F91" s="385">
        <f t="shared" si="26"/>
        <v>15.756061608172146</v>
      </c>
      <c r="G91" s="110">
        <f t="shared" si="48"/>
        <v>0.31377635423273326</v>
      </c>
      <c r="H91" s="414" t="b">
        <f>Wh_hp&gt;='2026'!Maxi_hp</f>
        <v>0</v>
      </c>
      <c r="I91" s="390">
        <f>IF(H91,Wh_hp,'2026'!Maxi_hp)</f>
        <v>35.441978382349127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6.7791236475783223E-2</v>
      </c>
      <c r="M91" s="845"/>
      <c r="N91" s="845"/>
      <c r="O91" s="48">
        <f>IF(t&lt;Tnet,'2026'!Resal+('2026'!Salim-'2026'!Resal)*(1-EXP(('2026'!Tnet-t)/('2026'!Tau_j))),Resal+(Salim-Resal)*(1-EXP((Tnet-t)/(Tau_j))))*Salcycl</f>
        <v>3.1774153837360708E-2</v>
      </c>
      <c r="P91" s="169">
        <f>(INDEX(Models!$BJ91:$BT91,,T91)*(1-R91)+INDEX(Models!$BJ91:$BT91,,T91+1)*R91-ERP_i)*Q91*Ramure*Pc/MaxiM</f>
        <v>1.6952624294172006E-6</v>
      </c>
      <c r="Q91" s="305">
        <f t="shared" si="28"/>
        <v>0.5</v>
      </c>
      <c r="R91" s="177">
        <f t="shared" si="29"/>
        <v>0.9870851325353347</v>
      </c>
      <c r="S91" s="811">
        <f t="shared" si="30"/>
        <v>-2</v>
      </c>
      <c r="T91" s="176">
        <f t="shared" si="31"/>
        <v>4</v>
      </c>
      <c r="U91" s="251">
        <f t="shared" si="32"/>
        <v>-1.0129148674646653</v>
      </c>
      <c r="V91" s="383">
        <f t="shared" si="33"/>
        <v>45.322783521037842</v>
      </c>
      <c r="W91" s="402">
        <f t="shared" si="34"/>
        <v>14.221241411157617</v>
      </c>
      <c r="X91" s="157">
        <f t="shared" si="35"/>
        <v>46464</v>
      </c>
      <c r="Y91" s="385">
        <f t="shared" si="36"/>
        <v>13.661482475654699</v>
      </c>
      <c r="Z91" s="385">
        <f t="shared" si="37"/>
        <v>14.654960358887253</v>
      </c>
      <c r="AA91" s="386">
        <f t="shared" si="38"/>
        <v>15.755931133587151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6.9876592209326321E-2</v>
      </c>
      <c r="AD91" s="231">
        <f>(INDEX(Models!$BJ91:$BT91,,AH91)*(1-AF91)+INDEX(Models!$BJ91:$BT91,,AH91+1)*AF91-ERP_i)*AE91*Ramure*Pc/MaxiM</f>
        <v>4.2075138467583272E-4</v>
      </c>
      <c r="AE91" s="305">
        <f t="shared" si="40"/>
        <v>0.5</v>
      </c>
      <c r="AF91" s="177">
        <f t="shared" si="41"/>
        <v>0.5120726989093134</v>
      </c>
      <c r="AG91" s="811">
        <f t="shared" si="49"/>
        <v>2</v>
      </c>
      <c r="AH91" s="176">
        <f t="shared" si="42"/>
        <v>8</v>
      </c>
      <c r="AI91" s="225">
        <f t="shared" si="43"/>
        <v>2.5120726989093134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'2026'!Wh/'2026'!Env_an*'2027'!Env_an</f>
        <v>28.860113439105259</v>
      </c>
      <c r="C92" s="841"/>
      <c r="D92" s="393">
        <f t="shared" si="25"/>
        <v>30.959530410757086</v>
      </c>
      <c r="E92" s="385">
        <f t="shared" si="47"/>
        <v>31.977933336978953</v>
      </c>
      <c r="F92" s="385">
        <f t="shared" si="26"/>
        <v>31.977952906229042</v>
      </c>
      <c r="G92" s="110">
        <f t="shared" si="48"/>
        <v>0.63231275396825037</v>
      </c>
      <c r="H92" s="414" t="b">
        <f>Wh_hp&gt;='2026'!Maxi_hp</f>
        <v>0</v>
      </c>
      <c r="I92" s="390">
        <f>IF(H92,Wh_hp,'2026'!Maxi_hp)</f>
        <v>46.110957889709681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6.7811654240155117E-2</v>
      </c>
      <c r="M92" s="845"/>
      <c r="N92" s="845"/>
      <c r="O92" s="48">
        <f>IF(t&lt;Tnet,'2026'!Resal+('2026'!Salim-'2026'!Resal)*(1-EXP(('2026'!Tnet-t)/('2026'!Tau_j))),Resal+(Salim-Resal)*(1-EXP((Tnet-t)/(Tau_j))))*Salcycl</f>
        <v>3.1847052637519781E-2</v>
      </c>
      <c r="P92" s="169">
        <f>(INDEX(Models!$BJ92:$BT92,,T92)*(1-R92)+INDEX(Models!$BJ92:$BT92,,T92+1)*R92-ERP_i)*Q92*Ramure*Pc/MaxiM</f>
        <v>1.2890625628868469E-6</v>
      </c>
      <c r="Q92" s="305">
        <f t="shared" si="28"/>
        <v>0.5</v>
      </c>
      <c r="R92" s="177">
        <f t="shared" si="29"/>
        <v>0.98770974814954116</v>
      </c>
      <c r="S92" s="811">
        <f t="shared" si="30"/>
        <v>-2</v>
      </c>
      <c r="T92" s="176">
        <f t="shared" si="31"/>
        <v>4</v>
      </c>
      <c r="U92" s="251">
        <f t="shared" si="32"/>
        <v>-1.0122902518504588</v>
      </c>
      <c r="V92" s="383">
        <f t="shared" si="33"/>
        <v>45.642118898815575</v>
      </c>
      <c r="W92" s="402">
        <f t="shared" si="34"/>
        <v>28.860113439105259</v>
      </c>
      <c r="X92" s="157">
        <f t="shared" si="35"/>
        <v>46465</v>
      </c>
      <c r="Y92" s="385">
        <f t="shared" si="36"/>
        <v>27.720200487154571</v>
      </c>
      <c r="Z92" s="385">
        <f t="shared" si="37"/>
        <v>29.736694964320002</v>
      </c>
      <c r="AA92" s="386">
        <f t="shared" si="38"/>
        <v>31.972066992039814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6.9916406351718252E-2</v>
      </c>
      <c r="AD92" s="231">
        <f>(INDEX(Models!$BJ92:$BT92,,AH92)*(1-AF92)+INDEX(Models!$BJ92:$BT92,,AH92+1)*AF92-ERP_i)*AE92*Ramure*Pc/MaxiM</f>
        <v>3.8771601339393876E-4</v>
      </c>
      <c r="AE92" s="305">
        <f t="shared" si="40"/>
        <v>0.5</v>
      </c>
      <c r="AF92" s="177">
        <f t="shared" si="41"/>
        <v>0.5126973145235203</v>
      </c>
      <c r="AG92" s="811">
        <f t="shared" si="49"/>
        <v>2</v>
      </c>
      <c r="AH92" s="176">
        <f t="shared" si="42"/>
        <v>8</v>
      </c>
      <c r="AI92" s="225">
        <f t="shared" si="43"/>
        <v>2.5126973145235203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'2026'!Wh/'2026'!Env_an*'2027'!Env_an</f>
        <v>29.807506773978947</v>
      </c>
      <c r="C93" s="841"/>
      <c r="D93" s="393">
        <f t="shared" si="25"/>
        <v>31.976541848824208</v>
      </c>
      <c r="E93" s="385">
        <f t="shared" si="47"/>
        <v>33.030889197318572</v>
      </c>
      <c r="F93" s="385">
        <f t="shared" si="26"/>
        <v>33.030906361901522</v>
      </c>
      <c r="G93" s="110">
        <f t="shared" si="48"/>
        <v>0.64852248613636387</v>
      </c>
      <c r="H93" s="414" t="b">
        <f>Wh_hp&gt;='2026'!Maxi_hp</f>
        <v>0</v>
      </c>
      <c r="I93" s="390">
        <f>IF(H93,Wh_hp,'2026'!Maxi_hp)</f>
        <v>51.145293953169229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6.7832071557325624E-2</v>
      </c>
      <c r="M93" s="845"/>
      <c r="N93" s="845"/>
      <c r="O93" s="48">
        <f>IF(t&lt;Tnet,'2026'!Resal+('2026'!Salim-'2026'!Resal)*(1-EXP(('2026'!Tnet-t)/('2026'!Tau_j))),Resal+(Salim-Resal)*(1-EXP((Tnet-t)/(Tau_j))))*Salcycl</f>
        <v>3.1920041334520075E-2</v>
      </c>
      <c r="P93" s="169">
        <f>(INDEX(Models!$BJ93:$BT93,,T93)*(1-R93)+INDEX(Models!$BJ93:$BT93,,T93+1)*R93-ERP_i)*Q93*Ramure*Pc/MaxiM</f>
        <v>1.0437093598319162E-6</v>
      </c>
      <c r="Q93" s="305">
        <f t="shared" si="28"/>
        <v>0.5</v>
      </c>
      <c r="R93" s="177">
        <f t="shared" si="29"/>
        <v>0.98835886013216268</v>
      </c>
      <c r="S93" s="811">
        <f t="shared" si="30"/>
        <v>-2</v>
      </c>
      <c r="T93" s="176">
        <f t="shared" si="31"/>
        <v>4</v>
      </c>
      <c r="U93" s="251">
        <f t="shared" si="32"/>
        <v>-1.0116411398678373</v>
      </c>
      <c r="V93" s="383">
        <f t="shared" si="33"/>
        <v>45.962155191741068</v>
      </c>
      <c r="W93" s="402">
        <f t="shared" si="34"/>
        <v>29.807506773978947</v>
      </c>
      <c r="X93" s="157">
        <f t="shared" si="35"/>
        <v>46466</v>
      </c>
      <c r="Y93" s="385">
        <f t="shared" si="36"/>
        <v>28.631322591172985</v>
      </c>
      <c r="Z93" s="385">
        <f t="shared" si="37"/>
        <v>30.714768999836629</v>
      </c>
      <c r="AA93" s="386">
        <f t="shared" si="38"/>
        <v>33.025089191260101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6.9956516333493673E-2</v>
      </c>
      <c r="AD93" s="231">
        <f>(INDEX(Models!$BJ93:$BT93,,AH93)*(1-AF93)+INDEX(Models!$BJ93:$BT93,,AH93+1)*AF93-ERP_i)*AE93*Ramure*Pc/MaxiM</f>
        <v>3.5371878613219443E-4</v>
      </c>
      <c r="AE93" s="305">
        <f t="shared" si="40"/>
        <v>0.5</v>
      </c>
      <c r="AF93" s="177">
        <f t="shared" si="41"/>
        <v>0.51334642650614182</v>
      </c>
      <c r="AG93" s="811">
        <f t="shared" si="49"/>
        <v>2</v>
      </c>
      <c r="AH93" s="176">
        <f t="shared" si="42"/>
        <v>8</v>
      </c>
      <c r="AI93" s="225">
        <f t="shared" si="43"/>
        <v>2.5133464265061418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'2026'!Wh/'2026'!Env_an*'2027'!Env_an</f>
        <v>43.460161751988331</v>
      </c>
      <c r="C94" s="841"/>
      <c r="D94" s="393">
        <f t="shared" si="25"/>
        <v>46.623695512165718</v>
      </c>
      <c r="E94" s="385">
        <f t="shared" si="47"/>
        <v>48.164633020240473</v>
      </c>
      <c r="F94" s="385">
        <f t="shared" si="26"/>
        <v>48.164675245621318</v>
      </c>
      <c r="G94" s="110">
        <f t="shared" si="48"/>
        <v>0.93897330782853772</v>
      </c>
      <c r="H94" s="414" t="b">
        <f>Wh_hp&gt;='2026'!Maxi_hp</f>
        <v>0</v>
      </c>
      <c r="I94" s="390">
        <f>IF(H94,Wh_hp,'2026'!Maxi_hp)</f>
        <v>51.378117175877115</v>
      </c>
      <c r="J94" s="85">
        <f>IF(H94,An,'2026'!An_max)</f>
        <v>2019</v>
      </c>
      <c r="K94" s="197">
        <f t="shared" si="27"/>
        <v>46467</v>
      </c>
      <c r="L94" s="147">
        <f>IF(t&lt;Tvie,1-EXP((T0-t)*PertePVj)+'2026'!Pspv,1-EXP((T0-t)*PertePVj)+Pspv)</f>
        <v>6.7852488427304403E-2</v>
      </c>
      <c r="M94" s="845"/>
      <c r="N94" s="845"/>
      <c r="O94" s="48">
        <f>IF(t&lt;Tnet,'2026'!Resal+('2026'!Salim-'2026'!Resal)*(1-EXP(('2026'!Tnet-t)/('2026'!Tau_j))),Resal+(Salim-Resal)*(1-EXP((Tnet-t)/(Tau_j))))*Salcycl</f>
        <v>3.1993132957687062E-2</v>
      </c>
      <c r="P94" s="169">
        <f>(INDEX(Models!$BJ94:$BT94,,T94)*(1-R94)+INDEX(Models!$BJ94:$BT94,,T94+1)*R94-ERP_i)*Q94*Ramure*Pc/MaxiM</f>
        <v>9.6041781885096804E-7</v>
      </c>
      <c r="Q94" s="305">
        <f t="shared" si="28"/>
        <v>0.5</v>
      </c>
      <c r="R94" s="177">
        <f t="shared" si="29"/>
        <v>0.98903335732186304</v>
      </c>
      <c r="S94" s="811">
        <f t="shared" si="30"/>
        <v>-2</v>
      </c>
      <c r="T94" s="176">
        <f t="shared" si="31"/>
        <v>4</v>
      </c>
      <c r="U94" s="251">
        <f t="shared" si="32"/>
        <v>-1.010966642678137</v>
      </c>
      <c r="V94" s="383">
        <f t="shared" si="33"/>
        <v>46.284764168183322</v>
      </c>
      <c r="W94" s="402">
        <f t="shared" si="34"/>
        <v>43.460161751988331</v>
      </c>
      <c r="X94" s="157">
        <f t="shared" si="35"/>
        <v>46467</v>
      </c>
      <c r="Y94" s="385">
        <f t="shared" si="36"/>
        <v>41.741768859641269</v>
      </c>
      <c r="Z94" s="385">
        <f t="shared" si="37"/>
        <v>44.78021808931895</v>
      </c>
      <c r="AA94" s="386">
        <f t="shared" si="38"/>
        <v>48.150614169069542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6.9996948905287903E-2</v>
      </c>
      <c r="AD94" s="231">
        <f>(INDEX(Models!$BJ94:$BT94,,AH94)*(1-AF94)+INDEX(Models!$BJ94:$BT94,,AH94+1)*AF94-ERP_i)*AE94*Ramure*Pc/MaxiM</f>
        <v>3.1981969615264236E-4</v>
      </c>
      <c r="AE94" s="305">
        <f t="shared" si="40"/>
        <v>0.5</v>
      </c>
      <c r="AF94" s="177">
        <f t="shared" si="41"/>
        <v>0.51402092369584196</v>
      </c>
      <c r="AG94" s="811">
        <f t="shared" si="49"/>
        <v>2</v>
      </c>
      <c r="AH94" s="176">
        <f t="shared" si="42"/>
        <v>8</v>
      </c>
      <c r="AI94" s="225">
        <f t="shared" si="43"/>
        <v>2.514020923695842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'2026'!Wh/'2026'!Env_an*'2027'!Env_an</f>
        <v>40.894289124532769</v>
      </c>
      <c r="C95" s="841"/>
      <c r="D95" s="393">
        <f t="shared" si="25"/>
        <v>43.872009876460481</v>
      </c>
      <c r="E95" s="385">
        <f t="shared" si="47"/>
        <v>45.325430579437636</v>
      </c>
      <c r="F95" s="385">
        <f t="shared" si="26"/>
        <v>45.325463432950436</v>
      </c>
      <c r="G95" s="110">
        <f t="shared" si="48"/>
        <v>0.87739058468425846</v>
      </c>
      <c r="H95" s="414" t="b">
        <f>Wh_hp&gt;='2026'!Maxi_hp</f>
        <v>0</v>
      </c>
      <c r="I95" s="390">
        <f>IF(H95,Wh_hp,'2026'!Maxi_hp)</f>
        <v>50.23936086110939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6.7872904850101445E-2</v>
      </c>
      <c r="M95" s="845"/>
      <c r="N95" s="845"/>
      <c r="O95" s="48">
        <f>IF(t&lt;Tnet,'2026'!Resal+('2026'!Salim-'2026'!Resal)*(1-EXP(('2026'!Tnet-t)/('2026'!Tau_j))),Resal+(Salim-Resal)*(1-EXP((Tnet-t)/(Tau_j))))*Salcycl</f>
        <v>3.206634078036795E-2</v>
      </c>
      <c r="P95" s="169">
        <f>(INDEX(Models!$BJ95:$BT95,,T95)*(1-R95)+INDEX(Models!$BJ95:$BT95,,T95+1)*R95-ERP_i)*Q95*Ramure*Pc/MaxiM</f>
        <v>8.7875498150200744E-7</v>
      </c>
      <c r="Q95" s="305">
        <f t="shared" si="28"/>
        <v>0.5</v>
      </c>
      <c r="R95" s="177">
        <f t="shared" si="29"/>
        <v>0.98973415488303762</v>
      </c>
      <c r="S95" s="811">
        <f t="shared" si="30"/>
        <v>-2</v>
      </c>
      <c r="T95" s="176">
        <f t="shared" si="31"/>
        <v>4</v>
      </c>
      <c r="U95" s="251">
        <f t="shared" si="32"/>
        <v>-1.0102658451169624</v>
      </c>
      <c r="V95" s="383">
        <f t="shared" si="33"/>
        <v>46.608982981990742</v>
      </c>
      <c r="W95" s="402">
        <f t="shared" si="34"/>
        <v>40.894289124532769</v>
      </c>
      <c r="X95" s="157">
        <f t="shared" si="35"/>
        <v>46468</v>
      </c>
      <c r="Y95" s="385">
        <f t="shared" si="36"/>
        <v>39.280731049241446</v>
      </c>
      <c r="Z95" s="385">
        <f t="shared" si="37"/>
        <v>42.140960448021929</v>
      </c>
      <c r="AA95" s="386">
        <f t="shared" si="38"/>
        <v>45.314699166542844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7.0037731175410234E-2</v>
      </c>
      <c r="AD95" s="231">
        <f>(INDEX(Models!$BJ95:$BT95,,AH95)*(1-AF95)+INDEX(Models!$BJ95:$BT95,,AH95+1)*AF95-ERP_i)*AE95*Ramure*Pc/MaxiM</f>
        <v>2.8791906623107366E-4</v>
      </c>
      <c r="AE95" s="305">
        <f t="shared" si="40"/>
        <v>0.5</v>
      </c>
      <c r="AF95" s="177">
        <f t="shared" si="41"/>
        <v>0.51472172125701654</v>
      </c>
      <c r="AG95" s="811">
        <f t="shared" si="49"/>
        <v>2</v>
      </c>
      <c r="AH95" s="176">
        <f t="shared" si="42"/>
        <v>8</v>
      </c>
      <c r="AI95" s="225">
        <f t="shared" si="43"/>
        <v>2.5147217212570165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'2026'!Wh/'2026'!Env_an*'2027'!Env_an</f>
        <v>46.921523557127976</v>
      </c>
      <c r="C96" s="841"/>
      <c r="D96" s="393">
        <f t="shared" si="25"/>
        <v>50.339220397706406</v>
      </c>
      <c r="E96" s="385">
        <f t="shared" si="47"/>
        <v>52.010831798932678</v>
      </c>
      <c r="F96" s="385">
        <f t="shared" si="26"/>
        <v>52.010873324273433</v>
      </c>
      <c r="G96" s="110">
        <f t="shared" si="48"/>
        <v>0.99973753970298063</v>
      </c>
      <c r="H96" s="414" t="b">
        <f>Wh_hp&gt;='2026'!Maxi_hp</f>
        <v>0</v>
      </c>
      <c r="I96" s="390">
        <f>IF(H96,Wh_hp,'2026'!Maxi_hp)</f>
        <v>52.010873332133208</v>
      </c>
      <c r="J96" s="85">
        <f>IF(H96,An,'2026'!An_max)</f>
        <v>2026</v>
      </c>
      <c r="K96" s="197">
        <f t="shared" si="27"/>
        <v>46469</v>
      </c>
      <c r="L96" s="147">
        <f>IF(t&lt;Tvie,1-EXP((T0-t)*PertePVj)+'2026'!Pspv,1-EXP((T0-t)*PertePVj)+Pspv)</f>
        <v>6.78933208257263E-2</v>
      </c>
      <c r="M96" s="845"/>
      <c r="N96" s="845"/>
      <c r="O96" s="48">
        <f>IF(t&lt;Tnet,'2026'!Resal+('2026'!Salim-'2026'!Resal)*(1-EXP(('2026'!Tnet-t)/('2026'!Tau_j))),Resal+(Salim-Resal)*(1-EXP((Tnet-t)/(Tau_j))))*Salcycl</f>
        <v>3.2139678282564449E-2</v>
      </c>
      <c r="P96" s="169">
        <f>(INDEX(Models!$BJ96:$BT96,,T96)*(1-R96)+INDEX(Models!$BJ96:$BT96,,T96+1)*R96-ERP_i)*Q96*Ramure*Pc/MaxiM</f>
        <v>7.9869676415558363E-7</v>
      </c>
      <c r="Q96" s="305">
        <f t="shared" si="28"/>
        <v>0.5</v>
      </c>
      <c r="R96" s="177">
        <f t="shared" si="29"/>
        <v>0.99046219458533225</v>
      </c>
      <c r="S96" s="811">
        <f t="shared" si="30"/>
        <v>-2</v>
      </c>
      <c r="T96" s="176">
        <f t="shared" si="31"/>
        <v>4</v>
      </c>
      <c r="U96" s="251">
        <f t="shared" si="32"/>
        <v>-1.0095378054146678</v>
      </c>
      <c r="V96" s="383">
        <f t="shared" si="33"/>
        <v>46.933841813139125</v>
      </c>
      <c r="W96" s="402">
        <f t="shared" si="34"/>
        <v>46.921523557127976</v>
      </c>
      <c r="X96" s="157">
        <f t="shared" si="35"/>
        <v>46469</v>
      </c>
      <c r="Y96" s="385">
        <f t="shared" si="36"/>
        <v>45.070654088812553</v>
      </c>
      <c r="Z96" s="385">
        <f t="shared" si="37"/>
        <v>48.353536237653977</v>
      </c>
      <c r="AA96" s="386">
        <f t="shared" si="38"/>
        <v>51.997460585677707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7.0078890526192802E-2</v>
      </c>
      <c r="AD96" s="231">
        <f>(INDEX(Models!$BJ96:$BT96,,AH96)*(1-AF96)+INDEX(Models!$BJ96:$BT96,,AH96+1)*AF96-ERP_i)*AE96*Ramure*Pc/MaxiM</f>
        <v>2.5798008444994882E-4</v>
      </c>
      <c r="AE96" s="305">
        <f t="shared" si="40"/>
        <v>0.5</v>
      </c>
      <c r="AF96" s="177">
        <f t="shared" si="41"/>
        <v>0.51544976095931139</v>
      </c>
      <c r="AG96" s="811">
        <f t="shared" si="49"/>
        <v>2</v>
      </c>
      <c r="AH96" s="176">
        <f t="shared" si="42"/>
        <v>8</v>
      </c>
      <c r="AI96" s="225">
        <f t="shared" si="43"/>
        <v>2.5154497609593114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'2026'!Wh/'2026'!Env_an*'2027'!Env_an</f>
        <v>45.916156422877755</v>
      </c>
      <c r="C97" s="841"/>
      <c r="D97" s="393">
        <f t="shared" si="25"/>
        <v>49.261702713307777</v>
      </c>
      <c r="E97" s="385">
        <f t="shared" si="47"/>
        <v>50.901397531089366</v>
      </c>
      <c r="F97" s="385">
        <f t="shared" si="26"/>
        <v>50.901432703468544</v>
      </c>
      <c r="G97" s="110">
        <f t="shared" si="48"/>
        <v>0.97159834164843495</v>
      </c>
      <c r="H97" s="414" t="b">
        <f>Wh_hp&gt;='2026'!Maxi_hp</f>
        <v>0</v>
      </c>
      <c r="I97" s="390">
        <f>IF(H97,Wh_hp,'2026'!Maxi_hp)</f>
        <v>51.495753799818651</v>
      </c>
      <c r="J97" s="85">
        <f>IF(H97,An,'2026'!An_max)</f>
        <v>2019</v>
      </c>
      <c r="K97" s="197">
        <f t="shared" si="27"/>
        <v>46470</v>
      </c>
      <c r="L97" s="147">
        <f>IF(t&lt;Tvie,1-EXP((T0-t)*PertePVj)+'2026'!Pspv,1-EXP((T0-t)*PertePVj)+Pspv)</f>
        <v>6.7913736354188958E-2</v>
      </c>
      <c r="M97" s="845"/>
      <c r="N97" s="845"/>
      <c r="O97" s="48">
        <f>IF(t&lt;Tnet,'2026'!Resal+('2026'!Salim-'2026'!Resal)*(1-EXP(('2026'!Tnet-t)/('2026'!Tau_j))),Resal+(Salim-Resal)*(1-EXP((Tnet-t)/(Tau_j))))*Salcycl</f>
        <v>3.2213159113757238E-2</v>
      </c>
      <c r="P97" s="169">
        <f>(INDEX(Models!$BJ97:$BT97,,T97)*(1-R97)+INDEX(Models!$BJ97:$BT97,,T97+1)*R97-ERP_i)*Q97*Ramure*Pc/MaxiM</f>
        <v>7.2021165739667595E-7</v>
      </c>
      <c r="Q97" s="305">
        <f t="shared" si="28"/>
        <v>0.5</v>
      </c>
      <c r="R97" s="177">
        <f t="shared" si="29"/>
        <v>0.99121844503789203</v>
      </c>
      <c r="S97" s="811">
        <f t="shared" si="30"/>
        <v>-2</v>
      </c>
      <c r="T97" s="176">
        <f t="shared" si="31"/>
        <v>4</v>
      </c>
      <c r="U97" s="251">
        <f t="shared" si="32"/>
        <v>-1.008781554962108</v>
      </c>
      <c r="V97" s="383">
        <f t="shared" si="33"/>
        <v>47.258371194033387</v>
      </c>
      <c r="W97" s="402">
        <f t="shared" si="34"/>
        <v>45.916156422877755</v>
      </c>
      <c r="X97" s="157">
        <f t="shared" si="35"/>
        <v>46470</v>
      </c>
      <c r="Y97" s="385">
        <f t="shared" si="36"/>
        <v>44.10796062556765</v>
      </c>
      <c r="Z97" s="385">
        <f t="shared" si="37"/>
        <v>47.321758023813658</v>
      </c>
      <c r="AA97" s="386">
        <f t="shared" si="38"/>
        <v>50.890202128252625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7.0120454531617582E-2</v>
      </c>
      <c r="AD97" s="231">
        <f>(INDEX(Models!$BJ97:$BT97,,AH97)*(1-AF97)+INDEX(Models!$BJ97:$BT97,,AH97+1)*AF97-ERP_i)*AE97*Ramure*Pc/MaxiM</f>
        <v>2.2996428954744205E-4</v>
      </c>
      <c r="AE97" s="305">
        <f t="shared" si="40"/>
        <v>0.5</v>
      </c>
      <c r="AF97" s="177">
        <f t="shared" si="41"/>
        <v>0.51620601141187095</v>
      </c>
      <c r="AG97" s="811">
        <f t="shared" si="49"/>
        <v>2</v>
      </c>
      <c r="AH97" s="176">
        <f t="shared" si="42"/>
        <v>8</v>
      </c>
      <c r="AI97" s="225">
        <f t="shared" si="43"/>
        <v>2.5162060114118709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'2026'!Wh/'2026'!Env_an*'2027'!Env_an</f>
        <v>40.219707227343299</v>
      </c>
      <c r="C98" s="841"/>
      <c r="D98" s="393">
        <f t="shared" si="25"/>
        <v>43.151143547729738</v>
      </c>
      <c r="E98" s="385">
        <f t="shared" si="47"/>
        <v>44.590838914318802</v>
      </c>
      <c r="F98" s="385">
        <f t="shared" si="26"/>
        <v>44.590861257944965</v>
      </c>
      <c r="G98" s="110">
        <f t="shared" si="48"/>
        <v>0.84527842296492384</v>
      </c>
      <c r="H98" s="414" t="b">
        <f>Wh_hp&gt;='2026'!Maxi_hp</f>
        <v>0</v>
      </c>
      <c r="I98" s="390">
        <f>IF(H98,Wh_hp,'2026'!Maxi_hp)</f>
        <v>48.049790210842104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6.793415143549919E-2</v>
      </c>
      <c r="M98" s="845"/>
      <c r="N98" s="845"/>
      <c r="O98" s="48">
        <f>IF(t&lt;Tnet,'2026'!Resal+('2026'!Salim-'2026'!Resal)*(1-EXP(('2026'!Tnet-t)/('2026'!Tau_j))),Resal+(Salim-Resal)*(1-EXP((Tnet-t)/(Tau_j))))*Salcycl</f>
        <v>3.2286797056127012E-2</v>
      </c>
      <c r="P98" s="169">
        <f>(INDEX(Models!$BJ98:$BT98,,T98)*(1-R98)+INDEX(Models!$BJ98:$BT98,,T98+1)*R98-ERP_i)*Q98*Ramure*Pc/MaxiM</f>
        <v>6.4326130489133983E-7</v>
      </c>
      <c r="Q98" s="305">
        <f t="shared" si="28"/>
        <v>0.5</v>
      </c>
      <c r="R98" s="177">
        <f t="shared" si="29"/>
        <v>0.99200390187313925</v>
      </c>
      <c r="S98" s="811">
        <f t="shared" si="30"/>
        <v>-2</v>
      </c>
      <c r="T98" s="176">
        <f t="shared" si="31"/>
        <v>4</v>
      </c>
      <c r="U98" s="251">
        <f t="shared" si="32"/>
        <v>-1.0079960981268608</v>
      </c>
      <c r="V98" s="383">
        <f t="shared" si="33"/>
        <v>47.581602009676168</v>
      </c>
      <c r="W98" s="402">
        <f t="shared" si="34"/>
        <v>40.219707227343299</v>
      </c>
      <c r="X98" s="157">
        <f t="shared" si="35"/>
        <v>46471</v>
      </c>
      <c r="Y98" s="385">
        <f t="shared" si="36"/>
        <v>38.639417789368665</v>
      </c>
      <c r="Z98" s="385">
        <f t="shared" si="37"/>
        <v>41.455673811971813</v>
      </c>
      <c r="AA98" s="386">
        <f t="shared" si="38"/>
        <v>44.583781168071788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7.0162450876646132E-2</v>
      </c>
      <c r="AD98" s="231">
        <f>(INDEX(Models!$BJ98:$BT98,,AH98)*(1-AF98)+INDEX(Models!$BJ98:$BT98,,AH98+1)*AF98-ERP_i)*AE98*Ramure*Pc/MaxiM</f>
        <v>2.0383208245223591E-4</v>
      </c>
      <c r="AE98" s="305">
        <f t="shared" si="40"/>
        <v>0.5</v>
      </c>
      <c r="AF98" s="177">
        <f t="shared" si="41"/>
        <v>0.51699146824711839</v>
      </c>
      <c r="AG98" s="811">
        <f t="shared" si="49"/>
        <v>2</v>
      </c>
      <c r="AH98" s="176">
        <f t="shared" si="42"/>
        <v>8</v>
      </c>
      <c r="AI98" s="225">
        <f t="shared" si="43"/>
        <v>2.5169914682471184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'2026'!Wh/'2026'!Env_an*'2027'!Env_an</f>
        <v>45.26439329810426</v>
      </c>
      <c r="C99" s="841"/>
      <c r="D99" s="393">
        <f t="shared" si="25"/>
        <v>48.564578131378511</v>
      </c>
      <c r="E99" s="385">
        <f t="shared" si="47"/>
        <v>50.188715374680086</v>
      </c>
      <c r="F99" s="385">
        <f t="shared" si="26"/>
        <v>50.188741629832059</v>
      </c>
      <c r="G99" s="110">
        <f t="shared" si="48"/>
        <v>0.94492624352682153</v>
      </c>
      <c r="H99" s="414" t="b">
        <f>Wh_hp&gt;='2026'!Maxi_hp</f>
        <v>0</v>
      </c>
      <c r="I99" s="390">
        <f>IF(H99,Wh_hp,'2026'!Maxi_hp)</f>
        <v>54.932815887950575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6.7954566069666655E-2</v>
      </c>
      <c r="M99" s="845"/>
      <c r="N99" s="845"/>
      <c r="O99" s="48">
        <f>IF(t&lt;Tnet,'2026'!Resal+('2026'!Salim-'2026'!Resal)*(1-EXP(('2026'!Tnet-t)/('2026'!Tau_j))),Resal+(Salim-Resal)*(1-EXP((Tnet-t)/(Tau_j))))*Salcycl</f>
        <v>3.2360605988352262E-2</v>
      </c>
      <c r="P99" s="169">
        <f>(INDEX(Models!$BJ99:$BT99,,T99)*(1-R99)+INDEX(Models!$BJ99:$BT99,,T99+1)*R99-ERP_i)*Q99*Ramure*Pc/MaxiM</f>
        <v>5.6780105028984619E-7</v>
      </c>
      <c r="Q99" s="305">
        <f t="shared" si="28"/>
        <v>0.5</v>
      </c>
      <c r="R99" s="177">
        <f t="shared" si="29"/>
        <v>0.99281958787454294</v>
      </c>
      <c r="S99" s="811">
        <f t="shared" si="30"/>
        <v>-2</v>
      </c>
      <c r="T99" s="176">
        <f t="shared" si="31"/>
        <v>4</v>
      </c>
      <c r="U99" s="251">
        <f t="shared" si="32"/>
        <v>-1.0071804121254571</v>
      </c>
      <c r="V99" s="383">
        <f t="shared" si="33"/>
        <v>47.90256550297012</v>
      </c>
      <c r="W99" s="402">
        <f t="shared" si="34"/>
        <v>45.26439329810426</v>
      </c>
      <c r="X99" s="157">
        <f t="shared" si="35"/>
        <v>46472</v>
      </c>
      <c r="Y99" s="385">
        <f t="shared" si="36"/>
        <v>43.486934474022931</v>
      </c>
      <c r="Z99" s="385">
        <f t="shared" si="37"/>
        <v>46.6575264369284</v>
      </c>
      <c r="AA99" s="386">
        <f t="shared" si="38"/>
        <v>50.180439542187933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7.0204907278616738E-2</v>
      </c>
      <c r="AD99" s="231">
        <f>(INDEX(Models!$BJ99:$BT99,,AH99)*(1-AF99)+INDEX(Models!$BJ99:$BT99,,AH99+1)*AF99-ERP_i)*AE99*Ramure*Pc/MaxiM</f>
        <v>1.7954320310282988E-4</v>
      </c>
      <c r="AE99" s="305">
        <f t="shared" si="40"/>
        <v>0.5</v>
      </c>
      <c r="AF99" s="177">
        <f t="shared" si="41"/>
        <v>0.51780715424852186</v>
      </c>
      <c r="AG99" s="811">
        <f t="shared" si="49"/>
        <v>2</v>
      </c>
      <c r="AH99" s="176">
        <f t="shared" si="42"/>
        <v>8</v>
      </c>
      <c r="AI99" s="225">
        <f t="shared" si="43"/>
        <v>2.5178071542485219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'2026'!Wh/'2026'!Env_an*'2027'!Env_an</f>
        <v>44.089167315305801</v>
      </c>
      <c r="C100" s="841"/>
      <c r="D100" s="393">
        <f t="shared" si="25"/>
        <v>47.304703609189566</v>
      </c>
      <c r="E100" s="385">
        <f t="shared" si="47"/>
        <v>48.890445650353627</v>
      </c>
      <c r="F100" s="385">
        <f t="shared" si="26"/>
        <v>48.890467081977221</v>
      </c>
      <c r="G100" s="110">
        <f t="shared" si="48"/>
        <v>0.91432801160715749</v>
      </c>
      <c r="H100" s="414" t="b">
        <f>Wh_hp&gt;='2026'!Maxi_hp</f>
        <v>0</v>
      </c>
      <c r="I100" s="390">
        <f>IF(H100,Wh_hp,'2026'!Maxi_hp)</f>
        <v>54.175577399192605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6.7974980256701234E-2</v>
      </c>
      <c r="M100" s="845"/>
      <c r="N100" s="845"/>
      <c r="O100" s="48">
        <f>IF(t&lt;Tnet,'2026'!Resal+('2026'!Salim-'2026'!Resal)*(1-EXP(('2026'!Tnet-t)/('2026'!Tau_j))),Resal+(Salim-Resal)*(1-EXP((Tnet-t)/(Tau_j))))*Salcycl</f>
        <v>3.2434599850136393E-2</v>
      </c>
      <c r="P100" s="169">
        <f>(INDEX(Models!$BJ100:$BT100,,T100)*(1-R100)+INDEX(Models!$BJ100:$BT100,,T100+1)*R100-ERP_i)*Q100*Ramure*Pc/MaxiM</f>
        <v>4.9949203684152825E-7</v>
      </c>
      <c r="Q100" s="305">
        <f t="shared" si="28"/>
        <v>0.5</v>
      </c>
      <c r="R100" s="177">
        <f t="shared" si="29"/>
        <v>0.99366655304250751</v>
      </c>
      <c r="S100" s="811">
        <f t="shared" si="30"/>
        <v>-2</v>
      </c>
      <c r="T100" s="176">
        <f t="shared" si="31"/>
        <v>4</v>
      </c>
      <c r="U100" s="251">
        <f t="shared" si="32"/>
        <v>-1.0063334469574925</v>
      </c>
      <c r="V100" s="383">
        <f t="shared" si="33"/>
        <v>48.220293002447789</v>
      </c>
      <c r="W100" s="402">
        <f t="shared" si="34"/>
        <v>44.089167315305801</v>
      </c>
      <c r="X100" s="157">
        <f t="shared" si="35"/>
        <v>46473</v>
      </c>
      <c r="Y100" s="385">
        <f t="shared" si="36"/>
        <v>42.360281245721936</v>
      </c>
      <c r="Z100" s="385">
        <f t="shared" si="37"/>
        <v>45.449725434826775</v>
      </c>
      <c r="AA100" s="386">
        <f t="shared" si="38"/>
        <v>48.883700353693371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7.0247851411010198E-2</v>
      </c>
      <c r="AD100" s="231">
        <f>(INDEX(Models!$BJ100:$BT100,,AH100)*(1-AF100)+INDEX(Models!$BJ100:$BT100,,AH100+1)*AF100-ERP_i)*AE100*Ramure*Pc/MaxiM</f>
        <v>1.5770745871754365E-4</v>
      </c>
      <c r="AE100" s="305">
        <f t="shared" si="40"/>
        <v>0.5</v>
      </c>
      <c r="AF100" s="177">
        <f t="shared" si="41"/>
        <v>0.51865411941648665</v>
      </c>
      <c r="AG100" s="811">
        <f t="shared" si="49"/>
        <v>2</v>
      </c>
      <c r="AH100" s="176">
        <f t="shared" si="42"/>
        <v>8</v>
      </c>
      <c r="AI100" s="225">
        <f t="shared" si="43"/>
        <v>2.5186541194164866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'2026'!Wh/'2026'!Env_an*'2027'!Env_an</f>
        <v>34.519052952391867</v>
      </c>
      <c r="C101" s="841"/>
      <c r="D101" s="393">
        <f t="shared" si="25"/>
        <v>37.037427422613419</v>
      </c>
      <c r="E101" s="385">
        <f t="shared" si="47"/>
        <v>38.281926636250176</v>
      </c>
      <c r="F101" s="385">
        <f t="shared" si="26"/>
        <v>38.281936566731247</v>
      </c>
      <c r="G101" s="110">
        <f t="shared" si="48"/>
        <v>0.71123701551759766</v>
      </c>
      <c r="H101" s="414" t="b">
        <f>Wh_hp&gt;='2026'!Maxi_hp</f>
        <v>0</v>
      </c>
      <c r="I101" s="390">
        <f>IF(H101,Wh_hp,'2026'!Maxi_hp)</f>
        <v>52.923988977147388</v>
      </c>
      <c r="J101" s="85">
        <f>IF(H101,An,'2026'!An_max)</f>
        <v>2019</v>
      </c>
      <c r="K101" s="197">
        <f t="shared" si="27"/>
        <v>46474</v>
      </c>
      <c r="L101" s="147">
        <f>IF(t&lt;Tvie,1-EXP((T0-t)*PertePVj)+'2026'!Pspv,1-EXP((T0-t)*PertePVj)+Pspv)</f>
        <v>6.7995393996612807E-2</v>
      </c>
      <c r="M101" s="845"/>
      <c r="N101" s="845"/>
      <c r="O101" s="48">
        <f>IF(t&lt;Tnet,'2026'!Resal+('2026'!Salim-'2026'!Resal)*(1-EXP(('2026'!Tnet-t)/('2026'!Tau_j))),Resal+(Salim-Resal)*(1-EXP((Tnet-t)/(Tau_j))))*Salcycl</f>
        <v>3.2508792607588134E-2</v>
      </c>
      <c r="P101" s="169">
        <f>(INDEX(Models!$BJ101:$BT101,,T101)*(1-R101)+INDEX(Models!$BJ101:$BT101,,T101+1)*R101-ERP_i)*Q101*Ramure*Pc/MaxiM</f>
        <v>4.415522407713179E-7</v>
      </c>
      <c r="Q101" s="305">
        <f t="shared" si="28"/>
        <v>0.5</v>
      </c>
      <c r="R101" s="177">
        <f t="shared" si="29"/>
        <v>0.99454587459217181</v>
      </c>
      <c r="S101" s="811">
        <f t="shared" si="30"/>
        <v>-2</v>
      </c>
      <c r="T101" s="176">
        <f t="shared" si="31"/>
        <v>4</v>
      </c>
      <c r="U101" s="251">
        <f t="shared" si="32"/>
        <v>-1.0054541254078282</v>
      </c>
      <c r="V101" s="383">
        <f t="shared" si="33"/>
        <v>48.533816311119153</v>
      </c>
      <c r="W101" s="402">
        <f t="shared" si="34"/>
        <v>34.519052952391867</v>
      </c>
      <c r="X101" s="157">
        <f t="shared" si="35"/>
        <v>46474</v>
      </c>
      <c r="Y101" s="385">
        <f t="shared" si="36"/>
        <v>33.168336621356559</v>
      </c>
      <c r="Z101" s="385">
        <f t="shared" si="37"/>
        <v>35.588168135336467</v>
      </c>
      <c r="AA101" s="386">
        <f t="shared" si="38"/>
        <v>38.27883782295396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7.0291310829819084E-2</v>
      </c>
      <c r="AD101" s="231">
        <f>(INDEX(Models!$BJ101:$BT101,,AH101)*(1-AF101)+INDEX(Models!$BJ101:$BT101,,AH101+1)*AF101-ERP_i)*AE101*Ramure*Pc/MaxiM</f>
        <v>1.3778358258399148E-4</v>
      </c>
      <c r="AE101" s="305">
        <f t="shared" si="40"/>
        <v>0.5</v>
      </c>
      <c r="AF101" s="177">
        <f t="shared" si="41"/>
        <v>0.51953344096615073</v>
      </c>
      <c r="AG101" s="811">
        <f t="shared" si="49"/>
        <v>2</v>
      </c>
      <c r="AH101" s="176">
        <f t="shared" si="42"/>
        <v>8</v>
      </c>
      <c r="AI101" s="225">
        <f t="shared" si="43"/>
        <v>2.5195334409661507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'2026'!Wh/'2026'!Env_an*'2027'!Env_an</f>
        <v>27.186891161116897</v>
      </c>
      <c r="C102" s="841"/>
      <c r="D102" s="393">
        <f t="shared" si="25"/>
        <v>29.170978836074852</v>
      </c>
      <c r="E102" s="385">
        <f t="shared" si="47"/>
        <v>30.153475505478205</v>
      </c>
      <c r="F102" s="385">
        <f t="shared" si="26"/>
        <v>30.153479858926353</v>
      </c>
      <c r="G102" s="110">
        <f t="shared" si="48"/>
        <v>0.55662730843814301</v>
      </c>
      <c r="H102" s="414" t="b">
        <f>Wh_hp&gt;='2026'!Maxi_hp</f>
        <v>0</v>
      </c>
      <c r="I102" s="390">
        <f>IF(H102,Wh_hp,'2026'!Maxi_hp)</f>
        <v>54.418783965233558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6.8015807289411034E-2</v>
      </c>
      <c r="M102" s="845"/>
      <c r="N102" s="845"/>
      <c r="O102" s="48">
        <f>IF(t&lt;Tnet,'2026'!Resal+('2026'!Salim-'2026'!Resal)*(1-EXP(('2026'!Tnet-t)/('2026'!Tau_j))),Resal+(Salim-Resal)*(1-EXP((Tnet-t)/(Tau_j))))*Salcycl</f>
        <v>3.2583198219550358E-2</v>
      </c>
      <c r="P102" s="169">
        <f>(INDEX(Models!$BJ102:$BT102,,T102)*(1-R102)+INDEX(Models!$BJ102:$BT102,,T102+1)*R102-ERP_i)*Q102*Ramure*Pc/MaxiM</f>
        <v>3.9381374770548113E-7</v>
      </c>
      <c r="Q102" s="305">
        <f t="shared" si="28"/>
        <v>0.5</v>
      </c>
      <c r="R102" s="177">
        <f t="shared" si="29"/>
        <v>0.99545865687655821</v>
      </c>
      <c r="S102" s="811">
        <f t="shared" si="30"/>
        <v>-2</v>
      </c>
      <c r="T102" s="176">
        <f t="shared" si="31"/>
        <v>4</v>
      </c>
      <c r="U102" s="251">
        <f t="shared" si="32"/>
        <v>-1.0045413431234418</v>
      </c>
      <c r="V102" s="383">
        <f t="shared" si="33"/>
        <v>48.84216776207392</v>
      </c>
      <c r="W102" s="402">
        <f t="shared" si="34"/>
        <v>27.186891161116897</v>
      </c>
      <c r="X102" s="157">
        <f t="shared" si="35"/>
        <v>46475</v>
      </c>
      <c r="Y102" s="385">
        <f t="shared" si="36"/>
        <v>26.12481695006673</v>
      </c>
      <c r="Z102" s="385">
        <f t="shared" si="37"/>
        <v>28.031394903904047</v>
      </c>
      <c r="AA102" s="386">
        <f t="shared" si="38"/>
        <v>30.152156248320477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7.0335312902690364E-2</v>
      </c>
      <c r="AD102" s="231">
        <f>(INDEX(Models!$BJ102:$BT102,,AH102)*(1-AF102)+INDEX(Models!$BJ102:$BT102,,AH102+1)*AF102-ERP_i)*AE102*Ramure*Pc/MaxiM</f>
        <v>1.1973406727401405E-4</v>
      </c>
      <c r="AE102" s="305">
        <f t="shared" si="40"/>
        <v>0.5</v>
      </c>
      <c r="AF102" s="177">
        <f t="shared" si="41"/>
        <v>0.52044622325053691</v>
      </c>
      <c r="AG102" s="811">
        <f t="shared" si="49"/>
        <v>2</v>
      </c>
      <c r="AH102" s="176">
        <f t="shared" si="42"/>
        <v>8</v>
      </c>
      <c r="AI102" s="225">
        <f t="shared" si="43"/>
        <v>2.5204462232505369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'2026'!Wh/'2026'!Env_an*'2027'!Env_an</f>
        <v>7.6454594215189919</v>
      </c>
      <c r="C103" s="841"/>
      <c r="D103" s="393">
        <f t="shared" si="25"/>
        <v>8.2036014560859289</v>
      </c>
      <c r="E103" s="385">
        <f t="shared" si="47"/>
        <v>8.480558085476801</v>
      </c>
      <c r="F103" s="385">
        <f t="shared" si="26"/>
        <v>8.480558085476801</v>
      </c>
      <c r="G103" s="110">
        <f t="shared" si="48"/>
        <v>0.15557133265502945</v>
      </c>
      <c r="H103" s="414" t="b">
        <f>Wh_hp&gt;='2026'!Maxi_hp</f>
        <v>0</v>
      </c>
      <c r="I103" s="390">
        <f>IF(H103,Wh_hp,'2026'!Maxi_hp)</f>
        <v>55.483183570295765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6.8036220135105796E-2</v>
      </c>
      <c r="M103" s="845"/>
      <c r="N103" s="845"/>
      <c r="O103" s="48">
        <f>IF(t&lt;Tnet,'2026'!Resal+('2026'!Salim-'2026'!Resal)*(1-EXP(('2026'!Tnet-t)/('2026'!Tau_j))),Resal+(Salim-Resal)*(1-EXP((Tnet-t)/(Tau_j))))*Salcycl</f>
        <v>3.2657830604941818E-2</v>
      </c>
      <c r="P103" s="169">
        <f>(INDEX(Models!$BJ103:$BT103,,T103)*(1-R103)+INDEX(Models!$BJ103:$BT103,,T103+1)*R103-ERP_i)*Q103*Ramure*Pc/MaxiM</f>
        <v>3.5612187024127394E-7</v>
      </c>
      <c r="Q103" s="305">
        <f t="shared" si="28"/>
        <v>0.5</v>
      </c>
      <c r="R103" s="177">
        <f t="shared" si="29"/>
        <v>0.99640603122817639</v>
      </c>
      <c r="S103" s="811">
        <f t="shared" si="30"/>
        <v>-2</v>
      </c>
      <c r="T103" s="176">
        <f t="shared" si="31"/>
        <v>4</v>
      </c>
      <c r="U103" s="251">
        <f t="shared" si="32"/>
        <v>-1.0035939687718236</v>
      </c>
      <c r="V103" s="383">
        <f t="shared" si="33"/>
        <v>49.144380062341227</v>
      </c>
      <c r="W103" s="402">
        <f t="shared" si="34"/>
        <v>7.6454594215189919</v>
      </c>
      <c r="X103" s="157">
        <f t="shared" si="35"/>
        <v>46476</v>
      </c>
      <c r="Y103" s="385">
        <f t="shared" si="36"/>
        <v>7.347320414125674</v>
      </c>
      <c r="Z103" s="385">
        <f t="shared" si="37"/>
        <v>7.8836973848820682</v>
      </c>
      <c r="AA103" s="386">
        <f t="shared" si="38"/>
        <v>8.480558085476801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7.0379884740943408E-2</v>
      </c>
      <c r="AD103" s="231">
        <f>(INDEX(Models!$BJ103:$BT103,,AH103)*(1-AF103)+INDEX(Models!$BJ103:$BT103,,AH103+1)*AF103-ERP_i)*AE103*Ramure*Pc/MaxiM</f>
        <v>1.0352286830393386E-4</v>
      </c>
      <c r="AE103" s="305">
        <f t="shared" si="40"/>
        <v>0.5</v>
      </c>
      <c r="AF103" s="177">
        <f t="shared" si="41"/>
        <v>0.52139359760215553</v>
      </c>
      <c r="AG103" s="811">
        <f t="shared" si="49"/>
        <v>2</v>
      </c>
      <c r="AH103" s="176">
        <f t="shared" si="42"/>
        <v>8</v>
      </c>
      <c r="AI103" s="225">
        <f t="shared" si="43"/>
        <v>2.5213935976021555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'2026'!Wh/'2026'!Env_an*'2027'!Env_an</f>
        <v>27.86119185768289</v>
      </c>
      <c r="C104" s="841"/>
      <c r="D104" s="393">
        <f t="shared" si="25"/>
        <v>29.895799283844983</v>
      </c>
      <c r="E104" s="385">
        <f t="shared" si="47"/>
        <v>30.907484823953464</v>
      </c>
      <c r="F104" s="385">
        <f t="shared" si="26"/>
        <v>30.907488644577597</v>
      </c>
      <c r="G104" s="110">
        <f t="shared" si="48"/>
        <v>0.56354117412746607</v>
      </c>
      <c r="H104" s="414" t="b">
        <f>Wh_hp&gt;='2026'!Maxi_hp</f>
        <v>0</v>
      </c>
      <c r="I104" s="390">
        <f>IF(H104,Wh_hp,'2026'!Maxi_hp)</f>
        <v>49.250450204262727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6.8056632533706862E-2</v>
      </c>
      <c r="M104" s="845"/>
      <c r="N104" s="845"/>
      <c r="O104" s="48">
        <f>IF(t&lt;Tnet,'2026'!Resal+('2026'!Salim-'2026'!Resal)*(1-EXP(('2026'!Tnet-t)/('2026'!Tau_j))),Resal+(Salim-Resal)*(1-EXP((Tnet-t)/(Tau_j))))*Salcycl</f>
        <v>3.2732703611146705E-2</v>
      </c>
      <c r="P104" s="169">
        <f>(INDEX(Models!$BJ104:$BT104,,T104)*(1-R104)+INDEX(Models!$BJ104:$BT104,,T104+1)*R104-ERP_i)*Q104*Ramure*Pc/MaxiM</f>
        <v>3.2833710901355002E-7</v>
      </c>
      <c r="Q104" s="305">
        <f t="shared" si="28"/>
        <v>0.5</v>
      </c>
      <c r="R104" s="177">
        <f t="shared" si="29"/>
        <v>0.99738915571184084</v>
      </c>
      <c r="S104" s="811">
        <f t="shared" si="30"/>
        <v>-2</v>
      </c>
      <c r="T104" s="176">
        <f t="shared" si="31"/>
        <v>4</v>
      </c>
      <c r="U104" s="251">
        <f t="shared" si="32"/>
        <v>-1.0026108442881592</v>
      </c>
      <c r="V104" s="383">
        <f t="shared" si="33"/>
        <v>49.439486293105873</v>
      </c>
      <c r="W104" s="402">
        <f t="shared" si="34"/>
        <v>27.86119185768289</v>
      </c>
      <c r="X104" s="157">
        <f t="shared" si="35"/>
        <v>46477</v>
      </c>
      <c r="Y104" s="385">
        <f t="shared" si="36"/>
        <v>26.774605426847</v>
      </c>
      <c r="Z104" s="385">
        <f t="shared" si="37"/>
        <v>28.729863167157948</v>
      </c>
      <c r="AA104" s="386">
        <f t="shared" si="38"/>
        <v>30.906451668081459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7.0425053134500634E-2</v>
      </c>
      <c r="AD104" s="231">
        <f>(INDEX(Models!$BJ104:$BT104,,AH104)*(1-AF104)+INDEX(Models!$BJ104:$BT104,,AH104+1)*AF104-ERP_i)*AE104*Ramure*Pc/MaxiM</f>
        <v>8.9115770821723578E-5</v>
      </c>
      <c r="AE104" s="305">
        <f t="shared" si="40"/>
        <v>0.5</v>
      </c>
      <c r="AF104" s="177">
        <f t="shared" si="41"/>
        <v>0.52237672208581953</v>
      </c>
      <c r="AG104" s="811">
        <f t="shared" si="49"/>
        <v>2</v>
      </c>
      <c r="AH104" s="176">
        <f t="shared" si="42"/>
        <v>8</v>
      </c>
      <c r="AI104" s="225">
        <f t="shared" si="43"/>
        <v>2.5223767220858195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'2026'!Wh/'2026'!Env_an*'2027'!Env_an</f>
        <v>30.489349509131564</v>
      </c>
      <c r="C105" s="841"/>
      <c r="D105" s="393">
        <f t="shared" si="25"/>
        <v>32.716598865503684</v>
      </c>
      <c r="E105" s="385">
        <f t="shared" si="47"/>
        <v>33.826368650989465</v>
      </c>
      <c r="F105" s="385">
        <f t="shared" si="26"/>
        <v>33.826373347014339</v>
      </c>
      <c r="G105" s="110">
        <f t="shared" si="48"/>
        <v>0.61314051999594865</v>
      </c>
      <c r="H105" s="414" t="b">
        <f>Wh_hp&gt;='2026'!Maxi_hp</f>
        <v>0</v>
      </c>
      <c r="I105" s="390">
        <f>IF(H105,Wh_hp,'2026'!Maxi_hp)</f>
        <v>50.405835504746996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6.8077044485223892E-2</v>
      </c>
      <c r="M105" s="845"/>
      <c r="N105" s="845"/>
      <c r="O105" s="48">
        <f>IF(t&lt;Tnet,'2026'!Resal+('2026'!Salim-'2026'!Resal)*(1-EXP(('2026'!Tnet-t)/('2026'!Tau_j))),Resal+(Salim-Resal)*(1-EXP((Tnet-t)/(Tau_j))))*Salcycl</f>
        <v>3.2807830983457444E-2</v>
      </c>
      <c r="P105" s="169">
        <f>(INDEX(Models!$BJ105:$BT105,,T105)*(1-R105)+INDEX(Models!$BJ105:$BT105,,T105+1)*R105-ERP_i)*Q105*Ramure*Pc/MaxiM</f>
        <v>3.1033701351468605E-7</v>
      </c>
      <c r="Q105" s="305">
        <f t="shared" si="28"/>
        <v>0.5</v>
      </c>
      <c r="R105" s="177">
        <f t="shared" si="29"/>
        <v>0.9984092147811261</v>
      </c>
      <c r="S105" s="811">
        <f t="shared" si="30"/>
        <v>-2</v>
      </c>
      <c r="T105" s="176">
        <f t="shared" si="31"/>
        <v>4</v>
      </c>
      <c r="U105" s="251">
        <f t="shared" si="32"/>
        <v>-1.0015907852188739</v>
      </c>
      <c r="V105" s="383">
        <f t="shared" si="33"/>
        <v>49.726519917674686</v>
      </c>
      <c r="W105" s="402">
        <f t="shared" si="34"/>
        <v>30.489349509131564</v>
      </c>
      <c r="X105" s="157">
        <f t="shared" si="35"/>
        <v>46478</v>
      </c>
      <c r="Y105" s="385">
        <f t="shared" si="36"/>
        <v>29.301078437887575</v>
      </c>
      <c r="Z105" s="385">
        <f t="shared" si="37"/>
        <v>31.441524499954216</v>
      </c>
      <c r="AA105" s="386">
        <f t="shared" si="38"/>
        <v>33.825216039289657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7.0470844489704546E-2</v>
      </c>
      <c r="AD105" s="231">
        <f>(INDEX(Models!$BJ105:$BT105,,AH105)*(1-AF105)+INDEX(Models!$BJ105:$BT105,,AH105+1)*AF105-ERP_i)*AE105*Ramure*Pc/MaxiM</f>
        <v>7.6480732667872728E-5</v>
      </c>
      <c r="AE105" s="305">
        <f t="shared" si="40"/>
        <v>0.5</v>
      </c>
      <c r="AF105" s="177">
        <f t="shared" si="41"/>
        <v>0.52339678115510502</v>
      </c>
      <c r="AG105" s="811">
        <f t="shared" si="49"/>
        <v>2</v>
      </c>
      <c r="AH105" s="176">
        <f t="shared" si="42"/>
        <v>8</v>
      </c>
      <c r="AI105" s="225">
        <f t="shared" si="43"/>
        <v>2.523396781155105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'2026'!Wh/'2026'!Env_an*'2027'!Env_an</f>
        <v>20.78521632237716</v>
      </c>
      <c r="C106" s="841"/>
      <c r="D106" s="393">
        <f t="shared" si="25"/>
        <v>22.304066509927555</v>
      </c>
      <c r="E106" s="385">
        <f t="shared" si="47"/>
        <v>23.062433738395789</v>
      </c>
      <c r="F106" s="385">
        <f t="shared" si="26"/>
        <v>23.062434889324926</v>
      </c>
      <c r="G106" s="110">
        <f t="shared" si="48"/>
        <v>0.41566668868788936</v>
      </c>
      <c r="H106" s="414" t="b">
        <f>Wh_hp&gt;='2026'!Maxi_hp</f>
        <v>0</v>
      </c>
      <c r="I106" s="390">
        <f>IF(H106,Wh_hp,'2026'!Maxi_hp)</f>
        <v>45.758995612636852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6.8097455989666877E-2</v>
      </c>
      <c r="M106" s="845"/>
      <c r="N106" s="845"/>
      <c r="O106" s="48">
        <f>IF(t&lt;Tnet,'2026'!Resal+('2026'!Salim-'2026'!Resal)*(1-EXP(('2026'!Tnet-t)/('2026'!Tau_j))),Resal+(Salim-Resal)*(1-EXP((Tnet-t)/(Tau_j))))*Salcycl</f>
        <v>3.2883226335547446E-2</v>
      </c>
      <c r="P106" s="169">
        <f>(INDEX(Models!$BJ106:$BT106,,T106)*(1-R106)+INDEX(Models!$BJ106:$BT106,,T106+1)*R106-ERP_i)*Q106*Ramure*Pc/MaxiM</f>
        <v>3.0201796105361953E-7</v>
      </c>
      <c r="Q106" s="305">
        <f t="shared" si="28"/>
        <v>0.5</v>
      </c>
      <c r="R106" s="177">
        <f t="shared" si="29"/>
        <v>0.99946741883056545</v>
      </c>
      <c r="S106" s="811">
        <f t="shared" si="30"/>
        <v>-2</v>
      </c>
      <c r="T106" s="176">
        <f t="shared" si="31"/>
        <v>4</v>
      </c>
      <c r="U106" s="251">
        <f t="shared" si="32"/>
        <v>-1.0005325811694346</v>
      </c>
      <c r="V106" s="383">
        <f t="shared" si="33"/>
        <v>50.004514789877462</v>
      </c>
      <c r="W106" s="402">
        <f t="shared" si="34"/>
        <v>20.78521632237716</v>
      </c>
      <c r="X106" s="157">
        <f t="shared" si="35"/>
        <v>46479</v>
      </c>
      <c r="Y106" s="385">
        <f t="shared" si="36"/>
        <v>19.976171870434143</v>
      </c>
      <c r="Z106" s="385">
        <f t="shared" si="37"/>
        <v>21.435902282731234</v>
      </c>
      <c r="AA106" s="386">
        <f t="shared" si="38"/>
        <v>23.062184945984072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7.0517284769933811E-2</v>
      </c>
      <c r="AD106" s="231">
        <f>(INDEX(Models!$BJ106:$BT106,,AH106)*(1-AF106)+INDEX(Models!$BJ106:$BT106,,AH106+1)*AF106-ERP_i)*AE106*Ramure*Pc/MaxiM</f>
        <v>6.5588206733950227E-5</v>
      </c>
      <c r="AE106" s="305">
        <f t="shared" si="40"/>
        <v>0.5</v>
      </c>
      <c r="AF106" s="177">
        <f t="shared" si="41"/>
        <v>0.52445498520454414</v>
      </c>
      <c r="AG106" s="811">
        <f t="shared" si="49"/>
        <v>2</v>
      </c>
      <c r="AH106" s="176">
        <f t="shared" si="42"/>
        <v>8</v>
      </c>
      <c r="AI106" s="225">
        <f t="shared" si="43"/>
        <v>2.5244549852045441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'2026'!Wh/'2026'!Env_an*'2027'!Env_an</f>
        <v>22.517863676991304</v>
      </c>
      <c r="C107" s="841"/>
      <c r="D107" s="393">
        <f t="shared" si="25"/>
        <v>24.163853861685862</v>
      </c>
      <c r="E107" s="385">
        <f t="shared" si="47"/>
        <v>24.987411537802949</v>
      </c>
      <c r="F107" s="385">
        <f t="shared" si="26"/>
        <v>24.987413140291608</v>
      </c>
      <c r="G107" s="110">
        <f t="shared" si="48"/>
        <v>0.44789256044395603</v>
      </c>
      <c r="H107" s="414" t="b">
        <f>Wh_hp&gt;='2026'!Maxi_hp</f>
        <v>0</v>
      </c>
      <c r="I107" s="390">
        <f>IF(H107,Wh_hp,'2026'!Maxi_hp)</f>
        <v>53.35954700357199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6.8117867047045588E-2</v>
      </c>
      <c r="M107" s="845"/>
      <c r="N107" s="845"/>
      <c r="O107" s="48">
        <f>IF(t&lt;Tnet,'2026'!Resal+('2026'!Salim-'2026'!Resal)*(1-EXP(('2026'!Tnet-t)/('2026'!Tau_j))),Resal+(Salim-Resal)*(1-EXP((Tnet-t)/(Tau_j))))*Salcycl</f>
        <v>3.2958903120923227E-2</v>
      </c>
      <c r="P107" s="169">
        <f>(INDEX(Models!$BJ107:$BT107,,T107)*(1-R107)+INDEX(Models!$BJ107:$BT107,,T107+1)*R107-ERP_i)*Q107*Ramure*Pc/MaxiM</f>
        <v>3.0354638418467145E-7</v>
      </c>
      <c r="Q107" s="305">
        <f t="shared" si="28"/>
        <v>0.5</v>
      </c>
      <c r="R107" s="177">
        <f t="shared" si="29"/>
        <v>5.6500363537892451E-4</v>
      </c>
      <c r="S107" s="811">
        <f t="shared" si="30"/>
        <v>-1</v>
      </c>
      <c r="T107" s="176">
        <f t="shared" si="31"/>
        <v>5</v>
      </c>
      <c r="U107" s="251">
        <f t="shared" si="32"/>
        <v>-0.99943499636462108</v>
      </c>
      <c r="V107" s="383">
        <f t="shared" si="33"/>
        <v>50.275133535522073</v>
      </c>
      <c r="W107" s="402">
        <f t="shared" si="34"/>
        <v>22.517863676991304</v>
      </c>
      <c r="X107" s="157">
        <f t="shared" si="35"/>
        <v>46480</v>
      </c>
      <c r="Y107" s="385">
        <f t="shared" si="36"/>
        <v>21.641951034887292</v>
      </c>
      <c r="Z107" s="385">
        <f t="shared" si="37"/>
        <v>23.223914559138645</v>
      </c>
      <c r="AA107" s="386">
        <f t="shared" si="38"/>
        <v>24.987115347333084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7.0564399438874367E-2</v>
      </c>
      <c r="AD107" s="231">
        <f>(INDEX(Models!$BJ107:$BT107,,AH107)*(1-AF107)+INDEX(Models!$BJ107:$BT107,,AH107+1)*AF107-ERP_i)*AE107*Ramure*Pc/MaxiM</f>
        <v>5.6408496485851278E-5</v>
      </c>
      <c r="AE107" s="305">
        <f t="shared" si="40"/>
        <v>0.5</v>
      </c>
      <c r="AF107" s="177">
        <f t="shared" si="41"/>
        <v>0.52555257000935773</v>
      </c>
      <c r="AG107" s="811">
        <f t="shared" si="49"/>
        <v>2</v>
      </c>
      <c r="AH107" s="176">
        <f t="shared" si="42"/>
        <v>8</v>
      </c>
      <c r="AI107" s="225">
        <f t="shared" si="43"/>
        <v>2.5255525700093577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'2026'!Wh/'2026'!Env_an*'2027'!Env_an</f>
        <v>47.355080959142747</v>
      </c>
      <c r="C108" s="841"/>
      <c r="D108" s="393">
        <f t="shared" si="25"/>
        <v>50.817712353390405</v>
      </c>
      <c r="E108" s="385">
        <f t="shared" si="47"/>
        <v>52.553821248358219</v>
      </c>
      <c r="F108" s="385">
        <f t="shared" si="26"/>
        <v>52.553836812235424</v>
      </c>
      <c r="G108" s="110">
        <f t="shared" si="48"/>
        <v>0.93697072574533702</v>
      </c>
      <c r="H108" s="414" t="b">
        <f>Wh_hp&gt;='2026'!Maxi_hp</f>
        <v>0</v>
      </c>
      <c r="I108" s="390">
        <f>IF(H108,Wh_hp,'2026'!Maxi_hp)</f>
        <v>56.536713073450201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6.8138277657369684E-2</v>
      </c>
      <c r="M108" s="845"/>
      <c r="N108" s="845"/>
      <c r="O108" s="48">
        <f>IF(t&lt;Tnet,'2026'!Resal+('2026'!Salim-'2026'!Resal)*(1-EXP(('2026'!Tnet-t)/('2026'!Tau_j))),Resal+(Salim-Resal)*(1-EXP((Tnet-t)/(Tau_j))))*Salcycl</f>
        <v>3.3034874605280005E-2</v>
      </c>
      <c r="P108" s="169">
        <f>(INDEX(Models!$BJ108:$BT108,,T108)*(1-R108)+INDEX(Models!$BJ108:$BT108,,T108+1)*R108-ERP_i)*Q108*Ramure*Pc/MaxiM</f>
        <v>3.2545572506840798E-7</v>
      </c>
      <c r="Q108" s="305">
        <f t="shared" si="28"/>
        <v>0.5</v>
      </c>
      <c r="R108" s="177">
        <f t="shared" si="29"/>
        <v>1.7032296702316208E-3</v>
      </c>
      <c r="S108" s="811">
        <f t="shared" si="30"/>
        <v>-1</v>
      </c>
      <c r="T108" s="176">
        <f t="shared" si="31"/>
        <v>5</v>
      </c>
      <c r="U108" s="251">
        <f t="shared" si="32"/>
        <v>-0.99829677032976838</v>
      </c>
      <c r="V108" s="383">
        <f t="shared" si="33"/>
        <v>50.540618047325026</v>
      </c>
      <c r="W108" s="402">
        <f t="shared" si="34"/>
        <v>47.355080959142747</v>
      </c>
      <c r="X108" s="157">
        <f t="shared" si="35"/>
        <v>46481</v>
      </c>
      <c r="Y108" s="385">
        <f t="shared" si="36"/>
        <v>45.512782913365207</v>
      </c>
      <c r="Z108" s="385">
        <f t="shared" si="37"/>
        <v>48.840704390077846</v>
      </c>
      <c r="AA108" s="386">
        <f t="shared" si="38"/>
        <v>52.551480764645369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7.061221340624893E-2</v>
      </c>
      <c r="AD108" s="231">
        <f>(INDEX(Models!$BJ108:$BT108,,AH108)*(1-AF108)+INDEX(Models!$BJ108:$BT108,,AH108+1)*AF108-ERP_i)*AE108*Ramure*Pc/MaxiM</f>
        <v>4.9267233770739875E-5</v>
      </c>
      <c r="AE108" s="305">
        <f t="shared" si="40"/>
        <v>0.5</v>
      </c>
      <c r="AF108" s="177">
        <f t="shared" si="41"/>
        <v>0.52669079604421043</v>
      </c>
      <c r="AG108" s="811">
        <f t="shared" si="49"/>
        <v>2</v>
      </c>
      <c r="AH108" s="176">
        <f t="shared" si="42"/>
        <v>8</v>
      </c>
      <c r="AI108" s="225">
        <f t="shared" si="43"/>
        <v>2.5266907960442104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'2026'!Wh/'2026'!Env_an*'2027'!Env_an</f>
        <v>50.33387793516885</v>
      </c>
      <c r="C109" s="841"/>
      <c r="D109" s="393">
        <f t="shared" si="25"/>
        <v>54.015503795866394</v>
      </c>
      <c r="E109" s="385">
        <f t="shared" si="47"/>
        <v>55.865267254214487</v>
      </c>
      <c r="F109" s="385">
        <f t="shared" si="26"/>
        <v>55.865287295923643</v>
      </c>
      <c r="G109" s="110">
        <f t="shared" si="48"/>
        <v>0.99080734889655719</v>
      </c>
      <c r="H109" s="414" t="b">
        <f>Wh_hp&gt;='2026'!Maxi_hp</f>
        <v>0</v>
      </c>
      <c r="I109" s="390">
        <f>IF(H109,Wh_hp,'2026'!Maxi_hp)</f>
        <v>58.623693621493487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6.8158687820649044E-2</v>
      </c>
      <c r="M109" s="845"/>
      <c r="N109" s="845"/>
      <c r="O109" s="48">
        <f>IF(t&lt;Tnet,'2026'!Resal+('2026'!Salim-'2026'!Resal)*(1-EXP(('2026'!Tnet-t)/('2026'!Tau_j))),Resal+(Salim-Resal)*(1-EXP((Tnet-t)/(Tau_j))))*Salcycl</f>
        <v>3.3111153839661296E-2</v>
      </c>
      <c r="P109" s="169">
        <f>(INDEX(Models!$BJ109:$BT109,,T109)*(1-R109)+INDEX(Models!$BJ109:$BT109,,T109+1)*R109-ERP_i)*Q109*Ramure*Pc/MaxiM</f>
        <v>3.6352460139208708E-7</v>
      </c>
      <c r="Q109" s="305">
        <f t="shared" si="28"/>
        <v>0.5</v>
      </c>
      <c r="R109" s="177">
        <f t="shared" si="29"/>
        <v>2.883381298250276E-3</v>
      </c>
      <c r="S109" s="811">
        <f t="shared" si="30"/>
        <v>-1</v>
      </c>
      <c r="T109" s="176">
        <f t="shared" si="31"/>
        <v>5</v>
      </c>
      <c r="U109" s="251">
        <f t="shared" si="32"/>
        <v>-0.99711661870174972</v>
      </c>
      <c r="V109" s="383">
        <f t="shared" si="33"/>
        <v>50.800872390514726</v>
      </c>
      <c r="W109" s="402">
        <f t="shared" si="34"/>
        <v>50.33387793516885</v>
      </c>
      <c r="X109" s="157">
        <f t="shared" si="35"/>
        <v>46482</v>
      </c>
      <c r="Y109" s="385">
        <f t="shared" si="36"/>
        <v>48.377094561397975</v>
      </c>
      <c r="Z109" s="385">
        <f t="shared" si="37"/>
        <v>51.915593276558724</v>
      </c>
      <c r="AA109" s="386">
        <f t="shared" si="38"/>
        <v>55.862908330911033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7.0660750975761771E-2</v>
      </c>
      <c r="AD109" s="231">
        <f>(INDEX(Models!$BJ109:$BT109,,AH109)*(1-AF109)+INDEX(Models!$BJ109:$BT109,,AH109+1)*AF109-ERP_i)*AE109*Ramure*Pc/MaxiM</f>
        <v>4.3150626584565149E-5</v>
      </c>
      <c r="AE109" s="305">
        <f t="shared" si="40"/>
        <v>0.5</v>
      </c>
      <c r="AF109" s="177">
        <f t="shared" si="41"/>
        <v>0.5278709476722292</v>
      </c>
      <c r="AG109" s="811">
        <f t="shared" si="49"/>
        <v>2</v>
      </c>
      <c r="AH109" s="176">
        <f t="shared" si="42"/>
        <v>8</v>
      </c>
      <c r="AI109" s="225">
        <f t="shared" si="43"/>
        <v>2.5278709476722292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'2026'!Wh/'2026'!Env_an*'2027'!Env_an</f>
        <v>11.026514306239552</v>
      </c>
      <c r="C110" s="841"/>
      <c r="D110" s="393">
        <f t="shared" si="25"/>
        <v>11.833297876333186</v>
      </c>
      <c r="E110" s="385">
        <f t="shared" si="47"/>
        <v>12.239499365895734</v>
      </c>
      <c r="F110" s="385">
        <f t="shared" si="26"/>
        <v>12.239499365895734</v>
      </c>
      <c r="G110" s="110">
        <f t="shared" si="48"/>
        <v>0.21596977423131566</v>
      </c>
      <c r="H110" s="414" t="b">
        <f>Wh_hp&gt;='2026'!Maxi_hp</f>
        <v>0</v>
      </c>
      <c r="I110" s="390">
        <f>IF(H110,Wh_hp,'2026'!Maxi_hp)</f>
        <v>59.354429100482541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6.817909753689344E-2</v>
      </c>
      <c r="M110" s="845"/>
      <c r="N110" s="845"/>
      <c r="O110" s="48">
        <f>IF(t&lt;Tnet,'2026'!Resal+('2026'!Salim-'2026'!Resal)*(1-EXP(('2026'!Tnet-t)/('2026'!Tau_j))),Resal+(Salim-Resal)*(1-EXP((Tnet-t)/(Tau_j))))*Salcycl</f>
        <v>3.3187753634302396E-2</v>
      </c>
      <c r="P110" s="169">
        <f>(INDEX(Models!$BJ110:$BT110,,T110)*(1-R110)+INDEX(Models!$BJ110:$BT110,,T110+1)*R110-ERP_i)*Q110*Ramure*Pc/MaxiM</f>
        <v>4.1773852225174838E-7</v>
      </c>
      <c r="Q110" s="305">
        <f t="shared" si="28"/>
        <v>0.5</v>
      </c>
      <c r="R110" s="177">
        <f t="shared" si="29"/>
        <v>4.1067658212905478E-3</v>
      </c>
      <c r="S110" s="811">
        <f t="shared" si="30"/>
        <v>-1</v>
      </c>
      <c r="T110" s="176">
        <f t="shared" si="31"/>
        <v>5</v>
      </c>
      <c r="U110" s="251">
        <f t="shared" si="32"/>
        <v>-0.99589323417870945</v>
      </c>
      <c r="V110" s="383">
        <f t="shared" si="33"/>
        <v>51.055800466919749</v>
      </c>
      <c r="W110" s="402">
        <f t="shared" si="34"/>
        <v>11.026514306239552</v>
      </c>
      <c r="X110" s="157">
        <f t="shared" si="35"/>
        <v>46483</v>
      </c>
      <c r="Y110" s="385">
        <f t="shared" si="36"/>
        <v>10.598571877290524</v>
      </c>
      <c r="Z110" s="385">
        <f t="shared" si="37"/>
        <v>11.374043927620686</v>
      </c>
      <c r="AA110" s="386">
        <f t="shared" si="38"/>
        <v>12.239499365895734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7.0710035794973966E-2</v>
      </c>
      <c r="AD110" s="231">
        <f>(INDEX(Models!$BJ110:$BT110,,AH110)*(1-AF110)+INDEX(Models!$BJ110:$BT110,,AH110+1)*AF110-ERP_i)*AE110*Ramure*Pc/MaxiM</f>
        <v>3.8047324677343194E-5</v>
      </c>
      <c r="AE110" s="305">
        <f t="shared" si="40"/>
        <v>0.5</v>
      </c>
      <c r="AF110" s="177">
        <f t="shared" si="41"/>
        <v>0.52909433219526925</v>
      </c>
      <c r="AG110" s="811">
        <f t="shared" si="49"/>
        <v>2</v>
      </c>
      <c r="AH110" s="176">
        <f t="shared" si="42"/>
        <v>8</v>
      </c>
      <c r="AI110" s="225">
        <f t="shared" si="43"/>
        <v>2.5290943321952692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'2026'!Wh/'2026'!Env_an*'2027'!Env_an</f>
        <v>37.691902513957473</v>
      </c>
      <c r="C111" s="841"/>
      <c r="D111" s="393">
        <f t="shared" si="25"/>
        <v>40.450614470875379</v>
      </c>
      <c r="E111" s="385">
        <f t="shared" si="47"/>
        <v>41.842491845889313</v>
      </c>
      <c r="F111" s="385">
        <f t="shared" si="26"/>
        <v>41.842504527989192</v>
      </c>
      <c r="G111" s="110">
        <f t="shared" si="48"/>
        <v>0.73465881627974161</v>
      </c>
      <c r="H111" s="414" t="b">
        <f>Wh_hp&gt;='2026'!Maxi_hp</f>
        <v>0</v>
      </c>
      <c r="I111" s="390">
        <f>IF(H111,Wh_hp,'2026'!Maxi_hp)</f>
        <v>56.351753523847592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6.8199506806112753E-2</v>
      </c>
      <c r="M111" s="845"/>
      <c r="N111" s="845"/>
      <c r="O111" s="48">
        <f>IF(t&lt;Tnet,'2026'!Resal+('2026'!Salim-'2026'!Resal)*(1-EXP(('2026'!Tnet-t)/('2026'!Tau_j))),Resal+(Salim-Resal)*(1-EXP((Tnet-t)/(Tau_j))))*Salcycl</f>
        <v>3.3264686533019519E-2</v>
      </c>
      <c r="P111" s="169">
        <f>(INDEX(Models!$BJ111:$BT111,,T111)*(1-R111)+INDEX(Models!$BJ111:$BT111,,T111+1)*R111-ERP_i)*Q111*Ramure*Pc/MaxiM</f>
        <v>4.8811584824298192E-7</v>
      </c>
      <c r="Q111" s="305">
        <f t="shared" si="28"/>
        <v>0.5</v>
      </c>
      <c r="R111" s="177">
        <f t="shared" si="29"/>
        <v>5.3747123822395215E-3</v>
      </c>
      <c r="S111" s="811">
        <f t="shared" si="30"/>
        <v>-1</v>
      </c>
      <c r="T111" s="176">
        <f t="shared" si="31"/>
        <v>5</v>
      </c>
      <c r="U111" s="251">
        <f t="shared" si="32"/>
        <v>-0.99462528761776048</v>
      </c>
      <c r="V111" s="383">
        <f t="shared" si="33"/>
        <v>51.305306224864793</v>
      </c>
      <c r="W111" s="402">
        <f t="shared" si="34"/>
        <v>37.691902513957473</v>
      </c>
      <c r="X111" s="157">
        <f t="shared" si="35"/>
        <v>46484</v>
      </c>
      <c r="Y111" s="385">
        <f t="shared" si="36"/>
        <v>36.229246920280197</v>
      </c>
      <c r="Z111" s="385">
        <f t="shared" si="37"/>
        <v>38.880905499522726</v>
      </c>
      <c r="AA111" s="386">
        <f t="shared" si="38"/>
        <v>41.841622507668816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7.0760090806790479E-2</v>
      </c>
      <c r="AD111" s="231">
        <f>(INDEX(Models!$BJ111:$BT111,,AH111)*(1-AF111)+INDEX(Models!$BJ111:$BT111,,AH111+1)*AF111-ERP_i)*AE111*Ramure*Pc/MaxiM</f>
        <v>3.3947698012044749E-5</v>
      </c>
      <c r="AE111" s="305">
        <f t="shared" si="40"/>
        <v>0.5</v>
      </c>
      <c r="AF111" s="177">
        <f t="shared" si="41"/>
        <v>0.53036227875621833</v>
      </c>
      <c r="AG111" s="811">
        <f t="shared" si="49"/>
        <v>2</v>
      </c>
      <c r="AH111" s="176">
        <f t="shared" si="42"/>
        <v>8</v>
      </c>
      <c r="AI111" s="225">
        <f t="shared" si="43"/>
        <v>2.5303622787562183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'2026'!Wh/'2026'!Env_an*'2027'!Env_an</f>
        <v>31.047254794333444</v>
      </c>
      <c r="C112" s="841"/>
      <c r="D112" s="393">
        <f t="shared" si="25"/>
        <v>33.320367450511874</v>
      </c>
      <c r="E112" s="385">
        <f t="shared" si="47"/>
        <v>34.469653421133586</v>
      </c>
      <c r="F112" s="385">
        <f t="shared" si="26"/>
        <v>34.469661975740408</v>
      </c>
      <c r="G112" s="110">
        <f t="shared" si="48"/>
        <v>0.6022826395367894</v>
      </c>
      <c r="H112" s="414" t="b">
        <f>Wh_hp&gt;='2026'!Maxi_hp</f>
        <v>0</v>
      </c>
      <c r="I112" s="390">
        <f>IF(H112,Wh_hp,'2026'!Maxi_hp)</f>
        <v>55.793489046232402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6.8219915628316641E-2</v>
      </c>
      <c r="M112" s="845"/>
      <c r="N112" s="845"/>
      <c r="O112" s="48">
        <f>IF(t&lt;Tnet,'2026'!Resal+('2026'!Salim-'2026'!Resal)*(1-EXP(('2026'!Tnet-t)/('2026'!Tau_j))),Resal+(Salim-Resal)*(1-EXP((Tnet-t)/(Tau_j))))*Salcycl</f>
        <v>3.3341964787991715E-2</v>
      </c>
      <c r="P112" s="169">
        <f>(INDEX(Models!$BJ112:$BT112,,T112)*(1-R112)+INDEX(Models!$BJ112:$BT112,,T112+1)*R112-ERP_i)*Q112*Ramure*Pc/MaxiM</f>
        <v>5.7470844747046351E-7</v>
      </c>
      <c r="Q112" s="305">
        <f t="shared" si="28"/>
        <v>0.5</v>
      </c>
      <c r="R112" s="177">
        <f t="shared" si="29"/>
        <v>6.6885707099830771E-3</v>
      </c>
      <c r="S112" s="811">
        <f t="shared" si="30"/>
        <v>-1</v>
      </c>
      <c r="T112" s="176">
        <f t="shared" si="31"/>
        <v>5</v>
      </c>
      <c r="U112" s="251">
        <f t="shared" si="32"/>
        <v>-0.99331142929001692</v>
      </c>
      <c r="V112" s="383">
        <f t="shared" si="33"/>
        <v>51.549293667721606</v>
      </c>
      <c r="W112" s="402">
        <f t="shared" si="34"/>
        <v>31.047254794333444</v>
      </c>
      <c r="X112" s="157">
        <f t="shared" si="35"/>
        <v>46485</v>
      </c>
      <c r="Y112" s="385">
        <f t="shared" si="36"/>
        <v>29.843431094146137</v>
      </c>
      <c r="Z112" s="385">
        <f t="shared" si="37"/>
        <v>32.028406267418902</v>
      </c>
      <c r="AA112" s="386">
        <f t="shared" si="38"/>
        <v>34.469202861095482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7.0810938202213097E-2</v>
      </c>
      <c r="AD112" s="231">
        <f>(INDEX(Models!$BJ112:$BT112,,AH112)*(1-AF112)+INDEX(Models!$BJ112:$BT112,,AH112+1)*AF112-ERP_i)*AE112*Ramure*Pc/MaxiM</f>
        <v>3.0843856454808179E-5</v>
      </c>
      <c r="AE112" s="305">
        <f t="shared" si="40"/>
        <v>0.5</v>
      </c>
      <c r="AF112" s="177">
        <f t="shared" si="41"/>
        <v>0.531676137083962</v>
      </c>
      <c r="AG112" s="811">
        <f t="shared" si="49"/>
        <v>2</v>
      </c>
      <c r="AH112" s="176">
        <f t="shared" si="42"/>
        <v>8</v>
      </c>
      <c r="AI112" s="225">
        <f t="shared" si="43"/>
        <v>2.531676137083962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'2026'!Wh/'2026'!Env_an*'2027'!Env_an</f>
        <v>34.569289734167192</v>
      </c>
      <c r="C113" s="841"/>
      <c r="D113" s="393">
        <f t="shared" si="25"/>
        <v>37.101079414277635</v>
      </c>
      <c r="E113" s="385">
        <f t="shared" si="47"/>
        <v>38.38385242151346</v>
      </c>
      <c r="F113" s="385">
        <f t="shared" si="26"/>
        <v>38.383866076971337</v>
      </c>
      <c r="G113" s="110">
        <f t="shared" si="48"/>
        <v>0.66751952177172635</v>
      </c>
      <c r="H113" s="414" t="b">
        <f>Wh_hp&gt;='2026'!Maxi_hp</f>
        <v>0</v>
      </c>
      <c r="I113" s="390">
        <f>IF(H113,Wh_hp,'2026'!Maxi_hp)</f>
        <v>41.648731192226585</v>
      </c>
      <c r="J113" s="85">
        <f>IF(H113,An,'2026'!An_max)</f>
        <v>2019</v>
      </c>
      <c r="K113" s="197">
        <f t="shared" si="27"/>
        <v>46486</v>
      </c>
      <c r="L113" s="147">
        <f>IF(t&lt;Tvie,1-EXP((T0-t)*PertePVj)+'2026'!Pspv,1-EXP((T0-t)*PertePVj)+Pspv)</f>
        <v>6.8240324003514874E-2</v>
      </c>
      <c r="M113" s="845"/>
      <c r="N113" s="845"/>
      <c r="O113" s="48">
        <f>IF(t&lt;Tnet,'2026'!Resal+('2026'!Salim-'2026'!Resal)*(1-EXP(('2026'!Tnet-t)/('2026'!Tau_j))),Resal+(Salim-Resal)*(1-EXP((Tnet-t)/(Tau_j))))*Salcycl</f>
        <v>3.341960033477126E-2</v>
      </c>
      <c r="P113" s="169">
        <f>(INDEX(Models!$BJ113:$BT113,,T113)*(1-R113)+INDEX(Models!$BJ113:$BT113,,T113+1)*R113-ERP_i)*Q113*Ramure*Pc/MaxiM</f>
        <v>6.7760238363638215E-7</v>
      </c>
      <c r="Q113" s="305">
        <f t="shared" si="28"/>
        <v>0.5</v>
      </c>
      <c r="R113" s="177">
        <f t="shared" si="29"/>
        <v>8.0497096975491456E-3</v>
      </c>
      <c r="S113" s="811">
        <f t="shared" si="30"/>
        <v>-1</v>
      </c>
      <c r="T113" s="176">
        <f t="shared" si="31"/>
        <v>5</v>
      </c>
      <c r="U113" s="251">
        <f t="shared" si="32"/>
        <v>-0.99195029030245085</v>
      </c>
      <c r="V113" s="383">
        <f t="shared" si="33"/>
        <v>51.787666848393251</v>
      </c>
      <c r="W113" s="402">
        <f t="shared" si="34"/>
        <v>34.569289734167192</v>
      </c>
      <c r="X113" s="157">
        <f t="shared" si="35"/>
        <v>46486</v>
      </c>
      <c r="Y113" s="385">
        <f t="shared" si="36"/>
        <v>33.229669207255995</v>
      </c>
      <c r="Z113" s="385">
        <f t="shared" si="37"/>
        <v>35.663347602715262</v>
      </c>
      <c r="AA113" s="386">
        <f t="shared" si="38"/>
        <v>38.383287099073918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7.0862599373993668E-2</v>
      </c>
      <c r="AD113" s="231">
        <f>(INDEX(Models!$BJ113:$BT113,,AH113)*(1-AF113)+INDEX(Models!$BJ113:$BT113,,AH113+1)*AF113-ERP_i)*AE113*Ramure*Pc/MaxiM</f>
        <v>2.8729670349870616E-5</v>
      </c>
      <c r="AE113" s="305">
        <f t="shared" si="40"/>
        <v>0.5</v>
      </c>
      <c r="AF113" s="177">
        <f t="shared" si="41"/>
        <v>0.53303727607152807</v>
      </c>
      <c r="AG113" s="811">
        <f t="shared" si="49"/>
        <v>2</v>
      </c>
      <c r="AH113" s="176">
        <f t="shared" si="42"/>
        <v>8</v>
      </c>
      <c r="AI113" s="225">
        <f t="shared" si="43"/>
        <v>2.5330372760715281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'2026'!Wh/'2026'!Env_an*'2027'!Env_an</f>
        <v>52.0545967715695</v>
      </c>
      <c r="C114" s="841"/>
      <c r="D114" s="393">
        <f t="shared" si="25"/>
        <v>55.868201068192683</v>
      </c>
      <c r="E114" s="385">
        <f t="shared" si="47"/>
        <v>57.804513826108511</v>
      </c>
      <c r="F114" s="385">
        <f t="shared" si="26"/>
        <v>57.804561838176738</v>
      </c>
      <c r="G114" s="110">
        <f t="shared" si="48"/>
        <v>1.0006587548321233</v>
      </c>
      <c r="H114" s="414" t="b">
        <f>Wh_hp&gt;='2026'!Maxi_hp</f>
        <v>0</v>
      </c>
      <c r="I114" s="390">
        <f>IF(H114,Wh_hp,'2026'!Maxi_hp)</f>
        <v>58.06042842516851</v>
      </c>
      <c r="J114" s="85">
        <f>IF(H114,An,'2026'!An_max)</f>
        <v>2020</v>
      </c>
      <c r="K114" s="197">
        <f t="shared" si="27"/>
        <v>46487</v>
      </c>
      <c r="L114" s="147">
        <f>IF(t&lt;Tvie,1-EXP((T0-t)*PertePVj)+'2026'!Pspv,1-EXP((T0-t)*PertePVj)+Pspv)</f>
        <v>6.8260731931717333E-2</v>
      </c>
      <c r="M114" s="845"/>
      <c r="N114" s="845"/>
      <c r="O114" s="48">
        <f>IF(t&lt;Tnet,'2026'!Resal+('2026'!Salim-'2026'!Resal)*(1-EXP(('2026'!Tnet-t)/('2026'!Tau_j))),Resal+(Salim-Resal)*(1-EXP((Tnet-t)/(Tau_j))))*Salcycl</f>
        <v>3.3497604767350392E-2</v>
      </c>
      <c r="P114" s="169">
        <f>(INDEX(Models!$BJ114:$BT114,,T114)*(1-R114)+INDEX(Models!$BJ114:$BT114,,T114+1)*R114-ERP_i)*Q114*Ramure*Pc/MaxiM</f>
        <v>8.3059306560749349E-7</v>
      </c>
      <c r="Q114" s="305">
        <f t="shared" si="28"/>
        <v>0.5</v>
      </c>
      <c r="R114" s="177">
        <f t="shared" si="29"/>
        <v>9.4595158038917049E-3</v>
      </c>
      <c r="S114" s="811">
        <f t="shared" si="30"/>
        <v>-1</v>
      </c>
      <c r="T114" s="176">
        <f t="shared" si="31"/>
        <v>5</v>
      </c>
      <c r="U114" s="251">
        <f t="shared" si="32"/>
        <v>-0.9905404841961083</v>
      </c>
      <c r="V114" s="383">
        <f t="shared" si="33"/>
        <v>52.020328129045851</v>
      </c>
      <c r="W114" s="402">
        <f t="shared" si="34"/>
        <v>52.0545967715695</v>
      </c>
      <c r="X114" s="157">
        <f t="shared" si="35"/>
        <v>46487</v>
      </c>
      <c r="Y114" s="385">
        <f t="shared" si="36"/>
        <v>50.03798817672206</v>
      </c>
      <c r="Z114" s="385">
        <f t="shared" si="37"/>
        <v>53.703852452696047</v>
      </c>
      <c r="AA114" s="386">
        <f t="shared" si="38"/>
        <v>57.802954451432541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7.0915094870810866E-2</v>
      </c>
      <c r="AD114" s="231">
        <f>(INDEX(Models!$BJ114:$BT114,,AH114)*(1-AF114)+INDEX(Models!$BJ114:$BT114,,AH114+1)*AF114-ERP_i)*AE114*Ramure*Pc/MaxiM</f>
        <v>2.7807264566784079E-5</v>
      </c>
      <c r="AE114" s="305">
        <f t="shared" si="40"/>
        <v>0.5</v>
      </c>
      <c r="AF114" s="177">
        <f t="shared" si="41"/>
        <v>0.5344470821778704</v>
      </c>
      <c r="AG114" s="811">
        <f t="shared" si="49"/>
        <v>2</v>
      </c>
      <c r="AH114" s="176">
        <f t="shared" si="42"/>
        <v>8</v>
      </c>
      <c r="AI114" s="225">
        <f t="shared" si="43"/>
        <v>2.5344470821778704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'2026'!Wh/'2026'!Env_an*'2027'!Env_an</f>
        <v>43.711872939490767</v>
      </c>
      <c r="C115" s="841"/>
      <c r="D115" s="393">
        <f t="shared" si="25"/>
        <v>46.915303305063915</v>
      </c>
      <c r="E115" s="385">
        <f t="shared" si="47"/>
        <v>48.545258381689607</v>
      </c>
      <c r="F115" s="385">
        <f t="shared" si="26"/>
        <v>48.545296647455487</v>
      </c>
      <c r="G115" s="110">
        <f t="shared" si="48"/>
        <v>0.83663579198154903</v>
      </c>
      <c r="H115" s="414" t="b">
        <f>Wh_hp&gt;='2026'!Maxi_hp</f>
        <v>0</v>
      </c>
      <c r="I115" s="390">
        <f>IF(H115,Wh_hp,'2026'!Maxi_hp)</f>
        <v>59.123099904366789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6.82811394129339E-2</v>
      </c>
      <c r="M115" s="845"/>
      <c r="N115" s="845"/>
      <c r="O115" s="48">
        <f>IF(t&lt;Tnet,'2026'!Resal+('2026'!Salim-'2026'!Resal)*(1-EXP(('2026'!Tnet-t)/('2026'!Tau_j))),Resal+(Salim-Resal)*(1-EXP((Tnet-t)/(Tau_j))))*Salcycl</f>
        <v>3.3575989313108297E-2</v>
      </c>
      <c r="P115" s="169">
        <f>(INDEX(Models!$BJ115:$BT115,,T115)*(1-R115)+INDEX(Models!$BJ115:$BT115,,T115+1)*R115-ERP_i)*Q115*Ramure*Pc/MaxiM</f>
        <v>1.0282092176043214E-6</v>
      </c>
      <c r="Q115" s="305">
        <f t="shared" si="28"/>
        <v>0.5</v>
      </c>
      <c r="R115" s="177">
        <f t="shared" si="29"/>
        <v>1.0919391269788803E-2</v>
      </c>
      <c r="S115" s="811">
        <f t="shared" si="30"/>
        <v>-1</v>
      </c>
      <c r="T115" s="176">
        <f t="shared" si="31"/>
        <v>5</v>
      </c>
      <c r="U115" s="251">
        <f t="shared" si="32"/>
        <v>-0.9890806087302112</v>
      </c>
      <c r="V115" s="383">
        <f t="shared" si="33"/>
        <v>52.247181950974749</v>
      </c>
      <c r="W115" s="402">
        <f t="shared" si="34"/>
        <v>43.711872939490767</v>
      </c>
      <c r="X115" s="157">
        <f t="shared" si="35"/>
        <v>46488</v>
      </c>
      <c r="Y115" s="385">
        <f t="shared" si="36"/>
        <v>42.019741269300361</v>
      </c>
      <c r="Z115" s="385">
        <f t="shared" si="37"/>
        <v>45.099163542556362</v>
      </c>
      <c r="AA115" s="386">
        <f t="shared" si="38"/>
        <v>48.544275238401049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7.0968444351589027E-2</v>
      </c>
      <c r="AD115" s="231">
        <f>(INDEX(Models!$BJ115:$BT115,,AH115)*(1-AF115)+INDEX(Models!$BJ115:$BT115,,AH115+1)*AF115-ERP_i)*AE115*Ramure*Pc/MaxiM</f>
        <v>2.7445477192583034E-5</v>
      </c>
      <c r="AE115" s="305">
        <f t="shared" si="40"/>
        <v>0.5</v>
      </c>
      <c r="AF115" s="177">
        <f t="shared" si="41"/>
        <v>0.53590695764376761</v>
      </c>
      <c r="AG115" s="811">
        <f t="shared" si="49"/>
        <v>2</v>
      </c>
      <c r="AH115" s="176">
        <f t="shared" si="42"/>
        <v>8</v>
      </c>
      <c r="AI115" s="225">
        <f t="shared" si="43"/>
        <v>2.5359069576437676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'2026'!Wh/'2026'!Env_an*'2027'!Env_an</f>
        <v>35.448649989649994</v>
      </c>
      <c r="C116" s="841"/>
      <c r="D116" s="393">
        <f t="shared" si="25"/>
        <v>38.047342307454102</v>
      </c>
      <c r="E116" s="385">
        <f t="shared" si="47"/>
        <v>39.372411558353093</v>
      </c>
      <c r="F116" s="385">
        <f t="shared" si="26"/>
        <v>39.372438404103811</v>
      </c>
      <c r="G116" s="110">
        <f t="shared" si="48"/>
        <v>0.67562208540718405</v>
      </c>
      <c r="H116" s="414" t="b">
        <f>Wh_hp&gt;='2026'!Maxi_hp</f>
        <v>0</v>
      </c>
      <c r="I116" s="390">
        <f>IF(H116,Wh_hp,'2026'!Maxi_hp)</f>
        <v>58.323508945597986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6.8301546447174122E-2</v>
      </c>
      <c r="M116" s="845"/>
      <c r="N116" s="845"/>
      <c r="O116" s="48">
        <f>IF(t&lt;Tnet,'2026'!Resal+('2026'!Salim-'2026'!Resal)*(1-EXP(('2026'!Tnet-t)/('2026'!Tau_j))),Resal+(Salim-Resal)*(1-EXP((Tnet-t)/(Tau_j))))*Salcycl</f>
        <v>3.3654764807462427E-2</v>
      </c>
      <c r="P116" s="169">
        <f>(INDEX(Models!$BJ116:$BT116,,T116)*(1-R116)+INDEX(Models!$BJ116:$BT116,,T116+1)*R116-ERP_i)*Q116*Ramure*Pc/MaxiM</f>
        <v>1.270661003066277E-6</v>
      </c>
      <c r="Q116" s="305">
        <f t="shared" si="28"/>
        <v>0.5</v>
      </c>
      <c r="R116" s="177">
        <f t="shared" si="29"/>
        <v>1.2430752138417156E-2</v>
      </c>
      <c r="S116" s="811">
        <f t="shared" si="30"/>
        <v>-1</v>
      </c>
      <c r="T116" s="176">
        <f t="shared" si="31"/>
        <v>5</v>
      </c>
      <c r="U116" s="251">
        <f t="shared" si="32"/>
        <v>-0.98756924786158284</v>
      </c>
      <c r="V116" s="383">
        <f t="shared" si="33"/>
        <v>52.468132529155746</v>
      </c>
      <c r="W116" s="402">
        <f t="shared" si="34"/>
        <v>35.448649989649994</v>
      </c>
      <c r="X116" s="157">
        <f t="shared" si="35"/>
        <v>46489</v>
      </c>
      <c r="Y116" s="385">
        <f t="shared" si="36"/>
        <v>34.077392962265279</v>
      </c>
      <c r="Z116" s="385">
        <f t="shared" si="37"/>
        <v>36.575560292408646</v>
      </c>
      <c r="AA116" s="386">
        <f t="shared" si="38"/>
        <v>39.371854376861556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7.102266653958432E-2</v>
      </c>
      <c r="AD116" s="231">
        <f>(INDEX(Models!$BJ116:$BT116,,AH116)*(1-AF116)+INDEX(Models!$BJ116:$BT116,,AH116+1)*AF116-ERP_i)*AE116*Ramure*Pc/MaxiM</f>
        <v>2.7643132395156798E-5</v>
      </c>
      <c r="AE116" s="305">
        <f t="shared" si="40"/>
        <v>0.5</v>
      </c>
      <c r="AF116" s="177">
        <f t="shared" si="41"/>
        <v>0.53741831851239619</v>
      </c>
      <c r="AG116" s="811">
        <f t="shared" si="49"/>
        <v>2</v>
      </c>
      <c r="AH116" s="176">
        <f t="shared" si="42"/>
        <v>8</v>
      </c>
      <c r="AI116" s="225">
        <f t="shared" si="43"/>
        <v>2.5374183185123962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'2026'!Wh/'2026'!Env_an*'2027'!Env_an</f>
        <v>7.108041227843783</v>
      </c>
      <c r="C117" s="841"/>
      <c r="D117" s="393">
        <f t="shared" si="25"/>
        <v>7.6292891637776208</v>
      </c>
      <c r="E117" s="385">
        <f t="shared" si="47"/>
        <v>7.8956402307537914</v>
      </c>
      <c r="F117" s="385">
        <f t="shared" si="26"/>
        <v>7.8956402307537914</v>
      </c>
      <c r="G117" s="110">
        <f t="shared" si="48"/>
        <v>0.13492053982096347</v>
      </c>
      <c r="H117" s="414" t="b">
        <f>Wh_hp&gt;='2026'!Maxi_hp</f>
        <v>0</v>
      </c>
      <c r="I117" s="390">
        <f>IF(H117,Wh_hp,'2026'!Maxi_hp)</f>
        <v>59.034851740298983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6.8321953034447991E-2</v>
      </c>
      <c r="M117" s="845"/>
      <c r="N117" s="845"/>
      <c r="O117" s="48">
        <f>IF(t&lt;Tnet,'2026'!Resal+('2026'!Salim-'2026'!Resal)*(1-EXP(('2026'!Tnet-t)/('2026'!Tau_j))),Resal+(Salim-Resal)*(1-EXP((Tnet-t)/(Tau_j))))*Salcycl</f>
        <v>3.3733941668051694E-2</v>
      </c>
      <c r="P117" s="169">
        <f>(INDEX(Models!$BJ117:$BT117,,T117)*(1-R117)+INDEX(Models!$BJ117:$BT117,,T117+1)*R117-ERP_i)*Q117*Ramure*Pc/MaxiM</f>
        <v>1.558248160472432E-6</v>
      </c>
      <c r="Q117" s="305">
        <f t="shared" si="28"/>
        <v>0.5</v>
      </c>
      <c r="R117" s="177">
        <f t="shared" si="29"/>
        <v>1.3995026071338623E-2</v>
      </c>
      <c r="S117" s="811">
        <f t="shared" si="30"/>
        <v>-1</v>
      </c>
      <c r="T117" s="176">
        <f t="shared" si="31"/>
        <v>5</v>
      </c>
      <c r="U117" s="251">
        <f t="shared" si="32"/>
        <v>-0.98600497392866138</v>
      </c>
      <c r="V117" s="383">
        <f t="shared" si="33"/>
        <v>52.683084141108623</v>
      </c>
      <c r="W117" s="402">
        <f t="shared" si="34"/>
        <v>7.108041227843783</v>
      </c>
      <c r="X117" s="157">
        <f t="shared" si="35"/>
        <v>46490</v>
      </c>
      <c r="Y117" s="385">
        <f t="shared" si="36"/>
        <v>6.833332689421427</v>
      </c>
      <c r="Z117" s="385">
        <f t="shared" si="37"/>
        <v>7.3344356579801255</v>
      </c>
      <c r="AA117" s="386">
        <f t="shared" si="38"/>
        <v>7.8956402307537914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7.1077779175874059E-2</v>
      </c>
      <c r="AD117" s="231">
        <f>(INDEX(Models!$BJ117:$BT117,,AH117)*(1-AF117)+INDEX(Models!$BJ117:$BT117,,AH117+1)*AF117-ERP_i)*AE117*Ramure*Pc/MaxiM</f>
        <v>2.8400067694529133E-5</v>
      </c>
      <c r="AE117" s="305">
        <f t="shared" si="40"/>
        <v>0.5</v>
      </c>
      <c r="AF117" s="177">
        <f t="shared" si="41"/>
        <v>0.53898259244531754</v>
      </c>
      <c r="AG117" s="811">
        <f t="shared" si="49"/>
        <v>2</v>
      </c>
      <c r="AH117" s="176">
        <f t="shared" si="42"/>
        <v>8</v>
      </c>
      <c r="AI117" s="225">
        <f t="shared" si="43"/>
        <v>2.5389825924453175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'2026'!Wh/'2026'!Env_an*'2027'!Env_an</f>
        <v>38.422216492290204</v>
      </c>
      <c r="C118" s="841"/>
      <c r="D118" s="393">
        <f t="shared" si="25"/>
        <v>41.240703460830247</v>
      </c>
      <c r="E118" s="385">
        <f t="shared" si="47"/>
        <v>42.684000175668181</v>
      </c>
      <c r="F118" s="385">
        <f t="shared" si="26"/>
        <v>42.684049355652405</v>
      </c>
      <c r="G118" s="110">
        <f t="shared" si="48"/>
        <v>0.72642802042420074</v>
      </c>
      <c r="H118" s="414" t="b">
        <f>Wh_hp&gt;='2026'!Maxi_hp</f>
        <v>0</v>
      </c>
      <c r="I118" s="390">
        <f>IF(H118,Wh_hp,'2026'!Maxi_hp)</f>
        <v>57.514245582008527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6.8342359174765277E-2</v>
      </c>
      <c r="M118" s="845"/>
      <c r="N118" s="845"/>
      <c r="O118" s="48">
        <f>IF(t&lt;Tnet,'2026'!Resal+('2026'!Salim-'2026'!Resal)*(1-EXP(('2026'!Tnet-t)/('2026'!Tau_j))),Resal+(Salim-Resal)*(1-EXP((Tnet-t)/(Tau_j))))*Salcycl</f>
        <v>3.3813529868287312E-2</v>
      </c>
      <c r="P118" s="169">
        <f>(INDEX(Models!$BJ118:$BT118,,T118)*(1-R118)+INDEX(Models!$BJ118:$BT118,,T118+1)*R118-ERP_i)*Q118*Ramure*Pc/MaxiM</f>
        <v>1.8913614395255545E-6</v>
      </c>
      <c r="Q118" s="305">
        <f t="shared" si="28"/>
        <v>0.5</v>
      </c>
      <c r="R118" s="177">
        <f t="shared" si="29"/>
        <v>1.5613649950902198E-2</v>
      </c>
      <c r="S118" s="811">
        <f t="shared" si="30"/>
        <v>-1</v>
      </c>
      <c r="T118" s="176">
        <f t="shared" si="31"/>
        <v>5</v>
      </c>
      <c r="U118" s="251">
        <f t="shared" si="32"/>
        <v>-0.9843863500490978</v>
      </c>
      <c r="V118" s="383">
        <f t="shared" si="33"/>
        <v>52.891941130079253</v>
      </c>
      <c r="W118" s="402">
        <f t="shared" si="34"/>
        <v>38.422216492290204</v>
      </c>
      <c r="X118" s="157">
        <f t="shared" si="35"/>
        <v>46491</v>
      </c>
      <c r="Y118" s="385">
        <f t="shared" si="36"/>
        <v>36.93747988042098</v>
      </c>
      <c r="Z118" s="385">
        <f t="shared" si="37"/>
        <v>39.647053017997955</v>
      </c>
      <c r="AA118" s="386">
        <f t="shared" si="38"/>
        <v>42.683276637814608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7.1133798971908219E-2</v>
      </c>
      <c r="AD118" s="231">
        <f>(INDEX(Models!$BJ118:$BT118,,AH118)*(1-AF118)+INDEX(Models!$BJ118:$BT118,,AH118+1)*AF118-ERP_i)*AE118*Ramure*Pc/MaxiM</f>
        <v>2.9717144996315827E-5</v>
      </c>
      <c r="AE118" s="305">
        <f t="shared" si="40"/>
        <v>0.5</v>
      </c>
      <c r="AF118" s="177">
        <f t="shared" si="41"/>
        <v>0.54060121632488123</v>
      </c>
      <c r="AG118" s="811">
        <f t="shared" si="49"/>
        <v>2</v>
      </c>
      <c r="AH118" s="176">
        <f t="shared" si="42"/>
        <v>8</v>
      </c>
      <c r="AI118" s="225">
        <f t="shared" si="43"/>
        <v>2.5406012163248812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'2026'!Wh/'2026'!Env_an*'2027'!Env_an</f>
        <v>44.031413543379735</v>
      </c>
      <c r="C119" s="841"/>
      <c r="D119" s="393">
        <f t="shared" si="25"/>
        <v>47.262402019759875</v>
      </c>
      <c r="E119" s="385">
        <f t="shared" si="47"/>
        <v>48.920490570410166</v>
      </c>
      <c r="F119" s="385">
        <f t="shared" si="26"/>
        <v>48.920574557922471</v>
      </c>
      <c r="G119" s="110">
        <f t="shared" si="48"/>
        <v>0.82930058057631817</v>
      </c>
      <c r="H119" s="414" t="b">
        <f>Wh_hp&gt;='2026'!Maxi_hp</f>
        <v>0</v>
      </c>
      <c r="I119" s="390">
        <f>IF(H119,Wh_hp,'2026'!Maxi_hp)</f>
        <v>58.00017289991299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6.8362764868135639E-2</v>
      </c>
      <c r="M119" s="845"/>
      <c r="N119" s="845"/>
      <c r="O119" s="48">
        <f>IF(t&lt;Tnet,'2026'!Resal+('2026'!Salim-'2026'!Resal)*(1-EXP(('2026'!Tnet-t)/('2026'!Tau_j))),Resal+(Salim-Resal)*(1-EXP((Tnet-t)/(Tau_j))))*Salcycl</f>
        <v>3.3893538910118683E-2</v>
      </c>
      <c r="P119" s="169">
        <f>(INDEX(Models!$BJ119:$BT119,,T119)*(1-R119)+INDEX(Models!$BJ119:$BT119,,T119+1)*R119-ERP_i)*Q119*Ramure*Pc/MaxiM</f>
        <v>2.2704840824865122E-6</v>
      </c>
      <c r="Q119" s="305">
        <f t="shared" si="28"/>
        <v>0.5</v>
      </c>
      <c r="R119" s="177">
        <f t="shared" si="29"/>
        <v>1.7288067260433748E-2</v>
      </c>
      <c r="S119" s="811">
        <f t="shared" si="30"/>
        <v>-1</v>
      </c>
      <c r="T119" s="176">
        <f t="shared" si="31"/>
        <v>5</v>
      </c>
      <c r="U119" s="251">
        <f t="shared" si="32"/>
        <v>-0.98271193273956625</v>
      </c>
      <c r="V119" s="383">
        <f t="shared" si="33"/>
        <v>53.094607909051064</v>
      </c>
      <c r="W119" s="402">
        <f t="shared" si="34"/>
        <v>44.031413543379735</v>
      </c>
      <c r="X119" s="157">
        <f t="shared" si="35"/>
        <v>46492</v>
      </c>
      <c r="Y119" s="385">
        <f t="shared" si="36"/>
        <v>42.330611935827498</v>
      </c>
      <c r="Z119" s="385">
        <f t="shared" si="37"/>
        <v>45.436797005903273</v>
      </c>
      <c r="AA119" s="386">
        <f t="shared" si="38"/>
        <v>48.919405780102963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7.1190741560809706E-2</v>
      </c>
      <c r="AD119" s="231">
        <f>(INDEX(Models!$BJ119:$BT119,,AH119)*(1-AF119)+INDEX(Models!$BJ119:$BT119,,AH119+1)*AF119-ERP_i)*AE119*Ramure*Pc/MaxiM</f>
        <v>3.1596261901262091E-5</v>
      </c>
      <c r="AE119" s="305">
        <f t="shared" si="40"/>
        <v>0.5</v>
      </c>
      <c r="AF119" s="177">
        <f t="shared" si="41"/>
        <v>0.54227563363441256</v>
      </c>
      <c r="AG119" s="811">
        <f t="shared" si="49"/>
        <v>2</v>
      </c>
      <c r="AH119" s="176">
        <f t="shared" si="42"/>
        <v>8</v>
      </c>
      <c r="AI119" s="225">
        <f t="shared" si="43"/>
        <v>2.5422756336344126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'2026'!Wh/'2026'!Env_an*'2027'!Env_an</f>
        <v>42.487349580162778</v>
      </c>
      <c r="C120" s="841"/>
      <c r="D120" s="393">
        <f t="shared" si="25"/>
        <v>45.606034817327007</v>
      </c>
      <c r="E120" s="385">
        <f t="shared" si="47"/>
        <v>47.209944420824698</v>
      </c>
      <c r="F120" s="385">
        <f t="shared" si="26"/>
        <v>47.210034844108499</v>
      </c>
      <c r="G120" s="110">
        <f t="shared" si="48"/>
        <v>0.79727018075723899</v>
      </c>
      <c r="H120" s="414" t="b">
        <f>Wh_hp&gt;='2026'!Maxi_hp</f>
        <v>0</v>
      </c>
      <c r="I120" s="390">
        <f>IF(H120,Wh_hp,'2026'!Maxi_hp)</f>
        <v>52.848516926149152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6.8383170114568959E-2</v>
      </c>
      <c r="M120" s="845"/>
      <c r="N120" s="845"/>
      <c r="O120" s="48">
        <f>IF(t&lt;Tnet,'2026'!Resal+('2026'!Salim-'2026'!Resal)*(1-EXP(('2026'!Tnet-t)/('2026'!Tau_j))),Resal+(Salim-Resal)*(1-EXP((Tnet-t)/(Tau_j))))*Salcycl</f>
        <v>3.3973977795877096E-2</v>
      </c>
      <c r="P120" s="169">
        <f>(INDEX(Models!$BJ120:$BT120,,T120)*(1-R120)+INDEX(Models!$BJ120:$BT120,,T120+1)*R120-ERP_i)*Q120*Ramure*Pc/MaxiM</f>
        <v>2.6961933484201577E-6</v>
      </c>
      <c r="Q120" s="305">
        <f t="shared" si="28"/>
        <v>0.5</v>
      </c>
      <c r="R120" s="177">
        <f t="shared" si="29"/>
        <v>1.9019725234076135E-2</v>
      </c>
      <c r="S120" s="811">
        <f t="shared" si="30"/>
        <v>-1</v>
      </c>
      <c r="T120" s="176">
        <f t="shared" si="31"/>
        <v>5</v>
      </c>
      <c r="U120" s="251">
        <f t="shared" si="32"/>
        <v>-0.98098027476592387</v>
      </c>
      <c r="V120" s="383">
        <f t="shared" si="33"/>
        <v>53.290988963578364</v>
      </c>
      <c r="W120" s="402">
        <f t="shared" si="34"/>
        <v>42.487349580162778</v>
      </c>
      <c r="X120" s="157">
        <f t="shared" si="35"/>
        <v>46493</v>
      </c>
      <c r="Y120" s="385">
        <f t="shared" si="36"/>
        <v>40.847042362536769</v>
      </c>
      <c r="Z120" s="385">
        <f t="shared" si="37"/>
        <v>43.845324657305817</v>
      </c>
      <c r="AA120" s="386">
        <f t="shared" si="38"/>
        <v>47.208893219220862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7.1248621447146873E-2</v>
      </c>
      <c r="AD120" s="231">
        <f>(INDEX(Models!$BJ120:$BT120,,AH120)*(1-AF120)+INDEX(Models!$BJ120:$BT120,,AH120+1)*AF120-ERP_i)*AE120*Ramure*Pc/MaxiM</f>
        <v>3.4040363267380714E-5</v>
      </c>
      <c r="AE120" s="305">
        <f t="shared" si="40"/>
        <v>0.5</v>
      </c>
      <c r="AF120" s="177">
        <f t="shared" si="41"/>
        <v>0.54400729160805517</v>
      </c>
      <c r="AG120" s="811">
        <f t="shared" si="49"/>
        <v>2</v>
      </c>
      <c r="AH120" s="176">
        <f t="shared" si="42"/>
        <v>8</v>
      </c>
      <c r="AI120" s="225">
        <f t="shared" si="43"/>
        <v>2.5440072916080552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'2026'!Wh/'2026'!Env_an*'2027'!Env_an</f>
        <v>51.895182094459692</v>
      </c>
      <c r="C121" s="841"/>
      <c r="D121" s="393">
        <f t="shared" si="25"/>
        <v>55.705647528298734</v>
      </c>
      <c r="E121" s="385">
        <f t="shared" si="47"/>
        <v>57.669576597173801</v>
      </c>
      <c r="F121" s="385">
        <f t="shared" si="26"/>
        <v>57.669751623198813</v>
      </c>
      <c r="G121" s="110">
        <f t="shared" si="48"/>
        <v>0.97035509685378796</v>
      </c>
      <c r="H121" s="414" t="b">
        <f>Wh_hp&gt;='2026'!Maxi_hp</f>
        <v>0</v>
      </c>
      <c r="I121" s="390">
        <f>IF(H121,Wh_hp,'2026'!Maxi_hp)</f>
        <v>57.66975918315012</v>
      </c>
      <c r="J121" s="85">
        <f>IF(H121,An,'2026'!An_max)</f>
        <v>2025</v>
      </c>
      <c r="K121" s="197">
        <f t="shared" si="27"/>
        <v>46494</v>
      </c>
      <c r="L121" s="147">
        <f>IF(t&lt;Tvie,1-EXP((T0-t)*PertePVj)+'2026'!Pspv,1-EXP((T0-t)*PertePVj)+Pspv)</f>
        <v>6.8403574914075005E-2</v>
      </c>
      <c r="M121" s="845"/>
      <c r="N121" s="845"/>
      <c r="O121" s="48">
        <f>IF(t&lt;Tnet,'2026'!Resal+('2026'!Salim-'2026'!Resal)*(1-EXP(('2026'!Tnet-t)/('2026'!Tau_j))),Resal+(Salim-Resal)*(1-EXP((Tnet-t)/(Tau_j))))*Salcycl</f>
        <v>3.4054854999079551E-2</v>
      </c>
      <c r="P121" s="169">
        <f>(INDEX(Models!$BJ121:$BT121,,T121)*(1-R121)+INDEX(Models!$BJ121:$BT121,,T121+1)*R121-ERP_i)*Q121*Ramure*Pc/MaxiM</f>
        <v>3.1691849774542071E-6</v>
      </c>
      <c r="Q121" s="305">
        <f t="shared" si="28"/>
        <v>0.5</v>
      </c>
      <c r="R121" s="177">
        <f t="shared" si="29"/>
        <v>2.0810071768752936E-2</v>
      </c>
      <c r="S121" s="811">
        <f t="shared" si="30"/>
        <v>-1</v>
      </c>
      <c r="T121" s="176">
        <f t="shared" si="31"/>
        <v>5</v>
      </c>
      <c r="U121" s="251">
        <f t="shared" si="32"/>
        <v>-0.97918992823124706</v>
      </c>
      <c r="V121" s="383">
        <f t="shared" si="33"/>
        <v>53.480602407966117</v>
      </c>
      <c r="W121" s="402">
        <f t="shared" si="34"/>
        <v>51.895182094459692</v>
      </c>
      <c r="X121" s="157">
        <f t="shared" si="35"/>
        <v>46494</v>
      </c>
      <c r="Y121" s="385">
        <f t="shared" si="36"/>
        <v>49.892175803728755</v>
      </c>
      <c r="Z121" s="385">
        <f t="shared" si="37"/>
        <v>53.555568119668337</v>
      </c>
      <c r="AA121" s="386">
        <f t="shared" si="38"/>
        <v>57.667705240453977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7.13074519549457E-2</v>
      </c>
      <c r="AD121" s="231">
        <f>(INDEX(Models!$BJ121:$BT121,,AH121)*(1-AF121)+INDEX(Models!$BJ121:$BT121,,AH121+1)*AF121-ERP_i)*AE121*Ramure*Pc/MaxiM</f>
        <v>3.7053720740590324E-5</v>
      </c>
      <c r="AE121" s="305">
        <f t="shared" si="40"/>
        <v>0.5</v>
      </c>
      <c r="AF121" s="177">
        <f t="shared" si="41"/>
        <v>0.54579763814273186</v>
      </c>
      <c r="AG121" s="811">
        <f t="shared" si="49"/>
        <v>2</v>
      </c>
      <c r="AH121" s="176">
        <f t="shared" si="42"/>
        <v>8</v>
      </c>
      <c r="AI121" s="225">
        <f t="shared" si="43"/>
        <v>2.5457976381427319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'2026'!Wh/'2026'!Env_an*'2027'!Env_an</f>
        <v>35.896282895119327</v>
      </c>
      <c r="C122" s="841"/>
      <c r="D122" s="393">
        <f t="shared" si="25"/>
        <v>38.532854105520855</v>
      </c>
      <c r="E122" s="385">
        <f t="shared" si="47"/>
        <v>39.894706940207818</v>
      </c>
      <c r="F122" s="385">
        <f t="shared" si="26"/>
        <v>39.894785720800719</v>
      </c>
      <c r="G122" s="110">
        <f t="shared" si="48"/>
        <v>0.6689165969445251</v>
      </c>
      <c r="H122" s="414" t="b">
        <f>Wh_hp&gt;='2026'!Maxi_hp</f>
        <v>0</v>
      </c>
      <c r="I122" s="390">
        <f>IF(H122,Wh_hp,'2026'!Maxi_hp)</f>
        <v>42.565319321773202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6.8423979266663548E-2</v>
      </c>
      <c r="M122" s="845"/>
      <c r="N122" s="845"/>
      <c r="O122" s="48">
        <f>IF(t&lt;Tnet,'2026'!Resal+('2026'!Salim-'2026'!Resal)*(1-EXP(('2026'!Tnet-t)/('2026'!Tau_j))),Resal+(Salim-Resal)*(1-EXP((Tnet-t)/(Tau_j))))*Salcycl</f>
        <v>3.413617843409758E-2</v>
      </c>
      <c r="P122" s="169">
        <f>(INDEX(Models!$BJ122:$BT122,,T122)*(1-R122)+INDEX(Models!$BJ122:$BT122,,T122+1)*R122-ERP_i)*Q122*Ramure*Pc/MaxiM</f>
        <v>3.7468953094736611E-6</v>
      </c>
      <c r="Q122" s="305">
        <f t="shared" si="28"/>
        <v>0.5</v>
      </c>
      <c r="R122" s="177">
        <f t="shared" si="29"/>
        <v>2.2660552091475772E-2</v>
      </c>
      <c r="S122" s="811">
        <f t="shared" si="30"/>
        <v>-1</v>
      </c>
      <c r="T122" s="176">
        <f t="shared" si="31"/>
        <v>5</v>
      </c>
      <c r="U122" s="251">
        <f t="shared" si="32"/>
        <v>-0.97733944790852423</v>
      </c>
      <c r="V122" s="383">
        <f t="shared" si="33"/>
        <v>53.663221160993245</v>
      </c>
      <c r="W122" s="402">
        <f t="shared" si="34"/>
        <v>35.896282895119327</v>
      </c>
      <c r="X122" s="157">
        <f t="shared" si="35"/>
        <v>46495</v>
      </c>
      <c r="Y122" s="385">
        <f t="shared" si="36"/>
        <v>34.511916788951098</v>
      </c>
      <c r="Z122" s="385">
        <f t="shared" si="37"/>
        <v>37.046806724139728</v>
      </c>
      <c r="AA122" s="386">
        <f t="shared" si="38"/>
        <v>39.893926346666106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7.136724517375842E-2</v>
      </c>
      <c r="AD122" s="231">
        <f>(INDEX(Models!$BJ122:$BT122,,AH122)*(1-AF122)+INDEX(Models!$BJ122:$BT122,,AH122+1)*AF122-ERP_i)*AE122*Ramure*Pc/MaxiM</f>
        <v>4.0872818998424571E-5</v>
      </c>
      <c r="AE122" s="305">
        <f t="shared" si="40"/>
        <v>0.5</v>
      </c>
      <c r="AF122" s="177">
        <f t="shared" si="41"/>
        <v>0.54764811846545491</v>
      </c>
      <c r="AG122" s="811">
        <f t="shared" si="49"/>
        <v>2</v>
      </c>
      <c r="AH122" s="176">
        <f t="shared" si="42"/>
        <v>8</v>
      </c>
      <c r="AI122" s="225">
        <f t="shared" si="43"/>
        <v>2.5476481184654549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'2026'!Wh/'2026'!Env_an*'2027'!Env_an</f>
        <v>8.5810635703297926</v>
      </c>
      <c r="C123" s="841"/>
      <c r="D123" s="393">
        <f t="shared" si="25"/>
        <v>9.2115418718122015</v>
      </c>
      <c r="E123" s="385">
        <f t="shared" si="47"/>
        <v>9.5379096386723567</v>
      </c>
      <c r="F123" s="385">
        <f t="shared" si="26"/>
        <v>9.5379096386723567</v>
      </c>
      <c r="G123" s="110">
        <f t="shared" si="48"/>
        <v>0.15938267442315948</v>
      </c>
      <c r="H123" s="414" t="b">
        <f>Wh_hp&gt;='2026'!Maxi_hp</f>
        <v>0</v>
      </c>
      <c r="I123" s="390">
        <f>IF(H123,Wh_hp,'2026'!Maxi_hp)</f>
        <v>57.730407119667383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6.844438317234447E-2</v>
      </c>
      <c r="M123" s="845"/>
      <c r="N123" s="845"/>
      <c r="O123" s="48">
        <f>IF(t&lt;Tnet,'2026'!Resal+('2026'!Salim-'2026'!Resal)*(1-EXP(('2026'!Tnet-t)/('2026'!Tau_j))),Resal+(Salim-Resal)*(1-EXP((Tnet-t)/(Tau_j))))*Salcycl</f>
        <v>3.4217955424621242E-2</v>
      </c>
      <c r="P123" s="169">
        <f>(INDEX(Models!$BJ123:$BT123,,T123)*(1-R123)+INDEX(Models!$BJ123:$BT123,,T123+1)*R123-ERP_i)*Q123*Ramure*Pc/MaxiM</f>
        <v>4.419750002280147E-6</v>
      </c>
      <c r="Q123" s="305">
        <f t="shared" si="28"/>
        <v>0.5</v>
      </c>
      <c r="R123" s="177">
        <f t="shared" si="29"/>
        <v>2.4572605176112705E-2</v>
      </c>
      <c r="S123" s="811">
        <f t="shared" si="30"/>
        <v>-1</v>
      </c>
      <c r="T123" s="176">
        <f t="shared" si="31"/>
        <v>5</v>
      </c>
      <c r="U123" s="251">
        <f t="shared" si="32"/>
        <v>-0.97542739482388729</v>
      </c>
      <c r="V123" s="383">
        <f t="shared" si="33"/>
        <v>53.839137003006456</v>
      </c>
      <c r="W123" s="402">
        <f t="shared" si="34"/>
        <v>8.5810635703297926</v>
      </c>
      <c r="X123" s="157">
        <f t="shared" si="35"/>
        <v>46496</v>
      </c>
      <c r="Y123" s="385">
        <f t="shared" si="36"/>
        <v>8.2504487469469279</v>
      </c>
      <c r="Z123" s="385">
        <f t="shared" si="37"/>
        <v>8.8566357154747539</v>
      </c>
      <c r="AA123" s="386">
        <f t="shared" si="38"/>
        <v>9.5379096386723567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7.1428011902661945E-2</v>
      </c>
      <c r="AD123" s="231">
        <f>(INDEX(Models!$BJ123:$BT123,,AH123)*(1-AF123)+INDEX(Models!$BJ123:$BT123,,AH123+1)*AF123-ERP_i)*AE123*Ramure*Pc/MaxiM</f>
        <v>4.5152782691118254E-5</v>
      </c>
      <c r="AE123" s="305">
        <f t="shared" si="40"/>
        <v>0.5</v>
      </c>
      <c r="AF123" s="177">
        <f t="shared" si="41"/>
        <v>0.54956017155009151</v>
      </c>
      <c r="AG123" s="811">
        <f t="shared" si="49"/>
        <v>2</v>
      </c>
      <c r="AH123" s="176">
        <f t="shared" si="42"/>
        <v>8</v>
      </c>
      <c r="AI123" s="225">
        <f t="shared" si="43"/>
        <v>2.5495601715500915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'2026'!Wh/'2026'!Env_an*'2027'!Env_an</f>
        <v>9.8195146897660077</v>
      </c>
      <c r="C124" s="841"/>
      <c r="D124" s="393">
        <f t="shared" si="25"/>
        <v>10.541216852397874</v>
      </c>
      <c r="E124" s="385">
        <f t="shared" si="47"/>
        <v>10.915624889221194</v>
      </c>
      <c r="F124" s="385">
        <f t="shared" si="26"/>
        <v>10.915624889221194</v>
      </c>
      <c r="G124" s="110">
        <f t="shared" si="48"/>
        <v>0.1818128274097158</v>
      </c>
      <c r="H124" s="414" t="b">
        <f>Wh_hp&gt;='2026'!Maxi_hp</f>
        <v>0</v>
      </c>
      <c r="I124" s="390">
        <f>IF(H124,Wh_hp,'2026'!Maxi_hp)</f>
        <v>54.953153725787914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6.8464786631127428E-2</v>
      </c>
      <c r="M124" s="845"/>
      <c r="N124" s="845"/>
      <c r="O124" s="48">
        <f>IF(t&lt;Tnet,'2026'!Resal+('2026'!Salim-'2026'!Resal)*(1-EXP(('2026'!Tnet-t)/('2026'!Tau_j))),Resal+(Salim-Resal)*(1-EXP((Tnet-t)/(Tau_j))))*Salcycl</f>
        <v>3.4300192670878284E-2</v>
      </c>
      <c r="P124" s="169">
        <f>(INDEX(Models!$BJ124:$BT124,,T124)*(1-R124)+INDEX(Models!$BJ124:$BT124,,T124+1)*R124-ERP_i)*Q124*Ramure*Pc/MaxiM</f>
        <v>5.1891536114036355E-6</v>
      </c>
      <c r="Q124" s="305">
        <f t="shared" si="28"/>
        <v>0.5</v>
      </c>
      <c r="R124" s="177">
        <f t="shared" si="29"/>
        <v>2.6547659904781917E-2</v>
      </c>
      <c r="S124" s="811">
        <f t="shared" si="30"/>
        <v>-1</v>
      </c>
      <c r="T124" s="176">
        <f t="shared" si="31"/>
        <v>5</v>
      </c>
      <c r="U124" s="251">
        <f t="shared" si="32"/>
        <v>-0.97345234009521808</v>
      </c>
      <c r="V124" s="383">
        <f t="shared" si="33"/>
        <v>54.008641055164389</v>
      </c>
      <c r="W124" s="402">
        <f t="shared" si="34"/>
        <v>9.8195146897660077</v>
      </c>
      <c r="X124" s="157">
        <f t="shared" si="35"/>
        <v>46497</v>
      </c>
      <c r="Y124" s="385">
        <f t="shared" si="36"/>
        <v>9.4413604066682311</v>
      </c>
      <c r="Z124" s="385">
        <f t="shared" si="37"/>
        <v>10.135269468261752</v>
      </c>
      <c r="AA124" s="386">
        <f t="shared" si="38"/>
        <v>10.915624889221194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7.1489761592120699E-2</v>
      </c>
      <c r="AD124" s="231">
        <f>(INDEX(Models!$BJ124:$BT124,,AH124)*(1-AF124)+INDEX(Models!$BJ124:$BT124,,AH124+1)*AF124-ERP_i)*AE124*Ramure*Pc/MaxiM</f>
        <v>4.989898169523563E-5</v>
      </c>
      <c r="AE124" s="305">
        <f t="shared" si="40"/>
        <v>0.5</v>
      </c>
      <c r="AF124" s="177">
        <f t="shared" si="41"/>
        <v>0.55153522627876095</v>
      </c>
      <c r="AG124" s="811">
        <f t="shared" si="49"/>
        <v>2</v>
      </c>
      <c r="AH124" s="176">
        <f t="shared" si="42"/>
        <v>8</v>
      </c>
      <c r="AI124" s="225">
        <f t="shared" si="43"/>
        <v>2.5515352262787609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'2026'!Wh/'2026'!Env_an*'2027'!Env_an</f>
        <v>9.0765975536742012</v>
      </c>
      <c r="C125" s="841"/>
      <c r="D125" s="393">
        <f t="shared" si="25"/>
        <v>9.7439111571353791</v>
      </c>
      <c r="E125" s="385">
        <f t="shared" si="47"/>
        <v>10.090864296984275</v>
      </c>
      <c r="F125" s="385">
        <f t="shared" si="26"/>
        <v>10.090864296984275</v>
      </c>
      <c r="G125" s="110">
        <f t="shared" si="48"/>
        <v>0.16755036731931638</v>
      </c>
      <c r="H125" s="414" t="b">
        <f>Wh_hp&gt;='2026'!Maxi_hp</f>
        <v>0</v>
      </c>
      <c r="I125" s="390">
        <f>IF(H125,Wh_hp,'2026'!Maxi_hp)</f>
        <v>55.659407422413302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6.8485189643022304E-2</v>
      </c>
      <c r="M125" s="845"/>
      <c r="N125" s="845"/>
      <c r="O125" s="48">
        <f>IF(t&lt;Tnet,'2026'!Resal+('2026'!Salim-'2026'!Resal)*(1-EXP(('2026'!Tnet-t)/('2026'!Tau_j))),Resal+(Salim-Resal)*(1-EXP((Tnet-t)/(Tau_j))))*Salcycl</f>
        <v>3.438289621559823E-2</v>
      </c>
      <c r="P125" s="169">
        <f>(INDEX(Models!$BJ125:$BT125,,T125)*(1-R125)+INDEX(Models!$BJ125:$BT125,,T125+1)*R125-ERP_i)*Q125*Ramure*Pc/MaxiM</f>
        <v>6.0567028727517411E-6</v>
      </c>
      <c r="Q125" s="305">
        <f t="shared" si="28"/>
        <v>0.5</v>
      </c>
      <c r="R125" s="177">
        <f t="shared" si="29"/>
        <v>2.8587130970255004E-2</v>
      </c>
      <c r="S125" s="811">
        <f t="shared" si="30"/>
        <v>-1</v>
      </c>
      <c r="T125" s="176">
        <f t="shared" si="31"/>
        <v>5</v>
      </c>
      <c r="U125" s="251">
        <f t="shared" si="32"/>
        <v>-0.971412869029745</v>
      </c>
      <c r="V125" s="383">
        <f t="shared" si="33"/>
        <v>54.172024356841362</v>
      </c>
      <c r="W125" s="402">
        <f t="shared" si="34"/>
        <v>9.0765975536742012</v>
      </c>
      <c r="X125" s="157">
        <f t="shared" si="35"/>
        <v>46498</v>
      </c>
      <c r="Y125" s="385">
        <f t="shared" si="36"/>
        <v>8.7272110792769784</v>
      </c>
      <c r="Z125" s="385">
        <f t="shared" si="37"/>
        <v>9.3688377063296642</v>
      </c>
      <c r="AA125" s="386">
        <f t="shared" si="38"/>
        <v>10.090864296984275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7.1552502283713529E-2</v>
      </c>
      <c r="AD125" s="231">
        <f>(INDEX(Models!$BJ125:$BT125,,AH125)*(1-AF125)+INDEX(Models!$BJ125:$BT125,,AH125+1)*AF125-ERP_i)*AE125*Ramure*Pc/MaxiM</f>
        <v>5.5117613690068456E-5</v>
      </c>
      <c r="AE125" s="305">
        <f t="shared" si="40"/>
        <v>0.5</v>
      </c>
      <c r="AF125" s="177">
        <f t="shared" si="41"/>
        <v>0.5535746973442337</v>
      </c>
      <c r="AG125" s="811">
        <f t="shared" si="49"/>
        <v>2</v>
      </c>
      <c r="AH125" s="176">
        <f t="shared" si="42"/>
        <v>8</v>
      </c>
      <c r="AI125" s="225">
        <f t="shared" si="43"/>
        <v>2.5535746973442337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'2026'!Wh/'2026'!Env_an*'2027'!Env_an</f>
        <v>26.562897400878601</v>
      </c>
      <c r="C126" s="841"/>
      <c r="D126" s="393">
        <f t="shared" si="25"/>
        <v>28.516432496727482</v>
      </c>
      <c r="E126" s="385">
        <f t="shared" si="47"/>
        <v>29.534366066590636</v>
      </c>
      <c r="F126" s="385">
        <f t="shared" si="26"/>
        <v>29.534422056174368</v>
      </c>
      <c r="G126" s="110">
        <f t="shared" si="48"/>
        <v>0.48891896857432604</v>
      </c>
      <c r="H126" s="414" t="b">
        <f>Wh_hp&gt;='2026'!Maxi_hp</f>
        <v>0</v>
      </c>
      <c r="I126" s="390">
        <f>IF(H126,Wh_hp,'2026'!Maxi_hp)</f>
        <v>61.619887493232405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6.8505592208038868E-2</v>
      </c>
      <c r="M126" s="845"/>
      <c r="N126" s="845"/>
      <c r="O126" s="48">
        <f>IF(t&lt;Tnet,'2026'!Resal+('2026'!Salim-'2026'!Resal)*(1-EXP(('2026'!Tnet-t)/('2026'!Tau_j))),Resal+(Salim-Resal)*(1-EXP((Tnet-t)/(Tau_j))))*Salcycl</f>
        <v>3.4466071408745837E-2</v>
      </c>
      <c r="P126" s="169">
        <f>(INDEX(Models!$BJ126:$BT126,,T126)*(1-R126)+INDEX(Models!$BJ126:$BT126,,T126+1)*R126-ERP_i)*Q126*Ramure*Pc/MaxiM</f>
        <v>7.0241774083910139E-6</v>
      </c>
      <c r="Q126" s="305">
        <f t="shared" si="28"/>
        <v>0.5</v>
      </c>
      <c r="R126" s="177">
        <f t="shared" si="29"/>
        <v>3.0692414517137445E-2</v>
      </c>
      <c r="S126" s="811">
        <f t="shared" si="30"/>
        <v>-1</v>
      </c>
      <c r="T126" s="176">
        <f t="shared" si="31"/>
        <v>5</v>
      </c>
      <c r="U126" s="251">
        <f t="shared" si="32"/>
        <v>-0.96930758548286255</v>
      </c>
      <c r="V126" s="383">
        <f t="shared" si="33"/>
        <v>54.329577868329658</v>
      </c>
      <c r="W126" s="402">
        <f t="shared" si="34"/>
        <v>26.562897400878601</v>
      </c>
      <c r="X126" s="157">
        <f t="shared" si="35"/>
        <v>46499</v>
      </c>
      <c r="Y126" s="385">
        <f t="shared" si="36"/>
        <v>25.540484706668984</v>
      </c>
      <c r="Z126" s="385">
        <f t="shared" si="37"/>
        <v>27.418827738548448</v>
      </c>
      <c r="AA126" s="386">
        <f t="shared" si="38"/>
        <v>29.533937296282481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7.1616240547794058E-2</v>
      </c>
      <c r="AD126" s="231">
        <f>(INDEX(Models!$BJ126:$BT126,,AH126)*(1-AF126)+INDEX(Models!$BJ126:$BT126,,AH126+1)*AF126-ERP_i)*AE126*Ramure*Pc/MaxiM</f>
        <v>6.0815588439442754E-5</v>
      </c>
      <c r="AE126" s="305">
        <f t="shared" si="40"/>
        <v>0.5</v>
      </c>
      <c r="AF126" s="177">
        <f t="shared" si="41"/>
        <v>0.55567998089111637</v>
      </c>
      <c r="AG126" s="811">
        <f t="shared" si="49"/>
        <v>2</v>
      </c>
      <c r="AH126" s="176">
        <f t="shared" si="42"/>
        <v>8</v>
      </c>
      <c r="AI126" s="225">
        <f t="shared" si="43"/>
        <v>2.5556799808911164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'2026'!Wh/'2026'!Env_an*'2027'!Env_an</f>
        <v>9.1910364143038716</v>
      </c>
      <c r="C127" s="841"/>
      <c r="D127" s="393">
        <f t="shared" si="25"/>
        <v>9.8671958190129256</v>
      </c>
      <c r="E127" s="385">
        <f t="shared" si="47"/>
        <v>10.22030450740173</v>
      </c>
      <c r="F127" s="385">
        <f t="shared" si="26"/>
        <v>10.22030450740173</v>
      </c>
      <c r="G127" s="110">
        <f t="shared" si="48"/>
        <v>0.16869848347139221</v>
      </c>
      <c r="H127" s="414" t="b">
        <f>Wh_hp&gt;='2026'!Maxi_hp</f>
        <v>0</v>
      </c>
      <c r="I127" s="390">
        <f>IF(H127,Wh_hp,'2026'!Maxi_hp)</f>
        <v>61.960154457717145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6.852599432618689E-2</v>
      </c>
      <c r="M127" s="845"/>
      <c r="N127" s="845"/>
      <c r="O127" s="48">
        <f>IF(t&lt;Tnet,'2026'!Resal+('2026'!Salim-'2026'!Resal)*(1-EXP(('2026'!Tnet-t)/('2026'!Tau_j))),Resal+(Salim-Resal)*(1-EXP((Tnet-t)/(Tau_j))))*Salcycl</f>
        <v>3.4549722871082503E-2</v>
      </c>
      <c r="P127" s="169">
        <f>(INDEX(Models!$BJ127:$BT127,,T127)*(1-R127)+INDEX(Models!$BJ127:$BT127,,T127+1)*R127-ERP_i)*Q127*Ramure*Pc/MaxiM</f>
        <v>8.0935159313768703E-6</v>
      </c>
      <c r="Q127" s="305">
        <f t="shared" si="28"/>
        <v>0.5</v>
      </c>
      <c r="R127" s="177">
        <f t="shared" si="29"/>
        <v>3.2864883521170785E-2</v>
      </c>
      <c r="S127" s="811">
        <f t="shared" si="30"/>
        <v>-1</v>
      </c>
      <c r="T127" s="176">
        <f t="shared" si="31"/>
        <v>5</v>
      </c>
      <c r="U127" s="251">
        <f t="shared" si="32"/>
        <v>-0.96713511647882922</v>
      </c>
      <c r="V127" s="383">
        <f t="shared" si="33"/>
        <v>54.481592468273867</v>
      </c>
      <c r="W127" s="402">
        <f t="shared" si="34"/>
        <v>9.1910364143038716</v>
      </c>
      <c r="X127" s="157">
        <f t="shared" si="35"/>
        <v>46500</v>
      </c>
      <c r="Y127" s="385">
        <f t="shared" si="36"/>
        <v>8.8375487645413102</v>
      </c>
      <c r="Z127" s="385">
        <f t="shared" si="37"/>
        <v>9.4877030499078412</v>
      </c>
      <c r="AA127" s="386">
        <f t="shared" si="38"/>
        <v>10.22030450740173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7.1680981419225395E-2</v>
      </c>
      <c r="AD127" s="231">
        <f>(INDEX(Models!$BJ127:$BT127,,AH127)*(1-AF127)+INDEX(Models!$BJ127:$BT127,,AH127+1)*AF127-ERP_i)*AE127*Ramure*Pc/MaxiM</f>
        <v>6.7000321627714766E-5</v>
      </c>
      <c r="AE127" s="305">
        <f t="shared" si="40"/>
        <v>0.5</v>
      </c>
      <c r="AF127" s="177">
        <f t="shared" si="41"/>
        <v>0.55785244989514959</v>
      </c>
      <c r="AG127" s="811">
        <f t="shared" si="49"/>
        <v>2</v>
      </c>
      <c r="AH127" s="176">
        <f t="shared" si="42"/>
        <v>8</v>
      </c>
      <c r="AI127" s="225">
        <f t="shared" si="43"/>
        <v>2.5578524498951496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'2026'!Wh/'2026'!Env_an*'2027'!Env_an</f>
        <v>29.163194738470292</v>
      </c>
      <c r="C128" s="841"/>
      <c r="D128" s="393">
        <f t="shared" si="25"/>
        <v>31.309336947276734</v>
      </c>
      <c r="E128" s="385">
        <f t="shared" si="47"/>
        <v>32.432602999201414</v>
      </c>
      <c r="F128" s="385">
        <f t="shared" si="26"/>
        <v>32.432704364828126</v>
      </c>
      <c r="G128" s="110">
        <f t="shared" si="48"/>
        <v>0.53384388966776741</v>
      </c>
      <c r="H128" s="414" t="b">
        <f>Wh_hp&gt;='2026'!Maxi_hp</f>
        <v>0</v>
      </c>
      <c r="I128" s="390">
        <f>IF(H128,Wh_hp,'2026'!Maxi_hp)</f>
        <v>59.446721075347604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6.8546395997476139E-2</v>
      </c>
      <c r="M128" s="845"/>
      <c r="N128" s="845"/>
      <c r="O128" s="48">
        <f>IF(t&lt;Tnet,'2026'!Resal+('2026'!Salim-'2026'!Resal)*(1-EXP(('2026'!Tnet-t)/('2026'!Tau_j))),Resal+(Salim-Resal)*(1-EXP((Tnet-t)/(Tau_j))))*Salcycl</f>
        <v>3.4633854456650931E-2</v>
      </c>
      <c r="P128" s="169">
        <f>(INDEX(Models!$BJ128:$BT128,,T128)*(1-R128)+INDEX(Models!$BJ128:$BT128,,T128+1)*R128-ERP_i)*Q128*Ramure*Pc/MaxiM</f>
        <v>9.3556374400337773E-6</v>
      </c>
      <c r="Q128" s="305">
        <f t="shared" si="28"/>
        <v>0.5</v>
      </c>
      <c r="R128" s="177">
        <f t="shared" si="29"/>
        <v>3.5105882907752295E-2</v>
      </c>
      <c r="S128" s="811">
        <f t="shared" si="30"/>
        <v>-1</v>
      </c>
      <c r="T128" s="176">
        <f t="shared" si="31"/>
        <v>5</v>
      </c>
      <c r="U128" s="251">
        <f t="shared" si="32"/>
        <v>-0.96489411709224771</v>
      </c>
      <c r="V128" s="383">
        <f t="shared" si="33"/>
        <v>54.628354110844818</v>
      </c>
      <c r="W128" s="402">
        <f t="shared" si="34"/>
        <v>29.163194738470292</v>
      </c>
      <c r="X128" s="157">
        <f t="shared" si="35"/>
        <v>46501</v>
      </c>
      <c r="Y128" s="385">
        <f t="shared" si="36"/>
        <v>28.041429440939051</v>
      </c>
      <c r="Z128" s="385">
        <f t="shared" si="37"/>
        <v>30.105020068034513</v>
      </c>
      <c r="AA128" s="386">
        <f t="shared" si="38"/>
        <v>32.431903001988609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7.1746728331403178E-2</v>
      </c>
      <c r="AD128" s="231">
        <f>(INDEX(Models!$BJ128:$BT128,,AH128)*(1-AF128)+INDEX(Models!$BJ128:$BT128,,AH128+1)*AF128-ERP_i)*AE128*Ramure*Pc/MaxiM</f>
        <v>7.3962549513067666E-5</v>
      </c>
      <c r="AE128" s="305">
        <f t="shared" si="40"/>
        <v>0.5</v>
      </c>
      <c r="AF128" s="177">
        <f t="shared" si="41"/>
        <v>0.5600934492817311</v>
      </c>
      <c r="AG128" s="811">
        <f t="shared" si="49"/>
        <v>2</v>
      </c>
      <c r="AH128" s="176">
        <f t="shared" si="42"/>
        <v>8</v>
      </c>
      <c r="AI128" s="225">
        <f t="shared" si="43"/>
        <v>2.5600934492817311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'2026'!Wh/'2026'!Env_an*'2027'!Env_an</f>
        <v>44.8781128451079</v>
      </c>
      <c r="C129" s="841"/>
      <c r="D129" s="393">
        <f t="shared" si="25"/>
        <v>48.181783418558496</v>
      </c>
      <c r="E129" s="385">
        <f t="shared" si="47"/>
        <v>49.91474702653975</v>
      </c>
      <c r="F129" s="385">
        <f t="shared" si="26"/>
        <v>49.915146248263007</v>
      </c>
      <c r="G129" s="110">
        <f t="shared" si="48"/>
        <v>0.81938763480620203</v>
      </c>
      <c r="H129" s="414" t="b">
        <f>Wh_hp&gt;='2026'!Maxi_hp</f>
        <v>0</v>
      </c>
      <c r="I129" s="390">
        <f>IF(H129,Wh_hp,'2026'!Maxi_hp)</f>
        <v>54.184367462537033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6.8566797221916498E-2</v>
      </c>
      <c r="M129" s="845"/>
      <c r="N129" s="845"/>
      <c r="O129" s="48">
        <f>IF(t&lt;Tnet,'2026'!Resal+('2026'!Salim-'2026'!Resal)*(1-EXP(('2026'!Tnet-t)/('2026'!Tau_j))),Resal+(Salim-Resal)*(1-EXP((Tnet-t)/(Tau_j))))*Salcycl</f>
        <v>3.4718469214315151E-2</v>
      </c>
      <c r="P129" s="169">
        <f>(INDEX(Models!$BJ129:$BT129,,T129)*(1-R129)+INDEX(Models!$BJ129:$BT129,,T129+1)*R129-ERP_i)*Q129*Ramure*Pc/MaxiM</f>
        <v>1.0779195419996941E-5</v>
      </c>
      <c r="Q129" s="305">
        <f t="shared" si="28"/>
        <v>0.5</v>
      </c>
      <c r="R129" s="177">
        <f t="shared" si="29"/>
        <v>3.741672441271815E-2</v>
      </c>
      <c r="S129" s="811">
        <f t="shared" si="30"/>
        <v>-1</v>
      </c>
      <c r="T129" s="176">
        <f t="shared" si="31"/>
        <v>5</v>
      </c>
      <c r="U129" s="251">
        <f t="shared" si="32"/>
        <v>-0.96258327558728185</v>
      </c>
      <c r="V129" s="383">
        <f t="shared" si="33"/>
        <v>54.770155324917638</v>
      </c>
      <c r="W129" s="402">
        <f t="shared" si="34"/>
        <v>44.8781128451079</v>
      </c>
      <c r="X129" s="157">
        <f t="shared" si="35"/>
        <v>46502</v>
      </c>
      <c r="Y129" s="385">
        <f t="shared" si="36"/>
        <v>43.151217571769244</v>
      </c>
      <c r="Z129" s="385">
        <f t="shared" si="37"/>
        <v>46.327763969618914</v>
      </c>
      <c r="AA129" s="386">
        <f t="shared" si="38"/>
        <v>49.91212770660983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7.1813483048855195E-2</v>
      </c>
      <c r="AD129" s="231">
        <f>(INDEX(Models!$BJ129:$BT129,,AH129)*(1-AF129)+INDEX(Models!$BJ129:$BT129,,AH129+1)*AF129-ERP_i)*AE129*Ramure*Pc/MaxiM</f>
        <v>8.1502204083073703E-5</v>
      </c>
      <c r="AE129" s="305">
        <f t="shared" si="40"/>
        <v>0.5</v>
      </c>
      <c r="AF129" s="177">
        <f t="shared" si="41"/>
        <v>0.56240429078669685</v>
      </c>
      <c r="AG129" s="811">
        <f t="shared" si="49"/>
        <v>2</v>
      </c>
      <c r="AH129" s="176">
        <f t="shared" si="42"/>
        <v>8</v>
      </c>
      <c r="AI129" s="225">
        <f t="shared" si="43"/>
        <v>2.5624042907866968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'2026'!Wh/'2026'!Env_an*'2027'!Env_an</f>
        <v>52.243995637143811</v>
      </c>
      <c r="C130" s="841"/>
      <c r="D130" s="393">
        <f t="shared" si="25"/>
        <v>56.091129008463803</v>
      </c>
      <c r="E130" s="385">
        <f t="shared" si="47"/>
        <v>58.113692951189456</v>
      </c>
      <c r="F130" s="385">
        <f t="shared" si="26"/>
        <v>58.114361878437336</v>
      </c>
      <c r="G130" s="110">
        <f t="shared" si="48"/>
        <v>0.95149394569931001</v>
      </c>
      <c r="H130" s="414" t="b">
        <f>Wh_hp&gt;='2026'!Maxi_hp</f>
        <v>0</v>
      </c>
      <c r="I130" s="390">
        <f>IF(H130,Wh_hp,'2026'!Maxi_hp)</f>
        <v>58.114409650306747</v>
      </c>
      <c r="J130" s="85">
        <f>IF(H130,An,'2026'!An_max)</f>
        <v>2025</v>
      </c>
      <c r="K130" s="197">
        <f t="shared" si="27"/>
        <v>46503</v>
      </c>
      <c r="L130" s="147">
        <f>IF(t&lt;Tvie,1-EXP((T0-t)*PertePVj)+'2026'!Pspv,1-EXP((T0-t)*PertePVj)+Pspv)</f>
        <v>6.8587197999517624E-2</v>
      </c>
      <c r="M130" s="845"/>
      <c r="N130" s="845"/>
      <c r="O130" s="48">
        <f>IF(t&lt;Tnet,'2026'!Resal+('2026'!Salim-'2026'!Resal)*(1-EXP(('2026'!Tnet-t)/('2026'!Tau_j))),Resal+(Salim-Resal)*(1-EXP((Tnet-t)/(Tau_j))))*Salcycl</f>
        <v>3.4803569348525666E-2</v>
      </c>
      <c r="P130" s="169">
        <f>(INDEX(Models!$BJ130:$BT130,,T130)*(1-R130)+INDEX(Models!$BJ130:$BT130,,T130+1)*R130-ERP_i)*Q130*Ramure*Pc/MaxiM</f>
        <v>1.2367517272245932E-5</v>
      </c>
      <c r="Q130" s="305">
        <f t="shared" si="28"/>
        <v>0.5</v>
      </c>
      <c r="R130" s="177">
        <f t="shared" si="29"/>
        <v>3.9798681190577057E-2</v>
      </c>
      <c r="S130" s="811">
        <f t="shared" si="30"/>
        <v>-1</v>
      </c>
      <c r="T130" s="176">
        <f t="shared" si="31"/>
        <v>5</v>
      </c>
      <c r="U130" s="251">
        <f t="shared" si="32"/>
        <v>-0.96020131880942294</v>
      </c>
      <c r="V130" s="383">
        <f t="shared" si="33"/>
        <v>54.907286694209716</v>
      </c>
      <c r="W130" s="402">
        <f t="shared" si="34"/>
        <v>52.243995637143811</v>
      </c>
      <c r="X130" s="157">
        <f t="shared" si="35"/>
        <v>46503</v>
      </c>
      <c r="Y130" s="385">
        <f t="shared" si="36"/>
        <v>50.233448742085649</v>
      </c>
      <c r="Z130" s="385">
        <f t="shared" si="37"/>
        <v>53.932529845192782</v>
      </c>
      <c r="AA130" s="386">
        <f t="shared" si="38"/>
        <v>58.10951409982826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7.188124559877912E-2</v>
      </c>
      <c r="AD130" s="231">
        <f>(INDEX(Models!$BJ130:$BT130,,AH130)*(1-AF130)+INDEX(Models!$BJ130:$BT130,,AH130+1)*AF130-ERP_i)*AE130*Ramure*Pc/MaxiM</f>
        <v>8.9628559562692734E-5</v>
      </c>
      <c r="AE130" s="305">
        <f t="shared" si="40"/>
        <v>0.5</v>
      </c>
      <c r="AF130" s="177">
        <f t="shared" si="41"/>
        <v>0.5647862475645562</v>
      </c>
      <c r="AG130" s="811">
        <f t="shared" si="49"/>
        <v>2</v>
      </c>
      <c r="AH130" s="176">
        <f t="shared" si="42"/>
        <v>8</v>
      </c>
      <c r="AI130" s="225">
        <f t="shared" si="43"/>
        <v>2.5647862475645562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'2026'!Wh/'2026'!Env_an*'2027'!Env_an</f>
        <v>39.35314029564271</v>
      </c>
      <c r="C131" s="841"/>
      <c r="D131" s="393">
        <f t="shared" si="25"/>
        <v>42.251944749703981</v>
      </c>
      <c r="E131" s="385">
        <f t="shared" si="47"/>
        <v>43.77937002805357</v>
      </c>
      <c r="F131" s="385">
        <f t="shared" si="26"/>
        <v>43.779736615302305</v>
      </c>
      <c r="G131" s="110">
        <f t="shared" si="48"/>
        <v>0.71498703301301036</v>
      </c>
      <c r="H131" s="414" t="b">
        <f>Wh_hp&gt;='2026'!Maxi_hp</f>
        <v>0</v>
      </c>
      <c r="I131" s="390">
        <f>IF(H131,Wh_hp,'2026'!Maxi_hp)</f>
        <v>43.779977560532842</v>
      </c>
      <c r="J131" s="85">
        <f>IF(H131,An,'2026'!An_max)</f>
        <v>2025</v>
      </c>
      <c r="K131" s="197">
        <f t="shared" si="27"/>
        <v>46504</v>
      </c>
      <c r="L131" s="147">
        <f>IF(t&lt;Tvie,1-EXP((T0-t)*PertePVj)+'2026'!Pspv,1-EXP((T0-t)*PertePVj)+Pspv)</f>
        <v>6.8607598330289399E-2</v>
      </c>
      <c r="M131" s="845"/>
      <c r="N131" s="845"/>
      <c r="O131" s="48">
        <f>IF(t&lt;Tnet,'2026'!Resal+('2026'!Salim-'2026'!Resal)*(1-EXP(('2026'!Tnet-t)/('2026'!Tau_j))),Resal+(Salim-Resal)*(1-EXP((Tnet-t)/(Tau_j))))*Salcycl</f>
        <v>3.4889156179516156E-2</v>
      </c>
      <c r="P131" s="169">
        <f>(INDEX(Models!$BJ131:$BT131,,T131)*(1-R131)+INDEX(Models!$BJ131:$BT131,,T131+1)*R131-ERP_i)*Q131*Ramure*Pc/MaxiM</f>
        <v>1.4124185748540156E-5</v>
      </c>
      <c r="Q131" s="305">
        <f t="shared" si="28"/>
        <v>0.5</v>
      </c>
      <c r="R131" s="177">
        <f t="shared" si="29"/>
        <v>4.2252982177712006E-2</v>
      </c>
      <c r="S131" s="811">
        <f t="shared" si="30"/>
        <v>-1</v>
      </c>
      <c r="T131" s="176">
        <f t="shared" si="31"/>
        <v>5</v>
      </c>
      <c r="U131" s="251">
        <f t="shared" si="32"/>
        <v>-0.95774701782228799</v>
      </c>
      <c r="V131" s="383">
        <f t="shared" si="33"/>
        <v>55.040038723825297</v>
      </c>
      <c r="W131" s="402">
        <f t="shared" si="34"/>
        <v>39.35314029564271</v>
      </c>
      <c r="X131" s="157">
        <f t="shared" si="35"/>
        <v>46504</v>
      </c>
      <c r="Y131" s="385">
        <f t="shared" si="36"/>
        <v>37.840065573468301</v>
      </c>
      <c r="Z131" s="385">
        <f t="shared" si="37"/>
        <v>40.627414938786572</v>
      </c>
      <c r="AA131" s="386">
        <f t="shared" si="38"/>
        <v>43.777183945377992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7.1950014201952267E-2</v>
      </c>
      <c r="AD131" s="231">
        <f>(INDEX(Models!$BJ131:$BT131,,AH131)*(1-AF131)+INDEX(Models!$BJ131:$BT131,,AH131+1)*AF131-ERP_i)*AE131*Ramure*Pc/MaxiM</f>
        <v>9.8351441001000821E-5</v>
      </c>
      <c r="AE131" s="305">
        <f t="shared" si="40"/>
        <v>0.5</v>
      </c>
      <c r="AF131" s="177">
        <f t="shared" si="41"/>
        <v>0.56724054855169115</v>
      </c>
      <c r="AG131" s="811">
        <f t="shared" si="49"/>
        <v>2</v>
      </c>
      <c r="AH131" s="176">
        <f t="shared" si="42"/>
        <v>8</v>
      </c>
      <c r="AI131" s="225">
        <f t="shared" si="43"/>
        <v>2.5672405485516911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'2026'!Wh/'2026'!Env_an*'2027'!Env_an</f>
        <v>19.587997081499907</v>
      </c>
      <c r="C132" s="841"/>
      <c r="D132" s="393">
        <f t="shared" si="25"/>
        <v>21.031335539336617</v>
      </c>
      <c r="E132" s="385">
        <f t="shared" si="47"/>
        <v>21.793570688952542</v>
      </c>
      <c r="F132" s="385">
        <f t="shared" si="26"/>
        <v>21.7935982055827</v>
      </c>
      <c r="G132" s="110">
        <f t="shared" si="48"/>
        <v>0.3550510835252827</v>
      </c>
      <c r="H132" s="414" t="b">
        <f>Wh_hp&gt;='2026'!Maxi_hp</f>
        <v>0</v>
      </c>
      <c r="I132" s="390">
        <f>IF(H132,Wh_hp,'2026'!Maxi_hp)</f>
        <v>46.870510731346037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6.8627998214241592E-2</v>
      </c>
      <c r="M132" s="845"/>
      <c r="N132" s="845"/>
      <c r="O132" s="48">
        <f>IF(t&lt;Tnet,'2026'!Resal+('2026'!Salim-'2026'!Resal)*(1-EXP(('2026'!Tnet-t)/('2026'!Tau_j))),Resal+(Salim-Resal)*(1-EXP((Tnet-t)/(Tau_j))))*Salcycl</f>
        <v>3.4975230103174895E-2</v>
      </c>
      <c r="P132" s="169">
        <f>(INDEX(Models!$BJ132:$BT132,,T132)*(1-R132)+INDEX(Models!$BJ132:$BT132,,T132+1)*R132-ERP_i)*Q132*Ramure*Pc/MaxiM</f>
        <v>1.6053031182132167E-5</v>
      </c>
      <c r="Q132" s="305">
        <f t="shared" si="28"/>
        <v>0.5</v>
      </c>
      <c r="R132" s="177">
        <f t="shared" si="29"/>
        <v>4.4780806220589331E-2</v>
      </c>
      <c r="S132" s="811">
        <f t="shared" si="30"/>
        <v>-1</v>
      </c>
      <c r="T132" s="176">
        <f t="shared" si="31"/>
        <v>5</v>
      </c>
      <c r="U132" s="251">
        <f t="shared" si="32"/>
        <v>-0.95521919377941067</v>
      </c>
      <c r="V132" s="383">
        <f t="shared" si="33"/>
        <v>55.168701843564961</v>
      </c>
      <c r="W132" s="402">
        <f t="shared" si="34"/>
        <v>19.587997081499907</v>
      </c>
      <c r="X132" s="157">
        <f t="shared" si="35"/>
        <v>46505</v>
      </c>
      <c r="Y132" s="385">
        <f t="shared" si="36"/>
        <v>18.835933861287753</v>
      </c>
      <c r="Z132" s="385">
        <f t="shared" si="37"/>
        <v>20.223856660037914</v>
      </c>
      <c r="AA132" s="386">
        <f t="shared" si="38"/>
        <v>21.793413628407176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7.2019785203516096E-2</v>
      </c>
      <c r="AD132" s="231">
        <f>(INDEX(Models!$BJ132:$BT132,,AH132)*(1-AF132)+INDEX(Models!$BJ132:$BT132,,AH132+1)*AF132-ERP_i)*AE132*Ramure*Pc/MaxiM</f>
        <v>1.076811781496745E-4</v>
      </c>
      <c r="AE132" s="305">
        <f t="shared" si="40"/>
        <v>0.5</v>
      </c>
      <c r="AF132" s="177">
        <f t="shared" si="41"/>
        <v>0.56976837259456836</v>
      </c>
      <c r="AG132" s="811">
        <f t="shared" si="49"/>
        <v>2</v>
      </c>
      <c r="AH132" s="176">
        <f t="shared" si="42"/>
        <v>8</v>
      </c>
      <c r="AI132" s="225">
        <f t="shared" si="43"/>
        <v>2.5697683725945684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'2026'!Wh/'2026'!Env_an*'2027'!Env_an</f>
        <v>39.417438894878416</v>
      </c>
      <c r="C133" s="841"/>
      <c r="D133" s="393">
        <f t="shared" si="25"/>
        <v>42.322833605996195</v>
      </c>
      <c r="E133" s="385">
        <f t="shared" si="47"/>
        <v>43.860667130341596</v>
      </c>
      <c r="F133" s="385">
        <f t="shared" si="26"/>
        <v>43.861136886086662</v>
      </c>
      <c r="G133" s="110">
        <f t="shared" si="48"/>
        <v>0.71287037295927091</v>
      </c>
      <c r="H133" s="414" t="b">
        <f>Wh_hp&gt;='2026'!Maxi_hp</f>
        <v>0</v>
      </c>
      <c r="I133" s="390">
        <f>IF(H133,Wh_hp,'2026'!Maxi_hp)</f>
        <v>52.731591737433121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6.8648397651383863E-2</v>
      </c>
      <c r="M133" s="845"/>
      <c r="N133" s="845"/>
      <c r="O133" s="48">
        <f>IF(t&lt;Tnet,'2026'!Resal+('2026'!Salim-'2026'!Resal)*(1-EXP(('2026'!Tnet-t)/('2026'!Tau_j))),Resal+(Salim-Resal)*(1-EXP((Tnet-t)/(Tau_j))))*Salcycl</f>
        <v>3.5061790550868513E-2</v>
      </c>
      <c r="P133" s="169">
        <f>(INDEX(Models!$BJ133:$BT133,,T133)*(1-R133)+INDEX(Models!$BJ133:$BT133,,T133+1)*R133-ERP_i)*Q133*Ramure*Pc/MaxiM</f>
        <v>1.815812289439279E-5</v>
      </c>
      <c r="Q133" s="305">
        <f t="shared" si="28"/>
        <v>0.5</v>
      </c>
      <c r="R133" s="177">
        <f t="shared" si="29"/>
        <v>4.7383275981721429E-2</v>
      </c>
      <c r="S133" s="811">
        <f t="shared" si="30"/>
        <v>-1</v>
      </c>
      <c r="T133" s="176">
        <f t="shared" si="31"/>
        <v>5</v>
      </c>
      <c r="U133" s="251">
        <f t="shared" si="32"/>
        <v>-0.95261672401827857</v>
      </c>
      <c r="V133" s="383">
        <f t="shared" si="33"/>
        <v>55.293566409338325</v>
      </c>
      <c r="W133" s="402">
        <f t="shared" si="34"/>
        <v>39.417438894878416</v>
      </c>
      <c r="X133" s="157">
        <f t="shared" si="35"/>
        <v>46506</v>
      </c>
      <c r="Y133" s="385">
        <f t="shared" si="36"/>
        <v>37.902601064834883</v>
      </c>
      <c r="Z133" s="385">
        <f t="shared" si="37"/>
        <v>40.696339566340789</v>
      </c>
      <c r="AA133" s="386">
        <f t="shared" si="38"/>
        <v>43.858093802255695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7.2090553004204957E-2</v>
      </c>
      <c r="AD133" s="231">
        <f>(INDEX(Models!$BJ133:$BT133,,AH133)*(1-AF133)+INDEX(Models!$BJ133:$BT133,,AH133+1)*AF133-ERP_i)*AE133*Ramure*Pc/MaxiM</f>
        <v>1.1762855645889476E-4</v>
      </c>
      <c r="AE133" s="305">
        <f t="shared" si="40"/>
        <v>0.5</v>
      </c>
      <c r="AF133" s="177">
        <f t="shared" si="41"/>
        <v>0.57237084235570057</v>
      </c>
      <c r="AG133" s="811">
        <f t="shared" si="49"/>
        <v>2</v>
      </c>
      <c r="AH133" s="176">
        <f t="shared" si="42"/>
        <v>8</v>
      </c>
      <c r="AI133" s="225">
        <f t="shared" si="43"/>
        <v>2.5723708423557006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'2026'!Wh/'2026'!Env_an*'2027'!Env_an</f>
        <v>41.898757402012727</v>
      </c>
      <c r="C134" s="841"/>
      <c r="D134" s="393">
        <f t="shared" si="25"/>
        <v>44.988031380169161</v>
      </c>
      <c r="E134" s="385">
        <f t="shared" si="47"/>
        <v>46.626913099537795</v>
      </c>
      <c r="F134" s="385">
        <f t="shared" si="26"/>
        <v>46.627534193413275</v>
      </c>
      <c r="G134" s="110">
        <f t="shared" si="48"/>
        <v>0.75608621091549466</v>
      </c>
      <c r="H134" s="414" t="b">
        <f>Wh_hp&gt;='2026'!Maxi_hp</f>
        <v>0</v>
      </c>
      <c r="I134" s="390">
        <f>IF(H134,Wh_hp,'2026'!Maxi_hp)</f>
        <v>62.081683557920357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6.8668796641726204E-2</v>
      </c>
      <c r="M134" s="845"/>
      <c r="N134" s="845"/>
      <c r="O134" s="48">
        <f>IF(t&lt;Tnet,'2026'!Resal+('2026'!Salim-'2026'!Resal)*(1-EXP(('2026'!Tnet-t)/('2026'!Tau_j))),Resal+(Salim-Resal)*(1-EXP((Tnet-t)/(Tau_j))))*Salcycl</f>
        <v>3.5148835949529722E-2</v>
      </c>
      <c r="P134" s="169">
        <f>(INDEX(Models!$BJ134:$BT134,,T134)*(1-R134)+INDEX(Models!$BJ134:$BT134,,T134+1)*R134-ERP_i)*Q134*Ramure*Pc/MaxiM</f>
        <v>2.0443759659042557E-5</v>
      </c>
      <c r="Q134" s="305">
        <f t="shared" si="28"/>
        <v>0.5</v>
      </c>
      <c r="R134" s="177">
        <f t="shared" si="29"/>
        <v>5.0061451639000554E-2</v>
      </c>
      <c r="S134" s="811">
        <f t="shared" si="30"/>
        <v>-1</v>
      </c>
      <c r="T134" s="176">
        <f t="shared" si="31"/>
        <v>5</v>
      </c>
      <c r="U134" s="251">
        <f t="shared" si="32"/>
        <v>-0.94993854836099945</v>
      </c>
      <c r="V134" s="383">
        <f t="shared" si="33"/>
        <v>55.414922703343386</v>
      </c>
      <c r="W134" s="402">
        <f t="shared" si="34"/>
        <v>41.898757402012727</v>
      </c>
      <c r="X134" s="157">
        <f t="shared" si="35"/>
        <v>46507</v>
      </c>
      <c r="Y134" s="385">
        <f t="shared" si="36"/>
        <v>40.288614615508678</v>
      </c>
      <c r="Z134" s="385">
        <f t="shared" si="37"/>
        <v>43.259169745663563</v>
      </c>
      <c r="AA134" s="386">
        <f t="shared" si="38"/>
        <v>46.623639254534766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7.2162309992649554E-2</v>
      </c>
      <c r="AD134" s="231">
        <f>(INDEX(Models!$BJ134:$BT134,,AH134)*(1-AF134)+INDEX(Models!$BJ134:$BT134,,AH134+1)*AF134-ERP_i)*AE134*Ramure*Pc/MaxiM</f>
        <v>1.2820476495183805E-4</v>
      </c>
      <c r="AE134" s="305">
        <f t="shared" si="40"/>
        <v>0.5</v>
      </c>
      <c r="AF134" s="177">
        <f t="shared" si="41"/>
        <v>0.57504901801297947</v>
      </c>
      <c r="AG134" s="811">
        <f t="shared" si="49"/>
        <v>2</v>
      </c>
      <c r="AH134" s="176">
        <f t="shared" si="42"/>
        <v>8</v>
      </c>
      <c r="AI134" s="225">
        <f t="shared" si="43"/>
        <v>2.5750490180129795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'2026'!Wh/'2026'!Env_an*'2027'!Env_an</f>
        <v>45.410319473770052</v>
      </c>
      <c r="C135" s="841"/>
      <c r="D135" s="393">
        <f t="shared" si="25"/>
        <v>48.75957547040823</v>
      </c>
      <c r="E135" s="385">
        <f t="shared" si="47"/>
        <v>50.540436677853897</v>
      </c>
      <c r="F135" s="385">
        <f t="shared" si="26"/>
        <v>50.541293260020787</v>
      </c>
      <c r="G135" s="110">
        <f t="shared" si="48"/>
        <v>0.81772569837877507</v>
      </c>
      <c r="H135" s="414" t="b">
        <f>Wh_hp&gt;='2026'!Maxi_hp</f>
        <v>0</v>
      </c>
      <c r="I135" s="390">
        <f>IF(H135,Wh_hp,'2026'!Maxi_hp)</f>
        <v>57.93362071879104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6.8689195185278273E-2</v>
      </c>
      <c r="M135" s="845"/>
      <c r="N135" s="845"/>
      <c r="O135" s="48">
        <f>IF(t&lt;Tnet,'2026'!Resal+('2026'!Salim-'2026'!Resal)*(1-EXP(('2026'!Tnet-t)/('2026'!Tau_j))),Resal+(Salim-Resal)*(1-EXP((Tnet-t)/(Tau_j))))*Salcycl</f>
        <v>3.5236363682350523E-2</v>
      </c>
      <c r="P135" s="169">
        <f>(INDEX(Models!$BJ135:$BT135,,T135)*(1-R135)+INDEX(Models!$BJ135:$BT135,,T135+1)*R135-ERP_i)*Q135*Ramure*Pc/MaxiM</f>
        <v>2.2914843871676053E-5</v>
      </c>
      <c r="Q135" s="305">
        <f t="shared" si="28"/>
        <v>0.5</v>
      </c>
      <c r="R135" s="177">
        <f t="shared" si="29"/>
        <v>5.2816324397060521E-2</v>
      </c>
      <c r="S135" s="811">
        <f t="shared" si="30"/>
        <v>-1</v>
      </c>
      <c r="T135" s="176">
        <f t="shared" si="31"/>
        <v>5</v>
      </c>
      <c r="U135" s="251">
        <f t="shared" si="32"/>
        <v>-0.94718367560293948</v>
      </c>
      <c r="V135" s="383">
        <f t="shared" si="33"/>
        <v>55.532128451392296</v>
      </c>
      <c r="W135" s="402">
        <f t="shared" si="34"/>
        <v>45.410319473770052</v>
      </c>
      <c r="X135" s="157">
        <f t="shared" si="35"/>
        <v>46508</v>
      </c>
      <c r="Y135" s="385">
        <f t="shared" si="36"/>
        <v>43.665070765650711</v>
      </c>
      <c r="Z135" s="385">
        <f t="shared" si="37"/>
        <v>46.885605256493932</v>
      </c>
      <c r="AA135" s="386">
        <f t="shared" si="38"/>
        <v>50.536081448839717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7.2235046479441595E-2</v>
      </c>
      <c r="AD135" s="231">
        <f>(INDEX(Models!$BJ135:$BT135,,AH135)*(1-AF135)+INDEX(Models!$BJ135:$BT135,,AH135+1)*AF135-ERP_i)*AE135*Ramure*Pc/MaxiM</f>
        <v>1.3942368183637418E-4</v>
      </c>
      <c r="AE135" s="305">
        <f t="shared" si="40"/>
        <v>0.5</v>
      </c>
      <c r="AF135" s="177">
        <f t="shared" si="41"/>
        <v>0.57780389077103944</v>
      </c>
      <c r="AG135" s="811">
        <f t="shared" si="49"/>
        <v>2</v>
      </c>
      <c r="AH135" s="176">
        <f t="shared" si="42"/>
        <v>8</v>
      </c>
      <c r="AI135" s="225">
        <f t="shared" si="43"/>
        <v>2.5778038907710394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'2026'!Wh/'2026'!Env_an*'2027'!Env_an</f>
        <v>29.191893156867607</v>
      </c>
      <c r="C136" s="841"/>
      <c r="D136" s="393">
        <f t="shared" si="25"/>
        <v>31.345639283180805</v>
      </c>
      <c r="E136" s="385">
        <f t="shared" si="47"/>
        <v>32.49344993282368</v>
      </c>
      <c r="F136" s="385">
        <f t="shared" si="26"/>
        <v>32.493717539808074</v>
      </c>
      <c r="G136" s="110">
        <f t="shared" si="48"/>
        <v>0.52460589107620892</v>
      </c>
      <c r="H136" s="414" t="b">
        <f>Wh_hp&gt;='2026'!Maxi_hp</f>
        <v>0</v>
      </c>
      <c r="I136" s="390">
        <f>IF(H136,Wh_hp,'2026'!Maxi_hp)</f>
        <v>50.847443819946974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6.8709593282049841E-2</v>
      </c>
      <c r="M136" s="845"/>
      <c r="N136" s="845"/>
      <c r="O136" s="48">
        <f>IF(t&lt;Tnet,'2026'!Resal+('2026'!Salim-'2026'!Resal)*(1-EXP(('2026'!Tnet-t)/('2026'!Tau_j))),Resal+(Salim-Resal)*(1-EXP((Tnet-t)/(Tau_j))))*Salcycl</f>
        <v>3.5324370050451338E-2</v>
      </c>
      <c r="P136" s="169">
        <f>(INDEX(Models!$BJ136:$BT136,,T136)*(1-R136)+INDEX(Models!$BJ136:$BT136,,T136+1)*R136-ERP_i)*Q136*Ramure*Pc/MaxiM</f>
        <v>2.566594500431579E-5</v>
      </c>
      <c r="Q136" s="305">
        <f t="shared" si="28"/>
        <v>0.5</v>
      </c>
      <c r="R136" s="177">
        <f t="shared" si="29"/>
        <v>5.5648809832495649E-2</v>
      </c>
      <c r="S136" s="811">
        <f t="shared" si="30"/>
        <v>-1</v>
      </c>
      <c r="T136" s="176">
        <f t="shared" si="31"/>
        <v>5</v>
      </c>
      <c r="U136" s="251">
        <f t="shared" si="32"/>
        <v>-0.94435119016750435</v>
      </c>
      <c r="V136" s="383">
        <f t="shared" si="33"/>
        <v>55.644408166237021</v>
      </c>
      <c r="W136" s="402">
        <f t="shared" si="34"/>
        <v>29.191893156867607</v>
      </c>
      <c r="X136" s="157">
        <f t="shared" si="35"/>
        <v>46509</v>
      </c>
      <c r="Y136" s="385">
        <f t="shared" si="36"/>
        <v>28.071577406305185</v>
      </c>
      <c r="Z136" s="385">
        <f t="shared" si="37"/>
        <v>30.142667855062442</v>
      </c>
      <c r="AA136" s="386">
        <f t="shared" si="38"/>
        <v>32.492133428716237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7.2308750633695268E-2</v>
      </c>
      <c r="AD136" s="231">
        <f>(INDEX(Models!$BJ136:$BT136,,AH136)*(1-AF136)+INDEX(Models!$BJ136:$BT136,,AH136+1)*AF136-ERP_i)*AE136*Ramure*Pc/MaxiM</f>
        <v>1.5193066898406055E-4</v>
      </c>
      <c r="AE136" s="305">
        <f t="shared" si="40"/>
        <v>0.5</v>
      </c>
      <c r="AF136" s="177">
        <f t="shared" si="41"/>
        <v>0.58063637620647457</v>
      </c>
      <c r="AG136" s="811">
        <f t="shared" si="49"/>
        <v>2</v>
      </c>
      <c r="AH136" s="176">
        <f t="shared" si="42"/>
        <v>8</v>
      </c>
      <c r="AI136" s="225">
        <f t="shared" si="43"/>
        <v>2.5806363762064746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'2026'!Wh/'2026'!Env_an*'2027'!Env_an</f>
        <v>34.782053178999206</v>
      </c>
      <c r="C137" s="841"/>
      <c r="D137" s="393">
        <f t="shared" si="25"/>
        <v>37.349053271682635</v>
      </c>
      <c r="E137" s="385">
        <f t="shared" si="47"/>
        <v>38.720247601077368</v>
      </c>
      <c r="F137" s="385">
        <f t="shared" si="26"/>
        <v>38.720760758314796</v>
      </c>
      <c r="G137" s="110">
        <f t="shared" si="48"/>
        <v>0.62386288092385977</v>
      </c>
      <c r="H137" s="414" t="b">
        <f>Wh_hp&gt;='2026'!Maxi_hp</f>
        <v>0</v>
      </c>
      <c r="I137" s="390">
        <f>IF(H137,Wh_hp,'2026'!Maxi_hp)</f>
        <v>60.514631083164147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6.8729990932050788E-2</v>
      </c>
      <c r="M137" s="845"/>
      <c r="N137" s="845"/>
      <c r="O137" s="48">
        <f>IF(t&lt;Tnet,'2026'!Resal+('2026'!Salim-'2026'!Resal)*(1-EXP(('2026'!Tnet-t)/('2026'!Tau_j))),Resal+(Salim-Resal)*(1-EXP((Tnet-t)/(Tau_j))))*Salcycl</f>
        <v>3.5412850235920945E-2</v>
      </c>
      <c r="P137" s="169">
        <f>(INDEX(Models!$BJ137:$BT137,,T137)*(1-R137)+INDEX(Models!$BJ137:$BT137,,T137+1)*R137-ERP_i)*Q137*Ramure*Pc/MaxiM</f>
        <v>2.8643795605638876E-5</v>
      </c>
      <c r="Q137" s="305">
        <f t="shared" si="28"/>
        <v>0.5</v>
      </c>
      <c r="R137" s="177">
        <f t="shared" si="29"/>
        <v>5.8559741098059392E-2</v>
      </c>
      <c r="S137" s="811">
        <f t="shared" si="30"/>
        <v>-1</v>
      </c>
      <c r="T137" s="176">
        <f t="shared" si="31"/>
        <v>5</v>
      </c>
      <c r="U137" s="251">
        <f t="shared" si="32"/>
        <v>-0.94144025890194061</v>
      </c>
      <c r="V137" s="383">
        <f t="shared" si="33"/>
        <v>55.751862955586411</v>
      </c>
      <c r="W137" s="402">
        <f t="shared" si="34"/>
        <v>34.782053178999206</v>
      </c>
      <c r="X137" s="157">
        <f t="shared" si="35"/>
        <v>46510</v>
      </c>
      <c r="Y137" s="385">
        <f t="shared" si="36"/>
        <v>33.446813517384037</v>
      </c>
      <c r="Z137" s="385">
        <f t="shared" si="37"/>
        <v>35.91526967657736</v>
      </c>
      <c r="AA137" s="386">
        <f t="shared" si="38"/>
        <v>38.717795695649343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7.2383408422884335E-2</v>
      </c>
      <c r="AD137" s="231">
        <f>(INDEX(Models!$BJ137:$BT137,,AH137)*(1-AF137)+INDEX(Models!$BJ137:$BT137,,AH137+1)*AF137-ERP_i)*AE137*Ramure*Pc/MaxiM</f>
        <v>1.6550609199862567E-4</v>
      </c>
      <c r="AE137" s="305">
        <f t="shared" si="40"/>
        <v>0.5</v>
      </c>
      <c r="AF137" s="177">
        <f t="shared" si="41"/>
        <v>0.58354730747203831</v>
      </c>
      <c r="AG137" s="811">
        <f t="shared" si="49"/>
        <v>2</v>
      </c>
      <c r="AH137" s="176">
        <f t="shared" si="42"/>
        <v>8</v>
      </c>
      <c r="AI137" s="225">
        <f t="shared" si="43"/>
        <v>2.5835473074720383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'2026'!Wh/'2026'!Env_an*'2027'!Env_an</f>
        <v>19.29374636946303</v>
      </c>
      <c r="C138" s="841"/>
      <c r="D138" s="393">
        <f t="shared" si="25"/>
        <v>20.718125541904659</v>
      </c>
      <c r="E138" s="385">
        <f t="shared" si="47"/>
        <v>21.480730088113056</v>
      </c>
      <c r="F138" s="385">
        <f t="shared" si="26"/>
        <v>21.480774495745987</v>
      </c>
      <c r="G138" s="110">
        <f t="shared" si="48"/>
        <v>0.34541783275748189</v>
      </c>
      <c r="H138" s="414" t="b">
        <f>Wh_hp&gt;='2026'!Maxi_hp</f>
        <v>0</v>
      </c>
      <c r="I138" s="390">
        <f>IF(H138,Wh_hp,'2026'!Maxi_hp)</f>
        <v>57.253924122877009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6.8750388135290885E-2</v>
      </c>
      <c r="M138" s="845"/>
      <c r="N138" s="845"/>
      <c r="O138" s="48">
        <f>IF(t&lt;Tnet,'2026'!Resal+('2026'!Salim-'2026'!Resal)*(1-EXP(('2026'!Tnet-t)/('2026'!Tau_j))),Resal+(Salim-Resal)*(1-EXP((Tnet-t)/(Tau_j))))*Salcycl</f>
        <v>3.5501798266642987E-2</v>
      </c>
      <c r="P138" s="169">
        <f>(INDEX(Models!$BJ138:$BT138,,T138)*(1-R138)+INDEX(Models!$BJ138:$BT138,,T138+1)*R138-ERP_i)*Q138*Ramure*Pc/MaxiM</f>
        <v>3.1855244416697763E-5</v>
      </c>
      <c r="Q138" s="305">
        <f t="shared" si="28"/>
        <v>0.5</v>
      </c>
      <c r="R138" s="177">
        <f t="shared" si="29"/>
        <v>6.1549862014349865E-2</v>
      </c>
      <c r="S138" s="811">
        <f t="shared" si="30"/>
        <v>-1</v>
      </c>
      <c r="T138" s="176">
        <f t="shared" si="31"/>
        <v>5</v>
      </c>
      <c r="U138" s="251">
        <f t="shared" si="32"/>
        <v>-0.93845013798565013</v>
      </c>
      <c r="V138" s="383">
        <f t="shared" si="33"/>
        <v>55.854590637653779</v>
      </c>
      <c r="W138" s="402">
        <f t="shared" si="34"/>
        <v>19.29374636946303</v>
      </c>
      <c r="X138" s="157">
        <f t="shared" si="35"/>
        <v>46511</v>
      </c>
      <c r="Y138" s="385">
        <f t="shared" si="36"/>
        <v>18.554278742676782</v>
      </c>
      <c r="Z138" s="385">
        <f t="shared" si="37"/>
        <v>19.924066014399937</v>
      </c>
      <c r="AA138" s="386">
        <f t="shared" si="38"/>
        <v>21.480523330829737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7.2459003556766585E-2</v>
      </c>
      <c r="AD138" s="231">
        <f>(INDEX(Models!$BJ138:$BT138,,AH138)*(1-AF138)+INDEX(Models!$BJ138:$BT138,,AH138+1)*AF138-ERP_i)*AE138*Ramure*Pc/MaxiM</f>
        <v>1.8016992278092938E-4</v>
      </c>
      <c r="AE138" s="305">
        <f t="shared" si="40"/>
        <v>0.5</v>
      </c>
      <c r="AF138" s="177">
        <f t="shared" si="41"/>
        <v>0.58653742838832867</v>
      </c>
      <c r="AG138" s="811">
        <f t="shared" si="49"/>
        <v>2</v>
      </c>
      <c r="AH138" s="176">
        <f t="shared" si="42"/>
        <v>8</v>
      </c>
      <c r="AI138" s="225">
        <f t="shared" si="43"/>
        <v>2.5865374283883287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'2026'!Wh/'2026'!Env_an*'2027'!Env_an</f>
        <v>40.440120400701538</v>
      </c>
      <c r="C139" s="841"/>
      <c r="D139" s="393">
        <f t="shared" si="25"/>
        <v>43.426601898440126</v>
      </c>
      <c r="E139" s="385">
        <f t="shared" si="47"/>
        <v>45.029247154209692</v>
      </c>
      <c r="F139" s="385">
        <f t="shared" si="26"/>
        <v>45.030207355080428</v>
      </c>
      <c r="G139" s="110">
        <f t="shared" si="48"/>
        <v>0.72274551155796052</v>
      </c>
      <c r="H139" s="414" t="b">
        <f>Wh_hp&gt;='2026'!Maxi_hp</f>
        <v>0</v>
      </c>
      <c r="I139" s="390">
        <f>IF(H139,Wh_hp,'2026'!Maxi_hp)</f>
        <v>60.369568048217943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6.8770784891779901E-2</v>
      </c>
      <c r="M139" s="845"/>
      <c r="N139" s="845"/>
      <c r="O139" s="48">
        <f>IF(t&lt;Tnet,'2026'!Resal+('2026'!Salim-'2026'!Resal)*(1-EXP(('2026'!Tnet-t)/('2026'!Tau_j))),Resal+(Salim-Resal)*(1-EXP((Tnet-t)/(Tau_j))))*Salcycl</f>
        <v>3.5591206983342463E-2</v>
      </c>
      <c r="P139" s="169">
        <f>(INDEX(Models!$BJ139:$BT139,,T139)*(1-R139)+INDEX(Models!$BJ139:$BT139,,T139+1)*R139-ERP_i)*Q139*Ramure*Pc/MaxiM</f>
        <v>3.5307486376492473E-5</v>
      </c>
      <c r="Q139" s="305">
        <f t="shared" si="28"/>
        <v>0.5</v>
      </c>
      <c r="R139" s="177">
        <f t="shared" si="29"/>
        <v>6.461982008092626E-2</v>
      </c>
      <c r="S139" s="811">
        <f t="shared" si="30"/>
        <v>-1</v>
      </c>
      <c r="T139" s="176">
        <f t="shared" si="31"/>
        <v>5</v>
      </c>
      <c r="U139" s="251">
        <f t="shared" si="32"/>
        <v>-0.93538017991907374</v>
      </c>
      <c r="V139" s="383">
        <f t="shared" si="33"/>
        <v>55.95268905468393</v>
      </c>
      <c r="W139" s="402">
        <f t="shared" si="34"/>
        <v>40.440120400701538</v>
      </c>
      <c r="X139" s="157">
        <f t="shared" si="35"/>
        <v>46512</v>
      </c>
      <c r="Y139" s="385">
        <f t="shared" si="36"/>
        <v>38.887178202373995</v>
      </c>
      <c r="Z139" s="385">
        <f t="shared" si="37"/>
        <v>41.758975740312053</v>
      </c>
      <c r="AA139" s="386">
        <f t="shared" si="38"/>
        <v>45.024878607619335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7.2535517436233723E-2</v>
      </c>
      <c r="AD139" s="231">
        <f>(INDEX(Models!$BJ139:$BT139,,AH139)*(1-AF139)+INDEX(Models!$BJ139:$BT139,,AH139+1)*AF139-ERP_i)*AE139*Ramure*Pc/MaxiM</f>
        <v>1.9594304079495296E-4</v>
      </c>
      <c r="AE139" s="305">
        <f t="shared" si="40"/>
        <v>0.5</v>
      </c>
      <c r="AF139" s="177">
        <f t="shared" si="41"/>
        <v>0.58960738645490496</v>
      </c>
      <c r="AG139" s="811">
        <f t="shared" si="49"/>
        <v>2</v>
      </c>
      <c r="AH139" s="176">
        <f t="shared" si="42"/>
        <v>8</v>
      </c>
      <c r="AI139" s="225">
        <f t="shared" si="43"/>
        <v>2.589607386454905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'2026'!Wh/'2026'!Env_an*'2027'!Env_an</f>
        <v>36.994686973144432</v>
      </c>
      <c r="C140" s="841"/>
      <c r="D140" s="393">
        <f t="shared" si="25"/>
        <v>39.727595171272355</v>
      </c>
      <c r="E140" s="385">
        <f t="shared" si="47"/>
        <v>41.197568411583752</v>
      </c>
      <c r="F140" s="385">
        <f t="shared" si="26"/>
        <v>41.198395074671218</v>
      </c>
      <c r="G140" s="110">
        <f t="shared" si="48"/>
        <v>0.66006168425700085</v>
      </c>
      <c r="H140" s="414" t="b">
        <f>Wh_hp&gt;='2026'!Maxi_hp</f>
        <v>0</v>
      </c>
      <c r="I140" s="390">
        <f>IF(H140,Wh_hp,'2026'!Maxi_hp)</f>
        <v>64.189889106761925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6.8791181201527496E-2</v>
      </c>
      <c r="M140" s="845"/>
      <c r="N140" s="845"/>
      <c r="O140" s="48">
        <f>IF(t&lt;Tnet,'2026'!Resal+('2026'!Salim-'2026'!Resal)*(1-EXP(('2026'!Tnet-t)/('2026'!Tau_j))),Resal+(Salim-Resal)*(1-EXP((Tnet-t)/(Tau_j))))*Salcycl</f>
        <v>3.5681068009297275E-2</v>
      </c>
      <c r="P140" s="169">
        <f>(INDEX(Models!$BJ140:$BT140,,T140)*(1-R140)+INDEX(Models!$BJ140:$BT140,,T140+1)*R140-ERP_i)*Q140*Ramure*Pc/MaxiM</f>
        <v>3.9008055130377548E-5</v>
      </c>
      <c r="Q140" s="305">
        <f t="shared" si="28"/>
        <v>0.5</v>
      </c>
      <c r="R140" s="177">
        <f t="shared" si="29"/>
        <v>6.7770159442267608E-2</v>
      </c>
      <c r="S140" s="811">
        <f t="shared" si="30"/>
        <v>-1</v>
      </c>
      <c r="T140" s="176">
        <f t="shared" si="31"/>
        <v>5</v>
      </c>
      <c r="U140" s="251">
        <f t="shared" si="32"/>
        <v>-0.93222984055773239</v>
      </c>
      <c r="V140" s="383">
        <f t="shared" si="33"/>
        <v>56.04625607659122</v>
      </c>
      <c r="W140" s="402">
        <f t="shared" si="34"/>
        <v>36.994686973144432</v>
      </c>
      <c r="X140" s="157">
        <f t="shared" si="35"/>
        <v>46513</v>
      </c>
      <c r="Y140" s="385">
        <f t="shared" si="36"/>
        <v>35.574668594093687</v>
      </c>
      <c r="Z140" s="385">
        <f t="shared" si="37"/>
        <v>38.202675786506461</v>
      </c>
      <c r="AA140" s="386">
        <f t="shared" si="38"/>
        <v>41.193884393664298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7.2612929107940385E-2</v>
      </c>
      <c r="AD140" s="231">
        <f>(INDEX(Models!$BJ140:$BT140,,AH140)*(1-AF140)+INDEX(Models!$BJ140:$BT140,,AH140+1)*AF140-ERP_i)*AE140*Ramure*Pc/MaxiM</f>
        <v>2.128471635673205E-4</v>
      </c>
      <c r="AE140" s="305">
        <f t="shared" si="40"/>
        <v>0.5</v>
      </c>
      <c r="AF140" s="177">
        <f t="shared" si="41"/>
        <v>0.59275772581624642</v>
      </c>
      <c r="AG140" s="811">
        <f t="shared" si="49"/>
        <v>2</v>
      </c>
      <c r="AH140" s="176">
        <f t="shared" si="42"/>
        <v>8</v>
      </c>
      <c r="AI140" s="225">
        <f t="shared" si="43"/>
        <v>2.5927577258162464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'2026'!Wh/'2026'!Env_an*'2027'!Env_an</f>
        <v>50.303109781613323</v>
      </c>
      <c r="C141" s="841"/>
      <c r="D141" s="393">
        <f t="shared" si="25"/>
        <v>54.020334169360687</v>
      </c>
      <c r="E141" s="385">
        <f t="shared" si="47"/>
        <v>56.024403948574076</v>
      </c>
      <c r="F141" s="385">
        <f t="shared" si="26"/>
        <v>56.026453833974209</v>
      </c>
      <c r="G141" s="110">
        <f t="shared" si="48"/>
        <v>0.89609761945769495</v>
      </c>
      <c r="H141" s="414" t="b">
        <f>Wh_hp&gt;='2026'!Maxi_hp</f>
        <v>0</v>
      </c>
      <c r="I141" s="390">
        <f>IF(H141,Wh_hp,'2026'!Maxi_hp)</f>
        <v>60.114108347336412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6.8811577064543661E-2</v>
      </c>
      <c r="M141" s="845"/>
      <c r="N141" s="845"/>
      <c r="O141" s="48">
        <f>IF(t&lt;Tnet,'2026'!Resal+('2026'!Salim-'2026'!Resal)*(1-EXP(('2026'!Tnet-t)/('2026'!Tau_j))),Resal+(Salim-Resal)*(1-EXP((Tnet-t)/(Tau_j))))*Salcycl</f>
        <v>3.5771371723168445E-2</v>
      </c>
      <c r="P141" s="169">
        <f>(INDEX(Models!$BJ141:$BT141,,T141)*(1-R141)+INDEX(Models!$BJ141:$BT141,,T141+1)*R141-ERP_i)*Q141*Ramure*Pc/MaxiM</f>
        <v>4.2964814045892886E-5</v>
      </c>
      <c r="Q141" s="305">
        <f t="shared" si="28"/>
        <v>0.5</v>
      </c>
      <c r="R141" s="177">
        <f t="shared" si="29"/>
        <v>7.1001313847419922E-2</v>
      </c>
      <c r="S141" s="811">
        <f t="shared" si="30"/>
        <v>-1</v>
      </c>
      <c r="T141" s="176">
        <f t="shared" si="31"/>
        <v>5</v>
      </c>
      <c r="U141" s="251">
        <f t="shared" si="32"/>
        <v>-0.92899868615258008</v>
      </c>
      <c r="V141" s="383">
        <f t="shared" si="33"/>
        <v>56.135389598870688</v>
      </c>
      <c r="W141" s="402">
        <f t="shared" si="34"/>
        <v>50.303109781613323</v>
      </c>
      <c r="X141" s="157">
        <f t="shared" si="35"/>
        <v>46514</v>
      </c>
      <c r="Y141" s="385">
        <f t="shared" si="36"/>
        <v>48.369285468650631</v>
      </c>
      <c r="Z141" s="385">
        <f t="shared" si="37"/>
        <v>51.943606983613954</v>
      </c>
      <c r="AA141" s="386">
        <f t="shared" si="38"/>
        <v>56.015437183903636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7.2691215225572647E-2</v>
      </c>
      <c r="AD141" s="231">
        <f>(INDEX(Models!$BJ141:$BT141,,AH141)*(1-AF141)+INDEX(Models!$BJ141:$BT141,,AH141+1)*AF141-ERP_i)*AE141*Ramure*Pc/MaxiM</f>
        <v>2.3090477236494388E-4</v>
      </c>
      <c r="AE141" s="305">
        <f t="shared" si="40"/>
        <v>0.5</v>
      </c>
      <c r="AF141" s="177">
        <f t="shared" si="41"/>
        <v>0.59598888022139906</v>
      </c>
      <c r="AG141" s="811">
        <f t="shared" si="49"/>
        <v>2</v>
      </c>
      <c r="AH141" s="176">
        <f t="shared" si="42"/>
        <v>8</v>
      </c>
      <c r="AI141" s="225">
        <f t="shared" si="43"/>
        <v>2.5959888802213991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'2026'!Wh/'2026'!Env_an*'2027'!Env_an</f>
        <v>47.871683628228936</v>
      </c>
      <c r="C142" s="841"/>
      <c r="D142" s="393">
        <f t="shared" si="25"/>
        <v>51.410360121330321</v>
      </c>
      <c r="E142" s="385">
        <f t="shared" si="47"/>
        <v>53.322621698764344</v>
      </c>
      <c r="F142" s="385">
        <f t="shared" si="26"/>
        <v>53.324592852789074</v>
      </c>
      <c r="G142" s="110">
        <f t="shared" si="48"/>
        <v>0.85149474617719545</v>
      </c>
      <c r="H142" s="414" t="b">
        <f>Wh_hp&gt;='2026'!Maxi_hp</f>
        <v>0</v>
      </c>
      <c r="I142" s="390">
        <f>IF(H142,Wh_hp,'2026'!Maxi_hp)</f>
        <v>60.745186891784464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6.8831972480838055E-2</v>
      </c>
      <c r="M142" s="845"/>
      <c r="N142" s="845"/>
      <c r="O142" s="48">
        <f>IF(t&lt;Tnet,'2026'!Resal+('2026'!Salim-'2026'!Resal)*(1-EXP(('2026'!Tnet-t)/('2026'!Tau_j))),Resal+(Salim-Resal)*(1-EXP((Tnet-t)/(Tau_j))))*Salcycl</f>
        <v>3.5862107235405047E-2</v>
      </c>
      <c r="P142" s="169">
        <f>(INDEX(Models!$BJ142:$BT142,,T142)*(1-R142)+INDEX(Models!$BJ142:$BT142,,T142+1)*R142-ERP_i)*Q142*Ramure*Pc/MaxiM</f>
        <v>4.6918379007782665E-5</v>
      </c>
      <c r="Q142" s="305">
        <f t="shared" si="28"/>
        <v>0.5</v>
      </c>
      <c r="R142" s="177">
        <f t="shared" si="29"/>
        <v>7.4313599645552841E-2</v>
      </c>
      <c r="S142" s="811">
        <f t="shared" si="30"/>
        <v>-1</v>
      </c>
      <c r="T142" s="176">
        <f t="shared" si="31"/>
        <v>5</v>
      </c>
      <c r="U142" s="251">
        <f t="shared" si="32"/>
        <v>-0.92568640035444716</v>
      </c>
      <c r="V142" s="383">
        <f t="shared" si="33"/>
        <v>56.220202590684856</v>
      </c>
      <c r="W142" s="402">
        <f t="shared" si="34"/>
        <v>47.871683628228936</v>
      </c>
      <c r="X142" s="157">
        <f t="shared" si="35"/>
        <v>46515</v>
      </c>
      <c r="Y142" s="385">
        <f t="shared" si="36"/>
        <v>46.031729331469577</v>
      </c>
      <c r="Z142" s="385">
        <f t="shared" si="37"/>
        <v>49.434396339947696</v>
      </c>
      <c r="AA142" s="386">
        <f t="shared" si="38"/>
        <v>53.314080649750544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7.2770350018611929E-2</v>
      </c>
      <c r="AD142" s="231">
        <f>(INDEX(Models!$BJ142:$BT142,,AH142)*(1-AF142)+INDEX(Models!$BJ142:$BT142,,AH142+1)*AF142-ERP_i)*AE142*Ramure*Pc/MaxiM</f>
        <v>2.5021663461134735E-4</v>
      </c>
      <c r="AE142" s="305">
        <f t="shared" si="40"/>
        <v>0.5</v>
      </c>
      <c r="AF142" s="177">
        <f t="shared" si="41"/>
        <v>0.59930116601953198</v>
      </c>
      <c r="AG142" s="811">
        <f t="shared" si="49"/>
        <v>2</v>
      </c>
      <c r="AH142" s="176">
        <f t="shared" si="42"/>
        <v>8</v>
      </c>
      <c r="AI142" s="225">
        <f t="shared" si="43"/>
        <v>2.599301166019532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'2026'!Wh/'2026'!Env_an*'2027'!Env_an</f>
        <v>50.094245562211022</v>
      </c>
      <c r="C143" s="841"/>
      <c r="D143" s="393">
        <f t="shared" ref="D143:D206" si="50">Wh/(1-Ppv)</f>
        <v>53.798392232440889</v>
      </c>
      <c r="E143" s="385">
        <f t="shared" si="47"/>
        <v>55.804755238967282</v>
      </c>
      <c r="F143" s="385">
        <f t="shared" ref="F143:F206" si="51">Wh_sa/(1-Pvg*MEDIAN((-Sdif+Wh/Env_an)/Csdif,0,1))</f>
        <v>55.80714250454762</v>
      </c>
      <c r="G143" s="110">
        <f t="shared" si="48"/>
        <v>0.88975371457606311</v>
      </c>
      <c r="H143" s="414" t="b">
        <f>Wh_hp&gt;='2026'!Maxi_hp</f>
        <v>0</v>
      </c>
      <c r="I143" s="390">
        <f>IF(H143,Wh_hp,'2026'!Maxi_hp)</f>
        <v>55.807556046569651</v>
      </c>
      <c r="J143" s="85">
        <f>IF(H143,An,'2026'!An_max)</f>
        <v>2025</v>
      </c>
      <c r="K143" s="197">
        <f t="shared" ref="K143:K206" si="52">t</f>
        <v>46516</v>
      </c>
      <c r="L143" s="147">
        <f>IF(t&lt;Tvie,1-EXP((T0-t)*PertePVj)+'2026'!Pspv,1-EXP((T0-t)*PertePVj)+Pspv)</f>
        <v>6.8852367450420449E-2</v>
      </c>
      <c r="M143" s="845"/>
      <c r="N143" s="845"/>
      <c r="O143" s="48">
        <f>IF(t&lt;Tnet,'2026'!Resal+('2026'!Salim-'2026'!Resal)*(1-EXP(('2026'!Tnet-t)/('2026'!Tau_j))),Resal+(Salim-Resal)*(1-EXP((Tnet-t)/(Tau_j))))*Salcycl</f>
        <v>3.5953262368676978E-2</v>
      </c>
      <c r="P143" s="169">
        <f>(INDEX(Models!$BJ143:$BT143,,T143)*(1-R143)+INDEX(Models!$BJ143:$BT143,,T143+1)*R143-ERP_i)*Q143*Ramure*Pc/MaxiM</f>
        <v>5.0773028192187459E-5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7.770720886289828E-2</v>
      </c>
      <c r="S143" s="811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-0.92229279113710172</v>
      </c>
      <c r="V143" s="383">
        <f t="shared" ref="V143:V206" si="58">MaxiM*(1-Ppv)*(1-Pvg)*(1-Psa)</f>
        <v>56.300798943038721</v>
      </c>
      <c r="W143" s="402">
        <f t="shared" ref="W143:W206" si="59">Wh*(A143&gt;Tmaj)</f>
        <v>50.094245562211022</v>
      </c>
      <c r="X143" s="157">
        <f t="shared" ref="X143:X206" si="60">t</f>
        <v>46516</v>
      </c>
      <c r="Y143" s="385">
        <f t="shared" ref="Y143:Y206" si="61">Wh_pvt_s*(1-Ppv)</f>
        <v>48.168064651752267</v>
      </c>
      <c r="Z143" s="385">
        <f t="shared" ref="Z143:Z206" si="62">Wh_sa_s*(1-Psa_s)</f>
        <v>51.729782655262809</v>
      </c>
      <c r="AA143" s="386">
        <f t="shared" ref="AA143:AA206" si="63">Wh_hp*(1-Pvg_s*MEDIAN((-Sdif+Wh/Env_an)/Csdif,0,1))</f>
        <v>55.794423434821759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7.285030526943613E-2</v>
      </c>
      <c r="AD143" s="231">
        <f>(INDEX(Models!$BJ143:$BT143,,AH143)*(1-AF143)+INDEX(Models!$BJ143:$BT143,,AH143+1)*AF143-ERP_i)*AE143*Ramure*Pc/MaxiM</f>
        <v>2.7051271173456515E-4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0.60269477523687698</v>
      </c>
      <c r="AG143" s="811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2.602694775236877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'2026'!Wh/'2026'!Env_an*'2027'!Env_an</f>
        <v>49.77328197988146</v>
      </c>
      <c r="C144" s="841"/>
      <c r="D144" s="393">
        <f t="shared" si="50"/>
        <v>53.454866260130011</v>
      </c>
      <c r="E144" s="385">
        <f t="shared" ref="E144:E169" si="72">Wh_pvt/(1-Psa)</f>
        <v>55.453684539706174</v>
      </c>
      <c r="F144" s="385">
        <f t="shared" si="51"/>
        <v>55.456202443397558</v>
      </c>
      <c r="G144" s="110">
        <f t="shared" ref="G144:G169" si="73">+Wh_hp/MaxiM</f>
        <v>0.88285263519327273</v>
      </c>
      <c r="H144" s="414" t="b">
        <f>Wh_hp&gt;='2026'!Maxi_hp</f>
        <v>0</v>
      </c>
      <c r="I144" s="390">
        <f>IF(H144,Wh_hp,'2026'!Maxi_hp)</f>
        <v>55.456669985336809</v>
      </c>
      <c r="J144" s="85">
        <f>IF(H144,An,'2026'!An_max)</f>
        <v>2025</v>
      </c>
      <c r="K144" s="197">
        <f t="shared" si="52"/>
        <v>46517</v>
      </c>
      <c r="L144" s="147">
        <f>IF(t&lt;Tvie,1-EXP((T0-t)*PertePVj)+'2026'!Pspv,1-EXP((T0-t)*PertePVj)+Pspv)</f>
        <v>6.8872761973300611E-2</v>
      </c>
      <c r="M144" s="845"/>
      <c r="N144" s="845"/>
      <c r="O144" s="48">
        <f>IF(t&lt;Tnet,'2026'!Resal+('2026'!Salim-'2026'!Resal)*(1-EXP(('2026'!Tnet-t)/('2026'!Tau_j))),Resal+(Salim-Resal)*(1-EXP((Tnet-t)/(Tau_j))))*Salcycl</f>
        <v>3.6044823642781734E-2</v>
      </c>
      <c r="P144" s="169">
        <f>(INDEX(Models!$BJ144:$BT144,,T144)*(1-R144)+INDEX(Models!$BJ144:$BT144,,T144+1)*R144-ERP_i)*Q144*Ramure*Pc/MaxiM</f>
        <v>5.452833801080865E-5</v>
      </c>
      <c r="Q144" s="305">
        <f t="shared" si="53"/>
        <v>0.5</v>
      </c>
      <c r="R144" s="177">
        <f t="shared" si="54"/>
        <v>8.1182202409616488E-2</v>
      </c>
      <c r="S144" s="811">
        <f t="shared" si="55"/>
        <v>-1</v>
      </c>
      <c r="T144" s="176">
        <f t="shared" si="56"/>
        <v>5</v>
      </c>
      <c r="U144" s="251">
        <f t="shared" si="57"/>
        <v>-0.91881779759038351</v>
      </c>
      <c r="V144" s="383">
        <f t="shared" si="58"/>
        <v>56.37727724903511</v>
      </c>
      <c r="W144" s="402">
        <f t="shared" si="59"/>
        <v>49.77328197988146</v>
      </c>
      <c r="X144" s="157">
        <f t="shared" si="60"/>
        <v>46517</v>
      </c>
      <c r="Y144" s="385">
        <f t="shared" si="61"/>
        <v>47.859224058940534</v>
      </c>
      <c r="Z144" s="385">
        <f t="shared" si="62"/>
        <v>51.399231065742065</v>
      </c>
      <c r="AA144" s="386">
        <f t="shared" si="63"/>
        <v>55.442727407008192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7.2931050299574862E-2</v>
      </c>
      <c r="AD144" s="231">
        <f>(INDEX(Models!$BJ144:$BT144,,AH144)*(1-AF144)+INDEX(Models!$BJ144:$BT144,,AH144+1)*AF144-ERP_i)*AE144*Ramure*Pc/MaxiM</f>
        <v>2.918186829230097E-4</v>
      </c>
      <c r="AE144" s="305">
        <f t="shared" si="65"/>
        <v>0.5</v>
      </c>
      <c r="AF144" s="177">
        <f t="shared" si="66"/>
        <v>0.60616976878359541</v>
      </c>
      <c r="AG144" s="811">
        <f t="shared" ref="AG144:AG207" si="74">INDEX(Echel_vg,AH144)</f>
        <v>2</v>
      </c>
      <c r="AH144" s="176">
        <f t="shared" si="67"/>
        <v>8</v>
      </c>
      <c r="AI144" s="225">
        <f t="shared" si="68"/>
        <v>2.6061697687835954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'2026'!Wh/'2026'!Env_an*'2027'!Env_an</f>
        <v>53.727210403404825</v>
      </c>
      <c r="C145" s="841"/>
      <c r="D145" s="393">
        <f t="shared" si="50"/>
        <v>57.702519052969649</v>
      </c>
      <c r="E145" s="385">
        <f t="shared" si="72"/>
        <v>59.865878925578336</v>
      </c>
      <c r="F145" s="385">
        <f t="shared" si="51"/>
        <v>59.869122323837331</v>
      </c>
      <c r="G145" s="110">
        <f t="shared" si="73"/>
        <v>0.95176698190403752</v>
      </c>
      <c r="H145" s="414" t="b">
        <f>Wh_hp&gt;='2026'!Maxi_hp</f>
        <v>0</v>
      </c>
      <c r="I145" s="390">
        <f>IF(H145,Wh_hp,'2026'!Maxi_hp)</f>
        <v>59.869343391363778</v>
      </c>
      <c r="J145" s="85">
        <f>IF(H145,An,'2026'!An_max)</f>
        <v>2025</v>
      </c>
      <c r="K145" s="197">
        <f t="shared" si="52"/>
        <v>46518</v>
      </c>
      <c r="L145" s="147">
        <f>IF(t&lt;Tvie,1-EXP((T0-t)*PertePVj)+'2026'!Pspv,1-EXP((T0-t)*PertePVj)+Pspv)</f>
        <v>6.8893156049488535E-2</v>
      </c>
      <c r="M145" s="845"/>
      <c r="N145" s="845"/>
      <c r="O145" s="48">
        <f>IF(t&lt;Tnet,'2026'!Resal+('2026'!Salim-'2026'!Resal)*(1-EXP(('2026'!Tnet-t)/('2026'!Tau_j))),Resal+(Salim-Resal)*(1-EXP((Tnet-t)/(Tau_j))))*Salcycl</f>
        <v>3.613677626445691E-2</v>
      </c>
      <c r="P145" s="169">
        <f>(INDEX(Models!$BJ145:$BT145,,T145)*(1-R145)+INDEX(Models!$BJ145:$BT145,,T145+1)*R145-ERP_i)*Q145*Ramure*Pc/MaxiM</f>
        <v>5.8183592069562514E-5</v>
      </c>
      <c r="Q145" s="305">
        <f t="shared" si="53"/>
        <v>0.5</v>
      </c>
      <c r="R145" s="177">
        <f t="shared" si="54"/>
        <v>8.473850346798073E-2</v>
      </c>
      <c r="S145" s="811">
        <f t="shared" si="55"/>
        <v>-1</v>
      </c>
      <c r="T145" s="176">
        <f t="shared" si="56"/>
        <v>5</v>
      </c>
      <c r="U145" s="251">
        <f t="shared" si="57"/>
        <v>-0.91526149653201927</v>
      </c>
      <c r="V145" s="383">
        <f t="shared" si="58"/>
        <v>56.449736156548575</v>
      </c>
      <c r="W145" s="402">
        <f t="shared" si="59"/>
        <v>53.727210403404825</v>
      </c>
      <c r="X145" s="157">
        <f t="shared" si="60"/>
        <v>46518</v>
      </c>
      <c r="Y145" s="385">
        <f t="shared" si="61"/>
        <v>51.65938212906287</v>
      </c>
      <c r="Z145" s="385">
        <f t="shared" si="62"/>
        <v>55.481690919467219</v>
      </c>
      <c r="AA145" s="386">
        <f t="shared" si="63"/>
        <v>59.851609681586808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7.301255196589948E-2</v>
      </c>
      <c r="AD145" s="231">
        <f>(INDEX(Models!$BJ145:$BT145,,AH145)*(1-AF145)+INDEX(Models!$BJ145:$BT145,,AH145+1)*AF145-ERP_i)*AE145*Ramure*Pc/MaxiM</f>
        <v>3.14160750977036E-4</v>
      </c>
      <c r="AE145" s="305">
        <f t="shared" si="65"/>
        <v>0.5</v>
      </c>
      <c r="AF145" s="177">
        <f t="shared" si="66"/>
        <v>0.60972606984195954</v>
      </c>
      <c r="AG145" s="811">
        <f t="shared" si="74"/>
        <v>2</v>
      </c>
      <c r="AH145" s="176">
        <f t="shared" si="67"/>
        <v>8</v>
      </c>
      <c r="AI145" s="225">
        <f t="shared" si="68"/>
        <v>2.6097260698419595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'2026'!Wh/'2026'!Env_an*'2027'!Env_an</f>
        <v>39.174662421297164</v>
      </c>
      <c r="C146" s="841"/>
      <c r="D146" s="393">
        <f t="shared" si="50"/>
        <v>42.074140814519538</v>
      </c>
      <c r="E146" s="385">
        <f t="shared" si="72"/>
        <v>43.655749509028432</v>
      </c>
      <c r="F146" s="385">
        <f t="shared" si="51"/>
        <v>43.657263239756951</v>
      </c>
      <c r="G146" s="110">
        <f t="shared" si="73"/>
        <v>0.69311390985644783</v>
      </c>
      <c r="H146" s="414" t="b">
        <f>Wh_hp&gt;='2026'!Maxi_hp</f>
        <v>0</v>
      </c>
      <c r="I146" s="390">
        <f>IF(H146,Wh_hp,'2026'!Maxi_hp)</f>
        <v>59.238727729135654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6.8913549678993768E-2</v>
      </c>
      <c r="M146" s="845"/>
      <c r="N146" s="845"/>
      <c r="O146" s="48">
        <f>IF(t&lt;Tnet,'2026'!Resal+('2026'!Salim-'2026'!Resal)*(1-EXP(('2026'!Tnet-t)/('2026'!Tau_j))),Resal+(Salim-Resal)*(1-EXP((Tnet-t)/(Tau_j))))*Salcycl</f>
        <v>3.6229104122511964E-2</v>
      </c>
      <c r="P146" s="169">
        <f>(INDEX(Models!$BJ146:$BT146,,T146)*(1-R146)+INDEX(Models!$BJ146:$BT146,,T146+1)*R146-ERP_i)*Q146*Ramure*Pc/MaxiM</f>
        <v>6.1737782131055487E-5</v>
      </c>
      <c r="Q146" s="305">
        <f t="shared" si="53"/>
        <v>0.5</v>
      </c>
      <c r="R146" s="177">
        <f t="shared" si="54"/>
        <v>8.8375891115809457E-2</v>
      </c>
      <c r="S146" s="811">
        <f t="shared" si="55"/>
        <v>-1</v>
      </c>
      <c r="T146" s="176">
        <f t="shared" si="56"/>
        <v>5</v>
      </c>
      <c r="U146" s="251">
        <f t="shared" si="57"/>
        <v>-0.91162410888419054</v>
      </c>
      <c r="V146" s="383">
        <f t="shared" si="58"/>
        <v>56.518274378786046</v>
      </c>
      <c r="W146" s="402">
        <f t="shared" si="59"/>
        <v>39.174662421297164</v>
      </c>
      <c r="X146" s="157">
        <f t="shared" si="60"/>
        <v>46519</v>
      </c>
      <c r="Y146" s="385">
        <f t="shared" si="61"/>
        <v>37.670336690730842</v>
      </c>
      <c r="Z146" s="385">
        <f t="shared" si="62"/>
        <v>40.458473730063865</v>
      </c>
      <c r="AA146" s="386">
        <f t="shared" si="63"/>
        <v>43.648986567693377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7.3094774667482432E-2</v>
      </c>
      <c r="AD146" s="231">
        <f>(INDEX(Models!$BJ146:$BT146,,AH146)*(1-AF146)+INDEX(Models!$BJ146:$BT146,,AH146+1)*AF146-ERP_i)*AE146*Ramure*Pc/MaxiM</f>
        <v>3.3756557028675376E-4</v>
      </c>
      <c r="AE146" s="305">
        <f t="shared" si="65"/>
        <v>0.5</v>
      </c>
      <c r="AF146" s="177">
        <f t="shared" si="66"/>
        <v>0.61336345748978838</v>
      </c>
      <c r="AG146" s="811">
        <f t="shared" si="74"/>
        <v>2</v>
      </c>
      <c r="AH146" s="176">
        <f t="shared" si="67"/>
        <v>8</v>
      </c>
      <c r="AI146" s="225">
        <f t="shared" si="68"/>
        <v>2.6133634574897884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'2026'!Wh/'2026'!Env_an*'2027'!Env_an</f>
        <v>39.84738783411585</v>
      </c>
      <c r="C147" s="841"/>
      <c r="D147" s="393">
        <f t="shared" si="50"/>
        <v>42.79759478784473</v>
      </c>
      <c r="E147" s="385">
        <f t="shared" si="72"/>
        <v>44.410669800720456</v>
      </c>
      <c r="F147" s="385">
        <f t="shared" si="51"/>
        <v>44.412341705628833</v>
      </c>
      <c r="G147" s="110">
        <f t="shared" si="73"/>
        <v>0.70420968797445249</v>
      </c>
      <c r="H147" s="414" t="b">
        <f>Wh_hp&gt;='2026'!Maxi_hp</f>
        <v>0</v>
      </c>
      <c r="I147" s="390">
        <f>IF(H147,Wh_hp,'2026'!Maxi_hp)</f>
        <v>65.408960512497771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6.8933942861826192E-2</v>
      </c>
      <c r="M147" s="845"/>
      <c r="N147" s="845"/>
      <c r="O147" s="48">
        <f>IF(t&lt;Tnet,'2026'!Resal+('2026'!Salim-'2026'!Resal)*(1-EXP(('2026'!Tnet-t)/('2026'!Tau_j))),Resal+(Salim-Resal)*(1-EXP((Tnet-t)/(Tau_j))))*Salcycl</f>
        <v>3.6321789788668339E-2</v>
      </c>
      <c r="P147" s="169">
        <f>(INDEX(Models!$BJ147:$BT147,,T147)*(1-R147)+INDEX(Models!$BJ147:$BT147,,T147+1)*R147-ERP_i)*Q147*Ramure*Pc/MaxiM</f>
        <v>6.5189609594246692E-5</v>
      </c>
      <c r="Q147" s="305">
        <f t="shared" si="53"/>
        <v>0.5</v>
      </c>
      <c r="R147" s="177">
        <f t="shared" si="54"/>
        <v>9.2093994241261634E-2</v>
      </c>
      <c r="S147" s="811">
        <f t="shared" si="55"/>
        <v>-1</v>
      </c>
      <c r="T147" s="176">
        <f t="shared" si="56"/>
        <v>5</v>
      </c>
      <c r="U147" s="251">
        <f t="shared" si="57"/>
        <v>-0.90790600575873837</v>
      </c>
      <c r="V147" s="383">
        <f t="shared" si="58"/>
        <v>56.582990683831888</v>
      </c>
      <c r="W147" s="402">
        <f t="shared" si="59"/>
        <v>39.84738783411585</v>
      </c>
      <c r="X147" s="157">
        <f t="shared" si="60"/>
        <v>46520</v>
      </c>
      <c r="Y147" s="385">
        <f t="shared" si="61"/>
        <v>38.316853585335025</v>
      </c>
      <c r="Z147" s="385">
        <f t="shared" si="62"/>
        <v>41.153743380045327</v>
      </c>
      <c r="AA147" s="386">
        <f t="shared" si="63"/>
        <v>44.40305602070454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7.3177680363804232E-2</v>
      </c>
      <c r="AD147" s="231">
        <f>(INDEX(Models!$BJ147:$BT147,,AH147)*(1-AF147)+INDEX(Models!$BJ147:$BT147,,AH147+1)*AF147-ERP_i)*AE147*Ramure*Pc/MaxiM</f>
        <v>3.6206016980747259E-4</v>
      </c>
      <c r="AE147" s="305">
        <f t="shared" si="65"/>
        <v>0.5</v>
      </c>
      <c r="AF147" s="177">
        <f t="shared" si="66"/>
        <v>0.61708156061524067</v>
      </c>
      <c r="AG147" s="811">
        <f t="shared" si="74"/>
        <v>2</v>
      </c>
      <c r="AH147" s="176">
        <f t="shared" si="67"/>
        <v>8</v>
      </c>
      <c r="AI147" s="225">
        <f t="shared" si="68"/>
        <v>2.6170815606152407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'2026'!Wh/'2026'!Env_an*'2027'!Env_an</f>
        <v>48.209902524080526</v>
      </c>
      <c r="C148" s="841"/>
      <c r="D148" s="393">
        <f t="shared" si="50"/>
        <v>51.780384536826091</v>
      </c>
      <c r="E148" s="385">
        <f t="shared" si="72"/>
        <v>53.73721526371564</v>
      </c>
      <c r="F148" s="385">
        <f t="shared" si="51"/>
        <v>53.740115023575818</v>
      </c>
      <c r="G148" s="110">
        <f t="shared" si="73"/>
        <v>0.85109126046477135</v>
      </c>
      <c r="H148" s="414" t="b">
        <f>Wh_hp&gt;='2026'!Maxi_hp</f>
        <v>0</v>
      </c>
      <c r="I148" s="390">
        <f>IF(H148,Wh_hp,'2026'!Maxi_hp)</f>
        <v>63.832836981428784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6.8954335597995575E-2</v>
      </c>
      <c r="M148" s="845"/>
      <c r="N148" s="845"/>
      <c r="O148" s="48">
        <f>IF(t&lt;Tnet,'2026'!Resal+('2026'!Salim-'2026'!Resal)*(1-EXP(('2026'!Tnet-t)/('2026'!Tau_j))),Resal+(Salim-Resal)*(1-EXP((Tnet-t)/(Tau_j))))*Salcycl</f>
        <v>3.64148145244668E-2</v>
      </c>
      <c r="P148" s="169">
        <f>(INDEX(Models!$BJ148:$BT148,,T148)*(1-R148)+INDEX(Models!$BJ148:$BT148,,T148+1)*R148-ERP_i)*Q148*Ramure*Pc/MaxiM</f>
        <v>6.8537487528248293E-5</v>
      </c>
      <c r="Q148" s="305">
        <f t="shared" si="53"/>
        <v>0.5</v>
      </c>
      <c r="R148" s="177">
        <f t="shared" si="54"/>
        <v>9.5892285806864042E-2</v>
      </c>
      <c r="S148" s="811">
        <f t="shared" si="55"/>
        <v>-1</v>
      </c>
      <c r="T148" s="176">
        <f t="shared" si="56"/>
        <v>5</v>
      </c>
      <c r="U148" s="251">
        <f t="shared" si="57"/>
        <v>-0.90410771419313596</v>
      </c>
      <c r="V148" s="383">
        <f t="shared" si="58"/>
        <v>56.643983900937158</v>
      </c>
      <c r="W148" s="402">
        <f t="shared" si="59"/>
        <v>48.209902524080526</v>
      </c>
      <c r="X148" s="157">
        <f t="shared" si="60"/>
        <v>46521</v>
      </c>
      <c r="Y148" s="385">
        <f t="shared" si="61"/>
        <v>46.354759792639143</v>
      </c>
      <c r="Z148" s="385">
        <f t="shared" si="62"/>
        <v>49.787847755471859</v>
      </c>
      <c r="AA148" s="386">
        <f t="shared" si="63"/>
        <v>53.723712973099111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7.3261228604918821E-2</v>
      </c>
      <c r="AD148" s="231">
        <f>(INDEX(Models!$BJ148:$BT148,,AH148)*(1-AF148)+INDEX(Models!$BJ148:$BT148,,AH148+1)*AF148-ERP_i)*AE148*Ramure*Pc/MaxiM</f>
        <v>3.8767187084161466E-4</v>
      </c>
      <c r="AE148" s="305">
        <f t="shared" si="65"/>
        <v>0.5</v>
      </c>
      <c r="AF148" s="177">
        <f t="shared" si="66"/>
        <v>0.62087985218084274</v>
      </c>
      <c r="AG148" s="811">
        <f t="shared" si="74"/>
        <v>2</v>
      </c>
      <c r="AH148" s="176">
        <f t="shared" si="67"/>
        <v>8</v>
      </c>
      <c r="AI148" s="225">
        <f t="shared" si="68"/>
        <v>2.6208798521808427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'2026'!Wh/'2026'!Env_an*'2027'!Env_an</f>
        <v>51.004021853733803</v>
      </c>
      <c r="C149" s="841"/>
      <c r="D149" s="393">
        <f t="shared" si="50"/>
        <v>54.782639506665717</v>
      </c>
      <c r="E149" s="385">
        <f t="shared" si="72"/>
        <v>56.858436299468238</v>
      </c>
      <c r="F149" s="385">
        <f t="shared" si="51"/>
        <v>56.861932053031097</v>
      </c>
      <c r="G149" s="110">
        <f t="shared" si="73"/>
        <v>0.89952154066066903</v>
      </c>
      <c r="H149" s="414" t="b">
        <f>Wh_hp&gt;='2026'!Maxi_hp</f>
        <v>0</v>
      </c>
      <c r="I149" s="390">
        <f>IF(H149,Wh_hp,'2026'!Maxi_hp)</f>
        <v>64.337487236928794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6.8974727887511689E-2</v>
      </c>
      <c r="M149" s="845"/>
      <c r="N149" s="845"/>
      <c r="O149" s="48">
        <f>IF(t&lt;Tnet,'2026'!Resal+('2026'!Salim-'2026'!Resal)*(1-EXP(('2026'!Tnet-t)/('2026'!Tau_j))),Resal+(Salim-Resal)*(1-EXP((Tnet-t)/(Tau_j))))*Salcycl</f>
        <v>3.6508158294566641E-2</v>
      </c>
      <c r="P149" s="169">
        <f>(INDEX(Models!$BJ149:$BT149,,T149)*(1-R149)+INDEX(Models!$BJ149:$BT149,,T149+1)*R149-ERP_i)*Q149*Ramure*Pc/MaxiM</f>
        <v>7.1780376417150834E-5</v>
      </c>
      <c r="Q149" s="305">
        <f t="shared" si="53"/>
        <v>0.5</v>
      </c>
      <c r="R149" s="177">
        <f t="shared" si="54"/>
        <v>9.9770077521903588E-2</v>
      </c>
      <c r="S149" s="811">
        <f t="shared" si="55"/>
        <v>-1</v>
      </c>
      <c r="T149" s="176">
        <f t="shared" si="56"/>
        <v>5</v>
      </c>
      <c r="U149" s="251">
        <f t="shared" si="57"/>
        <v>-0.90022992247809641</v>
      </c>
      <c r="V149" s="383">
        <f t="shared" si="58"/>
        <v>56.700694813246578</v>
      </c>
      <c r="W149" s="402">
        <f t="shared" si="59"/>
        <v>51.004021853733803</v>
      </c>
      <c r="X149" s="157">
        <f t="shared" si="60"/>
        <v>46522</v>
      </c>
      <c r="Y149" s="385">
        <f t="shared" si="61"/>
        <v>49.039586365119419</v>
      </c>
      <c r="Z149" s="385">
        <f t="shared" si="62"/>
        <v>52.67266940439653</v>
      </c>
      <c r="AA149" s="386">
        <f t="shared" si="63"/>
        <v>56.841748881220809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7.3345376574112525E-2</v>
      </c>
      <c r="AD149" s="231">
        <f>(INDEX(Models!$BJ149:$BT149,,AH149)*(1-AF149)+INDEX(Models!$BJ149:$BT149,,AH149+1)*AF149-ERP_i)*AE149*Ramure*Pc/MaxiM</f>
        <v>4.1443300958861611E-4</v>
      </c>
      <c r="AE149" s="305">
        <f t="shared" si="65"/>
        <v>0.5</v>
      </c>
      <c r="AF149" s="177">
        <f t="shared" si="66"/>
        <v>0.62475764389588262</v>
      </c>
      <c r="AG149" s="811">
        <f t="shared" si="74"/>
        <v>2</v>
      </c>
      <c r="AH149" s="176">
        <f t="shared" si="67"/>
        <v>8</v>
      </c>
      <c r="AI149" s="225">
        <f t="shared" si="68"/>
        <v>2.6247576438958826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'2026'!Wh/'2026'!Env_an*'2027'!Env_an</f>
        <v>48.617440662417778</v>
      </c>
      <c r="C150" s="841"/>
      <c r="D150" s="393">
        <f t="shared" si="50"/>
        <v>52.220392924619624</v>
      </c>
      <c r="E150" s="385">
        <f t="shared" si="72"/>
        <v>54.204370438992889</v>
      </c>
      <c r="F150" s="385">
        <f t="shared" si="51"/>
        <v>54.207582477045172</v>
      </c>
      <c r="G150" s="110">
        <f t="shared" si="73"/>
        <v>0.85664188937750774</v>
      </c>
      <c r="H150" s="414" t="b">
        <f>Wh_hp&gt;='2026'!Maxi_hp</f>
        <v>0</v>
      </c>
      <c r="I150" s="390">
        <f>IF(H150,Wh_hp,'2026'!Maxi_hp)</f>
        <v>55.759884023555387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6.8995119730384302E-2</v>
      </c>
      <c r="M150" s="845"/>
      <c r="N150" s="845"/>
      <c r="O150" s="48">
        <f>IF(t&lt;Tnet,'2026'!Resal+('2026'!Salim-'2026'!Resal)*(1-EXP(('2026'!Tnet-t)/('2026'!Tau_j))),Resal+(Salim-Resal)*(1-EXP((Tnet-t)/(Tau_j))))*Salcycl</f>
        <v>3.6601799786720894E-2</v>
      </c>
      <c r="P150" s="169">
        <f>(INDEX(Models!$BJ150:$BT150,,T150)*(1-R150)+INDEX(Models!$BJ150:$BT150,,T150+1)*R150-ERP_i)*Q150*Ramure*Pc/MaxiM</f>
        <v>7.4513094181385899E-5</v>
      </c>
      <c r="Q150" s="305">
        <f t="shared" si="53"/>
        <v>0.5</v>
      </c>
      <c r="R150" s="177">
        <f t="shared" si="54"/>
        <v>0.10372651498302976</v>
      </c>
      <c r="S150" s="811">
        <f t="shared" si="55"/>
        <v>-1</v>
      </c>
      <c r="T150" s="176">
        <f t="shared" si="56"/>
        <v>5</v>
      </c>
      <c r="U150" s="251">
        <f t="shared" si="57"/>
        <v>-0.89627348501697024</v>
      </c>
      <c r="V150" s="383">
        <f t="shared" si="58"/>
        <v>56.752651700672367</v>
      </c>
      <c r="W150" s="402">
        <f t="shared" si="59"/>
        <v>48.617440662417778</v>
      </c>
      <c r="X150" s="157">
        <f t="shared" si="60"/>
        <v>46523</v>
      </c>
      <c r="Y150" s="385">
        <f t="shared" si="61"/>
        <v>46.745317835786942</v>
      </c>
      <c r="Z150" s="385">
        <f t="shared" si="62"/>
        <v>50.209530397144285</v>
      </c>
      <c r="AA150" s="386">
        <f t="shared" si="63"/>
        <v>54.18860386783556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7.3430079143506244E-2</v>
      </c>
      <c r="AD150" s="231">
        <f>(INDEX(Models!$BJ150:$BT150,,AH150)*(1-AF150)+INDEX(Models!$BJ150:$BT150,,AH150+1)*AF150-ERP_i)*AE150*Ramure*Pc/MaxiM</f>
        <v>4.4026716758891116E-4</v>
      </c>
      <c r="AE150" s="305">
        <f t="shared" si="65"/>
        <v>0.5</v>
      </c>
      <c r="AF150" s="177">
        <f t="shared" si="66"/>
        <v>0.62871408135700868</v>
      </c>
      <c r="AG150" s="811">
        <f t="shared" si="74"/>
        <v>2</v>
      </c>
      <c r="AH150" s="176">
        <f t="shared" si="67"/>
        <v>8</v>
      </c>
      <c r="AI150" s="225">
        <f t="shared" si="68"/>
        <v>2.6287140813570087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'2026'!Wh/'2026'!Env_an*'2027'!Env_an</f>
        <v>51.771693065124637</v>
      </c>
      <c r="C151" s="841"/>
      <c r="D151" s="393">
        <f t="shared" si="50"/>
        <v>55.609619369465243</v>
      </c>
      <c r="E151" s="385">
        <f t="shared" si="72"/>
        <v>57.727989295216958</v>
      </c>
      <c r="F151" s="385">
        <f t="shared" si="51"/>
        <v>57.731853063442351</v>
      </c>
      <c r="G151" s="110">
        <f t="shared" si="73"/>
        <v>0.91146372201842996</v>
      </c>
      <c r="H151" s="414" t="b">
        <f>Wh_hp&gt;='2026'!Maxi_hp</f>
        <v>0</v>
      </c>
      <c r="I151" s="390">
        <f>IF(H151,Wh_hp,'2026'!Maxi_hp)</f>
        <v>59.143869986274652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6.9015511126623186E-2</v>
      </c>
      <c r="M151" s="845"/>
      <c r="N151" s="845"/>
      <c r="O151" s="48">
        <f>IF(t&lt;Tnet,'2026'!Resal+('2026'!Salim-'2026'!Resal)*(1-EXP(('2026'!Tnet-t)/('2026'!Tau_j))),Resal+(Salim-Resal)*(1-EXP((Tnet-t)/(Tau_j))))*Salcycl</f>
        <v>3.6695716438667488E-2</v>
      </c>
      <c r="P151" s="169">
        <f>(INDEX(Models!$BJ151:$BT151,,T151)*(1-R151)+INDEX(Models!$BJ151:$BT151,,T151+1)*R151-ERP_i)*Q151*Ramure*Pc/MaxiM</f>
        <v>7.6615500045148149E-5</v>
      </c>
      <c r="Q151" s="305">
        <f t="shared" si="53"/>
        <v>0.5</v>
      </c>
      <c r="R151" s="177">
        <f t="shared" si="54"/>
        <v>0.1077605733430036</v>
      </c>
      <c r="S151" s="811">
        <f t="shared" si="55"/>
        <v>-1</v>
      </c>
      <c r="T151" s="176">
        <f t="shared" si="56"/>
        <v>5</v>
      </c>
      <c r="U151" s="251">
        <f t="shared" si="57"/>
        <v>-0.8922394266569964</v>
      </c>
      <c r="V151" s="383">
        <f t="shared" si="58"/>
        <v>56.800057034266786</v>
      </c>
      <c r="W151" s="402">
        <f t="shared" si="59"/>
        <v>51.771693065124637</v>
      </c>
      <c r="X151" s="157">
        <f t="shared" si="60"/>
        <v>46524</v>
      </c>
      <c r="Y151" s="385">
        <f t="shared" si="61"/>
        <v>49.775995522853457</v>
      </c>
      <c r="Z151" s="385">
        <f t="shared" si="62"/>
        <v>53.465977272177184</v>
      </c>
      <c r="AA151" s="386">
        <f t="shared" si="63"/>
        <v>57.70842911285272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7.3515288942957308E-2</v>
      </c>
      <c r="AD151" s="231">
        <f>(INDEX(Models!$BJ151:$BT151,,AH151)*(1-AF151)+INDEX(Models!$BJ151:$BT151,,AH151+1)*AF151-ERP_i)*AE151*Ramure*Pc/MaxiM</f>
        <v>4.6447860812708178E-4</v>
      </c>
      <c r="AE151" s="305">
        <f t="shared" si="65"/>
        <v>0.5</v>
      </c>
      <c r="AF151" s="177">
        <f t="shared" si="66"/>
        <v>0.63274813971698229</v>
      </c>
      <c r="AG151" s="811">
        <f t="shared" si="74"/>
        <v>2</v>
      </c>
      <c r="AH151" s="176">
        <f t="shared" si="67"/>
        <v>8</v>
      </c>
      <c r="AI151" s="225">
        <f t="shared" si="68"/>
        <v>2.6327481397169823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'2026'!Wh/'2026'!Env_an*'2027'!Env_an</f>
        <v>49.802724746711128</v>
      </c>
      <c r="C152" s="841"/>
      <c r="D152" s="393">
        <f t="shared" si="50"/>
        <v>53.495859676846052</v>
      </c>
      <c r="E152" s="385">
        <f t="shared" si="72"/>
        <v>55.539138153183167</v>
      </c>
      <c r="F152" s="385">
        <f t="shared" si="51"/>
        <v>55.542707003060322</v>
      </c>
      <c r="G152" s="110">
        <f t="shared" si="73"/>
        <v>0.87613149364732767</v>
      </c>
      <c r="H152" s="414" t="b">
        <f>Wh_hp&gt;='2026'!Maxi_hp</f>
        <v>0</v>
      </c>
      <c r="I152" s="390">
        <f>IF(H152,Wh_hp,'2026'!Maxi_hp)</f>
        <v>63.972000087795209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6.903590207623822E-2</v>
      </c>
      <c r="M152" s="845"/>
      <c r="N152" s="845"/>
      <c r="O152" s="48">
        <f>IF(t&lt;Tnet,'2026'!Resal+('2026'!Salim-'2026'!Resal)*(1-EXP(('2026'!Tnet-t)/('2026'!Tau_j))),Resal+(Salim-Resal)*(1-EXP((Tnet-t)/(Tau_j))))*Salcycl</f>
        <v>3.6789884472127034E-2</v>
      </c>
      <c r="P152" s="169">
        <f>(INDEX(Models!$BJ152:$BT152,,T152)*(1-R152)+INDEX(Models!$BJ152:$BT152,,T152+1)*R152-ERP_i)*Q152*Ramure*Pc/MaxiM</f>
        <v>7.8067188344375154E-5</v>
      </c>
      <c r="Q152" s="305">
        <f t="shared" si="53"/>
        <v>0.5</v>
      </c>
      <c r="R152" s="177">
        <f t="shared" si="54"/>
        <v>0.1118710535669607</v>
      </c>
      <c r="S152" s="811">
        <f t="shared" si="55"/>
        <v>-1</v>
      </c>
      <c r="T152" s="176">
        <f t="shared" si="56"/>
        <v>5</v>
      </c>
      <c r="U152" s="251">
        <f t="shared" si="57"/>
        <v>-0.8881289464330393</v>
      </c>
      <c r="V152" s="383">
        <f t="shared" si="58"/>
        <v>56.843107612348916</v>
      </c>
      <c r="W152" s="402">
        <f t="shared" si="59"/>
        <v>49.802724746711128</v>
      </c>
      <c r="X152" s="157">
        <f t="shared" si="60"/>
        <v>46525</v>
      </c>
      <c r="Y152" s="385">
        <f t="shared" si="61"/>
        <v>47.883285870617186</v>
      </c>
      <c r="Z152" s="385">
        <f t="shared" si="62"/>
        <v>51.434084276081748</v>
      </c>
      <c r="AA152" s="386">
        <f t="shared" si="63"/>
        <v>55.520441902194399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7.3600956442515908E-2</v>
      </c>
      <c r="AD152" s="231">
        <f>(INDEX(Models!$BJ152:$BT152,,AH152)*(1-AF152)+INDEX(Models!$BJ152:$BT152,,AH152+1)*AF152-ERP_i)*AE152*Ramure*Pc/MaxiM</f>
        <v>4.8704033025689388E-4</v>
      </c>
      <c r="AE152" s="305">
        <f t="shared" si="65"/>
        <v>0.5</v>
      </c>
      <c r="AF152" s="177">
        <f t="shared" si="66"/>
        <v>0.63685861994093962</v>
      </c>
      <c r="AG152" s="811">
        <f t="shared" si="74"/>
        <v>2</v>
      </c>
      <c r="AH152" s="176">
        <f t="shared" si="67"/>
        <v>8</v>
      </c>
      <c r="AI152" s="225">
        <f t="shared" si="68"/>
        <v>2.6368586199409396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'2026'!Wh/'2026'!Env_an*'2027'!Env_an</f>
        <v>52.564223239685006</v>
      </c>
      <c r="C153" s="841"/>
      <c r="D153" s="393">
        <f t="shared" si="50"/>
        <v>56.463374552815395</v>
      </c>
      <c r="E153" s="385">
        <f t="shared" si="72"/>
        <v>58.625742803079781</v>
      </c>
      <c r="F153" s="385">
        <f t="shared" si="51"/>
        <v>58.62986428085798</v>
      </c>
      <c r="G153" s="110">
        <f t="shared" si="73"/>
        <v>0.92408448237163232</v>
      </c>
      <c r="H153" s="414" t="b">
        <f>Wh_hp&gt;='2026'!Maxi_hp</f>
        <v>0</v>
      </c>
      <c r="I153" s="390">
        <f>IF(H153,Wh_hp,'2026'!Maxi_hp)</f>
        <v>63.050548226982031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6.9056292579239176E-2</v>
      </c>
      <c r="M153" s="845"/>
      <c r="N153" s="845"/>
      <c r="O153" s="48">
        <f>IF(t&lt;Tnet,'2026'!Resal+('2026'!Salim-'2026'!Resal)*(1-EXP(('2026'!Tnet-t)/('2026'!Tau_j))),Resal+(Salim-Resal)*(1-EXP((Tnet-t)/(Tau_j))))*Salcycl</f>
        <v>3.6884278934045236E-2</v>
      </c>
      <c r="P153" s="169">
        <f>(INDEX(Models!$BJ153:$BT153,,T153)*(1-R153)+INDEX(Models!$BJ153:$BT153,,T153+1)*R153-ERP_i)*Q153*Ramure*Pc/MaxiM</f>
        <v>7.8846647280551556E-5</v>
      </c>
      <c r="Q153" s="305">
        <f t="shared" si="53"/>
        <v>0.5</v>
      </c>
      <c r="R153" s="177">
        <f t="shared" si="54"/>
        <v>0.11605657933425717</v>
      </c>
      <c r="S153" s="811">
        <f t="shared" si="55"/>
        <v>-1</v>
      </c>
      <c r="T153" s="176">
        <f t="shared" si="56"/>
        <v>5</v>
      </c>
      <c r="U153" s="251">
        <f t="shared" si="57"/>
        <v>-0.88394342066574283</v>
      </c>
      <c r="V153" s="383">
        <f t="shared" si="58"/>
        <v>56.882000273930728</v>
      </c>
      <c r="W153" s="402">
        <f t="shared" si="59"/>
        <v>52.564223239685006</v>
      </c>
      <c r="X153" s="157">
        <f t="shared" si="60"/>
        <v>46526</v>
      </c>
      <c r="Y153" s="385">
        <f t="shared" si="61"/>
        <v>50.536288391525602</v>
      </c>
      <c r="Z153" s="385">
        <f t="shared" si="62"/>
        <v>54.285009919170761</v>
      </c>
      <c r="AA153" s="386">
        <f t="shared" si="63"/>
        <v>58.603314085106639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7.368703004858429E-2</v>
      </c>
      <c r="AD153" s="231">
        <f>(INDEX(Models!$BJ153:$BT153,,AH153)*(1-AF153)+INDEX(Models!$BJ153:$BT153,,AH153+1)*AF153-ERP_i)*AE153*Ramure*Pc/MaxiM</f>
        <v>5.0792313638250389E-4</v>
      </c>
      <c r="AE153" s="305">
        <f t="shared" si="65"/>
        <v>0.5</v>
      </c>
      <c r="AF153" s="177">
        <f t="shared" si="66"/>
        <v>0.64104414570823609</v>
      </c>
      <c r="AG153" s="811">
        <f t="shared" si="74"/>
        <v>2</v>
      </c>
      <c r="AH153" s="176">
        <f t="shared" si="67"/>
        <v>8</v>
      </c>
      <c r="AI153" s="225">
        <f t="shared" si="68"/>
        <v>2.6410441457082361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'2026'!Wh/'2026'!Env_an*'2027'!Env_an</f>
        <v>47.620992389358278</v>
      </c>
      <c r="C154" s="841"/>
      <c r="D154" s="393">
        <f t="shared" si="50"/>
        <v>51.154581157321445</v>
      </c>
      <c r="E154" s="385">
        <f t="shared" si="72"/>
        <v>53.118856650902515</v>
      </c>
      <c r="F154" s="385">
        <f t="shared" si="51"/>
        <v>53.122071332288584</v>
      </c>
      <c r="G154" s="110">
        <f t="shared" si="73"/>
        <v>0.83665991393570949</v>
      </c>
      <c r="H154" s="414" t="b">
        <f>Wh_hp&gt;='2026'!Maxi_hp</f>
        <v>0</v>
      </c>
      <c r="I154" s="390">
        <f>IF(H154,Wh_hp,'2026'!Maxi_hp)</f>
        <v>62.803447200223168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6.9076682635635711E-2</v>
      </c>
      <c r="M154" s="845"/>
      <c r="N154" s="845"/>
      <c r="O154" s="48">
        <f>IF(t&lt;Tnet,'2026'!Resal+('2026'!Salim-'2026'!Resal)*(1-EXP(('2026'!Tnet-t)/('2026'!Tau_j))),Resal+(Salim-Resal)*(1-EXP((Tnet-t)/(Tau_j))))*Salcycl</f>
        <v>3.6978873745161706E-2</v>
      </c>
      <c r="P154" s="169">
        <f>(INDEX(Models!$BJ154:$BT154,,T154)*(1-R154)+INDEX(Models!$BJ154:$BT154,,T154+1)*R154-ERP_i)*Q154*Ramure*Pc/MaxiM</f>
        <v>7.8931316819807023E-5</v>
      </c>
      <c r="Q154" s="305">
        <f t="shared" si="53"/>
        <v>0.5</v>
      </c>
      <c r="R154" s="177">
        <f t="shared" si="54"/>
        <v>0.12031559464191777</v>
      </c>
      <c r="S154" s="811">
        <f t="shared" si="55"/>
        <v>-1</v>
      </c>
      <c r="T154" s="176">
        <f t="shared" si="56"/>
        <v>5</v>
      </c>
      <c r="U154" s="251">
        <f t="shared" si="57"/>
        <v>-0.87968440535808223</v>
      </c>
      <c r="V154" s="383">
        <f t="shared" si="58"/>
        <v>56.916931884915726</v>
      </c>
      <c r="W154" s="402">
        <f t="shared" si="59"/>
        <v>47.620992389358278</v>
      </c>
      <c r="X154" s="157">
        <f t="shared" si="60"/>
        <v>46527</v>
      </c>
      <c r="Y154" s="385">
        <f t="shared" si="61"/>
        <v>45.78577738121863</v>
      </c>
      <c r="Z154" s="385">
        <f t="shared" si="62"/>
        <v>49.183188912753415</v>
      </c>
      <c r="AA154" s="386">
        <f t="shared" si="63"/>
        <v>53.100603996625495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7.3773456213813163E-2</v>
      </c>
      <c r="AD154" s="231">
        <f>(INDEX(Models!$BJ154:$BT154,,AH154)*(1-AF154)+INDEX(Models!$BJ154:$BT154,,AH154+1)*AF154-ERP_i)*AE154*Ramure*Pc/MaxiM</f>
        <v>5.2709580484217261E-4</v>
      </c>
      <c r="AE154" s="305">
        <f t="shared" si="65"/>
        <v>0.5</v>
      </c>
      <c r="AF154" s="177">
        <f t="shared" si="66"/>
        <v>0.6453031610158968</v>
      </c>
      <c r="AG154" s="811">
        <f t="shared" si="74"/>
        <v>2</v>
      </c>
      <c r="AH154" s="176">
        <f t="shared" si="67"/>
        <v>8</v>
      </c>
      <c r="AI154" s="225">
        <f t="shared" si="68"/>
        <v>2.6453031610158968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'2026'!Wh/'2026'!Env_an*'2027'!Env_an</f>
        <v>47.540797997857396</v>
      </c>
      <c r="C155" s="841"/>
      <c r="D155" s="393">
        <f t="shared" si="50"/>
        <v>51.069554709136966</v>
      </c>
      <c r="E155" s="385">
        <f t="shared" si="72"/>
        <v>53.035784379465888</v>
      </c>
      <c r="F155" s="385">
        <f t="shared" si="51"/>
        <v>53.03895719309503</v>
      </c>
      <c r="G155" s="110">
        <f t="shared" si="73"/>
        <v>0.83479378729135878</v>
      </c>
      <c r="H155" s="414" t="b">
        <f>Wh_hp&gt;='2026'!Maxi_hp</f>
        <v>0</v>
      </c>
      <c r="I155" s="390">
        <f>IF(H155,Wh_hp,'2026'!Maxi_hp)</f>
        <v>61.178268574854386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6.9097072245437707E-2</v>
      </c>
      <c r="M155" s="845"/>
      <c r="N155" s="845"/>
      <c r="O155" s="48">
        <f>IF(t&lt;Tnet,'2026'!Resal+('2026'!Salim-'2026'!Resal)*(1-EXP(('2026'!Tnet-t)/('2026'!Tau_j))),Resal+(Salim-Resal)*(1-EXP((Tnet-t)/(Tau_j))))*Salcycl</f>
        <v>3.7073641755927214E-2</v>
      </c>
      <c r="P155" s="169">
        <f>(INDEX(Models!$BJ155:$BT155,,T155)*(1-R155)+INDEX(Models!$BJ155:$BT155,,T155+1)*R155-ERP_i)*Q155*Ramure*Pc/MaxiM</f>
        <v>7.8297653236457506E-5</v>
      </c>
      <c r="Q155" s="305">
        <f t="shared" si="53"/>
        <v>0.5</v>
      </c>
      <c r="R155" s="177">
        <f t="shared" si="54"/>
        <v>0.12464636216286062</v>
      </c>
      <c r="S155" s="811">
        <f t="shared" si="55"/>
        <v>-1</v>
      </c>
      <c r="T155" s="176">
        <f t="shared" si="56"/>
        <v>5</v>
      </c>
      <c r="U155" s="251">
        <f t="shared" si="57"/>
        <v>-0.87535363783713938</v>
      </c>
      <c r="V155" s="383">
        <f t="shared" si="58"/>
        <v>56.948099335983954</v>
      </c>
      <c r="W155" s="402">
        <f t="shared" si="59"/>
        <v>47.540797997857396</v>
      </c>
      <c r="X155" s="157">
        <f t="shared" si="60"/>
        <v>46528</v>
      </c>
      <c r="Y155" s="385">
        <f t="shared" si="61"/>
        <v>45.708315435472031</v>
      </c>
      <c r="Z155" s="385">
        <f t="shared" si="62"/>
        <v>49.101054548969344</v>
      </c>
      <c r="AA155" s="386">
        <f t="shared" si="63"/>
        <v>53.0168916888559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7.3860179560652356E-2</v>
      </c>
      <c r="AD155" s="231">
        <f>(INDEX(Models!$BJ155:$BT155,,AH155)*(1-AF155)+INDEX(Models!$BJ155:$BT155,,AH155+1)*AF155-ERP_i)*AE155*Ramure*Pc/MaxiM</f>
        <v>5.4452527042165406E-4</v>
      </c>
      <c r="AE155" s="305">
        <f t="shared" si="65"/>
        <v>0.5</v>
      </c>
      <c r="AF155" s="177">
        <f t="shared" si="66"/>
        <v>0.64963392853683954</v>
      </c>
      <c r="AG155" s="811">
        <f t="shared" si="74"/>
        <v>2</v>
      </c>
      <c r="AH155" s="176">
        <f t="shared" si="67"/>
        <v>8</v>
      </c>
      <c r="AI155" s="225">
        <f t="shared" si="68"/>
        <v>2.6496339285368395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'2026'!Wh/'2026'!Env_an*'2027'!Env_an</f>
        <v>35.980526364895262</v>
      </c>
      <c r="C156" s="841"/>
      <c r="D156" s="393">
        <f t="shared" si="50"/>
        <v>38.652058528611647</v>
      </c>
      <c r="E156" s="385">
        <f t="shared" si="72"/>
        <v>40.144158898937313</v>
      </c>
      <c r="F156" s="385">
        <f t="shared" si="51"/>
        <v>40.145623702801693</v>
      </c>
      <c r="G156" s="110">
        <f t="shared" si="73"/>
        <v>0.63148099581546324</v>
      </c>
      <c r="H156" s="414" t="b">
        <f>Wh_hp&gt;='2026'!Maxi_hp</f>
        <v>0</v>
      </c>
      <c r="I156" s="390">
        <f>IF(H156,Wh_hp,'2026'!Maxi_hp)</f>
        <v>62.875998222350205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6.9117461408654934E-2</v>
      </c>
      <c r="M156" s="845"/>
      <c r="N156" s="845"/>
      <c r="O156" s="48">
        <f>IF(t&lt;Tnet,'2026'!Resal+('2026'!Salim-'2026'!Resal)*(1-EXP(('2026'!Tnet-t)/('2026'!Tau_j))),Resal+(Salim-Resal)*(1-EXP((Tnet-t)/(Tau_j))))*Salcycl</f>
        <v>3.7168554809730123E-2</v>
      </c>
      <c r="P156" s="169">
        <f>(INDEX(Models!$BJ156:$BT156,,T156)*(1-R156)+INDEX(Models!$BJ156:$BT156,,T156+1)*R156-ERP_i)*Q156*Ramure*Pc/MaxiM</f>
        <v>7.7045471238814319E-5</v>
      </c>
      <c r="Q156" s="305">
        <f t="shared" si="53"/>
        <v>0.5</v>
      </c>
      <c r="R156" s="177">
        <f t="shared" si="54"/>
        <v>0.12904696240841629</v>
      </c>
      <c r="S156" s="811">
        <f t="shared" si="55"/>
        <v>-1</v>
      </c>
      <c r="T156" s="176">
        <f t="shared" si="56"/>
        <v>5</v>
      </c>
      <c r="U156" s="251">
        <f t="shared" si="57"/>
        <v>-0.87095303759158371</v>
      </c>
      <c r="V156" s="383">
        <f t="shared" si="58"/>
        <v>56.975692450484104</v>
      </c>
      <c r="W156" s="402">
        <f t="shared" si="59"/>
        <v>35.980526364895262</v>
      </c>
      <c r="X156" s="157">
        <f t="shared" si="60"/>
        <v>46529</v>
      </c>
      <c r="Y156" s="385">
        <f t="shared" si="61"/>
        <v>34.598242058899416</v>
      </c>
      <c r="Z156" s="385">
        <f t="shared" si="62"/>
        <v>37.167140454965555</v>
      </c>
      <c r="AA156" s="386">
        <f t="shared" si="63"/>
        <v>40.135009761869469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7.3947143018352091E-2</v>
      </c>
      <c r="AD156" s="231">
        <f>(INDEX(Models!$BJ156:$BT156,,AH156)*(1-AF156)+INDEX(Models!$BJ156:$BT156,,AH156+1)*AF156-ERP_i)*AE156*Ramure*Pc/MaxiM</f>
        <v>5.5827001874407664E-4</v>
      </c>
      <c r="AE156" s="305">
        <f t="shared" si="65"/>
        <v>0.5</v>
      </c>
      <c r="AF156" s="177">
        <f t="shared" si="66"/>
        <v>0.65403452878239499</v>
      </c>
      <c r="AG156" s="811">
        <f t="shared" si="74"/>
        <v>2</v>
      </c>
      <c r="AH156" s="176">
        <f t="shared" si="67"/>
        <v>8</v>
      </c>
      <c r="AI156" s="225">
        <f t="shared" si="68"/>
        <v>2.654034528782395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'2026'!Wh/'2026'!Env_an*'2027'!Env_an</f>
        <v>18.758707808162399</v>
      </c>
      <c r="C157" s="841"/>
      <c r="D157" s="393">
        <f t="shared" si="50"/>
        <v>20.15197181525469</v>
      </c>
      <c r="E157" s="385">
        <f t="shared" si="72"/>
        <v>20.931972112445052</v>
      </c>
      <c r="F157" s="385">
        <f t="shared" si="51"/>
        <v>20.932037775836587</v>
      </c>
      <c r="G157" s="110">
        <f t="shared" si="73"/>
        <v>0.32907696798639563</v>
      </c>
      <c r="H157" s="414" t="b">
        <f>Wh_hp&gt;='2026'!Maxi_hp</f>
        <v>0</v>
      </c>
      <c r="I157" s="390">
        <f>IF(H157,Wh_hp,'2026'!Maxi_hp)</f>
        <v>58.76828057791041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6.9137850125297162E-2</v>
      </c>
      <c r="M157" s="845"/>
      <c r="N157" s="845"/>
      <c r="O157" s="48">
        <f>IF(t&lt;Tnet,'2026'!Resal+('2026'!Salim-'2026'!Resal)*(1-EXP(('2026'!Tnet-t)/('2026'!Tau_j))),Resal+(Salim-Resal)*(1-EXP((Tnet-t)/(Tau_j))))*Salcycl</f>
        <v>3.7263583813329081E-2</v>
      </c>
      <c r="P157" s="169">
        <f>(INDEX(Models!$BJ157:$BT157,,T157)*(1-R157)+INDEX(Models!$BJ157:$BT157,,T157+1)*R157-ERP_i)*Q157*Ramure*Pc/MaxiM</f>
        <v>7.5458014836270513E-5</v>
      </c>
      <c r="Q157" s="305">
        <f t="shared" si="53"/>
        <v>0.5</v>
      </c>
      <c r="R157" s="177">
        <f t="shared" si="54"/>
        <v>0.13351529374018856</v>
      </c>
      <c r="S157" s="811">
        <f t="shared" si="55"/>
        <v>-1</v>
      </c>
      <c r="T157" s="176">
        <f t="shared" si="56"/>
        <v>5</v>
      </c>
      <c r="U157" s="251">
        <f t="shared" si="57"/>
        <v>-0.86648470625981144</v>
      </c>
      <c r="V157" s="383">
        <f t="shared" si="58"/>
        <v>56.999890540890263</v>
      </c>
      <c r="W157" s="402">
        <f t="shared" si="59"/>
        <v>18.758707808162399</v>
      </c>
      <c r="X157" s="157">
        <f t="shared" si="60"/>
        <v>46530</v>
      </c>
      <c r="Y157" s="385">
        <f t="shared" si="61"/>
        <v>18.041869174817254</v>
      </c>
      <c r="Z157" s="385">
        <f t="shared" si="62"/>
        <v>19.381891483336979</v>
      </c>
      <c r="AA157" s="386">
        <f t="shared" si="63"/>
        <v>20.93154339474469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7.4034287973087795E-2</v>
      </c>
      <c r="AD157" s="231">
        <f>(INDEX(Models!$BJ157:$BT157,,AH157)*(1-AF157)+INDEX(Models!$BJ157:$BT157,,AH157+1)*AF157-ERP_i)*AE157*Ramure*Pc/MaxiM</f>
        <v>5.6812502209506682E-4</v>
      </c>
      <c r="AE157" s="305">
        <f t="shared" si="65"/>
        <v>0.5</v>
      </c>
      <c r="AF157" s="177">
        <f t="shared" si="66"/>
        <v>0.65850286011416737</v>
      </c>
      <c r="AG157" s="811">
        <f t="shared" si="74"/>
        <v>2</v>
      </c>
      <c r="AH157" s="176">
        <f t="shared" si="67"/>
        <v>8</v>
      </c>
      <c r="AI157" s="225">
        <f t="shared" si="68"/>
        <v>2.6585028601141674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'2026'!Wh/'2026'!Env_an*'2027'!Env_an</f>
        <v>16.264786588667178</v>
      </c>
      <c r="C158" s="841"/>
      <c r="D158" s="393">
        <f t="shared" si="50"/>
        <v>17.47320249214993</v>
      </c>
      <c r="E158" s="385">
        <f t="shared" si="72"/>
        <v>18.151311885983233</v>
      </c>
      <c r="F158" s="385">
        <f t="shared" si="51"/>
        <v>18.151311885983233</v>
      </c>
      <c r="G158" s="110">
        <f t="shared" si="73"/>
        <v>0.28522162382467919</v>
      </c>
      <c r="H158" s="414" t="b">
        <f>Wh_hp&gt;='2026'!Maxi_hp</f>
        <v>0</v>
      </c>
      <c r="I158" s="390">
        <f>IF(H158,Wh_hp,'2026'!Maxi_hp)</f>
        <v>30.554357090064354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6.9158238395374161E-2</v>
      </c>
      <c r="M158" s="845"/>
      <c r="N158" s="845"/>
      <c r="O158" s="48">
        <f>IF(t&lt;Tnet,'2026'!Resal+('2026'!Salim-'2026'!Resal)*(1-EXP(('2026'!Tnet-t)/('2026'!Tau_j))),Resal+(Salim-Resal)*(1-EXP((Tnet-t)/(Tau_j))))*Salcycl</f>
        <v>3.7358698814323868E-2</v>
      </c>
      <c r="P158" s="169">
        <f>(INDEX(Models!$BJ158:$BT158,,T158)*(1-R158)+INDEX(Models!$BJ158:$BT158,,T158+1)*R158-ERP_i)*Q158*Ramure*Pc/MaxiM</f>
        <v>7.3521101996289374E-5</v>
      </c>
      <c r="Q158" s="305">
        <f t="shared" si="53"/>
        <v>0.5</v>
      </c>
      <c r="R158" s="177">
        <f t="shared" si="54"/>
        <v>0.13804907327101812</v>
      </c>
      <c r="S158" s="811">
        <f t="shared" si="55"/>
        <v>-1</v>
      </c>
      <c r="T158" s="176">
        <f t="shared" si="56"/>
        <v>5</v>
      </c>
      <c r="U158" s="251">
        <f t="shared" si="57"/>
        <v>-0.86195092672898188</v>
      </c>
      <c r="V158" s="383">
        <f t="shared" si="58"/>
        <v>57.020889810340577</v>
      </c>
      <c r="W158" s="402">
        <f t="shared" si="59"/>
        <v>16.264786588667178</v>
      </c>
      <c r="X158" s="157">
        <f t="shared" si="60"/>
        <v>46531</v>
      </c>
      <c r="Y158" s="385">
        <f t="shared" si="61"/>
        <v>15.64364141210474</v>
      </c>
      <c r="Z158" s="385">
        <f t="shared" si="62"/>
        <v>16.805908434036677</v>
      </c>
      <c r="AA158" s="386">
        <f t="shared" si="63"/>
        <v>18.151311885983233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7.4121554430757228E-2</v>
      </c>
      <c r="AD158" s="231">
        <f>(INDEX(Models!$BJ158:$BT158,,AH158)*(1-AF158)+INDEX(Models!$BJ158:$BT158,,AH158+1)*AF158-ERP_i)*AE158*Ramure*Pc/MaxiM</f>
        <v>5.7398776060041737E-4</v>
      </c>
      <c r="AE158" s="305">
        <f t="shared" si="65"/>
        <v>0.5</v>
      </c>
      <c r="AF158" s="177">
        <f t="shared" si="66"/>
        <v>0.66303663964499693</v>
      </c>
      <c r="AG158" s="811">
        <f t="shared" si="74"/>
        <v>2</v>
      </c>
      <c r="AH158" s="176">
        <f t="shared" si="67"/>
        <v>8</v>
      </c>
      <c r="AI158" s="225">
        <f t="shared" si="68"/>
        <v>2.6630366396449969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'2026'!Wh/'2026'!Env_an*'2027'!Env_an</f>
        <v>38.14801558096876</v>
      </c>
      <c r="C159" s="841"/>
      <c r="D159" s="393">
        <f t="shared" si="50"/>
        <v>40.98317534975277</v>
      </c>
      <c r="E159" s="385">
        <f t="shared" si="72"/>
        <v>42.577881759092826</v>
      </c>
      <c r="F159" s="385">
        <f t="shared" si="51"/>
        <v>42.579479505189603</v>
      </c>
      <c r="G159" s="110">
        <f t="shared" si="73"/>
        <v>0.66878462165583985</v>
      </c>
      <c r="H159" s="414" t="b">
        <f>Wh_hp&gt;='2026'!Maxi_hp</f>
        <v>0</v>
      </c>
      <c r="I159" s="390">
        <f>IF(H159,Wh_hp,'2026'!Maxi_hp)</f>
        <v>59.691953884707942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6.91786262188957E-2</v>
      </c>
      <c r="M159" s="845"/>
      <c r="N159" s="845"/>
      <c r="O159" s="48">
        <f>IF(t&lt;Tnet,'2026'!Resal+('2026'!Salim-'2026'!Resal)*(1-EXP(('2026'!Tnet-t)/('2026'!Tau_j))),Resal+(Salim-Resal)*(1-EXP((Tnet-t)/(Tau_j))))*Salcycl</f>
        <v>3.745386908543178E-2</v>
      </c>
      <c r="P159" s="169">
        <f>(INDEX(Models!$BJ159:$BT159,,T159)*(1-R159)+INDEX(Models!$BJ159:$BT159,,T159+1)*R159-ERP_i)*Q159*Ramure*Pc/MaxiM</f>
        <v>7.1220679707005753E-5</v>
      </c>
      <c r="Q159" s="305">
        <f t="shared" si="53"/>
        <v>0.5</v>
      </c>
      <c r="R159" s="177">
        <f t="shared" si="54"/>
        <v>0.14264583868873515</v>
      </c>
      <c r="S159" s="811">
        <f t="shared" si="55"/>
        <v>-1</v>
      </c>
      <c r="T159" s="176">
        <f t="shared" si="56"/>
        <v>5</v>
      </c>
      <c r="U159" s="251">
        <f t="shared" si="57"/>
        <v>-0.85735416131126485</v>
      </c>
      <c r="V159" s="383">
        <f t="shared" si="58"/>
        <v>57.038886407382108</v>
      </c>
      <c r="W159" s="402">
        <f t="shared" si="59"/>
        <v>38.14801558096876</v>
      </c>
      <c r="X159" s="157">
        <f t="shared" si="60"/>
        <v>46532</v>
      </c>
      <c r="Y159" s="385">
        <f t="shared" si="61"/>
        <v>36.681572367219097</v>
      </c>
      <c r="Z159" s="385">
        <f t="shared" si="62"/>
        <v>39.407746105156889</v>
      </c>
      <c r="AA159" s="386">
        <f t="shared" si="63"/>
        <v>42.566563131315135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7.4208881191875839E-2</v>
      </c>
      <c r="AD159" s="231">
        <f>(INDEX(Models!$BJ159:$BT159,,AH159)*(1-AF159)+INDEX(Models!$BJ159:$BT159,,AH159+1)*AF159-ERP_i)*AE159*Ramure*Pc/MaxiM</f>
        <v>5.7575664152318946E-4</v>
      </c>
      <c r="AE159" s="305">
        <f t="shared" si="65"/>
        <v>0.5</v>
      </c>
      <c r="AF159" s="177">
        <f t="shared" si="66"/>
        <v>0.66763340506271396</v>
      </c>
      <c r="AG159" s="811">
        <f t="shared" si="74"/>
        <v>2</v>
      </c>
      <c r="AH159" s="176">
        <f t="shared" si="67"/>
        <v>8</v>
      </c>
      <c r="AI159" s="225">
        <f t="shared" si="68"/>
        <v>2.667633405062714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'2026'!Wh/'2026'!Env_an*'2027'!Env_an</f>
        <v>23.130795726288714</v>
      </c>
      <c r="C160" s="841"/>
      <c r="D160" s="393">
        <f t="shared" si="50"/>
        <v>24.85042029837939</v>
      </c>
      <c r="E160" s="385">
        <f t="shared" si="72"/>
        <v>25.819934657030387</v>
      </c>
      <c r="F160" s="385">
        <f t="shared" si="51"/>
        <v>25.820201182649964</v>
      </c>
      <c r="G160" s="110">
        <f t="shared" si="73"/>
        <v>0.40539520534239598</v>
      </c>
      <c r="H160" s="414" t="b">
        <f>Wh_hp&gt;='2026'!Maxi_hp</f>
        <v>0</v>
      </c>
      <c r="I160" s="390">
        <f>IF(H160,Wh_hp,'2026'!Maxi_hp)</f>
        <v>61.991403277896538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6.919901359587155E-2</v>
      </c>
      <c r="M160" s="845"/>
      <c r="N160" s="845"/>
      <c r="O160" s="48">
        <f>IF(t&lt;Tnet,'2026'!Resal+('2026'!Salim-'2026'!Resal)*(1-EXP(('2026'!Tnet-t)/('2026'!Tau_j))),Resal+(Salim-Resal)*(1-EXP((Tnet-t)/(Tau_j))))*Salcycl</f>
        <v>3.7549063215270809E-2</v>
      </c>
      <c r="P160" s="169">
        <f>(INDEX(Models!$BJ160:$BT160,,T160)*(1-R160)+INDEX(Models!$BJ160:$BT160,,T160+1)*R160-ERP_i)*Q160*Ramure*Pc/MaxiM</f>
        <v>6.854239479521446E-5</v>
      </c>
      <c r="Q160" s="305">
        <f t="shared" si="53"/>
        <v>0.5</v>
      </c>
      <c r="R160" s="177">
        <f t="shared" si="54"/>
        <v>0.14730295102956747</v>
      </c>
      <c r="S160" s="811">
        <f t="shared" si="55"/>
        <v>-1</v>
      </c>
      <c r="T160" s="176">
        <f t="shared" si="56"/>
        <v>5</v>
      </c>
      <c r="U160" s="251">
        <f t="shared" si="57"/>
        <v>-0.85269704897043253</v>
      </c>
      <c r="V160" s="383">
        <f t="shared" si="58"/>
        <v>57.054076446973852</v>
      </c>
      <c r="W160" s="402">
        <f t="shared" si="59"/>
        <v>23.130795726288714</v>
      </c>
      <c r="X160" s="157">
        <f t="shared" si="60"/>
        <v>46533</v>
      </c>
      <c r="Y160" s="385">
        <f t="shared" si="61"/>
        <v>22.245952254124401</v>
      </c>
      <c r="Z160" s="385">
        <f t="shared" si="62"/>
        <v>23.899794455595703</v>
      </c>
      <c r="AA160" s="386">
        <f t="shared" si="63"/>
        <v>25.817971808564842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7.4296206037873375E-2</v>
      </c>
      <c r="AD160" s="231">
        <f>(INDEX(Models!$BJ160:$BT160,,AH160)*(1-AF160)+INDEX(Models!$BJ160:$BT160,,AH160+1)*AF160-ERP_i)*AE160*Ramure*Pc/MaxiM</f>
        <v>5.7332814357928898E-4</v>
      </c>
      <c r="AE160" s="305">
        <f t="shared" si="65"/>
        <v>0.5</v>
      </c>
      <c r="AF160" s="177">
        <f t="shared" si="66"/>
        <v>0.67229051740354651</v>
      </c>
      <c r="AG160" s="811">
        <f t="shared" si="74"/>
        <v>2</v>
      </c>
      <c r="AH160" s="176">
        <f t="shared" si="67"/>
        <v>8</v>
      </c>
      <c r="AI160" s="225">
        <f t="shared" si="68"/>
        <v>2.6722905174035465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'2026'!Wh/'2026'!Env_an*'2027'!Env_an</f>
        <v>43.02538518276419</v>
      </c>
      <c r="C161" s="841"/>
      <c r="D161" s="393">
        <f t="shared" si="50"/>
        <v>46.225055837103795</v>
      </c>
      <c r="E161" s="385">
        <f t="shared" si="72"/>
        <v>48.033230745419417</v>
      </c>
      <c r="F161" s="385">
        <f t="shared" si="51"/>
        <v>48.035270242555065</v>
      </c>
      <c r="G161" s="110">
        <f t="shared" si="73"/>
        <v>0.75393229601849676</v>
      </c>
      <c r="H161" s="414" t="b">
        <f>Wh_hp&gt;='2026'!Maxi_hp</f>
        <v>0</v>
      </c>
      <c r="I161" s="390">
        <f>IF(H161,Wh_hp,'2026'!Maxi_hp)</f>
        <v>62.096546618278133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6.9219400526311592E-2</v>
      </c>
      <c r="M161" s="845"/>
      <c r="N161" s="845"/>
      <c r="O161" s="48">
        <f>IF(t&lt;Tnet,'2026'!Resal+('2026'!Salim-'2026'!Resal)*(1-EXP(('2026'!Tnet-t)/('2026'!Tau_j))),Resal+(Salim-Resal)*(1-EXP((Tnet-t)/(Tau_j))))*Salcycl</f>
        <v>3.7644249205286924E-2</v>
      </c>
      <c r="P161" s="169">
        <f>(INDEX(Models!$BJ161:$BT161,,T161)*(1-R161)+INDEX(Models!$BJ161:$BT161,,T161+1)*R161-ERP_i)*Q161*Ramure*Pc/MaxiM</f>
        <v>6.5471639750445216E-5</v>
      </c>
      <c r="Q161" s="305">
        <f t="shared" si="53"/>
        <v>0.5</v>
      </c>
      <c r="R161" s="177">
        <f t="shared" si="54"/>
        <v>0.15201759842054341</v>
      </c>
      <c r="S161" s="811">
        <f t="shared" si="55"/>
        <v>-1</v>
      </c>
      <c r="T161" s="176">
        <f t="shared" si="56"/>
        <v>5</v>
      </c>
      <c r="U161" s="251">
        <f t="shared" si="57"/>
        <v>-0.84798240157945659</v>
      </c>
      <c r="V161" s="383">
        <f t="shared" si="58"/>
        <v>57.066655999775755</v>
      </c>
      <c r="W161" s="402">
        <f t="shared" si="59"/>
        <v>43.02538518276419</v>
      </c>
      <c r="X161" s="157">
        <f t="shared" si="60"/>
        <v>46534</v>
      </c>
      <c r="Y161" s="385">
        <f t="shared" si="61"/>
        <v>41.36938445891267</v>
      </c>
      <c r="Z161" s="385">
        <f t="shared" si="62"/>
        <v>44.445903236815489</v>
      </c>
      <c r="AA161" s="386">
        <f t="shared" si="63"/>
        <v>48.01762025715616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7.4383465927976053E-2</v>
      </c>
      <c r="AD161" s="231">
        <f>(INDEX(Models!$BJ161:$BT161,,AH161)*(1-AF161)+INDEX(Models!$BJ161:$BT161,,AH161+1)*AF161-ERP_i)*AE161*Ramure*Pc/MaxiM</f>
        <v>5.6659725843044779E-4</v>
      </c>
      <c r="AE161" s="305">
        <f t="shared" si="65"/>
        <v>0.5</v>
      </c>
      <c r="AF161" s="177">
        <f t="shared" si="66"/>
        <v>0.67700516479452233</v>
      </c>
      <c r="AG161" s="811">
        <f t="shared" si="74"/>
        <v>2</v>
      </c>
      <c r="AH161" s="176">
        <f t="shared" si="67"/>
        <v>8</v>
      </c>
      <c r="AI161" s="225">
        <f t="shared" si="68"/>
        <v>2.6770051647945223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'2026'!Wh/'2026'!Env_an*'2027'!Env_an</f>
        <v>51.841094719061729</v>
      </c>
      <c r="C162" s="841"/>
      <c r="D162" s="393">
        <f t="shared" si="50"/>
        <v>55.69758354038202</v>
      </c>
      <c r="E162" s="385">
        <f t="shared" si="72"/>
        <v>57.882015772257098</v>
      </c>
      <c r="F162" s="385">
        <f t="shared" si="51"/>
        <v>57.885134025632851</v>
      </c>
      <c r="G162" s="110">
        <f t="shared" si="73"/>
        <v>0.90826140208868344</v>
      </c>
      <c r="H162" s="414" t="b">
        <f>Wh_hp&gt;='2026'!Maxi_hp</f>
        <v>0</v>
      </c>
      <c r="I162" s="390">
        <f>IF(H162,Wh_hp,'2026'!Maxi_hp)</f>
        <v>61.293375317013549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6.9239787010225484E-2</v>
      </c>
      <c r="M162" s="845"/>
      <c r="N162" s="845"/>
      <c r="O162" s="48">
        <f>IF(t&lt;Tnet,'2026'!Resal+('2026'!Salim-'2026'!Resal)*(1-EXP(('2026'!Tnet-t)/('2026'!Tau_j))),Resal+(Salim-Resal)*(1-EXP((Tnet-t)/(Tau_j))))*Salcycl</f>
        <v>3.7739394572399845E-2</v>
      </c>
      <c r="P162" s="169">
        <f>(INDEX(Models!$BJ162:$BT162,,T162)*(1-R162)+INDEX(Models!$BJ162:$BT162,,T162+1)*R162-ERP_i)*Q162*Ramure*Pc/MaxiM</f>
        <v>6.1993601988242797E-5</v>
      </c>
      <c r="Q162" s="305">
        <f t="shared" si="53"/>
        <v>0.5</v>
      </c>
      <c r="R162" s="177">
        <f t="shared" si="54"/>
        <v>0.15678680080208574</v>
      </c>
      <c r="S162" s="811">
        <f t="shared" si="55"/>
        <v>-1</v>
      </c>
      <c r="T162" s="176">
        <f t="shared" si="56"/>
        <v>5</v>
      </c>
      <c r="U162" s="251">
        <f t="shared" si="57"/>
        <v>-0.84321319919791426</v>
      </c>
      <c r="V162" s="383">
        <f t="shared" si="58"/>
        <v>57.07682108246123</v>
      </c>
      <c r="W162" s="402">
        <f t="shared" si="59"/>
        <v>51.841094719061729</v>
      </c>
      <c r="X162" s="157">
        <f t="shared" si="60"/>
        <v>46535</v>
      </c>
      <c r="Y162" s="385">
        <f t="shared" si="61"/>
        <v>49.840845720999717</v>
      </c>
      <c r="Z162" s="385">
        <f t="shared" si="62"/>
        <v>53.548534870116193</v>
      </c>
      <c r="AA162" s="386">
        <f t="shared" si="63"/>
        <v>57.857194713045743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7.4470597205744352E-2</v>
      </c>
      <c r="AD162" s="231">
        <f>(INDEX(Models!$BJ162:$BT162,,AH162)*(1-AF162)+INDEX(Models!$BJ162:$BT162,,AH162+1)*AF162-ERP_i)*AE162*Ramure*Pc/MaxiM</f>
        <v>5.5545794893279755E-4</v>
      </c>
      <c r="AE162" s="305">
        <f t="shared" si="65"/>
        <v>0.5</v>
      </c>
      <c r="AF162" s="177">
        <f t="shared" si="66"/>
        <v>0.68177436717606454</v>
      </c>
      <c r="AG162" s="811">
        <f t="shared" si="74"/>
        <v>2</v>
      </c>
      <c r="AH162" s="176">
        <f t="shared" si="67"/>
        <v>8</v>
      </c>
      <c r="AI162" s="225">
        <f t="shared" si="68"/>
        <v>2.6817743671760645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'2026'!Wh/'2026'!Env_an*'2027'!Env_an</f>
        <v>55.874086049969016</v>
      </c>
      <c r="C163" s="841"/>
      <c r="D163" s="393">
        <f t="shared" si="50"/>
        <v>60.031906266355485</v>
      </c>
      <c r="E163" s="385">
        <f t="shared" si="72"/>
        <v>62.392492947956065</v>
      </c>
      <c r="F163" s="385">
        <f t="shared" si="51"/>
        <v>62.396007956609452</v>
      </c>
      <c r="G163" s="110">
        <f t="shared" si="73"/>
        <v>0.97879446051608177</v>
      </c>
      <c r="H163" s="414" t="b">
        <f>Wh_hp&gt;='2026'!Maxi_hp</f>
        <v>0</v>
      </c>
      <c r="I163" s="390">
        <f>IF(H163,Wh_hp,'2026'!Maxi_hp)</f>
        <v>62.396103176132826</v>
      </c>
      <c r="J163" s="85">
        <f>IF(H163,An,'2026'!An_max)</f>
        <v>2025</v>
      </c>
      <c r="K163" s="197">
        <f t="shared" si="52"/>
        <v>46536</v>
      </c>
      <c r="L163" s="147">
        <f>IF(t&lt;Tvie,1-EXP((T0-t)*PertePVj)+'2026'!Pspv,1-EXP((T0-t)*PertePVj)+Pspv)</f>
        <v>6.9260173047623108E-2</v>
      </c>
      <c r="M163" s="845"/>
      <c r="N163" s="845"/>
      <c r="O163" s="48">
        <f>IF(t&lt;Tnet,'2026'!Resal+('2026'!Salim-'2026'!Resal)*(1-EXP(('2026'!Tnet-t)/('2026'!Tau_j))),Resal+(Salim-Resal)*(1-EXP((Tnet-t)/(Tau_j))))*Salcycl</f>
        <v>3.7834466456880302E-2</v>
      </c>
      <c r="P163" s="169">
        <f>(INDEX(Models!$BJ163:$BT163,,T163)*(1-R163)+INDEX(Models!$BJ163:$BT163,,T163+1)*R163-ERP_i)*Q163*Ramure*Pc/MaxiM</f>
        <v>5.8093593595359052E-5</v>
      </c>
      <c r="Q163" s="305">
        <f t="shared" si="53"/>
        <v>0.5</v>
      </c>
      <c r="R163" s="177">
        <f t="shared" si="54"/>
        <v>0.16160741563330772</v>
      </c>
      <c r="S163" s="811">
        <f t="shared" si="55"/>
        <v>-1</v>
      </c>
      <c r="T163" s="176">
        <f t="shared" si="56"/>
        <v>5</v>
      </c>
      <c r="U163" s="251">
        <f t="shared" si="57"/>
        <v>-0.83839258436669228</v>
      </c>
      <c r="V163" s="383">
        <f t="shared" si="58"/>
        <v>57.084495239244681</v>
      </c>
      <c r="W163" s="402">
        <f t="shared" si="59"/>
        <v>55.874086049969016</v>
      </c>
      <c r="X163" s="157">
        <f t="shared" si="60"/>
        <v>46536</v>
      </c>
      <c r="Y163" s="385">
        <f t="shared" si="61"/>
        <v>53.716428937631541</v>
      </c>
      <c r="Z163" s="385">
        <f t="shared" si="62"/>
        <v>57.713689026847717</v>
      </c>
      <c r="AA163" s="386">
        <f t="shared" si="63"/>
        <v>62.363346464359189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7.4557535814226431E-2</v>
      </c>
      <c r="AD163" s="231">
        <f>(INDEX(Models!$BJ163:$BT163,,AH163)*(1-AF163)+INDEX(Models!$BJ163:$BT163,,AH163+1)*AF163-ERP_i)*AE163*Ramure*Pc/MaxiM</f>
        <v>5.3980619796569157E-4</v>
      </c>
      <c r="AE163" s="305">
        <f t="shared" si="65"/>
        <v>0.5</v>
      </c>
      <c r="AF163" s="177">
        <f t="shared" si="66"/>
        <v>0.68659498200728653</v>
      </c>
      <c r="AG163" s="811">
        <f t="shared" si="74"/>
        <v>2</v>
      </c>
      <c r="AH163" s="176">
        <f t="shared" si="67"/>
        <v>8</v>
      </c>
      <c r="AI163" s="225">
        <f t="shared" si="68"/>
        <v>2.6865949820072865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'2026'!Wh/'2026'!Env_an*'2027'!Env_an</f>
        <v>47.580320053676026</v>
      </c>
      <c r="C164" s="841"/>
      <c r="D164" s="393">
        <f t="shared" si="50"/>
        <v>51.122086784900539</v>
      </c>
      <c r="E164" s="385">
        <f t="shared" si="72"/>
        <v>53.137564406621074</v>
      </c>
      <c r="F164" s="385">
        <f t="shared" si="51"/>
        <v>53.139751567484659</v>
      </c>
      <c r="G164" s="110">
        <f t="shared" si="73"/>
        <v>0.8334246362324822</v>
      </c>
      <c r="H164" s="414" t="b">
        <f>Wh_hp&gt;='2026'!Maxi_hp</f>
        <v>0</v>
      </c>
      <c r="I164" s="390">
        <f>IF(H164,Wh_hp,'2026'!Maxi_hp)</f>
        <v>57.223999787813696</v>
      </c>
      <c r="J164" s="85">
        <f>IF(H164,An,'2026'!An_max)</f>
        <v>2019</v>
      </c>
      <c r="K164" s="197">
        <f t="shared" si="52"/>
        <v>46537</v>
      </c>
      <c r="L164" s="147">
        <f>IF(t&lt;Tvie,1-EXP((T0-t)*PertePVj)+'2026'!Pspv,1-EXP((T0-t)*PertePVj)+Pspv)</f>
        <v>6.9280558638514123E-2</v>
      </c>
      <c r="M164" s="845"/>
      <c r="N164" s="845"/>
      <c r="O164" s="48">
        <f>IF(t&lt;Tnet,'2026'!Resal+('2026'!Salim-'2026'!Resal)*(1-EXP(('2026'!Tnet-t)/('2026'!Tau_j))),Resal+(Salim-Resal)*(1-EXP((Tnet-t)/(Tau_j))))*Salcycl</f>
        <v>3.7929431734914199E-2</v>
      </c>
      <c r="P164" s="169">
        <f>(INDEX(Models!$BJ164:$BT164,,T164)*(1-R164)+INDEX(Models!$BJ164:$BT164,,T164+1)*R164-ERP_i)*Q164*Ramure*Pc/MaxiM</f>
        <v>5.4010407736475476E-5</v>
      </c>
      <c r="Q164" s="305">
        <f t="shared" si="53"/>
        <v>0.5</v>
      </c>
      <c r="R164" s="177">
        <f t="shared" si="54"/>
        <v>0.16647614457339532</v>
      </c>
      <c r="S164" s="811">
        <f t="shared" si="55"/>
        <v>-1</v>
      </c>
      <c r="T164" s="176">
        <f t="shared" si="56"/>
        <v>5</v>
      </c>
      <c r="U164" s="251">
        <f t="shared" si="57"/>
        <v>-0.83352385542660468</v>
      </c>
      <c r="V164" s="383">
        <f t="shared" si="58"/>
        <v>57.089395333006721</v>
      </c>
      <c r="W164" s="402">
        <f t="shared" si="59"/>
        <v>47.580320053676026</v>
      </c>
      <c r="X164" s="157">
        <f t="shared" si="60"/>
        <v>46537</v>
      </c>
      <c r="Y164" s="385">
        <f t="shared" si="61"/>
        <v>45.748276180416923</v>
      </c>
      <c r="Z164" s="385">
        <f t="shared" si="62"/>
        <v>49.153669889494189</v>
      </c>
      <c r="AA164" s="386">
        <f t="shared" si="63"/>
        <v>53.11867156401695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7.4644217518585035E-2</v>
      </c>
      <c r="AD164" s="231">
        <f>(INDEX(Models!$BJ164:$BT164,,AH164)*(1-AF164)+INDEX(Models!$BJ164:$BT164,,AH164+1)*AF164-ERP_i)*AE164*Ramure*Pc/MaxiM</f>
        <v>5.2055594141879992E-4</v>
      </c>
      <c r="AE164" s="305">
        <f t="shared" si="65"/>
        <v>0.5</v>
      </c>
      <c r="AF164" s="177">
        <f t="shared" si="66"/>
        <v>0.69146371094737402</v>
      </c>
      <c r="AG164" s="811">
        <f t="shared" si="74"/>
        <v>2</v>
      </c>
      <c r="AH164" s="176">
        <f t="shared" si="67"/>
        <v>8</v>
      </c>
      <c r="AI164" s="225">
        <f t="shared" si="68"/>
        <v>2.691463710947374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'2026'!Wh/'2026'!Env_an*'2027'!Env_an</f>
        <v>50.529026819785884</v>
      </c>
      <c r="C165" s="841"/>
      <c r="D165" s="393">
        <f t="shared" si="50"/>
        <v>54.291477446174248</v>
      </c>
      <c r="E165" s="385">
        <f t="shared" si="72"/>
        <v>56.437470330068045</v>
      </c>
      <c r="F165" s="385">
        <f t="shared" si="51"/>
        <v>56.43983916591209</v>
      </c>
      <c r="G165" s="110">
        <f t="shared" si="73"/>
        <v>0.88504764427317939</v>
      </c>
      <c r="H165" s="414" t="b">
        <f>Wh_hp&gt;='2026'!Maxi_hp</f>
        <v>0</v>
      </c>
      <c r="I165" s="390">
        <f>IF(H165,Wh_hp,'2026'!Maxi_hp)</f>
        <v>63.126585406149495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6.9300943782908409E-2</v>
      </c>
      <c r="M165" s="845"/>
      <c r="N165" s="845"/>
      <c r="O165" s="48">
        <f>IF(t&lt;Tnet,'2026'!Resal+('2026'!Salim-'2026'!Resal)*(1-EXP(('2026'!Tnet-t)/('2026'!Tau_j))),Resal+(Salim-Resal)*(1-EXP((Tnet-t)/(Tau_j))))*Salcycl</f>
        <v>3.8024257135254355E-2</v>
      </c>
      <c r="P165" s="169">
        <f>(INDEX(Models!$BJ165:$BT165,,T165)*(1-R165)+INDEX(Models!$BJ165:$BT165,,T165+1)*R165-ERP_i)*Q165*Ramure*Pc/MaxiM</f>
        <v>5.021697937590406E-5</v>
      </c>
      <c r="Q165" s="305">
        <f t="shared" si="53"/>
        <v>0.5</v>
      </c>
      <c r="R165" s="177">
        <f t="shared" si="54"/>
        <v>0.17138954112302196</v>
      </c>
      <c r="S165" s="811">
        <f t="shared" si="55"/>
        <v>-1</v>
      </c>
      <c r="T165" s="176">
        <f t="shared" si="56"/>
        <v>5</v>
      </c>
      <c r="U165" s="251">
        <f t="shared" si="57"/>
        <v>-0.82861045887697804</v>
      </c>
      <c r="V165" s="383">
        <f t="shared" si="58"/>
        <v>57.091401200103341</v>
      </c>
      <c r="W165" s="402">
        <f t="shared" si="59"/>
        <v>50.529026819785884</v>
      </c>
      <c r="X165" s="157">
        <f t="shared" si="60"/>
        <v>46538</v>
      </c>
      <c r="Y165" s="385">
        <f t="shared" si="61"/>
        <v>48.582710399617767</v>
      </c>
      <c r="Z165" s="385">
        <f t="shared" si="62"/>
        <v>52.200236021605605</v>
      </c>
      <c r="AA165" s="386">
        <f t="shared" si="63"/>
        <v>56.416255404168787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7.4730578134961562E-2</v>
      </c>
      <c r="AD165" s="231">
        <f>(INDEX(Models!$BJ165:$BT165,,AH165)*(1-AF165)+INDEX(Models!$BJ165:$BT165,,AH165+1)*AF165-ERP_i)*AE165*Ramure*Pc/MaxiM</f>
        <v>4.9995244712544888E-4</v>
      </c>
      <c r="AE165" s="305">
        <f t="shared" si="65"/>
        <v>0.5</v>
      </c>
      <c r="AF165" s="177">
        <f t="shared" si="66"/>
        <v>0.69637710749700066</v>
      </c>
      <c r="AG165" s="811">
        <f t="shared" si="74"/>
        <v>2</v>
      </c>
      <c r="AH165" s="176">
        <f t="shared" si="67"/>
        <v>8</v>
      </c>
      <c r="AI165" s="225">
        <f t="shared" si="68"/>
        <v>2.6963771074970007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'2026'!Wh/'2026'!Env_an*'2027'!Env_an</f>
        <v>52.788202404754138</v>
      </c>
      <c r="C166" s="841"/>
      <c r="D166" s="393">
        <f t="shared" si="50"/>
        <v>56.720116212167866</v>
      </c>
      <c r="E166" s="385">
        <f t="shared" si="72"/>
        <v>58.967908574216487</v>
      </c>
      <c r="F166" s="385">
        <f t="shared" si="51"/>
        <v>58.970367259338317</v>
      </c>
      <c r="G166" s="110">
        <f t="shared" si="73"/>
        <v>0.92463740269420991</v>
      </c>
      <c r="H166" s="414" t="b">
        <f>Wh_hp&gt;='2026'!Maxi_hp</f>
        <v>0</v>
      </c>
      <c r="I166" s="390">
        <f>IF(H166,Wh_hp,'2026'!Maxi_hp)</f>
        <v>64.729267905613341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6.9321328480815736E-2</v>
      </c>
      <c r="M166" s="845"/>
      <c r="N166" s="845"/>
      <c r="O166" s="48">
        <f>IF(t&lt;Tnet,'2026'!Resal+('2026'!Salim-'2026'!Resal)*(1-EXP(('2026'!Tnet-t)/('2026'!Tau_j))),Resal+(Salim-Resal)*(1-EXP((Tnet-t)/(Tau_j))))*Salcycl</f>
        <v>3.8118909359309769E-2</v>
      </c>
      <c r="P166" s="169">
        <f>(INDEX(Models!$BJ166:$BT166,,T166)*(1-R166)+INDEX(Models!$BJ166:$BT166,,T166+1)*R166-ERP_i)*Q166*Ramure*Pc/MaxiM</f>
        <v>4.6723557374834417E-5</v>
      </c>
      <c r="Q166" s="305">
        <f t="shared" si="53"/>
        <v>0.5</v>
      </c>
      <c r="R166" s="177">
        <f t="shared" si="54"/>
        <v>0.17634401920010423</v>
      </c>
      <c r="S166" s="811">
        <f t="shared" si="55"/>
        <v>-1</v>
      </c>
      <c r="T166" s="176">
        <f t="shared" si="56"/>
        <v>5</v>
      </c>
      <c r="U166" s="251">
        <f t="shared" si="57"/>
        <v>-0.82365598079989577</v>
      </c>
      <c r="V166" s="383">
        <f t="shared" si="58"/>
        <v>57.090419137129658</v>
      </c>
      <c r="W166" s="402">
        <f t="shared" si="59"/>
        <v>52.788202404754138</v>
      </c>
      <c r="X166" s="157">
        <f t="shared" si="60"/>
        <v>46539</v>
      </c>
      <c r="Y166" s="385">
        <f t="shared" si="61"/>
        <v>50.754690129205045</v>
      </c>
      <c r="Z166" s="385">
        <f t="shared" si="62"/>
        <v>54.535138369890994</v>
      </c>
      <c r="AA166" s="386">
        <f t="shared" si="63"/>
        <v>58.945216315505633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7.4816553764254487E-2</v>
      </c>
      <c r="AD166" s="231">
        <f>(INDEX(Models!$BJ166:$BT166,,AH166)*(1-AF166)+INDEX(Models!$BJ166:$BT166,,AH166+1)*AF166-ERP_i)*AE166*Ramure*Pc/MaxiM</f>
        <v>4.7795529275506657E-4</v>
      </c>
      <c r="AE166" s="305">
        <f t="shared" si="65"/>
        <v>0.5</v>
      </c>
      <c r="AF166" s="177">
        <f t="shared" si="66"/>
        <v>0.70133158557408315</v>
      </c>
      <c r="AG166" s="811">
        <f t="shared" si="74"/>
        <v>2</v>
      </c>
      <c r="AH166" s="176">
        <f t="shared" si="67"/>
        <v>8</v>
      </c>
      <c r="AI166" s="225">
        <f t="shared" si="68"/>
        <v>2.7013315855740831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'2026'!Wh/'2026'!Env_an*'2027'!Env_an</f>
        <v>42.405413561385245</v>
      </c>
      <c r="C167" s="841"/>
      <c r="D167" s="393">
        <f t="shared" si="50"/>
        <v>45.564966370073314</v>
      </c>
      <c r="E167" s="385">
        <f t="shared" si="72"/>
        <v>47.375336948806122</v>
      </c>
      <c r="F167" s="385">
        <f t="shared" si="51"/>
        <v>47.376641910085226</v>
      </c>
      <c r="G167" s="110">
        <f t="shared" si="73"/>
        <v>0.74281734868643867</v>
      </c>
      <c r="H167" s="414" t="b">
        <f>Wh_hp&gt;='2026'!Maxi_hp</f>
        <v>0</v>
      </c>
      <c r="I167" s="390">
        <f>IF(H167,Wh_hp,'2026'!Maxi_hp)</f>
        <v>63.739845271535835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6.9341712732245875E-2</v>
      </c>
      <c r="M167" s="845"/>
      <c r="N167" s="845"/>
      <c r="O167" s="48">
        <f>IF(t&lt;Tnet,'2026'!Resal+('2026'!Salim-'2026'!Resal)*(1-EXP(('2026'!Tnet-t)/('2026'!Tau_j))),Resal+(Salim-Resal)*(1-EXP((Tnet-t)/(Tau_j))))*Salcycl</f>
        <v>3.8213355203976694E-2</v>
      </c>
      <c r="P167" s="169">
        <f>(INDEX(Models!$BJ167:$BT167,,T167)*(1-R167)+INDEX(Models!$BJ167:$BT167,,T167+1)*R167-ERP_i)*Q167*Ramure*Pc/MaxiM</f>
        <v>4.3540670217473344E-5</v>
      </c>
      <c r="Q167" s="305">
        <f t="shared" si="53"/>
        <v>0.5</v>
      </c>
      <c r="R167" s="177">
        <f t="shared" si="54"/>
        <v>0.18133586261451684</v>
      </c>
      <c r="S167" s="811">
        <f t="shared" si="55"/>
        <v>-1</v>
      </c>
      <c r="T167" s="176">
        <f t="shared" si="56"/>
        <v>5</v>
      </c>
      <c r="U167" s="251">
        <f t="shared" si="57"/>
        <v>-0.81866413738548316</v>
      </c>
      <c r="V167" s="383">
        <f t="shared" si="58"/>
        <v>57.086355467229978</v>
      </c>
      <c r="W167" s="402">
        <f t="shared" si="59"/>
        <v>42.405413561385245</v>
      </c>
      <c r="X167" s="157">
        <f t="shared" si="60"/>
        <v>46540</v>
      </c>
      <c r="Y167" s="385">
        <f t="shared" si="61"/>
        <v>40.777193616994431</v>
      </c>
      <c r="Z167" s="385">
        <f t="shared" si="62"/>
        <v>43.815430620307438</v>
      </c>
      <c r="AA167" s="386">
        <f t="shared" si="63"/>
        <v>47.363019332119613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7.4902081029415118E-2</v>
      </c>
      <c r="AD167" s="231">
        <f>(INDEX(Models!$BJ167:$BT167,,AH167)*(1-AF167)+INDEX(Models!$BJ167:$BT167,,AH167+1)*AF167-ERP_i)*AE167*Ramure*Pc/MaxiM</f>
        <v>4.5452396497233535E-4</v>
      </c>
      <c r="AE167" s="305">
        <f t="shared" si="65"/>
        <v>0.5</v>
      </c>
      <c r="AF167" s="177">
        <f t="shared" si="66"/>
        <v>0.70632342898849565</v>
      </c>
      <c r="AG167" s="811">
        <f t="shared" si="74"/>
        <v>2</v>
      </c>
      <c r="AH167" s="176">
        <f t="shared" si="67"/>
        <v>8</v>
      </c>
      <c r="AI167" s="225">
        <f t="shared" si="68"/>
        <v>2.7063234289884956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'2026'!Wh/'2026'!Env_an*'2027'!Env_an</f>
        <v>51.678583941281886</v>
      </c>
      <c r="C168" s="841"/>
      <c r="D168" s="393">
        <f t="shared" si="50"/>
        <v>55.530280626860467</v>
      </c>
      <c r="E168" s="385">
        <f t="shared" si="72"/>
        <v>57.742245248638248</v>
      </c>
      <c r="F168" s="385">
        <f t="shared" si="51"/>
        <v>57.744276735547089</v>
      </c>
      <c r="G168" s="110">
        <f t="shared" si="73"/>
        <v>0.90538016220124451</v>
      </c>
      <c r="H168" s="414" t="b">
        <f>Wh_hp&gt;='2026'!Maxi_hp</f>
        <v>0</v>
      </c>
      <c r="I168" s="390">
        <f>IF(H168,Wh_hp,'2026'!Maxi_hp)</f>
        <v>57.744547078545061</v>
      </c>
      <c r="J168" s="85">
        <f>IF(H168,An,'2026'!An_max)</f>
        <v>2025</v>
      </c>
      <c r="K168" s="197">
        <f t="shared" si="52"/>
        <v>46541</v>
      </c>
      <c r="L168" s="147">
        <f>IF(t&lt;Tvie,1-EXP((T0-t)*PertePVj)+'2026'!Pspv,1-EXP((T0-t)*PertePVj)+Pspv)</f>
        <v>6.9362096537208595E-2</v>
      </c>
      <c r="M168" s="845"/>
      <c r="N168" s="845"/>
      <c r="O168" s="48">
        <f>IF(t&lt;Tnet,'2026'!Resal+('2026'!Salim-'2026'!Resal)*(1-EXP(('2026'!Tnet-t)/('2026'!Tau_j))),Resal+(Salim-Resal)*(1-EXP((Tnet-t)/(Tau_j))))*Salcycl</f>
        <v>3.830756168647504E-2</v>
      </c>
      <c r="P168" s="169">
        <f>(INDEX(Models!$BJ168:$BT168,,T168)*(1-R168)+INDEX(Models!$BJ168:$BT168,,T168+1)*R168-ERP_i)*Q168*Ramure*Pc/MaxiM</f>
        <v>4.067910275054384E-5</v>
      </c>
      <c r="Q168" s="305">
        <f t="shared" si="53"/>
        <v>0.5</v>
      </c>
      <c r="R168" s="177">
        <f t="shared" si="54"/>
        <v>0.18636123539678873</v>
      </c>
      <c r="S168" s="811">
        <f t="shared" si="55"/>
        <v>-1</v>
      </c>
      <c r="T168" s="176">
        <f t="shared" si="56"/>
        <v>5</v>
      </c>
      <c r="U168" s="251">
        <f t="shared" si="57"/>
        <v>-0.81363876460321127</v>
      </c>
      <c r="V168" s="383">
        <f t="shared" si="58"/>
        <v>57.079116532116878</v>
      </c>
      <c r="W168" s="402">
        <f t="shared" si="59"/>
        <v>51.678583941281886</v>
      </c>
      <c r="X168" s="157">
        <f t="shared" si="60"/>
        <v>46541</v>
      </c>
      <c r="Y168" s="385">
        <f t="shared" si="61"/>
        <v>49.690810632992736</v>
      </c>
      <c r="Z168" s="385">
        <f t="shared" si="62"/>
        <v>53.394355041954796</v>
      </c>
      <c r="AA168" s="386">
        <f t="shared" si="63"/>
        <v>57.722821905464599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7.4987097314797621E-2</v>
      </c>
      <c r="AD168" s="231">
        <f>(INDEX(Models!$BJ168:$BT168,,AH168)*(1-AF168)+INDEX(Models!$BJ168:$BT168,,AH168+1)*AF168-ERP_i)*AE168*Ramure*Pc/MaxiM</f>
        <v>4.2961794812566519E-4</v>
      </c>
      <c r="AE168" s="305">
        <f t="shared" si="65"/>
        <v>0.5</v>
      </c>
      <c r="AF168" s="177">
        <f t="shared" si="66"/>
        <v>0.71134880177076765</v>
      </c>
      <c r="AG168" s="811">
        <f t="shared" si="74"/>
        <v>2</v>
      </c>
      <c r="AH168" s="176">
        <f t="shared" si="67"/>
        <v>8</v>
      </c>
      <c r="AI168" s="225">
        <f t="shared" si="68"/>
        <v>2.7113488017707676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'2026'!Wh/'2026'!Env_an*'2027'!Env_an</f>
        <v>23.336572997605074</v>
      </c>
      <c r="C169" s="841"/>
      <c r="D169" s="393">
        <f t="shared" si="50"/>
        <v>25.076438486769455</v>
      </c>
      <c r="E169" s="385">
        <f t="shared" si="72"/>
        <v>26.077867620324017</v>
      </c>
      <c r="F169" s="385">
        <f t="shared" si="51"/>
        <v>26.078022424526701</v>
      </c>
      <c r="G169" s="110">
        <f t="shared" si="73"/>
        <v>0.40890818565326192</v>
      </c>
      <c r="H169" s="414" t="b">
        <f>Wh_hp&gt;='2026'!Maxi_hp</f>
        <v>0</v>
      </c>
      <c r="I169" s="390">
        <f>IF(H169,Wh_hp,'2026'!Maxi_hp)</f>
        <v>59.953702782585943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6.9382479895713556E-2</v>
      </c>
      <c r="M169" s="845"/>
      <c r="N169" s="845"/>
      <c r="O169" s="48">
        <f>IF(t&lt;Tnet,'2026'!Resal+('2026'!Salim-'2026'!Resal)*(1-EXP(('2026'!Tnet-t)/('2026'!Tau_j))),Resal+(Salim-Resal)*(1-EXP((Tnet-t)/(Tau_j))))*Salcycl</f>
        <v>3.8401496170418874E-2</v>
      </c>
      <c r="P169" s="169">
        <f>(INDEX(Models!$BJ169:$BT169,,T169)*(1-R169)+INDEX(Models!$BJ169:$BT169,,T169+1)*R169-ERP_i)*Q169*Ramure*Pc/MaxiM</f>
        <v>3.8149871788796321E-5</v>
      </c>
      <c r="Q169" s="305">
        <f t="shared" si="53"/>
        <v>0.5</v>
      </c>
      <c r="R169" s="177">
        <f t="shared" si="54"/>
        <v>0.19141619292644851</v>
      </c>
      <c r="S169" s="811">
        <f t="shared" si="55"/>
        <v>-1</v>
      </c>
      <c r="T169" s="176">
        <f t="shared" si="56"/>
        <v>5</v>
      </c>
      <c r="U169" s="251">
        <f t="shared" si="57"/>
        <v>-0.80858380707355149</v>
      </c>
      <c r="V169" s="383">
        <f t="shared" si="58"/>
        <v>57.068608687841895</v>
      </c>
      <c r="W169" s="402">
        <f t="shared" si="59"/>
        <v>23.336572997605074</v>
      </c>
      <c r="X169" s="157">
        <f t="shared" si="60"/>
        <v>46542</v>
      </c>
      <c r="Y169" s="385">
        <f t="shared" si="61"/>
        <v>22.44537024079278</v>
      </c>
      <c r="Z169" s="385">
        <f t="shared" si="62"/>
        <v>24.118791830050135</v>
      </c>
      <c r="AA169" s="386">
        <f t="shared" si="63"/>
        <v>26.076386336175958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7.50715410060495E-2</v>
      </c>
      <c r="AD169" s="231">
        <f>(INDEX(Models!$BJ169:$BT169,,AH169)*(1-AF169)+INDEX(Models!$BJ169:$BT169,,AH169+1)*AF169-ERP_i)*AE169*Ramure*Pc/MaxiM</f>
        <v>4.0319681077211056E-4</v>
      </c>
      <c r="AE169" s="305">
        <f t="shared" si="65"/>
        <v>0.5</v>
      </c>
      <c r="AF169" s="177">
        <f t="shared" si="66"/>
        <v>0.71640375930042755</v>
      </c>
      <c r="AG169" s="811">
        <f t="shared" si="74"/>
        <v>2</v>
      </c>
      <c r="AH169" s="176">
        <f t="shared" si="67"/>
        <v>8</v>
      </c>
      <c r="AI169" s="225">
        <f t="shared" si="68"/>
        <v>2.7164037593004275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'2026'!Wh/'2026'!Env_an*'2027'!Env_an</f>
        <v>32.191973603599777</v>
      </c>
      <c r="C170" s="841"/>
      <c r="D170" s="393">
        <f t="shared" si="50"/>
        <v>34.592813922390164</v>
      </c>
      <c r="E170" s="385">
        <f t="shared" ref="E170:E232" si="75">Wh_pvt/(1-Psa)</f>
        <v>35.977783239092318</v>
      </c>
      <c r="F170" s="385">
        <f t="shared" si="51"/>
        <v>35.978272135733015</v>
      </c>
      <c r="G170" s="110">
        <f t="shared" ref="G170:G232" si="76">+Wh_hp/MaxiM</f>
        <v>0.56421700008488296</v>
      </c>
      <c r="H170" s="414" t="b">
        <f>Wh_hp&gt;='2026'!Maxi_hp</f>
        <v>0</v>
      </c>
      <c r="I170" s="390">
        <f>IF(H170,Wh_hp,'2026'!Maxi_hp)</f>
        <v>43.180770881481472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6.9402862807770749E-2</v>
      </c>
      <c r="M170" s="845"/>
      <c r="N170" s="845"/>
      <c r="O170" s="48">
        <f>IF(t&lt;Tnet,'2026'!Resal+('2026'!Salim-'2026'!Resal)*(1-EXP(('2026'!Tnet-t)/('2026'!Tau_j))),Resal+(Salim-Resal)*(1-EXP((Tnet-t)/(Tau_j))))*Salcycl</f>
        <v>3.8495126492320696E-2</v>
      </c>
      <c r="P170" s="169">
        <f>(INDEX(Models!$BJ170:$BT170,,T170)*(1-R170)+INDEX(Models!$BJ170:$BT170,,T170+1)*R170-ERP_i)*Q170*Ramure*Pc/MaxiM</f>
        <v>3.5999233144025175E-5</v>
      </c>
      <c r="Q170" s="305">
        <f t="shared" si="53"/>
        <v>0.5</v>
      </c>
      <c r="R170" s="177">
        <f t="shared" si="54"/>
        <v>0.19649669379672052</v>
      </c>
      <c r="S170" s="811">
        <f t="shared" si="55"/>
        <v>-1</v>
      </c>
      <c r="T170" s="176">
        <f t="shared" si="56"/>
        <v>5</v>
      </c>
      <c r="U170" s="251">
        <f t="shared" si="57"/>
        <v>-0.80350330620327948</v>
      </c>
      <c r="V170" s="383">
        <f t="shared" si="58"/>
        <v>57.054736295597969</v>
      </c>
      <c r="W170" s="402">
        <f t="shared" si="59"/>
        <v>32.191973603599777</v>
      </c>
      <c r="X170" s="157">
        <f t="shared" si="60"/>
        <v>46543</v>
      </c>
      <c r="Y170" s="385">
        <f t="shared" si="61"/>
        <v>30.9605785432605</v>
      </c>
      <c r="Z170" s="385">
        <f t="shared" si="62"/>
        <v>33.269582836536401</v>
      </c>
      <c r="AA170" s="386">
        <f t="shared" si="63"/>
        <v>35.973158193360909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7.5155351728986505E-2</v>
      </c>
      <c r="AD170" s="231">
        <f>(INDEX(Models!$BJ170:$BT170,,AH170)*(1-AF170)+INDEX(Models!$BJ170:$BT170,,AH170+1)*AF170-ERP_i)*AE170*Ramure*Pc/MaxiM</f>
        <v>3.7655812786250334E-4</v>
      </c>
      <c r="AE170" s="305">
        <f t="shared" si="65"/>
        <v>0.5</v>
      </c>
      <c r="AF170" s="177">
        <f t="shared" si="66"/>
        <v>0.72148426017069944</v>
      </c>
      <c r="AG170" s="811">
        <f t="shared" si="74"/>
        <v>2</v>
      </c>
      <c r="AH170" s="176">
        <f t="shared" si="67"/>
        <v>8</v>
      </c>
      <c r="AI170" s="225">
        <f t="shared" si="68"/>
        <v>2.7214842601706994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'2026'!Wh/'2026'!Env_an*'2027'!Env_an</f>
        <v>45.337817254333373</v>
      </c>
      <c r="C171" s="841"/>
      <c r="D171" s="393">
        <f t="shared" si="50"/>
        <v>48.720126549532139</v>
      </c>
      <c r="E171" s="385">
        <f t="shared" si="75"/>
        <v>50.675618661315049</v>
      </c>
      <c r="F171" s="385">
        <f t="shared" si="51"/>
        <v>50.67684035440611</v>
      </c>
      <c r="G171" s="110">
        <f t="shared" si="76"/>
        <v>0.79487061784916957</v>
      </c>
      <c r="H171" s="414" t="b">
        <f>Wh_hp&gt;='2026'!Maxi_hp</f>
        <v>0</v>
      </c>
      <c r="I171" s="390">
        <f>IF(H171,Wh_hp,'2026'!Maxi_hp)</f>
        <v>62.343880742671914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6.9423245273389944E-2</v>
      </c>
      <c r="M171" s="845"/>
      <c r="N171" s="845"/>
      <c r="O171" s="48">
        <f>IF(t&lt;Tnet,'2026'!Resal+('2026'!Salim-'2026'!Resal)*(1-EXP(('2026'!Tnet-t)/('2026'!Tau_j))),Resal+(Salim-Resal)*(1-EXP((Tnet-t)/(Tau_j))))*Salcycl</f>
        <v>3.8588421087707492E-2</v>
      </c>
      <c r="P171" s="169">
        <f>(INDEX(Models!$BJ171:$BT171,,T171)*(1-R171)+INDEX(Models!$BJ171:$BT171,,T171+1)*R171-ERP_i)*Q171*Ramure*Pc/MaxiM</f>
        <v>3.4099812345728012E-5</v>
      </c>
      <c r="Q171" s="305">
        <f t="shared" si="53"/>
        <v>0.5</v>
      </c>
      <c r="R171" s="177">
        <f t="shared" si="54"/>
        <v>0.20159861234386045</v>
      </c>
      <c r="S171" s="811">
        <f t="shared" si="55"/>
        <v>-1</v>
      </c>
      <c r="T171" s="176">
        <f t="shared" si="56"/>
        <v>5</v>
      </c>
      <c r="U171" s="251">
        <f t="shared" si="57"/>
        <v>-0.79840138765613955</v>
      </c>
      <c r="V171" s="383">
        <f t="shared" si="58"/>
        <v>57.037413632797517</v>
      </c>
      <c r="W171" s="402">
        <f t="shared" si="59"/>
        <v>45.337817254333373</v>
      </c>
      <c r="X171" s="157">
        <f t="shared" si="60"/>
        <v>46544</v>
      </c>
      <c r="Y171" s="385">
        <f t="shared" si="61"/>
        <v>43.599693115819427</v>
      </c>
      <c r="Z171" s="385">
        <f t="shared" si="62"/>
        <v>46.852334204961295</v>
      </c>
      <c r="AA171" s="386">
        <f t="shared" si="63"/>
        <v>50.664233658859089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7.5238470585871464E-2</v>
      </c>
      <c r="AD171" s="231">
        <f>(INDEX(Models!$BJ171:$BT171,,AH171)*(1-AF171)+INDEX(Models!$BJ171:$BT171,,AH171+1)*AF171-ERP_i)*AE171*Ramure*Pc/MaxiM</f>
        <v>3.5187720680364908E-4</v>
      </c>
      <c r="AE171" s="305">
        <f t="shared" si="65"/>
        <v>0.5</v>
      </c>
      <c r="AF171" s="177">
        <f t="shared" si="66"/>
        <v>0.72658617871783937</v>
      </c>
      <c r="AG171" s="811">
        <f t="shared" si="74"/>
        <v>2</v>
      </c>
      <c r="AH171" s="176">
        <f t="shared" si="67"/>
        <v>8</v>
      </c>
      <c r="AI171" s="225">
        <f t="shared" si="68"/>
        <v>2.7265861787178394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'2026'!Wh/'2026'!Env_an*'2027'!Env_an</f>
        <v>23.635773502667984</v>
      </c>
      <c r="C172" s="841"/>
      <c r="D172" s="393">
        <f t="shared" si="50"/>
        <v>25.39961489264812</v>
      </c>
      <c r="E172" s="385">
        <f t="shared" si="75"/>
        <v>26.421639556552538</v>
      </c>
      <c r="F172" s="385">
        <f t="shared" si="51"/>
        <v>26.421779901545484</v>
      </c>
      <c r="G172" s="110">
        <f t="shared" si="76"/>
        <v>0.414531096285637</v>
      </c>
      <c r="H172" s="414" t="b">
        <f>Wh_hp&gt;='2026'!Maxi_hp</f>
        <v>0</v>
      </c>
      <c r="I172" s="390">
        <f>IF(H172,Wh_hp,'2026'!Maxi_hp)</f>
        <v>54.813719171232592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6.944362729258069E-2</v>
      </c>
      <c r="M172" s="845"/>
      <c r="N172" s="845"/>
      <c r="O172" s="48">
        <f>IF(t&lt;Tnet,'2026'!Resal+('2026'!Salim-'2026'!Resal)*(1-EXP(('2026'!Tnet-t)/('2026'!Tau_j))),Resal+(Salim-Resal)*(1-EXP((Tnet-t)/(Tau_j))))*Salcycl</f>
        <v>3.8681349116011086E-2</v>
      </c>
      <c r="P172" s="169">
        <f>(INDEX(Models!$BJ172:$BT172,,T172)*(1-R172)+INDEX(Models!$BJ172:$BT172,,T172+1)*R172-ERP_i)*Q172*Ramure*Pc/MaxiM</f>
        <v>3.2461366620850174E-5</v>
      </c>
      <c r="Q172" s="305">
        <f t="shared" si="53"/>
        <v>0.5</v>
      </c>
      <c r="R172" s="177">
        <f t="shared" si="54"/>
        <v>0.2067177517616865</v>
      </c>
      <c r="S172" s="811">
        <f t="shared" si="55"/>
        <v>-1</v>
      </c>
      <c r="T172" s="176">
        <f t="shared" si="56"/>
        <v>5</v>
      </c>
      <c r="U172" s="251">
        <f t="shared" si="57"/>
        <v>-0.7932822482383135</v>
      </c>
      <c r="V172" s="383">
        <f t="shared" si="58"/>
        <v>57.016547149414166</v>
      </c>
      <c r="W172" s="402">
        <f t="shared" si="59"/>
        <v>23.635773502667984</v>
      </c>
      <c r="X172" s="157">
        <f t="shared" si="60"/>
        <v>46545</v>
      </c>
      <c r="Y172" s="385">
        <f t="shared" si="61"/>
        <v>22.733820804480136</v>
      </c>
      <c r="Z172" s="385">
        <f t="shared" si="62"/>
        <v>24.430353142751496</v>
      </c>
      <c r="AA172" s="386">
        <f t="shared" si="63"/>
        <v>26.420356605624608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7.5320840387501128E-2</v>
      </c>
      <c r="AD172" s="231">
        <f>(INDEX(Models!$BJ172:$BT172,,AH172)*(1-AF172)+INDEX(Models!$BJ172:$BT172,,AH172+1)*AF172-ERP_i)*AE172*Ramure*Pc/MaxiM</f>
        <v>3.2920398317723301E-4</v>
      </c>
      <c r="AE172" s="305">
        <f t="shared" si="65"/>
        <v>0.5</v>
      </c>
      <c r="AF172" s="177">
        <f t="shared" si="66"/>
        <v>0.73170531813566519</v>
      </c>
      <c r="AG172" s="811">
        <f t="shared" si="74"/>
        <v>2</v>
      </c>
      <c r="AH172" s="176">
        <f t="shared" si="67"/>
        <v>8</v>
      </c>
      <c r="AI172" s="225">
        <f t="shared" si="68"/>
        <v>2.7317053181356652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'2026'!Wh/'2026'!Env_an*'2027'!Env_an</f>
        <v>19.323493401156583</v>
      </c>
      <c r="C173" s="841"/>
      <c r="D173" s="393">
        <f t="shared" si="50"/>
        <v>20.765981740904532</v>
      </c>
      <c r="E173" s="385">
        <f t="shared" si="75"/>
        <v>21.60363864592841</v>
      </c>
      <c r="F173" s="385">
        <f t="shared" si="51"/>
        <v>21.603676125194973</v>
      </c>
      <c r="G173" s="110">
        <f t="shared" si="76"/>
        <v>0.3390460311914425</v>
      </c>
      <c r="H173" s="414" t="b">
        <f>Wh_hp&gt;='2026'!Maxi_hp</f>
        <v>0</v>
      </c>
      <c r="I173" s="390">
        <f>IF(H173,Wh_hp,'2026'!Maxi_hp)</f>
        <v>64.469263284236831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6.9464008865352977E-2</v>
      </c>
      <c r="M173" s="845"/>
      <c r="N173" s="845"/>
      <c r="O173" s="48">
        <f>IF(t&lt;Tnet,'2026'!Resal+('2026'!Salim-'2026'!Resal)*(1-EXP(('2026'!Tnet-t)/('2026'!Tau_j))),Resal+(Salim-Resal)*(1-EXP((Tnet-t)/(Tau_j))))*Salcycl</f>
        <v>3.87738805833873E-2</v>
      </c>
      <c r="P173" s="169">
        <f>(INDEX(Models!$BJ173:$BT173,,T173)*(1-R173)+INDEX(Models!$BJ173:$BT173,,T173+1)*R173-ERP_i)*Q173*Ramure*Pc/MaxiM</f>
        <v>3.1093804555834487E-5</v>
      </c>
      <c r="Q173" s="305">
        <f t="shared" si="53"/>
        <v>0.5</v>
      </c>
      <c r="R173" s="177">
        <f t="shared" si="54"/>
        <v>0.2118498577149529</v>
      </c>
      <c r="S173" s="811">
        <f t="shared" si="55"/>
        <v>-1</v>
      </c>
      <c r="T173" s="176">
        <f t="shared" si="56"/>
        <v>5</v>
      </c>
      <c r="U173" s="251">
        <f t="shared" si="57"/>
        <v>-0.7881501422850471</v>
      </c>
      <c r="V173" s="383">
        <f t="shared" si="58"/>
        <v>56.992043277487781</v>
      </c>
      <c r="W173" s="402">
        <f t="shared" si="59"/>
        <v>19.323493401156583</v>
      </c>
      <c r="X173" s="157">
        <f t="shared" si="60"/>
        <v>46546</v>
      </c>
      <c r="Y173" s="385">
        <f t="shared" si="61"/>
        <v>18.586863723045923</v>
      </c>
      <c r="Z173" s="385">
        <f t="shared" si="62"/>
        <v>19.974363055406457</v>
      </c>
      <c r="AA173" s="386">
        <f t="shared" si="63"/>
        <v>21.603304164344845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7.5402405879507611E-2</v>
      </c>
      <c r="AD173" s="231">
        <f>(INDEX(Models!$BJ173:$BT173,,AH173)*(1-AF173)+INDEX(Models!$BJ173:$BT173,,AH173+1)*AF173-ERP_i)*AE173*Ramure*Pc/MaxiM</f>
        <v>3.0858869549691586E-4</v>
      </c>
      <c r="AE173" s="305">
        <f t="shared" si="65"/>
        <v>0.5</v>
      </c>
      <c r="AF173" s="177">
        <f t="shared" si="66"/>
        <v>0.73683742408893194</v>
      </c>
      <c r="AG173" s="811">
        <f t="shared" si="74"/>
        <v>2</v>
      </c>
      <c r="AH173" s="176">
        <f t="shared" si="67"/>
        <v>8</v>
      </c>
      <c r="AI173" s="225">
        <f t="shared" si="68"/>
        <v>2.7368374240889319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'2026'!Wh/'2026'!Env_an*'2027'!Env_an</f>
        <v>44.157506807664383</v>
      </c>
      <c r="C174" s="841"/>
      <c r="D174" s="393">
        <f t="shared" si="50"/>
        <v>47.454880211274791</v>
      </c>
      <c r="E174" s="385">
        <f t="shared" si="75"/>
        <v>49.373843338059217</v>
      </c>
      <c r="F174" s="385">
        <f t="shared" si="51"/>
        <v>49.3748491010968</v>
      </c>
      <c r="G174" s="110">
        <f t="shared" si="76"/>
        <v>0.77517782720736028</v>
      </c>
      <c r="H174" s="414" t="b">
        <f>Wh_hp&gt;='2026'!Maxi_hp</f>
        <v>0</v>
      </c>
      <c r="I174" s="390">
        <f>IF(H174,Wh_hp,'2026'!Maxi_hp)</f>
        <v>60.601331416290115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6.9484389991716466E-2</v>
      </c>
      <c r="M174" s="845"/>
      <c r="N174" s="845"/>
      <c r="O174" s="48">
        <f>IF(t&lt;Tnet,'2026'!Resal+('2026'!Salim-'2026'!Resal)*(1-EXP(('2026'!Tnet-t)/('2026'!Tau_j))),Resal+(Salim-Resal)*(1-EXP((Tnet-t)/(Tau_j))))*Salcycl</f>
        <v>3.8865986462617977E-2</v>
      </c>
      <c r="P174" s="169">
        <f>(INDEX(Models!$BJ174:$BT174,,T174)*(1-R174)+INDEX(Models!$BJ174:$BT174,,T174+1)*R174-ERP_i)*Q174*Ramure*Pc/MaxiM</f>
        <v>3.0007162789156445E-5</v>
      </c>
      <c r="Q174" s="305">
        <f t="shared" si="53"/>
        <v>0.5</v>
      </c>
      <c r="R174" s="177">
        <f t="shared" si="54"/>
        <v>0.21699063235925875</v>
      </c>
      <c r="S174" s="811">
        <f t="shared" si="55"/>
        <v>-1</v>
      </c>
      <c r="T174" s="176">
        <f t="shared" si="56"/>
        <v>5</v>
      </c>
      <c r="U174" s="251">
        <f t="shared" si="57"/>
        <v>-0.78300936764074125</v>
      </c>
      <c r="V174" s="383">
        <f t="shared" si="58"/>
        <v>56.963808423976467</v>
      </c>
      <c r="W174" s="402">
        <f t="shared" si="59"/>
        <v>44.157506807664383</v>
      </c>
      <c r="X174" s="157">
        <f t="shared" si="60"/>
        <v>46547</v>
      </c>
      <c r="Y174" s="385">
        <f t="shared" si="61"/>
        <v>42.467702220906652</v>
      </c>
      <c r="Z174" s="385">
        <f t="shared" si="62"/>
        <v>45.638892850522517</v>
      </c>
      <c r="AA174" s="386">
        <f t="shared" si="63"/>
        <v>49.365126305126068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7.5483113961295076E-2</v>
      </c>
      <c r="AD174" s="231">
        <f>(INDEX(Models!$BJ174:$BT174,,AH174)*(1-AF174)+INDEX(Models!$BJ174:$BT174,,AH174+1)*AF174-ERP_i)*AE174*Ramure*Pc/MaxiM</f>
        <v>2.9008176932196781E-4</v>
      </c>
      <c r="AE174" s="305">
        <f t="shared" si="65"/>
        <v>0.5</v>
      </c>
      <c r="AF174" s="177">
        <f t="shared" si="66"/>
        <v>0.74197819873323789</v>
      </c>
      <c r="AG174" s="811">
        <f t="shared" si="74"/>
        <v>2</v>
      </c>
      <c r="AH174" s="176">
        <f t="shared" si="67"/>
        <v>8</v>
      </c>
      <c r="AI174" s="225">
        <f t="shared" si="68"/>
        <v>2.7419781987332379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'2026'!Wh/'2026'!Env_an*'2027'!Env_an</f>
        <v>53.888466639594583</v>
      </c>
      <c r="C175" s="841"/>
      <c r="D175" s="393">
        <f t="shared" si="50"/>
        <v>57.913748443927162</v>
      </c>
      <c r="E175" s="385">
        <f t="shared" si="75"/>
        <v>60.261389906030061</v>
      </c>
      <c r="F175" s="385">
        <f t="shared" si="51"/>
        <v>60.263015854284106</v>
      </c>
      <c r="G175" s="110">
        <f t="shared" si="76"/>
        <v>0.94654296427538598</v>
      </c>
      <c r="H175" s="414" t="b">
        <f>Wh_hp&gt;='2026'!Maxi_hp</f>
        <v>0</v>
      </c>
      <c r="I175" s="390">
        <f>IF(H175,Wh_hp,'2026'!Maxi_hp)</f>
        <v>61.199848181326935</v>
      </c>
      <c r="J175" s="85">
        <f>IF(H175,An,'2026'!An_max)</f>
        <v>2021</v>
      </c>
      <c r="K175" s="197">
        <f t="shared" si="52"/>
        <v>46548</v>
      </c>
      <c r="L175" s="147">
        <f>IF(t&lt;Tvie,1-EXP((T0-t)*PertePVj)+'2026'!Pspv,1-EXP((T0-t)*PertePVj)+Pspv)</f>
        <v>6.9504770671681038E-2</v>
      </c>
      <c r="M175" s="845"/>
      <c r="N175" s="845"/>
      <c r="O175" s="48">
        <f>IF(t&lt;Tnet,'2026'!Resal+('2026'!Salim-'2026'!Resal)*(1-EXP(('2026'!Tnet-t)/('2026'!Tau_j))),Resal+(Salim-Resal)*(1-EXP((Tnet-t)/(Tau_j))))*Salcycl</f>
        <v>3.8957638809256602E-2</v>
      </c>
      <c r="P175" s="169">
        <f>(INDEX(Models!$BJ175:$BT175,,T175)*(1-R175)+INDEX(Models!$BJ175:$BT175,,T175+1)*R175-ERP_i)*Q175*Ramure*Pc/MaxiM</f>
        <v>2.9211582808272287E-5</v>
      </c>
      <c r="Q175" s="305">
        <f t="shared" si="53"/>
        <v>0.5</v>
      </c>
      <c r="R175" s="177">
        <f t="shared" si="54"/>
        <v>0.22213574867027031</v>
      </c>
      <c r="S175" s="811">
        <f t="shared" si="55"/>
        <v>-1</v>
      </c>
      <c r="T175" s="176">
        <f t="shared" si="56"/>
        <v>5</v>
      </c>
      <c r="U175" s="251">
        <f t="shared" si="57"/>
        <v>-0.77786425132972969</v>
      </c>
      <c r="V175" s="383">
        <f t="shared" si="58"/>
        <v>56.931748964618436</v>
      </c>
      <c r="W175" s="402">
        <f t="shared" si="59"/>
        <v>53.888466639594583</v>
      </c>
      <c r="X175" s="157">
        <f t="shared" si="60"/>
        <v>46548</v>
      </c>
      <c r="Y175" s="385">
        <f t="shared" si="61"/>
        <v>51.824193976203652</v>
      </c>
      <c r="Z175" s="385">
        <f t="shared" si="62"/>
        <v>55.69528176260841</v>
      </c>
      <c r="AA175" s="386">
        <f t="shared" si="63"/>
        <v>60.247779540452555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7.5562913896062123E-2</v>
      </c>
      <c r="AD175" s="231">
        <f>(INDEX(Models!$BJ175:$BT175,,AH175)*(1-AF175)+INDEX(Models!$BJ175:$BT175,,AH175+1)*AF175-ERP_i)*AE175*Ramure*Pc/MaxiM</f>
        <v>2.7373370713181444E-4</v>
      </c>
      <c r="AE175" s="305">
        <f t="shared" si="65"/>
        <v>0.5</v>
      </c>
      <c r="AF175" s="177">
        <f t="shared" si="66"/>
        <v>0.74712331504424911</v>
      </c>
      <c r="AG175" s="811">
        <f t="shared" si="74"/>
        <v>2</v>
      </c>
      <c r="AH175" s="176">
        <f t="shared" si="67"/>
        <v>8</v>
      </c>
      <c r="AI175" s="225">
        <f t="shared" si="68"/>
        <v>2.7471233150442491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'2026'!Wh/'2026'!Env_an*'2027'!Env_an</f>
        <v>52.690262527437447</v>
      </c>
      <c r="C176" s="841"/>
      <c r="D176" s="393">
        <f t="shared" si="50"/>
        <v>56.627282917641089</v>
      </c>
      <c r="E176" s="385">
        <f t="shared" si="75"/>
        <v>58.928365517812551</v>
      </c>
      <c r="F176" s="385">
        <f t="shared" si="51"/>
        <v>58.929879126217081</v>
      </c>
      <c r="G176" s="110">
        <f t="shared" si="76"/>
        <v>0.92608117607595053</v>
      </c>
      <c r="H176" s="414" t="b">
        <f>Wh_hp&gt;='2026'!Maxi_hp</f>
        <v>0</v>
      </c>
      <c r="I176" s="390">
        <f>IF(H176,Wh_hp,'2026'!Maxi_hp)</f>
        <v>58.930026321122149</v>
      </c>
      <c r="J176" s="85">
        <f>IF(H176,An,'2026'!An_max)</f>
        <v>2025</v>
      </c>
      <c r="K176" s="197">
        <f t="shared" si="52"/>
        <v>46549</v>
      </c>
      <c r="L176" s="147">
        <f>IF(t&lt;Tvie,1-EXP((T0-t)*PertePVj)+'2026'!Pspv,1-EXP((T0-t)*PertePVj)+Pspv)</f>
        <v>6.952515090525635E-2</v>
      </c>
      <c r="M176" s="845"/>
      <c r="N176" s="845"/>
      <c r="O176" s="48">
        <f>IF(t&lt;Tnet,'2026'!Resal+('2026'!Salim-'2026'!Resal)*(1-EXP(('2026'!Tnet-t)/('2026'!Tau_j))),Resal+(Salim-Resal)*(1-EXP((Tnet-t)/(Tau_j))))*Salcycl</f>
        <v>3.9048810873193243E-2</v>
      </c>
      <c r="P176" s="169">
        <f>(INDEX(Models!$BJ176:$BT176,,T176)*(1-R176)+INDEX(Models!$BJ176:$BT176,,T176+1)*R176-ERP_i)*Q176*Ramure*Pc/MaxiM</f>
        <v>2.8717288145670901E-5</v>
      </c>
      <c r="Q176" s="305">
        <f t="shared" si="53"/>
        <v>0.5</v>
      </c>
      <c r="R176" s="177">
        <f t="shared" si="54"/>
        <v>0.22728086498128186</v>
      </c>
      <c r="S176" s="811">
        <f t="shared" si="55"/>
        <v>-1</v>
      </c>
      <c r="T176" s="176">
        <f t="shared" si="56"/>
        <v>5</v>
      </c>
      <c r="U176" s="251">
        <f t="shared" si="57"/>
        <v>-0.77271913501871814</v>
      </c>
      <c r="V176" s="383">
        <f t="shared" si="58"/>
        <v>56.895771242843622</v>
      </c>
      <c r="W176" s="402">
        <f t="shared" si="59"/>
        <v>52.690262527437447</v>
      </c>
      <c r="X176" s="157">
        <f t="shared" si="60"/>
        <v>46549</v>
      </c>
      <c r="Y176" s="385">
        <f t="shared" si="61"/>
        <v>50.673355030127574</v>
      </c>
      <c r="Z176" s="385">
        <f t="shared" si="62"/>
        <v>54.45967194000734</v>
      </c>
      <c r="AA176" s="386">
        <f t="shared" si="63"/>
        <v>58.916196596386499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7.564175751040407E-2</v>
      </c>
      <c r="AD176" s="231">
        <f>(INDEX(Models!$BJ176:$BT176,,AH176)*(1-AF176)+INDEX(Models!$BJ176:$BT176,,AH176+1)*AF176-ERP_i)*AE176*Ramure*Pc/MaxiM</f>
        <v>2.5959498542177931E-4</v>
      </c>
      <c r="AE176" s="305">
        <f t="shared" si="65"/>
        <v>0.5</v>
      </c>
      <c r="AF176" s="177">
        <f t="shared" si="66"/>
        <v>0.75226843135526078</v>
      </c>
      <c r="AG176" s="811">
        <f t="shared" si="74"/>
        <v>2</v>
      </c>
      <c r="AH176" s="176">
        <f t="shared" si="67"/>
        <v>8</v>
      </c>
      <c r="AI176" s="225">
        <f t="shared" si="68"/>
        <v>2.7522684313552608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'2026'!Wh/'2026'!Env_an*'2027'!Env_an</f>
        <v>40.316714674957765</v>
      </c>
      <c r="C177" s="841"/>
      <c r="D177" s="393">
        <f t="shared" si="50"/>
        <v>43.330131677439105</v>
      </c>
      <c r="E177" s="385">
        <f t="shared" si="75"/>
        <v>45.095131550821563</v>
      </c>
      <c r="F177" s="385">
        <f t="shared" si="51"/>
        <v>45.095883618875128</v>
      </c>
      <c r="G177" s="110">
        <f t="shared" si="76"/>
        <v>0.7091038980143356</v>
      </c>
      <c r="H177" s="414" t="b">
        <f>Wh_hp&gt;='2026'!Maxi_hp</f>
        <v>0</v>
      </c>
      <c r="I177" s="390">
        <f>IF(H177,Wh_hp,'2026'!Maxi_hp)</f>
        <v>58.244062693126686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6.9545530692452284E-2</v>
      </c>
      <c r="M177" s="845"/>
      <c r="N177" s="845"/>
      <c r="O177" s="48">
        <f>IF(t&lt;Tnet,'2026'!Resal+('2026'!Salim-'2026'!Resal)*(1-EXP(('2026'!Tnet-t)/('2026'!Tau_j))),Resal+(Salim-Resal)*(1-EXP((Tnet-t)/(Tau_j))))*Salcycl</f>
        <v>3.9139477204835856E-2</v>
      </c>
      <c r="P177" s="169">
        <f>(INDEX(Models!$BJ177:$BT177,,T177)*(1-R177)+INDEX(Models!$BJ177:$BT177,,T177+1)*R177-ERP_i)*Q177*Ramure*Pc/MaxiM</f>
        <v>2.8534859348783581E-5</v>
      </c>
      <c r="Q177" s="305">
        <f t="shared" si="53"/>
        <v>0.5</v>
      </c>
      <c r="R177" s="177">
        <f t="shared" si="54"/>
        <v>0.23242163962558782</v>
      </c>
      <c r="S177" s="811">
        <f t="shared" si="55"/>
        <v>-1</v>
      </c>
      <c r="T177" s="176">
        <f t="shared" si="56"/>
        <v>5</v>
      </c>
      <c r="U177" s="251">
        <f t="shared" si="57"/>
        <v>-0.76757836037441218</v>
      </c>
      <c r="V177" s="383">
        <f t="shared" si="58"/>
        <v>56.855189646434695</v>
      </c>
      <c r="W177" s="402">
        <f t="shared" si="59"/>
        <v>40.316714674957765</v>
      </c>
      <c r="X177" s="157">
        <f t="shared" si="60"/>
        <v>46550</v>
      </c>
      <c r="Y177" s="385">
        <f t="shared" si="61"/>
        <v>38.77688246784988</v>
      </c>
      <c r="Z177" s="385">
        <f t="shared" si="62"/>
        <v>41.675206844573459</v>
      </c>
      <c r="AA177" s="386">
        <f t="shared" si="63"/>
        <v>45.089354720396877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7.5719599382046143E-2</v>
      </c>
      <c r="AD177" s="231">
        <f>(INDEX(Models!$BJ177:$BT177,,AH177)*(1-AF177)+INDEX(Models!$BJ177:$BT177,,AH177+1)*AF177-ERP_i)*AE177*Ramure*Pc/MaxiM</f>
        <v>2.4771853942800055E-4</v>
      </c>
      <c r="AE177" s="305">
        <f t="shared" si="65"/>
        <v>0.5</v>
      </c>
      <c r="AF177" s="177">
        <f t="shared" si="66"/>
        <v>0.75740920599956674</v>
      </c>
      <c r="AG177" s="811">
        <f t="shared" si="74"/>
        <v>2</v>
      </c>
      <c r="AH177" s="176">
        <f t="shared" si="67"/>
        <v>8</v>
      </c>
      <c r="AI177" s="225">
        <f t="shared" si="68"/>
        <v>2.7574092059995667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'2026'!Wh/'2026'!Env_an*'2027'!Env_an</f>
        <v>51.047842791481486</v>
      </c>
      <c r="C178" s="841"/>
      <c r="D178" s="393">
        <f t="shared" si="50"/>
        <v>54.86454477748908</v>
      </c>
      <c r="E178" s="385">
        <f t="shared" si="75"/>
        <v>57.104741739517088</v>
      </c>
      <c r="F178" s="385">
        <f t="shared" si="51"/>
        <v>57.106141718488026</v>
      </c>
      <c r="G178" s="110">
        <f t="shared" si="76"/>
        <v>0.89857340450308265</v>
      </c>
      <c r="H178" s="414" t="b">
        <f>Wh_hp&gt;='2026'!Maxi_hp</f>
        <v>0</v>
      </c>
      <c r="I178" s="390">
        <f>IF(H178,Wh_hp,'2026'!Maxi_hp)</f>
        <v>66.115436428019962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6.9565910033278611E-2</v>
      </c>
      <c r="M178" s="845"/>
      <c r="N178" s="845"/>
      <c r="O178" s="48">
        <f>IF(t&lt;Tnet,'2026'!Resal+('2026'!Salim-'2026'!Resal)*(1-EXP(('2026'!Tnet-t)/('2026'!Tau_j))),Resal+(Salim-Resal)*(1-EXP((Tnet-t)/(Tau_j))))*Salcycl</f>
        <v>3.9229613755135305E-2</v>
      </c>
      <c r="P178" s="169">
        <f>(INDEX(Models!$BJ178:$BT178,,T178)*(1-R178)+INDEX(Models!$BJ178:$BT178,,T178+1)*R178-ERP_i)*Q178*Ramure*Pc/MaxiM</f>
        <v>2.8669268276019722E-5</v>
      </c>
      <c r="Q178" s="305">
        <f t="shared" si="53"/>
        <v>0.5</v>
      </c>
      <c r="R178" s="177">
        <f t="shared" si="54"/>
        <v>0.23755374557885434</v>
      </c>
      <c r="S178" s="811">
        <f t="shared" si="55"/>
        <v>-1</v>
      </c>
      <c r="T178" s="176">
        <f t="shared" si="56"/>
        <v>5</v>
      </c>
      <c r="U178" s="251">
        <f t="shared" si="57"/>
        <v>-0.76244625442114566</v>
      </c>
      <c r="V178" s="383">
        <f t="shared" si="58"/>
        <v>56.809639016259823</v>
      </c>
      <c r="W178" s="402">
        <f t="shared" si="59"/>
        <v>51.047842791481486</v>
      </c>
      <c r="X178" s="157">
        <f t="shared" si="60"/>
        <v>46551</v>
      </c>
      <c r="Y178" s="385">
        <f t="shared" si="61"/>
        <v>49.096164730464928</v>
      </c>
      <c r="Z178" s="385">
        <f t="shared" si="62"/>
        <v>52.766945299930853</v>
      </c>
      <c r="AA178" s="386">
        <f t="shared" si="63"/>
        <v>57.094502909819383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7.5796397014330663E-2</v>
      </c>
      <c r="AD178" s="231">
        <f>(INDEX(Models!$BJ178:$BT178,,AH178)*(1-AF178)+INDEX(Models!$BJ178:$BT178,,AH178+1)*AF178-ERP_i)*AE178*Ramure*Pc/MaxiM</f>
        <v>2.3834367162763883E-4</v>
      </c>
      <c r="AE178" s="305">
        <f t="shared" si="65"/>
        <v>0.5</v>
      </c>
      <c r="AF178" s="177">
        <f t="shared" si="66"/>
        <v>0.76254131195283303</v>
      </c>
      <c r="AG178" s="811">
        <f t="shared" si="74"/>
        <v>2</v>
      </c>
      <c r="AH178" s="176">
        <f t="shared" si="67"/>
        <v>8</v>
      </c>
      <c r="AI178" s="225">
        <f t="shared" si="68"/>
        <v>2.762541311952833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'2026'!Wh/'2026'!Env_an*'2027'!Env_an</f>
        <v>46.557946710959271</v>
      </c>
      <c r="C179" s="841"/>
      <c r="D179" s="393">
        <f t="shared" si="50"/>
        <v>50.040047945234576</v>
      </c>
      <c r="E179" s="385">
        <f t="shared" si="75"/>
        <v>52.088110680913907</v>
      </c>
      <c r="F179" s="385">
        <f t="shared" si="51"/>
        <v>52.089226917463954</v>
      </c>
      <c r="G179" s="110">
        <f t="shared" si="76"/>
        <v>0.82026063478243338</v>
      </c>
      <c r="H179" s="414" t="b">
        <f>Wh_hp&gt;='2026'!Maxi_hp</f>
        <v>0</v>
      </c>
      <c r="I179" s="390">
        <f>IF(H179,Wh_hp,'2026'!Maxi_hp)</f>
        <v>57.514759839675243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6.9586288927744988E-2</v>
      </c>
      <c r="M179" s="845"/>
      <c r="N179" s="845"/>
      <c r="O179" s="48">
        <f>IF(t&lt;Tnet,'2026'!Resal+('2026'!Salim-'2026'!Resal)*(1-EXP(('2026'!Tnet-t)/('2026'!Tau_j))),Resal+(Salim-Resal)*(1-EXP((Tnet-t)/(Tau_j))))*Salcycl</f>
        <v>3.9319197968717683E-2</v>
      </c>
      <c r="P179" s="169">
        <f>(INDEX(Models!$BJ179:$BT179,,T179)*(1-R179)+INDEX(Models!$BJ179:$BT179,,T179+1)*R179-ERP_i)*Q179*Ramure*Pc/MaxiM</f>
        <v>2.8832369260446813E-5</v>
      </c>
      <c r="Q179" s="305">
        <f t="shared" si="53"/>
        <v>0.5</v>
      </c>
      <c r="R179" s="177">
        <f t="shared" si="54"/>
        <v>0.24267288499668016</v>
      </c>
      <c r="S179" s="811">
        <f t="shared" si="55"/>
        <v>-1</v>
      </c>
      <c r="T179" s="176">
        <f t="shared" si="56"/>
        <v>5</v>
      </c>
      <c r="U179" s="251">
        <f t="shared" si="57"/>
        <v>-0.75732711500331984</v>
      </c>
      <c r="V179" s="383">
        <f t="shared" si="58"/>
        <v>56.759522593698712</v>
      </c>
      <c r="W179" s="402">
        <f t="shared" si="59"/>
        <v>46.557946710959271</v>
      </c>
      <c r="X179" s="157">
        <f t="shared" si="60"/>
        <v>46552</v>
      </c>
      <c r="Y179" s="385">
        <f t="shared" si="61"/>
        <v>44.779754638440856</v>
      </c>
      <c r="Z179" s="385">
        <f t="shared" si="62"/>
        <v>48.1288636501653</v>
      </c>
      <c r="AA179" s="386">
        <f t="shared" si="63"/>
        <v>52.080306441185201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7.587211099616524E-2</v>
      </c>
      <c r="AD179" s="231">
        <f>(INDEX(Models!$BJ179:$BT179,,AH179)*(1-AF179)+INDEX(Models!$BJ179:$BT179,,AH179+1)*AF179-ERP_i)*AE179*Ramure*Pc/MaxiM</f>
        <v>2.3041573583726339E-4</v>
      </c>
      <c r="AE179" s="305">
        <f t="shared" si="65"/>
        <v>0.5</v>
      </c>
      <c r="AF179" s="177">
        <f t="shared" si="66"/>
        <v>0.7676604513706593</v>
      </c>
      <c r="AG179" s="811">
        <f t="shared" si="74"/>
        <v>2</v>
      </c>
      <c r="AH179" s="176">
        <f t="shared" si="67"/>
        <v>8</v>
      </c>
      <c r="AI179" s="225">
        <f t="shared" si="68"/>
        <v>2.7676604513706593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'2026'!Wh/'2026'!Env_an*'2027'!Env_an</f>
        <v>50.78662090209874</v>
      </c>
      <c r="C180" s="841"/>
      <c r="D180" s="393">
        <f t="shared" si="50"/>
        <v>54.586183199375498</v>
      </c>
      <c r="E180" s="385">
        <f t="shared" si="75"/>
        <v>56.825577423611229</v>
      </c>
      <c r="F180" s="385">
        <f t="shared" si="51"/>
        <v>56.826980896201121</v>
      </c>
      <c r="G180" s="110">
        <f t="shared" si="76"/>
        <v>0.89562116045773232</v>
      </c>
      <c r="H180" s="414" t="b">
        <f>Wh_hp&gt;='2026'!Maxi_hp</f>
        <v>0</v>
      </c>
      <c r="I180" s="390">
        <f>IF(H180,Wh_hp,'2026'!Maxi_hp)</f>
        <v>56.827180192934549</v>
      </c>
      <c r="J180" s="85">
        <f>IF(H180,An,'2026'!An_max)</f>
        <v>2025</v>
      </c>
      <c r="K180" s="197">
        <f t="shared" si="52"/>
        <v>46553</v>
      </c>
      <c r="L180" s="147">
        <f>IF(t&lt;Tvie,1-EXP((T0-t)*PertePVj)+'2026'!Pspv,1-EXP((T0-t)*PertePVj)+Pspv)</f>
        <v>6.9606667375861297E-2</v>
      </c>
      <c r="M180" s="845"/>
      <c r="N180" s="845"/>
      <c r="O180" s="48">
        <f>IF(t&lt;Tnet,'2026'!Resal+('2026'!Salim-'2026'!Resal)*(1-EXP(('2026'!Tnet-t)/('2026'!Tau_j))),Resal+(Salim-Resal)*(1-EXP((Tnet-t)/(Tau_j))))*Salcycl</f>
        <v>3.940820886943168E-2</v>
      </c>
      <c r="P180" s="169">
        <f>(INDEX(Models!$BJ180:$BT180,,T180)*(1-R180)+INDEX(Models!$BJ180:$BT180,,T180+1)*R180-ERP_i)*Q180*Ramure*Pc/MaxiM</f>
        <v>2.9025148275177334E-5</v>
      </c>
      <c r="Q180" s="305">
        <f t="shared" si="53"/>
        <v>0.5</v>
      </c>
      <c r="R180" s="177">
        <f t="shared" si="54"/>
        <v>0.24777480354382031</v>
      </c>
      <c r="S180" s="811">
        <f t="shared" si="55"/>
        <v>-1</v>
      </c>
      <c r="T180" s="176">
        <f t="shared" si="56"/>
        <v>5</v>
      </c>
      <c r="U180" s="251">
        <f t="shared" si="57"/>
        <v>-0.75222519645617969</v>
      </c>
      <c r="V180" s="383">
        <f t="shared" si="58"/>
        <v>56.70522687691124</v>
      </c>
      <c r="W180" s="402">
        <f t="shared" si="59"/>
        <v>50.78662090209874</v>
      </c>
      <c r="X180" s="157">
        <f t="shared" si="60"/>
        <v>46553</v>
      </c>
      <c r="Y180" s="385">
        <f t="shared" si="61"/>
        <v>48.846721448345008</v>
      </c>
      <c r="Z180" s="385">
        <f t="shared" si="62"/>
        <v>52.501151647953776</v>
      </c>
      <c r="AA180" s="386">
        <f t="shared" si="63"/>
        <v>56.816151124987115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7.5946705146235222E-2</v>
      </c>
      <c r="AD180" s="231">
        <f>(INDEX(Models!$BJ180:$BT180,,AH180)*(1-AF180)+INDEX(Models!$BJ180:$BT180,,AH180+1)*AF180-ERP_i)*AE180*Ramure*Pc/MaxiM</f>
        <v>2.2396997101077929E-4</v>
      </c>
      <c r="AE180" s="305">
        <f t="shared" si="65"/>
        <v>0.5</v>
      </c>
      <c r="AF180" s="177">
        <f t="shared" si="66"/>
        <v>0.77276236991779923</v>
      </c>
      <c r="AG180" s="811">
        <f t="shared" si="74"/>
        <v>2</v>
      </c>
      <c r="AH180" s="176">
        <f t="shared" si="67"/>
        <v>8</v>
      </c>
      <c r="AI180" s="225">
        <f t="shared" si="68"/>
        <v>2.7727623699177992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'2026'!Wh/'2026'!Env_an*'2027'!Env_an</f>
        <v>48.80843005503192</v>
      </c>
      <c r="C181" s="841"/>
      <c r="D181" s="393">
        <f t="shared" si="50"/>
        <v>52.461144546966338</v>
      </c>
      <c r="E181" s="385">
        <f t="shared" si="75"/>
        <v>54.618386597259345</v>
      </c>
      <c r="F181" s="385">
        <f t="shared" si="51"/>
        <v>54.619668338628642</v>
      </c>
      <c r="G181" s="110">
        <f t="shared" si="76"/>
        <v>0.86161718848678548</v>
      </c>
      <c r="H181" s="414" t="b">
        <f>Wh_hp&gt;='2026'!Maxi_hp</f>
        <v>0</v>
      </c>
      <c r="I181" s="390">
        <f>IF(H181,Wh_hp,'2026'!Maxi_hp)</f>
        <v>64.761857489550721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6.9627045377637309E-2</v>
      </c>
      <c r="M181" s="845"/>
      <c r="N181" s="845"/>
      <c r="O181" s="48">
        <f>IF(t&lt;Tnet,'2026'!Resal+('2026'!Salim-'2026'!Resal)*(1-EXP(('2026'!Tnet-t)/('2026'!Tau_j))),Resal+(Salim-Resal)*(1-EXP((Tnet-t)/(Tau_j))))*Salcycl</f>
        <v>3.9496627137668994E-2</v>
      </c>
      <c r="P181" s="169">
        <f>(INDEX(Models!$BJ181:$BT181,,T181)*(1-R181)+INDEX(Models!$BJ181:$BT181,,T181+1)*R181-ERP_i)*Q181*Ramure*Pc/MaxiM</f>
        <v>2.9248603795578401E-5</v>
      </c>
      <c r="Q181" s="305">
        <f t="shared" si="53"/>
        <v>0.5</v>
      </c>
      <c r="R181" s="177">
        <f t="shared" si="54"/>
        <v>0.25285530441409221</v>
      </c>
      <c r="S181" s="811">
        <f t="shared" si="55"/>
        <v>-1</v>
      </c>
      <c r="T181" s="176">
        <f t="shared" si="56"/>
        <v>5</v>
      </c>
      <c r="U181" s="251">
        <f t="shared" si="57"/>
        <v>-0.74714469558590779</v>
      </c>
      <c r="V181" s="383">
        <f t="shared" si="58"/>
        <v>56.64713807148258</v>
      </c>
      <c r="W181" s="402">
        <f t="shared" si="59"/>
        <v>48.80843005503192</v>
      </c>
      <c r="X181" s="157">
        <f t="shared" si="60"/>
        <v>46554</v>
      </c>
      <c r="Y181" s="385">
        <f t="shared" si="61"/>
        <v>46.945320432470375</v>
      </c>
      <c r="Z181" s="385">
        <f t="shared" si="62"/>
        <v>50.458603938595168</v>
      </c>
      <c r="AA181" s="386">
        <f t="shared" si="63"/>
        <v>54.610069424270243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7.6020146640393138E-2</v>
      </c>
      <c r="AD181" s="231">
        <f>(INDEX(Models!$BJ181:$BT181,,AH181)*(1-AF181)+INDEX(Models!$BJ181:$BT181,,AH181+1)*AF181-ERP_i)*AE181*Ramure*Pc/MaxiM</f>
        <v>2.1904172687385053E-4</v>
      </c>
      <c r="AE181" s="305">
        <f t="shared" si="65"/>
        <v>0.5</v>
      </c>
      <c r="AF181" s="177">
        <f t="shared" si="66"/>
        <v>0.77784287078807113</v>
      </c>
      <c r="AG181" s="811">
        <f t="shared" si="74"/>
        <v>2</v>
      </c>
      <c r="AH181" s="176">
        <f t="shared" si="67"/>
        <v>8</v>
      </c>
      <c r="AI181" s="225">
        <f t="shared" si="68"/>
        <v>2.7778428707880711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'2026'!Wh/'2026'!Env_an*'2027'!Env_an</f>
        <v>48.87519479063517</v>
      </c>
      <c r="C182" s="841"/>
      <c r="D182" s="393">
        <f t="shared" si="50"/>
        <v>52.534056437745257</v>
      </c>
      <c r="E182" s="385">
        <f t="shared" si="75"/>
        <v>54.699297222998958</v>
      </c>
      <c r="F182" s="385">
        <f t="shared" si="51"/>
        <v>54.700596939959297</v>
      </c>
      <c r="G182" s="110">
        <f t="shared" si="76"/>
        <v>0.86373348930344873</v>
      </c>
      <c r="H182" s="414" t="b">
        <f>Wh_hp&gt;='2026'!Maxi_hp</f>
        <v>0</v>
      </c>
      <c r="I182" s="390">
        <f>IF(H182,Wh_hp,'2026'!Maxi_hp)</f>
        <v>62.682408537874828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6.9647422933082792E-2</v>
      </c>
      <c r="M182" s="845"/>
      <c r="N182" s="845"/>
      <c r="O182" s="48">
        <f>IF(t&lt;Tnet,'2026'!Resal+('2026'!Salim-'2026'!Resal)*(1-EXP(('2026'!Tnet-t)/('2026'!Tau_j))),Resal+(Salim-Resal)*(1-EXP((Tnet-t)/(Tau_j))))*Salcycl</f>
        <v>3.9584435178872883E-2</v>
      </c>
      <c r="P182" s="169">
        <f>(INDEX(Models!$BJ182:$BT182,,T182)*(1-R182)+INDEX(Models!$BJ182:$BT182,,T182+1)*R182-ERP_i)*Q182*Ramure*Pc/MaxiM</f>
        <v>2.9503742118462865E-5</v>
      </c>
      <c r="Q182" s="305">
        <f t="shared" si="53"/>
        <v>0.5</v>
      </c>
      <c r="R182" s="177">
        <f t="shared" si="54"/>
        <v>0.25791026194375188</v>
      </c>
      <c r="S182" s="811">
        <f t="shared" si="55"/>
        <v>-1</v>
      </c>
      <c r="T182" s="176">
        <f t="shared" si="56"/>
        <v>5</v>
      </c>
      <c r="U182" s="251">
        <f t="shared" si="57"/>
        <v>-0.74208973805624812</v>
      </c>
      <c r="V182" s="383">
        <f t="shared" si="58"/>
        <v>56.585642087775</v>
      </c>
      <c r="W182" s="402">
        <f t="shared" si="59"/>
        <v>48.87519479063517</v>
      </c>
      <c r="X182" s="157">
        <f t="shared" si="60"/>
        <v>46555</v>
      </c>
      <c r="Y182" s="385">
        <f t="shared" si="61"/>
        <v>47.01026837506231</v>
      </c>
      <c r="Z182" s="385">
        <f t="shared" si="62"/>
        <v>50.529519167098535</v>
      </c>
      <c r="AA182" s="386">
        <f t="shared" si="63"/>
        <v>54.691096276160877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7.6092406121256007E-2</v>
      </c>
      <c r="AD182" s="231">
        <f>(INDEX(Models!$BJ182:$BT182,,AH182)*(1-AF182)+INDEX(Models!$BJ182:$BT182,,AH182+1)*AF182-ERP_i)*AE182*Ramure*Pc/MaxiM</f>
        <v>2.1566628982822836E-4</v>
      </c>
      <c r="AE182" s="305">
        <f t="shared" si="65"/>
        <v>0.5</v>
      </c>
      <c r="AF182" s="177">
        <f t="shared" si="66"/>
        <v>0.78289782831773103</v>
      </c>
      <c r="AG182" s="811">
        <f t="shared" si="74"/>
        <v>2</v>
      </c>
      <c r="AH182" s="176">
        <f t="shared" si="67"/>
        <v>8</v>
      </c>
      <c r="AI182" s="225">
        <f t="shared" si="68"/>
        <v>2.782897828317731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'2026'!Wh/'2026'!Env_an*'2027'!Env_an</f>
        <v>52.077201177343035</v>
      </c>
      <c r="C183" s="841"/>
      <c r="D183" s="393">
        <f t="shared" si="50"/>
        <v>55.976995292332873</v>
      </c>
      <c r="E183" s="385">
        <f t="shared" si="75"/>
        <v>58.289431296526693</v>
      </c>
      <c r="F183" s="385">
        <f t="shared" si="51"/>
        <v>58.290972823355915</v>
      </c>
      <c r="G183" s="110">
        <f t="shared" si="76"/>
        <v>0.92137280238478947</v>
      </c>
      <c r="H183" s="414" t="b">
        <f>Wh_hp&gt;='2026'!Maxi_hp</f>
        <v>0</v>
      </c>
      <c r="I183" s="390">
        <f>IF(H183,Wh_hp,'2026'!Maxi_hp)</f>
        <v>60.904385564297691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6.9667800042207517E-2</v>
      </c>
      <c r="M183" s="845"/>
      <c r="N183" s="845"/>
      <c r="O183" s="48">
        <f>IF(t&lt;Tnet,'2026'!Resal+('2026'!Salim-'2026'!Resal)*(1-EXP(('2026'!Tnet-t)/('2026'!Tau_j))),Resal+(Salim-Resal)*(1-EXP((Tnet-t)/(Tau_j))))*Salcycl</f>
        <v>3.9671617182712358E-2</v>
      </c>
      <c r="P183" s="169">
        <f>(INDEX(Models!$BJ183:$BT183,,T183)*(1-R183)+INDEX(Models!$BJ183:$BT183,,T183+1)*R183-ERP_i)*Q183*Ramure*Pc/MaxiM</f>
        <v>2.9791572632772353E-5</v>
      </c>
      <c r="Q183" s="305">
        <f t="shared" si="53"/>
        <v>0.5</v>
      </c>
      <c r="R183" s="177">
        <f t="shared" si="54"/>
        <v>0.26293563472602388</v>
      </c>
      <c r="S183" s="811">
        <f t="shared" si="55"/>
        <v>-1</v>
      </c>
      <c r="T183" s="176">
        <f t="shared" si="56"/>
        <v>5</v>
      </c>
      <c r="U183" s="251">
        <f t="shared" si="57"/>
        <v>-0.73706436527397612</v>
      </c>
      <c r="V183" s="383">
        <f t="shared" si="58"/>
        <v>56.521124541021159</v>
      </c>
      <c r="W183" s="402">
        <f t="shared" si="59"/>
        <v>52.077201177343035</v>
      </c>
      <c r="X183" s="157">
        <f t="shared" si="60"/>
        <v>46556</v>
      </c>
      <c r="Y183" s="385">
        <f t="shared" si="61"/>
        <v>50.090115324993825</v>
      </c>
      <c r="Z183" s="385">
        <f t="shared" si="62"/>
        <v>53.841106786657846</v>
      </c>
      <c r="AA183" s="386">
        <f t="shared" si="63"/>
        <v>58.279905942896505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7.6163457789171066E-2</v>
      </c>
      <c r="AD183" s="231">
        <f>(INDEX(Models!$BJ183:$BT183,,AH183)*(1-AF183)+INDEX(Models!$BJ183:$BT183,,AH183+1)*AF183-ERP_i)*AE183*Ramure*Pc/MaxiM</f>
        <v>2.1387871218012772E-4</v>
      </c>
      <c r="AE183" s="305">
        <f t="shared" si="65"/>
        <v>0.5</v>
      </c>
      <c r="AF183" s="177">
        <f t="shared" si="66"/>
        <v>0.78792320110000258</v>
      </c>
      <c r="AG183" s="811">
        <f t="shared" si="74"/>
        <v>2</v>
      </c>
      <c r="AH183" s="176">
        <f t="shared" si="67"/>
        <v>8</v>
      </c>
      <c r="AI183" s="225">
        <f t="shared" si="68"/>
        <v>2.7879232011000026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'2026'!Wh/'2026'!Env_an*'2027'!Env_an</f>
        <v>53.140109327627101</v>
      </c>
      <c r="C184" s="841"/>
      <c r="D184" s="393">
        <f t="shared" si="50"/>
        <v>57.120750265664093</v>
      </c>
      <c r="E184" s="385">
        <f t="shared" si="75"/>
        <v>59.485796012010539</v>
      </c>
      <c r="F184" s="385">
        <f t="shared" si="51"/>
        <v>59.487436837012275</v>
      </c>
      <c r="G184" s="110">
        <f t="shared" si="76"/>
        <v>0.94129738181939671</v>
      </c>
      <c r="H184" s="414" t="b">
        <f>Wh_hp&gt;='2026'!Maxi_hp</f>
        <v>0</v>
      </c>
      <c r="I184" s="390">
        <f>IF(H184,Wh_hp,'2026'!Maxi_hp)</f>
        <v>59.487556722922172</v>
      </c>
      <c r="J184" s="85">
        <f>IF(H184,An,'2026'!An_max)</f>
        <v>2025</v>
      </c>
      <c r="K184" s="197">
        <f t="shared" si="52"/>
        <v>46557</v>
      </c>
      <c r="L184" s="147">
        <f>IF(t&lt;Tvie,1-EXP((T0-t)*PertePVj)+'2026'!Pspv,1-EXP((T0-t)*PertePVj)+Pspv)</f>
        <v>6.9688176705021254E-2</v>
      </c>
      <c r="M184" s="845"/>
      <c r="N184" s="845"/>
      <c r="O184" s="48">
        <f>IF(t&lt;Tnet,'2026'!Resal+('2026'!Salim-'2026'!Resal)*(1-EXP(('2026'!Tnet-t)/('2026'!Tau_j))),Resal+(Salim-Resal)*(1-EXP((Tnet-t)/(Tau_j))))*Salcycl</f>
        <v>3.9758159172467521E-2</v>
      </c>
      <c r="P184" s="169">
        <f>(INDEX(Models!$BJ184:$BT184,,T184)*(1-R184)+INDEX(Models!$BJ184:$BT184,,T184+1)*R184-ERP_i)*Q184*Ramure*Pc/MaxiM</f>
        <v>3.0107449869624641E-5</v>
      </c>
      <c r="Q184" s="305">
        <f t="shared" si="53"/>
        <v>0.5</v>
      </c>
      <c r="R184" s="177">
        <f t="shared" si="54"/>
        <v>0.26792747814043638</v>
      </c>
      <c r="S184" s="811">
        <f t="shared" si="55"/>
        <v>-1</v>
      </c>
      <c r="T184" s="176">
        <f t="shared" si="56"/>
        <v>5</v>
      </c>
      <c r="U184" s="251">
        <f t="shared" si="57"/>
        <v>-0.73207252185956362</v>
      </c>
      <c r="V184" s="383">
        <f t="shared" si="58"/>
        <v>56.45397106758562</v>
      </c>
      <c r="W184" s="402">
        <f t="shared" si="59"/>
        <v>53.140109327627101</v>
      </c>
      <c r="X184" s="157">
        <f t="shared" si="60"/>
        <v>46557</v>
      </c>
      <c r="Y184" s="385">
        <f t="shared" si="61"/>
        <v>51.112955178459259</v>
      </c>
      <c r="Z184" s="385">
        <f t="shared" si="62"/>
        <v>54.941745228419627</v>
      </c>
      <c r="AA184" s="386">
        <f t="shared" si="63"/>
        <v>59.475778903494472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7.623327947384731E-2</v>
      </c>
      <c r="AD184" s="231">
        <f>(INDEX(Models!$BJ184:$BT184,,AH184)*(1-AF184)+INDEX(Models!$BJ184:$BT184,,AH184+1)*AF184-ERP_i)*AE184*Ramure*Pc/MaxiM</f>
        <v>2.1391108046235524E-4</v>
      </c>
      <c r="AE184" s="305">
        <f t="shared" si="65"/>
        <v>0.5</v>
      </c>
      <c r="AF184" s="177">
        <f t="shared" si="66"/>
        <v>0.79291504451441508</v>
      </c>
      <c r="AG184" s="811">
        <f t="shared" si="74"/>
        <v>2</v>
      </c>
      <c r="AH184" s="176">
        <f t="shared" si="67"/>
        <v>8</v>
      </c>
      <c r="AI184" s="225">
        <f t="shared" si="68"/>
        <v>2.7929150445144151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'2026'!Wh/'2026'!Env_an*'2027'!Env_an</f>
        <v>29.594198998176704</v>
      </c>
      <c r="C185" s="841"/>
      <c r="D185" s="393">
        <f t="shared" si="50"/>
        <v>31.811750060817829</v>
      </c>
      <c r="E185" s="385">
        <f t="shared" si="75"/>
        <v>33.131857412487904</v>
      </c>
      <c r="F185" s="385">
        <f t="shared" si="51"/>
        <v>33.132181071441728</v>
      </c>
      <c r="G185" s="110">
        <f t="shared" si="76"/>
        <v>0.52485260798974454</v>
      </c>
      <c r="H185" s="414" t="b">
        <f>Wh_hp&gt;='2026'!Maxi_hp</f>
        <v>0</v>
      </c>
      <c r="I185" s="390">
        <f>IF(H185,Wh_hp,'2026'!Maxi_hp)</f>
        <v>58.208712843769881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6.9708552921533773E-2</v>
      </c>
      <c r="M185" s="845"/>
      <c r="N185" s="845"/>
      <c r="O185" s="48">
        <f>IF(t&lt;Tnet,'2026'!Resal+('2026'!Salim-'2026'!Resal)*(1-EXP(('2026'!Tnet-t)/('2026'!Tau_j))),Resal+(Salim-Resal)*(1-EXP((Tnet-t)/(Tau_j))))*Salcycl</f>
        <v>3.984404904424417E-2</v>
      </c>
      <c r="P185" s="169">
        <f>(INDEX(Models!$BJ185:$BT185,,T185)*(1-R185)+INDEX(Models!$BJ185:$BT185,,T185+1)*R185-ERP_i)*Q185*Ramure*Pc/MaxiM</f>
        <v>3.0410025601716956E-5</v>
      </c>
      <c r="Q185" s="305">
        <f t="shared" si="53"/>
        <v>0.5</v>
      </c>
      <c r="R185" s="177">
        <f t="shared" si="54"/>
        <v>0.27288195621751865</v>
      </c>
      <c r="S185" s="811">
        <f t="shared" si="55"/>
        <v>-1</v>
      </c>
      <c r="T185" s="176">
        <f t="shared" si="56"/>
        <v>5</v>
      </c>
      <c r="U185" s="251">
        <f t="shared" si="57"/>
        <v>-0.72711804378248135</v>
      </c>
      <c r="V185" s="383">
        <f t="shared" si="58"/>
        <v>56.384569074754133</v>
      </c>
      <c r="W185" s="402">
        <f t="shared" si="59"/>
        <v>29.594198998176704</v>
      </c>
      <c r="X185" s="157">
        <f t="shared" si="60"/>
        <v>46558</v>
      </c>
      <c r="Y185" s="385">
        <f t="shared" si="61"/>
        <v>28.46880439165966</v>
      </c>
      <c r="Z185" s="385">
        <f t="shared" si="62"/>
        <v>30.602027441039599</v>
      </c>
      <c r="AA185" s="386">
        <f t="shared" si="63"/>
        <v>33.129900206068058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7.6301852686095781E-2</v>
      </c>
      <c r="AD185" s="231">
        <f>(INDEX(Models!$BJ185:$BT185,,AH185)*(1-AF185)+INDEX(Models!$BJ185:$BT185,,AH185+1)*AF185-ERP_i)*AE185*Ramure*Pc/MaxiM</f>
        <v>2.1430327691657401E-4</v>
      </c>
      <c r="AE185" s="305">
        <f t="shared" si="65"/>
        <v>0.5</v>
      </c>
      <c r="AF185" s="177">
        <f t="shared" si="66"/>
        <v>0.79786952259149757</v>
      </c>
      <c r="AG185" s="811">
        <f t="shared" si="74"/>
        <v>2</v>
      </c>
      <c r="AH185" s="176">
        <f t="shared" si="67"/>
        <v>8</v>
      </c>
      <c r="AI185" s="225">
        <f t="shared" si="68"/>
        <v>2.7978695225914976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'2026'!Wh/'2026'!Env_an*'2027'!Env_an</f>
        <v>22.101018129895387</v>
      </c>
      <c r="C186" s="841"/>
      <c r="D186" s="393">
        <f t="shared" si="50"/>
        <v>23.757610885195653</v>
      </c>
      <c r="E186" s="385">
        <f t="shared" si="75"/>
        <v>24.74568831862117</v>
      </c>
      <c r="F186" s="385">
        <f t="shared" si="51"/>
        <v>24.74578866539343</v>
      </c>
      <c r="G186" s="110">
        <f t="shared" si="76"/>
        <v>0.39245485443983757</v>
      </c>
      <c r="H186" s="414" t="b">
        <f>Wh_hp&gt;='2026'!Maxi_hp</f>
        <v>0</v>
      </c>
      <c r="I186" s="390">
        <f>IF(H186,Wh_hp,'2026'!Maxi_hp)</f>
        <v>54.428674381419142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6.9728928691754843E-2</v>
      </c>
      <c r="M186" s="845"/>
      <c r="N186" s="845"/>
      <c r="O186" s="48">
        <f>IF(t&lt;Tnet,'2026'!Resal+('2026'!Salim-'2026'!Resal)*(1-EXP(('2026'!Tnet-t)/('2026'!Tau_j))),Resal+(Salim-Resal)*(1-EXP((Tnet-t)/(Tau_j))))*Salcycl</f>
        <v>3.9929276595712458E-2</v>
      </c>
      <c r="P186" s="169">
        <f>(INDEX(Models!$BJ186:$BT186,,T186)*(1-R186)+INDEX(Models!$BJ186:$BT186,,T186+1)*R186-ERP_i)*Q186*Ramure*Pc/MaxiM</f>
        <v>3.0698793837784756E-5</v>
      </c>
      <c r="Q186" s="305">
        <f t="shared" si="53"/>
        <v>0.5</v>
      </c>
      <c r="R186" s="177">
        <f t="shared" si="54"/>
        <v>0.2777953527671454</v>
      </c>
      <c r="S186" s="811">
        <f t="shared" si="55"/>
        <v>-1</v>
      </c>
      <c r="T186" s="176">
        <f t="shared" si="56"/>
        <v>5</v>
      </c>
      <c r="U186" s="251">
        <f t="shared" si="57"/>
        <v>-0.7222046472328546</v>
      </c>
      <c r="V186" s="383">
        <f t="shared" si="58"/>
        <v>56.313303364288565</v>
      </c>
      <c r="W186" s="402">
        <f t="shared" si="59"/>
        <v>22.101018129895387</v>
      </c>
      <c r="X186" s="157">
        <f t="shared" si="60"/>
        <v>46559</v>
      </c>
      <c r="Y186" s="385">
        <f t="shared" si="61"/>
        <v>21.261646934163238</v>
      </c>
      <c r="Z186" s="385">
        <f t="shared" si="62"/>
        <v>22.85532420594663</v>
      </c>
      <c r="AA186" s="386">
        <f t="shared" si="63"/>
        <v>24.745085678931094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7.6369162649272182E-2</v>
      </c>
      <c r="AD186" s="231">
        <f>(INDEX(Models!$BJ186:$BT186,,AH186)*(1-AF186)+INDEX(Models!$BJ186:$BT186,,AH186+1)*AF186-ERP_i)*AE186*Ramure*Pc/MaxiM</f>
        <v>2.1506258738475425E-4</v>
      </c>
      <c r="AE186" s="305">
        <f t="shared" si="65"/>
        <v>0.5</v>
      </c>
      <c r="AF186" s="177">
        <f t="shared" si="66"/>
        <v>0.80278291914112421</v>
      </c>
      <c r="AG186" s="811">
        <f t="shared" si="74"/>
        <v>2</v>
      </c>
      <c r="AH186" s="176">
        <f t="shared" si="67"/>
        <v>8</v>
      </c>
      <c r="AI186" s="225">
        <f t="shared" si="68"/>
        <v>2.8027829191411242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'2026'!Wh/'2026'!Env_an*'2027'!Env_an</f>
        <v>36.967327160732637</v>
      </c>
      <c r="C187" s="841"/>
      <c r="D187" s="393">
        <f t="shared" si="50"/>
        <v>39.739101857502199</v>
      </c>
      <c r="E187" s="385">
        <f t="shared" si="75"/>
        <v>41.395494274895448</v>
      </c>
      <c r="F187" s="385">
        <f t="shared" si="51"/>
        <v>41.396148746297861</v>
      </c>
      <c r="G187" s="110">
        <f t="shared" si="76"/>
        <v>0.65729728916030994</v>
      </c>
      <c r="H187" s="414" t="b">
        <f>Wh_hp&gt;='2026'!Maxi_hp</f>
        <v>0</v>
      </c>
      <c r="I187" s="390">
        <f>IF(H187,Wh_hp,'2026'!Maxi_hp)</f>
        <v>63.004166310746122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6.9749304015694236E-2</v>
      </c>
      <c r="M187" s="845"/>
      <c r="N187" s="845"/>
      <c r="O187" s="48">
        <f>IF(t&lt;Tnet,'2026'!Resal+('2026'!Salim-'2026'!Resal)*(1-EXP(('2026'!Tnet-t)/('2026'!Tau_j))),Resal+(Salim-Resal)*(1-EXP((Tnet-t)/(Tau_j))))*Salcycl</f>
        <v>4.0013833544144443E-2</v>
      </c>
      <c r="P187" s="169">
        <f>(INDEX(Models!$BJ187:$BT187,,T187)*(1-R187)+INDEX(Models!$BJ187:$BT187,,T187+1)*R187-ERP_i)*Q187*Ramure*Pc/MaxiM</f>
        <v>3.0973261534878826E-5</v>
      </c>
      <c r="Q187" s="305">
        <f t="shared" si="53"/>
        <v>0.5</v>
      </c>
      <c r="R187" s="177">
        <f t="shared" si="54"/>
        <v>0.28266408170723301</v>
      </c>
      <c r="S187" s="811">
        <f t="shared" si="55"/>
        <v>-1</v>
      </c>
      <c r="T187" s="176">
        <f t="shared" si="56"/>
        <v>5</v>
      </c>
      <c r="U187" s="251">
        <f t="shared" si="57"/>
        <v>-0.71733591829276699</v>
      </c>
      <c r="V187" s="383">
        <f t="shared" si="58"/>
        <v>56.24055844246449</v>
      </c>
      <c r="W187" s="402">
        <f t="shared" si="59"/>
        <v>36.967327160732637</v>
      </c>
      <c r="X187" s="157">
        <f t="shared" si="60"/>
        <v>46560</v>
      </c>
      <c r="Y187" s="385">
        <f t="shared" si="61"/>
        <v>35.561443895102393</v>
      </c>
      <c r="Z187" s="385">
        <f t="shared" si="62"/>
        <v>38.227806814457196</v>
      </c>
      <c r="AA187" s="386">
        <f t="shared" si="63"/>
        <v>41.39158047655399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7.6435198310170774E-2</v>
      </c>
      <c r="AD187" s="231">
        <f>(INDEX(Models!$BJ187:$BT187,,AH187)*(1-AF187)+INDEX(Models!$BJ187:$BT187,,AH187+1)*AF187-ERP_i)*AE187*Ramure*Pc/MaxiM</f>
        <v>2.1619617452713752E-4</v>
      </c>
      <c r="AE187" s="305">
        <f t="shared" si="65"/>
        <v>0.5</v>
      </c>
      <c r="AF187" s="177">
        <f t="shared" si="66"/>
        <v>0.8076516480812117</v>
      </c>
      <c r="AG187" s="811">
        <f t="shared" si="74"/>
        <v>2</v>
      </c>
      <c r="AH187" s="176">
        <f t="shared" si="67"/>
        <v>8</v>
      </c>
      <c r="AI187" s="225">
        <f t="shared" si="68"/>
        <v>2.8076516480812117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'2026'!Wh/'2026'!Env_an*'2027'!Env_an</f>
        <v>39.483514892136228</v>
      </c>
      <c r="C188" s="841"/>
      <c r="D188" s="393">
        <f t="shared" si="50"/>
        <v>42.444880580935163</v>
      </c>
      <c r="E188" s="385">
        <f t="shared" si="75"/>
        <v>44.217917989531976</v>
      </c>
      <c r="F188" s="385">
        <f t="shared" si="51"/>
        <v>44.218713030076636</v>
      </c>
      <c r="G188" s="110">
        <f t="shared" si="76"/>
        <v>0.70296062576639806</v>
      </c>
      <c r="H188" s="414" t="b">
        <f>Wh_hp&gt;='2026'!Maxi_hp</f>
        <v>0</v>
      </c>
      <c r="I188" s="390">
        <f>IF(H188,Wh_hp,'2026'!Maxi_hp)</f>
        <v>55.386626209177535</v>
      </c>
      <c r="J188" s="85">
        <f>IF(H188,An,'2026'!An_max)</f>
        <v>2019</v>
      </c>
      <c r="K188" s="197">
        <f t="shared" si="52"/>
        <v>46561</v>
      </c>
      <c r="L188" s="147">
        <f>IF(t&lt;Tvie,1-EXP((T0-t)*PertePVj)+'2026'!Pspv,1-EXP((T0-t)*PertePVj)+Pspv)</f>
        <v>6.9769678893361831E-2</v>
      </c>
      <c r="M188" s="845"/>
      <c r="N188" s="845"/>
      <c r="O188" s="48">
        <f>IF(t&lt;Tnet,'2026'!Resal+('2026'!Salim-'2026'!Resal)*(1-EXP(('2026'!Tnet-t)/('2026'!Tau_j))),Resal+(Salim-Resal)*(1-EXP((Tnet-t)/(Tau_j))))*Salcycl</f>
        <v>4.0097713533607776E-2</v>
      </c>
      <c r="P188" s="169">
        <f>(INDEX(Models!$BJ188:$BT188,,T188)*(1-R188)+INDEX(Models!$BJ188:$BT188,,T188+1)*R188-ERP_i)*Q188*Ramure*Pc/MaxiM</f>
        <v>3.1232630648060651E-5</v>
      </c>
      <c r="Q188" s="305">
        <f t="shared" si="53"/>
        <v>0.5</v>
      </c>
      <c r="R188" s="177">
        <f t="shared" si="54"/>
        <v>0.28748469653845499</v>
      </c>
      <c r="S188" s="811">
        <f t="shared" si="55"/>
        <v>-1</v>
      </c>
      <c r="T188" s="176">
        <f t="shared" si="56"/>
        <v>5</v>
      </c>
      <c r="U188" s="251">
        <f t="shared" si="57"/>
        <v>-0.71251530346154501</v>
      </c>
      <c r="V188" s="383">
        <f t="shared" si="58"/>
        <v>56.166718539324357</v>
      </c>
      <c r="W188" s="402">
        <f t="shared" si="59"/>
        <v>39.483514892136228</v>
      </c>
      <c r="X188" s="157">
        <f t="shared" si="60"/>
        <v>46561</v>
      </c>
      <c r="Y188" s="385">
        <f t="shared" si="61"/>
        <v>37.982109282683751</v>
      </c>
      <c r="Z188" s="385">
        <f t="shared" si="62"/>
        <v>40.830865669373964</v>
      </c>
      <c r="AA188" s="386">
        <f t="shared" si="63"/>
        <v>44.21317115506244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7.6499952329277712E-2</v>
      </c>
      <c r="AD188" s="231">
        <f>(INDEX(Models!$BJ188:$BT188,,AH188)*(1-AF188)+INDEX(Models!$BJ188:$BT188,,AH188+1)*AF188-ERP_i)*AE188*Ramure*Pc/MaxiM</f>
        <v>2.1770881570656563E-4</v>
      </c>
      <c r="AE188" s="305">
        <f t="shared" si="65"/>
        <v>0.5</v>
      </c>
      <c r="AF188" s="177">
        <f t="shared" si="66"/>
        <v>0.81247226291243368</v>
      </c>
      <c r="AG188" s="811">
        <f t="shared" si="74"/>
        <v>2</v>
      </c>
      <c r="AH188" s="176">
        <f t="shared" si="67"/>
        <v>8</v>
      </c>
      <c r="AI188" s="225">
        <f t="shared" si="68"/>
        <v>2.8124722629124337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'2026'!Wh/'2026'!Env_an*'2027'!Env_an</f>
        <v>37.73561070804967</v>
      </c>
      <c r="C189" s="841"/>
      <c r="D189" s="393">
        <f t="shared" si="50"/>
        <v>40.566767580721674</v>
      </c>
      <c r="E189" s="385">
        <f t="shared" si="75"/>
        <v>42.265014410996258</v>
      </c>
      <c r="F189" s="385">
        <f t="shared" si="51"/>
        <v>42.265722814189914</v>
      </c>
      <c r="G189" s="110">
        <f t="shared" si="76"/>
        <v>0.6727330573820699</v>
      </c>
      <c r="H189" s="414" t="b">
        <f>Wh_hp&gt;='2026'!Maxi_hp</f>
        <v>0</v>
      </c>
      <c r="I189" s="390">
        <f>IF(H189,Wh_hp,'2026'!Maxi_hp)</f>
        <v>62.031075143124923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6.9790053324767176E-2</v>
      </c>
      <c r="M189" s="845"/>
      <c r="N189" s="845"/>
      <c r="O189" s="48">
        <f>IF(t&lt;Tnet,'2026'!Resal+('2026'!Salim-'2026'!Resal)*(1-EXP(('2026'!Tnet-t)/('2026'!Tau_j))),Resal+(Salim-Resal)*(1-EXP((Tnet-t)/(Tau_j))))*Salcycl</f>
        <v>4.0180912131257879E-2</v>
      </c>
      <c r="P189" s="169">
        <f>(INDEX(Models!$BJ189:$BT189,,T189)*(1-R189)+INDEX(Models!$BJ189:$BT189,,T189+1)*R189-ERP_i)*Q189*Ramure*Pc/MaxiM</f>
        <v>3.1476091814984592E-5</v>
      </c>
      <c r="Q189" s="305">
        <f t="shared" si="53"/>
        <v>0.5</v>
      </c>
      <c r="R189" s="177">
        <f t="shared" si="54"/>
        <v>0.29225389891999731</v>
      </c>
      <c r="S189" s="811">
        <f t="shared" si="55"/>
        <v>-1</v>
      </c>
      <c r="T189" s="176">
        <f t="shared" si="56"/>
        <v>5</v>
      </c>
      <c r="U189" s="251">
        <f t="shared" si="57"/>
        <v>-0.70774610108000269</v>
      </c>
      <c r="V189" s="383">
        <f t="shared" si="58"/>
        <v>56.092167599692672</v>
      </c>
      <c r="W189" s="402">
        <f t="shared" si="59"/>
        <v>37.73561070804967</v>
      </c>
      <c r="X189" s="157">
        <f t="shared" si="60"/>
        <v>46562</v>
      </c>
      <c r="Y189" s="385">
        <f t="shared" si="61"/>
        <v>36.301583118232045</v>
      </c>
      <c r="Z189" s="385">
        <f t="shared" si="62"/>
        <v>39.025150449080428</v>
      </c>
      <c r="AA189" s="386">
        <f t="shared" si="63"/>
        <v>42.260780370508371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7.6563421050452884E-2</v>
      </c>
      <c r="AD189" s="231">
        <f>(INDEX(Models!$BJ189:$BT189,,AH189)*(1-AF189)+INDEX(Models!$BJ189:$BT189,,AH189+1)*AF189-ERP_i)*AE189*Ramure*Pc/MaxiM</f>
        <v>2.1960489803567738E-4</v>
      </c>
      <c r="AE189" s="305">
        <f t="shared" si="65"/>
        <v>0.5</v>
      </c>
      <c r="AF189" s="177">
        <f t="shared" si="66"/>
        <v>0.81724146529397634</v>
      </c>
      <c r="AG189" s="811">
        <f t="shared" si="74"/>
        <v>2</v>
      </c>
      <c r="AH189" s="176">
        <f t="shared" si="67"/>
        <v>8</v>
      </c>
      <c r="AI189" s="225">
        <f t="shared" si="68"/>
        <v>2.8172414652939763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'2026'!Wh/'2026'!Env_an*'2027'!Env_an</f>
        <v>33.208600497529524</v>
      </c>
      <c r="C190" s="841"/>
      <c r="D190" s="393">
        <f t="shared" si="50"/>
        <v>35.700895250299645</v>
      </c>
      <c r="E190" s="385">
        <f t="shared" si="75"/>
        <v>37.198639968193028</v>
      </c>
      <c r="F190" s="385">
        <f t="shared" si="51"/>
        <v>37.199133311766566</v>
      </c>
      <c r="G190" s="110">
        <f t="shared" si="76"/>
        <v>0.59281676295393515</v>
      </c>
      <c r="H190" s="414" t="b">
        <f>Wh_hp&gt;='2026'!Maxi_hp</f>
        <v>0</v>
      </c>
      <c r="I190" s="390">
        <f>IF(H190,Wh_hp,'2026'!Maxi_hp)</f>
        <v>59.517932616441065</v>
      </c>
      <c r="J190" s="85">
        <f>IF(H190,An,'2026'!An_max)</f>
        <v>2021</v>
      </c>
      <c r="K190" s="197">
        <f t="shared" si="52"/>
        <v>46563</v>
      </c>
      <c r="L190" s="147">
        <f>IF(t&lt;Tvie,1-EXP((T0-t)*PertePVj)+'2026'!Pspv,1-EXP((T0-t)*PertePVj)+Pspv)</f>
        <v>6.9810427309920264E-2</v>
      </c>
      <c r="M190" s="845"/>
      <c r="N190" s="845"/>
      <c r="O190" s="48">
        <f>IF(t&lt;Tnet,'2026'!Resal+('2026'!Salim-'2026'!Resal)*(1-EXP(('2026'!Tnet-t)/('2026'!Tau_j))),Resal+(Salim-Resal)*(1-EXP((Tnet-t)/(Tau_j))))*Salcycl</f>
        <v>4.0263426812755514E-2</v>
      </c>
      <c r="P190" s="169">
        <f>(INDEX(Models!$BJ190:$BT190,,T190)*(1-R190)+INDEX(Models!$BJ190:$BT190,,T190+1)*R190-ERP_i)*Q190*Ramure*Pc/MaxiM</f>
        <v>3.1703159397721345E-5</v>
      </c>
      <c r="Q190" s="305">
        <f t="shared" si="53"/>
        <v>0.5</v>
      </c>
      <c r="R190" s="177">
        <f t="shared" si="54"/>
        <v>0.29696854631097325</v>
      </c>
      <c r="S190" s="811">
        <f t="shared" si="55"/>
        <v>-1</v>
      </c>
      <c r="T190" s="176">
        <f t="shared" si="56"/>
        <v>5</v>
      </c>
      <c r="U190" s="251">
        <f t="shared" si="57"/>
        <v>-0.70303145368902675</v>
      </c>
      <c r="V190" s="383">
        <f t="shared" si="58"/>
        <v>56.017289265875029</v>
      </c>
      <c r="W190" s="402">
        <f t="shared" si="59"/>
        <v>33.208600497529524</v>
      </c>
      <c r="X190" s="157">
        <f t="shared" si="60"/>
        <v>46563</v>
      </c>
      <c r="Y190" s="385">
        <f t="shared" si="61"/>
        <v>31.94786215583223</v>
      </c>
      <c r="Z190" s="385">
        <f t="shared" si="62"/>
        <v>34.345538902828153</v>
      </c>
      <c r="AA190" s="386">
        <f t="shared" si="63"/>
        <v>37.195680396119855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7.6625604450268975E-2</v>
      </c>
      <c r="AD190" s="231">
        <f>(INDEX(Models!$BJ190:$BT190,,AH190)*(1-AF190)+INDEX(Models!$BJ190:$BT190,,AH190+1)*AF190-ERP_i)*AE190*Ramure*Pc/MaxiM</f>
        <v>2.2189066809751549E-4</v>
      </c>
      <c r="AE190" s="305">
        <f t="shared" si="65"/>
        <v>0.5</v>
      </c>
      <c r="AF190" s="177">
        <f t="shared" si="66"/>
        <v>0.82195611268495217</v>
      </c>
      <c r="AG190" s="811">
        <f t="shared" si="74"/>
        <v>2</v>
      </c>
      <c r="AH190" s="176">
        <f t="shared" si="67"/>
        <v>8</v>
      </c>
      <c r="AI190" s="225">
        <f t="shared" si="68"/>
        <v>2.8219561126849522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'2026'!Wh/'2026'!Env_an*'2027'!Env_an</f>
        <v>11.142334943732896</v>
      </c>
      <c r="C191" s="841"/>
      <c r="D191" s="393">
        <f t="shared" si="50"/>
        <v>11.978825953279136</v>
      </c>
      <c r="E191" s="385">
        <f t="shared" si="75"/>
        <v>12.482432916492957</v>
      </c>
      <c r="F191" s="385">
        <f t="shared" si="51"/>
        <v>12.482432916492957</v>
      </c>
      <c r="G191" s="110">
        <f t="shared" si="76"/>
        <v>0.19917195008615443</v>
      </c>
      <c r="H191" s="414" t="b">
        <f>Wh_hp&gt;='2026'!Maxi_hp</f>
        <v>0</v>
      </c>
      <c r="I191" s="390">
        <f>IF(H191,Wh_hp,'2026'!Maxi_hp)</f>
        <v>61.557220620707511</v>
      </c>
      <c r="J191" s="85">
        <f>IF(H191,An,'2026'!An_max)</f>
        <v>2019</v>
      </c>
      <c r="K191" s="197">
        <f t="shared" si="52"/>
        <v>46564</v>
      </c>
      <c r="L191" s="147">
        <f>IF(t&lt;Tvie,1-EXP((T0-t)*PertePVj)+'2026'!Pspv,1-EXP((T0-t)*PertePVj)+Pspv)</f>
        <v>6.9830800848830754E-2</v>
      </c>
      <c r="M191" s="845"/>
      <c r="N191" s="845"/>
      <c r="O191" s="48">
        <f>IF(t&lt;Tnet,'2026'!Resal+('2026'!Salim-'2026'!Resal)*(1-EXP(('2026'!Tnet-t)/('2026'!Tau_j))),Resal+(Salim-Resal)*(1-EXP((Tnet-t)/(Tau_j))))*Salcycl</f>
        <v>4.0345256936923542E-2</v>
      </c>
      <c r="P191" s="169">
        <f>(INDEX(Models!$BJ191:$BT191,,T191)*(1-R191)+INDEX(Models!$BJ191:$BT191,,T191+1)*R191-ERP_i)*Q191*Ramure*Pc/MaxiM</f>
        <v>3.1913913907943468E-5</v>
      </c>
      <c r="Q191" s="305">
        <f t="shared" si="53"/>
        <v>0.5</v>
      </c>
      <c r="R191" s="177">
        <f t="shared" si="54"/>
        <v>0.30162565865180546</v>
      </c>
      <c r="S191" s="811">
        <f t="shared" si="55"/>
        <v>-1</v>
      </c>
      <c r="T191" s="176">
        <f t="shared" si="56"/>
        <v>5</v>
      </c>
      <c r="U191" s="251">
        <f t="shared" si="57"/>
        <v>-0.69837434134819454</v>
      </c>
      <c r="V191" s="383">
        <f t="shared" si="58"/>
        <v>55.941508547740582</v>
      </c>
      <c r="W191" s="402">
        <f t="shared" si="59"/>
        <v>11.142334943732896</v>
      </c>
      <c r="X191" s="157">
        <f t="shared" si="60"/>
        <v>46564</v>
      </c>
      <c r="Y191" s="385">
        <f t="shared" si="61"/>
        <v>10.72038489032836</v>
      </c>
      <c r="Z191" s="385">
        <f t="shared" si="62"/>
        <v>11.525198748906439</v>
      </c>
      <c r="AA191" s="386">
        <f t="shared" si="63"/>
        <v>12.482432916492957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7.6686506067397422E-2</v>
      </c>
      <c r="AD191" s="231">
        <f>(INDEX(Models!$BJ191:$BT191,,AH191)*(1-AF191)+INDEX(Models!$BJ191:$BT191,,AH191+1)*AF191-ERP_i)*AE191*Ramure*Pc/MaxiM</f>
        <v>2.2457590180911561E-4</v>
      </c>
      <c r="AE191" s="305">
        <f t="shared" si="65"/>
        <v>0.5</v>
      </c>
      <c r="AF191" s="177">
        <f t="shared" si="66"/>
        <v>0.82661322502578427</v>
      </c>
      <c r="AG191" s="811">
        <f t="shared" si="74"/>
        <v>2</v>
      </c>
      <c r="AH191" s="176">
        <f t="shared" si="67"/>
        <v>8</v>
      </c>
      <c r="AI191" s="225">
        <f t="shared" si="68"/>
        <v>2.8266132250257843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'2026'!Wh/'2026'!Env_an*'2027'!Env_an</f>
        <v>12.162649112940729</v>
      </c>
      <c r="C192" s="841"/>
      <c r="D192" s="393">
        <f t="shared" si="50"/>
        <v>13.076024795386768</v>
      </c>
      <c r="E192" s="385">
        <f t="shared" si="75"/>
        <v>13.626911834527801</v>
      </c>
      <c r="F192" s="385">
        <f t="shared" si="51"/>
        <v>13.626911834527801</v>
      </c>
      <c r="G192" s="110">
        <f t="shared" si="76"/>
        <v>0.21771193727624261</v>
      </c>
      <c r="H192" s="414" t="b">
        <f>Wh_hp&gt;='2026'!Maxi_hp</f>
        <v>0</v>
      </c>
      <c r="I192" s="390">
        <f>IF(H192,Wh_hp,'2026'!Maxi_hp)</f>
        <v>61.321800192772599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6.9851173941508526E-2</v>
      </c>
      <c r="M192" s="845"/>
      <c r="N192" s="845"/>
      <c r="O192" s="48">
        <f>IF(t&lt;Tnet,'2026'!Resal+('2026'!Salim-'2026'!Resal)*(1-EXP(('2026'!Tnet-t)/('2026'!Tau_j))),Resal+(Salim-Resal)*(1-EXP((Tnet-t)/(Tau_j))))*Salcycl</f>
        <v>4.0426403709841144E-2</v>
      </c>
      <c r="P192" s="169">
        <f>(INDEX(Models!$BJ192:$BT192,,T192)*(1-R192)+INDEX(Models!$BJ192:$BT192,,T192+1)*R192-ERP_i)*Q192*Ramure*Pc/MaxiM</f>
        <v>3.2154096884063635E-5</v>
      </c>
      <c r="Q192" s="305">
        <f t="shared" si="53"/>
        <v>0.5</v>
      </c>
      <c r="R192" s="177">
        <f t="shared" si="54"/>
        <v>0.3062224240695226</v>
      </c>
      <c r="S192" s="811">
        <f t="shared" si="55"/>
        <v>-1</v>
      </c>
      <c r="T192" s="176">
        <f t="shared" si="56"/>
        <v>5</v>
      </c>
      <c r="U192" s="251">
        <f t="shared" si="57"/>
        <v>-0.6937775759304774</v>
      </c>
      <c r="V192" s="383">
        <f t="shared" si="58"/>
        <v>55.863992512779717</v>
      </c>
      <c r="W192" s="402">
        <f t="shared" si="59"/>
        <v>12.162649112940729</v>
      </c>
      <c r="X192" s="157">
        <f t="shared" si="60"/>
        <v>46565</v>
      </c>
      <c r="Y192" s="385">
        <f t="shared" si="61"/>
        <v>11.702294509731693</v>
      </c>
      <c r="Z192" s="385">
        <f t="shared" si="62"/>
        <v>12.581099047687028</v>
      </c>
      <c r="AA192" s="386">
        <f t="shared" si="63"/>
        <v>13.626911834527801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7.6746132912586834E-2</v>
      </c>
      <c r="AD192" s="231">
        <f>(INDEX(Models!$BJ192:$BT192,,AH192)*(1-AF192)+INDEX(Models!$BJ192:$BT192,,AH192+1)*AF192-ERP_i)*AE192*Ramure*Pc/MaxiM</f>
        <v>2.2923712152338961E-4</v>
      </c>
      <c r="AE192" s="305">
        <f t="shared" si="65"/>
        <v>0.5</v>
      </c>
      <c r="AF192" s="177">
        <f t="shared" si="66"/>
        <v>0.83120999044350175</v>
      </c>
      <c r="AG192" s="811">
        <f t="shared" si="74"/>
        <v>2</v>
      </c>
      <c r="AH192" s="176">
        <f t="shared" si="67"/>
        <v>8</v>
      </c>
      <c r="AI192" s="225">
        <f t="shared" si="68"/>
        <v>2.8312099904435017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'2026'!Wh/'2026'!Env_an*'2027'!Env_an</f>
        <v>55.214259290222223</v>
      </c>
      <c r="C193" s="841"/>
      <c r="D193" s="393">
        <f t="shared" si="50"/>
        <v>59.361972088561522</v>
      </c>
      <c r="E193" s="385">
        <f t="shared" si="75"/>
        <v>61.868053288865148</v>
      </c>
      <c r="F193" s="385">
        <f t="shared" si="51"/>
        <v>61.870030463144346</v>
      </c>
      <c r="G193" s="110">
        <f t="shared" si="76"/>
        <v>0.98977304758267382</v>
      </c>
      <c r="H193" s="414" t="b">
        <f>Wh_hp&gt;='2026'!Maxi_hp</f>
        <v>0</v>
      </c>
      <c r="I193" s="390">
        <f>IF(H193,Wh_hp,'2026'!Maxi_hp)</f>
        <v>61.870053203422515</v>
      </c>
      <c r="J193" s="85">
        <f>IF(H193,An,'2026'!An_max)</f>
        <v>2025</v>
      </c>
      <c r="K193" s="197">
        <f t="shared" si="52"/>
        <v>46566</v>
      </c>
      <c r="L193" s="147">
        <f>IF(t&lt;Tvie,1-EXP((T0-t)*PertePVj)+'2026'!Pspv,1-EXP((T0-t)*PertePVj)+Pspv)</f>
        <v>6.987154658796324E-2</v>
      </c>
      <c r="M193" s="845"/>
      <c r="N193" s="845"/>
      <c r="O193" s="48">
        <f>IF(t&lt;Tnet,'2026'!Resal+('2026'!Salim-'2026'!Resal)*(1-EXP(('2026'!Tnet-t)/('2026'!Tau_j))),Resal+(Salim-Resal)*(1-EXP((Tnet-t)/(Tau_j))))*Salcycl</f>
        <v>4.0506870138657884E-2</v>
      </c>
      <c r="P193" s="169">
        <f>(INDEX(Models!$BJ193:$BT193,,T193)*(1-R193)+INDEX(Models!$BJ193:$BT193,,T193+1)*R193-ERP_i)*Q193*Ramure*Pc/MaxiM</f>
        <v>3.2430686830630543E-5</v>
      </c>
      <c r="Q193" s="305">
        <f t="shared" si="53"/>
        <v>0.5</v>
      </c>
      <c r="R193" s="177">
        <f t="shared" si="54"/>
        <v>0.31075620360035217</v>
      </c>
      <c r="S193" s="811">
        <f t="shared" si="55"/>
        <v>-1</v>
      </c>
      <c r="T193" s="176">
        <f t="shared" si="56"/>
        <v>5</v>
      </c>
      <c r="U193" s="251">
        <f t="shared" si="57"/>
        <v>-0.68924379639964783</v>
      </c>
      <c r="V193" s="383">
        <f t="shared" si="58"/>
        <v>55.784741021550715</v>
      </c>
      <c r="W193" s="402">
        <f t="shared" si="59"/>
        <v>55.214259290222223</v>
      </c>
      <c r="X193" s="157">
        <f t="shared" si="60"/>
        <v>46566</v>
      </c>
      <c r="Y193" s="385">
        <f t="shared" si="61"/>
        <v>53.114862588574873</v>
      </c>
      <c r="Z193" s="385">
        <f t="shared" si="62"/>
        <v>57.104868035948115</v>
      </c>
      <c r="AA193" s="386">
        <f t="shared" si="63"/>
        <v>61.855660852911022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7.6804495359931599E-2</v>
      </c>
      <c r="AD193" s="231">
        <f>(INDEX(Models!$BJ193:$BT193,,AH193)*(1-AF193)+INDEX(Models!$BJ193:$BT193,,AH193+1)*AF193-ERP_i)*AE193*Ramure*Pc/MaxiM</f>
        <v>2.3569815481560137E-4</v>
      </c>
      <c r="AE193" s="305">
        <f t="shared" si="65"/>
        <v>0.5</v>
      </c>
      <c r="AF193" s="177">
        <f t="shared" si="66"/>
        <v>0.83574376997433086</v>
      </c>
      <c r="AG193" s="811">
        <f t="shared" si="74"/>
        <v>2</v>
      </c>
      <c r="AH193" s="176">
        <f t="shared" si="67"/>
        <v>8</v>
      </c>
      <c r="AI193" s="225">
        <f t="shared" si="68"/>
        <v>2.8357437699743309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'2026'!Wh/'2026'!Env_an*'2027'!Env_an</f>
        <v>52.420284687084468</v>
      </c>
      <c r="C194" s="841"/>
      <c r="D194" s="393">
        <f t="shared" si="50"/>
        <v>56.359347634942033</v>
      </c>
      <c r="E194" s="385">
        <f t="shared" si="75"/>
        <v>58.743552275649911</v>
      </c>
      <c r="F194" s="385">
        <f t="shared" si="51"/>
        <v>58.745313899999239</v>
      </c>
      <c r="G194" s="110">
        <f t="shared" si="76"/>
        <v>0.94105219551038866</v>
      </c>
      <c r="H194" s="414" t="b">
        <f>Wh_hp&gt;='2026'!Maxi_hp</f>
        <v>0</v>
      </c>
      <c r="I194" s="390">
        <f>IF(H194,Wh_hp,'2026'!Maxi_hp)</f>
        <v>58.745439245651497</v>
      </c>
      <c r="J194" s="85">
        <f>IF(H194,An,'2026'!An_max)</f>
        <v>2025</v>
      </c>
      <c r="K194" s="197">
        <f t="shared" si="52"/>
        <v>46567</v>
      </c>
      <c r="L194" s="147">
        <f>IF(t&lt;Tvie,1-EXP((T0-t)*PertePVj)+'2026'!Pspv,1-EXP((T0-t)*PertePVj)+Pspv)</f>
        <v>6.9891918788204666E-2</v>
      </c>
      <c r="M194" s="845"/>
      <c r="N194" s="845"/>
      <c r="O194" s="48">
        <f>IF(t&lt;Tnet,'2026'!Resal+('2026'!Salim-'2026'!Resal)*(1-EXP(('2026'!Tnet-t)/('2026'!Tau_j))),Resal+(Salim-Resal)*(1-EXP((Tnet-t)/(Tau_j))))*Salcycl</f>
        <v>4.058666097549167E-2</v>
      </c>
      <c r="P194" s="169">
        <f>(INDEX(Models!$BJ194:$BT194,,T194)*(1-R194)+INDEX(Models!$BJ194:$BT194,,T194+1)*R194-ERP_i)*Q194*Ramure*Pc/MaxiM</f>
        <v>3.2744847027193614E-5</v>
      </c>
      <c r="Q194" s="305">
        <f t="shared" si="53"/>
        <v>0.5</v>
      </c>
      <c r="R194" s="177">
        <f t="shared" si="54"/>
        <v>0.31522453493212443</v>
      </c>
      <c r="S194" s="811">
        <f t="shared" si="55"/>
        <v>-1</v>
      </c>
      <c r="T194" s="176">
        <f t="shared" si="56"/>
        <v>5</v>
      </c>
      <c r="U194" s="251">
        <f t="shared" si="57"/>
        <v>-0.68477546506787557</v>
      </c>
      <c r="V194" s="383">
        <f t="shared" si="58"/>
        <v>55.703754150143425</v>
      </c>
      <c r="W194" s="402">
        <f t="shared" si="59"/>
        <v>52.420284687084468</v>
      </c>
      <c r="X194" s="157">
        <f t="shared" si="60"/>
        <v>46567</v>
      </c>
      <c r="Y194" s="385">
        <f t="shared" si="61"/>
        <v>50.4285417141256</v>
      </c>
      <c r="Z194" s="385">
        <f t="shared" si="62"/>
        <v>54.217937391130455</v>
      </c>
      <c r="AA194" s="386">
        <f t="shared" si="63"/>
        <v>58.73218772336481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7.686160702027614E-2</v>
      </c>
      <c r="AD194" s="231">
        <f>(INDEX(Models!$BJ194:$BT194,,AH194)*(1-AF194)+INDEX(Models!$BJ194:$BT194,,AH194+1)*AF194-ERP_i)*AE194*Ramure*Pc/MaxiM</f>
        <v>2.4398768449779458E-4</v>
      </c>
      <c r="AE194" s="305">
        <f t="shared" si="65"/>
        <v>0.5</v>
      </c>
      <c r="AF194" s="177">
        <f t="shared" si="66"/>
        <v>0.84021210130610324</v>
      </c>
      <c r="AG194" s="811">
        <f t="shared" si="74"/>
        <v>2</v>
      </c>
      <c r="AH194" s="176">
        <f t="shared" si="67"/>
        <v>8</v>
      </c>
      <c r="AI194" s="225">
        <f t="shared" si="68"/>
        <v>2.8402121013061032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'2026'!Wh/'2026'!Env_an*'2027'!Env_an</f>
        <v>13.033400600011412</v>
      </c>
      <c r="C195" s="841"/>
      <c r="D195" s="393">
        <f t="shared" si="50"/>
        <v>14.013087655582403</v>
      </c>
      <c r="E195" s="385">
        <f t="shared" si="75"/>
        <v>14.607096674106216</v>
      </c>
      <c r="F195" s="385">
        <f t="shared" si="51"/>
        <v>14.607096674106216</v>
      </c>
      <c r="G195" s="110">
        <f t="shared" si="76"/>
        <v>0.23431728583594705</v>
      </c>
      <c r="H195" s="414" t="b">
        <f>Wh_hp&gt;='2026'!Maxi_hp</f>
        <v>0</v>
      </c>
      <c r="I195" s="390">
        <f>IF(H195,Wh_hp,'2026'!Maxi_hp)</f>
        <v>52.467807817786799</v>
      </c>
      <c r="J195" s="85">
        <f>IF(H195,An,'2026'!An_max)</f>
        <v>2019</v>
      </c>
      <c r="K195" s="197">
        <f t="shared" si="52"/>
        <v>46568</v>
      </c>
      <c r="L195" s="147">
        <f>IF(t&lt;Tvie,1-EXP((T0-t)*PertePVj)+'2026'!Pspv,1-EXP((T0-t)*PertePVj)+Pspv)</f>
        <v>6.9912290542242683E-2</v>
      </c>
      <c r="M195" s="845"/>
      <c r="N195" s="845"/>
      <c r="O195" s="48">
        <f>IF(t&lt;Tnet,'2026'!Resal+('2026'!Salim-'2026'!Resal)*(1-EXP(('2026'!Tnet-t)/('2026'!Tau_j))),Resal+(Salim-Resal)*(1-EXP((Tnet-t)/(Tau_j))))*Salcycl</f>
        <v>4.0665782651853381E-2</v>
      </c>
      <c r="P195" s="169">
        <f>(INDEX(Models!$BJ195:$BT195,,T195)*(1-R195)+INDEX(Models!$BJ195:$BT195,,T195+1)*R195-ERP_i)*Q195*Ramure*Pc/MaxiM</f>
        <v>3.3097720272174008E-5</v>
      </c>
      <c r="Q195" s="305">
        <f t="shared" si="53"/>
        <v>0.5</v>
      </c>
      <c r="R195" s="177">
        <f t="shared" si="54"/>
        <v>0.31962513517767999</v>
      </c>
      <c r="S195" s="811">
        <f t="shared" si="55"/>
        <v>-1</v>
      </c>
      <c r="T195" s="176">
        <f t="shared" si="56"/>
        <v>5</v>
      </c>
      <c r="U195" s="251">
        <f t="shared" si="57"/>
        <v>-0.68037486482232001</v>
      </c>
      <c r="V195" s="383">
        <f t="shared" si="58"/>
        <v>55.621031874229509</v>
      </c>
      <c r="W195" s="402">
        <f t="shared" si="59"/>
        <v>13.033400600011412</v>
      </c>
      <c r="X195" s="157">
        <f t="shared" si="60"/>
        <v>46568</v>
      </c>
      <c r="Y195" s="385">
        <f t="shared" si="61"/>
        <v>12.540889288157034</v>
      </c>
      <c r="Z195" s="385">
        <f t="shared" si="62"/>
        <v>13.483555540657981</v>
      </c>
      <c r="AA195" s="386">
        <f t="shared" si="63"/>
        <v>14.607096674106216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7.6917484597738117E-2</v>
      </c>
      <c r="AD195" s="231">
        <f>(INDEX(Models!$BJ195:$BT195,,AH195)*(1-AF195)+INDEX(Models!$BJ195:$BT195,,AH195+1)*AF195-ERP_i)*AE195*Ramure*Pc/MaxiM</f>
        <v>2.5413327206413882E-4</v>
      </c>
      <c r="AE195" s="305">
        <f t="shared" si="65"/>
        <v>0.5</v>
      </c>
      <c r="AF195" s="177">
        <f t="shared" si="66"/>
        <v>0.84461270155165913</v>
      </c>
      <c r="AG195" s="811">
        <f t="shared" si="74"/>
        <v>2</v>
      </c>
      <c r="AH195" s="176">
        <f t="shared" si="67"/>
        <v>8</v>
      </c>
      <c r="AI195" s="225">
        <f t="shared" si="68"/>
        <v>2.8446127015516591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'2026'!Wh/'2026'!Env_an*'2027'!Env_an</f>
        <v>46.918632162835515</v>
      </c>
      <c r="C196" s="841"/>
      <c r="D196" s="393">
        <f t="shared" si="50"/>
        <v>50.446489451146526</v>
      </c>
      <c r="E196" s="385">
        <f t="shared" si="75"/>
        <v>52.589196461690655</v>
      </c>
      <c r="F196" s="385">
        <f t="shared" si="51"/>
        <v>52.5905673016645</v>
      </c>
      <c r="G196" s="110">
        <f t="shared" si="76"/>
        <v>0.84481775486531219</v>
      </c>
      <c r="H196" s="414" t="b">
        <f>Wh_hp&gt;='2026'!Maxi_hp</f>
        <v>0</v>
      </c>
      <c r="I196" s="390">
        <f>IF(H196,Wh_hp,'2026'!Maxi_hp)</f>
        <v>60.470455322225597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6.9932661850087063E-2</v>
      </c>
      <c r="M196" s="845"/>
      <c r="N196" s="845"/>
      <c r="O196" s="48">
        <f>IF(t&lt;Tnet,'2026'!Resal+('2026'!Salim-'2026'!Resal)*(1-EXP(('2026'!Tnet-t)/('2026'!Tau_j))),Resal+(Salim-Resal)*(1-EXP((Tnet-t)/(Tau_j))))*Salcycl</f>
        <v>4.0744243204115405E-2</v>
      </c>
      <c r="P196" s="169">
        <f>(INDEX(Models!$BJ196:$BT196,,T196)*(1-R196)+INDEX(Models!$BJ196:$BT196,,T196+1)*R196-ERP_i)*Q196*Ramure*Pc/MaxiM</f>
        <v>3.3490427584509899E-5</v>
      </c>
      <c r="Q196" s="305">
        <f t="shared" si="53"/>
        <v>0.5</v>
      </c>
      <c r="R196" s="177">
        <f t="shared" si="54"/>
        <v>0.32395590269862296</v>
      </c>
      <c r="S196" s="811">
        <f t="shared" si="55"/>
        <v>-1</v>
      </c>
      <c r="T196" s="176">
        <f t="shared" si="56"/>
        <v>5</v>
      </c>
      <c r="U196" s="251">
        <f t="shared" si="57"/>
        <v>-0.67604409730137704</v>
      </c>
      <c r="V196" s="383">
        <f t="shared" si="58"/>
        <v>55.536574074439145</v>
      </c>
      <c r="W196" s="402">
        <f t="shared" si="59"/>
        <v>46.918632162835515</v>
      </c>
      <c r="X196" s="157">
        <f t="shared" si="60"/>
        <v>46569</v>
      </c>
      <c r="Y196" s="385">
        <f t="shared" si="61"/>
        <v>45.138495293897982</v>
      </c>
      <c r="Z196" s="385">
        <f t="shared" si="62"/>
        <v>48.532502370943739</v>
      </c>
      <c r="AA196" s="386">
        <f t="shared" si="63"/>
        <v>52.579672706096993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7.6972147730466095E-2</v>
      </c>
      <c r="AD196" s="231">
        <f>(INDEX(Models!$BJ196:$BT196,,AH196)*(1-AF196)+INDEX(Models!$BJ196:$BT196,,AH196+1)*AF196-ERP_i)*AE196*Ramure*Pc/MaxiM</f>
        <v>2.661613834411683E-4</v>
      </c>
      <c r="AE196" s="305">
        <f t="shared" si="65"/>
        <v>0.5</v>
      </c>
      <c r="AF196" s="177">
        <f t="shared" si="66"/>
        <v>0.84894346907260188</v>
      </c>
      <c r="AG196" s="811">
        <f t="shared" si="74"/>
        <v>2</v>
      </c>
      <c r="AH196" s="176">
        <f t="shared" si="67"/>
        <v>8</v>
      </c>
      <c r="AI196" s="225">
        <f t="shared" si="68"/>
        <v>2.8489434690726019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'2026'!Wh/'2026'!Env_an*'2027'!Env_an</f>
        <v>52.266340527829755</v>
      </c>
      <c r="C197" s="841"/>
      <c r="D197" s="393">
        <f t="shared" si="50"/>
        <v>56.19752804551716</v>
      </c>
      <c r="E197" s="385">
        <f t="shared" si="75"/>
        <v>58.589261954847402</v>
      </c>
      <c r="F197" s="385">
        <f t="shared" si="51"/>
        <v>58.591086554829936</v>
      </c>
      <c r="G197" s="110">
        <f t="shared" si="76"/>
        <v>0.9425759493114988</v>
      </c>
      <c r="H197" s="414" t="b">
        <f>Wh_hp&gt;='2026'!Maxi_hp</f>
        <v>0</v>
      </c>
      <c r="I197" s="390">
        <f>IF(H197,Wh_hp,'2026'!Maxi_hp)</f>
        <v>58.591211914112371</v>
      </c>
      <c r="J197" s="85">
        <f>IF(H197,An,'2026'!An_max)</f>
        <v>2025</v>
      </c>
      <c r="K197" s="197">
        <f t="shared" si="52"/>
        <v>46570</v>
      </c>
      <c r="L197" s="147">
        <f>IF(t&lt;Tvie,1-EXP((T0-t)*PertePVj)+'2026'!Pspv,1-EXP((T0-t)*PertePVj)+Pspv)</f>
        <v>6.9953032711747465E-2</v>
      </c>
      <c r="M197" s="845"/>
      <c r="N197" s="845"/>
      <c r="O197" s="48">
        <f>IF(t&lt;Tnet,'2026'!Resal+('2026'!Salim-'2026'!Resal)*(1-EXP(('2026'!Tnet-t)/('2026'!Tau_j))),Resal+(Salim-Resal)*(1-EXP((Tnet-t)/(Tau_j))))*Salcycl</f>
        <v>4.0822052190612454E-2</v>
      </c>
      <c r="P197" s="169">
        <f>(INDEX(Models!$BJ197:$BT197,,T197)*(1-R197)+INDEX(Models!$BJ197:$BT197,,T197+1)*R197-ERP_i)*Q197*Ramure*Pc/MaxiM</f>
        <v>3.3924067219114792E-5</v>
      </c>
      <c r="Q197" s="305">
        <f t="shared" si="53"/>
        <v>0.5</v>
      </c>
      <c r="R197" s="177">
        <f t="shared" si="54"/>
        <v>0.32821491800628355</v>
      </c>
      <c r="S197" s="811">
        <f t="shared" si="55"/>
        <v>-1</v>
      </c>
      <c r="T197" s="176">
        <f t="shared" si="56"/>
        <v>5</v>
      </c>
      <c r="U197" s="251">
        <f t="shared" si="57"/>
        <v>-0.67178508199371645</v>
      </c>
      <c r="V197" s="383">
        <f t="shared" si="58"/>
        <v>55.450380538651039</v>
      </c>
      <c r="W197" s="402">
        <f t="shared" si="59"/>
        <v>52.266340527829755</v>
      </c>
      <c r="X197" s="157">
        <f t="shared" si="60"/>
        <v>46570</v>
      </c>
      <c r="Y197" s="385">
        <f t="shared" si="61"/>
        <v>50.282214794766034</v>
      </c>
      <c r="Z197" s="385">
        <f t="shared" si="62"/>
        <v>54.064167255310132</v>
      </c>
      <c r="AA197" s="386">
        <f t="shared" si="63"/>
        <v>58.576021564116367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7.7025618816867369E-2</v>
      </c>
      <c r="AD197" s="231">
        <f>(INDEX(Models!$BJ197:$BT197,,AH197)*(1-AF197)+INDEX(Models!$BJ197:$BT197,,AH197+1)*AF197-ERP_i)*AE197*Ramure*Pc/MaxiM</f>
        <v>2.8009742547044277E-4</v>
      </c>
      <c r="AE197" s="305">
        <f t="shared" si="65"/>
        <v>0.5</v>
      </c>
      <c r="AF197" s="177">
        <f t="shared" si="66"/>
        <v>0.85320248438026258</v>
      </c>
      <c r="AG197" s="811">
        <f t="shared" si="74"/>
        <v>2</v>
      </c>
      <c r="AH197" s="176">
        <f t="shared" si="67"/>
        <v>8</v>
      </c>
      <c r="AI197" s="225">
        <f t="shared" si="68"/>
        <v>2.8532024843802626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'2026'!Wh/'2026'!Env_an*'2027'!Env_an</f>
        <v>43.55241235972629</v>
      </c>
      <c r="C198" s="841"/>
      <c r="D198" s="393">
        <f t="shared" si="50"/>
        <v>46.829211665743941</v>
      </c>
      <c r="E198" s="385">
        <f t="shared" si="75"/>
        <v>48.826163706268488</v>
      </c>
      <c r="F198" s="385">
        <f t="shared" si="51"/>
        <v>48.827343393478465</v>
      </c>
      <c r="G198" s="110">
        <f t="shared" si="76"/>
        <v>0.78666976691558854</v>
      </c>
      <c r="H198" s="414" t="b">
        <f>Wh_hp&gt;='2026'!Maxi_hp</f>
        <v>0</v>
      </c>
      <c r="I198" s="390">
        <f>IF(H198,Wh_hp,'2026'!Maxi_hp)</f>
        <v>53.763656051916264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6.9973403127233658E-2</v>
      </c>
      <c r="M198" s="845"/>
      <c r="N198" s="845"/>
      <c r="O198" s="48">
        <f>IF(t&lt;Tnet,'2026'!Resal+('2026'!Salim-'2026'!Resal)*(1-EXP(('2026'!Tnet-t)/('2026'!Tau_j))),Resal+(Salim-Resal)*(1-EXP((Tnet-t)/(Tau_j))))*Salcycl</f>
        <v>4.0899220601027277E-2</v>
      </c>
      <c r="P198" s="169">
        <f>(INDEX(Models!$BJ198:$BT198,,T198)*(1-R198)+INDEX(Models!$BJ198:$BT198,,T198+1)*R198-ERP_i)*Q198*Ramure*Pc/MaxiM</f>
        <v>3.4750416402996412E-5</v>
      </c>
      <c r="Q198" s="305">
        <f t="shared" si="53"/>
        <v>0.5</v>
      </c>
      <c r="R198" s="177">
        <f t="shared" si="54"/>
        <v>0.33240044377358002</v>
      </c>
      <c r="S198" s="811">
        <f t="shared" si="55"/>
        <v>-1</v>
      </c>
      <c r="T198" s="176">
        <f t="shared" si="56"/>
        <v>5</v>
      </c>
      <c r="U198" s="251">
        <f t="shared" si="57"/>
        <v>-0.66759955622641998</v>
      </c>
      <c r="V198" s="383">
        <f t="shared" si="58"/>
        <v>55.362431554660965</v>
      </c>
      <c r="W198" s="402">
        <f t="shared" si="59"/>
        <v>43.55241235972629</v>
      </c>
      <c r="X198" s="157">
        <f t="shared" si="60"/>
        <v>46571</v>
      </c>
      <c r="Y198" s="385">
        <f t="shared" si="61"/>
        <v>41.901904522964095</v>
      </c>
      <c r="Z198" s="385">
        <f t="shared" si="62"/>
        <v>45.054522810272431</v>
      </c>
      <c r="AA198" s="386">
        <f t="shared" si="63"/>
        <v>48.817255459268495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7.7077922828651557E-2</v>
      </c>
      <c r="AD198" s="231">
        <f>(INDEX(Models!$BJ198:$BT198,,AH198)*(1-AF198)+INDEX(Models!$BJ198:$BT198,,AH198+1)*AF198-ERP_i)*AE198*Ramure*Pc/MaxiM</f>
        <v>2.9716344423928265E-4</v>
      </c>
      <c r="AE198" s="305">
        <f t="shared" si="65"/>
        <v>0.5</v>
      </c>
      <c r="AF198" s="177">
        <f t="shared" si="66"/>
        <v>0.85738801014755905</v>
      </c>
      <c r="AG198" s="811">
        <f t="shared" si="74"/>
        <v>2</v>
      </c>
      <c r="AH198" s="176">
        <f t="shared" si="67"/>
        <v>8</v>
      </c>
      <c r="AI198" s="225">
        <f t="shared" si="68"/>
        <v>2.8573880101475591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'2026'!Wh/'2026'!Env_an*'2027'!Env_an</f>
        <v>41.33079570716891</v>
      </c>
      <c r="C199" s="841"/>
      <c r="D199" s="393">
        <f t="shared" si="50"/>
        <v>44.441418252417762</v>
      </c>
      <c r="E199" s="385">
        <f t="shared" si="75"/>
        <v>46.34024504696518</v>
      </c>
      <c r="F199" s="385">
        <f t="shared" si="51"/>
        <v>46.341311693529413</v>
      </c>
      <c r="G199" s="110">
        <f t="shared" si="76"/>
        <v>0.74775142613253653</v>
      </c>
      <c r="H199" s="414" t="b">
        <f>Wh_hp&gt;='2026'!Maxi_hp</f>
        <v>0</v>
      </c>
      <c r="I199" s="390">
        <f>IF(H199,Wh_hp,'2026'!Maxi_hp)</f>
        <v>58.995697367701958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6.9993773096555523E-2</v>
      </c>
      <c r="M199" s="845"/>
      <c r="N199" s="845"/>
      <c r="O199" s="48">
        <f>IF(t&lt;Tnet,'2026'!Resal+('2026'!Salim-'2026'!Resal)*(1-EXP(('2026'!Tnet-t)/('2026'!Tau_j))),Resal+(Salim-Resal)*(1-EXP((Tnet-t)/(Tau_j))))*Salcycl</f>
        <v>4.0975760758774182E-2</v>
      </c>
      <c r="P199" s="169">
        <f>(INDEX(Models!$BJ199:$BT199,,T199)*(1-R199)+INDEX(Models!$BJ199:$BT199,,T199+1)*R199-ERP_i)*Q199*Ramure*Pc/MaxiM</f>
        <v>3.5983539000618597E-5</v>
      </c>
      <c r="Q199" s="305">
        <f t="shared" si="53"/>
        <v>0.5</v>
      </c>
      <c r="R199" s="177">
        <f t="shared" si="54"/>
        <v>0.33651092399753713</v>
      </c>
      <c r="S199" s="811">
        <f t="shared" si="55"/>
        <v>-1</v>
      </c>
      <c r="T199" s="176">
        <f t="shared" si="56"/>
        <v>5</v>
      </c>
      <c r="U199" s="251">
        <f t="shared" si="57"/>
        <v>-0.66348907600246287</v>
      </c>
      <c r="V199" s="383">
        <f t="shared" si="58"/>
        <v>55.272726123557092</v>
      </c>
      <c r="W199" s="402">
        <f t="shared" si="59"/>
        <v>41.33079570716891</v>
      </c>
      <c r="X199" s="157">
        <f t="shared" si="60"/>
        <v>46572</v>
      </c>
      <c r="Y199" s="385">
        <f t="shared" si="61"/>
        <v>39.76555206536726</v>
      </c>
      <c r="Z199" s="385">
        <f t="shared" si="62"/>
        <v>42.758371842058445</v>
      </c>
      <c r="AA199" s="386">
        <f t="shared" si="63"/>
        <v>46.331909744839727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7.7129087112134231E-2</v>
      </c>
      <c r="AD199" s="231">
        <f>(INDEX(Models!$BJ199:$BT199,,AH199)*(1-AF199)+INDEX(Models!$BJ199:$BT199,,AH199+1)*AF199-ERP_i)*AE199*Ramure*Pc/MaxiM</f>
        <v>3.1717665316814377E-4</v>
      </c>
      <c r="AE199" s="305">
        <f t="shared" si="65"/>
        <v>0.5</v>
      </c>
      <c r="AF199" s="177">
        <f t="shared" si="66"/>
        <v>0.86149849037151593</v>
      </c>
      <c r="AG199" s="811">
        <f t="shared" si="74"/>
        <v>2</v>
      </c>
      <c r="AH199" s="176">
        <f t="shared" si="67"/>
        <v>8</v>
      </c>
      <c r="AI199" s="225">
        <f t="shared" si="68"/>
        <v>2.8614984903715159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'2026'!Wh/'2026'!Env_an*'2027'!Env_an</f>
        <v>51.784934469617653</v>
      </c>
      <c r="C200" s="841"/>
      <c r="D200" s="393">
        <f t="shared" si="50"/>
        <v>55.683572022797392</v>
      </c>
      <c r="E200" s="385">
        <f t="shared" si="75"/>
        <v>58.067333997530177</v>
      </c>
      <c r="F200" s="385">
        <f t="shared" si="51"/>
        <v>58.069327082068249</v>
      </c>
      <c r="G200" s="110">
        <f t="shared" si="76"/>
        <v>0.93844830311099137</v>
      </c>
      <c r="H200" s="414" t="b">
        <f>Wh_hp&gt;='2026'!Maxi_hp</f>
        <v>0</v>
      </c>
      <c r="I200" s="390">
        <f>IF(H200,Wh_hp,'2026'!Maxi_hp)</f>
        <v>61.322232788721351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7.0014142619722719E-2</v>
      </c>
      <c r="M200" s="845"/>
      <c r="N200" s="845"/>
      <c r="O200" s="48">
        <f>IF(t&lt;Tnet,'2026'!Resal+('2026'!Salim-'2026'!Resal)*(1-EXP(('2026'!Tnet-t)/('2026'!Tau_j))),Resal+(Salim-Resal)*(1-EXP((Tnet-t)/(Tau_j))))*Salcycl</f>
        <v>4.1051686217145375E-2</v>
      </c>
      <c r="P200" s="169">
        <f>(INDEX(Models!$BJ200:$BT200,,T200)*(1-R200)+INDEX(Models!$BJ200:$BT200,,T200+1)*R200-ERP_i)*Q200*Ramure*Pc/MaxiM</f>
        <v>3.7631290964978456E-5</v>
      </c>
      <c r="Q200" s="305">
        <f t="shared" si="53"/>
        <v>0.5</v>
      </c>
      <c r="R200" s="177">
        <f t="shared" si="54"/>
        <v>0.34054498235751096</v>
      </c>
      <c r="S200" s="811">
        <f t="shared" si="55"/>
        <v>-1</v>
      </c>
      <c r="T200" s="176">
        <f t="shared" si="56"/>
        <v>5</v>
      </c>
      <c r="U200" s="251">
        <f t="shared" si="57"/>
        <v>-0.65945501764248904</v>
      </c>
      <c r="V200" s="383">
        <f t="shared" si="58"/>
        <v>55.181263524690273</v>
      </c>
      <c r="W200" s="402">
        <f t="shared" si="59"/>
        <v>51.784934469617653</v>
      </c>
      <c r="X200" s="157">
        <f t="shared" si="60"/>
        <v>46573</v>
      </c>
      <c r="Y200" s="385">
        <f t="shared" si="61"/>
        <v>49.82023551063412</v>
      </c>
      <c r="Z200" s="385">
        <f t="shared" si="62"/>
        <v>53.570960370273994</v>
      </c>
      <c r="AA200" s="386">
        <f t="shared" si="63"/>
        <v>58.051310672296211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7.7179141179328642E-2</v>
      </c>
      <c r="AD200" s="231">
        <f>(INDEX(Models!$BJ200:$BT200,,AH200)*(1-AF200)+INDEX(Models!$BJ200:$BT200,,AH200+1)*AF200-ERP_i)*AE200*Ramure*Pc/MaxiM</f>
        <v>3.4016658366658754E-4</v>
      </c>
      <c r="AE200" s="305">
        <f t="shared" si="65"/>
        <v>0.5</v>
      </c>
      <c r="AF200" s="177">
        <f t="shared" si="66"/>
        <v>0.86553254873148999</v>
      </c>
      <c r="AG200" s="811">
        <f t="shared" si="74"/>
        <v>2</v>
      </c>
      <c r="AH200" s="176">
        <f t="shared" si="67"/>
        <v>8</v>
      </c>
      <c r="AI200" s="225">
        <f t="shared" si="68"/>
        <v>2.86553254873149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'2026'!Wh/'2026'!Env_an*'2027'!Env_an</f>
        <v>44.471505653269574</v>
      </c>
      <c r="C201" s="841"/>
      <c r="D201" s="393">
        <f t="shared" si="50"/>
        <v>47.82059787445332</v>
      </c>
      <c r="E201" s="385">
        <f t="shared" si="75"/>
        <v>49.871670654466072</v>
      </c>
      <c r="F201" s="385">
        <f t="shared" si="51"/>
        <v>49.873105551356375</v>
      </c>
      <c r="G201" s="110">
        <f t="shared" si="76"/>
        <v>0.80727172605479225</v>
      </c>
      <c r="H201" s="414" t="b">
        <f>Wh_hp&gt;='2026'!Maxi_hp</f>
        <v>0</v>
      </c>
      <c r="I201" s="390">
        <f>IF(H201,Wh_hp,'2026'!Maxi_hp)</f>
        <v>60.73746121896113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7.0034511696745128E-2</v>
      </c>
      <c r="M201" s="845"/>
      <c r="N201" s="845"/>
      <c r="O201" s="48">
        <f>IF(t&lt;Tnet,'2026'!Resal+('2026'!Salim-'2026'!Resal)*(1-EXP(('2026'!Tnet-t)/('2026'!Tau_j))),Resal+(Salim-Resal)*(1-EXP((Tnet-t)/(Tau_j))))*Salcycl</f>
        <v>4.1127011650031443E-2</v>
      </c>
      <c r="P201" s="169">
        <f>(INDEX(Models!$BJ201:$BT201,,T201)*(1-R201)+INDEX(Models!$BJ201:$BT201,,T201+1)*R201-ERP_i)*Q201*Ramure*Pc/MaxiM</f>
        <v>3.9701243626704542E-5</v>
      </c>
      <c r="Q201" s="305">
        <f t="shared" si="53"/>
        <v>0.5</v>
      </c>
      <c r="R201" s="177">
        <f t="shared" si="54"/>
        <v>0.34450141981863713</v>
      </c>
      <c r="S201" s="811">
        <f t="shared" si="55"/>
        <v>-1</v>
      </c>
      <c r="T201" s="176">
        <f t="shared" si="56"/>
        <v>5</v>
      </c>
      <c r="U201" s="251">
        <f t="shared" si="57"/>
        <v>-0.65549858018136287</v>
      </c>
      <c r="V201" s="383">
        <f t="shared" si="58"/>
        <v>55.088042994195391</v>
      </c>
      <c r="W201" s="402">
        <f t="shared" si="59"/>
        <v>44.471505653269574</v>
      </c>
      <c r="X201" s="157">
        <f t="shared" si="60"/>
        <v>46574</v>
      </c>
      <c r="Y201" s="385">
        <f t="shared" si="61"/>
        <v>42.787049640160959</v>
      </c>
      <c r="Z201" s="385">
        <f t="shared" si="62"/>
        <v>46.009287633057212</v>
      </c>
      <c r="AA201" s="386">
        <f t="shared" si="63"/>
        <v>49.859871605613137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7.7228116490425075E-2</v>
      </c>
      <c r="AD201" s="231">
        <f>(INDEX(Models!$BJ201:$BT201,,AH201)*(1-AF201)+INDEX(Models!$BJ201:$BT201,,AH201+1)*AF201-ERP_i)*AE201*Ramure*Pc/MaxiM</f>
        <v>3.6616157415013791E-4</v>
      </c>
      <c r="AE201" s="305">
        <f t="shared" si="65"/>
        <v>0.5</v>
      </c>
      <c r="AF201" s="177">
        <f t="shared" si="66"/>
        <v>0.86948898619261605</v>
      </c>
      <c r="AG201" s="811">
        <f t="shared" si="74"/>
        <v>2</v>
      </c>
      <c r="AH201" s="176">
        <f t="shared" si="67"/>
        <v>8</v>
      </c>
      <c r="AI201" s="225">
        <f t="shared" si="68"/>
        <v>2.8694889861926161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'2026'!Wh/'2026'!Env_an*'2027'!Env_an</f>
        <v>51.077233535027496</v>
      </c>
      <c r="C202" s="841"/>
      <c r="D202" s="393">
        <f t="shared" si="50"/>
        <v>54.924997674080714</v>
      </c>
      <c r="E202" s="385">
        <f t="shared" si="75"/>
        <v>57.285250396453584</v>
      </c>
      <c r="F202" s="385">
        <f t="shared" si="51"/>
        <v>57.287422043728895</v>
      </c>
      <c r="G202" s="110">
        <f t="shared" si="76"/>
        <v>0.92879012005717188</v>
      </c>
      <c r="H202" s="414" t="b">
        <f>Wh_hp&gt;='2026'!Maxi_hp</f>
        <v>0</v>
      </c>
      <c r="I202" s="390">
        <f>IF(H202,Wh_hp,'2026'!Maxi_hp)</f>
        <v>57.287609724929979</v>
      </c>
      <c r="J202" s="85">
        <f>IF(H202,An,'2026'!An_max)</f>
        <v>2025</v>
      </c>
      <c r="K202" s="197">
        <f t="shared" si="52"/>
        <v>46575</v>
      </c>
      <c r="L202" s="147">
        <f>IF(t&lt;Tvie,1-EXP((T0-t)*PertePVj)+'2026'!Pspv,1-EXP((T0-t)*PertePVj)+Pspv)</f>
        <v>7.0054880327632518E-2</v>
      </c>
      <c r="M202" s="845"/>
      <c r="N202" s="845"/>
      <c r="O202" s="48">
        <f>IF(t&lt;Tnet,'2026'!Resal+('2026'!Salim-'2026'!Resal)*(1-EXP(('2026'!Tnet-t)/('2026'!Tau_j))),Resal+(Salim-Resal)*(1-EXP((Tnet-t)/(Tau_j))))*Salcycl</f>
        <v>4.1201752738065818E-2</v>
      </c>
      <c r="P202" s="169">
        <f>(INDEX(Models!$BJ202:$BT202,,T202)*(1-R202)+INDEX(Models!$BJ202:$BT202,,T202+1)*R202-ERP_i)*Q202*Ramure*Pc/MaxiM</f>
        <v>4.2200693217468132E-5</v>
      </c>
      <c r="Q202" s="305">
        <f t="shared" si="53"/>
        <v>0.5</v>
      </c>
      <c r="R202" s="177">
        <f t="shared" si="54"/>
        <v>0.34837921153367668</v>
      </c>
      <c r="S202" s="811">
        <f t="shared" si="55"/>
        <v>-1</v>
      </c>
      <c r="T202" s="176">
        <f t="shared" si="56"/>
        <v>5</v>
      </c>
      <c r="U202" s="251">
        <f t="shared" si="57"/>
        <v>-0.65162078846632332</v>
      </c>
      <c r="V202" s="383">
        <f t="shared" si="58"/>
        <v>54.993063729861923</v>
      </c>
      <c r="W202" s="402">
        <f t="shared" si="59"/>
        <v>51.077233535027496</v>
      </c>
      <c r="X202" s="157">
        <f t="shared" si="60"/>
        <v>46575</v>
      </c>
      <c r="Y202" s="385">
        <f t="shared" si="61"/>
        <v>49.139891883126175</v>
      </c>
      <c r="Z202" s="385">
        <f t="shared" si="62"/>
        <v>52.841711670511096</v>
      </c>
      <c r="AA202" s="386">
        <f t="shared" si="63"/>
        <v>57.267085626827928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7.7276046229313944E-2</v>
      </c>
      <c r="AD202" s="231">
        <f>(INDEX(Models!$BJ202:$BT202,,AH202)*(1-AF202)+INDEX(Models!$BJ202:$BT202,,AH202+1)*AF202-ERP_i)*AE202*Ramure*Pc/MaxiM</f>
        <v>3.9518889671277948E-4</v>
      </c>
      <c r="AE202" s="305">
        <f t="shared" si="65"/>
        <v>0.5</v>
      </c>
      <c r="AF202" s="177">
        <f t="shared" si="66"/>
        <v>0.87336677790765549</v>
      </c>
      <c r="AG202" s="811">
        <f t="shared" si="74"/>
        <v>2</v>
      </c>
      <c r="AH202" s="176">
        <f t="shared" si="67"/>
        <v>8</v>
      </c>
      <c r="AI202" s="225">
        <f t="shared" si="68"/>
        <v>2.8733667779076555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'2026'!Wh/'2026'!Env_an*'2027'!Env_an</f>
        <v>53.717137395263286</v>
      </c>
      <c r="C203" s="841"/>
      <c r="D203" s="393">
        <f t="shared" si="50"/>
        <v>57.765036697143188</v>
      </c>
      <c r="E203" s="385">
        <f t="shared" si="75"/>
        <v>60.251993526367286</v>
      </c>
      <c r="F203" s="385">
        <f t="shared" si="51"/>
        <v>60.254629763114302</v>
      </c>
      <c r="G203" s="110">
        <f t="shared" si="76"/>
        <v>0.97851838143799186</v>
      </c>
      <c r="H203" s="414" t="b">
        <f>Wh_hp&gt;='2026'!Maxi_hp</f>
        <v>0</v>
      </c>
      <c r="I203" s="390">
        <f>IF(H203,Wh_hp,'2026'!Maxi_hp)</f>
        <v>63.132463716134929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7.007524851239455E-2</v>
      </c>
      <c r="M203" s="845"/>
      <c r="N203" s="845"/>
      <c r="O203" s="48">
        <f>IF(t&lt;Tnet,'2026'!Resal+('2026'!Salim-'2026'!Resal)*(1-EXP(('2026'!Tnet-t)/('2026'!Tau_j))),Resal+(Salim-Resal)*(1-EXP((Tnet-t)/(Tau_j))))*Salcycl</f>
        <v>4.1275926051073497E-2</v>
      </c>
      <c r="P203" s="169">
        <f>(INDEX(Models!$BJ203:$BT203,,T203)*(1-R203)+INDEX(Models!$BJ203:$BT203,,T203+1)*R203-ERP_i)*Q203*Ramure*Pc/MaxiM</f>
        <v>4.513667278648191E-5</v>
      </c>
      <c r="Q203" s="305">
        <f t="shared" si="53"/>
        <v>0.5</v>
      </c>
      <c r="R203" s="177">
        <f t="shared" si="54"/>
        <v>0.35217750309927909</v>
      </c>
      <c r="S203" s="811">
        <f t="shared" si="55"/>
        <v>-1</v>
      </c>
      <c r="T203" s="176">
        <f t="shared" si="56"/>
        <v>5</v>
      </c>
      <c r="U203" s="251">
        <f t="shared" si="57"/>
        <v>-0.64782249690072091</v>
      </c>
      <c r="V203" s="383">
        <f t="shared" si="58"/>
        <v>54.896324902122522</v>
      </c>
      <c r="W203" s="402">
        <f t="shared" si="59"/>
        <v>53.717137395263286</v>
      </c>
      <c r="X203" s="157">
        <f t="shared" si="60"/>
        <v>46576</v>
      </c>
      <c r="Y203" s="385">
        <f t="shared" si="61"/>
        <v>51.67827810342893</v>
      </c>
      <c r="Z203" s="385">
        <f t="shared" si="62"/>
        <v>55.572537477638832</v>
      </c>
      <c r="AA203" s="386">
        <f t="shared" si="63"/>
        <v>60.229674495027119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7.7322965073849129E-2</v>
      </c>
      <c r="AD203" s="231">
        <f>(INDEX(Models!$BJ203:$BT203,,AH203)*(1-AF203)+INDEX(Models!$BJ203:$BT203,,AH203+1)*AF203-ERP_i)*AE203*Ramure*Pc/MaxiM</f>
        <v>4.2727489146139873E-4</v>
      </c>
      <c r="AE203" s="305">
        <f t="shared" si="65"/>
        <v>0.5</v>
      </c>
      <c r="AF203" s="177">
        <f t="shared" si="66"/>
        <v>0.87716506947325801</v>
      </c>
      <c r="AG203" s="811">
        <f t="shared" si="74"/>
        <v>2</v>
      </c>
      <c r="AH203" s="176">
        <f t="shared" si="67"/>
        <v>8</v>
      </c>
      <c r="AI203" s="225">
        <f t="shared" si="68"/>
        <v>2.877165069473258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'2026'!Wh/'2026'!Env_an*'2027'!Env_an</f>
        <v>53.025171389652307</v>
      </c>
      <c r="C204" s="841"/>
      <c r="D204" s="393">
        <f t="shared" si="50"/>
        <v>57.022175953057143</v>
      </c>
      <c r="E204" s="385">
        <f t="shared" si="75"/>
        <v>59.481718168782493</v>
      </c>
      <c r="F204" s="385">
        <f t="shared" si="51"/>
        <v>59.484470747568302</v>
      </c>
      <c r="G204" s="110">
        <f t="shared" si="76"/>
        <v>0.96764884124876849</v>
      </c>
      <c r="H204" s="414" t="b">
        <f>Wh_hp&gt;='2026'!Maxi_hp</f>
        <v>0</v>
      </c>
      <c r="I204" s="390">
        <f>IF(H204,Wh_hp,'2026'!Maxi_hp)</f>
        <v>60.536567302517156</v>
      </c>
      <c r="J204" s="85">
        <f>IF(H204,An,'2026'!An_max)</f>
        <v>2020</v>
      </c>
      <c r="K204" s="197">
        <f t="shared" si="52"/>
        <v>46577</v>
      </c>
      <c r="L204" s="147">
        <f>IF(t&lt;Tvie,1-EXP((T0-t)*PertePVj)+'2026'!Pspv,1-EXP((T0-t)*PertePVj)+Pspv)</f>
        <v>7.0095616251041104E-2</v>
      </c>
      <c r="M204" s="845"/>
      <c r="N204" s="845"/>
      <c r="O204" s="48">
        <f>IF(t&lt;Tnet,'2026'!Resal+('2026'!Salim-'2026'!Resal)*(1-EXP(('2026'!Tnet-t)/('2026'!Tau_j))),Resal+(Salim-Resal)*(1-EXP((Tnet-t)/(Tau_j))))*Salcycl</f>
        <v>4.1349548927727096E-2</v>
      </c>
      <c r="P204" s="169">
        <f>(INDEX(Models!$BJ204:$BT204,,T204)*(1-R204)+INDEX(Models!$BJ204:$BT204,,T204+1)*R204-ERP_i)*Q204*Ramure*Pc/MaxiM</f>
        <v>4.8515966295073558E-5</v>
      </c>
      <c r="Q204" s="305">
        <f t="shared" si="53"/>
        <v>0.5</v>
      </c>
      <c r="R204" s="177">
        <f t="shared" si="54"/>
        <v>0.35589560622473115</v>
      </c>
      <c r="S204" s="811">
        <f t="shared" si="55"/>
        <v>-1</v>
      </c>
      <c r="T204" s="176">
        <f t="shared" si="56"/>
        <v>5</v>
      </c>
      <c r="U204" s="251">
        <f t="shared" si="57"/>
        <v>-0.64410439377526885</v>
      </c>
      <c r="V204" s="383">
        <f t="shared" si="58"/>
        <v>54.797825655503196</v>
      </c>
      <c r="W204" s="402">
        <f t="shared" si="59"/>
        <v>53.025171389652307</v>
      </c>
      <c r="X204" s="157">
        <f t="shared" si="60"/>
        <v>46577</v>
      </c>
      <c r="Y204" s="385">
        <f t="shared" si="61"/>
        <v>51.012708644479297</v>
      </c>
      <c r="Z204" s="385">
        <f t="shared" si="62"/>
        <v>54.858015013133773</v>
      </c>
      <c r="AA204" s="386">
        <f t="shared" si="63"/>
        <v>59.458233681947895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7.7368908962574756E-2</v>
      </c>
      <c r="AD204" s="231">
        <f>(INDEX(Models!$BJ204:$BT204,,AH204)*(1-AF204)+INDEX(Models!$BJ204:$BT204,,AH204+1)*AF204-ERP_i)*AE204*Ramure*Pc/MaxiM</f>
        <v>4.6244510707015571E-4</v>
      </c>
      <c r="AE204" s="305">
        <f t="shared" si="65"/>
        <v>0.5</v>
      </c>
      <c r="AF204" s="177">
        <f t="shared" si="66"/>
        <v>0.8808831725987103</v>
      </c>
      <c r="AG204" s="811">
        <f t="shared" si="74"/>
        <v>2</v>
      </c>
      <c r="AH204" s="176">
        <f t="shared" si="67"/>
        <v>8</v>
      </c>
      <c r="AI204" s="225">
        <f t="shared" si="68"/>
        <v>2.8808831725987103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'2026'!Wh/'2026'!Env_an*'2027'!Env_an</f>
        <v>52.350504761122373</v>
      </c>
      <c r="C205" s="841"/>
      <c r="D205" s="393">
        <f t="shared" si="50"/>
        <v>56.297886440309561</v>
      </c>
      <c r="E205" s="385">
        <f t="shared" si="75"/>
        <v>58.730665621322451</v>
      </c>
      <c r="F205" s="385">
        <f t="shared" si="51"/>
        <v>58.733551602607797</v>
      </c>
      <c r="G205" s="110">
        <f t="shared" si="76"/>
        <v>0.95709077947304788</v>
      </c>
      <c r="H205" s="414" t="b">
        <f>Wh_hp&gt;='2026'!Maxi_hp</f>
        <v>0</v>
      </c>
      <c r="I205" s="390">
        <f>IF(H205,Wh_hp,'2026'!Maxi_hp)</f>
        <v>59.982897259607313</v>
      </c>
      <c r="J205" s="85">
        <f>IF(H205,An,'2026'!An_max)</f>
        <v>2019</v>
      </c>
      <c r="K205" s="197">
        <f t="shared" si="52"/>
        <v>46578</v>
      </c>
      <c r="L205" s="147">
        <f>IF(t&lt;Tvie,1-EXP((T0-t)*PertePVj)+'2026'!Pspv,1-EXP((T0-t)*PertePVj)+Pspv)</f>
        <v>7.011598354358195E-2</v>
      </c>
      <c r="M205" s="845"/>
      <c r="N205" s="845"/>
      <c r="O205" s="48">
        <f>IF(t&lt;Tnet,'2026'!Resal+('2026'!Salim-'2026'!Resal)*(1-EXP(('2026'!Tnet-t)/('2026'!Tau_j))),Resal+(Salim-Resal)*(1-EXP((Tnet-t)/(Tau_j))))*Salcycl</f>
        <v>4.1422639353327156E-2</v>
      </c>
      <c r="P205" s="169">
        <f>(INDEX(Models!$BJ205:$BT205,,T205)*(1-R205)+INDEX(Models!$BJ205:$BT205,,T205+1)*R205-ERP_i)*Q205*Ramure*Pc/MaxiM</f>
        <v>5.2345323054552762E-5</v>
      </c>
      <c r="Q205" s="305">
        <f t="shared" si="53"/>
        <v>0.5</v>
      </c>
      <c r="R205" s="177">
        <f t="shared" si="54"/>
        <v>0.35953299387255988</v>
      </c>
      <c r="S205" s="811">
        <f t="shared" si="55"/>
        <v>-1</v>
      </c>
      <c r="T205" s="176">
        <f t="shared" si="56"/>
        <v>5</v>
      </c>
      <c r="U205" s="251">
        <f t="shared" si="57"/>
        <v>-0.64046700612744012</v>
      </c>
      <c r="V205" s="383">
        <f t="shared" si="58"/>
        <v>54.697357774279908</v>
      </c>
      <c r="W205" s="402">
        <f t="shared" si="59"/>
        <v>52.350504761122373</v>
      </c>
      <c r="X205" s="157">
        <f t="shared" si="60"/>
        <v>46578</v>
      </c>
      <c r="Y205" s="385">
        <f t="shared" si="61"/>
        <v>50.363715826639428</v>
      </c>
      <c r="Z205" s="385">
        <f t="shared" si="62"/>
        <v>54.161287790023955</v>
      </c>
      <c r="AA205" s="386">
        <f t="shared" si="63"/>
        <v>58.705944802738308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7.7413914859647548E-2</v>
      </c>
      <c r="AD205" s="231">
        <f>(INDEX(Models!$BJ205:$BT205,,AH205)*(1-AF205)+INDEX(Models!$BJ205:$BT205,,AH205+1)*AF205-ERP_i)*AE205*Ramure*Pc/MaxiM</f>
        <v>5.0072634393362795E-4</v>
      </c>
      <c r="AE205" s="305">
        <f t="shared" si="65"/>
        <v>0.5</v>
      </c>
      <c r="AF205" s="177">
        <f t="shared" si="66"/>
        <v>0.88452056024653869</v>
      </c>
      <c r="AG205" s="811">
        <f t="shared" si="74"/>
        <v>2</v>
      </c>
      <c r="AH205" s="176">
        <f t="shared" si="67"/>
        <v>8</v>
      </c>
      <c r="AI205" s="225">
        <f t="shared" si="68"/>
        <v>2.8845205602465387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'2026'!Wh/'2026'!Env_an*'2027'!Env_an</f>
        <v>50.9658102563913</v>
      </c>
      <c r="C206" s="841"/>
      <c r="D206" s="393">
        <f t="shared" si="50"/>
        <v>54.80998238587847</v>
      </c>
      <c r="E206" s="385">
        <f t="shared" si="75"/>
        <v>57.182794798170242</v>
      </c>
      <c r="F206" s="385">
        <f t="shared" si="51"/>
        <v>57.185734683762746</v>
      </c>
      <c r="G206" s="110">
        <f t="shared" si="76"/>
        <v>0.93352417568480772</v>
      </c>
      <c r="H206" s="414" t="b">
        <f>Wh_hp&gt;='2026'!Maxi_hp</f>
        <v>0</v>
      </c>
      <c r="I206" s="390">
        <f>IF(H206,Wh_hp,'2026'!Maxi_hp)</f>
        <v>61.452728703103304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7.0136350390026747E-2</v>
      </c>
      <c r="M206" s="845"/>
      <c r="N206" s="845"/>
      <c r="O206" s="48">
        <f>IF(t&lt;Tnet,'2026'!Resal+('2026'!Salim-'2026'!Resal)*(1-EXP(('2026'!Tnet-t)/('2026'!Tau_j))),Resal+(Salim-Resal)*(1-EXP((Tnet-t)/(Tau_j))))*Salcycl</f>
        <v>4.1495215836629532E-2</v>
      </c>
      <c r="P206" s="169">
        <f>(INDEX(Models!$BJ206:$BT206,,T206)*(1-R206)+INDEX(Models!$BJ206:$BT206,,T206+1)*R206-ERP_i)*Q206*Ramure*Pc/MaxiM</f>
        <v>5.6803372394540787E-5</v>
      </c>
      <c r="Q206" s="305">
        <f t="shared" si="53"/>
        <v>0.5</v>
      </c>
      <c r="R206" s="177">
        <f t="shared" si="54"/>
        <v>0.36308929493092412</v>
      </c>
      <c r="S206" s="811">
        <f t="shared" si="55"/>
        <v>-1</v>
      </c>
      <c r="T206" s="176">
        <f t="shared" si="56"/>
        <v>5</v>
      </c>
      <c r="U206" s="251">
        <f t="shared" si="57"/>
        <v>-0.63691070506907588</v>
      </c>
      <c r="V206" s="383">
        <f t="shared" si="58"/>
        <v>54.59476750866304</v>
      </c>
      <c r="W206" s="402">
        <f t="shared" si="59"/>
        <v>50.9658102563913</v>
      </c>
      <c r="X206" s="157">
        <f t="shared" si="60"/>
        <v>46579</v>
      </c>
      <c r="Y206" s="385">
        <f t="shared" si="61"/>
        <v>49.032163006382589</v>
      </c>
      <c r="Z206" s="385">
        <f t="shared" si="62"/>
        <v>52.730486912730584</v>
      </c>
      <c r="AA206" s="386">
        <f t="shared" si="63"/>
        <v>57.157818381809001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7.745802051968198E-2</v>
      </c>
      <c r="AD206" s="231">
        <f>(INDEX(Models!$BJ206:$BT206,,AH206)*(1-AF206)+INDEX(Models!$BJ206:$BT206,,AH206+1)*AF206-ERP_i)*AE206*Ramure*Pc/MaxiM</f>
        <v>5.3938836933083308E-4</v>
      </c>
      <c r="AE206" s="305">
        <f t="shared" si="65"/>
        <v>0.5</v>
      </c>
      <c r="AF206" s="177">
        <f t="shared" si="66"/>
        <v>0.88807686130490326</v>
      </c>
      <c r="AG206" s="811">
        <f t="shared" si="74"/>
        <v>2</v>
      </c>
      <c r="AH206" s="176">
        <f t="shared" si="67"/>
        <v>8</v>
      </c>
      <c r="AI206" s="225">
        <f t="shared" si="68"/>
        <v>2.8880768613049033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'2026'!Wh/'2026'!Env_an*'2027'!Env_an</f>
        <v>51.058832945872965</v>
      </c>
      <c r="C207" s="841"/>
      <c r="D207" s="393">
        <f t="shared" ref="D207:D270" si="77">Wh/(1-Ppv)</f>
        <v>54.911224146964955</v>
      </c>
      <c r="E207" s="385">
        <f t="shared" si="75"/>
        <v>57.292728004281521</v>
      </c>
      <c r="F207" s="385">
        <f t="shared" ref="F207:F270" si="78">Wh_sa/(1-Pvg*MEDIAN((-Sdif+Wh/Env_an)/Csdif,0,1))</f>
        <v>57.295952806192183</v>
      </c>
      <c r="G207" s="110">
        <f t="shared" si="76"/>
        <v>0.9370234163875073</v>
      </c>
      <c r="H207" s="414" t="b">
        <f>Wh_hp&gt;='2026'!Maxi_hp</f>
        <v>0</v>
      </c>
      <c r="I207" s="390">
        <f>IF(H207,Wh_hp,'2026'!Maxi_hp)</f>
        <v>61.87528776158792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7.0156716790385376E-2</v>
      </c>
      <c r="M207" s="845"/>
      <c r="N207" s="845"/>
      <c r="O207" s="48">
        <f>IF(t&lt;Tnet,'2026'!Resal+('2026'!Salim-'2026'!Resal)*(1-EXP(('2026'!Tnet-t)/('2026'!Tau_j))),Resal+(Salim-Resal)*(1-EXP((Tnet-t)/(Tau_j))))*Salcycl</f>
        <v>4.1567297286639902E-2</v>
      </c>
      <c r="P207" s="169">
        <f>(INDEX(Models!$BJ207:$BT207,,T207)*(1-R207)+INDEX(Models!$BJ207:$BT207,,T207+1)*R207-ERP_i)*Q207*Ramure*Pc/MaxiM</f>
        <v>6.1846935487180495E-5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0.36656428847764233</v>
      </c>
      <c r="S207" s="811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-0.63343571152235767</v>
      </c>
      <c r="V207" s="383">
        <f t="shared" ref="V207:V270" si="85">MaxiM*(1-Ppv)*(1-Pvg)*(1-Psa)</f>
        <v>54.490152499040875</v>
      </c>
      <c r="W207" s="402">
        <f t="shared" ref="W207:W270" si="86">Wh*(A207&gt;Tmaj)</f>
        <v>51.058832945872965</v>
      </c>
      <c r="X207" s="157">
        <f t="shared" ref="X207:X270" si="87">t</f>
        <v>46580</v>
      </c>
      <c r="Y207" s="385">
        <f t="shared" ref="Y207:Y270" si="88">Wh_pvt_s*(1-Ppv)</f>
        <v>49.121484382061382</v>
      </c>
      <c r="Z207" s="385">
        <f t="shared" ref="Z207:Z270" si="89">Wh_sa_s*(1-Psa_s)</f>
        <v>52.827702548438936</v>
      </c>
      <c r="AA207" s="386">
        <f t="shared" ref="AA207:AA270" si="90">Wh_hp*(1-Pvg_s*MEDIAN((-Sdif+Wh/Env_an)/Csdif,0,1))</f>
        <v>57.265880701431342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7.7501264254222435E-2</v>
      </c>
      <c r="AD207" s="231">
        <f>(INDEX(Models!$BJ207:$BT207,,AH207)*(1-AF207)+INDEX(Models!$BJ207:$BT207,,AH207+1)*AF207-ERP_i)*AE207*Ramure*Pc/MaxiM</f>
        <v>5.7673853298100789E-4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0.89155185485162125</v>
      </c>
      <c r="AG207" s="811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2.8915518548516213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'2026'!Wh/'2026'!Env_an*'2027'!Env_an</f>
        <v>50.457197233869827</v>
      </c>
      <c r="C208" s="841"/>
      <c r="D208" s="393">
        <f t="shared" si="77"/>
        <v>54.265383545084326</v>
      </c>
      <c r="E208" s="385">
        <f t="shared" si="75"/>
        <v>56.623107624820285</v>
      </c>
      <c r="F208" s="385">
        <f t="shared" si="78"/>
        <v>56.626534810411734</v>
      </c>
      <c r="G208" s="110">
        <f t="shared" si="76"/>
        <v>0.92779512512959383</v>
      </c>
      <c r="H208" s="414" t="b">
        <f>Wh_hp&gt;='2026'!Maxi_hp</f>
        <v>0</v>
      </c>
      <c r="I208" s="390">
        <f>IF(H208,Wh_hp,'2026'!Maxi_hp)</f>
        <v>56.626832868770869</v>
      </c>
      <c r="J208" s="85">
        <f>IF(H208,An,'2026'!An_max)</f>
        <v>2025</v>
      </c>
      <c r="K208" s="197">
        <f t="shared" si="79"/>
        <v>46581</v>
      </c>
      <c r="L208" s="147">
        <f>IF(t&lt;Tvie,1-EXP((T0-t)*PertePVj)+'2026'!Pspv,1-EXP((T0-t)*PertePVj)+Pspv)</f>
        <v>7.0177082744667496E-2</v>
      </c>
      <c r="M208" s="845"/>
      <c r="N208" s="845"/>
      <c r="O208" s="48">
        <f>IF(t&lt;Tnet,'2026'!Resal+('2026'!Salim-'2026'!Resal)*(1-EXP(('2026'!Tnet-t)/('2026'!Tau_j))),Resal+(Salim-Resal)*(1-EXP((Tnet-t)/(Tau_j))))*Salcycl</f>
        <v>4.1638902890283533E-2</v>
      </c>
      <c r="P208" s="169">
        <f>(INDEX(Models!$BJ208:$BT208,,T208)*(1-R208)+INDEX(Models!$BJ208:$BT208,,T208+1)*R208-ERP_i)*Q208*Ramure*Pc/MaxiM</f>
        <v>6.7482827398038879E-5</v>
      </c>
      <c r="Q208" s="305">
        <f t="shared" si="80"/>
        <v>0.5</v>
      </c>
      <c r="R208" s="177">
        <f t="shared" si="81"/>
        <v>0.36995789769498777</v>
      </c>
      <c r="S208" s="811">
        <f t="shared" si="82"/>
        <v>-1</v>
      </c>
      <c r="T208" s="176">
        <f t="shared" si="83"/>
        <v>5</v>
      </c>
      <c r="U208" s="251">
        <f t="shared" si="84"/>
        <v>-0.63004210230501223</v>
      </c>
      <c r="V208" s="383">
        <f t="shared" si="85"/>
        <v>54.383607601325693</v>
      </c>
      <c r="W208" s="402">
        <f t="shared" si="86"/>
        <v>50.457197233869827</v>
      </c>
      <c r="X208" s="157">
        <f t="shared" si="87"/>
        <v>46581</v>
      </c>
      <c r="Y208" s="385">
        <f t="shared" si="88"/>
        <v>48.543077941315623</v>
      </c>
      <c r="Z208" s="385">
        <f t="shared" si="89"/>
        <v>52.206798779068521</v>
      </c>
      <c r="AA208" s="386">
        <f t="shared" si="90"/>
        <v>56.595415862241033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7.7543684701511004E-2</v>
      </c>
      <c r="AD208" s="231">
        <f>(INDEX(Models!$BJ208:$BT208,,AH208)*(1-AF208)+INDEX(Models!$BJ208:$BT208,,AH208+1)*AF208-ERP_i)*AE208*Ramure*Pc/MaxiM</f>
        <v>6.1274610089764165E-4</v>
      </c>
      <c r="AE208" s="305">
        <f t="shared" si="92"/>
        <v>0.5</v>
      </c>
      <c r="AF208" s="177">
        <f t="shared" si="93"/>
        <v>0.89494546406896669</v>
      </c>
      <c r="AG208" s="811">
        <f t="shared" ref="AG208:AG271" si="99">INDEX(Echel_vg,AH208)</f>
        <v>2</v>
      </c>
      <c r="AH208" s="176">
        <f t="shared" si="94"/>
        <v>8</v>
      </c>
      <c r="AI208" s="225">
        <f t="shared" si="95"/>
        <v>2.8949454640689667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'2026'!Wh/'2026'!Env_an*'2027'!Env_an</f>
        <v>49.918018377406661</v>
      </c>
      <c r="C209" s="841"/>
      <c r="D209" s="393">
        <f t="shared" si="77"/>
        <v>53.68668679561025</v>
      </c>
      <c r="E209" s="385">
        <f t="shared" si="75"/>
        <v>56.023426841948925</v>
      </c>
      <c r="F209" s="385">
        <f t="shared" si="78"/>
        <v>56.027083354800261</v>
      </c>
      <c r="G209" s="110">
        <f t="shared" si="76"/>
        <v>0.91971233453014667</v>
      </c>
      <c r="H209" s="414" t="b">
        <f>Wh_hp&gt;='2026'!Maxi_hp</f>
        <v>0</v>
      </c>
      <c r="I209" s="390">
        <f>IF(H209,Wh_hp,'2026'!Maxi_hp)</f>
        <v>61.910407700916835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7.0197448252882988E-2</v>
      </c>
      <c r="M209" s="845"/>
      <c r="N209" s="845"/>
      <c r="O209" s="48">
        <f>IF(t&lt;Tnet,'2026'!Resal+('2026'!Salim-'2026'!Resal)*(1-EXP(('2026'!Tnet-t)/('2026'!Tau_j))),Resal+(Salim-Resal)*(1-EXP((Tnet-t)/(Tau_j))))*Salcycl</f>
        <v>4.1710051991839005E-2</v>
      </c>
      <c r="P209" s="169">
        <f>(INDEX(Models!$BJ209:$BT209,,T209)*(1-R209)+INDEX(Models!$BJ209:$BT209,,T209+1)*R209-ERP_i)*Q209*Ramure*Pc/MaxiM</f>
        <v>7.3717659775725955E-5</v>
      </c>
      <c r="Q209" s="305">
        <f t="shared" si="80"/>
        <v>0.5</v>
      </c>
      <c r="R209" s="177">
        <f t="shared" si="81"/>
        <v>0.37327018349312069</v>
      </c>
      <c r="S209" s="811">
        <f t="shared" si="82"/>
        <v>-1</v>
      </c>
      <c r="T209" s="176">
        <f t="shared" si="83"/>
        <v>5</v>
      </c>
      <c r="U209" s="251">
        <f t="shared" si="84"/>
        <v>-0.62672981650687931</v>
      </c>
      <c r="V209" s="383">
        <f t="shared" si="85"/>
        <v>54.275227645962104</v>
      </c>
      <c r="W209" s="402">
        <f t="shared" si="86"/>
        <v>49.918018377406661</v>
      </c>
      <c r="X209" s="157">
        <f t="shared" si="87"/>
        <v>46582</v>
      </c>
      <c r="Y209" s="385">
        <f t="shared" si="88"/>
        <v>48.024845105117677</v>
      </c>
      <c r="Z209" s="385">
        <f t="shared" si="89"/>
        <v>51.650584325541011</v>
      </c>
      <c r="AA209" s="386">
        <f t="shared" si="90"/>
        <v>55.99497219537232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7.7585320601165561E-2</v>
      </c>
      <c r="AD209" s="231">
        <f>(INDEX(Models!$BJ209:$BT209,,AH209)*(1-AF209)+INDEX(Models!$BJ209:$BT209,,AH209+1)*AF209-ERP_i)*AE209*Ramure*Pc/MaxiM</f>
        <v>6.473817054533787E-4</v>
      </c>
      <c r="AE209" s="305">
        <f t="shared" si="92"/>
        <v>0.5</v>
      </c>
      <c r="AF209" s="177">
        <f t="shared" si="93"/>
        <v>0.89825774986709961</v>
      </c>
      <c r="AG209" s="811">
        <f t="shared" si="99"/>
        <v>2</v>
      </c>
      <c r="AH209" s="176">
        <f t="shared" si="94"/>
        <v>8</v>
      </c>
      <c r="AI209" s="225">
        <f t="shared" si="95"/>
        <v>2.8982577498670996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'2026'!Wh/'2026'!Env_an*'2027'!Env_an</f>
        <v>48.248865571642064</v>
      </c>
      <c r="C210" s="841"/>
      <c r="D210" s="393">
        <f t="shared" si="77"/>
        <v>51.892654282470581</v>
      </c>
      <c r="E210" s="385">
        <f t="shared" si="75"/>
        <v>54.155304268089751</v>
      </c>
      <c r="F210" s="385">
        <f t="shared" si="78"/>
        <v>54.158986420158243</v>
      </c>
      <c r="G210" s="110">
        <f t="shared" si="76"/>
        <v>0.89076273113655058</v>
      </c>
      <c r="H210" s="414" t="b">
        <f>Wh_hp&gt;='2026'!Maxi_hp</f>
        <v>0</v>
      </c>
      <c r="I210" s="390">
        <f>IF(H210,Wh_hp,'2026'!Maxi_hp)</f>
        <v>63.341573131215071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7.0217813315041622E-2</v>
      </c>
      <c r="M210" s="845"/>
      <c r="N210" s="845"/>
      <c r="O210" s="48">
        <f>IF(t&lt;Tnet,'2026'!Resal+('2026'!Salim-'2026'!Resal)*(1-EXP(('2026'!Tnet-t)/('2026'!Tau_j))),Resal+(Salim-Resal)*(1-EXP((Tnet-t)/(Tau_j))))*Salcycl</f>
        <v>4.178076397499636E-2</v>
      </c>
      <c r="P210" s="169">
        <f>(INDEX(Models!$BJ210:$BT210,,T210)*(1-R210)+INDEX(Models!$BJ210:$BT210,,T210+1)*R210-ERP_i)*Q210*Ramure*Pc/MaxiM</f>
        <v>8.055785817232214E-5</v>
      </c>
      <c r="Q210" s="305">
        <f t="shared" si="80"/>
        <v>0.5</v>
      </c>
      <c r="R210" s="177">
        <f t="shared" si="81"/>
        <v>0.37650133789827311</v>
      </c>
      <c r="S210" s="811">
        <f t="shared" si="82"/>
        <v>-1</v>
      </c>
      <c r="T210" s="176">
        <f t="shared" si="83"/>
        <v>5</v>
      </c>
      <c r="U210" s="251">
        <f t="shared" si="84"/>
        <v>-0.62349866210172689</v>
      </c>
      <c r="V210" s="383">
        <f t="shared" si="85"/>
        <v>54.165107445996973</v>
      </c>
      <c r="W210" s="402">
        <f t="shared" si="86"/>
        <v>48.248865571642064</v>
      </c>
      <c r="X210" s="157">
        <f t="shared" si="87"/>
        <v>46583</v>
      </c>
      <c r="Y210" s="385">
        <f t="shared" si="88"/>
        <v>46.420430693994398</v>
      </c>
      <c r="Z210" s="385">
        <f t="shared" si="89"/>
        <v>49.926134699893112</v>
      </c>
      <c r="AA210" s="386">
        <f t="shared" si="90"/>
        <v>54.127876650781438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7.762621057531667E-2</v>
      </c>
      <c r="AD210" s="231">
        <f>(INDEX(Models!$BJ210:$BT210,,AH210)*(1-AF210)+INDEX(Models!$BJ210:$BT210,,AH210+1)*AF210-ERP_i)*AE210*Ramure*Pc/MaxiM</f>
        <v>6.8061729733382076E-4</v>
      </c>
      <c r="AE210" s="305">
        <f t="shared" si="92"/>
        <v>0.5</v>
      </c>
      <c r="AF210" s="177">
        <f t="shared" si="93"/>
        <v>0.90148890427225226</v>
      </c>
      <c r="AG210" s="811">
        <f t="shared" si="99"/>
        <v>2</v>
      </c>
      <c r="AH210" s="176">
        <f t="shared" si="94"/>
        <v>8</v>
      </c>
      <c r="AI210" s="225">
        <f t="shared" si="95"/>
        <v>2.9014889042722523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'2026'!Wh/'2026'!Env_an*'2027'!Env_an</f>
        <v>49.580508652880766</v>
      </c>
      <c r="C211" s="841"/>
      <c r="D211" s="393">
        <f t="shared" si="77"/>
        <v>53.326031975110965</v>
      </c>
      <c r="E211" s="385">
        <f t="shared" si="75"/>
        <v>55.655263650406667</v>
      </c>
      <c r="F211" s="385">
        <f t="shared" si="78"/>
        <v>55.659583160563429</v>
      </c>
      <c r="G211" s="110">
        <f t="shared" si="76"/>
        <v>0.91724195277116338</v>
      </c>
      <c r="H211" s="414" t="b">
        <f>Wh_hp&gt;='2026'!Maxi_hp</f>
        <v>0</v>
      </c>
      <c r="I211" s="390">
        <f>IF(H211,Wh_hp,'2026'!Maxi_hp)</f>
        <v>61.340662594559738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7.0238177931153056E-2</v>
      </c>
      <c r="M211" s="845"/>
      <c r="N211" s="845"/>
      <c r="O211" s="48">
        <f>IF(t&lt;Tnet,'2026'!Resal+('2026'!Salim-'2026'!Resal)*(1-EXP(('2026'!Tnet-t)/('2026'!Tau_j))),Resal+(Salim-Resal)*(1-EXP((Tnet-t)/(Tau_j))))*Salcycl</f>
        <v>4.1851058148364068E-2</v>
      </c>
      <c r="P211" s="169">
        <f>(INDEX(Models!$BJ211:$BT211,,T211)*(1-R211)+INDEX(Models!$BJ211:$BT211,,T211+1)*R211-ERP_i)*Q211*Ramure*Pc/MaxiM</f>
        <v>8.8009679311938031E-5</v>
      </c>
      <c r="Q211" s="305">
        <f t="shared" si="80"/>
        <v>0.5</v>
      </c>
      <c r="R211" s="177">
        <f t="shared" si="81"/>
        <v>0.37965167725961457</v>
      </c>
      <c r="S211" s="811">
        <f t="shared" si="82"/>
        <v>-1</v>
      </c>
      <c r="T211" s="176">
        <f t="shared" si="83"/>
        <v>5</v>
      </c>
      <c r="U211" s="251">
        <f t="shared" si="84"/>
        <v>-0.62034832274038543</v>
      </c>
      <c r="V211" s="383">
        <f t="shared" si="85"/>
        <v>54.053341800060323</v>
      </c>
      <c r="W211" s="402">
        <f t="shared" si="86"/>
        <v>49.580508652880766</v>
      </c>
      <c r="X211" s="157">
        <f t="shared" si="87"/>
        <v>46584</v>
      </c>
      <c r="Y211" s="385">
        <f t="shared" si="88"/>
        <v>47.700922577847926</v>
      </c>
      <c r="Z211" s="385">
        <f t="shared" si="89"/>
        <v>51.304453942523544</v>
      </c>
      <c r="AA211" s="386">
        <f t="shared" si="90"/>
        <v>55.624617327799506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7.7666392917670829E-2</v>
      </c>
      <c r="AD211" s="231">
        <f>(INDEX(Models!$BJ211:$BT211,,AH211)*(1-AF211)+INDEX(Models!$BJ211:$BT211,,AH211+1)*AF211-ERP_i)*AE211*Ramure*Pc/MaxiM</f>
        <v>7.1242608924311133E-4</v>
      </c>
      <c r="AE211" s="305">
        <f t="shared" si="92"/>
        <v>0.5</v>
      </c>
      <c r="AF211" s="177">
        <f t="shared" si="93"/>
        <v>0.90463924363359327</v>
      </c>
      <c r="AG211" s="811">
        <f t="shared" si="99"/>
        <v>2</v>
      </c>
      <c r="AH211" s="176">
        <f t="shared" si="94"/>
        <v>8</v>
      </c>
      <c r="AI211" s="225">
        <f t="shared" si="95"/>
        <v>2.9046392436335933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'2026'!Wh/'2026'!Env_an*'2027'!Env_an</f>
        <v>49.187368983287833</v>
      </c>
      <c r="C212" s="841"/>
      <c r="D212" s="393">
        <f t="shared" si="77"/>
        <v>52.904351597326738</v>
      </c>
      <c r="E212" s="385">
        <f t="shared" si="75"/>
        <v>55.21919281927714</v>
      </c>
      <c r="F212" s="385">
        <f t="shared" si="78"/>
        <v>55.223796244155345</v>
      </c>
      <c r="G212" s="110">
        <f t="shared" si="76"/>
        <v>0.91187838386516185</v>
      </c>
      <c r="H212" s="414" t="b">
        <f>Wh_hp&gt;='2026'!Maxi_hp</f>
        <v>0</v>
      </c>
      <c r="I212" s="390">
        <f>IF(H212,Wh_hp,'2026'!Maxi_hp)</f>
        <v>60.188178256844751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7.0258542101227173E-2</v>
      </c>
      <c r="M212" s="845"/>
      <c r="N212" s="845"/>
      <c r="O212" s="48">
        <f>IF(t&lt;Tnet,'2026'!Resal+('2026'!Salim-'2026'!Resal)*(1-EXP(('2026'!Tnet-t)/('2026'!Tau_j))),Resal+(Salim-Resal)*(1-EXP((Tnet-t)/(Tau_j))))*Salcycl</f>
        <v>4.1920953635205781E-2</v>
      </c>
      <c r="P212" s="169">
        <f>(INDEX(Models!$BJ212:$BT212,,T212)*(1-R212)+INDEX(Models!$BJ212:$BT212,,T212+1)*R212-ERP_i)*Q212*Ramure*Pc/MaxiM</f>
        <v>9.5363012485621886E-5</v>
      </c>
      <c r="Q212" s="305">
        <f t="shared" si="80"/>
        <v>0.5</v>
      </c>
      <c r="R212" s="177">
        <f t="shared" si="81"/>
        <v>0.38272163532619086</v>
      </c>
      <c r="S212" s="811">
        <f t="shared" si="82"/>
        <v>-1</v>
      </c>
      <c r="T212" s="176">
        <f t="shared" si="83"/>
        <v>5</v>
      </c>
      <c r="U212" s="251">
        <f t="shared" si="84"/>
        <v>-0.61727836467380914</v>
      </c>
      <c r="V212" s="383">
        <f t="shared" si="85"/>
        <v>53.940064136143498</v>
      </c>
      <c r="W212" s="402">
        <f t="shared" si="86"/>
        <v>49.187368983287833</v>
      </c>
      <c r="X212" s="157">
        <f t="shared" si="87"/>
        <v>46585</v>
      </c>
      <c r="Y212" s="385">
        <f t="shared" si="88"/>
        <v>47.323505335326338</v>
      </c>
      <c r="Z212" s="385">
        <f t="shared" si="89"/>
        <v>50.899639822750345</v>
      </c>
      <c r="AA212" s="386">
        <f t="shared" si="90"/>
        <v>55.188079507737825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7.7705905391873706E-2</v>
      </c>
      <c r="AD212" s="231">
        <f>(INDEX(Models!$BJ212:$BT212,,AH212)*(1-AF212)+INDEX(Models!$BJ212:$BT212,,AH212+1)*AF212-ERP_i)*AE212*Ramure*Pc/MaxiM</f>
        <v>7.3989598419557732E-4</v>
      </c>
      <c r="AE212" s="305">
        <f t="shared" si="92"/>
        <v>0.5</v>
      </c>
      <c r="AF212" s="177">
        <f t="shared" si="93"/>
        <v>0.90770920170017</v>
      </c>
      <c r="AG212" s="811">
        <f t="shared" si="99"/>
        <v>2</v>
      </c>
      <c r="AH212" s="176">
        <f t="shared" si="94"/>
        <v>8</v>
      </c>
      <c r="AI212" s="225">
        <f t="shared" si="95"/>
        <v>2.90770920170017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'2026'!Wh/'2026'!Env_an*'2027'!Env_an</f>
        <v>50.975452118094857</v>
      </c>
      <c r="C213" s="841"/>
      <c r="D213" s="393">
        <f t="shared" si="77"/>
        <v>54.82875718050002</v>
      </c>
      <c r="E213" s="385">
        <f t="shared" si="75"/>
        <v>57.231953776716679</v>
      </c>
      <c r="F213" s="385">
        <f t="shared" si="78"/>
        <v>57.237362630963382</v>
      </c>
      <c r="G213" s="110">
        <f t="shared" si="76"/>
        <v>0.94704483860971067</v>
      </c>
      <c r="H213" s="414" t="b">
        <f>Wh_hp&gt;='2026'!Maxi_hp</f>
        <v>0</v>
      </c>
      <c r="I213" s="390">
        <f>IF(H213,Wh_hp,'2026'!Maxi_hp)</f>
        <v>57.23769328735581</v>
      </c>
      <c r="J213" s="85">
        <f>IF(H213,An,'2026'!An_max)</f>
        <v>2025</v>
      </c>
      <c r="K213" s="197">
        <f t="shared" si="79"/>
        <v>46586</v>
      </c>
      <c r="L213" s="147">
        <f>IF(t&lt;Tvie,1-EXP((T0-t)*PertePVj)+'2026'!Pspv,1-EXP((T0-t)*PertePVj)+Pspv)</f>
        <v>7.0278905825273741E-2</v>
      </c>
      <c r="M213" s="845"/>
      <c r="N213" s="845"/>
      <c r="O213" s="48">
        <f>IF(t&lt;Tnet,'2026'!Resal+('2026'!Salim-'2026'!Resal)*(1-EXP(('2026'!Tnet-t)/('2026'!Tau_j))),Resal+(Salim-Resal)*(1-EXP((Tnet-t)/(Tau_j))))*Salcycl</f>
        <v>4.1990469268136967E-2</v>
      </c>
      <c r="P213" s="169">
        <f>(INDEX(Models!$BJ213:$BT213,,T213)*(1-R213)+INDEX(Models!$BJ213:$BT213,,T213+1)*R213-ERP_i)*Q213*Ramure*Pc/MaxiM</f>
        <v>1.0223142425695828E-4</v>
      </c>
      <c r="Q213" s="305">
        <f t="shared" si="80"/>
        <v>0.5</v>
      </c>
      <c r="R213" s="177">
        <f t="shared" si="81"/>
        <v>0.38571175624248122</v>
      </c>
      <c r="S213" s="811">
        <f t="shared" si="82"/>
        <v>-1</v>
      </c>
      <c r="T213" s="176">
        <f t="shared" si="83"/>
        <v>5</v>
      </c>
      <c r="U213" s="251">
        <f t="shared" si="84"/>
        <v>-0.61428824375751878</v>
      </c>
      <c r="V213" s="383">
        <f t="shared" si="85"/>
        <v>53.825390120574838</v>
      </c>
      <c r="W213" s="402">
        <f t="shared" si="86"/>
        <v>50.975452118094857</v>
      </c>
      <c r="X213" s="157">
        <f t="shared" si="87"/>
        <v>46586</v>
      </c>
      <c r="Y213" s="385">
        <f t="shared" si="88"/>
        <v>49.043055097252271</v>
      </c>
      <c r="Z213" s="385">
        <f t="shared" si="89"/>
        <v>52.750287591125058</v>
      </c>
      <c r="AA213" s="386">
        <f t="shared" si="90"/>
        <v>57.197060786951624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7.7744785040440592E-2</v>
      </c>
      <c r="AD213" s="231">
        <f>(INDEX(Models!$BJ213:$BT213,,AH213)*(1-AF213)+INDEX(Models!$BJ213:$BT213,,AH213+1)*AF213-ERP_i)*AE213*Ramure*Pc/MaxiM</f>
        <v>7.6173524476345195E-4</v>
      </c>
      <c r="AE213" s="305">
        <f t="shared" si="92"/>
        <v>0.5</v>
      </c>
      <c r="AF213" s="177">
        <f t="shared" si="93"/>
        <v>0.91069932261646036</v>
      </c>
      <c r="AG213" s="811">
        <f t="shared" si="99"/>
        <v>2</v>
      </c>
      <c r="AH213" s="176">
        <f t="shared" si="94"/>
        <v>8</v>
      </c>
      <c r="AI213" s="225">
        <f t="shared" si="95"/>
        <v>2.9106993226164604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'2026'!Wh/'2026'!Env_an*'2027'!Env_an</f>
        <v>40.896102072668938</v>
      </c>
      <c r="C214" s="841"/>
      <c r="D214" s="393">
        <f t="shared" si="77"/>
        <v>43.988458558298213</v>
      </c>
      <c r="E214" s="385">
        <f t="shared" si="75"/>
        <v>45.919829288888906</v>
      </c>
      <c r="F214" s="385">
        <f t="shared" si="78"/>
        <v>45.923116985176982</v>
      </c>
      <c r="G214" s="110">
        <f t="shared" si="76"/>
        <v>0.76140446225423342</v>
      </c>
      <c r="H214" s="414" t="b">
        <f>Wh_hp&gt;='2026'!Maxi_hp</f>
        <v>0</v>
      </c>
      <c r="I214" s="390">
        <f>IF(H214,Wh_hp,'2026'!Maxi_hp)</f>
        <v>60.582660665176114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7.029926910330242E-2</v>
      </c>
      <c r="M214" s="845"/>
      <c r="N214" s="845"/>
      <c r="O214" s="48">
        <f>IF(t&lt;Tnet,'2026'!Resal+('2026'!Salim-'2026'!Resal)*(1-EXP(('2026'!Tnet-t)/('2026'!Tau_j))),Resal+(Salim-Resal)*(1-EXP((Tnet-t)/(Tau_j))))*Salcycl</f>
        <v>4.2059623489454495E-2</v>
      </c>
      <c r="P214" s="169">
        <f>(INDEX(Models!$BJ214:$BT214,,T214)*(1-R214)+INDEX(Models!$BJ214:$BT214,,T214+1)*R214-ERP_i)*Q214*Ramure*Pc/MaxiM</f>
        <v>1.0860505871636896E-4</v>
      </c>
      <c r="Q214" s="305">
        <f t="shared" si="80"/>
        <v>0.5</v>
      </c>
      <c r="R214" s="177">
        <f t="shared" si="81"/>
        <v>0.38862268750804496</v>
      </c>
      <c r="S214" s="811">
        <f t="shared" si="82"/>
        <v>-1</v>
      </c>
      <c r="T214" s="176">
        <f t="shared" si="83"/>
        <v>5</v>
      </c>
      <c r="U214" s="251">
        <f t="shared" si="84"/>
        <v>-0.61137731249195504</v>
      </c>
      <c r="V214" s="383">
        <f t="shared" si="85"/>
        <v>53.709415000454136</v>
      </c>
      <c r="W214" s="402">
        <f t="shared" si="86"/>
        <v>40.896102072668938</v>
      </c>
      <c r="X214" s="157">
        <f t="shared" si="87"/>
        <v>46587</v>
      </c>
      <c r="Y214" s="385">
        <f t="shared" si="88"/>
        <v>39.353636369672067</v>
      </c>
      <c r="Z214" s="385">
        <f t="shared" si="89"/>
        <v>42.329359396884023</v>
      </c>
      <c r="AA214" s="386">
        <f t="shared" si="90"/>
        <v>45.899568668006303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7.7783068005404757E-2</v>
      </c>
      <c r="AD214" s="231">
        <f>(INDEX(Models!$BJ214:$BT214,,AH214)*(1-AF214)+INDEX(Models!$BJ214:$BT214,,AH214+1)*AF214-ERP_i)*AE214*Ramure*Pc/MaxiM</f>
        <v>7.7789009230123929E-4</v>
      </c>
      <c r="AE214" s="305">
        <f t="shared" si="92"/>
        <v>0.5</v>
      </c>
      <c r="AF214" s="177">
        <f t="shared" si="93"/>
        <v>0.9136102538820241</v>
      </c>
      <c r="AG214" s="811">
        <f t="shared" si="99"/>
        <v>2</v>
      </c>
      <c r="AH214" s="176">
        <f t="shared" si="94"/>
        <v>8</v>
      </c>
      <c r="AI214" s="225">
        <f t="shared" si="95"/>
        <v>2.9136102538820241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'2026'!Wh/'2026'!Env_an*'2027'!Env_an</f>
        <v>41.307016461333028</v>
      </c>
      <c r="C215" s="841"/>
      <c r="D215" s="393">
        <f t="shared" si="77"/>
        <v>44.431417377697429</v>
      </c>
      <c r="E215" s="385">
        <f t="shared" si="75"/>
        <v>46.385568761784704</v>
      </c>
      <c r="F215" s="385">
        <f t="shared" si="78"/>
        <v>46.389140098816462</v>
      </c>
      <c r="G215" s="110">
        <f t="shared" si="76"/>
        <v>0.77073607037825309</v>
      </c>
      <c r="H215" s="414" t="b">
        <f>Wh_hp&gt;='2026'!Maxi_hp</f>
        <v>0</v>
      </c>
      <c r="I215" s="390">
        <f>IF(H215,Wh_hp,'2026'!Maxi_hp)</f>
        <v>59.347072848746947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7.031963193532309E-2</v>
      </c>
      <c r="M215" s="845"/>
      <c r="N215" s="845"/>
      <c r="O215" s="48">
        <f>IF(t&lt;Tnet,'2026'!Resal+('2026'!Salim-'2026'!Resal)*(1-EXP(('2026'!Tnet-t)/('2026'!Tau_j))),Resal+(Salim-Resal)*(1-EXP((Tnet-t)/(Tau_j))))*Salcycl</f>
        <v>4.2128434257708729E-2</v>
      </c>
      <c r="P215" s="169">
        <f>(INDEX(Models!$BJ215:$BT215,,T215)*(1-R215)+INDEX(Models!$BJ215:$BT215,,T215+1)*R215-ERP_i)*Q215*Ramure*Pc/MaxiM</f>
        <v>1.1447441121999843E-4</v>
      </c>
      <c r="Q215" s="305">
        <f t="shared" si="80"/>
        <v>0.5</v>
      </c>
      <c r="R215" s="177">
        <f t="shared" si="81"/>
        <v>0.39145517294348009</v>
      </c>
      <c r="S215" s="811">
        <f t="shared" si="82"/>
        <v>-1</v>
      </c>
      <c r="T215" s="176">
        <f t="shared" si="83"/>
        <v>5</v>
      </c>
      <c r="U215" s="251">
        <f t="shared" si="84"/>
        <v>-0.60854482705651991</v>
      </c>
      <c r="V215" s="383">
        <f t="shared" si="85"/>
        <v>53.592233989547772</v>
      </c>
      <c r="W215" s="402">
        <f t="shared" si="86"/>
        <v>41.307016461333028</v>
      </c>
      <c r="X215" s="157">
        <f t="shared" si="87"/>
        <v>46588</v>
      </c>
      <c r="Y215" s="385">
        <f t="shared" si="88"/>
        <v>39.749805290785886</v>
      </c>
      <c r="Z215" s="385">
        <f t="shared" si="89"/>
        <v>42.75642108430597</v>
      </c>
      <c r="AA215" s="386">
        <f t="shared" si="90"/>
        <v>46.364546707479811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7.7820789361707679E-2</v>
      </c>
      <c r="AD215" s="231">
        <f>(INDEX(Models!$BJ215:$BT215,,AH215)*(1-AF215)+INDEX(Models!$BJ215:$BT215,,AH215+1)*AF215-ERP_i)*AE215*Ramure*Pc/MaxiM</f>
        <v>7.8830812329693423E-4</v>
      </c>
      <c r="AE215" s="305">
        <f t="shared" si="92"/>
        <v>0.5</v>
      </c>
      <c r="AF215" s="177">
        <f t="shared" si="93"/>
        <v>0.91644273931745923</v>
      </c>
      <c r="AG215" s="811">
        <f t="shared" si="99"/>
        <v>2</v>
      </c>
      <c r="AH215" s="176">
        <f t="shared" si="94"/>
        <v>8</v>
      </c>
      <c r="AI215" s="225">
        <f t="shared" si="95"/>
        <v>2.9164427393174592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'2026'!Wh/'2026'!Env_an*'2027'!Env_an</f>
        <v>48.580086286219625</v>
      </c>
      <c r="C216" s="841"/>
      <c r="D216" s="393">
        <f t="shared" si="77"/>
        <v>52.255755856417665</v>
      </c>
      <c r="E216" s="385">
        <f t="shared" si="75"/>
        <v>54.557932513367156</v>
      </c>
      <c r="F216" s="385">
        <f t="shared" si="78"/>
        <v>54.563616056338482</v>
      </c>
      <c r="G216" s="110">
        <f t="shared" si="76"/>
        <v>0.90846724686285085</v>
      </c>
      <c r="H216" s="414" t="b">
        <f>Wh_hp&gt;='2026'!Maxi_hp</f>
        <v>0</v>
      </c>
      <c r="I216" s="390">
        <f>IF(H216,Wh_hp,'2026'!Maxi_hp)</f>
        <v>54.564249436800722</v>
      </c>
      <c r="J216" s="85">
        <f>IF(H216,An,'2026'!An_max)</f>
        <v>2025</v>
      </c>
      <c r="K216" s="197">
        <f t="shared" si="79"/>
        <v>46589</v>
      </c>
      <c r="L216" s="147">
        <f>IF(t&lt;Tvie,1-EXP((T0-t)*PertePVj)+'2026'!Pspv,1-EXP((T0-t)*PertePVj)+Pspv)</f>
        <v>7.0339994321345523E-2</v>
      </c>
      <c r="M216" s="845"/>
      <c r="N216" s="845"/>
      <c r="O216" s="48">
        <f>IF(t&lt;Tnet,'2026'!Resal+('2026'!Salim-'2026'!Resal)*(1-EXP(('2026'!Tnet-t)/('2026'!Tau_j))),Resal+(Salim-Resal)*(1-EXP((Tnet-t)/(Tau_j))))*Salcycl</f>
        <v>4.2196918961059239E-2</v>
      </c>
      <c r="P216" s="169">
        <f>(INDEX(Models!$BJ216:$BT216,,T216)*(1-R216)+INDEX(Models!$BJ216:$BT216,,T216+1)*R216-ERP_i)*Q216*Ramure*Pc/MaxiM</f>
        <v>1.1983030875449634E-4</v>
      </c>
      <c r="Q216" s="305">
        <f t="shared" si="80"/>
        <v>0.5</v>
      </c>
      <c r="R216" s="177">
        <f t="shared" si="81"/>
        <v>0.39421004570154006</v>
      </c>
      <c r="S216" s="811">
        <f t="shared" si="82"/>
        <v>-1</v>
      </c>
      <c r="T216" s="176">
        <f t="shared" si="83"/>
        <v>5</v>
      </c>
      <c r="U216" s="251">
        <f t="shared" si="84"/>
        <v>-0.60578995429845994</v>
      </c>
      <c r="V216" s="383">
        <f t="shared" si="85"/>
        <v>53.473942274625507</v>
      </c>
      <c r="W216" s="402">
        <f t="shared" si="86"/>
        <v>48.580086286219625</v>
      </c>
      <c r="X216" s="157">
        <f t="shared" si="87"/>
        <v>46589</v>
      </c>
      <c r="Y216" s="385">
        <f t="shared" si="88"/>
        <v>46.743976420405794</v>
      </c>
      <c r="Z216" s="385">
        <f t="shared" si="89"/>
        <v>50.280722129465552</v>
      </c>
      <c r="AA216" s="386">
        <f t="shared" si="90"/>
        <v>54.526007058102167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7.7857982964219252E-2</v>
      </c>
      <c r="AD216" s="231">
        <f>(INDEX(Models!$BJ216:$BT216,,AH216)*(1-AF216)+INDEX(Models!$BJ216:$BT216,,AH216+1)*AF216-ERP_i)*AE216*Ramure*Pc/MaxiM</f>
        <v>7.9293811858910704E-4</v>
      </c>
      <c r="AE216" s="305">
        <f t="shared" si="92"/>
        <v>0.5</v>
      </c>
      <c r="AF216" s="177">
        <f t="shared" si="93"/>
        <v>0.9191976120755192</v>
      </c>
      <c r="AG216" s="811">
        <f t="shared" si="99"/>
        <v>2</v>
      </c>
      <c r="AH216" s="176">
        <f t="shared" si="94"/>
        <v>8</v>
      </c>
      <c r="AI216" s="225">
        <f t="shared" si="95"/>
        <v>2.9191976120755192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'2026'!Wh/'2026'!Env_an*'2027'!Env_an</f>
        <v>38.726001725300037</v>
      </c>
      <c r="C217" s="841"/>
      <c r="D217" s="393">
        <f t="shared" si="77"/>
        <v>41.657003319652233</v>
      </c>
      <c r="E217" s="385">
        <f t="shared" si="75"/>
        <v>43.495337878338262</v>
      </c>
      <c r="F217" s="385">
        <f t="shared" si="78"/>
        <v>43.498636610236311</v>
      </c>
      <c r="G217" s="110">
        <f t="shared" si="76"/>
        <v>0.72578719036430728</v>
      </c>
      <c r="H217" s="414" t="b">
        <f>Wh_hp&gt;='2026'!Maxi_hp</f>
        <v>0</v>
      </c>
      <c r="I217" s="390">
        <f>IF(H217,Wh_hp,'2026'!Maxi_hp)</f>
        <v>55.563972127949256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7.0360356261379375E-2</v>
      </c>
      <c r="M217" s="845"/>
      <c r="N217" s="845"/>
      <c r="O217" s="48">
        <f>IF(t&lt;Tnet,'2026'!Resal+('2026'!Salim-'2026'!Resal)*(1-EXP(('2026'!Tnet-t)/('2026'!Tau_j))),Resal+(Salim-Resal)*(1-EXP((Tnet-t)/(Tau_j))))*Salcycl</f>
        <v>4.2265094337882218E-2</v>
      </c>
      <c r="P217" s="169">
        <f>(INDEX(Models!$BJ217:$BT217,,T217)*(1-R217)+INDEX(Models!$BJ217:$BT217,,T217+1)*R217-ERP_i)*Q217*Ramure*Pc/MaxiM</f>
        <v>1.2466388961378491E-4</v>
      </c>
      <c r="Q217" s="305">
        <f t="shared" si="80"/>
        <v>0.5</v>
      </c>
      <c r="R217" s="177">
        <f t="shared" si="81"/>
        <v>0.39688822135881918</v>
      </c>
      <c r="S217" s="811">
        <f t="shared" si="82"/>
        <v>-1</v>
      </c>
      <c r="T217" s="176">
        <f t="shared" si="83"/>
        <v>5</v>
      </c>
      <c r="U217" s="251">
        <f t="shared" si="84"/>
        <v>-0.60311177864118082</v>
      </c>
      <c r="V217" s="383">
        <f t="shared" si="85"/>
        <v>53.354635022114223</v>
      </c>
      <c r="W217" s="402">
        <f t="shared" si="86"/>
        <v>38.726001725300037</v>
      </c>
      <c r="X217" s="157">
        <f t="shared" si="87"/>
        <v>46590</v>
      </c>
      <c r="Y217" s="385">
        <f t="shared" si="88"/>
        <v>37.270188624972143</v>
      </c>
      <c r="Z217" s="385">
        <f t="shared" si="89"/>
        <v>40.091006096821644</v>
      </c>
      <c r="AA217" s="386">
        <f t="shared" si="90"/>
        <v>43.477686641846724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7.7894681309134822E-2</v>
      </c>
      <c r="AD217" s="231">
        <f>(INDEX(Models!$BJ217:$BT217,,AH217)*(1-AF217)+INDEX(Models!$BJ217:$BT217,,AH217+1)*AF217-ERP_i)*AE217*Ramure*Pc/MaxiM</f>
        <v>7.9172986088203452E-4</v>
      </c>
      <c r="AE217" s="305">
        <f t="shared" si="92"/>
        <v>0.5</v>
      </c>
      <c r="AF217" s="177">
        <f t="shared" si="93"/>
        <v>0.9218757877327981</v>
      </c>
      <c r="AG217" s="811">
        <f t="shared" si="99"/>
        <v>2</v>
      </c>
      <c r="AH217" s="176">
        <f t="shared" si="94"/>
        <v>8</v>
      </c>
      <c r="AI217" s="225">
        <f t="shared" si="95"/>
        <v>2.9218757877327981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'2026'!Wh/'2026'!Env_an*'2027'!Env_an</f>
        <v>43.277668601100771</v>
      </c>
      <c r="C218" s="841"/>
      <c r="D218" s="393">
        <f t="shared" si="77"/>
        <v>46.55418559800831</v>
      </c>
      <c r="E218" s="385">
        <f t="shared" si="75"/>
        <v>48.612079617452899</v>
      </c>
      <c r="F218" s="385">
        <f t="shared" si="78"/>
        <v>48.616674257297369</v>
      </c>
      <c r="G218" s="110">
        <f t="shared" si="76"/>
        <v>0.81293620568252689</v>
      </c>
      <c r="H218" s="414" t="b">
        <f>Wh_hp&gt;='2026'!Maxi_hp</f>
        <v>0</v>
      </c>
      <c r="I218" s="390">
        <f>IF(H218,Wh_hp,'2026'!Maxi_hp)</f>
        <v>57.937152506467669</v>
      </c>
      <c r="J218" s="85">
        <f>IF(H218,An,'2026'!An_max)</f>
        <v>2019</v>
      </c>
      <c r="K218" s="197">
        <f t="shared" si="79"/>
        <v>46591</v>
      </c>
      <c r="L218" s="147">
        <f>IF(t&lt;Tvie,1-EXP((T0-t)*PertePVj)+'2026'!Pspv,1-EXP((T0-t)*PertePVj)+Pspv)</f>
        <v>7.038071775543453E-2</v>
      </c>
      <c r="M218" s="845"/>
      <c r="N218" s="845"/>
      <c r="O218" s="48">
        <f>IF(t&lt;Tnet,'2026'!Resal+('2026'!Salim-'2026'!Resal)*(1-EXP(('2026'!Tnet-t)/('2026'!Tau_j))),Resal+(Salim-Resal)*(1-EXP((Tnet-t)/(Tau_j))))*Salcycl</f>
        <v>4.233297640502006E-2</v>
      </c>
      <c r="P218" s="169">
        <f>(INDEX(Models!$BJ218:$BT218,,T218)*(1-R218)+INDEX(Models!$BJ218:$BT218,,T218+1)*R218-ERP_i)*Q218*Ramure*Pc/MaxiM</f>
        <v>1.2896658275548045E-4</v>
      </c>
      <c r="Q218" s="305">
        <f t="shared" si="80"/>
        <v>0.5</v>
      </c>
      <c r="R218" s="177">
        <f t="shared" si="81"/>
        <v>0.39949069111995139</v>
      </c>
      <c r="S218" s="811">
        <f t="shared" si="82"/>
        <v>-1</v>
      </c>
      <c r="T218" s="176">
        <f t="shared" si="83"/>
        <v>5</v>
      </c>
      <c r="U218" s="251">
        <f t="shared" si="84"/>
        <v>-0.60050930888004861</v>
      </c>
      <c r="V218" s="383">
        <f t="shared" si="85"/>
        <v>53.23440738453349</v>
      </c>
      <c r="W218" s="402">
        <f t="shared" si="86"/>
        <v>43.277668601100771</v>
      </c>
      <c r="X218" s="157">
        <f t="shared" si="87"/>
        <v>46591</v>
      </c>
      <c r="Y218" s="385">
        <f t="shared" si="88"/>
        <v>41.648948997951337</v>
      </c>
      <c r="Z218" s="385">
        <f t="shared" si="89"/>
        <v>44.802156961923124</v>
      </c>
      <c r="AA218" s="386">
        <f t="shared" si="90"/>
        <v>48.588720423113813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7.7930915410347149E-2</v>
      </c>
      <c r="AD218" s="231">
        <f>(INDEX(Models!$BJ218:$BT218,,AH218)*(1-AF218)+INDEX(Models!$BJ218:$BT218,,AH218+1)*AF218-ERP_i)*AE218*Ramure*Pc/MaxiM</f>
        <v>7.8463396296596941E-4</v>
      </c>
      <c r="AE218" s="305">
        <f t="shared" si="92"/>
        <v>0.5</v>
      </c>
      <c r="AF218" s="177">
        <f t="shared" si="93"/>
        <v>0.92447825749393031</v>
      </c>
      <c r="AG218" s="811">
        <f t="shared" si="99"/>
        <v>2</v>
      </c>
      <c r="AH218" s="176">
        <f t="shared" si="94"/>
        <v>8</v>
      </c>
      <c r="AI218" s="225">
        <f t="shared" si="95"/>
        <v>2.9244782574939303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'2026'!Wh/'2026'!Env_an*'2027'!Env_an</f>
        <v>48.53861965279561</v>
      </c>
      <c r="C219" s="841"/>
      <c r="D219" s="393">
        <f t="shared" si="77"/>
        <v>52.21458259689237</v>
      </c>
      <c r="E219" s="385">
        <f t="shared" si="75"/>
        <v>54.52653951939002</v>
      </c>
      <c r="F219" s="385">
        <f t="shared" si="78"/>
        <v>54.532887115912288</v>
      </c>
      <c r="G219" s="110">
        <f t="shared" si="76"/>
        <v>0.91385764772224787</v>
      </c>
      <c r="H219" s="414" t="b">
        <f>Wh_hp&gt;='2026'!Maxi_hp</f>
        <v>0</v>
      </c>
      <c r="I219" s="390">
        <f>IF(H219,Wh_hp,'2026'!Maxi_hp)</f>
        <v>57.924820130429069</v>
      </c>
      <c r="J219" s="85">
        <f>IF(H219,An,'2026'!An_max)</f>
        <v>2019</v>
      </c>
      <c r="K219" s="197">
        <f t="shared" si="79"/>
        <v>46592</v>
      </c>
      <c r="L219" s="147">
        <f>IF(t&lt;Tvie,1-EXP((T0-t)*PertePVj)+'2026'!Pspv,1-EXP((T0-t)*PertePVj)+Pspv)</f>
        <v>7.0401078803520645E-2</v>
      </c>
      <c r="M219" s="845"/>
      <c r="N219" s="845"/>
      <c r="O219" s="48">
        <f>IF(t&lt;Tnet,'2026'!Resal+('2026'!Salim-'2026'!Resal)*(1-EXP(('2026'!Tnet-t)/('2026'!Tau_j))),Resal+(Salim-Resal)*(1-EXP((Tnet-t)/(Tau_j))))*Salcycl</f>
        <v>4.2400580393984241E-2</v>
      </c>
      <c r="P219" s="169">
        <f>(INDEX(Models!$BJ219:$BT219,,T219)*(1-R219)+INDEX(Models!$BJ219:$BT219,,T219+1)*R219-ERP_i)*Q219*Ramure*Pc/MaxiM</f>
        <v>1.3273046984915279E-4</v>
      </c>
      <c r="Q219" s="305">
        <f t="shared" si="80"/>
        <v>0.5</v>
      </c>
      <c r="R219" s="177">
        <f t="shared" si="81"/>
        <v>0.4020185151628286</v>
      </c>
      <c r="S219" s="811">
        <f t="shared" si="82"/>
        <v>-1</v>
      </c>
      <c r="T219" s="176">
        <f t="shared" si="83"/>
        <v>5</v>
      </c>
      <c r="U219" s="251">
        <f t="shared" si="84"/>
        <v>-0.5979814848371714</v>
      </c>
      <c r="V219" s="383">
        <f t="shared" si="85"/>
        <v>53.113115587486746</v>
      </c>
      <c r="W219" s="402">
        <f t="shared" si="86"/>
        <v>48.53861965279561</v>
      </c>
      <c r="X219" s="157">
        <f t="shared" si="87"/>
        <v>46592</v>
      </c>
      <c r="Y219" s="385">
        <f t="shared" si="88"/>
        <v>46.709662510220717</v>
      </c>
      <c r="Z219" s="385">
        <f t="shared" si="89"/>
        <v>50.247113507942849</v>
      </c>
      <c r="AA219" s="386">
        <f t="shared" si="90"/>
        <v>54.495986542521258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7.796671469124003E-2</v>
      </c>
      <c r="AD219" s="231">
        <f>(INDEX(Models!$BJ219:$BT219,,AH219)*(1-AF219)+INDEX(Models!$BJ219:$BT219,,AH219+1)*AF219-ERP_i)*AE219*Ramure*Pc/MaxiM</f>
        <v>7.7160393334868311E-4</v>
      </c>
      <c r="AE219" s="305">
        <f t="shared" si="92"/>
        <v>0.5</v>
      </c>
      <c r="AF219" s="177">
        <f t="shared" si="93"/>
        <v>0.92700608153680752</v>
      </c>
      <c r="AG219" s="811">
        <f t="shared" si="99"/>
        <v>2</v>
      </c>
      <c r="AH219" s="176">
        <f t="shared" si="94"/>
        <v>8</v>
      </c>
      <c r="AI219" s="225">
        <f t="shared" si="95"/>
        <v>2.9270060815368075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'2026'!Wh/'2026'!Env_an*'2027'!Env_an</f>
        <v>24.805318856599325</v>
      </c>
      <c r="C220" s="841"/>
      <c r="D220" s="393">
        <f t="shared" si="77"/>
        <v>26.684478222840404</v>
      </c>
      <c r="E220" s="385">
        <f t="shared" si="75"/>
        <v>27.867973094142297</v>
      </c>
      <c r="F220" s="385">
        <f t="shared" si="78"/>
        <v>27.868879771173685</v>
      </c>
      <c r="G220" s="110">
        <f t="shared" si="76"/>
        <v>0.46805991824166659</v>
      </c>
      <c r="H220" s="414" t="b">
        <f>Wh_hp&gt;='2026'!Maxi_hp</f>
        <v>0</v>
      </c>
      <c r="I220" s="390">
        <f>IF(H220,Wh_hp,'2026'!Maxi_hp)</f>
        <v>58.619065963281635</v>
      </c>
      <c r="J220" s="85">
        <f>IF(H220,An,'2026'!An_max)</f>
        <v>2019</v>
      </c>
      <c r="K220" s="197">
        <f t="shared" si="79"/>
        <v>46593</v>
      </c>
      <c r="L220" s="147">
        <f>IF(t&lt;Tvie,1-EXP((T0-t)*PertePVj)+'2026'!Pspv,1-EXP((T0-t)*PertePVj)+Pspv)</f>
        <v>7.0421439405647601E-2</v>
      </c>
      <c r="M220" s="845"/>
      <c r="N220" s="845"/>
      <c r="O220" s="48">
        <f>IF(t&lt;Tnet,'2026'!Resal+('2026'!Salim-'2026'!Resal)*(1-EXP(('2026'!Tnet-t)/('2026'!Tau_j))),Resal+(Salim-Resal)*(1-EXP((Tnet-t)/(Tau_j))))*Salcycl</f>
        <v>4.2467920695339549E-2</v>
      </c>
      <c r="P220" s="169">
        <f>(INDEX(Models!$BJ220:$BT220,,T220)*(1-R220)+INDEX(Models!$BJ220:$BT220,,T220+1)*R220-ERP_i)*Q220*Ramure*Pc/MaxiM</f>
        <v>1.3546979990078299E-4</v>
      </c>
      <c r="Q220" s="305">
        <f t="shared" si="80"/>
        <v>0.5</v>
      </c>
      <c r="R220" s="177">
        <f t="shared" si="81"/>
        <v>0.40447281614996355</v>
      </c>
      <c r="S220" s="811">
        <f t="shared" si="82"/>
        <v>-1</v>
      </c>
      <c r="T220" s="176">
        <f t="shared" si="83"/>
        <v>5</v>
      </c>
      <c r="U220" s="251">
        <f t="shared" si="84"/>
        <v>-0.59552718385003645</v>
      </c>
      <c r="V220" s="383">
        <f t="shared" si="85"/>
        <v>52.990577580880519</v>
      </c>
      <c r="W220" s="402">
        <f t="shared" si="86"/>
        <v>24.805318856599325</v>
      </c>
      <c r="X220" s="157">
        <f t="shared" si="87"/>
        <v>46593</v>
      </c>
      <c r="Y220" s="385">
        <f t="shared" si="88"/>
        <v>23.881247270798784</v>
      </c>
      <c r="Z220" s="385">
        <f t="shared" si="89"/>
        <v>25.690402385710822</v>
      </c>
      <c r="AA220" s="386">
        <f t="shared" si="90"/>
        <v>27.863840663578372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7.8002106892195805E-2</v>
      </c>
      <c r="AD220" s="231">
        <f>(INDEX(Models!$BJ220:$BT220,,AH220)*(1-AF220)+INDEX(Models!$BJ220:$BT220,,AH220+1)*AF220-ERP_i)*AE220*Ramure*Pc/MaxiM</f>
        <v>7.5291076533649933E-4</v>
      </c>
      <c r="AE220" s="305">
        <f t="shared" si="92"/>
        <v>0.5</v>
      </c>
      <c r="AF220" s="177">
        <f t="shared" si="93"/>
        <v>0.92946038252394247</v>
      </c>
      <c r="AG220" s="811">
        <f t="shared" si="99"/>
        <v>2</v>
      </c>
      <c r="AH220" s="176">
        <f t="shared" si="94"/>
        <v>8</v>
      </c>
      <c r="AI220" s="225">
        <f t="shared" si="95"/>
        <v>2.9294603825239425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'2026'!Wh/'2026'!Env_an*'2027'!Env_an</f>
        <v>52.142395769314348</v>
      </c>
      <c r="C221" s="841"/>
      <c r="D221" s="393">
        <f t="shared" si="77"/>
        <v>56.093739740809639</v>
      </c>
      <c r="E221" s="385">
        <f t="shared" si="75"/>
        <v>58.585682373981022</v>
      </c>
      <c r="F221" s="385">
        <f t="shared" si="78"/>
        <v>58.593552020553638</v>
      </c>
      <c r="G221" s="110">
        <f t="shared" si="76"/>
        <v>0.98629486156925583</v>
      </c>
      <c r="H221" s="414" t="b">
        <f>Wh_hp&gt;='2026'!Maxi_hp</f>
        <v>0</v>
      </c>
      <c r="I221" s="390">
        <f>IF(H221,Wh_hp,'2026'!Maxi_hp)</f>
        <v>58.593666695824865</v>
      </c>
      <c r="J221" s="85">
        <f>IF(H221,An,'2026'!An_max)</f>
        <v>2025</v>
      </c>
      <c r="K221" s="197">
        <f t="shared" si="79"/>
        <v>46594</v>
      </c>
      <c r="L221" s="147">
        <f>IF(t&lt;Tvie,1-EXP((T0-t)*PertePVj)+'2026'!Pspv,1-EXP((T0-t)*PertePVj)+Pspv)</f>
        <v>7.0441799561825058E-2</v>
      </c>
      <c r="M221" s="845"/>
      <c r="N221" s="845"/>
      <c r="O221" s="48">
        <f>IF(t&lt;Tnet,'2026'!Resal+('2026'!Salim-'2026'!Resal)*(1-EXP(('2026'!Tnet-t)/('2026'!Tau_j))),Resal+(Salim-Resal)*(1-EXP((Tnet-t)/(Tau_j))))*Salcycl</f>
        <v>4.2535010811414614E-2</v>
      </c>
      <c r="P221" s="169">
        <f>(INDEX(Models!$BJ221:$BT221,,T221)*(1-R221)+INDEX(Models!$BJ221:$BT221,,T221+1)*R221-ERP_i)*Q221*Ramure*Pc/MaxiM</f>
        <v>1.3699067988295189E-4</v>
      </c>
      <c r="Q221" s="305">
        <f t="shared" si="80"/>
        <v>0.5</v>
      </c>
      <c r="R221" s="177">
        <f t="shared" si="81"/>
        <v>0.40685477292782246</v>
      </c>
      <c r="S221" s="811">
        <f t="shared" si="82"/>
        <v>-1</v>
      </c>
      <c r="T221" s="176">
        <f t="shared" si="83"/>
        <v>5</v>
      </c>
      <c r="U221" s="251">
        <f t="shared" si="84"/>
        <v>-0.59314522707217754</v>
      </c>
      <c r="V221" s="383">
        <f t="shared" si="85"/>
        <v>52.866802776381881</v>
      </c>
      <c r="W221" s="402">
        <f t="shared" si="86"/>
        <v>52.142395769314348</v>
      </c>
      <c r="X221" s="157">
        <f t="shared" si="87"/>
        <v>46594</v>
      </c>
      <c r="Y221" s="385">
        <f t="shared" si="88"/>
        <v>50.179727560671559</v>
      </c>
      <c r="Z221" s="385">
        <f t="shared" si="89"/>
        <v>53.98234079051516</v>
      </c>
      <c r="AA221" s="386">
        <f t="shared" si="90"/>
        <v>58.551533737516735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7.8037117993954019E-2</v>
      </c>
      <c r="AD221" s="231">
        <f>(INDEX(Models!$BJ221:$BT221,,AH221)*(1-AF221)+INDEX(Models!$BJ221:$BT221,,AH221+1)*AF221-ERP_i)*AE221*Ramure*Pc/MaxiM</f>
        <v>7.3143223239182775E-4</v>
      </c>
      <c r="AE221" s="305">
        <f t="shared" si="92"/>
        <v>0.5</v>
      </c>
      <c r="AF221" s="177">
        <f t="shared" si="93"/>
        <v>0.93184233930180138</v>
      </c>
      <c r="AG221" s="811">
        <f t="shared" si="99"/>
        <v>2</v>
      </c>
      <c r="AH221" s="176">
        <f t="shared" si="94"/>
        <v>8</v>
      </c>
      <c r="AI221" s="225">
        <f t="shared" si="95"/>
        <v>2.9318423393018014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'2026'!Wh/'2026'!Env_an*'2027'!Env_an</f>
        <v>52.150513335714649</v>
      </c>
      <c r="C222" s="841"/>
      <c r="D222" s="393">
        <f t="shared" si="77"/>
        <v>56.103701270380434</v>
      </c>
      <c r="E222" s="385">
        <f t="shared" si="75"/>
        <v>58.600178045865675</v>
      </c>
      <c r="F222" s="385">
        <f t="shared" si="78"/>
        <v>58.608094840490978</v>
      </c>
      <c r="G222" s="110">
        <f t="shared" si="76"/>
        <v>0.9887870247017253</v>
      </c>
      <c r="H222" s="414" t="b">
        <f>Wh_hp&gt;='2026'!Maxi_hp</f>
        <v>0</v>
      </c>
      <c r="I222" s="390">
        <f>IF(H222,Wh_hp,'2026'!Maxi_hp)</f>
        <v>58.608188609513583</v>
      </c>
      <c r="J222" s="85">
        <f>IF(H222,An,'2026'!An_max)</f>
        <v>2025</v>
      </c>
      <c r="K222" s="197">
        <f t="shared" si="79"/>
        <v>46595</v>
      </c>
      <c r="L222" s="147">
        <f>IF(t&lt;Tvie,1-EXP((T0-t)*PertePVj)+'2026'!Pspv,1-EXP((T0-t)*PertePVj)+Pspv)</f>
        <v>7.0462159272062896E-2</v>
      </c>
      <c r="M222" s="845"/>
      <c r="N222" s="845"/>
      <c r="O222" s="48">
        <f>IF(t&lt;Tnet,'2026'!Resal+('2026'!Salim-'2026'!Resal)*(1-EXP(('2026'!Tnet-t)/('2026'!Tau_j))),Resal+(Salim-Resal)*(1-EXP((Tnet-t)/(Tau_j))))*Salcycl</f>
        <v>4.2601863317399416E-2</v>
      </c>
      <c r="P222" s="169">
        <f>(INDEX(Models!$BJ222:$BT222,,T222)*(1-R222)+INDEX(Models!$BJ222:$BT222,,T222+1)*R222-ERP_i)*Q222*Ramure*Pc/MaxiM</f>
        <v>1.3727880387379767E-4</v>
      </c>
      <c r="Q222" s="305">
        <f t="shared" si="80"/>
        <v>0.5</v>
      </c>
      <c r="R222" s="177">
        <f t="shared" si="81"/>
        <v>0.40916561443278843</v>
      </c>
      <c r="S222" s="811">
        <f t="shared" si="82"/>
        <v>-1</v>
      </c>
      <c r="T222" s="176">
        <f t="shared" si="83"/>
        <v>5</v>
      </c>
      <c r="U222" s="251">
        <f t="shared" si="84"/>
        <v>-0.59083438556721157</v>
      </c>
      <c r="V222" s="383">
        <f t="shared" si="85"/>
        <v>52.741791063579278</v>
      </c>
      <c r="W222" s="402">
        <f t="shared" si="86"/>
        <v>52.150513335714649</v>
      </c>
      <c r="X222" s="157">
        <f t="shared" si="87"/>
        <v>46595</v>
      </c>
      <c r="Y222" s="385">
        <f t="shared" si="88"/>
        <v>50.190265140969686</v>
      </c>
      <c r="Z222" s="385">
        <f t="shared" si="89"/>
        <v>53.994859533276049</v>
      </c>
      <c r="AA222" s="386">
        <f t="shared" si="90"/>
        <v>58.567313487725848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7.8071772156803207E-2</v>
      </c>
      <c r="AD222" s="231">
        <f>(INDEX(Models!$BJ222:$BT222,,AH222)*(1-AF222)+INDEX(Models!$BJ222:$BT222,,AH222+1)*AF222-ERP_i)*AE222*Ramure*Pc/MaxiM</f>
        <v>7.0715682203744573E-4</v>
      </c>
      <c r="AE222" s="305">
        <f t="shared" si="92"/>
        <v>0.5</v>
      </c>
      <c r="AF222" s="177">
        <f t="shared" si="93"/>
        <v>0.93415318080676712</v>
      </c>
      <c r="AG222" s="811">
        <f t="shared" si="99"/>
        <v>2</v>
      </c>
      <c r="AH222" s="176">
        <f t="shared" si="94"/>
        <v>8</v>
      </c>
      <c r="AI222" s="225">
        <f t="shared" si="95"/>
        <v>2.9341531808067671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'2026'!Wh/'2026'!Env_an*'2027'!Env_an</f>
        <v>41.851600572791796</v>
      </c>
      <c r="C223" s="841"/>
      <c r="D223" s="393">
        <f t="shared" si="77"/>
        <v>45.025081730460599</v>
      </c>
      <c r="E223" s="385">
        <f t="shared" si="75"/>
        <v>47.031860178197938</v>
      </c>
      <c r="F223" s="385">
        <f t="shared" si="78"/>
        <v>47.036398255892983</v>
      </c>
      <c r="G223" s="110">
        <f t="shared" si="76"/>
        <v>0.79539107968306511</v>
      </c>
      <c r="H223" s="414" t="b">
        <f>Wh_hp&gt;='2026'!Maxi_hp</f>
        <v>0</v>
      </c>
      <c r="I223" s="390">
        <f>IF(H223,Wh_hp,'2026'!Maxi_hp)</f>
        <v>56.44038029737262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7.0482518536370886E-2</v>
      </c>
      <c r="M223" s="845"/>
      <c r="N223" s="845"/>
      <c r="O223" s="48">
        <f>IF(t&lt;Tnet,'2026'!Resal+('2026'!Salim-'2026'!Resal)*(1-EXP(('2026'!Tnet-t)/('2026'!Tau_j))),Resal+(Salim-Resal)*(1-EXP((Tnet-t)/(Tau_j))))*Salcycl</f>
        <v>4.266848983080633E-2</v>
      </c>
      <c r="P223" s="169">
        <f>(INDEX(Models!$BJ223:$BT223,,T223)*(1-R223)+INDEX(Models!$BJ223:$BT223,,T223+1)*R223-ERP_i)*Q223*Ramure*Pc/MaxiM</f>
        <v>1.3632011471680219E-4</v>
      </c>
      <c r="Q223" s="305">
        <f t="shared" si="80"/>
        <v>0.5</v>
      </c>
      <c r="R223" s="177">
        <f t="shared" si="81"/>
        <v>0.41140661381936994</v>
      </c>
      <c r="S223" s="811">
        <f t="shared" si="82"/>
        <v>-1</v>
      </c>
      <c r="T223" s="176">
        <f t="shared" si="83"/>
        <v>5</v>
      </c>
      <c r="U223" s="251">
        <f t="shared" si="84"/>
        <v>-0.58859338618063006</v>
      </c>
      <c r="V223" s="383">
        <f t="shared" si="85"/>
        <v>52.615542358542875</v>
      </c>
      <c r="W223" s="402">
        <f t="shared" si="86"/>
        <v>41.851600572791796</v>
      </c>
      <c r="X223" s="157">
        <f t="shared" si="87"/>
        <v>46596</v>
      </c>
      <c r="Y223" s="385">
        <f t="shared" si="88"/>
        <v>40.286865774601509</v>
      </c>
      <c r="Z223" s="385">
        <f t="shared" si="89"/>
        <v>43.341697792671248</v>
      </c>
      <c r="AA223" s="386">
        <f t="shared" si="90"/>
        <v>47.01375874306386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7.8106091675436792E-2</v>
      </c>
      <c r="AD223" s="231">
        <f>(INDEX(Models!$BJ223:$BT223,,AH223)*(1-AF223)+INDEX(Models!$BJ223:$BT223,,AH223+1)*AF223-ERP_i)*AE223*Ramure*Pc/MaxiM</f>
        <v>6.8007231109498971E-4</v>
      </c>
      <c r="AE223" s="305">
        <f t="shared" si="92"/>
        <v>0.5</v>
      </c>
      <c r="AF223" s="177">
        <f t="shared" si="93"/>
        <v>0.93639418019334864</v>
      </c>
      <c r="AG223" s="811">
        <f t="shared" si="99"/>
        <v>2</v>
      </c>
      <c r="AH223" s="176">
        <f t="shared" si="94"/>
        <v>8</v>
      </c>
      <c r="AI223" s="225">
        <f t="shared" si="95"/>
        <v>2.9363941801933486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'2026'!Wh/'2026'!Env_an*'2027'!Env_an</f>
        <v>28.310955097741957</v>
      </c>
      <c r="C224" s="841"/>
      <c r="D224" s="393">
        <f t="shared" si="77"/>
        <v>30.458356898590768</v>
      </c>
      <c r="E224" s="385">
        <f t="shared" si="75"/>
        <v>31.818100262993926</v>
      </c>
      <c r="F224" s="385">
        <f t="shared" si="78"/>
        <v>31.819559458247543</v>
      </c>
      <c r="G224" s="110">
        <f t="shared" si="76"/>
        <v>0.53933139437944078</v>
      </c>
      <c r="H224" s="414" t="b">
        <f>Wh_hp&gt;='2026'!Maxi_hp</f>
        <v>0</v>
      </c>
      <c r="I224" s="390">
        <f>IF(H224,Wh_hp,'2026'!Maxi_hp)</f>
        <v>59.643858292588483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7.0502877354758686E-2</v>
      </c>
      <c r="M224" s="845"/>
      <c r="N224" s="845"/>
      <c r="O224" s="48">
        <f>IF(t&lt;Tnet,'2026'!Resal+('2026'!Salim-'2026'!Resal)*(1-EXP(('2026'!Tnet-t)/('2026'!Tau_j))),Resal+(Salim-Resal)*(1-EXP((Tnet-t)/(Tau_j))))*Salcycl</f>
        <v>4.2734900989189709E-2</v>
      </c>
      <c r="P224" s="169">
        <f>(INDEX(Models!$BJ224:$BT224,,T224)*(1-R224)+INDEX(Models!$BJ224:$BT224,,T224+1)*R224-ERP_i)*Q224*Ramure*Pc/MaxiM</f>
        <v>1.3410076359252692E-4</v>
      </c>
      <c r="Q224" s="305">
        <f t="shared" si="80"/>
        <v>0.5</v>
      </c>
      <c r="R224" s="177">
        <f t="shared" si="81"/>
        <v>0.41357908282340328</v>
      </c>
      <c r="S224" s="811">
        <f t="shared" si="82"/>
        <v>-1</v>
      </c>
      <c r="T224" s="176">
        <f t="shared" si="83"/>
        <v>5</v>
      </c>
      <c r="U224" s="251">
        <f t="shared" si="84"/>
        <v>-0.58642091717659672</v>
      </c>
      <c r="V224" s="383">
        <f t="shared" si="85"/>
        <v>52.488056607922736</v>
      </c>
      <c r="W224" s="402">
        <f t="shared" si="86"/>
        <v>28.310955097741957</v>
      </c>
      <c r="X224" s="157">
        <f t="shared" si="87"/>
        <v>46597</v>
      </c>
      <c r="Y224" s="385">
        <f t="shared" si="88"/>
        <v>27.259040641914332</v>
      </c>
      <c r="Z224" s="385">
        <f t="shared" si="89"/>
        <v>29.326654142121768</v>
      </c>
      <c r="AA224" s="386">
        <f t="shared" si="90"/>
        <v>31.812484787619905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7.8140096949154955E-2</v>
      </c>
      <c r="AD224" s="231">
        <f>(INDEX(Models!$BJ224:$BT224,,AH224)*(1-AF224)+INDEX(Models!$BJ224:$BT224,,AH224+1)*AF224-ERP_i)*AE224*Ramure*Pc/MaxiM</f>
        <v>6.5016572044197156E-4</v>
      </c>
      <c r="AE224" s="305">
        <f t="shared" si="92"/>
        <v>0.5</v>
      </c>
      <c r="AF224" s="177">
        <f t="shared" si="93"/>
        <v>0.93856664919738231</v>
      </c>
      <c r="AG224" s="811">
        <f t="shared" si="99"/>
        <v>2</v>
      </c>
      <c r="AH224" s="176">
        <f t="shared" si="94"/>
        <v>8</v>
      </c>
      <c r="AI224" s="225">
        <f t="shared" si="95"/>
        <v>2.9385666491973823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'2026'!Wh/'2026'!Env_an*'2027'!Env_an</f>
        <v>47.646135803044679</v>
      </c>
      <c r="C225" s="841"/>
      <c r="D225" s="393">
        <f t="shared" si="77"/>
        <v>51.261244642649785</v>
      </c>
      <c r="E225" s="385">
        <f t="shared" si="75"/>
        <v>53.55338894279555</v>
      </c>
      <c r="F225" s="385">
        <f t="shared" si="78"/>
        <v>53.559484637577739</v>
      </c>
      <c r="G225" s="110">
        <f t="shared" si="76"/>
        <v>0.9099683289878816</v>
      </c>
      <c r="H225" s="414" t="b">
        <f>Wh_hp&gt;='2026'!Maxi_hp</f>
        <v>0</v>
      </c>
      <c r="I225" s="390">
        <f>IF(H225,Wh_hp,'2026'!Maxi_hp)</f>
        <v>55.994393253662331</v>
      </c>
      <c r="J225" s="85">
        <f>IF(H225,An,'2026'!An_max)</f>
        <v>2018</v>
      </c>
      <c r="K225" s="197">
        <f t="shared" si="79"/>
        <v>46598</v>
      </c>
      <c r="L225" s="147">
        <f>IF(t&lt;Tvie,1-EXP((T0-t)*PertePVj)+'2026'!Pspv,1-EXP((T0-t)*PertePVj)+Pspv)</f>
        <v>7.0523235727236067E-2</v>
      </c>
      <c r="M225" s="845"/>
      <c r="N225" s="845"/>
      <c r="O225" s="48">
        <f>IF(t&lt;Tnet,'2026'!Resal+('2026'!Salim-'2026'!Resal)*(1-EXP(('2026'!Tnet-t)/('2026'!Tau_j))),Resal+(Salim-Resal)*(1-EXP((Tnet-t)/(Tau_j))))*Salcycl</f>
        <v>4.2801106435937743E-2</v>
      </c>
      <c r="P225" s="169">
        <f>(INDEX(Models!$BJ225:$BT225,,T225)*(1-R225)+INDEX(Models!$BJ225:$BT225,,T225+1)*R225-ERP_i)*Q225*Ramure*Pc/MaxiM</f>
        <v>1.3060707247006503E-4</v>
      </c>
      <c r="Q225" s="305">
        <f t="shared" si="80"/>
        <v>0.5</v>
      </c>
      <c r="R225" s="177">
        <f t="shared" si="81"/>
        <v>0.41568436637028572</v>
      </c>
      <c r="S225" s="811">
        <f t="shared" si="82"/>
        <v>-1</v>
      </c>
      <c r="T225" s="176">
        <f t="shared" si="83"/>
        <v>5</v>
      </c>
      <c r="U225" s="251">
        <f t="shared" si="84"/>
        <v>-0.58431563362971428</v>
      </c>
      <c r="V225" s="383">
        <f t="shared" si="85"/>
        <v>52.359333790521134</v>
      </c>
      <c r="W225" s="402">
        <f t="shared" si="86"/>
        <v>47.646135803044679</v>
      </c>
      <c r="X225" s="157">
        <f t="shared" si="87"/>
        <v>46598</v>
      </c>
      <c r="Y225" s="385">
        <f t="shared" si="88"/>
        <v>45.865934525066521</v>
      </c>
      <c r="Z225" s="385">
        <f t="shared" si="89"/>
        <v>49.345972151280932</v>
      </c>
      <c r="AA225" s="386">
        <f t="shared" si="90"/>
        <v>53.530668251196566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7.817380646695167E-2</v>
      </c>
      <c r="AD225" s="231">
        <f>(INDEX(Models!$BJ225:$BT225,,AH225)*(1-AF225)+INDEX(Models!$BJ225:$BT225,,AH225+1)*AF225-ERP_i)*AE225*Ramure*Pc/MaxiM</f>
        <v>6.1742327969027948E-4</v>
      </c>
      <c r="AE225" s="305">
        <f t="shared" si="92"/>
        <v>0.5</v>
      </c>
      <c r="AF225" s="177">
        <f t="shared" si="93"/>
        <v>0.94067193274426453</v>
      </c>
      <c r="AG225" s="811">
        <f t="shared" si="99"/>
        <v>2</v>
      </c>
      <c r="AH225" s="176">
        <f t="shared" si="94"/>
        <v>8</v>
      </c>
      <c r="AI225" s="225">
        <f t="shared" si="95"/>
        <v>2.9406719327442645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'2026'!Wh/'2026'!Env_an*'2027'!Env_an</f>
        <v>50.21518758267127</v>
      </c>
      <c r="C226" s="841"/>
      <c r="D226" s="393">
        <f t="shared" si="77"/>
        <v>54.026404293745891</v>
      </c>
      <c r="E226" s="385">
        <f t="shared" si="75"/>
        <v>56.446085104723799</v>
      </c>
      <c r="F226" s="385">
        <f t="shared" si="78"/>
        <v>56.452808082346593</v>
      </c>
      <c r="G226" s="110">
        <f t="shared" si="76"/>
        <v>0.96142927938111933</v>
      </c>
      <c r="H226" s="414" t="b">
        <f>Wh_hp&gt;='2026'!Maxi_hp</f>
        <v>0</v>
      </c>
      <c r="I226" s="390">
        <f>IF(H226,Wh_hp,'2026'!Maxi_hp)</f>
        <v>58.250484133448317</v>
      </c>
      <c r="J226" s="85">
        <f>IF(H226,An,'2026'!An_max)</f>
        <v>2019</v>
      </c>
      <c r="K226" s="197">
        <f t="shared" si="79"/>
        <v>46599</v>
      </c>
      <c r="L226" s="147">
        <f>IF(t&lt;Tvie,1-EXP((T0-t)*PertePVj)+'2026'!Pspv,1-EXP((T0-t)*PertePVj)+Pspv)</f>
        <v>7.0543593653812908E-2</v>
      </c>
      <c r="M226" s="845"/>
      <c r="N226" s="845"/>
      <c r="O226" s="48">
        <f>IF(t&lt;Tnet,'2026'!Resal+('2026'!Salim-'2026'!Resal)*(1-EXP(('2026'!Tnet-t)/('2026'!Tau_j))),Resal+(Salim-Resal)*(1-EXP((Tnet-t)/(Tau_j))))*Salcycl</f>
        <v>4.2867114813874195E-2</v>
      </c>
      <c r="P226" s="169">
        <f>(INDEX(Models!$BJ226:$BT226,,T226)*(1-R226)+INDEX(Models!$BJ226:$BT226,,T226+1)*R226-ERP_i)*Q226*Ramure*Pc/MaxiM</f>
        <v>1.2603360438662403E-4</v>
      </c>
      <c r="Q226" s="305">
        <f t="shared" si="80"/>
        <v>0.5</v>
      </c>
      <c r="R226" s="177">
        <f t="shared" si="81"/>
        <v>0.4177238374357588</v>
      </c>
      <c r="S226" s="811">
        <f t="shared" si="82"/>
        <v>-1</v>
      </c>
      <c r="T226" s="176">
        <f t="shared" si="83"/>
        <v>5</v>
      </c>
      <c r="U226" s="251">
        <f t="shared" si="84"/>
        <v>-0.5822761625642412</v>
      </c>
      <c r="V226" s="383">
        <f t="shared" si="85"/>
        <v>52.229363048288924</v>
      </c>
      <c r="W226" s="402">
        <f t="shared" si="86"/>
        <v>50.21518758267127</v>
      </c>
      <c r="X226" s="157">
        <f t="shared" si="87"/>
        <v>46599</v>
      </c>
      <c r="Y226" s="385">
        <f t="shared" si="88"/>
        <v>48.340222463035971</v>
      </c>
      <c r="Z226" s="385">
        <f t="shared" si="89"/>
        <v>52.009133653796219</v>
      </c>
      <c r="AA226" s="386">
        <f t="shared" si="90"/>
        <v>56.421720510839648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7.8207236806890582E-2</v>
      </c>
      <c r="AD226" s="231">
        <f>(INDEX(Models!$BJ226:$BT226,,AH226)*(1-AF226)+INDEX(Models!$BJ226:$BT226,,AH226+1)*AF226-ERP_i)*AE226*Ramure*Pc/MaxiM</f>
        <v>5.8278919081362012E-4</v>
      </c>
      <c r="AE226" s="305">
        <f t="shared" si="92"/>
        <v>0.5</v>
      </c>
      <c r="AF226" s="177">
        <f t="shared" si="93"/>
        <v>0.94271140380973772</v>
      </c>
      <c r="AG226" s="811">
        <f t="shared" si="99"/>
        <v>2</v>
      </c>
      <c r="AH226" s="176">
        <f t="shared" si="94"/>
        <v>8</v>
      </c>
      <c r="AI226" s="225">
        <f t="shared" si="95"/>
        <v>2.9427114038097377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'2026'!Wh/'2026'!Env_an*'2027'!Env_an</f>
        <v>49.338924124794552</v>
      </c>
      <c r="C227" s="841"/>
      <c r="D227" s="393">
        <f t="shared" si="77"/>
        <v>53.084797157393666</v>
      </c>
      <c r="E227" s="385">
        <f t="shared" si="75"/>
        <v>55.466120432184084</v>
      </c>
      <c r="F227" s="385">
        <f t="shared" si="78"/>
        <v>55.472331637714035</v>
      </c>
      <c r="G227" s="110">
        <f t="shared" si="76"/>
        <v>0.94703007600920219</v>
      </c>
      <c r="H227" s="414" t="b">
        <f>Wh_hp&gt;='2026'!Maxi_hp</f>
        <v>0</v>
      </c>
      <c r="I227" s="390">
        <f>IF(H227,Wh_hp,'2026'!Maxi_hp)</f>
        <v>55.472696220067832</v>
      </c>
      <c r="J227" s="85">
        <f>IF(H227,An,'2026'!An_max)</f>
        <v>2025</v>
      </c>
      <c r="K227" s="197">
        <f t="shared" si="79"/>
        <v>46600</v>
      </c>
      <c r="L227" s="147">
        <f>IF(t&lt;Tvie,1-EXP((T0-t)*PertePVj)+'2026'!Pspv,1-EXP((T0-t)*PertePVj)+Pspv)</f>
        <v>7.056395113449887E-2</v>
      </c>
      <c r="M227" s="845"/>
      <c r="N227" s="845"/>
      <c r="O227" s="48">
        <f>IF(t&lt;Tnet,'2026'!Resal+('2026'!Salim-'2026'!Resal)*(1-EXP(('2026'!Tnet-t)/('2026'!Tau_j))),Resal+(Salim-Resal)*(1-EXP((Tnet-t)/(Tau_j))))*Salcycl</f>
        <v>4.2932933766333177E-2</v>
      </c>
      <c r="P227" s="169">
        <f>(INDEX(Models!$BJ227:$BT227,,T227)*(1-R227)+INDEX(Models!$BJ227:$BT227,,T227+1)*R227-ERP_i)*Q227*Ramure*Pc/MaxiM</f>
        <v>1.2113432531060888E-4</v>
      </c>
      <c r="Q227" s="305">
        <f t="shared" si="80"/>
        <v>0.5</v>
      </c>
      <c r="R227" s="177">
        <f t="shared" si="81"/>
        <v>0.41969889216442802</v>
      </c>
      <c r="S227" s="811">
        <f t="shared" si="82"/>
        <v>-1</v>
      </c>
      <c r="T227" s="176">
        <f t="shared" si="83"/>
        <v>5</v>
      </c>
      <c r="U227" s="251">
        <f t="shared" si="84"/>
        <v>-0.58030110783557198</v>
      </c>
      <c r="V227" s="383">
        <f t="shared" si="85"/>
        <v>52.098104524993353</v>
      </c>
      <c r="W227" s="402">
        <f t="shared" si="86"/>
        <v>49.338924124794552</v>
      </c>
      <c r="X227" s="157">
        <f t="shared" si="87"/>
        <v>46600</v>
      </c>
      <c r="Y227" s="385">
        <f t="shared" si="88"/>
        <v>47.499939539504958</v>
      </c>
      <c r="Z227" s="385">
        <f t="shared" si="89"/>
        <v>51.106194554735509</v>
      </c>
      <c r="AA227" s="386">
        <f t="shared" si="90"/>
        <v>55.444168633133437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7.8240402649045346E-2</v>
      </c>
      <c r="AD227" s="231">
        <f>(INDEX(Models!$BJ227:$BT227,,AH227)*(1-AF227)+INDEX(Models!$BJ227:$BT227,,AH227+1)*AF227-ERP_i)*AE227*Ramure*Pc/MaxiM</f>
        <v>5.4925030932282456E-4</v>
      </c>
      <c r="AE227" s="305">
        <f t="shared" si="92"/>
        <v>0.5</v>
      </c>
      <c r="AF227" s="177">
        <f t="shared" si="93"/>
        <v>0.94468645853840716</v>
      </c>
      <c r="AG227" s="811">
        <f t="shared" si="99"/>
        <v>2</v>
      </c>
      <c r="AH227" s="176">
        <f t="shared" si="94"/>
        <v>8</v>
      </c>
      <c r="AI227" s="225">
        <f t="shared" si="95"/>
        <v>2.9446864585384072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'2026'!Wh/'2026'!Env_an*'2027'!Env_an</f>
        <v>49.535178926445653</v>
      </c>
      <c r="C228" s="841"/>
      <c r="D228" s="393">
        <f t="shared" si="77"/>
        <v>53.297119213551056</v>
      </c>
      <c r="E228" s="385">
        <f t="shared" si="75"/>
        <v>55.691786385841489</v>
      </c>
      <c r="F228" s="385">
        <f t="shared" si="78"/>
        <v>55.697810849690136</v>
      </c>
      <c r="G228" s="110">
        <f t="shared" si="76"/>
        <v>0.9532235792494903</v>
      </c>
      <c r="H228" s="414" t="b">
        <f>Wh_hp&gt;='2026'!Maxi_hp</f>
        <v>0</v>
      </c>
      <c r="I228" s="390">
        <f>IF(H228,Wh_hp,'2026'!Maxi_hp)</f>
        <v>56.845203333586923</v>
      </c>
      <c r="J228" s="85">
        <f>IF(H228,An,'2026'!An_max)</f>
        <v>2019</v>
      </c>
      <c r="K228" s="197">
        <f t="shared" si="79"/>
        <v>46601</v>
      </c>
      <c r="L228" s="147">
        <f>IF(t&lt;Tvie,1-EXP((T0-t)*PertePVj)+'2026'!Pspv,1-EXP((T0-t)*PertePVj)+Pspv)</f>
        <v>7.0584308169303722E-2</v>
      </c>
      <c r="M228" s="845"/>
      <c r="N228" s="845"/>
      <c r="O228" s="48">
        <f>IF(t&lt;Tnet,'2026'!Resal+('2026'!Salim-'2026'!Resal)*(1-EXP(('2026'!Tnet-t)/('2026'!Tau_j))),Resal+(Salim-Resal)*(1-EXP((Tnet-t)/(Tau_j))))*Salcycl</f>
        <v>4.2998569945302212E-2</v>
      </c>
      <c r="P228" s="169">
        <f>(INDEX(Models!$BJ228:$BT228,,T228)*(1-R228)+INDEX(Models!$BJ228:$BT228,,T228+1)*R228-ERP_i)*Q228*Ramure*Pc/MaxiM</f>
        <v>1.1590750444860461E-4</v>
      </c>
      <c r="Q228" s="305">
        <f t="shared" si="80"/>
        <v>0.5</v>
      </c>
      <c r="R228" s="177">
        <f t="shared" si="81"/>
        <v>0.42161094524906484</v>
      </c>
      <c r="S228" s="811">
        <f t="shared" si="82"/>
        <v>-1</v>
      </c>
      <c r="T228" s="176">
        <f t="shared" si="83"/>
        <v>5</v>
      </c>
      <c r="U228" s="251">
        <f t="shared" si="84"/>
        <v>-0.57838905475093516</v>
      </c>
      <c r="V228" s="383">
        <f t="shared" si="85"/>
        <v>51.965558088362904</v>
      </c>
      <c r="W228" s="402">
        <f t="shared" si="86"/>
        <v>49.535178926445653</v>
      </c>
      <c r="X228" s="157">
        <f t="shared" si="87"/>
        <v>46601</v>
      </c>
      <c r="Y228" s="385">
        <f t="shared" si="88"/>
        <v>47.69147786088125</v>
      </c>
      <c r="Z228" s="385">
        <f t="shared" si="89"/>
        <v>51.313398600944645</v>
      </c>
      <c r="AA228" s="386">
        <f t="shared" si="90"/>
        <v>55.670948380123178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7.8273316801162299E-2</v>
      </c>
      <c r="AD228" s="231">
        <f>(INDEX(Models!$BJ228:$BT228,,AH228)*(1-AF228)+INDEX(Models!$BJ228:$BT228,,AH228+1)*AF228-ERP_i)*AE228*Ramure*Pc/MaxiM</f>
        <v>5.1681973517573774E-4</v>
      </c>
      <c r="AE228" s="305">
        <f t="shared" si="92"/>
        <v>0.5</v>
      </c>
      <c r="AF228" s="177">
        <f t="shared" si="93"/>
        <v>0.94659851162304376</v>
      </c>
      <c r="AG228" s="811">
        <f t="shared" si="99"/>
        <v>2</v>
      </c>
      <c r="AH228" s="176">
        <f t="shared" si="94"/>
        <v>8</v>
      </c>
      <c r="AI228" s="225">
        <f t="shared" si="95"/>
        <v>2.9465985116230438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'2026'!Wh/'2026'!Env_an*'2027'!Env_an</f>
        <v>47.46239571074689</v>
      </c>
      <c r="C229" s="841"/>
      <c r="D229" s="393">
        <f t="shared" si="77"/>
        <v>51.06803736904979</v>
      </c>
      <c r="E229" s="385">
        <f t="shared" si="75"/>
        <v>53.366200997836785</v>
      </c>
      <c r="F229" s="385">
        <f t="shared" si="78"/>
        <v>53.37138133831229</v>
      </c>
      <c r="G229" s="110">
        <f t="shared" si="76"/>
        <v>0.91568949593281146</v>
      </c>
      <c r="H229" s="414" t="b">
        <f>Wh_hp&gt;='2026'!Maxi_hp</f>
        <v>0</v>
      </c>
      <c r="I229" s="390">
        <f>IF(H229,Wh_hp,'2026'!Maxi_hp)</f>
        <v>57.532187418566849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7.0604664758237345E-2</v>
      </c>
      <c r="M229" s="845"/>
      <c r="N229" s="845"/>
      <c r="O229" s="48">
        <f>IF(t&lt;Tnet,'2026'!Resal+('2026'!Salim-'2026'!Resal)*(1-EXP(('2026'!Tnet-t)/('2026'!Tau_j))),Resal+(Salim-Resal)*(1-EXP((Tnet-t)/(Tau_j))))*Salcycl</f>
        <v>4.30640290261649E-2</v>
      </c>
      <c r="P229" s="169">
        <f>(INDEX(Models!$BJ229:$BT229,,T229)*(1-R229)+INDEX(Models!$BJ229:$BT229,,T229+1)*R229-ERP_i)*Q229*Ramure*Pc/MaxiM</f>
        <v>1.1035133018137963E-4</v>
      </c>
      <c r="Q229" s="305">
        <f t="shared" si="80"/>
        <v>0.5</v>
      </c>
      <c r="R229" s="177">
        <f t="shared" si="81"/>
        <v>0.42346142557178779</v>
      </c>
      <c r="S229" s="811">
        <f t="shared" si="82"/>
        <v>-1</v>
      </c>
      <c r="T229" s="176">
        <f t="shared" si="83"/>
        <v>5</v>
      </c>
      <c r="U229" s="251">
        <f t="shared" si="84"/>
        <v>-0.57653857442821221</v>
      </c>
      <c r="V229" s="383">
        <f t="shared" si="85"/>
        <v>51.831723661258522</v>
      </c>
      <c r="W229" s="402">
        <f t="shared" si="86"/>
        <v>47.46239571074689</v>
      </c>
      <c r="X229" s="157">
        <f t="shared" si="87"/>
        <v>46602</v>
      </c>
      <c r="Y229" s="385">
        <f t="shared" si="88"/>
        <v>45.699368091634859</v>
      </c>
      <c r="Z229" s="385">
        <f t="shared" si="89"/>
        <v>49.171075384994403</v>
      </c>
      <c r="AA229" s="386">
        <f t="shared" si="90"/>
        <v>53.348589514637069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7.8305990236096135E-2</v>
      </c>
      <c r="AD229" s="231">
        <f>(INDEX(Models!$BJ229:$BT229,,AH229)*(1-AF229)+INDEX(Models!$BJ229:$BT229,,AH229+1)*AF229-ERP_i)*AE229*Ramure*Pc/MaxiM</f>
        <v>4.8551018445853859E-4</v>
      </c>
      <c r="AE229" s="305">
        <f t="shared" si="92"/>
        <v>0.5</v>
      </c>
      <c r="AF229" s="177">
        <f t="shared" si="93"/>
        <v>0.94844899194576682</v>
      </c>
      <c r="AG229" s="811">
        <f t="shared" si="99"/>
        <v>2</v>
      </c>
      <c r="AH229" s="176">
        <f t="shared" si="94"/>
        <v>8</v>
      </c>
      <c r="AI229" s="225">
        <f t="shared" si="95"/>
        <v>2.9484489919457668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'2026'!Wh/'2026'!Env_an*'2027'!Env_an</f>
        <v>44.538101001333771</v>
      </c>
      <c r="C230" s="841"/>
      <c r="D230" s="393">
        <f t="shared" si="77"/>
        <v>47.922638335418604</v>
      </c>
      <c r="E230" s="385">
        <f t="shared" si="75"/>
        <v>50.082669605354972</v>
      </c>
      <c r="F230" s="385">
        <f t="shared" si="78"/>
        <v>50.0868668471646</v>
      </c>
      <c r="G230" s="110">
        <f t="shared" si="76"/>
        <v>0.86151080550209358</v>
      </c>
      <c r="H230" s="414" t="b">
        <f>Wh_hp&gt;='2026'!Maxi_hp</f>
        <v>0</v>
      </c>
      <c r="I230" s="390">
        <f>IF(H230,Wh_hp,'2026'!Maxi_hp)</f>
        <v>54.820289563876685</v>
      </c>
      <c r="J230" s="85">
        <f>IF(H230,An,'2026'!An_max)</f>
        <v>2019</v>
      </c>
      <c r="K230" s="197">
        <f t="shared" si="79"/>
        <v>46603</v>
      </c>
      <c r="L230" s="147">
        <f>IF(t&lt;Tvie,1-EXP((T0-t)*PertePVj)+'2026'!Pspv,1-EXP((T0-t)*PertePVj)+Pspv)</f>
        <v>7.0625020901309399E-2</v>
      </c>
      <c r="M230" s="845"/>
      <c r="N230" s="845"/>
      <c r="O230" s="48">
        <f>IF(t&lt;Tnet,'2026'!Resal+('2026'!Salim-'2026'!Resal)*(1-EXP(('2026'!Tnet-t)/('2026'!Tau_j))),Resal+(Salim-Resal)*(1-EXP((Tnet-t)/(Tau_j))))*Salcycl</f>
        <v>4.3129315728517303E-2</v>
      </c>
      <c r="P230" s="169">
        <f>(INDEX(Models!$BJ230:$BT230,,T230)*(1-R230)+INDEX(Models!$BJ230:$BT230,,T230+1)*R230-ERP_i)*Q230*Ramure*Pc/MaxiM</f>
        <v>1.0446390976145665E-4</v>
      </c>
      <c r="Q230" s="305">
        <f t="shared" si="80"/>
        <v>0.5</v>
      </c>
      <c r="R230" s="177">
        <f t="shared" si="81"/>
        <v>0.42525177210646459</v>
      </c>
      <c r="S230" s="811">
        <f t="shared" si="82"/>
        <v>-1</v>
      </c>
      <c r="T230" s="176">
        <f t="shared" si="83"/>
        <v>5</v>
      </c>
      <c r="U230" s="251">
        <f t="shared" si="84"/>
        <v>-0.57474822789353541</v>
      </c>
      <c r="V230" s="383">
        <f t="shared" si="85"/>
        <v>51.696601220784103</v>
      </c>
      <c r="W230" s="402">
        <f t="shared" si="86"/>
        <v>44.538101001333771</v>
      </c>
      <c r="X230" s="157">
        <f t="shared" si="87"/>
        <v>46603</v>
      </c>
      <c r="Y230" s="385">
        <f t="shared" si="88"/>
        <v>42.887196715701876</v>
      </c>
      <c r="Z230" s="385">
        <f t="shared" si="89"/>
        <v>46.146278606826655</v>
      </c>
      <c r="AA230" s="386">
        <f t="shared" si="90"/>
        <v>50.068572039921442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7.8338432139974046E-2</v>
      </c>
      <c r="AD230" s="231">
        <f>(INDEX(Models!$BJ230:$BT230,,AH230)*(1-AF230)+INDEX(Models!$BJ230:$BT230,,AH230+1)*AF230-ERP_i)*AE230*Ramure*Pc/MaxiM</f>
        <v>4.5533404545998994E-4</v>
      </c>
      <c r="AE230" s="305">
        <f t="shared" si="92"/>
        <v>0.5</v>
      </c>
      <c r="AF230" s="177">
        <f t="shared" si="93"/>
        <v>0.95023933848044351</v>
      </c>
      <c r="AG230" s="811">
        <f t="shared" si="99"/>
        <v>2</v>
      </c>
      <c r="AH230" s="176">
        <f t="shared" si="94"/>
        <v>8</v>
      </c>
      <c r="AI230" s="225">
        <f t="shared" si="95"/>
        <v>2.9502393384804435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'2026'!Wh/'2026'!Env_an*'2027'!Env_an</f>
        <v>41.437908110967562</v>
      </c>
      <c r="C231" s="841"/>
      <c r="D231" s="393">
        <f t="shared" si="77"/>
        <v>44.587832316692385</v>
      </c>
      <c r="E231" s="385">
        <f t="shared" si="75"/>
        <v>46.600724215845439</v>
      </c>
      <c r="F231" s="385">
        <f t="shared" si="78"/>
        <v>46.604018667028527</v>
      </c>
      <c r="G231" s="110">
        <f t="shared" si="76"/>
        <v>0.80365812563461858</v>
      </c>
      <c r="H231" s="414" t="b">
        <f>Wh_hp&gt;='2026'!Maxi_hp</f>
        <v>0</v>
      </c>
      <c r="I231" s="390">
        <f>IF(H231,Wh_hp,'2026'!Maxi_hp)</f>
        <v>56.442491959447445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7.0645376598529652E-2</v>
      </c>
      <c r="M231" s="845"/>
      <c r="N231" s="845"/>
      <c r="O231" s="48">
        <f>IF(t&lt;Tnet,'2026'!Resal+('2026'!Salim-'2026'!Resal)*(1-EXP(('2026'!Tnet-t)/('2026'!Tau_j))),Resal+(Salim-Resal)*(1-EXP((Tnet-t)/(Tau_j))))*Salcycl</f>
        <v>4.3194433842481346E-2</v>
      </c>
      <c r="P231" s="169">
        <f>(INDEX(Models!$BJ231:$BT231,,T231)*(1-R231)+INDEX(Models!$BJ231:$BT231,,T231+1)*R231-ERP_i)*Q231*Ramure*Pc/MaxiM</f>
        <v>9.8243269920606673E-5</v>
      </c>
      <c r="Q231" s="305">
        <f t="shared" si="80"/>
        <v>0.5</v>
      </c>
      <c r="R231" s="177">
        <f t="shared" si="81"/>
        <v>0.42698343008010697</v>
      </c>
      <c r="S231" s="811">
        <f t="shared" si="82"/>
        <v>-1</v>
      </c>
      <c r="T231" s="176">
        <f t="shared" si="83"/>
        <v>5</v>
      </c>
      <c r="U231" s="251">
        <f t="shared" si="84"/>
        <v>-0.57301656991989303</v>
      </c>
      <c r="V231" s="383">
        <f t="shared" si="85"/>
        <v>51.560190795451554</v>
      </c>
      <c r="W231" s="402">
        <f t="shared" si="86"/>
        <v>41.437908110967562</v>
      </c>
      <c r="X231" s="157">
        <f t="shared" si="87"/>
        <v>46604</v>
      </c>
      <c r="Y231" s="385">
        <f t="shared" si="88"/>
        <v>39.905052873168998</v>
      </c>
      <c r="Z231" s="385">
        <f t="shared" si="89"/>
        <v>42.938456288209025</v>
      </c>
      <c r="AA231" s="386">
        <f t="shared" si="90"/>
        <v>46.589723175384478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7.8370649969961306E-2</v>
      </c>
      <c r="AD231" s="231">
        <f>(INDEX(Models!$BJ231:$BT231,,AH231)*(1-AF231)+INDEX(Models!$BJ231:$BT231,,AH231+1)*AF231-ERP_i)*AE231*Ramure*Pc/MaxiM</f>
        <v>4.2630343149267671E-4</v>
      </c>
      <c r="AE231" s="305">
        <f t="shared" si="92"/>
        <v>0.5</v>
      </c>
      <c r="AF231" s="177">
        <f t="shared" si="93"/>
        <v>0.95197099645408567</v>
      </c>
      <c r="AG231" s="811">
        <f t="shared" si="99"/>
        <v>2</v>
      </c>
      <c r="AH231" s="176">
        <f t="shared" si="94"/>
        <v>8</v>
      </c>
      <c r="AI231" s="225">
        <f t="shared" si="95"/>
        <v>2.9519709964540857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'2026'!Wh/'2026'!Env_an*'2027'!Env_an</f>
        <v>45.407255066499012</v>
      </c>
      <c r="C232" s="841"/>
      <c r="D232" s="393">
        <f t="shared" si="77"/>
        <v>48.859981411086324</v>
      </c>
      <c r="E232" s="385">
        <f t="shared" si="75"/>
        <v>51.069203825352545</v>
      </c>
      <c r="F232" s="385">
        <f t="shared" si="78"/>
        <v>51.073104049151659</v>
      </c>
      <c r="G232" s="110">
        <f t="shared" si="76"/>
        <v>0.88300969313773059</v>
      </c>
      <c r="H232" s="414" t="b">
        <f>Wh_hp&gt;='2026'!Maxi_hp</f>
        <v>0</v>
      </c>
      <c r="I232" s="390">
        <f>IF(H232,Wh_hp,'2026'!Maxi_hp)</f>
        <v>57.46185272567628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7.0665731849907876E-2</v>
      </c>
      <c r="M232" s="845"/>
      <c r="N232" s="845"/>
      <c r="O232" s="48">
        <f>IF(t&lt;Tnet,'2026'!Resal+('2026'!Salim-'2026'!Resal)*(1-EXP(('2026'!Tnet-t)/('2026'!Tau_j))),Resal+(Salim-Resal)*(1-EXP((Tnet-t)/(Tau_j))))*Salcycl</f>
        <v>4.3259386259894769E-2</v>
      </c>
      <c r="P232" s="169">
        <f>(INDEX(Models!$BJ232:$BT232,,T232)*(1-R232)+INDEX(Models!$BJ232:$BT232,,T232+1)*R232-ERP_i)*Q232*Ramure*Pc/MaxiM</f>
        <v>9.1687358296986486E-5</v>
      </c>
      <c r="Q232" s="305">
        <f t="shared" si="80"/>
        <v>0.5</v>
      </c>
      <c r="R232" s="177">
        <f t="shared" si="81"/>
        <v>0.42865784738963852</v>
      </c>
      <c r="S232" s="811">
        <f t="shared" si="82"/>
        <v>-1</v>
      </c>
      <c r="T232" s="176">
        <f t="shared" si="83"/>
        <v>5</v>
      </c>
      <c r="U232" s="251">
        <f t="shared" si="84"/>
        <v>-0.57134215261036148</v>
      </c>
      <c r="V232" s="383">
        <f t="shared" si="85"/>
        <v>51.422492463344682</v>
      </c>
      <c r="W232" s="402">
        <f t="shared" si="86"/>
        <v>45.407255066499012</v>
      </c>
      <c r="X232" s="157">
        <f t="shared" si="87"/>
        <v>46605</v>
      </c>
      <c r="Y232" s="385">
        <f t="shared" si="88"/>
        <v>43.728167580349094</v>
      </c>
      <c r="Z232" s="385">
        <f t="shared" si="89"/>
        <v>47.053217640831441</v>
      </c>
      <c r="AA232" s="386">
        <f t="shared" si="90"/>
        <v>51.056155506899621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7.8402649520433035E-2</v>
      </c>
      <c r="AD232" s="231">
        <f>(INDEX(Models!$BJ232:$BT232,,AH232)*(1-AF232)+INDEX(Models!$BJ232:$BT232,,AH232+1)*AF232-ERP_i)*AE232*Ramure*Pc/MaxiM</f>
        <v>3.9843023018969767E-4</v>
      </c>
      <c r="AE232" s="305">
        <f t="shared" si="92"/>
        <v>0.5</v>
      </c>
      <c r="AF232" s="177">
        <f t="shared" si="93"/>
        <v>0.95364541376361744</v>
      </c>
      <c r="AG232" s="811">
        <f t="shared" si="99"/>
        <v>2</v>
      </c>
      <c r="AH232" s="176">
        <f t="shared" si="94"/>
        <v>8</v>
      </c>
      <c r="AI232" s="225">
        <f t="shared" si="95"/>
        <v>2.9536454137636174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'2026'!Wh/'2026'!Env_an*'2027'!Env_an</f>
        <v>48.262758013551739</v>
      </c>
      <c r="C233" s="841"/>
      <c r="D233" s="393">
        <f t="shared" si="77"/>
        <v>51.933751685538546</v>
      </c>
      <c r="E233" s="385">
        <f t="shared" ref="E233:E296" si="100">Wh_pvt/(1-Psa)</f>
        <v>54.285631902600102</v>
      </c>
      <c r="F233" s="385">
        <f t="shared" si="78"/>
        <v>54.289847949345848</v>
      </c>
      <c r="G233" s="110">
        <f t="shared" ref="G233:G296" si="101">+Wh_hp/MaxiM</f>
        <v>0.94108656787973322</v>
      </c>
      <c r="H233" s="414" t="b">
        <f>Wh_hp&gt;='2026'!Maxi_hp</f>
        <v>0</v>
      </c>
      <c r="I233" s="390">
        <f>IF(H233,Wh_hp,'2026'!Maxi_hp)</f>
        <v>55.820902062700583</v>
      </c>
      <c r="J233" s="85">
        <f>IF(H233,An,'2026'!An_max)</f>
        <v>2020</v>
      </c>
      <c r="K233" s="197">
        <f t="shared" si="79"/>
        <v>46606</v>
      </c>
      <c r="L233" s="147">
        <f>IF(t&lt;Tvie,1-EXP((T0-t)*PertePVj)+'2026'!Pspv,1-EXP((T0-t)*PertePVj)+Pspv)</f>
        <v>7.068608665545395E-2</v>
      </c>
      <c r="M233" s="845"/>
      <c r="N233" s="845"/>
      <c r="O233" s="48">
        <f>IF(t&lt;Tnet,'2026'!Resal+('2026'!Salim-'2026'!Resal)*(1-EXP(('2026'!Tnet-t)/('2026'!Tau_j))),Resal+(Salim-Resal)*(1-EXP((Tnet-t)/(Tau_j))))*Salcycl</f>
        <v>4.3324175009721334E-2</v>
      </c>
      <c r="P233" s="169">
        <f>(INDEX(Models!$BJ233:$BT233,,T233)*(1-R233)+INDEX(Models!$BJ233:$BT233,,T233+1)*R233-ERP_i)*Q233*Ramure*Pc/MaxiM</f>
        <v>8.4793703684015191E-5</v>
      </c>
      <c r="Q233" s="305">
        <f t="shared" si="80"/>
        <v>0.5</v>
      </c>
      <c r="R233" s="177">
        <f t="shared" si="81"/>
        <v>0.43027647126920199</v>
      </c>
      <c r="S233" s="811">
        <f t="shared" si="82"/>
        <v>-1</v>
      </c>
      <c r="T233" s="176">
        <f t="shared" si="83"/>
        <v>5</v>
      </c>
      <c r="U233" s="251">
        <f t="shared" si="84"/>
        <v>-0.56972352873079801</v>
      </c>
      <c r="V233" s="383">
        <f t="shared" si="85"/>
        <v>51.283713157119692</v>
      </c>
      <c r="W233" s="402">
        <f t="shared" si="86"/>
        <v>48.262758013551739</v>
      </c>
      <c r="X233" s="157">
        <f t="shared" si="87"/>
        <v>46606</v>
      </c>
      <c r="Y233" s="385">
        <f t="shared" si="88"/>
        <v>46.479283600323726</v>
      </c>
      <c r="Z233" s="385">
        <f t="shared" si="89"/>
        <v>50.014621467408702</v>
      </c>
      <c r="AA233" s="386">
        <f t="shared" si="90"/>
        <v>54.271365344697948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7.8434434996301663E-2</v>
      </c>
      <c r="AD233" s="231">
        <f>(INDEX(Models!$BJ233:$BT233,,AH233)*(1-AF233)+INDEX(Models!$BJ233:$BT233,,AH233+1)*AF233-ERP_i)*AE233*Ramure*Pc/MaxiM</f>
        <v>3.7172465020792709E-4</v>
      </c>
      <c r="AE233" s="305">
        <f t="shared" si="92"/>
        <v>0.5</v>
      </c>
      <c r="AF233" s="177">
        <f t="shared" si="93"/>
        <v>0.95526403764318113</v>
      </c>
      <c r="AG233" s="811">
        <f t="shared" si="99"/>
        <v>2</v>
      </c>
      <c r="AH233" s="176">
        <f t="shared" si="94"/>
        <v>8</v>
      </c>
      <c r="AI233" s="225">
        <f t="shared" si="95"/>
        <v>2.9552640376431811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'2026'!Wh/'2026'!Env_an*'2027'!Env_an</f>
        <v>49.037574257728394</v>
      </c>
      <c r="C234" s="841"/>
      <c r="D234" s="393">
        <f t="shared" si="77"/>
        <v>52.768658281994277</v>
      </c>
      <c r="E234" s="385">
        <f t="shared" si="100"/>
        <v>55.162074574852682</v>
      </c>
      <c r="F234" s="385">
        <f t="shared" si="78"/>
        <v>55.166111305767053</v>
      </c>
      <c r="G234" s="110">
        <f t="shared" si="101"/>
        <v>0.95880969144602124</v>
      </c>
      <c r="H234" s="414" t="b">
        <f>Wh_hp&gt;='2026'!Maxi_hp</f>
        <v>0</v>
      </c>
      <c r="I234" s="390">
        <f>IF(H234,Wh_hp,'2026'!Maxi_hp)</f>
        <v>55.166289291392175</v>
      </c>
      <c r="J234" s="85">
        <f>IF(H234,An,'2026'!An_max)</f>
        <v>2025</v>
      </c>
      <c r="K234" s="197">
        <f t="shared" si="79"/>
        <v>46607</v>
      </c>
      <c r="L234" s="147">
        <f>IF(t&lt;Tvie,1-EXP((T0-t)*PertePVj)+'2026'!Pspv,1-EXP((T0-t)*PertePVj)+Pspv)</f>
        <v>7.0706441015177424E-2</v>
      </c>
      <c r="M234" s="845"/>
      <c r="N234" s="845"/>
      <c r="O234" s="48">
        <f>IF(t&lt;Tnet,'2026'!Resal+('2026'!Salim-'2026'!Resal)*(1-EXP(('2026'!Tnet-t)/('2026'!Tau_j))),Resal+(Salim-Resal)*(1-EXP((Tnet-t)/(Tau_j))))*Salcycl</f>
        <v>4.3388801296996883E-2</v>
      </c>
      <c r="P234" s="169">
        <f>(INDEX(Models!$BJ234:$BT234,,T234)*(1-R234)+INDEX(Models!$BJ234:$BT234,,T234+1)*R234-ERP_i)*Q234*Ramure*Pc/MaxiM</f>
        <v>7.7748603748034939E-5</v>
      </c>
      <c r="Q234" s="305">
        <f t="shared" si="80"/>
        <v>0.5</v>
      </c>
      <c r="R234" s="177">
        <f t="shared" si="81"/>
        <v>0.43184074520212357</v>
      </c>
      <c r="S234" s="811">
        <f t="shared" si="82"/>
        <v>-1</v>
      </c>
      <c r="T234" s="176">
        <f t="shared" si="83"/>
        <v>5</v>
      </c>
      <c r="U234" s="251">
        <f t="shared" si="84"/>
        <v>-0.56815925479787643</v>
      </c>
      <c r="V234" s="383">
        <f t="shared" si="85"/>
        <v>51.143986503847458</v>
      </c>
      <c r="W234" s="402">
        <f t="shared" si="86"/>
        <v>49.037574257728394</v>
      </c>
      <c r="X234" s="157">
        <f t="shared" si="87"/>
        <v>46607</v>
      </c>
      <c r="Y234" s="385">
        <f t="shared" si="88"/>
        <v>47.227499219708825</v>
      </c>
      <c r="Z234" s="385">
        <f t="shared" si="89"/>
        <v>50.820861463089251</v>
      </c>
      <c r="AA234" s="386">
        <f t="shared" si="90"/>
        <v>55.148113867212253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7.8466009092211686E-2</v>
      </c>
      <c r="AD234" s="231">
        <f>(INDEX(Models!$BJ234:$BT234,,AH234)*(1-AF234)+INDEX(Models!$BJ234:$BT234,,AH234+1)*AF234-ERP_i)*AE234*Ramure*Pc/MaxiM</f>
        <v>3.4663586658608493E-4</v>
      </c>
      <c r="AE234" s="305">
        <f t="shared" si="92"/>
        <v>0.5</v>
      </c>
      <c r="AF234" s="177">
        <f t="shared" si="93"/>
        <v>0.95682831157610249</v>
      </c>
      <c r="AG234" s="811">
        <f t="shared" si="99"/>
        <v>2</v>
      </c>
      <c r="AH234" s="176">
        <f t="shared" si="94"/>
        <v>8</v>
      </c>
      <c r="AI234" s="225">
        <f t="shared" si="95"/>
        <v>2.9568283115761025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'2026'!Wh/'2026'!Env_an*'2027'!Env_an</f>
        <v>47.397238366146802</v>
      </c>
      <c r="C235" s="841"/>
      <c r="D235" s="393">
        <f t="shared" si="77"/>
        <v>51.004632553168229</v>
      </c>
      <c r="E235" s="385">
        <f t="shared" si="100"/>
        <v>53.321631569008034</v>
      </c>
      <c r="F235" s="385">
        <f t="shared" si="78"/>
        <v>53.325037928199073</v>
      </c>
      <c r="G235" s="110">
        <f t="shared" si="101"/>
        <v>0.92929279179099389</v>
      </c>
      <c r="H235" s="414" t="b">
        <f>Wh_hp&gt;='2026'!Maxi_hp</f>
        <v>0</v>
      </c>
      <c r="I235" s="390">
        <f>IF(H235,Wh_hp,'2026'!Maxi_hp)</f>
        <v>55.939165383860541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7.0726794929088288E-2</v>
      </c>
      <c r="M235" s="845"/>
      <c r="N235" s="845"/>
      <c r="O235" s="48">
        <f>IF(t&lt;Tnet,'2026'!Resal+('2026'!Salim-'2026'!Resal)*(1-EXP(('2026'!Tnet-t)/('2026'!Tau_j))),Resal+(Salim-Resal)*(1-EXP((Tnet-t)/(Tau_j))))*Salcycl</f>
        <v>4.3453265544606927E-2</v>
      </c>
      <c r="P235" s="169">
        <f>(INDEX(Models!$BJ235:$BT235,,T235)*(1-R235)+INDEX(Models!$BJ235:$BT235,,T235+1)*R235-ERP_i)*Q235*Ramure*Pc/MaxiM</f>
        <v>7.1055867836335417E-5</v>
      </c>
      <c r="Q235" s="305">
        <f t="shared" si="80"/>
        <v>0.5</v>
      </c>
      <c r="R235" s="177">
        <f t="shared" si="81"/>
        <v>0.43335210607075192</v>
      </c>
      <c r="S235" s="811">
        <f t="shared" si="82"/>
        <v>-1</v>
      </c>
      <c r="T235" s="176">
        <f t="shared" si="83"/>
        <v>5</v>
      </c>
      <c r="U235" s="251">
        <f t="shared" si="84"/>
        <v>-0.56664789392924808</v>
      </c>
      <c r="V235" s="383">
        <f t="shared" si="85"/>
        <v>51.003191467176862</v>
      </c>
      <c r="W235" s="402">
        <f t="shared" si="86"/>
        <v>47.397238366146802</v>
      </c>
      <c r="X235" s="157">
        <f t="shared" si="87"/>
        <v>46608</v>
      </c>
      <c r="Y235" s="385">
        <f t="shared" si="88"/>
        <v>45.650454222208658</v>
      </c>
      <c r="Z235" s="385">
        <f t="shared" si="89"/>
        <v>49.124901022756951</v>
      </c>
      <c r="AA235" s="386">
        <f t="shared" si="90"/>
        <v>53.309561565497098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7.8497373076287569E-2</v>
      </c>
      <c r="AD235" s="231">
        <f>(INDEX(Models!$BJ235:$BT235,,AH235)*(1-AF235)+INDEX(Models!$BJ235:$BT235,,AH235+1)*AF235-ERP_i)*AE235*Ramure*Pc/MaxiM</f>
        <v>3.2283335992052721E-4</v>
      </c>
      <c r="AE235" s="305">
        <f t="shared" si="92"/>
        <v>0.5</v>
      </c>
      <c r="AF235" s="177">
        <f t="shared" si="93"/>
        <v>0.95833967244473062</v>
      </c>
      <c r="AG235" s="811">
        <f t="shared" si="99"/>
        <v>2</v>
      </c>
      <c r="AH235" s="176">
        <f t="shared" si="94"/>
        <v>8</v>
      </c>
      <c r="AI235" s="225">
        <f t="shared" si="95"/>
        <v>2.9583396724447306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'2026'!Wh/'2026'!Env_an*'2027'!Env_an</f>
        <v>45.445515669613108</v>
      </c>
      <c r="C236" s="841"/>
      <c r="D236" s="393">
        <f t="shared" si="77"/>
        <v>48.905435793096878</v>
      </c>
      <c r="E236" s="385">
        <f t="shared" si="100"/>
        <v>51.130511265176736</v>
      </c>
      <c r="F236" s="385">
        <f t="shared" si="78"/>
        <v>51.133317229622328</v>
      </c>
      <c r="G236" s="110">
        <f t="shared" si="101"/>
        <v>0.8935109470749345</v>
      </c>
      <c r="H236" s="414" t="b">
        <f>Wh_hp&gt;='2026'!Maxi_hp</f>
        <v>0</v>
      </c>
      <c r="I236" s="390">
        <f>IF(H236,Wh_hp,'2026'!Maxi_hp)</f>
        <v>53.022413412282127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7.0747148397196091E-2</v>
      </c>
      <c r="M236" s="845"/>
      <c r="N236" s="845"/>
      <c r="O236" s="48">
        <f>IF(t&lt;Tnet,'2026'!Resal+('2026'!Salim-'2026'!Resal)*(1-EXP(('2026'!Tnet-t)/('2026'!Tau_j))),Resal+(Salim-Resal)*(1-EXP((Tnet-t)/(Tau_j))))*Salcycl</f>
        <v>4.3517567437180674E-2</v>
      </c>
      <c r="P236" s="169">
        <f>(INDEX(Models!$BJ236:$BT236,,T236)*(1-R236)+INDEX(Models!$BJ236:$BT236,,T236+1)*R236-ERP_i)*Q236*Ramure*Pc/MaxiM</f>
        <v>6.4720380931638681E-5</v>
      </c>
      <c r="Q236" s="305">
        <f t="shared" si="80"/>
        <v>0.5</v>
      </c>
      <c r="R236" s="177">
        <f t="shared" si="81"/>
        <v>0.43481198153664902</v>
      </c>
      <c r="S236" s="811">
        <f t="shared" si="82"/>
        <v>-1</v>
      </c>
      <c r="T236" s="176">
        <f t="shared" si="83"/>
        <v>5</v>
      </c>
      <c r="U236" s="251">
        <f t="shared" si="84"/>
        <v>-0.56518801846335098</v>
      </c>
      <c r="V236" s="383">
        <f t="shared" si="85"/>
        <v>50.861232743090191</v>
      </c>
      <c r="W236" s="402">
        <f t="shared" si="86"/>
        <v>45.445515669613108</v>
      </c>
      <c r="X236" s="157">
        <f t="shared" si="87"/>
        <v>46609</v>
      </c>
      <c r="Y236" s="385">
        <f t="shared" si="88"/>
        <v>43.773287167649663</v>
      </c>
      <c r="Z236" s="385">
        <f t="shared" si="89"/>
        <v>47.105894904867014</v>
      </c>
      <c r="AA236" s="386">
        <f t="shared" si="90"/>
        <v>51.120296481044747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7.8528526877113577E-2</v>
      </c>
      <c r="AD236" s="231">
        <f>(INDEX(Models!$BJ236:$BT236,,AH236)*(1-AF236)+INDEX(Models!$BJ236:$BT236,,AH236+1)*AF236-ERP_i)*AE236*Ramure*Pc/MaxiM</f>
        <v>3.00327329264913E-4</v>
      </c>
      <c r="AE236" s="305">
        <f t="shared" si="92"/>
        <v>0.5</v>
      </c>
      <c r="AF236" s="177">
        <f t="shared" si="93"/>
        <v>0.95979954791062783</v>
      </c>
      <c r="AG236" s="811">
        <f t="shared" si="99"/>
        <v>2</v>
      </c>
      <c r="AH236" s="176">
        <f t="shared" si="94"/>
        <v>8</v>
      </c>
      <c r="AI236" s="225">
        <f t="shared" si="95"/>
        <v>2.9597995479106278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'2026'!Wh/'2026'!Env_an*'2027'!Env_an</f>
        <v>41.820545727799178</v>
      </c>
      <c r="C237" s="841"/>
      <c r="D237" s="393">
        <f t="shared" si="77"/>
        <v>45.005470419604279</v>
      </c>
      <c r="E237" s="385">
        <f t="shared" si="100"/>
        <v>47.056262621030953</v>
      </c>
      <c r="F237" s="385">
        <f t="shared" si="78"/>
        <v>47.058334321174556</v>
      </c>
      <c r="G237" s="110">
        <f t="shared" si="101"/>
        <v>0.82455770195412348</v>
      </c>
      <c r="H237" s="414" t="b">
        <f>Wh_hp&gt;='2026'!Maxi_hp</f>
        <v>0</v>
      </c>
      <c r="I237" s="390">
        <f>IF(H237,Wh_hp,'2026'!Maxi_hp)</f>
        <v>54.934751797677123</v>
      </c>
      <c r="J237" s="85">
        <f>IF(H237,An,'2026'!An_max)</f>
        <v>2018</v>
      </c>
      <c r="K237" s="197">
        <f t="shared" si="79"/>
        <v>46610</v>
      </c>
      <c r="L237" s="147">
        <f>IF(t&lt;Tvie,1-EXP((T0-t)*PertePVj)+'2026'!Pspv,1-EXP((T0-t)*PertePVj)+Pspv)</f>
        <v>7.0767501419510825E-2</v>
      </c>
      <c r="M237" s="845"/>
      <c r="N237" s="845"/>
      <c r="O237" s="48">
        <f>IF(t&lt;Tnet,'2026'!Resal+('2026'!Salim-'2026'!Resal)*(1-EXP(('2026'!Tnet-t)/('2026'!Tau_j))),Resal+(Salim-Resal)*(1-EXP((Tnet-t)/(Tau_j))))*Salcycl</f>
        <v>4.3581705966383111E-2</v>
      </c>
      <c r="P237" s="169">
        <f>(INDEX(Models!$BJ237:$BT237,,T237)*(1-R237)+INDEX(Models!$BJ237:$BT237,,T237+1)*R237-ERP_i)*Q237*Ramure*Pc/MaxiM</f>
        <v>5.8746915094915428E-5</v>
      </c>
      <c r="Q237" s="305">
        <f t="shared" si="80"/>
        <v>0.5</v>
      </c>
      <c r="R237" s="177">
        <f t="shared" si="81"/>
        <v>0.43622178764299147</v>
      </c>
      <c r="S237" s="811">
        <f t="shared" si="82"/>
        <v>-1</v>
      </c>
      <c r="T237" s="176">
        <f t="shared" si="83"/>
        <v>5</v>
      </c>
      <c r="U237" s="251">
        <f t="shared" si="84"/>
        <v>-0.56377821235700853</v>
      </c>
      <c r="V237" s="383">
        <f t="shared" si="85"/>
        <v>50.718015106550936</v>
      </c>
      <c r="W237" s="402">
        <f t="shared" si="86"/>
        <v>41.820545727799178</v>
      </c>
      <c r="X237" s="157">
        <f t="shared" si="87"/>
        <v>46610</v>
      </c>
      <c r="Y237" s="385">
        <f t="shared" si="88"/>
        <v>40.284446379717977</v>
      </c>
      <c r="Z237" s="385">
        <f t="shared" si="89"/>
        <v>43.352386449308604</v>
      </c>
      <c r="AA237" s="386">
        <f t="shared" si="90"/>
        <v>47.048490921472798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7.8559469172629834E-2</v>
      </c>
      <c r="AD237" s="231">
        <f>(INDEX(Models!$BJ237:$BT237,,AH237)*(1-AF237)+INDEX(Models!$BJ237:$BT237,,AH237+1)*AF237-ERP_i)*AE237*Ramure*Pc/MaxiM</f>
        <v>2.7912792703685527E-4</v>
      </c>
      <c r="AE237" s="305">
        <f t="shared" si="92"/>
        <v>0.5</v>
      </c>
      <c r="AF237" s="177">
        <f t="shared" si="93"/>
        <v>0.96120935401697061</v>
      </c>
      <c r="AG237" s="811">
        <f t="shared" si="99"/>
        <v>2</v>
      </c>
      <c r="AH237" s="176">
        <f t="shared" si="94"/>
        <v>8</v>
      </c>
      <c r="AI237" s="225">
        <f t="shared" si="95"/>
        <v>2.9612093540169706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'2026'!Wh/'2026'!Env_an*'2027'!Env_an</f>
        <v>43.88999819302542</v>
      </c>
      <c r="C238" s="841"/>
      <c r="D238" s="393">
        <f t="shared" si="77"/>
        <v>47.233560583309973</v>
      </c>
      <c r="E238" s="385">
        <f t="shared" si="100"/>
        <v>49.389185126987414</v>
      </c>
      <c r="F238" s="385">
        <f t="shared" si="78"/>
        <v>49.391314277741515</v>
      </c>
      <c r="G238" s="110">
        <f t="shared" si="101"/>
        <v>0.8678380370883586</v>
      </c>
      <c r="H238" s="414" t="b">
        <f>Wh_hp&gt;='2026'!Maxi_hp</f>
        <v>0</v>
      </c>
      <c r="I238" s="390">
        <f>IF(H238,Wh_hp,'2026'!Maxi_hp)</f>
        <v>52.198759439863373</v>
      </c>
      <c r="J238" s="85">
        <f>IF(H238,An,'2026'!An_max)</f>
        <v>2018</v>
      </c>
      <c r="K238" s="197">
        <f t="shared" si="79"/>
        <v>46611</v>
      </c>
      <c r="L238" s="147">
        <f>IF(t&lt;Tvie,1-EXP((T0-t)*PertePVj)+'2026'!Pspv,1-EXP((T0-t)*PertePVj)+Pspv)</f>
        <v>7.0787853996042038E-2</v>
      </c>
      <c r="M238" s="845"/>
      <c r="N238" s="845"/>
      <c r="O238" s="48">
        <f>IF(t&lt;Tnet,'2026'!Resal+('2026'!Salim-'2026'!Resal)*(1-EXP(('2026'!Tnet-t)/('2026'!Tau_j))),Resal+(Salim-Resal)*(1-EXP((Tnet-t)/(Tau_j))))*Salcycl</f>
        <v>4.3645679476893295E-2</v>
      </c>
      <c r="P238" s="169">
        <f>(INDEX(Models!$BJ238:$BT238,,T238)*(1-R238)+INDEX(Models!$BJ238:$BT238,,T238+1)*R238-ERP_i)*Q238*Ramure*Pc/MaxiM</f>
        <v>5.3140144386865958E-5</v>
      </c>
      <c r="Q238" s="305">
        <f t="shared" si="80"/>
        <v>0.5</v>
      </c>
      <c r="R238" s="177">
        <f t="shared" si="81"/>
        <v>0.43758292663055753</v>
      </c>
      <c r="S238" s="811">
        <f t="shared" si="82"/>
        <v>-1</v>
      </c>
      <c r="T238" s="176">
        <f t="shared" si="83"/>
        <v>5</v>
      </c>
      <c r="U238" s="251">
        <f t="shared" si="84"/>
        <v>-0.56241707336944247</v>
      </c>
      <c r="V238" s="383">
        <f t="shared" si="85"/>
        <v>50.57344340608828</v>
      </c>
      <c r="W238" s="402">
        <f t="shared" si="86"/>
        <v>43.88999819302542</v>
      </c>
      <c r="X238" s="157">
        <f t="shared" si="87"/>
        <v>46611</v>
      </c>
      <c r="Y238" s="385">
        <f t="shared" si="88"/>
        <v>42.279218016381925</v>
      </c>
      <c r="Z238" s="385">
        <f t="shared" si="89"/>
        <v>45.500070353365608</v>
      </c>
      <c r="AA238" s="386">
        <f t="shared" si="90"/>
        <v>49.380927171502286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7.8590197479652055E-2</v>
      </c>
      <c r="AD238" s="231">
        <f>(INDEX(Models!$BJ238:$BT238,,AH238)*(1-AF238)+INDEX(Models!$BJ238:$BT238,,AH238+1)*AF238-ERP_i)*AE238*Ramure*Pc/MaxiM</f>
        <v>2.5924529968156967E-4</v>
      </c>
      <c r="AE238" s="305">
        <f t="shared" si="92"/>
        <v>0.5</v>
      </c>
      <c r="AF238" s="177">
        <f t="shared" si="93"/>
        <v>0.96257049300453668</v>
      </c>
      <c r="AG238" s="811">
        <f t="shared" si="99"/>
        <v>2</v>
      </c>
      <c r="AH238" s="176">
        <f t="shared" si="94"/>
        <v>8</v>
      </c>
      <c r="AI238" s="225">
        <f t="shared" si="95"/>
        <v>2.9625704930045367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'2026'!Wh/'2026'!Env_an*'2027'!Env_an</f>
        <v>30.573345010079045</v>
      </c>
      <c r="C239" s="841"/>
      <c r="D239" s="393">
        <f t="shared" si="77"/>
        <v>32.903158649990353</v>
      </c>
      <c r="E239" s="385">
        <f t="shared" si="100"/>
        <v>34.4070741666835</v>
      </c>
      <c r="F239" s="385">
        <f t="shared" si="78"/>
        <v>34.407795375498814</v>
      </c>
      <c r="G239" s="110">
        <f t="shared" si="101"/>
        <v>0.60626777397906584</v>
      </c>
      <c r="H239" s="414" t="b">
        <f>Wh_hp&gt;='2026'!Maxi_hp</f>
        <v>0</v>
      </c>
      <c r="I239" s="390">
        <f>IF(H239,Wh_hp,'2026'!Maxi_hp)</f>
        <v>49.571963401626377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7.0808206126799611E-2</v>
      </c>
      <c r="M239" s="845"/>
      <c r="N239" s="845"/>
      <c r="O239" s="48">
        <f>IF(t&lt;Tnet,'2026'!Resal+('2026'!Salim-'2026'!Resal)*(1-EXP(('2026'!Tnet-t)/('2026'!Tau_j))),Resal+(Salim-Resal)*(1-EXP((Tnet-t)/(Tau_j))))*Salcycl</f>
        <v>4.3709485712371161E-2</v>
      </c>
      <c r="P239" s="169">
        <f>(INDEX(Models!$BJ239:$BT239,,T239)*(1-R239)+INDEX(Models!$BJ239:$BT239,,T239+1)*R239-ERP_i)*Q239*Ramure*Pc/MaxiM</f>
        <v>4.7904659032528982E-5</v>
      </c>
      <c r="Q239" s="305">
        <f t="shared" si="80"/>
        <v>0.5</v>
      </c>
      <c r="R239" s="177">
        <f t="shared" si="81"/>
        <v>0.4388967849583012</v>
      </c>
      <c r="S239" s="811">
        <f t="shared" si="82"/>
        <v>-1</v>
      </c>
      <c r="T239" s="176">
        <f t="shared" si="83"/>
        <v>5</v>
      </c>
      <c r="U239" s="251">
        <f t="shared" si="84"/>
        <v>-0.5611032150416988</v>
      </c>
      <c r="V239" s="383">
        <f t="shared" si="85"/>
        <v>50.427422560888971</v>
      </c>
      <c r="W239" s="402">
        <f t="shared" si="86"/>
        <v>30.573345010079045</v>
      </c>
      <c r="X239" s="157">
        <f t="shared" si="87"/>
        <v>46612</v>
      </c>
      <c r="Y239" s="385">
        <f t="shared" si="88"/>
        <v>29.454721459971701</v>
      </c>
      <c r="Z239" s="385">
        <f t="shared" si="89"/>
        <v>31.699291420982092</v>
      </c>
      <c r="AA239" s="386">
        <f t="shared" si="90"/>
        <v>34.404171772219527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7.8620708242758949E-2</v>
      </c>
      <c r="AD239" s="231">
        <f>(INDEX(Models!$BJ239:$BT239,,AH239)*(1-AF239)+INDEX(Models!$BJ239:$BT239,,AH239+1)*AF239-ERP_i)*AE239*Ramure*Pc/MaxiM</f>
        <v>2.4068962535931878E-4</v>
      </c>
      <c r="AE239" s="305">
        <f t="shared" si="92"/>
        <v>0.5</v>
      </c>
      <c r="AF239" s="177">
        <f t="shared" si="93"/>
        <v>0.9638843513322799</v>
      </c>
      <c r="AG239" s="811">
        <f t="shared" si="99"/>
        <v>2</v>
      </c>
      <c r="AH239" s="176">
        <f t="shared" si="94"/>
        <v>8</v>
      </c>
      <c r="AI239" s="225">
        <f t="shared" si="95"/>
        <v>2.9638843513322799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'2026'!Wh/'2026'!Env_an*'2027'!Env_an</f>
        <v>31.786446829438027</v>
      </c>
      <c r="C240" s="841"/>
      <c r="D240" s="393">
        <f t="shared" si="77"/>
        <v>34.209453052690336</v>
      </c>
      <c r="E240" s="385">
        <f t="shared" si="100"/>
        <v>35.775456468300796</v>
      </c>
      <c r="F240" s="385">
        <f t="shared" si="78"/>
        <v>35.776189419729661</v>
      </c>
      <c r="G240" s="110">
        <f t="shared" si="101"/>
        <v>0.63217620979970968</v>
      </c>
      <c r="H240" s="414" t="b">
        <f>Wh_hp&gt;='2026'!Maxi_hp</f>
        <v>0</v>
      </c>
      <c r="I240" s="390">
        <f>IF(H240,Wh_hp,'2026'!Maxi_hp)</f>
        <v>57.385484130512104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7.0828557811793313E-2</v>
      </c>
      <c r="M240" s="845"/>
      <c r="N240" s="845"/>
      <c r="O240" s="48">
        <f>IF(t&lt;Tnet,'2026'!Resal+('2026'!Salim-'2026'!Resal)*(1-EXP(('2026'!Tnet-t)/('2026'!Tau_j))),Resal+(Salim-Resal)*(1-EXP((Tnet-t)/(Tau_j))))*Salcycl</f>
        <v>4.3773121860738069E-2</v>
      </c>
      <c r="P240" s="169">
        <f>(INDEX(Models!$BJ240:$BT240,,T240)*(1-R240)+INDEX(Models!$BJ240:$BT240,,T240+1)*R240-ERP_i)*Q240*Ramure*Pc/MaxiM</f>
        <v>4.3170977279297054E-5</v>
      </c>
      <c r="Q240" s="305">
        <f t="shared" si="80"/>
        <v>0.5</v>
      </c>
      <c r="R240" s="177">
        <f t="shared" si="81"/>
        <v>0.44016473151925006</v>
      </c>
      <c r="S240" s="811">
        <f t="shared" si="82"/>
        <v>-1</v>
      </c>
      <c r="T240" s="176">
        <f t="shared" si="83"/>
        <v>5</v>
      </c>
      <c r="U240" s="251">
        <f t="shared" si="84"/>
        <v>-0.55983526848074994</v>
      </c>
      <c r="V240" s="383">
        <f t="shared" si="85"/>
        <v>50.279851223471063</v>
      </c>
      <c r="W240" s="402">
        <f t="shared" si="86"/>
        <v>31.786446829438027</v>
      </c>
      <c r="X240" s="157">
        <f t="shared" si="87"/>
        <v>46613</v>
      </c>
      <c r="Y240" s="385">
        <f t="shared" si="88"/>
        <v>30.624426531189645</v>
      </c>
      <c r="Z240" s="385">
        <f t="shared" si="89"/>
        <v>32.95885467494444</v>
      </c>
      <c r="AA240" s="386">
        <f t="shared" si="90"/>
        <v>35.772388709179211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7.8650996921343849E-2</v>
      </c>
      <c r="AD240" s="231">
        <f>(INDEX(Models!$BJ240:$BT240,,AH240)*(1-AF240)+INDEX(Models!$BJ240:$BT240,,AH240+1)*AF240-ERP_i)*AE240*Ramure*Pc/MaxiM</f>
        <v>2.2386256763758661E-4</v>
      </c>
      <c r="AE240" s="305">
        <f t="shared" si="92"/>
        <v>0.5</v>
      </c>
      <c r="AF240" s="177">
        <f t="shared" si="93"/>
        <v>0.96515229789322898</v>
      </c>
      <c r="AG240" s="811">
        <f t="shared" si="99"/>
        <v>2</v>
      </c>
      <c r="AH240" s="176">
        <f t="shared" si="94"/>
        <v>8</v>
      </c>
      <c r="AI240" s="225">
        <f t="shared" si="95"/>
        <v>2.965152297893229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'2026'!Wh/'2026'!Env_an*'2027'!Env_an</f>
        <v>36.44705684007689</v>
      </c>
      <c r="C241" s="841"/>
      <c r="D241" s="393">
        <f t="shared" si="77"/>
        <v>39.226189577900108</v>
      </c>
      <c r="E241" s="385">
        <f t="shared" si="100"/>
        <v>41.024566455947756</v>
      </c>
      <c r="F241" s="385">
        <f t="shared" si="78"/>
        <v>41.025535640120552</v>
      </c>
      <c r="G241" s="110">
        <f t="shared" si="101"/>
        <v>0.72703046418577433</v>
      </c>
      <c r="H241" s="414" t="b">
        <f>Wh_hp&gt;='2026'!Maxi_hp</f>
        <v>0</v>
      </c>
      <c r="I241" s="390">
        <f>IF(H241,Wh_hp,'2026'!Maxi_hp)</f>
        <v>56.300151621417385</v>
      </c>
      <c r="J241" s="85">
        <f>IF(H241,An,'2026'!An_max)</f>
        <v>2018</v>
      </c>
      <c r="K241" s="197">
        <f t="shared" si="79"/>
        <v>46614</v>
      </c>
      <c r="L241" s="147">
        <f>IF(t&lt;Tvie,1-EXP((T0-t)*PertePVj)+'2026'!Pspv,1-EXP((T0-t)*PertePVj)+Pspv)</f>
        <v>7.0848909051032916E-2</v>
      </c>
      <c r="M241" s="845"/>
      <c r="N241" s="845"/>
      <c r="O241" s="48">
        <f>IF(t&lt;Tnet,'2026'!Resal+('2026'!Salim-'2026'!Resal)*(1-EXP(('2026'!Tnet-t)/('2026'!Tau_j))),Resal+(Salim-Resal)*(1-EXP((Tnet-t)/(Tau_j))))*Salcycl</f>
        <v>4.3836584598127358E-2</v>
      </c>
      <c r="P241" s="169">
        <f>(INDEX(Models!$BJ241:$BT241,,T241)*(1-R241)+INDEX(Models!$BJ241:$BT241,,T241+1)*R241-ERP_i)*Q241*Ramure*Pc/MaxiM</f>
        <v>3.8723987345267897E-5</v>
      </c>
      <c r="Q241" s="305">
        <f t="shared" si="80"/>
        <v>0.5</v>
      </c>
      <c r="R241" s="177">
        <f t="shared" si="81"/>
        <v>0.44138811604229033</v>
      </c>
      <c r="S241" s="811">
        <f t="shared" si="82"/>
        <v>-1</v>
      </c>
      <c r="T241" s="176">
        <f t="shared" si="83"/>
        <v>5</v>
      </c>
      <c r="U241" s="251">
        <f t="shared" si="84"/>
        <v>-0.55861188395770967</v>
      </c>
      <c r="V241" s="383">
        <f t="shared" si="85"/>
        <v>50.130645508862386</v>
      </c>
      <c r="W241" s="402">
        <f t="shared" si="86"/>
        <v>36.44705684007689</v>
      </c>
      <c r="X241" s="157">
        <f t="shared" si="87"/>
        <v>46614</v>
      </c>
      <c r="Y241" s="385">
        <f t="shared" si="88"/>
        <v>35.115232403094275</v>
      </c>
      <c r="Z241" s="385">
        <f t="shared" si="89"/>
        <v>37.792811895888903</v>
      </c>
      <c r="AA241" s="386">
        <f t="shared" si="90"/>
        <v>41.020335278108035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7.8681058073691829E-2</v>
      </c>
      <c r="AD241" s="231">
        <f>(INDEX(Models!$BJ241:$BT241,,AH241)*(1-AF241)+INDEX(Models!$BJ241:$BT241,,AH241+1)*AF241-ERP_i)*AE241*Ramure*Pc/MaxiM</f>
        <v>2.0778171828978888E-4</v>
      </c>
      <c r="AE241" s="305">
        <f t="shared" si="92"/>
        <v>0.5</v>
      </c>
      <c r="AF241" s="177">
        <f t="shared" si="93"/>
        <v>0.96637568241626948</v>
      </c>
      <c r="AG241" s="811">
        <f t="shared" si="99"/>
        <v>2</v>
      </c>
      <c r="AH241" s="176">
        <f t="shared" si="94"/>
        <v>8</v>
      </c>
      <c r="AI241" s="225">
        <f t="shared" si="95"/>
        <v>2.9663756824162695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'2026'!Wh/'2026'!Env_an*'2027'!Env_an</f>
        <v>30.616233138166205</v>
      </c>
      <c r="C242" s="841"/>
      <c r="D242" s="393">
        <f t="shared" si="77"/>
        <v>32.951480146963142</v>
      </c>
      <c r="E242" s="385">
        <f t="shared" si="100"/>
        <v>34.464465716027604</v>
      </c>
      <c r="F242" s="385">
        <f t="shared" si="78"/>
        <v>34.46499769280377</v>
      </c>
      <c r="G242" s="110">
        <f t="shared" si="101"/>
        <v>0.61256151856153374</v>
      </c>
      <c r="H242" s="414" t="b">
        <f>Wh_hp&gt;='2026'!Maxi_hp</f>
        <v>0</v>
      </c>
      <c r="I242" s="390">
        <f>IF(H242,Wh_hp,'2026'!Maxi_hp)</f>
        <v>56.421516120211891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7.0869259844528076E-2</v>
      </c>
      <c r="M242" s="845"/>
      <c r="N242" s="845"/>
      <c r="O242" s="48">
        <f>IF(t&lt;Tnet,'2026'!Resal+('2026'!Salim-'2026'!Resal)*(1-EXP(('2026'!Tnet-t)/('2026'!Tau_j))),Resal+(Salim-Resal)*(1-EXP((Tnet-t)/(Tau_j))))*Salcycl</f>
        <v>4.3899870130899785E-2</v>
      </c>
      <c r="P242" s="169">
        <f>(INDEX(Models!$BJ242:$BT242,,T242)*(1-R242)+INDEX(Models!$BJ242:$BT242,,T242+1)*R242-ERP_i)*Q242*Ramure*Pc/MaxiM</f>
        <v>3.4566918639786982E-5</v>
      </c>
      <c r="Q242" s="305">
        <f t="shared" si="80"/>
        <v>0.5</v>
      </c>
      <c r="R242" s="177">
        <f t="shared" si="81"/>
        <v>0.4425682676703091</v>
      </c>
      <c r="S242" s="811">
        <f t="shared" si="82"/>
        <v>-1</v>
      </c>
      <c r="T242" s="176">
        <f t="shared" si="83"/>
        <v>5</v>
      </c>
      <c r="U242" s="251">
        <f t="shared" si="84"/>
        <v>-0.5574317323296909</v>
      </c>
      <c r="V242" s="383">
        <f t="shared" si="85"/>
        <v>49.979710547618929</v>
      </c>
      <c r="W242" s="402">
        <f t="shared" si="86"/>
        <v>30.616233138166205</v>
      </c>
      <c r="X242" s="157">
        <f t="shared" si="87"/>
        <v>46615</v>
      </c>
      <c r="Y242" s="385">
        <f t="shared" si="88"/>
        <v>29.499435068805177</v>
      </c>
      <c r="Z242" s="385">
        <f t="shared" si="89"/>
        <v>31.749498530065878</v>
      </c>
      <c r="AA242" s="386">
        <f t="shared" si="90"/>
        <v>34.462035888838876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7.8710885437023745E-2</v>
      </c>
      <c r="AD242" s="231">
        <f>(INDEX(Models!$BJ242:$BT242,,AH242)*(1-AF242)+INDEX(Models!$BJ242:$BT242,,AH242+1)*AF242-ERP_i)*AE242*Ramure*Pc/MaxiM</f>
        <v>1.9245283115334918E-4</v>
      </c>
      <c r="AE242" s="305">
        <f t="shared" si="92"/>
        <v>0.5</v>
      </c>
      <c r="AF242" s="177">
        <f t="shared" si="93"/>
        <v>0.9675558340442878</v>
      </c>
      <c r="AG242" s="811">
        <f t="shared" si="99"/>
        <v>2</v>
      </c>
      <c r="AH242" s="176">
        <f t="shared" si="94"/>
        <v>8</v>
      </c>
      <c r="AI242" s="225">
        <f t="shared" si="95"/>
        <v>2.9675558340442878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'2026'!Wh/'2026'!Env_an*'2027'!Env_an</f>
        <v>21.045621823819864</v>
      </c>
      <c r="C243" s="841"/>
      <c r="D243" s="393">
        <f t="shared" si="77"/>
        <v>22.651368507648986</v>
      </c>
      <c r="E243" s="385">
        <f t="shared" si="100"/>
        <v>23.692982486246024</v>
      </c>
      <c r="F243" s="385">
        <f t="shared" si="78"/>
        <v>23.693109659145897</v>
      </c>
      <c r="G243" s="110">
        <f t="shared" si="101"/>
        <v>0.42236355979586698</v>
      </c>
      <c r="H243" s="414" t="b">
        <f>Wh_hp&gt;='2026'!Maxi_hp</f>
        <v>0</v>
      </c>
      <c r="I243" s="390">
        <f>IF(H243,Wh_hp,'2026'!Maxi_hp)</f>
        <v>55.293372982977111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7.0889610192288677E-2</v>
      </c>
      <c r="M243" s="845"/>
      <c r="N243" s="845"/>
      <c r="O243" s="48">
        <f>IF(t&lt;Tnet,'2026'!Resal+('2026'!Salim-'2026'!Resal)*(1-EXP(('2026'!Tnet-t)/('2026'!Tau_j))),Resal+(Salim-Resal)*(1-EXP((Tnet-t)/(Tau_j))))*Salcycl</f>
        <v>4.3962974235164445E-2</v>
      </c>
      <c r="P243" s="169">
        <f>(INDEX(Models!$BJ243:$BT243,,T243)*(1-R243)+INDEX(Models!$BJ243:$BT243,,T243+1)*R243-ERP_i)*Q243*Ramure*Pc/MaxiM</f>
        <v>3.0702975647611914E-5</v>
      </c>
      <c r="Q243" s="305">
        <f t="shared" si="80"/>
        <v>0.5</v>
      </c>
      <c r="R243" s="177">
        <f t="shared" si="81"/>
        <v>0.4437064937051618</v>
      </c>
      <c r="S243" s="811">
        <f t="shared" si="82"/>
        <v>-1</v>
      </c>
      <c r="T243" s="176">
        <f t="shared" si="83"/>
        <v>5</v>
      </c>
      <c r="U243" s="251">
        <f t="shared" si="84"/>
        <v>-0.5562935062948382</v>
      </c>
      <c r="V243" s="383">
        <f t="shared" si="85"/>
        <v>49.826951525858057</v>
      </c>
      <c r="W243" s="402">
        <f t="shared" si="86"/>
        <v>21.045621823819864</v>
      </c>
      <c r="X243" s="157">
        <f t="shared" si="87"/>
        <v>46616</v>
      </c>
      <c r="Y243" s="385">
        <f t="shared" si="88"/>
        <v>20.279529181606335</v>
      </c>
      <c r="Z243" s="385">
        <f t="shared" si="89"/>
        <v>21.82682424399902</v>
      </c>
      <c r="AA243" s="386">
        <f t="shared" si="90"/>
        <v>23.692372866356024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7.8740472002538309E-2</v>
      </c>
      <c r="AD243" s="231">
        <f>(INDEX(Models!$BJ243:$BT243,,AH243)*(1-AF243)+INDEX(Models!$BJ243:$BT243,,AH243+1)*AF243-ERP_i)*AE243*Ramure*Pc/MaxiM</f>
        <v>1.7788169576348311E-4</v>
      </c>
      <c r="AE243" s="305">
        <f t="shared" si="92"/>
        <v>0.5</v>
      </c>
      <c r="AF243" s="177">
        <f t="shared" si="93"/>
        <v>0.9686940600791405</v>
      </c>
      <c r="AG243" s="811">
        <f t="shared" si="99"/>
        <v>2</v>
      </c>
      <c r="AH243" s="176">
        <f t="shared" si="94"/>
        <v>8</v>
      </c>
      <c r="AI243" s="225">
        <f t="shared" si="95"/>
        <v>2.9686940600791405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'2026'!Wh/'2026'!Env_an*'2027'!Env_an</f>
        <v>36.620814037466346</v>
      </c>
      <c r="C244" s="841"/>
      <c r="D244" s="393">
        <f t="shared" si="77"/>
        <v>39.415785838350196</v>
      </c>
      <c r="E244" s="385">
        <f t="shared" si="100"/>
        <v>41.231018204985965</v>
      </c>
      <c r="F244" s="385">
        <f t="shared" si="78"/>
        <v>41.231717076231789</v>
      </c>
      <c r="G244" s="110">
        <f t="shared" si="101"/>
        <v>0.73724108670395416</v>
      </c>
      <c r="H244" s="414" t="b">
        <f>Wh_hp&gt;='2026'!Maxi_hp</f>
        <v>0</v>
      </c>
      <c r="I244" s="390">
        <f>IF(H244,Wh_hp,'2026'!Maxi_hp)</f>
        <v>53.147705265054185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7.0909960094324487E-2</v>
      </c>
      <c r="M244" s="845"/>
      <c r="N244" s="845"/>
      <c r="O244" s="48">
        <f>IF(t&lt;Tnet,'2026'!Resal+('2026'!Salim-'2026'!Resal)*(1-EXP(('2026'!Tnet-t)/('2026'!Tau_j))),Resal+(Salim-Resal)*(1-EXP((Tnet-t)/(Tau_j))))*Salcycl</f>
        <v>4.4025892293299104E-2</v>
      </c>
      <c r="P244" s="169">
        <f>(INDEX(Models!$BJ244:$BT244,,T244)*(1-R244)+INDEX(Models!$BJ244:$BT244,,T244+1)*R244-ERP_i)*Q244*Ramure*Pc/MaxiM</f>
        <v>2.7135346241855638E-5</v>
      </c>
      <c r="Q244" s="305">
        <f t="shared" si="80"/>
        <v>0.5</v>
      </c>
      <c r="R244" s="177">
        <f t="shared" si="81"/>
        <v>0.44480407850997539</v>
      </c>
      <c r="S244" s="811">
        <f t="shared" si="82"/>
        <v>-1</v>
      </c>
      <c r="T244" s="176">
        <f t="shared" si="83"/>
        <v>5</v>
      </c>
      <c r="U244" s="251">
        <f t="shared" si="84"/>
        <v>-0.55519592149002461</v>
      </c>
      <c r="V244" s="383">
        <f t="shared" si="85"/>
        <v>49.672273683969301</v>
      </c>
      <c r="W244" s="402">
        <f t="shared" si="86"/>
        <v>36.620814037466346</v>
      </c>
      <c r="X244" s="157">
        <f t="shared" si="87"/>
        <v>46617</v>
      </c>
      <c r="Y244" s="385">
        <f t="shared" si="88"/>
        <v>35.286848709680285</v>
      </c>
      <c r="Z244" s="385">
        <f t="shared" si="89"/>
        <v>37.980009680507102</v>
      </c>
      <c r="AA244" s="386">
        <f t="shared" si="90"/>
        <v>41.227491343932634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7.8769810084587055E-2</v>
      </c>
      <c r="AD244" s="231">
        <f>(INDEX(Models!$BJ244:$BT244,,AH244)*(1-AF244)+INDEX(Models!$BJ244:$BT244,,AH244+1)*AF244-ERP_i)*AE244*Ramure*Pc/MaxiM</f>
        <v>1.6407415492951979E-4</v>
      </c>
      <c r="AE244" s="305">
        <f t="shared" si="92"/>
        <v>0.5</v>
      </c>
      <c r="AF244" s="177">
        <f t="shared" si="93"/>
        <v>0.96979164488395408</v>
      </c>
      <c r="AG244" s="811">
        <f t="shared" si="99"/>
        <v>2</v>
      </c>
      <c r="AH244" s="176">
        <f t="shared" si="94"/>
        <v>8</v>
      </c>
      <c r="AI244" s="225">
        <f t="shared" si="95"/>
        <v>2.9697916448839541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'2026'!Wh/'2026'!Env_an*'2027'!Env_an</f>
        <v>37.917648464046565</v>
      </c>
      <c r="C245" s="841"/>
      <c r="D245" s="393">
        <f t="shared" si="77"/>
        <v>40.812491090638495</v>
      </c>
      <c r="E245" s="385">
        <f t="shared" si="100"/>
        <v>42.694847990935934</v>
      </c>
      <c r="F245" s="385">
        <f t="shared" si="78"/>
        <v>42.695526037298919</v>
      </c>
      <c r="G245" s="110">
        <f t="shared" si="101"/>
        <v>0.76576592392733145</v>
      </c>
      <c r="H245" s="414" t="b">
        <f>Wh_hp&gt;='2026'!Maxi_hp</f>
        <v>0</v>
      </c>
      <c r="I245" s="390">
        <f>IF(H245,Wh_hp,'2026'!Maxi_hp)</f>
        <v>53.076716411968974</v>
      </c>
      <c r="J245" s="85">
        <f>IF(H245,An,'2026'!An_max)</f>
        <v>2018</v>
      </c>
      <c r="K245" s="197">
        <f t="shared" si="79"/>
        <v>46618</v>
      </c>
      <c r="L245" s="147">
        <f>IF(t&lt;Tvie,1-EXP((T0-t)*PertePVj)+'2026'!Pspv,1-EXP((T0-t)*PertePVj)+Pspv)</f>
        <v>7.0930309550645054E-2</v>
      </c>
      <c r="M245" s="845"/>
      <c r="N245" s="845"/>
      <c r="O245" s="48">
        <f>IF(t&lt;Tnet,'2026'!Resal+('2026'!Salim-'2026'!Resal)*(1-EXP(('2026'!Tnet-t)/('2026'!Tau_j))),Resal+(Salim-Resal)*(1-EXP((Tnet-t)/(Tau_j))))*Salcycl</f>
        <v>4.408861932702194E-2</v>
      </c>
      <c r="P245" s="169">
        <f>(INDEX(Models!$BJ245:$BT245,,T245)*(1-R245)+INDEX(Models!$BJ245:$BT245,,T245+1)*R245-ERP_i)*Q245*Ramure*Pc/MaxiM</f>
        <v>2.3867209641096624E-5</v>
      </c>
      <c r="Q245" s="305">
        <f t="shared" si="80"/>
        <v>0.5</v>
      </c>
      <c r="R245" s="177">
        <f t="shared" si="81"/>
        <v>0.44586228255941474</v>
      </c>
      <c r="S245" s="811">
        <f t="shared" si="82"/>
        <v>-1</v>
      </c>
      <c r="T245" s="176">
        <f t="shared" si="83"/>
        <v>5</v>
      </c>
      <c r="U245" s="251">
        <f t="shared" si="84"/>
        <v>-0.55413771744058526</v>
      </c>
      <c r="V245" s="383">
        <f t="shared" si="85"/>
        <v>49.515582314425117</v>
      </c>
      <c r="W245" s="402">
        <f t="shared" si="86"/>
        <v>37.917648464046565</v>
      </c>
      <c r="X245" s="157">
        <f t="shared" si="87"/>
        <v>46618</v>
      </c>
      <c r="Y245" s="385">
        <f t="shared" si="88"/>
        <v>36.537721818242602</v>
      </c>
      <c r="Z245" s="385">
        <f t="shared" si="89"/>
        <v>39.327213226136699</v>
      </c>
      <c r="AA245" s="386">
        <f t="shared" si="90"/>
        <v>42.691235234387001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7.8798891383228001E-2</v>
      </c>
      <c r="AD245" s="231">
        <f>(INDEX(Models!$BJ245:$BT245,,AH245)*(1-AF245)+INDEX(Models!$BJ245:$BT245,,AH245+1)*AF245-ERP_i)*AE245*Ramure*Pc/MaxiM</f>
        <v>1.5103612115336198E-4</v>
      </c>
      <c r="AE245" s="305">
        <f t="shared" si="92"/>
        <v>0.5</v>
      </c>
      <c r="AF245" s="177">
        <f t="shared" si="93"/>
        <v>0.97084984893339366</v>
      </c>
      <c r="AG245" s="811">
        <f t="shared" si="99"/>
        <v>2</v>
      </c>
      <c r="AH245" s="176">
        <f t="shared" si="94"/>
        <v>8</v>
      </c>
      <c r="AI245" s="225">
        <f t="shared" si="95"/>
        <v>2.9708498489333937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'2026'!Wh/'2026'!Env_an*'2027'!Env_an</f>
        <v>45.157237295282144</v>
      </c>
      <c r="C246" s="841"/>
      <c r="D246" s="393">
        <f t="shared" si="77"/>
        <v>48.605854695888361</v>
      </c>
      <c r="E246" s="385">
        <f t="shared" si="100"/>
        <v>50.850984124992777</v>
      </c>
      <c r="F246" s="385">
        <f t="shared" si="78"/>
        <v>50.851917823300319</v>
      </c>
      <c r="G246" s="110">
        <f t="shared" si="101"/>
        <v>0.91491219734464513</v>
      </c>
      <c r="H246" s="414" t="b">
        <f>Wh_hp&gt;='2026'!Maxi_hp</f>
        <v>0</v>
      </c>
      <c r="I246" s="390">
        <f>IF(H246,Wh_hp,'2026'!Maxi_hp)</f>
        <v>53.656818151544883</v>
      </c>
      <c r="J246" s="85">
        <f>IF(H246,An,'2026'!An_max)</f>
        <v>2018</v>
      </c>
      <c r="K246" s="197">
        <f t="shared" si="79"/>
        <v>46619</v>
      </c>
      <c r="L246" s="147">
        <f>IF(t&lt;Tvie,1-EXP((T0-t)*PertePVj)+'2026'!Pspv,1-EXP((T0-t)*PertePVj)+Pspv)</f>
        <v>7.0950658561260482E-2</v>
      </c>
      <c r="M246" s="845"/>
      <c r="N246" s="845"/>
      <c r="O246" s="48">
        <f>IF(t&lt;Tnet,'2026'!Resal+('2026'!Salim-'2026'!Resal)*(1-EXP(('2026'!Tnet-t)/('2026'!Tau_j))),Resal+(Salim-Resal)*(1-EXP((Tnet-t)/(Tau_j))))*Salcycl</f>
        <v>4.4151150026631628E-2</v>
      </c>
      <c r="P246" s="169">
        <f>(INDEX(Models!$BJ246:$BT246,,T246)*(1-R246)+INDEX(Models!$BJ246:$BT246,,T246+1)*R246-ERP_i)*Q246*Ramure*Pc/MaxiM</f>
        <v>2.0901744064299302E-5</v>
      </c>
      <c r="Q246" s="305">
        <f t="shared" si="80"/>
        <v>0.5</v>
      </c>
      <c r="R246" s="177">
        <f t="shared" si="81"/>
        <v>0.4468823416287</v>
      </c>
      <c r="S246" s="811">
        <f t="shared" si="82"/>
        <v>-1</v>
      </c>
      <c r="T246" s="176">
        <f t="shared" si="83"/>
        <v>5</v>
      </c>
      <c r="U246" s="251">
        <f t="shared" si="84"/>
        <v>-0.5531176583713</v>
      </c>
      <c r="V246" s="383">
        <f t="shared" si="85"/>
        <v>49.356782756638111</v>
      </c>
      <c r="W246" s="402">
        <f t="shared" si="86"/>
        <v>45.157237295282144</v>
      </c>
      <c r="X246" s="157">
        <f t="shared" si="87"/>
        <v>46619</v>
      </c>
      <c r="Y246" s="385">
        <f t="shared" si="88"/>
        <v>43.514503935618571</v>
      </c>
      <c r="Z246" s="385">
        <f t="shared" si="89"/>
        <v>46.837667274195972</v>
      </c>
      <c r="AA246" s="386">
        <f t="shared" si="90"/>
        <v>50.845718691417126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7.8827707039525449E-2</v>
      </c>
      <c r="AD246" s="231">
        <f>(INDEX(Models!$BJ246:$BT246,,AH246)*(1-AF246)+INDEX(Models!$BJ246:$BT246,,AH246+1)*AF246-ERP_i)*AE246*Ramure*Pc/MaxiM</f>
        <v>1.3877359206568984E-4</v>
      </c>
      <c r="AE246" s="305">
        <f t="shared" si="92"/>
        <v>0.5</v>
      </c>
      <c r="AF246" s="177">
        <f t="shared" si="93"/>
        <v>0.9718699080026787</v>
      </c>
      <c r="AG246" s="811">
        <f t="shared" si="99"/>
        <v>2</v>
      </c>
      <c r="AH246" s="176">
        <f t="shared" si="94"/>
        <v>8</v>
      </c>
      <c r="AI246" s="225">
        <f t="shared" si="95"/>
        <v>2.9718699080026787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'2026'!Wh/'2026'!Env_an*'2027'!Env_an</f>
        <v>30.442417821891798</v>
      </c>
      <c r="C247" s="841"/>
      <c r="D247" s="393">
        <f t="shared" si="77"/>
        <v>32.767995461285317</v>
      </c>
      <c r="E247" s="385">
        <f t="shared" si="100"/>
        <v>34.28380159549166</v>
      </c>
      <c r="F247" s="385">
        <f t="shared" si="78"/>
        <v>34.284086396365495</v>
      </c>
      <c r="G247" s="110">
        <f t="shared" si="101"/>
        <v>0.61877147192616855</v>
      </c>
      <c r="H247" s="414" t="b">
        <f>Wh_hp&gt;='2026'!Maxi_hp</f>
        <v>0</v>
      </c>
      <c r="I247" s="390">
        <f>IF(H247,Wh_hp,'2026'!Maxi_hp)</f>
        <v>54.498162972904758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7.0971007126180208E-2</v>
      </c>
      <c r="M247" s="845"/>
      <c r="N247" s="845"/>
      <c r="O247" s="48">
        <f>IF(t&lt;Tnet,'2026'!Resal+('2026'!Salim-'2026'!Resal)*(1-EXP(('2026'!Tnet-t)/('2026'!Tau_j))),Resal+(Salim-Resal)*(1-EXP((Tnet-t)/(Tau_j))))*Salcycl</f>
        <v>4.4213478776101531E-2</v>
      </c>
      <c r="P247" s="169">
        <f>(INDEX(Models!$BJ247:$BT247,,T247)*(1-R247)+INDEX(Models!$BJ247:$BT247,,T247+1)*R247-ERP_i)*Q247*Ramure*Pc/MaxiM</f>
        <v>1.8241433066421706E-5</v>
      </c>
      <c r="Q247" s="305">
        <f t="shared" si="80"/>
        <v>0.5</v>
      </c>
      <c r="R247" s="177">
        <f t="shared" si="81"/>
        <v>0.44786546611236422</v>
      </c>
      <c r="S247" s="811">
        <f t="shared" si="82"/>
        <v>-1</v>
      </c>
      <c r="T247" s="176">
        <f t="shared" si="83"/>
        <v>5</v>
      </c>
      <c r="U247" s="251">
        <f t="shared" si="84"/>
        <v>-0.55213453388763578</v>
      </c>
      <c r="V247" s="383">
        <f t="shared" si="85"/>
        <v>49.197671151660899</v>
      </c>
      <c r="W247" s="402">
        <f t="shared" si="86"/>
        <v>30.442417821891798</v>
      </c>
      <c r="X247" s="157">
        <f t="shared" si="87"/>
        <v>46620</v>
      </c>
      <c r="Y247" s="385">
        <f t="shared" si="88"/>
        <v>29.337566296062281</v>
      </c>
      <c r="Z247" s="385">
        <f t="shared" si="89"/>
        <v>31.578741375240259</v>
      </c>
      <c r="AA247" s="386">
        <f t="shared" si="90"/>
        <v>34.28209907065186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7.8856247683091379E-2</v>
      </c>
      <c r="AD247" s="231">
        <f>(INDEX(Models!$BJ247:$BT247,,AH247)*(1-AF247)+INDEX(Models!$BJ247:$BT247,,AH247+1)*AF247-ERP_i)*AE247*Ramure*Pc/MaxiM</f>
        <v>1.2728777302639356E-4</v>
      </c>
      <c r="AE247" s="305">
        <f t="shared" si="92"/>
        <v>0.5</v>
      </c>
      <c r="AF247" s="177">
        <f t="shared" si="93"/>
        <v>0.97285303248634314</v>
      </c>
      <c r="AG247" s="811">
        <f t="shared" si="99"/>
        <v>2</v>
      </c>
      <c r="AH247" s="176">
        <f t="shared" si="94"/>
        <v>8</v>
      </c>
      <c r="AI247" s="225">
        <f t="shared" si="95"/>
        <v>2.9728530324863431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'2026'!Wh/'2026'!Env_an*'2027'!Env_an</f>
        <v>23.718418646880757</v>
      </c>
      <c r="C248" s="841"/>
      <c r="D248" s="393">
        <f t="shared" si="77"/>
        <v>25.530891214845909</v>
      </c>
      <c r="E248" s="385">
        <f t="shared" si="100"/>
        <v>26.713654277458613</v>
      </c>
      <c r="F248" s="385">
        <f t="shared" si="78"/>
        <v>26.713766179189694</v>
      </c>
      <c r="G248" s="110">
        <f t="shared" si="101"/>
        <v>0.48365284404181585</v>
      </c>
      <c r="H248" s="414" t="b">
        <f>Wh_hp&gt;='2026'!Maxi_hp</f>
        <v>0</v>
      </c>
      <c r="I248" s="390">
        <f>IF(H248,Wh_hp,'2026'!Maxi_hp)</f>
        <v>56.835581680919191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7.0991355245414223E-2</v>
      </c>
      <c r="M248" s="845"/>
      <c r="N248" s="845"/>
      <c r="O248" s="48">
        <f>IF(t&lt;Tnet,'2026'!Resal+('2026'!Salim-'2026'!Resal)*(1-EXP(('2026'!Tnet-t)/('2026'!Tau_j))),Resal+(Salim-Resal)*(1-EXP((Tnet-t)/(Tau_j))))*Salcycl</f>
        <v>4.4275599673786886E-2</v>
      </c>
      <c r="P248" s="169">
        <f>(INDEX(Models!$BJ248:$BT248,,T248)*(1-R248)+INDEX(Models!$BJ248:$BT248,,T248+1)*R248-ERP_i)*Q248*Ramure*Pc/MaxiM</f>
        <v>1.5965723253425249E-5</v>
      </c>
      <c r="Q248" s="305">
        <f t="shared" si="80"/>
        <v>0.5</v>
      </c>
      <c r="R248" s="177">
        <f t="shared" si="81"/>
        <v>0.44881284046398262</v>
      </c>
      <c r="S248" s="811">
        <f t="shared" si="82"/>
        <v>-1</v>
      </c>
      <c r="T248" s="176">
        <f t="shared" si="83"/>
        <v>5</v>
      </c>
      <c r="U248" s="251">
        <f t="shared" si="84"/>
        <v>-0.55118715953601738</v>
      </c>
      <c r="V248" s="383">
        <f t="shared" si="85"/>
        <v>49.03959443361164</v>
      </c>
      <c r="W248" s="402">
        <f t="shared" si="86"/>
        <v>23.718418646880757</v>
      </c>
      <c r="X248" s="157">
        <f t="shared" si="87"/>
        <v>46621</v>
      </c>
      <c r="Y248" s="385">
        <f t="shared" si="88"/>
        <v>22.858916176028917</v>
      </c>
      <c r="Z248" s="385">
        <f t="shared" si="89"/>
        <v>24.605708789790118</v>
      </c>
      <c r="AA248" s="386">
        <f t="shared" si="90"/>
        <v>26.712946294491889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7.8884503471497502E-2</v>
      </c>
      <c r="AD248" s="231">
        <f>(INDEX(Models!$BJ248:$BT248,,AH248)*(1-AF248)+INDEX(Models!$BJ248:$BT248,,AH248+1)*AF248-ERP_i)*AE248*Ramure*Pc/MaxiM</f>
        <v>1.169781026474363E-4</v>
      </c>
      <c r="AE248" s="305">
        <f t="shared" si="92"/>
        <v>0.5</v>
      </c>
      <c r="AF248" s="177">
        <f t="shared" si="93"/>
        <v>0.97380040683796132</v>
      </c>
      <c r="AG248" s="811">
        <f t="shared" si="99"/>
        <v>2</v>
      </c>
      <c r="AH248" s="176">
        <f t="shared" si="94"/>
        <v>8</v>
      </c>
      <c r="AI248" s="225">
        <f t="shared" si="95"/>
        <v>2.9738004068379613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'2026'!Wh/'2026'!Env_an*'2027'!Env_an</f>
        <v>42.426677132631276</v>
      </c>
      <c r="C249" s="841"/>
      <c r="D249" s="393">
        <f t="shared" si="77"/>
        <v>45.669764910860607</v>
      </c>
      <c r="E249" s="385">
        <f t="shared" si="100"/>
        <v>47.788591917971054</v>
      </c>
      <c r="F249" s="385">
        <f t="shared" si="78"/>
        <v>47.789130123383146</v>
      </c>
      <c r="G249" s="110">
        <f t="shared" si="101"/>
        <v>0.86794198018303748</v>
      </c>
      <c r="H249" s="414" t="b">
        <f>Wh_hp&gt;='2026'!Maxi_hp</f>
        <v>0</v>
      </c>
      <c r="I249" s="390">
        <f>IF(H249,Wh_hp,'2026'!Maxi_hp)</f>
        <v>54.138140935976416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7.1011702918972186E-2</v>
      </c>
      <c r="M249" s="845"/>
      <c r="N249" s="845"/>
      <c r="O249" s="48">
        <f>IF(t&lt;Tnet,'2026'!Resal+('2026'!Salim-'2026'!Resal)*(1-EXP(('2026'!Tnet-t)/('2026'!Tau_j))),Resal+(Salim-Resal)*(1-EXP((Tnet-t)/(Tau_j))))*Salcycl</f>
        <v>4.433750654857966E-2</v>
      </c>
      <c r="P249" s="169">
        <f>(INDEX(Models!$BJ249:$BT249,,T249)*(1-R249)+INDEX(Models!$BJ249:$BT249,,T249+1)*R249-ERP_i)*Q249*Ramure*Pc/MaxiM</f>
        <v>1.3880696737415273E-5</v>
      </c>
      <c r="Q249" s="305">
        <f t="shared" si="80"/>
        <v>0.5</v>
      </c>
      <c r="R249" s="177">
        <f t="shared" si="81"/>
        <v>0.4497256227483688</v>
      </c>
      <c r="S249" s="811">
        <f t="shared" si="82"/>
        <v>-1</v>
      </c>
      <c r="T249" s="176">
        <f t="shared" si="83"/>
        <v>5</v>
      </c>
      <c r="U249" s="251">
        <f t="shared" si="84"/>
        <v>-0.5502743772516312</v>
      </c>
      <c r="V249" s="383">
        <f t="shared" si="85"/>
        <v>48.881799706918208</v>
      </c>
      <c r="W249" s="402">
        <f t="shared" si="86"/>
        <v>42.426677132631276</v>
      </c>
      <c r="X249" s="157">
        <f t="shared" si="87"/>
        <v>46622</v>
      </c>
      <c r="Y249" s="385">
        <f t="shared" si="88"/>
        <v>40.888617579303293</v>
      </c>
      <c r="Z249" s="385">
        <f t="shared" si="89"/>
        <v>44.014136354332273</v>
      </c>
      <c r="AA249" s="386">
        <f t="shared" si="90"/>
        <v>47.784965749585183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7.8912464121325562E-2</v>
      </c>
      <c r="AD249" s="231">
        <f>(INDEX(Models!$BJ249:$BT249,,AH249)*(1-AF249)+INDEX(Models!$BJ249:$BT249,,AH249+1)*AF249-ERP_i)*AE249*Ramure*Pc/MaxiM</f>
        <v>1.0740213400275261E-4</v>
      </c>
      <c r="AE249" s="305">
        <f t="shared" si="92"/>
        <v>0.5</v>
      </c>
      <c r="AF249" s="177">
        <f t="shared" si="93"/>
        <v>0.97471318912234794</v>
      </c>
      <c r="AG249" s="811">
        <f t="shared" si="99"/>
        <v>2</v>
      </c>
      <c r="AH249" s="176">
        <f t="shared" si="94"/>
        <v>8</v>
      </c>
      <c r="AI249" s="225">
        <f t="shared" si="95"/>
        <v>2.9747131891223479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'2026'!Wh/'2026'!Env_an*'2027'!Env_an</f>
        <v>43.835137284226818</v>
      </c>
      <c r="C250" s="841"/>
      <c r="D250" s="393">
        <f t="shared" si="77"/>
        <v>47.18692102473166</v>
      </c>
      <c r="E250" s="385">
        <f t="shared" si="100"/>
        <v>49.379323120769008</v>
      </c>
      <c r="F250" s="385">
        <f t="shared" si="78"/>
        <v>49.379830273698467</v>
      </c>
      <c r="G250" s="110">
        <f t="shared" si="101"/>
        <v>0.89966935423541705</v>
      </c>
      <c r="H250" s="414" t="b">
        <f>Wh_hp&gt;='2026'!Maxi_hp</f>
        <v>0</v>
      </c>
      <c r="I250" s="390">
        <f>IF(H250,Wh_hp,'2026'!Maxi_hp)</f>
        <v>54.480093410292213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7.1032050146863868E-2</v>
      </c>
      <c r="M250" s="845"/>
      <c r="N250" s="845"/>
      <c r="O250" s="48">
        <f>IF(t&lt;Tnet,'2026'!Resal+('2026'!Salim-'2026'!Resal)*(1-EXP(('2026'!Tnet-t)/('2026'!Tau_j))),Resal+(Salim-Resal)*(1-EXP((Tnet-t)/(Tau_j))))*Salcycl</f>
        <v>4.4399192971424514E-2</v>
      </c>
      <c r="P250" s="169">
        <f>(INDEX(Models!$BJ250:$BT250,,T250)*(1-R250)+INDEX(Models!$BJ250:$BT250,,T250+1)*R250-ERP_i)*Q250*Ramure*Pc/MaxiM</f>
        <v>1.1988763994679128E-5</v>
      </c>
      <c r="Q250" s="305">
        <f t="shared" si="80"/>
        <v>0.5</v>
      </c>
      <c r="R250" s="177">
        <f t="shared" si="81"/>
        <v>0.45060494429803311</v>
      </c>
      <c r="S250" s="811">
        <f t="shared" si="82"/>
        <v>-1</v>
      </c>
      <c r="T250" s="176">
        <f t="shared" si="83"/>
        <v>5</v>
      </c>
      <c r="U250" s="251">
        <f t="shared" si="84"/>
        <v>-0.54939505570196689</v>
      </c>
      <c r="V250" s="383">
        <f t="shared" si="85"/>
        <v>48.723524653170855</v>
      </c>
      <c r="W250" s="402">
        <f t="shared" si="86"/>
        <v>43.835137284226818</v>
      </c>
      <c r="X250" s="157">
        <f t="shared" si="87"/>
        <v>46623</v>
      </c>
      <c r="Y250" s="385">
        <f t="shared" si="88"/>
        <v>42.247548742186417</v>
      </c>
      <c r="Z250" s="385">
        <f t="shared" si="89"/>
        <v>45.477940061188853</v>
      </c>
      <c r="AA250" s="386">
        <f t="shared" si="90"/>
        <v>49.375660579629852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7.8940118930763706E-2</v>
      </c>
      <c r="AD250" s="231">
        <f>(INDEX(Models!$BJ250:$BT250,,AH250)*(1-AF250)+INDEX(Models!$BJ250:$BT250,,AH250+1)*AF250-ERP_i)*AE250*Ramure*Pc/MaxiM</f>
        <v>9.8568844257964017E-5</v>
      </c>
      <c r="AE250" s="305">
        <f t="shared" si="92"/>
        <v>0.5</v>
      </c>
      <c r="AF250" s="177">
        <f t="shared" si="93"/>
        <v>0.97559251067201203</v>
      </c>
      <c r="AG250" s="811">
        <f t="shared" si="99"/>
        <v>2</v>
      </c>
      <c r="AH250" s="176">
        <f t="shared" si="94"/>
        <v>8</v>
      </c>
      <c r="AI250" s="225">
        <f t="shared" si="95"/>
        <v>2.975592510672012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'2026'!Wh/'2026'!Env_an*'2027'!Env_an</f>
        <v>31.278665879456923</v>
      </c>
      <c r="C251" s="841"/>
      <c r="D251" s="393">
        <f t="shared" si="77"/>
        <v>33.671076577469364</v>
      </c>
      <c r="E251" s="385">
        <f t="shared" si="100"/>
        <v>35.237770853899256</v>
      </c>
      <c r="F251" s="385">
        <f t="shared" si="78"/>
        <v>35.237949119930093</v>
      </c>
      <c r="G251" s="110">
        <f t="shared" si="101"/>
        <v>0.64406757129434689</v>
      </c>
      <c r="H251" s="414" t="b">
        <f>Wh_hp&gt;='2026'!Maxi_hp</f>
        <v>0</v>
      </c>
      <c r="I251" s="390">
        <f>IF(H251,Wh_hp,'2026'!Maxi_hp)</f>
        <v>50.04617729749566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7.1052396929099038E-2</v>
      </c>
      <c r="M251" s="845"/>
      <c r="N251" s="845"/>
      <c r="O251" s="48">
        <f>IF(t&lt;Tnet,'2026'!Resal+('2026'!Salim-'2026'!Resal)*(1-EXP(('2026'!Tnet-t)/('2026'!Tau_j))),Resal+(Salim-Resal)*(1-EXP((Tnet-t)/(Tau_j))))*Salcycl</f>
        <v>4.4460652262188483E-2</v>
      </c>
      <c r="P251" s="169">
        <f>(INDEX(Models!$BJ251:$BT251,,T251)*(1-R251)+INDEX(Models!$BJ251:$BT251,,T251+1)*R251-ERP_i)*Q251*Ramure*Pc/MaxiM</f>
        <v>1.0292195199612651E-5</v>
      </c>
      <c r="Q251" s="305">
        <f t="shared" si="80"/>
        <v>0.5</v>
      </c>
      <c r="R251" s="177">
        <f t="shared" si="81"/>
        <v>0.45145190946599767</v>
      </c>
      <c r="S251" s="811">
        <f t="shared" si="82"/>
        <v>-1</v>
      </c>
      <c r="T251" s="176">
        <f t="shared" si="83"/>
        <v>5</v>
      </c>
      <c r="U251" s="251">
        <f t="shared" si="84"/>
        <v>-0.54854809053400233</v>
      </c>
      <c r="V251" s="383">
        <f t="shared" si="85"/>
        <v>48.564007229803025</v>
      </c>
      <c r="W251" s="402">
        <f t="shared" si="86"/>
        <v>31.278665879456923</v>
      </c>
      <c r="X251" s="157">
        <f t="shared" si="87"/>
        <v>46624</v>
      </c>
      <c r="Y251" s="385">
        <f t="shared" si="88"/>
        <v>30.147930240532251</v>
      </c>
      <c r="Z251" s="385">
        <f t="shared" si="89"/>
        <v>32.45385438411131</v>
      </c>
      <c r="AA251" s="386">
        <f t="shared" si="90"/>
        <v>35.236381845028397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7.8967456793799087E-2</v>
      </c>
      <c r="AD251" s="231">
        <f>(INDEX(Models!$BJ251:$BT251,,AH251)*(1-AF251)+INDEX(Models!$BJ251:$BT251,,AH251+1)*AF251-ERP_i)*AE251*Ramure*Pc/MaxiM</f>
        <v>9.048666840293516E-5</v>
      </c>
      <c r="AE251" s="305">
        <f t="shared" si="92"/>
        <v>0.5</v>
      </c>
      <c r="AF251" s="177">
        <f t="shared" si="93"/>
        <v>0.97643947583997681</v>
      </c>
      <c r="AG251" s="811">
        <f t="shared" si="99"/>
        <v>2</v>
      </c>
      <c r="AH251" s="176">
        <f t="shared" si="94"/>
        <v>8</v>
      </c>
      <c r="AI251" s="225">
        <f t="shared" si="95"/>
        <v>2.9764394758399768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'2026'!Wh/'2026'!Env_an*'2027'!Env_an</f>
        <v>39.295223377265636</v>
      </c>
      <c r="C252" s="841"/>
      <c r="D252" s="393">
        <f t="shared" si="77"/>
        <v>42.301722866233725</v>
      </c>
      <c r="E252" s="385">
        <f t="shared" si="100"/>
        <v>44.272832490602269</v>
      </c>
      <c r="F252" s="385">
        <f t="shared" si="78"/>
        <v>44.273117148233609</v>
      </c>
      <c r="G252" s="110">
        <f t="shared" si="101"/>
        <v>0.81184116805284312</v>
      </c>
      <c r="H252" s="414" t="b">
        <f>Wh_hp&gt;='2026'!Maxi_hp</f>
        <v>0</v>
      </c>
      <c r="I252" s="390">
        <f>IF(H252,Wh_hp,'2026'!Maxi_hp)</f>
        <v>54.589001673677714</v>
      </c>
      <c r="J252" s="85">
        <f>IF(H252,An,'2026'!An_max)</f>
        <v>2018</v>
      </c>
      <c r="K252" s="197">
        <f t="shared" si="79"/>
        <v>46625</v>
      </c>
      <c r="L252" s="147">
        <f>IF(t&lt;Tvie,1-EXP((T0-t)*PertePVj)+'2026'!Pspv,1-EXP((T0-t)*PertePVj)+Pspv)</f>
        <v>7.1072743265687466E-2</v>
      </c>
      <c r="M252" s="845"/>
      <c r="N252" s="845"/>
      <c r="O252" s="48">
        <f>IF(t&lt;Tnet,'2026'!Resal+('2026'!Salim-'2026'!Resal)*(1-EXP(('2026'!Tnet-t)/('2026'!Tau_j))),Resal+(Salim-Resal)*(1-EXP((Tnet-t)/(Tau_j))))*Salcycl</f>
        <v>4.452187749195733E-2</v>
      </c>
      <c r="P252" s="169">
        <f>(INDEX(Models!$BJ252:$BT252,,T252)*(1-R252)+INDEX(Models!$BJ252:$BT252,,T252+1)*R252-ERP_i)*Q252*Ramure*Pc/MaxiM</f>
        <v>8.7931388039531594E-6</v>
      </c>
      <c r="Q252" s="305">
        <f t="shared" si="80"/>
        <v>0.5</v>
      </c>
      <c r="R252" s="177">
        <f t="shared" si="81"/>
        <v>0.45226759546740136</v>
      </c>
      <c r="S252" s="811">
        <f t="shared" si="82"/>
        <v>-1</v>
      </c>
      <c r="T252" s="176">
        <f t="shared" si="83"/>
        <v>5</v>
      </c>
      <c r="U252" s="251">
        <f t="shared" si="84"/>
        <v>-0.54773240453259864</v>
      </c>
      <c r="V252" s="383">
        <f t="shared" si="85"/>
        <v>48.402485666522701</v>
      </c>
      <c r="W252" s="402">
        <f t="shared" si="86"/>
        <v>39.295223377265636</v>
      </c>
      <c r="X252" s="157">
        <f t="shared" si="87"/>
        <v>46625</v>
      </c>
      <c r="Y252" s="385">
        <f t="shared" si="88"/>
        <v>37.875435602180382</v>
      </c>
      <c r="Z252" s="385">
        <f t="shared" si="89"/>
        <v>40.773306335453285</v>
      </c>
      <c r="AA252" s="386">
        <f t="shared" si="90"/>
        <v>44.270424920792841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7.8994466206197086E-2</v>
      </c>
      <c r="AD252" s="231">
        <f>(INDEX(Models!$BJ252:$BT252,,AH252)*(1-AF252)+INDEX(Models!$BJ252:$BT252,,AH252+1)*AF252-ERP_i)*AE252*Ramure*Pc/MaxiM</f>
        <v>8.3163516350415905E-5</v>
      </c>
      <c r="AE252" s="305">
        <f t="shared" si="92"/>
        <v>0.5</v>
      </c>
      <c r="AF252" s="177">
        <f t="shared" si="93"/>
        <v>0.97725516184138028</v>
      </c>
      <c r="AG252" s="811">
        <f t="shared" si="99"/>
        <v>2</v>
      </c>
      <c r="AH252" s="176">
        <f t="shared" si="94"/>
        <v>8</v>
      </c>
      <c r="AI252" s="225">
        <f t="shared" si="95"/>
        <v>2.9772551618413803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'2026'!Wh/'2026'!Env_an*'2027'!Env_an</f>
        <v>46.297861334782468</v>
      </c>
      <c r="C253" s="841"/>
      <c r="D253" s="393">
        <f t="shared" si="77"/>
        <v>49.84122821602039</v>
      </c>
      <c r="E253" s="385">
        <f t="shared" si="100"/>
        <v>52.166981527330577</v>
      </c>
      <c r="F253" s="385">
        <f t="shared" si="78"/>
        <v>52.167349988124613</v>
      </c>
      <c r="G253" s="110">
        <f t="shared" si="101"/>
        <v>0.95977550723067162</v>
      </c>
      <c r="H253" s="414" t="b">
        <f>Wh_hp&gt;='2026'!Maxi_hp</f>
        <v>0</v>
      </c>
      <c r="I253" s="390">
        <f>IF(H253,Wh_hp,'2026'!Maxi_hp)</f>
        <v>52.167365665024306</v>
      </c>
      <c r="J253" s="85">
        <f>IF(H253,An,'2026'!An_max)</f>
        <v>2025</v>
      </c>
      <c r="K253" s="197">
        <f t="shared" si="79"/>
        <v>46626</v>
      </c>
      <c r="L253" s="147">
        <f>IF(t&lt;Tvie,1-EXP((T0-t)*PertePVj)+'2026'!Pspv,1-EXP((T0-t)*PertePVj)+Pspv)</f>
        <v>7.1093089156638922E-2</v>
      </c>
      <c r="M253" s="845"/>
      <c r="N253" s="845"/>
      <c r="O253" s="48">
        <f>IF(t&lt;Tnet,'2026'!Resal+('2026'!Salim-'2026'!Resal)*(1-EXP(('2026'!Tnet-t)/('2026'!Tau_j))),Resal+(Salim-Resal)*(1-EXP((Tnet-t)/(Tau_j))))*Salcycl</f>
        <v>4.4582861480910292E-2</v>
      </c>
      <c r="P253" s="169">
        <f>(INDEX(Models!$BJ253:$BT253,,T253)*(1-R253)+INDEX(Models!$BJ253:$BT253,,T253+1)*R253-ERP_i)*Q253*Ramure*Pc/MaxiM</f>
        <v>7.4936617599993877E-6</v>
      </c>
      <c r="Q253" s="305">
        <f t="shared" si="80"/>
        <v>0.5</v>
      </c>
      <c r="R253" s="177">
        <f t="shared" si="81"/>
        <v>0.45305305230264858</v>
      </c>
      <c r="S253" s="811">
        <f t="shared" si="82"/>
        <v>-1</v>
      </c>
      <c r="T253" s="176">
        <f t="shared" si="83"/>
        <v>5</v>
      </c>
      <c r="U253" s="251">
        <f t="shared" si="84"/>
        <v>-0.54694694769735142</v>
      </c>
      <c r="V253" s="383">
        <f t="shared" si="85"/>
        <v>48.238198463718383</v>
      </c>
      <c r="W253" s="402">
        <f t="shared" si="86"/>
        <v>46.297861334782468</v>
      </c>
      <c r="X253" s="157">
        <f t="shared" si="87"/>
        <v>46626</v>
      </c>
      <c r="Y253" s="385">
        <f t="shared" si="88"/>
        <v>44.626134938688018</v>
      </c>
      <c r="Z253" s="385">
        <f t="shared" si="89"/>
        <v>48.04155768221343</v>
      </c>
      <c r="AA253" s="386">
        <f t="shared" si="90"/>
        <v>52.163583250049484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7.902113526359679E-2</v>
      </c>
      <c r="AD253" s="231">
        <f>(INDEX(Models!$BJ253:$BT253,,AH253)*(1-AF253)+INDEX(Models!$BJ253:$BT253,,AH253+1)*AF253-ERP_i)*AE253*Ramure*Pc/MaxiM</f>
        <v>7.6606959357071396E-5</v>
      </c>
      <c r="AE253" s="305">
        <f t="shared" si="92"/>
        <v>0.5</v>
      </c>
      <c r="AF253" s="177">
        <f t="shared" si="93"/>
        <v>0.97804061867662728</v>
      </c>
      <c r="AG253" s="811">
        <f t="shared" si="99"/>
        <v>2</v>
      </c>
      <c r="AH253" s="176">
        <f t="shared" si="94"/>
        <v>8</v>
      </c>
      <c r="AI253" s="225">
        <f t="shared" si="95"/>
        <v>2.9780406186766273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'2026'!Wh/'2026'!Env_an*'2027'!Env_an</f>
        <v>45.437026517772104</v>
      </c>
      <c r="C254" s="841"/>
      <c r="D254" s="393">
        <f t="shared" si="77"/>
        <v>48.915581525610612</v>
      </c>
      <c r="E254" s="385">
        <f t="shared" si="100"/>
        <v>51.20139600400092</v>
      </c>
      <c r="F254" s="385">
        <f t="shared" si="78"/>
        <v>51.201699151649784</v>
      </c>
      <c r="G254" s="110">
        <f t="shared" si="101"/>
        <v>0.9452182566418843</v>
      </c>
      <c r="H254" s="414" t="b">
        <f>Wh_hp&gt;='2026'!Maxi_hp</f>
        <v>0</v>
      </c>
      <c r="I254" s="390">
        <f>IF(H254,Wh_hp,'2026'!Maxi_hp)</f>
        <v>54.458266820267049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7.1113434601963177E-2</v>
      </c>
      <c r="M254" s="845"/>
      <c r="N254" s="845"/>
      <c r="O254" s="48">
        <f>IF(t&lt;Tnet,'2026'!Resal+('2026'!Salim-'2026'!Resal)*(1-EXP(('2026'!Tnet-t)/('2026'!Tau_j))),Resal+(Salim-Resal)*(1-EXP((Tnet-t)/(Tau_j))))*Salcycl</f>
        <v>4.4643596792003394E-2</v>
      </c>
      <c r="P254" s="169">
        <f>(INDEX(Models!$BJ254:$BT254,,T254)*(1-R254)+INDEX(Models!$BJ254:$BT254,,T254+1)*R254-ERP_i)*Q254*Ramure*Pc/MaxiM</f>
        <v>6.4233398958122779E-6</v>
      </c>
      <c r="Q254" s="305">
        <f t="shared" si="80"/>
        <v>0.5</v>
      </c>
      <c r="R254" s="177">
        <f t="shared" si="81"/>
        <v>0.45380930275520837</v>
      </c>
      <c r="S254" s="811">
        <f t="shared" si="82"/>
        <v>-1</v>
      </c>
      <c r="T254" s="176">
        <f t="shared" si="83"/>
        <v>5</v>
      </c>
      <c r="U254" s="251">
        <f t="shared" si="84"/>
        <v>-0.54619069724479163</v>
      </c>
      <c r="V254" s="383">
        <f t="shared" si="85"/>
        <v>48.070383065391333</v>
      </c>
      <c r="W254" s="402">
        <f t="shared" si="86"/>
        <v>45.437026517772104</v>
      </c>
      <c r="X254" s="157">
        <f t="shared" si="87"/>
        <v>46627</v>
      </c>
      <c r="Y254" s="385">
        <f t="shared" si="88"/>
        <v>43.798138265522113</v>
      </c>
      <c r="Z254" s="385">
        <f t="shared" si="89"/>
        <v>47.151223730697609</v>
      </c>
      <c r="AA254" s="386">
        <f t="shared" si="90"/>
        <v>51.198320494673467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7.9047451652186587E-2</v>
      </c>
      <c r="AD254" s="231">
        <f>(INDEX(Models!$BJ254:$BT254,,AH254)*(1-AF254)+INDEX(Models!$BJ254:$BT254,,AH254+1)*AF254-ERP_i)*AE254*Ramure*Pc/MaxiM</f>
        <v>7.1589742595080786E-5</v>
      </c>
      <c r="AE254" s="305">
        <f t="shared" si="92"/>
        <v>0.5</v>
      </c>
      <c r="AF254" s="177">
        <f t="shared" si="93"/>
        <v>0.97879686912918729</v>
      </c>
      <c r="AG254" s="811">
        <f t="shared" si="99"/>
        <v>2</v>
      </c>
      <c r="AH254" s="176">
        <f t="shared" si="94"/>
        <v>8</v>
      </c>
      <c r="AI254" s="225">
        <f t="shared" si="95"/>
        <v>2.9787968691291873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'2026'!Wh/'2026'!Env_an*'2027'!Env_an</f>
        <v>30.634769825721886</v>
      </c>
      <c r="C255" s="841"/>
      <c r="D255" s="393">
        <f t="shared" si="77"/>
        <v>32.980820222512378</v>
      </c>
      <c r="E255" s="385">
        <f t="shared" si="100"/>
        <v>34.524192330660533</v>
      </c>
      <c r="F255" s="385">
        <f t="shared" si="78"/>
        <v>34.524283642113005</v>
      </c>
      <c r="G255" s="110">
        <f t="shared" si="101"/>
        <v>0.63957788725802256</v>
      </c>
      <c r="H255" s="414" t="b">
        <f>Wh_hp&gt;='2026'!Maxi_hp</f>
        <v>0</v>
      </c>
      <c r="I255" s="390">
        <f>IF(H255,Wh_hp,'2026'!Maxi_hp)</f>
        <v>53.843045701686705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7.1133779601669889E-2</v>
      </c>
      <c r="M255" s="845"/>
      <c r="N255" s="845"/>
      <c r="O255" s="48">
        <f>IF(t&lt;Tnet,'2026'!Resal+('2026'!Salim-'2026'!Resal)*(1-EXP(('2026'!Tnet-t)/('2026'!Tau_j))),Resal+(Salim-Resal)*(1-EXP((Tnet-t)/(Tau_j))))*Salcycl</f>
        <v>4.4704075720766519E-2</v>
      </c>
      <c r="P255" s="169">
        <f>(INDEX(Models!$BJ255:$BT255,,T255)*(1-R255)+INDEX(Models!$BJ255:$BT255,,T255+1)*R255-ERP_i)*Q255*Ramure*Pc/MaxiM</f>
        <v>5.4520134296618317E-6</v>
      </c>
      <c r="Q255" s="305">
        <f t="shared" si="80"/>
        <v>0.5</v>
      </c>
      <c r="R255" s="177">
        <f t="shared" si="81"/>
        <v>0.45453734245750299</v>
      </c>
      <c r="S255" s="811">
        <f t="shared" si="82"/>
        <v>-1</v>
      </c>
      <c r="T255" s="176">
        <f t="shared" si="83"/>
        <v>5</v>
      </c>
      <c r="U255" s="251">
        <f t="shared" si="84"/>
        <v>-0.54546265754249701</v>
      </c>
      <c r="V255" s="383">
        <f t="shared" si="85"/>
        <v>47.89828485149318</v>
      </c>
      <c r="W255" s="402">
        <f t="shared" si="86"/>
        <v>30.634769825721886</v>
      </c>
      <c r="X255" s="157">
        <f t="shared" si="87"/>
        <v>46628</v>
      </c>
      <c r="Y255" s="385">
        <f t="shared" si="88"/>
        <v>29.531709942989231</v>
      </c>
      <c r="Z255" s="385">
        <f t="shared" si="89"/>
        <v>31.793286583642807</v>
      </c>
      <c r="AA255" s="386">
        <f t="shared" si="90"/>
        <v>34.523149482843515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7.9073402632553205E-2</v>
      </c>
      <c r="AD255" s="231">
        <f>(INDEX(Models!$BJ255:$BT255,,AH255)*(1-AF255)+INDEX(Models!$BJ255:$BT255,,AH255+1)*AF255-ERP_i)*AE255*Ramure*Pc/MaxiM</f>
        <v>6.771824783264757E-5</v>
      </c>
      <c r="AE255" s="305">
        <f t="shared" si="92"/>
        <v>0.5</v>
      </c>
      <c r="AF255" s="177">
        <f t="shared" si="93"/>
        <v>0.97952490883148213</v>
      </c>
      <c r="AG255" s="811">
        <f t="shared" si="99"/>
        <v>2</v>
      </c>
      <c r="AH255" s="176">
        <f t="shared" si="94"/>
        <v>8</v>
      </c>
      <c r="AI255" s="225">
        <f t="shared" si="95"/>
        <v>2.9795249088314821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'2026'!Wh/'2026'!Env_an*'2027'!Env_an</f>
        <v>44.482376811943944</v>
      </c>
      <c r="C256" s="841"/>
      <c r="D256" s="393">
        <f t="shared" si="77"/>
        <v>47.88994382034992</v>
      </c>
      <c r="E256" s="385">
        <f t="shared" si="100"/>
        <v>50.134164094919832</v>
      </c>
      <c r="F256" s="385">
        <f t="shared" si="78"/>
        <v>50.134371476682063</v>
      </c>
      <c r="G256" s="110">
        <f t="shared" si="101"/>
        <v>0.93213100422552286</v>
      </c>
      <c r="H256" s="414" t="b">
        <f>Wh_hp&gt;='2026'!Maxi_hp</f>
        <v>0</v>
      </c>
      <c r="I256" s="390">
        <f>IF(H256,Wh_hp,'2026'!Maxi_hp)</f>
        <v>52.67575781397985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7.1154124155768939E-2</v>
      </c>
      <c r="M256" s="845"/>
      <c r="N256" s="845"/>
      <c r="O256" s="48">
        <f>IF(t&lt;Tnet,'2026'!Resal+('2026'!Salim-'2026'!Resal)*(1-EXP(('2026'!Tnet-t)/('2026'!Tau_j))),Resal+(Salim-Resal)*(1-EXP((Tnet-t)/(Tau_j))))*Salcycl</f>
        <v>4.4764290281591082E-2</v>
      </c>
      <c r="P256" s="169">
        <f>(INDEX(Models!$BJ256:$BT256,,T256)*(1-R256)+INDEX(Models!$BJ256:$BT256,,T256+1)*R256-ERP_i)*Q256*Ramure*Pc/MaxiM</f>
        <v>4.5806346055738359E-6</v>
      </c>
      <c r="Q256" s="305">
        <f t="shared" si="80"/>
        <v>0.5</v>
      </c>
      <c r="R256" s="177">
        <f t="shared" si="81"/>
        <v>0.45523814001867779</v>
      </c>
      <c r="S256" s="811">
        <f t="shared" si="82"/>
        <v>-1</v>
      </c>
      <c r="T256" s="176">
        <f t="shared" si="83"/>
        <v>5</v>
      </c>
      <c r="U256" s="251">
        <f t="shared" si="84"/>
        <v>-0.54476185998132221</v>
      </c>
      <c r="V256" s="383">
        <f t="shared" si="85"/>
        <v>47.721143117095991</v>
      </c>
      <c r="W256" s="402">
        <f t="shared" si="86"/>
        <v>44.482376811943944</v>
      </c>
      <c r="X256" s="157">
        <f t="shared" si="87"/>
        <v>46629</v>
      </c>
      <c r="Y256" s="385">
        <f t="shared" si="88"/>
        <v>42.881176639854594</v>
      </c>
      <c r="Z256" s="385">
        <f t="shared" si="89"/>
        <v>46.166083905879169</v>
      </c>
      <c r="AA256" s="386">
        <f t="shared" si="90"/>
        <v>50.131428517795825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7.9098975017418902E-2</v>
      </c>
      <c r="AD256" s="231">
        <f>(INDEX(Models!$BJ256:$BT256,,AH256)*(1-AF256)+INDEX(Models!$BJ256:$BT256,,AH256+1)*AF256-ERP_i)*AE256*Ramure*Pc/MaxiM</f>
        <v>6.5003880632837297E-5</v>
      </c>
      <c r="AE256" s="305">
        <f t="shared" si="92"/>
        <v>0.5</v>
      </c>
      <c r="AF256" s="177">
        <f t="shared" si="93"/>
        <v>0.98022570639265671</v>
      </c>
      <c r="AG256" s="811">
        <f t="shared" si="99"/>
        <v>2</v>
      </c>
      <c r="AH256" s="176">
        <f t="shared" si="94"/>
        <v>8</v>
      </c>
      <c r="AI256" s="225">
        <f t="shared" si="95"/>
        <v>2.9802257063926567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'2026'!Wh/'2026'!Env_an*'2027'!Env_an</f>
        <v>20.935558799483999</v>
      </c>
      <c r="C257" s="841"/>
      <c r="D257" s="393">
        <f t="shared" si="77"/>
        <v>22.539818388024887</v>
      </c>
      <c r="E257" s="385">
        <f t="shared" si="100"/>
        <v>23.597560938680481</v>
      </c>
      <c r="F257" s="385">
        <f t="shared" si="78"/>
        <v>23.597578971381509</v>
      </c>
      <c r="G257" s="110">
        <f t="shared" si="101"/>
        <v>0.44039311893709165</v>
      </c>
      <c r="H257" s="414" t="b">
        <f>Wh_hp&gt;='2026'!Maxi_hp</f>
        <v>0</v>
      </c>
      <c r="I257" s="390">
        <f>IF(H257,Wh_hp,'2026'!Maxi_hp)</f>
        <v>52.060228799144411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7.1174468264269986E-2</v>
      </c>
      <c r="M257" s="845"/>
      <c r="N257" s="845"/>
      <c r="O257" s="48">
        <f>IF(t&lt;Tnet,'2026'!Resal+('2026'!Salim-'2026'!Resal)*(1-EXP(('2026'!Tnet-t)/('2026'!Tau_j))),Resal+(Salim-Resal)*(1-EXP((Tnet-t)/(Tau_j))))*Salcycl</f>
        <v>4.482423219095362E-2</v>
      </c>
      <c r="P257" s="169">
        <f>(INDEX(Models!$BJ257:$BT257,,T257)*(1-R257)+INDEX(Models!$BJ257:$BT257,,T257+1)*R257-ERP_i)*Q257*Ramure*Pc/MaxiM</f>
        <v>3.8101441114631006E-6</v>
      </c>
      <c r="Q257" s="305">
        <f t="shared" si="80"/>
        <v>0.5</v>
      </c>
      <c r="R257" s="177">
        <f t="shared" si="81"/>
        <v>0.45591263720837794</v>
      </c>
      <c r="S257" s="811">
        <f t="shared" si="82"/>
        <v>-1</v>
      </c>
      <c r="T257" s="176">
        <f t="shared" si="83"/>
        <v>5</v>
      </c>
      <c r="U257" s="251">
        <f t="shared" si="84"/>
        <v>-0.54408736279162206</v>
      </c>
      <c r="V257" s="383">
        <f t="shared" si="85"/>
        <v>47.538197419880944</v>
      </c>
      <c r="W257" s="402">
        <f t="shared" si="86"/>
        <v>20.935558799483999</v>
      </c>
      <c r="X257" s="157">
        <f t="shared" si="87"/>
        <v>46630</v>
      </c>
      <c r="Y257" s="385">
        <f t="shared" si="88"/>
        <v>20.183531037992797</v>
      </c>
      <c r="Z257" s="385">
        <f t="shared" si="89"/>
        <v>21.730163898784198</v>
      </c>
      <c r="AA257" s="386">
        <f t="shared" si="90"/>
        <v>23.597278634433565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7.9124155144095251E-2</v>
      </c>
      <c r="AD257" s="231">
        <f>(INDEX(Models!$BJ257:$BT257,,AH257)*(1-AF257)+INDEX(Models!$BJ257:$BT257,,AH257+1)*AF257-ERP_i)*AE257*Ramure*Pc/MaxiM</f>
        <v>6.3458438747606674E-5</v>
      </c>
      <c r="AE257" s="305">
        <f t="shared" si="92"/>
        <v>0.5</v>
      </c>
      <c r="AF257" s="177">
        <f t="shared" si="93"/>
        <v>0.98090020358235686</v>
      </c>
      <c r="AG257" s="811">
        <f t="shared" si="99"/>
        <v>2</v>
      </c>
      <c r="AH257" s="176">
        <f t="shared" si="94"/>
        <v>8</v>
      </c>
      <c r="AI257" s="225">
        <f t="shared" si="95"/>
        <v>2.9809002035823569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'2026'!Wh/'2026'!Env_an*'2027'!Env_an</f>
        <v>40.357548019830794</v>
      </c>
      <c r="C258" s="841"/>
      <c r="D258" s="393">
        <f t="shared" si="77"/>
        <v>43.451036383171896</v>
      </c>
      <c r="E258" s="385">
        <f t="shared" si="100"/>
        <v>45.492936468990692</v>
      </c>
      <c r="F258" s="385">
        <f t="shared" si="78"/>
        <v>45.493049239355081</v>
      </c>
      <c r="G258" s="110">
        <f t="shared" si="101"/>
        <v>0.85234719997463204</v>
      </c>
      <c r="H258" s="414" t="b">
        <f>Wh_hp&gt;='2026'!Maxi_hp</f>
        <v>0</v>
      </c>
      <c r="I258" s="390">
        <f>IF(H258,Wh_hp,'2026'!Maxi_hp)</f>
        <v>53.475031417285187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7.1194811927182911E-2</v>
      </c>
      <c r="M258" s="845"/>
      <c r="N258" s="845"/>
      <c r="O258" s="48">
        <f>IF(t&lt;Tnet,'2026'!Resal+('2026'!Salim-'2026'!Resal)*(1-EXP(('2026'!Tnet-t)/('2026'!Tau_j))),Resal+(Salim-Resal)*(1-EXP((Tnet-t)/(Tau_j))))*Salcycl</f>
        <v>4.4883892848082363E-2</v>
      </c>
      <c r="P258" s="169">
        <f>(INDEX(Models!$BJ258:$BT258,,T258)*(1-R258)+INDEX(Models!$BJ258:$BT258,,T258+1)*R258-ERP_i)*Q258*Ramure*Pc/MaxiM</f>
        <v>3.1414877883142099E-6</v>
      </c>
      <c r="Q258" s="305">
        <f t="shared" si="80"/>
        <v>0.5</v>
      </c>
      <c r="R258" s="177">
        <f t="shared" si="81"/>
        <v>0.45656174919099946</v>
      </c>
      <c r="S258" s="811">
        <f t="shared" si="82"/>
        <v>-1</v>
      </c>
      <c r="T258" s="176">
        <f t="shared" si="83"/>
        <v>5</v>
      </c>
      <c r="U258" s="251">
        <f t="shared" si="84"/>
        <v>-0.54343825080900054</v>
      </c>
      <c r="V258" s="383">
        <f t="shared" si="85"/>
        <v>47.348687575271761</v>
      </c>
      <c r="W258" s="402">
        <f t="shared" si="86"/>
        <v>40.357548019830794</v>
      </c>
      <c r="X258" s="157">
        <f t="shared" si="87"/>
        <v>46631</v>
      </c>
      <c r="Y258" s="385">
        <f t="shared" si="88"/>
        <v>38.907869903752413</v>
      </c>
      <c r="Z258" s="385">
        <f t="shared" si="89"/>
        <v>41.890237482934999</v>
      </c>
      <c r="AA258" s="386">
        <f t="shared" si="90"/>
        <v>45.490784335281596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7.9148928842585231E-2</v>
      </c>
      <c r="AD258" s="231">
        <f>(INDEX(Models!$BJ258:$BT258,,AH258)*(1-AF258)+INDEX(Models!$BJ258:$BT258,,AH258+1)*AF258-ERP_i)*AE258*Ramure*Pc/MaxiM</f>
        <v>6.3094311411540953E-5</v>
      </c>
      <c r="AE258" s="305">
        <f t="shared" si="92"/>
        <v>0.5</v>
      </c>
      <c r="AF258" s="177">
        <f t="shared" si="93"/>
        <v>0.98154931556497838</v>
      </c>
      <c r="AG258" s="811">
        <f t="shared" si="99"/>
        <v>2</v>
      </c>
      <c r="AH258" s="176">
        <f t="shared" si="94"/>
        <v>8</v>
      </c>
      <c r="AI258" s="225">
        <f t="shared" si="95"/>
        <v>2.9815493155649784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'2026'!Wh/'2026'!Env_an*'2027'!Env_an</f>
        <v>37.018548163121956</v>
      </c>
      <c r="C259" s="841"/>
      <c r="D259" s="393">
        <f t="shared" si="77"/>
        <v>39.856968347585365</v>
      </c>
      <c r="E259" s="385">
        <f t="shared" si="100"/>
        <v>41.732566052433377</v>
      </c>
      <c r="F259" s="385">
        <f t="shared" si="78"/>
        <v>41.732640540408717</v>
      </c>
      <c r="G259" s="110">
        <f t="shared" si="101"/>
        <v>0.78509148673406537</v>
      </c>
      <c r="H259" s="414" t="b">
        <f>Wh_hp&gt;='2026'!Maxi_hp</f>
        <v>0</v>
      </c>
      <c r="I259" s="390">
        <f>IF(H259,Wh_hp,'2026'!Maxi_hp)</f>
        <v>51.427835350869806</v>
      </c>
      <c r="J259" s="85">
        <f>IF(H259,An,'2026'!An_max)</f>
        <v>2019</v>
      </c>
      <c r="K259" s="197">
        <f t="shared" si="79"/>
        <v>46632</v>
      </c>
      <c r="L259" s="147">
        <f>IF(t&lt;Tvie,1-EXP((T0-t)*PertePVj)+'2026'!Pspv,1-EXP((T0-t)*PertePVj)+Pspv)</f>
        <v>7.1215155144517372E-2</v>
      </c>
      <c r="M259" s="845"/>
      <c r="N259" s="845"/>
      <c r="O259" s="48">
        <f>IF(t&lt;Tnet,'2026'!Resal+('2026'!Salim-'2026'!Resal)*(1-EXP(('2026'!Tnet-t)/('2026'!Tau_j))),Resal+(Salim-Resal)*(1-EXP((Tnet-t)/(Tau_j))))*Salcycl</f>
        <v>4.4943263313630993E-2</v>
      </c>
      <c r="P259" s="169">
        <f>(INDEX(Models!$BJ259:$BT259,,T259)*(1-R259)+INDEX(Models!$BJ259:$BT259,,T259+1)*R259-ERP_i)*Q259*Ramure*Pc/MaxiM</f>
        <v>2.5756339239473922E-6</v>
      </c>
      <c r="Q259" s="305">
        <f t="shared" si="80"/>
        <v>0.5</v>
      </c>
      <c r="R259" s="177">
        <f t="shared" si="81"/>
        <v>0.45718636480520602</v>
      </c>
      <c r="S259" s="811">
        <f t="shared" si="82"/>
        <v>-1</v>
      </c>
      <c r="T259" s="176">
        <f t="shared" si="83"/>
        <v>5</v>
      </c>
      <c r="U259" s="251">
        <f t="shared" si="84"/>
        <v>-0.54281363519479398</v>
      </c>
      <c r="V259" s="383">
        <f t="shared" si="85"/>
        <v>47.151853658097117</v>
      </c>
      <c r="W259" s="402">
        <f t="shared" si="86"/>
        <v>37.018548163121956</v>
      </c>
      <c r="X259" s="157">
        <f t="shared" si="87"/>
        <v>46632</v>
      </c>
      <c r="Y259" s="385">
        <f t="shared" si="88"/>
        <v>35.690255573752523</v>
      </c>
      <c r="Z259" s="385">
        <f t="shared" si="89"/>
        <v>38.426828098498817</v>
      </c>
      <c r="AA259" s="386">
        <f t="shared" si="90"/>
        <v>41.730791822523159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7.917328140035701E-2</v>
      </c>
      <c r="AD259" s="231">
        <f>(INDEX(Models!$BJ259:$BT259,,AH259)*(1-AF259)+INDEX(Models!$BJ259:$BT259,,AH259+1)*AF259-ERP_i)*AE259*Ramure*Pc/MaxiM</f>
        <v>6.3924686901348037E-5</v>
      </c>
      <c r="AE259" s="305">
        <f t="shared" si="92"/>
        <v>0.5</v>
      </c>
      <c r="AF259" s="177">
        <f t="shared" si="93"/>
        <v>0.98217393117918483</v>
      </c>
      <c r="AG259" s="811">
        <f t="shared" si="99"/>
        <v>2</v>
      </c>
      <c r="AH259" s="176">
        <f t="shared" si="94"/>
        <v>8</v>
      </c>
      <c r="AI259" s="225">
        <f t="shared" si="95"/>
        <v>2.9821739311791848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'2026'!Wh/'2026'!Env_an*'2027'!Env_an</f>
        <v>30.909153448423076</v>
      </c>
      <c r="C260" s="841"/>
      <c r="D260" s="393">
        <f t="shared" si="77"/>
        <v>33.279860911003027</v>
      </c>
      <c r="E260" s="385">
        <f t="shared" si="100"/>
        <v>34.84810707485385</v>
      </c>
      <c r="F260" s="385">
        <f t="shared" si="78"/>
        <v>34.848144784487147</v>
      </c>
      <c r="G260" s="110">
        <f t="shared" si="101"/>
        <v>0.65838421426057048</v>
      </c>
      <c r="H260" s="414" t="b">
        <f>Wh_hp&gt;='2026'!Maxi_hp</f>
        <v>0</v>
      </c>
      <c r="I260" s="390">
        <f>IF(H260,Wh_hp,'2026'!Maxi_hp)</f>
        <v>54.150203084511908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7.1235497916283141E-2</v>
      </c>
      <c r="M260" s="845"/>
      <c r="N260" s="845"/>
      <c r="O260" s="48">
        <f>IF(t&lt;Tnet,'2026'!Resal+('2026'!Salim-'2026'!Resal)*(1-EXP(('2026'!Tnet-t)/('2026'!Tau_j))),Resal+(Salim-Resal)*(1-EXP((Tnet-t)/(Tau_j))))*Salcycl</f>
        <v>4.5002334286973568E-2</v>
      </c>
      <c r="P260" s="169">
        <f>(INDEX(Models!$BJ260:$BT260,,T260)*(1-R260)+INDEX(Models!$BJ260:$BT260,,T260+1)*R260-ERP_i)*Q260*Ramure*Pc/MaxiM</f>
        <v>2.1135911981372143E-6</v>
      </c>
      <c r="Q260" s="305">
        <f t="shared" si="80"/>
        <v>0.5</v>
      </c>
      <c r="R260" s="177">
        <f t="shared" si="81"/>
        <v>0.45778734688383149</v>
      </c>
      <c r="S260" s="811">
        <f t="shared" si="82"/>
        <v>-1</v>
      </c>
      <c r="T260" s="176">
        <f t="shared" si="83"/>
        <v>5</v>
      </c>
      <c r="U260" s="251">
        <f t="shared" si="84"/>
        <v>-0.54221265311616851</v>
      </c>
      <c r="V260" s="383">
        <f t="shared" si="85"/>
        <v>46.946935993881795</v>
      </c>
      <c r="W260" s="402">
        <f t="shared" si="86"/>
        <v>30.909153448423076</v>
      </c>
      <c r="X260" s="157">
        <f t="shared" si="87"/>
        <v>46633</v>
      </c>
      <c r="Y260" s="385">
        <f t="shared" si="88"/>
        <v>29.801439043178625</v>
      </c>
      <c r="Z260" s="385">
        <f t="shared" si="89"/>
        <v>32.087185692732675</v>
      </c>
      <c r="AA260" s="386">
        <f t="shared" si="90"/>
        <v>34.846967892020622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7.9197197524892654E-2</v>
      </c>
      <c r="AD260" s="231">
        <f>(INDEX(Models!$BJ260:$BT260,,AH260)*(1-AF260)+INDEX(Models!$BJ260:$BT260,,AH260+1)*AF260-ERP_i)*AE260*Ramure*Pc/MaxiM</f>
        <v>6.5963769497113413E-5</v>
      </c>
      <c r="AE260" s="305">
        <f t="shared" si="92"/>
        <v>0.5</v>
      </c>
      <c r="AF260" s="177">
        <f t="shared" si="93"/>
        <v>0.9827749132578103</v>
      </c>
      <c r="AG260" s="811">
        <f t="shared" si="99"/>
        <v>2</v>
      </c>
      <c r="AH260" s="176">
        <f t="shared" si="94"/>
        <v>8</v>
      </c>
      <c r="AI260" s="225">
        <f t="shared" si="95"/>
        <v>2.9827749132578103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'2026'!Wh/'2026'!Env_an*'2027'!Env_an</f>
        <v>44.830465925119483</v>
      </c>
      <c r="C261" s="841"/>
      <c r="D261" s="393">
        <f t="shared" si="77"/>
        <v>48.269984208379277</v>
      </c>
      <c r="E261" s="385">
        <f t="shared" si="100"/>
        <v>50.547719870216433</v>
      </c>
      <c r="F261" s="385">
        <f t="shared" si="78"/>
        <v>50.547803485076621</v>
      </c>
      <c r="G261" s="110">
        <f t="shared" si="101"/>
        <v>0.95926343547249693</v>
      </c>
      <c r="H261" s="414" t="b">
        <f>Wh_hp&gt;='2026'!Maxi_hp</f>
        <v>0</v>
      </c>
      <c r="I261" s="390">
        <f>IF(H261,Wh_hp,'2026'!Maxi_hp)</f>
        <v>53.283178554064911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7.1255840242490098E-2</v>
      </c>
      <c r="M261" s="845"/>
      <c r="N261" s="845"/>
      <c r="O261" s="48">
        <f>IF(t&lt;Tnet,'2026'!Resal+('2026'!Salim-'2026'!Resal)*(1-EXP(('2026'!Tnet-t)/('2026'!Tau_j))),Resal+(Salim-Resal)*(1-EXP((Tnet-t)/(Tau_j))))*Salcycl</f>
        <v>4.5061096082777731E-2</v>
      </c>
      <c r="P261" s="169">
        <f>(INDEX(Models!$BJ261:$BT261,,T261)*(1-R261)+INDEX(Models!$BJ261:$BT261,,T261+1)*R261-ERP_i)*Q261*Ramure*Pc/MaxiM</f>
        <v>1.7563868045488975E-6</v>
      </c>
      <c r="Q261" s="305">
        <f t="shared" si="80"/>
        <v>0.5</v>
      </c>
      <c r="R261" s="177">
        <f t="shared" si="81"/>
        <v>0.45836553260959567</v>
      </c>
      <c r="S261" s="811">
        <f t="shared" si="82"/>
        <v>-1</v>
      </c>
      <c r="T261" s="176">
        <f t="shared" si="83"/>
        <v>5</v>
      </c>
      <c r="U261" s="251">
        <f t="shared" si="84"/>
        <v>-0.54163446739040433</v>
      </c>
      <c r="V261" s="383">
        <f t="shared" si="85"/>
        <v>46.734254309172755</v>
      </c>
      <c r="W261" s="402">
        <f t="shared" si="86"/>
        <v>44.830465925119483</v>
      </c>
      <c r="X261" s="157">
        <f t="shared" si="87"/>
        <v>46634</v>
      </c>
      <c r="Y261" s="385">
        <f t="shared" si="88"/>
        <v>43.224067653630279</v>
      </c>
      <c r="Z261" s="385">
        <f t="shared" si="89"/>
        <v>46.540338584649461</v>
      </c>
      <c r="AA261" s="386">
        <f t="shared" si="90"/>
        <v>50.544507928054948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7.9220661305181087E-2</v>
      </c>
      <c r="AD261" s="231">
        <f>(INDEX(Models!$BJ261:$BT261,,AH261)*(1-AF261)+INDEX(Models!$BJ261:$BT261,,AH261+1)*AF261-ERP_i)*AE261*Ramure*Pc/MaxiM</f>
        <v>6.9225408659442483E-5</v>
      </c>
      <c r="AE261" s="305">
        <f t="shared" si="92"/>
        <v>0.5</v>
      </c>
      <c r="AF261" s="177">
        <f t="shared" si="93"/>
        <v>0.98335309898357481</v>
      </c>
      <c r="AG261" s="811">
        <f t="shared" si="99"/>
        <v>2</v>
      </c>
      <c r="AH261" s="176">
        <f t="shared" si="94"/>
        <v>8</v>
      </c>
      <c r="AI261" s="225">
        <f t="shared" si="95"/>
        <v>2.9833530989835748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'2026'!Wh/'2026'!Env_an*'2027'!Env_an</f>
        <v>37.899151272024724</v>
      </c>
      <c r="C262" s="841"/>
      <c r="D262" s="393">
        <f t="shared" si="77"/>
        <v>40.80777357327355</v>
      </c>
      <c r="E262" s="385">
        <f t="shared" si="100"/>
        <v>42.736002277987446</v>
      </c>
      <c r="F262" s="385">
        <f t="shared" si="78"/>
        <v>42.736050217550357</v>
      </c>
      <c r="G262" s="110">
        <f t="shared" si="101"/>
        <v>0.81477429758880593</v>
      </c>
      <c r="H262" s="414" t="b">
        <f>Wh_hp&gt;='2026'!Maxi_hp</f>
        <v>0</v>
      </c>
      <c r="I262" s="390">
        <f>IF(H262,Wh_hp,'2026'!Maxi_hp)</f>
        <v>52.787883333438941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7.1276182123147791E-2</v>
      </c>
      <c r="M262" s="845"/>
      <c r="N262" s="845"/>
      <c r="O262" s="48">
        <f>IF(t&lt;Tnet,'2026'!Resal+('2026'!Salim-'2026'!Resal)*(1-EXP(('2026'!Tnet-t)/('2026'!Tau_j))),Resal+(Salim-Resal)*(1-EXP((Tnet-t)/(Tau_j))))*Salcycl</f>
        <v>4.5119538607547562E-2</v>
      </c>
      <c r="P262" s="169">
        <f>(INDEX(Models!$BJ262:$BT262,,T262)*(1-R262)+INDEX(Models!$BJ262:$BT262,,T262+1)*R262-ERP_i)*Q262*Ramure*Pc/MaxiM</f>
        <v>1.5253889531252621E-6</v>
      </c>
      <c r="Q262" s="305">
        <f t="shared" si="80"/>
        <v>0.5</v>
      </c>
      <c r="R262" s="177">
        <f t="shared" si="81"/>
        <v>0.45892173390236768</v>
      </c>
      <c r="S262" s="811">
        <f t="shared" si="82"/>
        <v>-1</v>
      </c>
      <c r="T262" s="176">
        <f t="shared" si="83"/>
        <v>5</v>
      </c>
      <c r="U262" s="251">
        <f t="shared" si="84"/>
        <v>-0.54107826609763232</v>
      </c>
      <c r="V262" s="383">
        <f t="shared" si="85"/>
        <v>46.514888953841222</v>
      </c>
      <c r="W262" s="402">
        <f t="shared" si="86"/>
        <v>37.899151272024724</v>
      </c>
      <c r="X262" s="157">
        <f t="shared" si="87"/>
        <v>46635</v>
      </c>
      <c r="Y262" s="385">
        <f t="shared" si="88"/>
        <v>36.542787456053794</v>
      </c>
      <c r="Z262" s="385">
        <f t="shared" si="89"/>
        <v>39.347313757489239</v>
      </c>
      <c r="AA262" s="386">
        <f t="shared" si="90"/>
        <v>42.733687387874504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7.9243656173376142E-2</v>
      </c>
      <c r="AD262" s="231">
        <f>(INDEX(Models!$BJ262:$BT262,,AH262)*(1-AF262)+INDEX(Models!$BJ262:$BT262,,AH262+1)*AF262-ERP_i)*AE262*Ramure*Pc/MaxiM</f>
        <v>7.5182877501488559E-5</v>
      </c>
      <c r="AE262" s="305">
        <f t="shared" si="92"/>
        <v>0.5</v>
      </c>
      <c r="AF262" s="177">
        <f t="shared" si="93"/>
        <v>0.9839093002763466</v>
      </c>
      <c r="AG262" s="811">
        <f t="shared" si="99"/>
        <v>2</v>
      </c>
      <c r="AH262" s="176">
        <f t="shared" si="94"/>
        <v>8</v>
      </c>
      <c r="AI262" s="225">
        <f t="shared" si="95"/>
        <v>2.9839093002763466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'2026'!Wh/'2026'!Env_an*'2027'!Env_an</f>
        <v>42.981814225895164</v>
      </c>
      <c r="C263" s="841"/>
      <c r="D263" s="393">
        <f t="shared" si="77"/>
        <v>46.281526145005031</v>
      </c>
      <c r="E263" s="385">
        <f t="shared" si="100"/>
        <v>48.471347795539302</v>
      </c>
      <c r="F263" s="385">
        <f t="shared" si="78"/>
        <v>48.471406182344666</v>
      </c>
      <c r="G263" s="110">
        <f t="shared" si="101"/>
        <v>0.92854885762944184</v>
      </c>
      <c r="H263" s="414" t="b">
        <f>Wh_hp&gt;='2026'!Maxi_hp</f>
        <v>0</v>
      </c>
      <c r="I263" s="390">
        <f>IF(H263,Wh_hp,'2026'!Maxi_hp)</f>
        <v>54.673871330579189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7.1296523558266212E-2</v>
      </c>
      <c r="M263" s="845"/>
      <c r="N263" s="845"/>
      <c r="O263" s="48">
        <f>IF(t&lt;Tnet,'2026'!Resal+('2026'!Salim-'2026'!Resal)*(1-EXP(('2026'!Tnet-t)/('2026'!Tau_j))),Resal+(Salim-Resal)*(1-EXP((Tnet-t)/(Tau_j))))*Salcycl</f>
        <v>4.5177651336854301E-2</v>
      </c>
      <c r="P263" s="169">
        <f>(INDEX(Models!$BJ263:$BT263,,T263)*(1-R263)+INDEX(Models!$BJ263:$BT263,,T263+1)*R263-ERP_i)*Q263*Ramure*Pc/MaxiM</f>
        <v>1.3414917469711295E-6</v>
      </c>
      <c r="Q263" s="305">
        <f t="shared" si="80"/>
        <v>0.5</v>
      </c>
      <c r="R263" s="177">
        <f t="shared" si="81"/>
        <v>0.45945673783399932</v>
      </c>
      <c r="S263" s="811">
        <f t="shared" si="82"/>
        <v>-1</v>
      </c>
      <c r="T263" s="176">
        <f t="shared" si="83"/>
        <v>5</v>
      </c>
      <c r="U263" s="251">
        <f t="shared" si="84"/>
        <v>-0.54054326216600068</v>
      </c>
      <c r="V263" s="383">
        <f t="shared" si="85"/>
        <v>46.289226449669854</v>
      </c>
      <c r="W263" s="402">
        <f t="shared" si="86"/>
        <v>42.981814225895164</v>
      </c>
      <c r="X263" s="157">
        <f t="shared" si="87"/>
        <v>46636</v>
      </c>
      <c r="Y263" s="385">
        <f t="shared" si="88"/>
        <v>41.444246466011613</v>
      </c>
      <c r="Z263" s="385">
        <f t="shared" si="89"/>
        <v>44.625919378274013</v>
      </c>
      <c r="AA263" s="386">
        <f t="shared" si="90"/>
        <v>48.467773938024457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7.9266164867877034E-2</v>
      </c>
      <c r="AD263" s="231">
        <f>(INDEX(Models!$BJ263:$BT263,,AH263)*(1-AF263)+INDEX(Models!$BJ263:$BT263,,AH263+1)*AF263-ERP_i)*AE263*Ramure*Pc/MaxiM</f>
        <v>8.3454228198816564E-5</v>
      </c>
      <c r="AE263" s="305">
        <f t="shared" si="92"/>
        <v>0.5</v>
      </c>
      <c r="AF263" s="177">
        <f t="shared" si="93"/>
        <v>0.98444430420797824</v>
      </c>
      <c r="AG263" s="811">
        <f t="shared" si="99"/>
        <v>2</v>
      </c>
      <c r="AH263" s="176">
        <f t="shared" si="94"/>
        <v>8</v>
      </c>
      <c r="AI263" s="225">
        <f t="shared" si="95"/>
        <v>2.9844443042079782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'2026'!Wh/'2026'!Env_an*'2027'!Env_an</f>
        <v>33.442373380877697</v>
      </c>
      <c r="C264" s="841"/>
      <c r="D264" s="393">
        <f t="shared" si="77"/>
        <v>36.010531584161605</v>
      </c>
      <c r="E264" s="385">
        <f t="shared" si="100"/>
        <v>37.716660695980089</v>
      </c>
      <c r="F264" s="385">
        <f t="shared" si="78"/>
        <v>37.716688366933091</v>
      </c>
      <c r="G264" s="110">
        <f t="shared" si="101"/>
        <v>0.72609779288985066</v>
      </c>
      <c r="H264" s="414" t="b">
        <f>Wh_hp&gt;='2026'!Maxi_hp</f>
        <v>0</v>
      </c>
      <c r="I264" s="390">
        <f>IF(H264,Wh_hp,'2026'!Maxi_hp)</f>
        <v>50.140065797662274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7.1316864547854908E-2</v>
      </c>
      <c r="M264" s="845"/>
      <c r="N264" s="845"/>
      <c r="O264" s="48">
        <f>IF(t&lt;Tnet,'2026'!Resal+('2026'!Salim-'2026'!Resal)*(1-EXP(('2026'!Tnet-t)/('2026'!Tau_j))),Resal+(Salim-Resal)*(1-EXP((Tnet-t)/(Tau_j))))*Salcycl</f>
        <v>4.5235423293990738E-2</v>
      </c>
      <c r="P264" s="169">
        <f>(INDEX(Models!$BJ264:$BT264,,T264)*(1-R264)+INDEX(Models!$BJ264:$BT264,,T264+1)*R264-ERP_i)*Q264*Ramure*Pc/MaxiM</f>
        <v>1.2052550771660508E-6</v>
      </c>
      <c r="Q264" s="305">
        <f t="shared" si="80"/>
        <v>0.5</v>
      </c>
      <c r="R264" s="177">
        <f t="shared" si="81"/>
        <v>0.45997130706703682</v>
      </c>
      <c r="S264" s="811">
        <f t="shared" si="82"/>
        <v>-1</v>
      </c>
      <c r="T264" s="176">
        <f t="shared" si="83"/>
        <v>5</v>
      </c>
      <c r="U264" s="251">
        <f t="shared" si="84"/>
        <v>-0.54002869293296318</v>
      </c>
      <c r="V264" s="383">
        <f t="shared" si="85"/>
        <v>46.057649447281825</v>
      </c>
      <c r="W264" s="402">
        <f t="shared" si="86"/>
        <v>33.442373380877697</v>
      </c>
      <c r="X264" s="157">
        <f t="shared" si="87"/>
        <v>46637</v>
      </c>
      <c r="Y264" s="385">
        <f t="shared" si="88"/>
        <v>32.247790745359865</v>
      </c>
      <c r="Z264" s="385">
        <f t="shared" si="89"/>
        <v>34.724212720477027</v>
      </c>
      <c r="AA264" s="386">
        <f t="shared" si="90"/>
        <v>37.714528657478787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7.9288169399109876E-2</v>
      </c>
      <c r="AD264" s="231">
        <f>(INDEX(Models!$BJ264:$BT264,,AH264)*(1-AF264)+INDEX(Models!$BJ264:$BT264,,AH264+1)*AF264-ERP_i)*AE264*Ramure*Pc/MaxiM</f>
        <v>9.4069791700569777E-5</v>
      </c>
      <c r="AE264" s="305">
        <f t="shared" si="92"/>
        <v>0.5</v>
      </c>
      <c r="AF264" s="177">
        <f t="shared" si="93"/>
        <v>0.98495887344101574</v>
      </c>
      <c r="AG264" s="811">
        <f t="shared" si="99"/>
        <v>2</v>
      </c>
      <c r="AH264" s="176">
        <f t="shared" si="94"/>
        <v>8</v>
      </c>
      <c r="AI264" s="225">
        <f t="shared" si="95"/>
        <v>2.9849588734410157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'2026'!Wh/'2026'!Env_an*'2027'!Env_an</f>
        <v>36.621723948153218</v>
      </c>
      <c r="C265" s="841"/>
      <c r="D265" s="393">
        <f t="shared" si="77"/>
        <v>39.434899458611582</v>
      </c>
      <c r="E265" s="385">
        <f t="shared" si="100"/>
        <v>41.305754514086594</v>
      </c>
      <c r="F265" s="385">
        <f t="shared" si="78"/>
        <v>41.305787428363402</v>
      </c>
      <c r="G265" s="110">
        <f t="shared" si="101"/>
        <v>0.79924225757292444</v>
      </c>
      <c r="H265" s="414" t="b">
        <f>Wh_hp&gt;='2026'!Maxi_hp</f>
        <v>0</v>
      </c>
      <c r="I265" s="390">
        <f>IF(H265,Wh_hp,'2026'!Maxi_hp)</f>
        <v>49.195092920557293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7.1337205091923761E-2</v>
      </c>
      <c r="M265" s="845"/>
      <c r="N265" s="845"/>
      <c r="O265" s="48">
        <f>IF(t&lt;Tnet,'2026'!Resal+('2026'!Salim-'2026'!Resal)*(1-EXP(('2026'!Tnet-t)/('2026'!Tau_j))),Resal+(Salim-Resal)*(1-EXP((Tnet-t)/(Tau_j))))*Salcycl</f>
        <v>4.5292843030793478E-2</v>
      </c>
      <c r="P265" s="169">
        <f>(INDEX(Models!$BJ265:$BT265,,T265)*(1-R265)+INDEX(Models!$BJ265:$BT265,,T265+1)*R265-ERP_i)*Q265*Ramure*Pc/MaxiM</f>
        <v>1.1172745092586915E-6</v>
      </c>
      <c r="Q265" s="305">
        <f t="shared" si="80"/>
        <v>0.5</v>
      </c>
      <c r="R265" s="177">
        <f t="shared" si="81"/>
        <v>0.46046618031388276</v>
      </c>
      <c r="S265" s="811">
        <f t="shared" si="82"/>
        <v>-1</v>
      </c>
      <c r="T265" s="176">
        <f t="shared" si="83"/>
        <v>5</v>
      </c>
      <c r="U265" s="251">
        <f t="shared" si="84"/>
        <v>-0.53953381968611724</v>
      </c>
      <c r="V265" s="383">
        <f t="shared" si="85"/>
        <v>45.820540476229517</v>
      </c>
      <c r="W265" s="402">
        <f t="shared" si="86"/>
        <v>36.621723948153218</v>
      </c>
      <c r="X265" s="157">
        <f t="shared" si="87"/>
        <v>46638</v>
      </c>
      <c r="Y265" s="385">
        <f t="shared" si="88"/>
        <v>35.314200685564522</v>
      </c>
      <c r="Z265" s="385">
        <f t="shared" si="89"/>
        <v>38.026936019397766</v>
      </c>
      <c r="AA265" s="386">
        <f t="shared" si="90"/>
        <v>41.302633465743661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7.9309651019292896E-2</v>
      </c>
      <c r="AD265" s="231">
        <f>(INDEX(Models!$BJ265:$BT265,,AH265)*(1-AF265)+INDEX(Models!$BJ265:$BT265,,AH265+1)*AF265-ERP_i)*AE265*Ramure*Pc/MaxiM</f>
        <v>1.0706120199146549E-4</v>
      </c>
      <c r="AE265" s="305">
        <f t="shared" si="92"/>
        <v>0.5</v>
      </c>
      <c r="AF265" s="177">
        <f t="shared" si="93"/>
        <v>0.98545374668786145</v>
      </c>
      <c r="AG265" s="811">
        <f t="shared" si="99"/>
        <v>2</v>
      </c>
      <c r="AH265" s="176">
        <f t="shared" si="94"/>
        <v>8</v>
      </c>
      <c r="AI265" s="225">
        <f t="shared" si="95"/>
        <v>2.9854537466878615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'2026'!Wh/'2026'!Env_an*'2027'!Env_an</f>
        <v>20.387474442496416</v>
      </c>
      <c r="C266" s="841"/>
      <c r="D266" s="393">
        <f t="shared" si="77"/>
        <v>21.954062445570916</v>
      </c>
      <c r="E266" s="385">
        <f t="shared" si="100"/>
        <v>22.996972831864547</v>
      </c>
      <c r="F266" s="385">
        <f t="shared" si="78"/>
        <v>22.996978049648611</v>
      </c>
      <c r="G266" s="110">
        <f t="shared" si="101"/>
        <v>0.44730639726295918</v>
      </c>
      <c r="H266" s="414" t="b">
        <f>Wh_hp&gt;='2026'!Maxi_hp</f>
        <v>0</v>
      </c>
      <c r="I266" s="390">
        <f>IF(H266,Wh_hp,'2026'!Maxi_hp)</f>
        <v>49.204296027158733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7.135754519048243E-2</v>
      </c>
      <c r="M266" s="845"/>
      <c r="N266" s="845"/>
      <c r="O266" s="48">
        <f>IF(t&lt;Tnet,'2026'!Resal+('2026'!Salim-'2026'!Resal)*(1-EXP(('2026'!Tnet-t)/('2026'!Tau_j))),Resal+(Salim-Resal)*(1-EXP((Tnet-t)/(Tau_j))))*Salcycl</f>
        <v>4.5349898611376172E-2</v>
      </c>
      <c r="P266" s="169">
        <f>(INDEX(Models!$BJ266:$BT266,,T266)*(1-R266)+INDEX(Models!$BJ266:$BT266,,T266+1)*R266-ERP_i)*Q266*Ramure*Pc/MaxiM</f>
        <v>1.0781784341789834E-6</v>
      </c>
      <c r="Q266" s="305">
        <f t="shared" si="80"/>
        <v>0.5</v>
      </c>
      <c r="R266" s="177">
        <f t="shared" si="81"/>
        <v>0.46094207281323785</v>
      </c>
      <c r="S266" s="811">
        <f t="shared" si="82"/>
        <v>-1</v>
      </c>
      <c r="T266" s="176">
        <f t="shared" si="83"/>
        <v>5</v>
      </c>
      <c r="U266" s="251">
        <f t="shared" si="84"/>
        <v>-0.53905792718676215</v>
      </c>
      <c r="V266" s="383">
        <f t="shared" si="85"/>
        <v>45.578281937438518</v>
      </c>
      <c r="W266" s="402">
        <f t="shared" si="86"/>
        <v>20.387474442496416</v>
      </c>
      <c r="X266" s="157">
        <f t="shared" si="87"/>
        <v>46639</v>
      </c>
      <c r="Y266" s="385">
        <f t="shared" si="88"/>
        <v>19.661281738372161</v>
      </c>
      <c r="Z266" s="385">
        <f t="shared" si="89"/>
        <v>21.172068578756789</v>
      </c>
      <c r="AA266" s="386">
        <f t="shared" si="90"/>
        <v>22.996385405373243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7.9330590197457265E-2</v>
      </c>
      <c r="AD266" s="231">
        <f>(INDEX(Models!$BJ266:$BT266,,AH266)*(1-AF266)+INDEX(Models!$BJ266:$BT266,,AH266+1)*AF266-ERP_i)*AE266*Ramure*Pc/MaxiM</f>
        <v>1.2246123431191349E-4</v>
      </c>
      <c r="AE266" s="305">
        <f t="shared" si="92"/>
        <v>0.5</v>
      </c>
      <c r="AF266" s="177">
        <f t="shared" si="93"/>
        <v>0.98592963918721699</v>
      </c>
      <c r="AG266" s="811">
        <f t="shared" si="99"/>
        <v>2</v>
      </c>
      <c r="AH266" s="176">
        <f t="shared" si="94"/>
        <v>8</v>
      </c>
      <c r="AI266" s="225">
        <f t="shared" si="95"/>
        <v>2.985929639187217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'2026'!Wh/'2026'!Env_an*'2027'!Env_an</f>
        <v>43.07002928241269</v>
      </c>
      <c r="C267" s="841"/>
      <c r="D267" s="393">
        <f t="shared" si="77"/>
        <v>46.380576748547519</v>
      </c>
      <c r="E267" s="385">
        <f t="shared" si="100"/>
        <v>48.586734058899566</v>
      </c>
      <c r="F267" s="385">
        <f t="shared" si="78"/>
        <v>48.586783182524975</v>
      </c>
      <c r="G267" s="110">
        <f t="shared" si="101"/>
        <v>0.95011763703510554</v>
      </c>
      <c r="H267" s="414" t="b">
        <f>Wh_hp&gt;='2026'!Maxi_hp</f>
        <v>0</v>
      </c>
      <c r="I267" s="390">
        <f>IF(H267,Wh_hp,'2026'!Maxi_hp)</f>
        <v>48.586786151003643</v>
      </c>
      <c r="J267" s="85">
        <f>IF(H267,An,'2026'!An_max)</f>
        <v>2025</v>
      </c>
      <c r="K267" s="197">
        <f t="shared" si="79"/>
        <v>46640</v>
      </c>
      <c r="L267" s="147">
        <f>IF(t&lt;Tvie,1-EXP((T0-t)*PertePVj)+'2026'!Pspv,1-EXP((T0-t)*PertePVj)+Pspv)</f>
        <v>7.1377884843540795E-2</v>
      </c>
      <c r="M267" s="845"/>
      <c r="N267" s="845"/>
      <c r="O267" s="48">
        <f>IF(t&lt;Tnet,'2026'!Resal+('2026'!Salim-'2026'!Resal)*(1-EXP(('2026'!Tnet-t)/('2026'!Tau_j))),Resal+(Salim-Resal)*(1-EXP((Tnet-t)/(Tau_j))))*Salcycl</f>
        <v>4.5406577599507239E-2</v>
      </c>
      <c r="P267" s="169">
        <f>(INDEX(Models!$BJ267:$BT267,,T267)*(1-R267)+INDEX(Models!$BJ267:$BT267,,T267+1)*R267-ERP_i)*Q267*Ramure*Pc/MaxiM</f>
        <v>1.0886250092190497E-6</v>
      </c>
      <c r="Q267" s="305">
        <f t="shared" si="80"/>
        <v>0.5</v>
      </c>
      <c r="R267" s="177">
        <f t="shared" si="81"/>
        <v>0.46139967682090277</v>
      </c>
      <c r="S267" s="811">
        <f t="shared" si="82"/>
        <v>-1</v>
      </c>
      <c r="T267" s="176">
        <f t="shared" si="83"/>
        <v>5</v>
      </c>
      <c r="U267" s="251">
        <f t="shared" si="84"/>
        <v>-0.53860032317909723</v>
      </c>
      <c r="V267" s="383">
        <f t="shared" si="85"/>
        <v>45.331256112260782</v>
      </c>
      <c r="W267" s="402">
        <f t="shared" si="86"/>
        <v>43.07002928241269</v>
      </c>
      <c r="X267" s="157">
        <f t="shared" si="87"/>
        <v>46640</v>
      </c>
      <c r="Y267" s="385">
        <f t="shared" si="88"/>
        <v>41.533131338969866</v>
      </c>
      <c r="Z267" s="385">
        <f t="shared" si="89"/>
        <v>44.72554622713475</v>
      </c>
      <c r="AA267" s="386">
        <f t="shared" si="90"/>
        <v>48.580452055663557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7.9350966600966369E-2</v>
      </c>
      <c r="AD267" s="231">
        <f>(INDEX(Models!$BJ267:$BT267,,AH267)*(1-AF267)+INDEX(Models!$BJ267:$BT267,,AH267+1)*AF267-ERP_i)*AE267*Ramure*Pc/MaxiM</f>
        <v>1.4030363150542176E-4</v>
      </c>
      <c r="AE267" s="305">
        <f t="shared" si="92"/>
        <v>0.5</v>
      </c>
      <c r="AF267" s="177">
        <f t="shared" si="93"/>
        <v>0.98638724319488169</v>
      </c>
      <c r="AG267" s="811">
        <f t="shared" si="99"/>
        <v>2</v>
      </c>
      <c r="AH267" s="176">
        <f t="shared" si="94"/>
        <v>8</v>
      </c>
      <c r="AI267" s="225">
        <f t="shared" si="95"/>
        <v>2.9863872431948817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'2026'!Wh/'2026'!Env_an*'2027'!Env_an</f>
        <v>43.577090457282942</v>
      </c>
      <c r="C268" s="841"/>
      <c r="D268" s="393">
        <f t="shared" si="77"/>
        <v>46.927640659262913</v>
      </c>
      <c r="E268" s="385">
        <f t="shared" si="100"/>
        <v>49.162718808277077</v>
      </c>
      <c r="F268" s="385">
        <f t="shared" si="78"/>
        <v>49.16277362274429</v>
      </c>
      <c r="G268" s="110">
        <f t="shared" si="101"/>
        <v>0.96666456621928498</v>
      </c>
      <c r="H268" s="414" t="b">
        <f>Wh_hp&gt;='2026'!Maxi_hp</f>
        <v>0</v>
      </c>
      <c r="I268" s="390">
        <f>IF(H268,Wh_hp,'2026'!Maxi_hp)</f>
        <v>49.162775823111645</v>
      </c>
      <c r="J268" s="85">
        <f>IF(H268,An,'2026'!An_max)</f>
        <v>2025</v>
      </c>
      <c r="K268" s="197">
        <f t="shared" si="79"/>
        <v>46641</v>
      </c>
      <c r="L268" s="147">
        <f>IF(t&lt;Tvie,1-EXP((T0-t)*PertePVj)+'2026'!Pspv,1-EXP((T0-t)*PertePVj)+Pspv)</f>
        <v>7.1398224051108627E-2</v>
      </c>
      <c r="M268" s="845"/>
      <c r="N268" s="845"/>
      <c r="O268" s="48">
        <f>IF(t&lt;Tnet,'2026'!Resal+('2026'!Salim-'2026'!Resal)*(1-EXP(('2026'!Tnet-t)/('2026'!Tau_j))),Resal+(Salim-Resal)*(1-EXP((Tnet-t)/(Tau_j))))*Salcycl</f>
        <v>4.5462867050344441E-2</v>
      </c>
      <c r="P268" s="169">
        <f>(INDEX(Models!$BJ268:$BT268,,T268)*(1-R268)+INDEX(Models!$BJ268:$BT268,,T268+1)*R268-ERP_i)*Q268*Ramure*Pc/MaxiM</f>
        <v>1.1707103366071961E-6</v>
      </c>
      <c r="Q268" s="305">
        <f t="shared" si="80"/>
        <v>0.5</v>
      </c>
      <c r="R268" s="177">
        <f t="shared" si="81"/>
        <v>0.46183966211223948</v>
      </c>
      <c r="S268" s="811">
        <f t="shared" si="82"/>
        <v>-1</v>
      </c>
      <c r="T268" s="176">
        <f t="shared" si="83"/>
        <v>5</v>
      </c>
      <c r="U268" s="251">
        <f t="shared" si="84"/>
        <v>-0.53816033788776052</v>
      </c>
      <c r="V268" s="383">
        <f t="shared" si="85"/>
        <v>45.07984418858409</v>
      </c>
      <c r="W268" s="402">
        <f t="shared" si="86"/>
        <v>43.577090457282942</v>
      </c>
      <c r="X268" s="157">
        <f t="shared" si="87"/>
        <v>46641</v>
      </c>
      <c r="Y268" s="385">
        <f t="shared" si="88"/>
        <v>42.022644634158283</v>
      </c>
      <c r="Z268" s="385">
        <f t="shared" si="89"/>
        <v>45.253676788650829</v>
      </c>
      <c r="AA268" s="386">
        <f t="shared" si="90"/>
        <v>49.155159077568236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7.9370759084733275E-2</v>
      </c>
      <c r="AD268" s="231">
        <f>(INDEX(Models!$BJ268:$BT268,,AH268)*(1-AF268)+INDEX(Models!$BJ268:$BT268,,AH268+1)*AF268-ERP_i)*AE268*Ramure*Pc/MaxiM</f>
        <v>1.6262908680503887E-4</v>
      </c>
      <c r="AE268" s="305">
        <f t="shared" si="92"/>
        <v>0.5</v>
      </c>
      <c r="AF268" s="177">
        <f t="shared" si="93"/>
        <v>0.98682722848621829</v>
      </c>
      <c r="AG268" s="811">
        <f t="shared" si="99"/>
        <v>2</v>
      </c>
      <c r="AH268" s="176">
        <f t="shared" si="94"/>
        <v>8</v>
      </c>
      <c r="AI268" s="225">
        <f t="shared" si="95"/>
        <v>2.9868272284862183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'2026'!Wh/'2026'!Env_an*'2027'!Env_an</f>
        <v>30.519660900006141</v>
      </c>
      <c r="C269" s="841"/>
      <c r="D269" s="393">
        <f t="shared" si="77"/>
        <v>32.866972866125089</v>
      </c>
      <c r="E269" s="385">
        <f t="shared" si="100"/>
        <v>34.434383060844546</v>
      </c>
      <c r="F269" s="385">
        <f t="shared" si="78"/>
        <v>34.434407345257462</v>
      </c>
      <c r="G269" s="110">
        <f t="shared" si="101"/>
        <v>0.68087074826071181</v>
      </c>
      <c r="H269" s="414" t="b">
        <f>Wh_hp&gt;='2026'!Maxi_hp</f>
        <v>0</v>
      </c>
      <c r="I269" s="390">
        <f>IF(H269,Wh_hp,'2026'!Maxi_hp)</f>
        <v>50.761032411385656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7.1418562813195474E-2</v>
      </c>
      <c r="M269" s="845"/>
      <c r="N269" s="845"/>
      <c r="O269" s="48">
        <f>IF(t&lt;Tnet,'2026'!Resal+('2026'!Salim-'2026'!Resal)*(1-EXP(('2026'!Tnet-t)/('2026'!Tau_j))),Resal+(Salim-Resal)*(1-EXP((Tnet-t)/(Tau_j))))*Salcycl</f>
        <v>4.5518753507210741E-2</v>
      </c>
      <c r="P269" s="169">
        <f>(INDEX(Models!$BJ269:$BT269,,T269)*(1-R269)+INDEX(Models!$BJ269:$BT269,,T269+1)*R269-ERP_i)*Q269*Ramure*Pc/MaxiM</f>
        <v>1.2961490864954534E-6</v>
      </c>
      <c r="Q269" s="305">
        <f t="shared" si="80"/>
        <v>0.5</v>
      </c>
      <c r="R269" s="177">
        <f t="shared" si="81"/>
        <v>0.46226267649382646</v>
      </c>
      <c r="S269" s="811">
        <f t="shared" si="82"/>
        <v>-1</v>
      </c>
      <c r="T269" s="176">
        <f t="shared" si="83"/>
        <v>5</v>
      </c>
      <c r="U269" s="251">
        <f t="shared" si="84"/>
        <v>-0.53773732350617354</v>
      </c>
      <c r="V269" s="383">
        <f t="shared" si="85"/>
        <v>44.824429516930927</v>
      </c>
      <c r="W269" s="402">
        <f t="shared" si="86"/>
        <v>30.519660900006141</v>
      </c>
      <c r="X269" s="157">
        <f t="shared" si="87"/>
        <v>46642</v>
      </c>
      <c r="Y269" s="385">
        <f t="shared" si="88"/>
        <v>29.433623806004796</v>
      </c>
      <c r="Z269" s="385">
        <f t="shared" si="89"/>
        <v>31.697407063375937</v>
      </c>
      <c r="AA269" s="386">
        <f t="shared" si="90"/>
        <v>34.430872131967178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7.9389945689274877E-2</v>
      </c>
      <c r="AD269" s="231">
        <f>(INDEX(Models!$BJ269:$BT269,,AH269)*(1-AF269)+INDEX(Models!$BJ269:$BT269,,AH269+1)*AF269-ERP_i)*AE269*Ramure*Pc/MaxiM</f>
        <v>1.8868743061200758E-4</v>
      </c>
      <c r="AE269" s="305">
        <f t="shared" si="92"/>
        <v>0.5</v>
      </c>
      <c r="AF269" s="177">
        <f t="shared" si="93"/>
        <v>0.98725024286780538</v>
      </c>
      <c r="AG269" s="811">
        <f t="shared" si="99"/>
        <v>2</v>
      </c>
      <c r="AH269" s="176">
        <f t="shared" si="94"/>
        <v>8</v>
      </c>
      <c r="AI269" s="225">
        <f t="shared" si="95"/>
        <v>2.9872502428678054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'2026'!Wh/'2026'!Env_an*'2027'!Env_an</f>
        <v>10.821918067964148</v>
      </c>
      <c r="C270" s="841"/>
      <c r="D270" s="393">
        <f t="shared" si="77"/>
        <v>11.654502952074493</v>
      </c>
      <c r="E270" s="385">
        <f t="shared" si="100"/>
        <v>12.211010256614248</v>
      </c>
      <c r="F270" s="385">
        <f t="shared" si="78"/>
        <v>12.211010256614248</v>
      </c>
      <c r="G270" s="110">
        <f t="shared" si="101"/>
        <v>0.2428319652285123</v>
      </c>
      <c r="H270" s="414" t="b">
        <f>Wh_hp&gt;='2026'!Maxi_hp</f>
        <v>0</v>
      </c>
      <c r="I270" s="390">
        <f>IF(H270,Wh_hp,'2026'!Maxi_hp)</f>
        <v>48.245201516580117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7.1438901129811327E-2</v>
      </c>
      <c r="M270" s="845"/>
      <c r="N270" s="845"/>
      <c r="O270" s="48">
        <f>IF(t&lt;Tnet,'2026'!Resal+('2026'!Salim-'2026'!Resal)*(1-EXP(('2026'!Tnet-t)/('2026'!Tau_j))),Resal+(Salim-Resal)*(1-EXP((Tnet-t)/(Tau_j))))*Salcycl</f>
        <v>4.5574223004056155E-2</v>
      </c>
      <c r="P270" s="169">
        <f>(INDEX(Models!$BJ270:$BT270,,T270)*(1-R270)+INDEX(Models!$BJ270:$BT270,,T270+1)*R270-ERP_i)*Q270*Ramure*Pc/MaxiM</f>
        <v>1.4655780348267625E-6</v>
      </c>
      <c r="Q270" s="305">
        <f t="shared" si="80"/>
        <v>0.5</v>
      </c>
      <c r="R270" s="177">
        <f t="shared" si="81"/>
        <v>0.4626693463220366</v>
      </c>
      <c r="S270" s="811">
        <f t="shared" si="82"/>
        <v>-1</v>
      </c>
      <c r="T270" s="176">
        <f t="shared" si="83"/>
        <v>5</v>
      </c>
      <c r="U270" s="251">
        <f t="shared" si="84"/>
        <v>-0.5373306536779634</v>
      </c>
      <c r="V270" s="383">
        <f t="shared" si="85"/>
        <v>44.56539400574794</v>
      </c>
      <c r="W270" s="402">
        <f t="shared" si="86"/>
        <v>10.821918067964148</v>
      </c>
      <c r="X270" s="157">
        <f t="shared" si="87"/>
        <v>46643</v>
      </c>
      <c r="Y270" s="385">
        <f t="shared" si="88"/>
        <v>10.438282355424057</v>
      </c>
      <c r="Z270" s="385">
        <f t="shared" si="89"/>
        <v>11.241352204098002</v>
      </c>
      <c r="AA270" s="386">
        <f t="shared" si="90"/>
        <v>12.211010256614248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7.9408503648665682E-2</v>
      </c>
      <c r="AD270" s="231">
        <f>(INDEX(Models!$BJ270:$BT270,,AH270)*(1-AF270)+INDEX(Models!$BJ270:$BT270,,AH270+1)*AF270-ERP_i)*AE270*Ramure*Pc/MaxiM</f>
        <v>2.1853085675741071E-4</v>
      </c>
      <c r="AE270" s="305">
        <f t="shared" si="92"/>
        <v>0.5</v>
      </c>
      <c r="AF270" s="177">
        <f t="shared" si="93"/>
        <v>0.98765691269601552</v>
      </c>
      <c r="AG270" s="811">
        <f t="shared" si="99"/>
        <v>2</v>
      </c>
      <c r="AH270" s="176">
        <f t="shared" si="94"/>
        <v>8</v>
      </c>
      <c r="AI270" s="225">
        <f t="shared" si="95"/>
        <v>2.9876569126960155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'2026'!Wh/'2026'!Env_an*'2027'!Env_an</f>
        <v>35.912576925197889</v>
      </c>
      <c r="C271" s="841"/>
      <c r="D271" s="393">
        <f t="shared" ref="D271:D334" si="102">Wh/(1-Ppv)</f>
        <v>38.676360191833567</v>
      </c>
      <c r="E271" s="385">
        <f t="shared" si="100"/>
        <v>40.525509232781189</v>
      </c>
      <c r="F271" s="385">
        <f t="shared" ref="F271:F334" si="103">Wh_sa/(1-Pvg*MEDIAN((-Sdif+Wh/Env_an)/Csdif,0,1))</f>
        <v>40.525558884938114</v>
      </c>
      <c r="G271" s="110">
        <f t="shared" si="101"/>
        <v>0.81061020212269586</v>
      </c>
      <c r="H271" s="414" t="b">
        <f>Wh_hp&gt;='2026'!Maxi_hp</f>
        <v>0</v>
      </c>
      <c r="I271" s="390">
        <f>IF(H271,Wh_hp,'2026'!Maxi_hp)</f>
        <v>47.954871485084247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7.1459239000965846E-2</v>
      </c>
      <c r="M271" s="845"/>
      <c r="N271" s="845"/>
      <c r="O271" s="48">
        <f>IF(t&lt;Tnet,'2026'!Resal+('2026'!Salim-'2026'!Resal)*(1-EXP(('2026'!Tnet-t)/('2026'!Tau_j))),Resal+(Salim-Resal)*(1-EXP((Tnet-t)/(Tau_j))))*Salcycl</f>
        <v>4.5629261074203592E-2</v>
      </c>
      <c r="P271" s="169">
        <f>(INDEX(Models!$BJ271:$BT271,,T271)*(1-R271)+INDEX(Models!$BJ271:$BT271,,T271+1)*R271-ERP_i)*Q271*Ramure*Pc/MaxiM</f>
        <v>1.6796443959051015E-6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0.46306027702647212</v>
      </c>
      <c r="S271" s="811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-0.53693972297352788</v>
      </c>
      <c r="V271" s="383">
        <f t="shared" ref="V271:V334" si="110">MaxiM*(1-Ppv)*(1-Pvg)*(1-Psa)</f>
        <v>44.303119441478948</v>
      </c>
      <c r="W271" s="402">
        <f t="shared" ref="W271:W334" si="111">Wh*(A271&gt;Tmaj)</f>
        <v>35.912576925197889</v>
      </c>
      <c r="X271" s="157">
        <f t="shared" ref="X271:X334" si="112">t</f>
        <v>46644</v>
      </c>
      <c r="Y271" s="385">
        <f t="shared" ref="Y271:Y334" si="113">Wh_pvt_s*(1-Ppv)</f>
        <v>34.634473594464041</v>
      </c>
      <c r="Z271" s="385">
        <f t="shared" ref="Z271:Z334" si="114">Wh_sa_s*(1-Psa_s)</f>
        <v>37.299895760311237</v>
      </c>
      <c r="AA271" s="386">
        <f t="shared" ref="AA271:AA334" si="115">Wh_hp*(1-Pvg_s*MEDIAN((-Sdif+Wh/Env_an)/Csdif,0,1))</f>
        <v>40.518103214735717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7.9426409409364254E-2</v>
      </c>
      <c r="AD271" s="231">
        <f>(INDEX(Models!$BJ271:$BT271,,AH271)*(1-AF271)+INDEX(Models!$BJ271:$BT271,,AH271+1)*AF271-ERP_i)*AE271*Ramure*Pc/MaxiM</f>
        <v>2.5221209808383492E-4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0.98804784340045115</v>
      </c>
      <c r="AG271" s="811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2.9880478434004512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'2026'!Wh/'2026'!Env_an*'2027'!Env_an</f>
        <v>39.447925022601851</v>
      </c>
      <c r="C272" s="841"/>
      <c r="D272" s="393">
        <f t="shared" si="102"/>
        <v>42.484714413485804</v>
      </c>
      <c r="E272" s="385">
        <f t="shared" si="100"/>
        <v>44.518490582623379</v>
      </c>
      <c r="F272" s="385">
        <f t="shared" si="103"/>
        <v>44.518564050972778</v>
      </c>
      <c r="G272" s="110">
        <f t="shared" si="101"/>
        <v>0.89577012674347767</v>
      </c>
      <c r="H272" s="414" t="b">
        <f>Wh_hp&gt;='2026'!Maxi_hp</f>
        <v>0</v>
      </c>
      <c r="I272" s="390">
        <f>IF(H272,Wh_hp,'2026'!Maxi_hp)</f>
        <v>48.916978336718785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7.1479576426668689E-2</v>
      </c>
      <c r="M272" s="845"/>
      <c r="N272" s="845"/>
      <c r="O272" s="48">
        <f>IF(t&lt;Tnet,'2026'!Resal+('2026'!Salim-'2026'!Resal)*(1-EXP(('2026'!Tnet-t)/('2026'!Tau_j))),Resal+(Salim-Resal)*(1-EXP((Tnet-t)/(Tau_j))))*Salcycl</f>
        <v>4.5683852765920296E-2</v>
      </c>
      <c r="P272" s="169">
        <f>(INDEX(Models!$BJ272:$BT272,,T272)*(1-R272)+INDEX(Models!$BJ272:$BT272,,T272+1)*R272-ERP_i)*Q272*Ramure*Pc/MaxiM</f>
        <v>1.939002029396691E-6</v>
      </c>
      <c r="Q272" s="305">
        <f t="shared" si="105"/>
        <v>0.5</v>
      </c>
      <c r="R272" s="177">
        <f t="shared" si="106"/>
        <v>0.46343605363637019</v>
      </c>
      <c r="S272" s="811">
        <f t="shared" si="107"/>
        <v>-1</v>
      </c>
      <c r="T272" s="176">
        <f t="shared" si="108"/>
        <v>5</v>
      </c>
      <c r="U272" s="251">
        <f t="shared" si="109"/>
        <v>-0.53656394636362981</v>
      </c>
      <c r="V272" s="383">
        <f t="shared" si="110"/>
        <v>44.037987487630815</v>
      </c>
      <c r="W272" s="402">
        <f t="shared" si="111"/>
        <v>39.447925022601851</v>
      </c>
      <c r="X272" s="157">
        <f t="shared" si="112"/>
        <v>46645</v>
      </c>
      <c r="Y272" s="385">
        <f t="shared" si="113"/>
        <v>38.04309715780925</v>
      </c>
      <c r="Z272" s="385">
        <f t="shared" si="114"/>
        <v>40.971739761419194</v>
      </c>
      <c r="AA272" s="386">
        <f t="shared" si="115"/>
        <v>44.507584198118764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7.9443638660779609E-2</v>
      </c>
      <c r="AD272" s="231">
        <f>(INDEX(Models!$BJ272:$BT272,,AH272)*(1-AF272)+INDEX(Models!$BJ272:$BT272,,AH272+1)*AF272-ERP_i)*AE272*Ramure*Pc/MaxiM</f>
        <v>2.8978406538165031E-4</v>
      </c>
      <c r="AE272" s="305">
        <f t="shared" si="117"/>
        <v>0.5</v>
      </c>
      <c r="AF272" s="177">
        <f t="shared" si="118"/>
        <v>0.98842362001034889</v>
      </c>
      <c r="AG272" s="811">
        <f t="shared" ref="AG272:AG335" si="124">INDEX(Echel_vg,AH272)</f>
        <v>2</v>
      </c>
      <c r="AH272" s="176">
        <f t="shared" si="119"/>
        <v>8</v>
      </c>
      <c r="AI272" s="225">
        <f t="shared" si="120"/>
        <v>2.9884236200103489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'2026'!Wh/'2026'!Env_an*'2027'!Env_an</f>
        <v>26.264935904368883</v>
      </c>
      <c r="C273" s="841"/>
      <c r="D273" s="393">
        <f t="shared" si="102"/>
        <v>28.287488912082253</v>
      </c>
      <c r="E273" s="385">
        <f t="shared" si="100"/>
        <v>29.643314308045447</v>
      </c>
      <c r="F273" s="385">
        <f t="shared" si="103"/>
        <v>29.6433428262565</v>
      </c>
      <c r="G273" s="110">
        <f t="shared" si="101"/>
        <v>0.60006110102707511</v>
      </c>
      <c r="H273" s="414" t="b">
        <f>Wh_hp&gt;='2026'!Maxi_hp</f>
        <v>0</v>
      </c>
      <c r="I273" s="390">
        <f>IF(H273,Wh_hp,'2026'!Maxi_hp)</f>
        <v>46.225866499783969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7.1499913406929849E-2</v>
      </c>
      <c r="M273" s="845"/>
      <c r="N273" s="845"/>
      <c r="O273" s="48">
        <f>IF(t&lt;Tnet,'2026'!Resal+('2026'!Salim-'2026'!Resal)*(1-EXP(('2026'!Tnet-t)/('2026'!Tau_j))),Resal+(Salim-Resal)*(1-EXP((Tnet-t)/(Tau_j))))*Salcycl</f>
        <v>4.573798266529229E-2</v>
      </c>
      <c r="P273" s="169">
        <f>(INDEX(Models!$BJ273:$BT273,,T273)*(1-R273)+INDEX(Models!$BJ273:$BT273,,T273+1)*R273-ERP_i)*Q273*Ramure*Pc/MaxiM</f>
        <v>2.2443073404855428E-6</v>
      </c>
      <c r="Q273" s="305">
        <f t="shared" si="105"/>
        <v>0.5</v>
      </c>
      <c r="R273" s="177">
        <f t="shared" si="106"/>
        <v>0.46379724130826583</v>
      </c>
      <c r="S273" s="811">
        <f t="shared" si="107"/>
        <v>-1</v>
      </c>
      <c r="T273" s="176">
        <f t="shared" si="108"/>
        <v>5</v>
      </c>
      <c r="U273" s="251">
        <f t="shared" si="109"/>
        <v>-0.53620275869173417</v>
      </c>
      <c r="V273" s="383">
        <f t="shared" si="110"/>
        <v>43.77037968437925</v>
      </c>
      <c r="W273" s="402">
        <f t="shared" si="111"/>
        <v>26.264935904368883</v>
      </c>
      <c r="X273" s="157">
        <f t="shared" si="112"/>
        <v>46646</v>
      </c>
      <c r="Y273" s="385">
        <f t="shared" si="113"/>
        <v>25.333198768996169</v>
      </c>
      <c r="Z273" s="385">
        <f t="shared" si="114"/>
        <v>27.28400259169695</v>
      </c>
      <c r="AA273" s="386">
        <f t="shared" si="115"/>
        <v>29.63913303387832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7.9460166378327965E-2</v>
      </c>
      <c r="AD273" s="231">
        <f>(INDEX(Models!$BJ273:$BT273,,AH273)*(1-AF273)+INDEX(Models!$BJ273:$BT273,,AH273+1)*AF273-ERP_i)*AE273*Ramure*Pc/MaxiM</f>
        <v>3.3129946050950522E-4</v>
      </c>
      <c r="AE273" s="305">
        <f t="shared" si="117"/>
        <v>0.5</v>
      </c>
      <c r="AF273" s="177">
        <f t="shared" si="118"/>
        <v>0.98878480768224453</v>
      </c>
      <c r="AG273" s="811">
        <f t="shared" si="124"/>
        <v>2</v>
      </c>
      <c r="AH273" s="176">
        <f t="shared" si="119"/>
        <v>8</v>
      </c>
      <c r="AI273" s="225">
        <f t="shared" si="120"/>
        <v>2.9887848076822445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'2026'!Wh/'2026'!Env_an*'2027'!Env_an</f>
        <v>45.421923162978125</v>
      </c>
      <c r="C274" s="841"/>
      <c r="D274" s="393">
        <f t="shared" si="102"/>
        <v>48.920747232375206</v>
      </c>
      <c r="E274" s="385">
        <f t="shared" si="100"/>
        <v>51.268411620582221</v>
      </c>
      <c r="F274" s="385">
        <f t="shared" si="103"/>
        <v>51.268544724739876</v>
      </c>
      <c r="G274" s="110">
        <f t="shared" si="101"/>
        <v>1.0441658803409344</v>
      </c>
      <c r="H274" s="414" t="b">
        <f>Wh_hp&gt;='2026'!Maxi_hp</f>
        <v>1</v>
      </c>
      <c r="I274" s="390">
        <f>IF(H274,Wh_hp,'2026'!Maxi_hp)</f>
        <v>51.268544724739876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7.1520249941758873E-2</v>
      </c>
      <c r="M274" s="845"/>
      <c r="N274" s="845"/>
      <c r="O274" s="48">
        <f>IF(t&lt;Tnet,'2026'!Resal+('2026'!Salim-'2026'!Resal)*(1-EXP(('2026'!Tnet-t)/('2026'!Tau_j))),Resal+(Salim-Resal)*(1-EXP((Tnet-t)/(Tau_j))))*Salcycl</f>
        <v>4.5791634926807816E-2</v>
      </c>
      <c r="P274" s="169">
        <f>(INDEX(Models!$BJ274:$BT274,,T274)*(1-R274)+INDEX(Models!$BJ274:$BT274,,T274+1)*R274-ERP_i)*Q274*Ramure*Pc/MaxiM</f>
        <v>2.5962148597758204E-6</v>
      </c>
      <c r="Q274" s="305">
        <f t="shared" si="105"/>
        <v>0.5</v>
      </c>
      <c r="R274" s="177">
        <f t="shared" si="106"/>
        <v>0.46414438585336415</v>
      </c>
      <c r="S274" s="811">
        <f t="shared" si="107"/>
        <v>-1</v>
      </c>
      <c r="T274" s="176">
        <f t="shared" si="108"/>
        <v>5</v>
      </c>
      <c r="U274" s="251">
        <f t="shared" si="109"/>
        <v>-0.53585561414663585</v>
      </c>
      <c r="V274" s="383">
        <f t="shared" si="110"/>
        <v>43.500677448057637</v>
      </c>
      <c r="W274" s="402">
        <f t="shared" si="111"/>
        <v>45.421923162978125</v>
      </c>
      <c r="X274" s="157">
        <f t="shared" si="112"/>
        <v>46647</v>
      </c>
      <c r="Y274" s="385">
        <f t="shared" si="113"/>
        <v>43.802094762399868</v>
      </c>
      <c r="Z274" s="385">
        <f t="shared" si="114"/>
        <v>47.176144401266988</v>
      </c>
      <c r="AA274" s="386">
        <f t="shared" si="115"/>
        <v>51.249226205804689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7.9475966879600735E-2</v>
      </c>
      <c r="AD274" s="231">
        <f>(INDEX(Models!$BJ274:$BT274,,AH274)*(1-AF274)+INDEX(Models!$BJ274:$BT274,,AH274+1)*AF274-ERP_i)*AE274*Ramure*Pc/MaxiM</f>
        <v>3.768103627459149E-4</v>
      </c>
      <c r="AE274" s="305">
        <f t="shared" si="117"/>
        <v>0.5</v>
      </c>
      <c r="AF274" s="177">
        <f t="shared" si="118"/>
        <v>0.98913195222734318</v>
      </c>
      <c r="AG274" s="811">
        <f t="shared" si="124"/>
        <v>2</v>
      </c>
      <c r="AH274" s="176">
        <f t="shared" si="119"/>
        <v>8</v>
      </c>
      <c r="AI274" s="225">
        <f t="shared" si="120"/>
        <v>2.9891319522273432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'2026'!Wh/'2026'!Env_an*'2027'!Env_an</f>
        <v>43.916877831274427</v>
      </c>
      <c r="C275" s="841"/>
      <c r="D275" s="393">
        <f t="shared" si="102"/>
        <v>47.300805151563239</v>
      </c>
      <c r="E275" s="385">
        <f t="shared" si="100"/>
        <v>49.573491629050089</v>
      </c>
      <c r="F275" s="385">
        <f t="shared" si="103"/>
        <v>49.573640129498479</v>
      </c>
      <c r="G275" s="110">
        <f t="shared" si="101"/>
        <v>1.0159673549059565</v>
      </c>
      <c r="H275" s="414" t="b">
        <f>Wh_hp&gt;='2026'!Maxi_hp</f>
        <v>1</v>
      </c>
      <c r="I275" s="390">
        <f>IF(H275,Wh_hp,'2026'!Maxi_hp)</f>
        <v>49.573640129498479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7.1540586031165643E-2</v>
      </c>
      <c r="M275" s="845"/>
      <c r="N275" s="845"/>
      <c r="O275" s="48">
        <f>IF(t&lt;Tnet,'2026'!Resal+('2026'!Salim-'2026'!Resal)*(1-EXP(('2026'!Tnet-t)/('2026'!Tau_j))),Resal+(Salim-Resal)*(1-EXP((Tnet-t)/(Tau_j))))*Salcycl</f>
        <v>4.5844793311977543E-2</v>
      </c>
      <c r="P275" s="169">
        <f>(INDEX(Models!$BJ275:$BT275,,T275)*(1-R275)+INDEX(Models!$BJ275:$BT275,,T275+1)*R275-ERP_i)*Q275*Ramure*Pc/MaxiM</f>
        <v>2.9955526365053347E-6</v>
      </c>
      <c r="Q275" s="305">
        <f t="shared" si="105"/>
        <v>0.5</v>
      </c>
      <c r="R275" s="177">
        <f t="shared" si="106"/>
        <v>0.46447801426322199</v>
      </c>
      <c r="S275" s="811">
        <f t="shared" si="107"/>
        <v>-1</v>
      </c>
      <c r="T275" s="176">
        <f t="shared" si="108"/>
        <v>5</v>
      </c>
      <c r="U275" s="251">
        <f t="shared" si="109"/>
        <v>-0.53552198573677801</v>
      </c>
      <c r="V275" s="383">
        <f t="shared" si="110"/>
        <v>43.226662371784187</v>
      </c>
      <c r="W275" s="402">
        <f t="shared" si="111"/>
        <v>43.916877831274427</v>
      </c>
      <c r="X275" s="157">
        <f t="shared" si="112"/>
        <v>46648</v>
      </c>
      <c r="Y275" s="385">
        <f t="shared" si="113"/>
        <v>42.350305399818332</v>
      </c>
      <c r="Z275" s="385">
        <f t="shared" si="114"/>
        <v>45.613523609810592</v>
      </c>
      <c r="AA275" s="386">
        <f t="shared" si="115"/>
        <v>49.552502255055835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7.9491013894123788E-2</v>
      </c>
      <c r="AD275" s="231">
        <f>(INDEX(Models!$BJ275:$BT275,,AH275)*(1-AF275)+INDEX(Models!$BJ275:$BT275,,AH275+1)*AF275-ERP_i)*AE275*Ramure*Pc/MaxiM</f>
        <v>4.2639342980306684E-4</v>
      </c>
      <c r="AE275" s="305">
        <f t="shared" si="117"/>
        <v>0.5</v>
      </c>
      <c r="AF275" s="177">
        <f t="shared" si="118"/>
        <v>0.98946558063720103</v>
      </c>
      <c r="AG275" s="811">
        <f t="shared" si="124"/>
        <v>2</v>
      </c>
      <c r="AH275" s="176">
        <f t="shared" si="119"/>
        <v>8</v>
      </c>
      <c r="AI275" s="225">
        <f t="shared" si="120"/>
        <v>2.989465580637201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'2026'!Wh/'2026'!Env_an*'2027'!Env_an</f>
        <v>42.785823410977201</v>
      </c>
      <c r="C276" s="841"/>
      <c r="D276" s="393">
        <f t="shared" si="102"/>
        <v>46.083608940906075</v>
      </c>
      <c r="E276" s="385">
        <f t="shared" si="100"/>
        <v>48.300477257514935</v>
      </c>
      <c r="F276" s="385">
        <f t="shared" si="103"/>
        <v>48.30065668004584</v>
      </c>
      <c r="G276" s="110">
        <f t="shared" si="101"/>
        <v>0.99626195869745415</v>
      </c>
      <c r="H276" s="414" t="b">
        <f>Wh_hp&gt;='2026'!Maxi_hp</f>
        <v>0</v>
      </c>
      <c r="I276" s="390">
        <f>IF(H276,Wh_hp,'2026'!Maxi_hp)</f>
        <v>48.300657515214404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7.1560921675159817E-2</v>
      </c>
      <c r="M276" s="845"/>
      <c r="N276" s="845"/>
      <c r="O276" s="48">
        <f>IF(t&lt;Tnet,'2026'!Resal+('2026'!Salim-'2026'!Resal)*(1-EXP(('2026'!Tnet-t)/('2026'!Tau_j))),Resal+(Salim-Resal)*(1-EXP((Tnet-t)/(Tau_j))))*Salcycl</f>
        <v>4.5897441236234189E-2</v>
      </c>
      <c r="P276" s="169">
        <f>(INDEX(Models!$BJ276:$BT276,,T276)*(1-R276)+INDEX(Models!$BJ276:$BT276,,T276+1)*R276-ERP_i)*Q276*Ramure*Pc/MaxiM</f>
        <v>3.7346448056418811E-6</v>
      </c>
      <c r="Q276" s="305">
        <f t="shared" si="105"/>
        <v>0.5</v>
      </c>
      <c r="R276" s="177">
        <f t="shared" si="106"/>
        <v>0.46479863523248355</v>
      </c>
      <c r="S276" s="811">
        <f t="shared" si="107"/>
        <v>-1</v>
      </c>
      <c r="T276" s="176">
        <f t="shared" si="108"/>
        <v>5</v>
      </c>
      <c r="U276" s="251">
        <f t="shared" si="109"/>
        <v>-0.53520136476751645</v>
      </c>
      <c r="V276" s="383">
        <f t="shared" si="110"/>
        <v>42.946357817005207</v>
      </c>
      <c r="W276" s="402">
        <f t="shared" si="111"/>
        <v>42.785823410977201</v>
      </c>
      <c r="X276" s="157">
        <f t="shared" si="112"/>
        <v>46649</v>
      </c>
      <c r="Y276" s="385">
        <f t="shared" si="113"/>
        <v>41.259145570093352</v>
      </c>
      <c r="Z276" s="385">
        <f t="shared" si="114"/>
        <v>44.43925997227111</v>
      </c>
      <c r="AA276" s="386">
        <f t="shared" si="115"/>
        <v>48.277582736714244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7.9505280647039531E-2</v>
      </c>
      <c r="AD276" s="231">
        <f>(INDEX(Models!$BJ276:$BT276,,AH276)*(1-AF276)+INDEX(Models!$BJ276:$BT276,,AH276+1)*AF276-ERP_i)*AE276*Ramure*Pc/MaxiM</f>
        <v>4.8027960689078683E-4</v>
      </c>
      <c r="AE276" s="305">
        <f t="shared" si="117"/>
        <v>0.5</v>
      </c>
      <c r="AF276" s="177">
        <f t="shared" si="118"/>
        <v>0.98978620160646269</v>
      </c>
      <c r="AG276" s="811">
        <f t="shared" si="124"/>
        <v>2</v>
      </c>
      <c r="AH276" s="176">
        <f t="shared" si="119"/>
        <v>8</v>
      </c>
      <c r="AI276" s="225">
        <f t="shared" si="120"/>
        <v>2.9897862016064627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'2026'!Wh/'2026'!Env_an*'2027'!Env_an</f>
        <v>44.076606854039206</v>
      </c>
      <c r="C277" s="841"/>
      <c r="D277" s="393">
        <f t="shared" si="102"/>
        <v>47.474921397666733</v>
      </c>
      <c r="E277" s="385">
        <f t="shared" si="100"/>
        <v>49.761437653594932</v>
      </c>
      <c r="F277" s="385">
        <f t="shared" si="103"/>
        <v>49.761676374869346</v>
      </c>
      <c r="G277" s="110">
        <f t="shared" si="101"/>
        <v>1.0331941405201952</v>
      </c>
      <c r="H277" s="414" t="b">
        <f>Wh_hp&gt;='2026'!Maxi_hp</f>
        <v>0</v>
      </c>
      <c r="I277" s="390">
        <f>IF(H277,Wh_hp,'2026'!Maxi_hp)</f>
        <v>49.76167637486936</v>
      </c>
      <c r="J277" s="85">
        <f>IF(H277,An,'2026'!An_max)</f>
        <v>2022</v>
      </c>
      <c r="K277" s="197">
        <f t="shared" si="104"/>
        <v>46650</v>
      </c>
      <c r="L277" s="147">
        <f>IF(t&lt;Tvie,1-EXP((T0-t)*PertePVj)+'2026'!Pspv,1-EXP((T0-t)*PertePVj)+Pspv)</f>
        <v>7.1581256873751165E-2</v>
      </c>
      <c r="M277" s="845"/>
      <c r="N277" s="845"/>
      <c r="O277" s="48">
        <f>IF(t&lt;Tnet,'2026'!Resal+('2026'!Salim-'2026'!Resal)*(1-EXP(('2026'!Tnet-t)/('2026'!Tau_j))),Resal+(Salim-Resal)*(1-EXP((Tnet-t)/(Tau_j))))*Salcycl</f>
        <v>4.5949561824265531E-2</v>
      </c>
      <c r="P277" s="169">
        <f>(INDEX(Models!$BJ277:$BT277,,T277)*(1-R277)+INDEX(Models!$BJ277:$BT277,,T277+1)*R277-ERP_i)*Q277*Ramure*Pc/MaxiM</f>
        <v>4.797291647076236E-6</v>
      </c>
      <c r="Q277" s="305">
        <f t="shared" si="105"/>
        <v>0.5</v>
      </c>
      <c r="R277" s="177">
        <f t="shared" si="106"/>
        <v>0.46510673967754235</v>
      </c>
      <c r="S277" s="811">
        <f t="shared" si="107"/>
        <v>-1</v>
      </c>
      <c r="T277" s="176">
        <f t="shared" si="108"/>
        <v>5</v>
      </c>
      <c r="U277" s="251">
        <f t="shared" si="109"/>
        <v>-0.53489326032245765</v>
      </c>
      <c r="V277" s="383">
        <f t="shared" si="110"/>
        <v>42.660527315657639</v>
      </c>
      <c r="W277" s="402">
        <f t="shared" si="111"/>
        <v>44.076606854039206</v>
      </c>
      <c r="X277" s="157">
        <f t="shared" si="112"/>
        <v>46650</v>
      </c>
      <c r="Y277" s="385">
        <f t="shared" si="113"/>
        <v>42.503098099320454</v>
      </c>
      <c r="Z277" s="385">
        <f t="shared" si="114"/>
        <v>45.780094826824033</v>
      </c>
      <c r="AA277" s="386">
        <f t="shared" si="115"/>
        <v>49.734955847639689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7.9518739956885687E-2</v>
      </c>
      <c r="AD277" s="231">
        <f>(INDEX(Models!$BJ277:$BT277,,AH277)*(1-AF277)+INDEX(Models!$BJ277:$BT277,,AH277+1)*AF277-ERP_i)*AE277*Ramure*Pc/MaxiM</f>
        <v>5.3696999732006701E-4</v>
      </c>
      <c r="AE277" s="305">
        <f t="shared" si="117"/>
        <v>0.5</v>
      </c>
      <c r="AF277" s="177">
        <f t="shared" si="118"/>
        <v>0.99009430605152104</v>
      </c>
      <c r="AG277" s="811">
        <f t="shared" si="124"/>
        <v>2</v>
      </c>
      <c r="AH277" s="176">
        <f t="shared" si="119"/>
        <v>8</v>
      </c>
      <c r="AI277" s="225">
        <f t="shared" si="120"/>
        <v>2.990094306051521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'2026'!Wh/'2026'!Env_an*'2027'!Env_an</f>
        <v>43.003277661768628</v>
      </c>
      <c r="C278" s="841"/>
      <c r="D278" s="393">
        <f t="shared" si="102"/>
        <v>46.31985284973581</v>
      </c>
      <c r="E278" s="385">
        <f t="shared" si="100"/>
        <v>48.553362790558182</v>
      </c>
      <c r="F278" s="385">
        <f t="shared" si="103"/>
        <v>48.553663283529346</v>
      </c>
      <c r="G278" s="110">
        <f t="shared" si="101"/>
        <v>1.0149479691071772</v>
      </c>
      <c r="H278" s="414" t="b">
        <f>Wh_hp&gt;='2026'!Maxi_hp</f>
        <v>1</v>
      </c>
      <c r="I278" s="390">
        <f>IF(H278,Wh_hp,'2026'!Maxi_hp)</f>
        <v>48.553663283529346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7.1601591626949568E-2</v>
      </c>
      <c r="M278" s="845"/>
      <c r="N278" s="845"/>
      <c r="O278" s="48">
        <f>IF(t&lt;Tnet,'2026'!Resal+('2026'!Salim-'2026'!Resal)*(1-EXP(('2026'!Tnet-t)/('2026'!Tau_j))),Resal+(Salim-Resal)*(1-EXP((Tnet-t)/(Tau_j))))*Salcycl</f>
        <v>4.6001137973839833E-2</v>
      </c>
      <c r="P278" s="169">
        <f>(INDEX(Models!$BJ278:$BT278,,T278)*(1-R278)+INDEX(Models!$BJ278:$BT278,,T278+1)*R278-ERP_i)*Q278*Ramure*Pc/MaxiM</f>
        <v>6.1888836155146315E-6</v>
      </c>
      <c r="Q278" s="305">
        <f t="shared" si="105"/>
        <v>0.5</v>
      </c>
      <c r="R278" s="177">
        <f t="shared" si="106"/>
        <v>0.46540280125013</v>
      </c>
      <c r="S278" s="811">
        <f t="shared" si="107"/>
        <v>-1</v>
      </c>
      <c r="T278" s="176">
        <f t="shared" si="108"/>
        <v>5</v>
      </c>
      <c r="U278" s="251">
        <f t="shared" si="109"/>
        <v>-0.53459719874987</v>
      </c>
      <c r="V278" s="383">
        <f t="shared" si="110"/>
        <v>42.369933209086057</v>
      </c>
      <c r="W278" s="402">
        <f t="shared" si="111"/>
        <v>43.003277661768628</v>
      </c>
      <c r="X278" s="157">
        <f t="shared" si="112"/>
        <v>46651</v>
      </c>
      <c r="Y278" s="385">
        <f t="shared" si="113"/>
        <v>41.467346729465739</v>
      </c>
      <c r="Z278" s="385">
        <f t="shared" si="114"/>
        <v>44.665465123032902</v>
      </c>
      <c r="AA278" s="386">
        <f t="shared" si="115"/>
        <v>48.524700780673122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7.9531364347481232E-2</v>
      </c>
      <c r="AD278" s="231">
        <f>(INDEX(Models!$BJ278:$BT278,,AH278)*(1-AF278)+INDEX(Models!$BJ278:$BT278,,AH278+1)*AF278-ERP_i)*AE278*Ramure*Pc/MaxiM</f>
        <v>5.965049987495506E-4</v>
      </c>
      <c r="AE278" s="305">
        <f t="shared" si="117"/>
        <v>0.5</v>
      </c>
      <c r="AF278" s="177">
        <f t="shared" si="118"/>
        <v>0.99039036762410904</v>
      </c>
      <c r="AG278" s="811">
        <f t="shared" si="124"/>
        <v>2</v>
      </c>
      <c r="AH278" s="176">
        <f t="shared" si="119"/>
        <v>8</v>
      </c>
      <c r="AI278" s="225">
        <f t="shared" si="120"/>
        <v>2.990390367624109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'2026'!Wh/'2026'!Env_an*'2027'!Env_an</f>
        <v>41.8838019927923</v>
      </c>
      <c r="C279" s="841"/>
      <c r="D279" s="393">
        <f t="shared" si="102"/>
        <v>45.115027124013281</v>
      </c>
      <c r="E279" s="385">
        <f t="shared" si="100"/>
        <v>47.29297019626879</v>
      </c>
      <c r="F279" s="385">
        <f t="shared" si="103"/>
        <v>47.293342083306442</v>
      </c>
      <c r="G279" s="110">
        <f t="shared" si="101"/>
        <v>0.99544774297895278</v>
      </c>
      <c r="H279" s="414" t="b">
        <f>Wh_hp&gt;='2026'!Maxi_hp</f>
        <v>0</v>
      </c>
      <c r="I279" s="390">
        <f>IF(H279,Wh_hp,'2026'!Maxi_hp)</f>
        <v>47.293344308799753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7.1621925934764685E-2</v>
      </c>
      <c r="M279" s="845"/>
      <c r="N279" s="845"/>
      <c r="O279" s="48">
        <f>IF(t&lt;Tnet,'2026'!Resal+('2026'!Salim-'2026'!Resal)*(1-EXP(('2026'!Tnet-t)/('2026'!Tau_j))),Resal+(Salim-Resal)*(1-EXP((Tnet-t)/(Tau_j))))*Salcycl</f>
        <v>4.6052152428086246E-2</v>
      </c>
      <c r="P279" s="169">
        <f>(INDEX(Models!$BJ279:$BT279,,T279)*(1-R279)+INDEX(Models!$BJ279:$BT279,,T279+1)*R279-ERP_i)*Q279*Ramure*Pc/MaxiM</f>
        <v>7.9148837697246444E-6</v>
      </c>
      <c r="Q279" s="305">
        <f t="shared" si="105"/>
        <v>0.5</v>
      </c>
      <c r="R279" s="177">
        <f t="shared" si="106"/>
        <v>0.46568727684494016</v>
      </c>
      <c r="S279" s="811">
        <f t="shared" si="107"/>
        <v>-1</v>
      </c>
      <c r="T279" s="176">
        <f t="shared" si="108"/>
        <v>5</v>
      </c>
      <c r="U279" s="251">
        <f t="shared" si="109"/>
        <v>-0.53431272315505984</v>
      </c>
      <c r="V279" s="383">
        <f t="shared" si="110"/>
        <v>42.075337587892896</v>
      </c>
      <c r="W279" s="402">
        <f t="shared" si="111"/>
        <v>41.8838019927923</v>
      </c>
      <c r="X279" s="157">
        <f t="shared" si="112"/>
        <v>46652</v>
      </c>
      <c r="Y279" s="385">
        <f t="shared" si="113"/>
        <v>40.38721694685141</v>
      </c>
      <c r="Z279" s="385">
        <f t="shared" si="114"/>
        <v>43.502984479158954</v>
      </c>
      <c r="AA279" s="386">
        <f t="shared" si="115"/>
        <v>47.26238210196847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7.9543126173763759E-2</v>
      </c>
      <c r="AD279" s="231">
        <f>(INDEX(Models!$BJ279:$BT279,,AH279)*(1-AF279)+INDEX(Models!$BJ279:$BT279,,AH279+1)*AF279-ERP_i)*AE279*Ramure*Pc/MaxiM</f>
        <v>6.589222774451575E-4</v>
      </c>
      <c r="AE279" s="305">
        <f t="shared" si="117"/>
        <v>0.5</v>
      </c>
      <c r="AF279" s="177">
        <f t="shared" si="118"/>
        <v>0.99067484321891897</v>
      </c>
      <c r="AG279" s="811">
        <f t="shared" si="124"/>
        <v>2</v>
      </c>
      <c r="AH279" s="176">
        <f t="shared" si="119"/>
        <v>8</v>
      </c>
      <c r="AI279" s="225">
        <f t="shared" si="120"/>
        <v>2.990674843218919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'2026'!Wh/'2026'!Env_an*'2027'!Env_an</f>
        <v>26.463449080031673</v>
      </c>
      <c r="C280" s="841"/>
      <c r="D280" s="393">
        <f t="shared" si="102"/>
        <v>28.505658900685098</v>
      </c>
      <c r="E280" s="385">
        <f t="shared" si="100"/>
        <v>29.883359088497727</v>
      </c>
      <c r="F280" s="385">
        <f t="shared" si="103"/>
        <v>29.883501162497687</v>
      </c>
      <c r="G280" s="110">
        <f t="shared" si="101"/>
        <v>0.63343448790648027</v>
      </c>
      <c r="H280" s="414" t="b">
        <f>Wh_hp&gt;='2026'!Maxi_hp</f>
        <v>0</v>
      </c>
      <c r="I280" s="390">
        <f>IF(H280,Wh_hp,'2026'!Maxi_hp)</f>
        <v>44.303472000025792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7.1642259797206176E-2</v>
      </c>
      <c r="M280" s="845"/>
      <c r="N280" s="845"/>
      <c r="O280" s="48">
        <f>IF(t&lt;Tnet,'2026'!Resal+('2026'!Salim-'2026'!Resal)*(1-EXP(('2026'!Tnet-t)/('2026'!Tau_j))),Resal+(Salim-Resal)*(1-EXP((Tnet-t)/(Tau_j))))*Salcycl</f>
        <v>4.6102587856092531E-2</v>
      </c>
      <c r="P280" s="169">
        <f>(INDEX(Models!$BJ280:$BT280,,T280)*(1-R280)+INDEX(Models!$BJ280:$BT280,,T280+1)*R280-ERP_i)*Q280*Ramure*Pc/MaxiM</f>
        <v>9.9808226700474759E-6</v>
      </c>
      <c r="Q280" s="305">
        <f t="shared" si="105"/>
        <v>0.5</v>
      </c>
      <c r="R280" s="177">
        <f t="shared" si="106"/>
        <v>0.46596060710050535</v>
      </c>
      <c r="S280" s="811">
        <f t="shared" si="107"/>
        <v>-1</v>
      </c>
      <c r="T280" s="176">
        <f t="shared" si="108"/>
        <v>5</v>
      </c>
      <c r="U280" s="251">
        <f t="shared" si="109"/>
        <v>-0.53403939289949465</v>
      </c>
      <c r="V280" s="383">
        <f t="shared" si="110"/>
        <v>41.777502286020521</v>
      </c>
      <c r="W280" s="402">
        <f t="shared" si="111"/>
        <v>26.463449080031673</v>
      </c>
      <c r="X280" s="157">
        <f t="shared" si="112"/>
        <v>46653</v>
      </c>
      <c r="Y280" s="385">
        <f t="shared" si="113"/>
        <v>25.526736887441963</v>
      </c>
      <c r="Z280" s="385">
        <f t="shared" si="114"/>
        <v>27.496659727171348</v>
      </c>
      <c r="AA280" s="386">
        <f t="shared" si="115"/>
        <v>29.873191540071609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7.9553997761250411E-2</v>
      </c>
      <c r="AD280" s="231">
        <f>(INDEX(Models!$BJ280:$BT280,,AH280)*(1-AF280)+INDEX(Models!$BJ280:$BT280,,AH280+1)*AF280-ERP_i)*AE280*Ramure*Pc/MaxiM</f>
        <v>7.2425998604878309E-4</v>
      </c>
      <c r="AE280" s="305">
        <f t="shared" si="117"/>
        <v>0.5</v>
      </c>
      <c r="AF280" s="177">
        <f t="shared" si="118"/>
        <v>0.99094817347448449</v>
      </c>
      <c r="AG280" s="811">
        <f t="shared" si="124"/>
        <v>2</v>
      </c>
      <c r="AH280" s="176">
        <f t="shared" si="119"/>
        <v>8</v>
      </c>
      <c r="AI280" s="225">
        <f t="shared" si="120"/>
        <v>2.9909481734744845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'2026'!Wh/'2026'!Env_an*'2027'!Env_an</f>
        <v>16.58943585293299</v>
      </c>
      <c r="C281" s="841"/>
      <c r="D281" s="393">
        <f t="shared" si="102"/>
        <v>17.870049975011138</v>
      </c>
      <c r="E281" s="385">
        <f t="shared" si="100"/>
        <v>18.734701937451682</v>
      </c>
      <c r="F281" s="385">
        <f t="shared" si="103"/>
        <v>18.734735092311411</v>
      </c>
      <c r="G281" s="110">
        <f t="shared" si="101"/>
        <v>0.39996104070945693</v>
      </c>
      <c r="H281" s="414" t="b">
        <f>Wh_hp&gt;='2026'!Maxi_hp</f>
        <v>0</v>
      </c>
      <c r="I281" s="390">
        <f>IF(H281,Wh_hp,'2026'!Maxi_hp)</f>
        <v>40.249037915880088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7.1662593214283921E-2</v>
      </c>
      <c r="M281" s="845"/>
      <c r="N281" s="845"/>
      <c r="O281" s="48">
        <f>IF(t&lt;Tnet,'2026'!Resal+('2026'!Salim-'2026'!Resal)*(1-EXP(('2026'!Tnet-t)/('2026'!Tau_j))),Resal+(Salim-Resal)*(1-EXP((Tnet-t)/(Tau_j))))*Salcycl</f>
        <v>4.6152426941581511E-2</v>
      </c>
      <c r="P281" s="169">
        <f>(INDEX(Models!$BJ281:$BT281,,T281)*(1-R281)+INDEX(Models!$BJ281:$BT281,,T281+1)*R281-ERP_i)*Q281*Ramure*Pc/MaxiM</f>
        <v>1.2392201053713677E-5</v>
      </c>
      <c r="Q281" s="305">
        <f t="shared" si="105"/>
        <v>0.5</v>
      </c>
      <c r="R281" s="177">
        <f t="shared" si="106"/>
        <v>0.46622321689264146</v>
      </c>
      <c r="S281" s="811">
        <f t="shared" si="107"/>
        <v>-1</v>
      </c>
      <c r="T281" s="176">
        <f t="shared" si="108"/>
        <v>5</v>
      </c>
      <c r="U281" s="251">
        <f t="shared" si="109"/>
        <v>-0.53377678310735854</v>
      </c>
      <c r="V281" s="383">
        <f t="shared" si="110"/>
        <v>41.477188882932616</v>
      </c>
      <c r="W281" s="402">
        <f t="shared" si="111"/>
        <v>16.58943585293299</v>
      </c>
      <c r="X281" s="157">
        <f t="shared" si="112"/>
        <v>46654</v>
      </c>
      <c r="Y281" s="385">
        <f t="shared" si="113"/>
        <v>16.00655491863025</v>
      </c>
      <c r="Z281" s="385">
        <f t="shared" si="114"/>
        <v>17.242173806236561</v>
      </c>
      <c r="AA281" s="386">
        <f t="shared" si="115"/>
        <v>18.732614650886056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7.9563951558625404E-2</v>
      </c>
      <c r="AD281" s="231">
        <f>(INDEX(Models!$BJ281:$BT281,,AH281)*(1-AF281)+INDEX(Models!$BJ281:$BT281,,AH281+1)*AF281-ERP_i)*AE281*Ramure*Pc/MaxiM</f>
        <v>7.9255158007200742E-4</v>
      </c>
      <c r="AE281" s="305">
        <f t="shared" si="117"/>
        <v>0.5</v>
      </c>
      <c r="AF281" s="177">
        <f t="shared" si="118"/>
        <v>0.99121078326662015</v>
      </c>
      <c r="AG281" s="811">
        <f t="shared" si="124"/>
        <v>2</v>
      </c>
      <c r="AH281" s="176">
        <f t="shared" si="119"/>
        <v>8</v>
      </c>
      <c r="AI281" s="225">
        <f t="shared" si="120"/>
        <v>2.9912107832666202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'2026'!Wh/'2026'!Env_an*'2027'!Env_an</f>
        <v>29.367084681152281</v>
      </c>
      <c r="C282" s="841"/>
      <c r="D282" s="393">
        <f t="shared" si="102"/>
        <v>31.634756603686672</v>
      </c>
      <c r="E282" s="385">
        <f t="shared" si="100"/>
        <v>33.167132954170903</v>
      </c>
      <c r="F282" s="385">
        <f t="shared" si="103"/>
        <v>33.167436892802449</v>
      </c>
      <c r="G282" s="110">
        <f t="shared" si="101"/>
        <v>0.71321907854788169</v>
      </c>
      <c r="H282" s="414" t="b">
        <f>Wh_hp&gt;='2026'!Maxi_hp</f>
        <v>0</v>
      </c>
      <c r="I282" s="390">
        <f>IF(H282,Wh_hp,'2026'!Maxi_hp)</f>
        <v>46.514117854235721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7.1682926186007689E-2</v>
      </c>
      <c r="M282" s="845"/>
      <c r="N282" s="845"/>
      <c r="O282" s="48">
        <f>IF(t&lt;Tnet,'2026'!Resal+('2026'!Salim-'2026'!Resal)*(1-EXP(('2026'!Tnet-t)/('2026'!Tau_j))),Resal+(Salim-Resal)*(1-EXP((Tnet-t)/(Tau_j))))*Salcycl</f>
        <v>4.6201652479326873E-2</v>
      </c>
      <c r="P282" s="169">
        <f>(INDEX(Models!$BJ282:$BT282,,T282)*(1-R282)+INDEX(Models!$BJ282:$BT282,,T282+1)*R282-ERP_i)*Q282*Ramure*Pc/MaxiM</f>
        <v>1.5523401852835869E-5</v>
      </c>
      <c r="Q282" s="305">
        <f t="shared" si="105"/>
        <v>0.5</v>
      </c>
      <c r="R282" s="177">
        <f t="shared" si="106"/>
        <v>0.46647551581985969</v>
      </c>
      <c r="S282" s="811">
        <f t="shared" si="107"/>
        <v>-1</v>
      </c>
      <c r="T282" s="176">
        <f t="shared" si="108"/>
        <v>5</v>
      </c>
      <c r="U282" s="251">
        <f t="shared" si="109"/>
        <v>-0.53352448418014031</v>
      </c>
      <c r="V282" s="383">
        <f t="shared" si="110"/>
        <v>41.175143513081949</v>
      </c>
      <c r="W282" s="402">
        <f t="shared" si="111"/>
        <v>29.367084681152281</v>
      </c>
      <c r="X282" s="157">
        <f t="shared" si="112"/>
        <v>46655</v>
      </c>
      <c r="Y282" s="385">
        <f t="shared" si="113"/>
        <v>28.325475652776824</v>
      </c>
      <c r="Z282" s="385">
        <f t="shared" si="114"/>
        <v>30.512716454089936</v>
      </c>
      <c r="AA282" s="386">
        <f t="shared" si="115"/>
        <v>33.150608508988903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7.9572960302785822E-2</v>
      </c>
      <c r="AD282" s="231">
        <f>(INDEX(Models!$BJ282:$BT282,,AH282)*(1-AF282)+INDEX(Models!$BJ282:$BT282,,AH282+1)*AF282-ERP_i)*AE282*Ramure*Pc/MaxiM</f>
        <v>8.5949509986544192E-4</v>
      </c>
      <c r="AE282" s="305">
        <f t="shared" si="117"/>
        <v>0.5</v>
      </c>
      <c r="AF282" s="177">
        <f t="shared" si="118"/>
        <v>0.99146308219383883</v>
      </c>
      <c r="AG282" s="811">
        <f t="shared" si="124"/>
        <v>2</v>
      </c>
      <c r="AH282" s="176">
        <f t="shared" si="119"/>
        <v>8</v>
      </c>
      <c r="AI282" s="225">
        <f t="shared" si="120"/>
        <v>2.9914630821938388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'2026'!Wh/'2026'!Env_an*'2027'!Env_an</f>
        <v>31.671398149367405</v>
      </c>
      <c r="C283" s="841"/>
      <c r="D283" s="393">
        <f t="shared" si="102"/>
        <v>34.117752159117735</v>
      </c>
      <c r="E283" s="385">
        <f t="shared" si="100"/>
        <v>35.772226487012162</v>
      </c>
      <c r="F283" s="385">
        <f t="shared" si="103"/>
        <v>35.772696382223607</v>
      </c>
      <c r="G283" s="110">
        <f t="shared" si="101"/>
        <v>0.77488504414708781</v>
      </c>
      <c r="H283" s="414" t="b">
        <f>Wh_hp&gt;='2026'!Maxi_hp</f>
        <v>0</v>
      </c>
      <c r="I283" s="390">
        <f>IF(H283,Wh_hp,'2026'!Maxi_hp)</f>
        <v>46.475483095151723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7.1703258712387252E-2</v>
      </c>
      <c r="M283" s="845"/>
      <c r="N283" s="845"/>
      <c r="O283" s="48">
        <f>IF(t&lt;Tnet,'2026'!Resal+('2026'!Salim-'2026'!Resal)*(1-EXP(('2026'!Tnet-t)/('2026'!Tau_j))),Resal+(Salim-Resal)*(1-EXP((Tnet-t)/(Tau_j))))*Salcycl</f>
        <v>4.6250247478867981E-2</v>
      </c>
      <c r="P283" s="169">
        <f>(INDEX(Models!$BJ283:$BT283,,T283)*(1-R283)+INDEX(Models!$BJ283:$BT283,,T283+1)*R283-ERP_i)*Q283*Ramure*Pc/MaxiM</f>
        <v>1.9362190018989542E-5</v>
      </c>
      <c r="Q283" s="305">
        <f t="shared" si="105"/>
        <v>0.5</v>
      </c>
      <c r="R283" s="177">
        <f t="shared" si="106"/>
        <v>0.46671789868023761</v>
      </c>
      <c r="S283" s="811">
        <f t="shared" si="107"/>
        <v>-1</v>
      </c>
      <c r="T283" s="176">
        <f t="shared" si="108"/>
        <v>5</v>
      </c>
      <c r="U283" s="251">
        <f t="shared" si="109"/>
        <v>-0.53328210131976239</v>
      </c>
      <c r="V283" s="383">
        <f t="shared" si="110"/>
        <v>40.872128299078902</v>
      </c>
      <c r="W283" s="402">
        <f t="shared" si="111"/>
        <v>31.671398149367405</v>
      </c>
      <c r="X283" s="157">
        <f t="shared" si="112"/>
        <v>46656</v>
      </c>
      <c r="Y283" s="385">
        <f t="shared" si="113"/>
        <v>30.54584069534987</v>
      </c>
      <c r="Z283" s="385">
        <f t="shared" si="114"/>
        <v>32.90525468502738</v>
      </c>
      <c r="AA283" s="386">
        <f t="shared" si="115"/>
        <v>35.750299140680575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7.9580997195511441E-2</v>
      </c>
      <c r="AD283" s="231">
        <f>(INDEX(Models!$BJ283:$BT283,,AH283)*(1-AF283)+INDEX(Models!$BJ283:$BT283,,AH283+1)*AF283-ERP_i)*AE283*Ramure*Pc/MaxiM</f>
        <v>9.2288586070107597E-4</v>
      </c>
      <c r="AE283" s="305">
        <f t="shared" si="117"/>
        <v>0.5</v>
      </c>
      <c r="AF283" s="177">
        <f t="shared" si="118"/>
        <v>0.99170546505421653</v>
      </c>
      <c r="AG283" s="811">
        <f t="shared" si="124"/>
        <v>2</v>
      </c>
      <c r="AH283" s="176">
        <f t="shared" si="119"/>
        <v>8</v>
      </c>
      <c r="AI283" s="225">
        <f t="shared" si="120"/>
        <v>2.9917054650542165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'2026'!Wh/'2026'!Env_an*'2027'!Env_an</f>
        <v>14.315325756133092</v>
      </c>
      <c r="C284" s="841"/>
      <c r="D284" s="393">
        <f t="shared" si="102"/>
        <v>15.421404243558156</v>
      </c>
      <c r="E284" s="385">
        <f t="shared" si="100"/>
        <v>16.170048297229222</v>
      </c>
      <c r="F284" s="385">
        <f t="shared" si="103"/>
        <v>16.170077506297098</v>
      </c>
      <c r="G284" s="110">
        <f t="shared" si="101"/>
        <v>0.35285668918015856</v>
      </c>
      <c r="H284" s="414" t="b">
        <f>Wh_hp&gt;='2026'!Maxi_hp</f>
        <v>0</v>
      </c>
      <c r="I284" s="390">
        <f>IF(H284,Wh_hp,'2026'!Maxi_hp)</f>
        <v>45.12039737403196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7.1723590793432157E-2</v>
      </c>
      <c r="M284" s="845"/>
      <c r="N284" s="845"/>
      <c r="O284" s="48">
        <f>IF(t&lt;Tnet,'2026'!Resal+('2026'!Salim-'2026'!Resal)*(1-EXP(('2026'!Tnet-t)/('2026'!Tau_j))),Resal+(Salim-Resal)*(1-EXP((Tnet-t)/(Tau_j))))*Salcycl</f>
        <v>4.6298195274985479E-2</v>
      </c>
      <c r="P284" s="169">
        <f>(INDEX(Models!$BJ284:$BT284,,T284)*(1-R284)+INDEX(Models!$BJ284:$BT284,,T284+1)*R284-ERP_i)*Q284*Ramure*Pc/MaxiM</f>
        <v>2.3918810277391618E-5</v>
      </c>
      <c r="Q284" s="305">
        <f t="shared" si="105"/>
        <v>0.5</v>
      </c>
      <c r="R284" s="177">
        <f t="shared" si="106"/>
        <v>0.46695074593930697</v>
      </c>
      <c r="S284" s="811">
        <f t="shared" si="107"/>
        <v>-1</v>
      </c>
      <c r="T284" s="176">
        <f t="shared" si="108"/>
        <v>5</v>
      </c>
      <c r="U284" s="251">
        <f t="shared" si="109"/>
        <v>-0.53304925406069303</v>
      </c>
      <c r="V284" s="383">
        <f t="shared" si="110"/>
        <v>40.568904168910919</v>
      </c>
      <c r="W284" s="402">
        <f t="shared" si="111"/>
        <v>14.315325756133092</v>
      </c>
      <c r="X284" s="157">
        <f t="shared" si="112"/>
        <v>46657</v>
      </c>
      <c r="Y284" s="385">
        <f t="shared" si="113"/>
        <v>13.814635814826667</v>
      </c>
      <c r="Z284" s="385">
        <f t="shared" si="114"/>
        <v>14.882028324553186</v>
      </c>
      <c r="AA284" s="386">
        <f t="shared" si="115"/>
        <v>16.168877533213692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7.9588036090761094E-2</v>
      </c>
      <c r="AD284" s="231">
        <f>(INDEX(Models!$BJ284:$BT284,,AH284)*(1-AF284)+INDEX(Models!$BJ284:$BT284,,AH284+1)*AF284-ERP_i)*AE284*Ramure*Pc/MaxiM</f>
        <v>9.8263760565881972E-4</v>
      </c>
      <c r="AE284" s="305">
        <f t="shared" si="117"/>
        <v>0.5</v>
      </c>
      <c r="AF284" s="177">
        <f t="shared" si="118"/>
        <v>0.99193831231328566</v>
      </c>
      <c r="AG284" s="811">
        <f t="shared" si="124"/>
        <v>2</v>
      </c>
      <c r="AH284" s="176">
        <f t="shared" si="119"/>
        <v>8</v>
      </c>
      <c r="AI284" s="225">
        <f t="shared" si="120"/>
        <v>2.9919383123132857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'2026'!Wh/'2026'!Env_an*'2027'!Env_an</f>
        <v>16.449289747975769</v>
      </c>
      <c r="C285" s="841"/>
      <c r="D285" s="393">
        <f t="shared" si="102"/>
        <v>17.720637812597896</v>
      </c>
      <c r="E285" s="385">
        <f t="shared" si="100"/>
        <v>18.581821230175059</v>
      </c>
      <c r="F285" s="385">
        <f t="shared" si="103"/>
        <v>18.581905350907839</v>
      </c>
      <c r="G285" s="110">
        <f t="shared" si="101"/>
        <v>0.40850318255720097</v>
      </c>
      <c r="H285" s="414" t="b">
        <f>Wh_hp&gt;='2026'!Maxi_hp</f>
        <v>0</v>
      </c>
      <c r="I285" s="390">
        <f>IF(H285,Wh_hp,'2026'!Maxi_hp)</f>
        <v>42.169880552957594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7.1743922429152396E-2</v>
      </c>
      <c r="M285" s="845"/>
      <c r="N285" s="845"/>
      <c r="O285" s="48">
        <f>IF(t&lt;Tnet,'2026'!Resal+('2026'!Salim-'2026'!Resal)*(1-EXP(('2026'!Tnet-t)/('2026'!Tau_j))),Resal+(Salim-Resal)*(1-EXP((Tnet-t)/(Tau_j))))*Salcycl</f>
        <v>4.6345479644303515E-2</v>
      </c>
      <c r="P285" s="169">
        <f>(INDEX(Models!$BJ285:$BT285,,T285)*(1-R285)+INDEX(Models!$BJ285:$BT285,,T285+1)*R285-ERP_i)*Q285*Ramure*Pc/MaxiM</f>
        <v>2.920303710894906E-5</v>
      </c>
      <c r="Q285" s="305">
        <f t="shared" si="105"/>
        <v>0.5</v>
      </c>
      <c r="R285" s="177">
        <f t="shared" si="106"/>
        <v>0.46717442418859356</v>
      </c>
      <c r="S285" s="811">
        <f t="shared" si="107"/>
        <v>-1</v>
      </c>
      <c r="T285" s="176">
        <f t="shared" si="108"/>
        <v>5</v>
      </c>
      <c r="U285" s="251">
        <f t="shared" si="109"/>
        <v>-0.53282557581140644</v>
      </c>
      <c r="V285" s="383">
        <f t="shared" si="110"/>
        <v>40.266231808234799</v>
      </c>
      <c r="W285" s="402">
        <f t="shared" si="111"/>
        <v>16.449289747975769</v>
      </c>
      <c r="X285" s="157">
        <f t="shared" si="112"/>
        <v>46658</v>
      </c>
      <c r="Y285" s="385">
        <f t="shared" si="113"/>
        <v>15.873311155412889</v>
      </c>
      <c r="Z285" s="385">
        <f t="shared" si="114"/>
        <v>17.100142448786052</v>
      </c>
      <c r="AA285" s="386">
        <f t="shared" si="115"/>
        <v>18.5789134459759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7.9594051691442694E-2</v>
      </c>
      <c r="AD285" s="231">
        <f>(INDEX(Models!$BJ285:$BT285,,AH285)*(1-AF285)+INDEX(Models!$BJ285:$BT285,,AH285+1)*AF285-ERP_i)*AE285*Ramure*Pc/MaxiM</f>
        <v>1.0386584599008312E-3</v>
      </c>
      <c r="AE285" s="305">
        <f t="shared" si="117"/>
        <v>0.5</v>
      </c>
      <c r="AF285" s="177">
        <f t="shared" si="118"/>
        <v>0.9921619905625727</v>
      </c>
      <c r="AG285" s="811">
        <f t="shared" si="124"/>
        <v>2</v>
      </c>
      <c r="AH285" s="176">
        <f t="shared" si="119"/>
        <v>8</v>
      </c>
      <c r="AI285" s="225">
        <f t="shared" si="120"/>
        <v>2.9921619905625727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'2026'!Wh/'2026'!Env_an*'2027'!Env_an</f>
        <v>22.560416859819806</v>
      </c>
      <c r="C286" s="841"/>
      <c r="D286" s="393">
        <f t="shared" si="102"/>
        <v>24.304619756125295</v>
      </c>
      <c r="E286" s="385">
        <f t="shared" si="100"/>
        <v>25.487015545872676</v>
      </c>
      <c r="F286" s="385">
        <f t="shared" si="103"/>
        <v>25.487354781282768</v>
      </c>
      <c r="G286" s="110">
        <f t="shared" si="101"/>
        <v>0.56449380479708755</v>
      </c>
      <c r="H286" s="414" t="b">
        <f>Wh_hp&gt;='2026'!Maxi_hp</f>
        <v>0</v>
      </c>
      <c r="I286" s="390">
        <f>IF(H286,Wh_hp,'2026'!Maxi_hp)</f>
        <v>44.457549596928516</v>
      </c>
      <c r="J286" s="85">
        <f>IF(H286,An,'2026'!An_max)</f>
        <v>2019</v>
      </c>
      <c r="K286" s="197">
        <f t="shared" si="104"/>
        <v>46659</v>
      </c>
      <c r="L286" s="147">
        <f>IF(t&lt;Tvie,1-EXP((T0-t)*PertePVj)+'2026'!Pspv,1-EXP((T0-t)*PertePVj)+Pspv)</f>
        <v>7.1764253619557627E-2</v>
      </c>
      <c r="M286" s="845"/>
      <c r="N286" s="845"/>
      <c r="O286" s="48">
        <f>IF(t&lt;Tnet,'2026'!Resal+('2026'!Salim-'2026'!Resal)*(1-EXP(('2026'!Tnet-t)/('2026'!Tau_j))),Resal+(Salim-Resal)*(1-EXP((Tnet-t)/(Tau_j))))*Salcycl</f>
        <v>4.6392084927293707E-2</v>
      </c>
      <c r="P286" s="169">
        <f>(INDEX(Models!$BJ286:$BT286,,T286)*(1-R286)+INDEX(Models!$BJ286:$BT286,,T286+1)*R286-ERP_i)*Q286*Ramure*Pc/MaxiM</f>
        <v>3.5223997204601546E-5</v>
      </c>
      <c r="Q286" s="305">
        <f t="shared" si="105"/>
        <v>0.5</v>
      </c>
      <c r="R286" s="177">
        <f t="shared" si="106"/>
        <v>0.46738928659450374</v>
      </c>
      <c r="S286" s="811">
        <f t="shared" si="107"/>
        <v>-1</v>
      </c>
      <c r="T286" s="176">
        <f t="shared" si="108"/>
        <v>5</v>
      </c>
      <c r="U286" s="251">
        <f t="shared" si="109"/>
        <v>-0.53261071340549626</v>
      </c>
      <c r="V286" s="383">
        <f t="shared" si="110"/>
        <v>39.964871662855479</v>
      </c>
      <c r="W286" s="402">
        <f t="shared" si="111"/>
        <v>22.560416859819806</v>
      </c>
      <c r="X286" s="157">
        <f t="shared" si="112"/>
        <v>46659</v>
      </c>
      <c r="Y286" s="385">
        <f t="shared" si="113"/>
        <v>21.766122783959748</v>
      </c>
      <c r="Z286" s="385">
        <f t="shared" si="114"/>
        <v>23.448916796012711</v>
      </c>
      <c r="AA286" s="386">
        <f t="shared" si="115"/>
        <v>25.476849003088304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7.9599019754356876E-2</v>
      </c>
      <c r="AD286" s="231">
        <f>(INDEX(Models!$BJ286:$BT286,,AH286)*(1-AF286)+INDEX(Models!$BJ286:$BT286,,AH286+1)*AF286-ERP_i)*AE286*Ramure*Pc/MaxiM</f>
        <v>1.0908516350123612E-3</v>
      </c>
      <c r="AE286" s="305">
        <f t="shared" si="117"/>
        <v>0.5</v>
      </c>
      <c r="AF286" s="177">
        <f t="shared" si="118"/>
        <v>0.99237685296848266</v>
      </c>
      <c r="AG286" s="811">
        <f t="shared" si="124"/>
        <v>2</v>
      </c>
      <c r="AH286" s="176">
        <f t="shared" si="119"/>
        <v>8</v>
      </c>
      <c r="AI286" s="225">
        <f t="shared" si="120"/>
        <v>2.9923768529684827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'2026'!Wh/'2026'!Env_an*'2027'!Env_an</f>
        <v>27.568869265609759</v>
      </c>
      <c r="C287" s="841"/>
      <c r="D287" s="393">
        <f t="shared" si="102"/>
        <v>29.700938813582937</v>
      </c>
      <c r="E287" s="385">
        <f t="shared" si="100"/>
        <v>31.147359787635484</v>
      </c>
      <c r="F287" s="385">
        <f t="shared" si="103"/>
        <v>31.148097882169143</v>
      </c>
      <c r="G287" s="110">
        <f t="shared" si="101"/>
        <v>0.69501976723271208</v>
      </c>
      <c r="H287" s="414" t="b">
        <f>Wh_hp&gt;='2026'!Maxi_hp</f>
        <v>0</v>
      </c>
      <c r="I287" s="390">
        <f>IF(H287,Wh_hp,'2026'!Maxi_hp)</f>
        <v>41.406216750872005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7.1784584364657622E-2</v>
      </c>
      <c r="M287" s="845"/>
      <c r="N287" s="845"/>
      <c r="O287" s="48">
        <f>IF(t&lt;Tnet,'2026'!Resal+('2026'!Salim-'2026'!Resal)*(1-EXP(('2026'!Tnet-t)/('2026'!Tau_j))),Resal+(Salim-Resal)*(1-EXP((Tnet-t)/(Tau_j))))*Salcycl</f>
        <v>4.6437996154869349E-2</v>
      </c>
      <c r="P287" s="169">
        <f>(INDEX(Models!$BJ287:$BT287,,T287)*(1-R287)+INDEX(Models!$BJ287:$BT287,,T287+1)*R287-ERP_i)*Q287*Ramure*Pc/MaxiM</f>
        <v>4.1989982191820803E-5</v>
      </c>
      <c r="Q287" s="305">
        <f t="shared" si="105"/>
        <v>0.5</v>
      </c>
      <c r="R287" s="177">
        <f t="shared" si="106"/>
        <v>0.46759567333731278</v>
      </c>
      <c r="S287" s="811">
        <f t="shared" si="107"/>
        <v>-1</v>
      </c>
      <c r="T287" s="176">
        <f t="shared" si="108"/>
        <v>5</v>
      </c>
      <c r="U287" s="251">
        <f t="shared" si="109"/>
        <v>-0.53240432666268722</v>
      </c>
      <c r="V287" s="383">
        <f t="shared" si="110"/>
        <v>39.665583940395862</v>
      </c>
      <c r="W287" s="402">
        <f t="shared" si="111"/>
        <v>27.568869265609759</v>
      </c>
      <c r="X287" s="157">
        <f t="shared" si="112"/>
        <v>46660</v>
      </c>
      <c r="Y287" s="385">
        <f t="shared" si="113"/>
        <v>26.593547175786689</v>
      </c>
      <c r="Z287" s="385">
        <f t="shared" si="114"/>
        <v>28.650189091703471</v>
      </c>
      <c r="AA287" s="386">
        <f t="shared" si="115"/>
        <v>31.128074643300756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7.960291730187577E-2</v>
      </c>
      <c r="AD287" s="231">
        <f>(INDEX(Models!$BJ287:$BT287,,AH287)*(1-AF287)+INDEX(Models!$BJ287:$BT287,,AH287+1)*AF287-ERP_i)*AE287*Ramure*Pc/MaxiM</f>
        <v>1.1391162041803353E-3</v>
      </c>
      <c r="AE287" s="305">
        <f t="shared" si="117"/>
        <v>0.5</v>
      </c>
      <c r="AF287" s="177">
        <f t="shared" si="118"/>
        <v>0.99258323971129148</v>
      </c>
      <c r="AG287" s="811">
        <f t="shared" si="124"/>
        <v>2</v>
      </c>
      <c r="AH287" s="176">
        <f t="shared" si="119"/>
        <v>8</v>
      </c>
      <c r="AI287" s="225">
        <f t="shared" si="120"/>
        <v>2.9925832397112915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'2026'!Wh/'2026'!Env_an*'2027'!Env_an</f>
        <v>33.063176744475463</v>
      </c>
      <c r="C288" s="841"/>
      <c r="D288" s="393">
        <f t="shared" si="102"/>
        <v>35.62093493796435</v>
      </c>
      <c r="E288" s="385">
        <f t="shared" si="100"/>
        <v>37.357427690085679</v>
      </c>
      <c r="F288" s="385">
        <f t="shared" si="103"/>
        <v>37.358854039928538</v>
      </c>
      <c r="G288" s="110">
        <f t="shared" si="101"/>
        <v>0.8398154426459794</v>
      </c>
      <c r="H288" s="414" t="b">
        <f>Wh_hp&gt;='2026'!Maxi_hp</f>
        <v>0</v>
      </c>
      <c r="I288" s="390">
        <f>IF(H288,Wh_hp,'2026'!Maxi_hp)</f>
        <v>43.530133856028712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7.1804914664462149E-2</v>
      </c>
      <c r="M288" s="845"/>
      <c r="N288" s="845"/>
      <c r="O288" s="48">
        <f>IF(t&lt;Tnet,'2026'!Resal+('2026'!Salim-'2026'!Resal)*(1-EXP(('2026'!Tnet-t)/('2026'!Tau_j))),Resal+(Salim-Resal)*(1-EXP((Tnet-t)/(Tau_j))))*Salcycl</f>
        <v>4.6483199178678422E-2</v>
      </c>
      <c r="P288" s="169">
        <f>(INDEX(Models!$BJ288:$BT288,,T288)*(1-R288)+INDEX(Models!$BJ288:$BT288,,T288+1)*R288-ERP_i)*Q288*Ramure*Pc/MaxiM</f>
        <v>4.9508252099493429E-5</v>
      </c>
      <c r="Q288" s="305">
        <f t="shared" si="105"/>
        <v>0.5</v>
      </c>
      <c r="R288" s="177">
        <f t="shared" si="106"/>
        <v>0.46779391204006104</v>
      </c>
      <c r="S288" s="811">
        <f t="shared" si="107"/>
        <v>-1</v>
      </c>
      <c r="T288" s="176">
        <f t="shared" si="108"/>
        <v>5</v>
      </c>
      <c r="U288" s="251">
        <f t="shared" si="109"/>
        <v>-0.53220608795993896</v>
      </c>
      <c r="V288" s="383">
        <f t="shared" si="110"/>
        <v>39.36912861245689</v>
      </c>
      <c r="W288" s="402">
        <f t="shared" si="111"/>
        <v>33.063176744475463</v>
      </c>
      <c r="X288" s="157">
        <f t="shared" si="112"/>
        <v>46661</v>
      </c>
      <c r="Y288" s="385">
        <f t="shared" si="113"/>
        <v>31.886746863703081</v>
      </c>
      <c r="Z288" s="385">
        <f t="shared" si="114"/>
        <v>34.353496767520788</v>
      </c>
      <c r="AA288" s="386">
        <f t="shared" si="115"/>
        <v>37.324761376698326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7.9605722838793067E-2</v>
      </c>
      <c r="AD288" s="231">
        <f>(INDEX(Models!$BJ288:$BT288,,AH288)*(1-AF288)+INDEX(Models!$BJ288:$BT288,,AH288+1)*AF288-ERP_i)*AE288*Ramure*Pc/MaxiM</f>
        <v>1.1833479523955435E-3</v>
      </c>
      <c r="AE288" s="305">
        <f t="shared" si="117"/>
        <v>0.5</v>
      </c>
      <c r="AF288" s="177">
        <f t="shared" si="118"/>
        <v>0.99278147841403985</v>
      </c>
      <c r="AG288" s="811">
        <f t="shared" si="124"/>
        <v>2</v>
      </c>
      <c r="AH288" s="176">
        <f t="shared" si="119"/>
        <v>8</v>
      </c>
      <c r="AI288" s="225">
        <f t="shared" si="120"/>
        <v>2.9927814784140399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'2026'!Wh/'2026'!Env_an*'2027'!Env_an</f>
        <v>36.856625667194564</v>
      </c>
      <c r="C289" s="841"/>
      <c r="D289" s="393">
        <f t="shared" si="102"/>
        <v>39.708713741189733</v>
      </c>
      <c r="E289" s="385">
        <f t="shared" si="100"/>
        <v>41.646425325361228</v>
      </c>
      <c r="F289" s="385">
        <f t="shared" si="103"/>
        <v>41.648636957316249</v>
      </c>
      <c r="G289" s="110">
        <f t="shared" si="101"/>
        <v>0.94323868942381883</v>
      </c>
      <c r="H289" s="414" t="b">
        <f>Wh_hp&gt;='2026'!Maxi_hp</f>
        <v>0</v>
      </c>
      <c r="I289" s="390">
        <f>IF(H289,Wh_hp,'2026'!Maxi_hp)</f>
        <v>44.550821163435508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7.1825244518980869E-2</v>
      </c>
      <c r="M289" s="845"/>
      <c r="N289" s="845"/>
      <c r="O289" s="48">
        <f>IF(t&lt;Tnet,'2026'!Resal+('2026'!Salim-'2026'!Resal)*(1-EXP(('2026'!Tnet-t)/('2026'!Tau_j))),Resal+(Salim-Resal)*(1-EXP((Tnet-t)/(Tau_j))))*Salcycl</f>
        <v>4.652768080413125E-2</v>
      </c>
      <c r="P289" s="169">
        <f>(INDEX(Models!$BJ289:$BT289,,T289)*(1-R289)+INDEX(Models!$BJ289:$BT289,,T289+1)*R289-ERP_i)*Q289*Ramure*Pc/MaxiM</f>
        <v>5.7787640324993225E-5</v>
      </c>
      <c r="Q289" s="305">
        <f t="shared" si="105"/>
        <v>0.5</v>
      </c>
      <c r="R289" s="177">
        <f t="shared" si="106"/>
        <v>0.46798431818721742</v>
      </c>
      <c r="S289" s="811">
        <f t="shared" si="107"/>
        <v>-1</v>
      </c>
      <c r="T289" s="176">
        <f t="shared" si="108"/>
        <v>5</v>
      </c>
      <c r="U289" s="251">
        <f t="shared" si="109"/>
        <v>-0.53201568181278258</v>
      </c>
      <c r="V289" s="383">
        <f t="shared" si="110"/>
        <v>39.074365141857285</v>
      </c>
      <c r="W289" s="402">
        <f t="shared" si="111"/>
        <v>36.856625667194564</v>
      </c>
      <c r="X289" s="157">
        <f t="shared" si="112"/>
        <v>46662</v>
      </c>
      <c r="Y289" s="385">
        <f t="shared" si="113"/>
        <v>35.539810259188883</v>
      </c>
      <c r="Z289" s="385">
        <f t="shared" si="114"/>
        <v>38.289998784518396</v>
      </c>
      <c r="AA289" s="386">
        <f t="shared" si="115"/>
        <v>41.601811524746559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7.9607416572669024E-2</v>
      </c>
      <c r="AD289" s="231">
        <f>(INDEX(Models!$BJ289:$BT289,,AH289)*(1-AF289)+INDEX(Models!$BJ289:$BT289,,AH289+1)*AF289-ERP_i)*AE289*Ramure*Pc/MaxiM</f>
        <v>1.2234998003438529E-3</v>
      </c>
      <c r="AE289" s="305">
        <f t="shared" si="117"/>
        <v>0.5</v>
      </c>
      <c r="AF289" s="177">
        <f t="shared" si="118"/>
        <v>0.99297188456119656</v>
      </c>
      <c r="AG289" s="811">
        <f t="shared" si="124"/>
        <v>2</v>
      </c>
      <c r="AH289" s="176">
        <f t="shared" si="119"/>
        <v>8</v>
      </c>
      <c r="AI289" s="225">
        <f t="shared" si="120"/>
        <v>2.9929718845611966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'2026'!Wh/'2026'!Env_an*'2027'!Env_an</f>
        <v>33.523384133495654</v>
      </c>
      <c r="C290" s="841"/>
      <c r="D290" s="393">
        <f t="shared" si="102"/>
        <v>36.118325993850519</v>
      </c>
      <c r="E290" s="385">
        <f t="shared" si="100"/>
        <v>37.882571478985369</v>
      </c>
      <c r="F290" s="385">
        <f t="shared" si="103"/>
        <v>37.88460154285125</v>
      </c>
      <c r="G290" s="110">
        <f t="shared" si="101"/>
        <v>0.8644467599895439</v>
      </c>
      <c r="H290" s="414" t="b">
        <f>Wh_hp&gt;='2026'!Maxi_hp</f>
        <v>0</v>
      </c>
      <c r="I290" s="390">
        <f>IF(H290,Wh_hp,'2026'!Maxi_hp)</f>
        <v>42.516161138689995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7.1845573928223549E-2</v>
      </c>
      <c r="M290" s="845"/>
      <c r="N290" s="845"/>
      <c r="O290" s="48">
        <f>IF(t&lt;Tnet,'2026'!Resal+('2026'!Salim-'2026'!Resal)*(1-EXP(('2026'!Tnet-t)/('2026'!Tau_j))),Resal+(Salim-Resal)*(1-EXP((Tnet-t)/(Tau_j))))*Salcycl</f>
        <v>4.657142892513335E-2</v>
      </c>
      <c r="P290" s="169">
        <f>(INDEX(Models!$BJ290:$BT290,,T290)*(1-R290)+INDEX(Models!$BJ290:$BT290,,T290+1)*R290-ERP_i)*Q290*Ramure*Pc/MaxiM</f>
        <v>6.6452828948621056E-5</v>
      </c>
      <c r="Q290" s="305">
        <f t="shared" si="105"/>
        <v>0.5</v>
      </c>
      <c r="R290" s="177">
        <f t="shared" si="106"/>
        <v>0.46816719553300556</v>
      </c>
      <c r="S290" s="811">
        <f t="shared" si="107"/>
        <v>-1</v>
      </c>
      <c r="T290" s="176">
        <f t="shared" si="108"/>
        <v>5</v>
      </c>
      <c r="U290" s="251">
        <f t="shared" si="109"/>
        <v>-0.53183280446699444</v>
      </c>
      <c r="V290" s="383">
        <f t="shared" si="110"/>
        <v>38.77966151795296</v>
      </c>
      <c r="W290" s="402">
        <f t="shared" si="111"/>
        <v>33.523384133495654</v>
      </c>
      <c r="X290" s="157">
        <f t="shared" si="112"/>
        <v>46663</v>
      </c>
      <c r="Y290" s="385">
        <f t="shared" si="113"/>
        <v>32.330757225015731</v>
      </c>
      <c r="Z290" s="385">
        <f t="shared" si="114"/>
        <v>34.833381511575652</v>
      </c>
      <c r="AA290" s="386">
        <f t="shared" si="115"/>
        <v>37.846244620462784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7.9607980635894693E-2</v>
      </c>
      <c r="AD290" s="231">
        <f>(INDEX(Models!$BJ290:$BT290,,AH290)*(1-AF290)+INDEX(Models!$BJ290:$BT290,,AH290+1)*AF290-ERP_i)*AE290*Ramure*Pc/MaxiM</f>
        <v>1.2555890705302395E-3</v>
      </c>
      <c r="AE290" s="305">
        <f t="shared" si="117"/>
        <v>0.5</v>
      </c>
      <c r="AF290" s="177">
        <f t="shared" si="118"/>
        <v>0.99315476190698426</v>
      </c>
      <c r="AG290" s="811">
        <f t="shared" si="124"/>
        <v>2</v>
      </c>
      <c r="AH290" s="176">
        <f t="shared" si="119"/>
        <v>8</v>
      </c>
      <c r="AI290" s="225">
        <f t="shared" si="120"/>
        <v>2.9931547619069843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'2026'!Wh/'2026'!Env_an*'2027'!Env_an</f>
        <v>37.721819139696542</v>
      </c>
      <c r="C291" s="841"/>
      <c r="D291" s="393">
        <f t="shared" si="102"/>
        <v>40.642639094117094</v>
      </c>
      <c r="E291" s="385">
        <f t="shared" si="100"/>
        <v>42.629803183918973</v>
      </c>
      <c r="F291" s="385">
        <f t="shared" si="103"/>
        <v>42.632917955127361</v>
      </c>
      <c r="G291" s="110">
        <f t="shared" si="101"/>
        <v>0.98016654460471231</v>
      </c>
      <c r="H291" s="414" t="b">
        <f>Wh_hp&gt;='2026'!Maxi_hp</f>
        <v>0</v>
      </c>
      <c r="I291" s="390">
        <f>IF(H291,Wh_hp,'2026'!Maxi_hp)</f>
        <v>42.632998176352956</v>
      </c>
      <c r="J291" s="85">
        <f>IF(H291,An,'2026'!An_max)</f>
        <v>2025</v>
      </c>
      <c r="K291" s="197">
        <f t="shared" si="104"/>
        <v>46664</v>
      </c>
      <c r="L291" s="147">
        <f>IF(t&lt;Tvie,1-EXP((T0-t)*PertePVj)+'2026'!Pspv,1-EXP((T0-t)*PertePVj)+Pspv)</f>
        <v>7.1865902892200073E-2</v>
      </c>
      <c r="M291" s="845"/>
      <c r="N291" s="845"/>
      <c r="O291" s="48">
        <f>IF(t&lt;Tnet,'2026'!Resal+('2026'!Salim-'2026'!Resal)*(1-EXP(('2026'!Tnet-t)/('2026'!Tau_j))),Resal+(Salim-Resal)*(1-EXP((Tnet-t)/(Tau_j))))*Salcycl</f>
        <v>4.6614432659437793E-2</v>
      </c>
      <c r="P291" s="169">
        <f>(INDEX(Models!$BJ291:$BT291,,T291)*(1-R291)+INDEX(Models!$BJ291:$BT291,,T291+1)*R291-ERP_i)*Q291*Ramure*Pc/MaxiM</f>
        <v>7.5190423945723501E-5</v>
      </c>
      <c r="Q291" s="305">
        <f t="shared" si="105"/>
        <v>0.5</v>
      </c>
      <c r="R291" s="177">
        <f t="shared" si="106"/>
        <v>0.46834283649933595</v>
      </c>
      <c r="S291" s="811">
        <f t="shared" si="107"/>
        <v>-1</v>
      </c>
      <c r="T291" s="176">
        <f t="shared" si="108"/>
        <v>5</v>
      </c>
      <c r="U291" s="251">
        <f t="shared" si="109"/>
        <v>-0.53165716350066405</v>
      </c>
      <c r="V291" s="383">
        <f t="shared" si="110"/>
        <v>38.485029903378596</v>
      </c>
      <c r="W291" s="402">
        <f t="shared" si="111"/>
        <v>37.721819139696542</v>
      </c>
      <c r="X291" s="157">
        <f t="shared" si="112"/>
        <v>46664</v>
      </c>
      <c r="Y291" s="385">
        <f t="shared" si="113"/>
        <v>36.373801940667839</v>
      </c>
      <c r="Z291" s="385">
        <f t="shared" si="114"/>
        <v>39.190244226576596</v>
      </c>
      <c r="AA291" s="386">
        <f t="shared" si="115"/>
        <v>42.579921000119946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7.9607399307617357E-2</v>
      </c>
      <c r="AD291" s="231">
        <f>(INDEX(Models!$BJ291:$BT291,,AH291)*(1-AF291)+INDEX(Models!$BJ291:$BT291,,AH291+1)*AF291-ERP_i)*AE291*Ramure*Pc/MaxiM</f>
        <v>1.2793438902058516E-3</v>
      </c>
      <c r="AE291" s="305">
        <f t="shared" si="117"/>
        <v>0.5</v>
      </c>
      <c r="AF291" s="177">
        <f t="shared" si="118"/>
        <v>0.99333040287331498</v>
      </c>
      <c r="AG291" s="811">
        <f t="shared" si="124"/>
        <v>2</v>
      </c>
      <c r="AH291" s="176">
        <f t="shared" si="119"/>
        <v>8</v>
      </c>
      <c r="AI291" s="225">
        <f t="shared" si="120"/>
        <v>2.993330402873315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'2026'!Wh/'2026'!Env_an*'2027'!Env_an</f>
        <v>38.906422029286389</v>
      </c>
      <c r="C292" s="841"/>
      <c r="D292" s="393">
        <f t="shared" si="102"/>
        <v>41.919884550826133</v>
      </c>
      <c r="E292" s="385">
        <f t="shared" si="100"/>
        <v>43.971446362081366</v>
      </c>
      <c r="F292" s="385">
        <f t="shared" si="103"/>
        <v>43.975140189809316</v>
      </c>
      <c r="G292" s="110">
        <f t="shared" si="101"/>
        <v>1.0187468727927422</v>
      </c>
      <c r="H292" s="414" t="b">
        <f>Wh_hp&gt;='2026'!Maxi_hp</f>
        <v>1</v>
      </c>
      <c r="I292" s="390">
        <f>IF(H292,Wh_hp,'2026'!Maxi_hp)</f>
        <v>43.975140189809316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7.1886231410920098E-2</v>
      </c>
      <c r="M292" s="845"/>
      <c r="N292" s="845"/>
      <c r="O292" s="48">
        <f>IF(t&lt;Tnet,'2026'!Resal+('2026'!Salim-'2026'!Resal)*(1-EXP(('2026'!Tnet-t)/('2026'!Tau_j))),Resal+(Salim-Resal)*(1-EXP((Tnet-t)/(Tau_j))))*Salcycl</f>
        <v>4.6656682483485291E-2</v>
      </c>
      <c r="P292" s="169">
        <f>(INDEX(Models!$BJ292:$BT292,,T292)*(1-R292)+INDEX(Models!$BJ292:$BT292,,T292+1)*R292-ERP_i)*Q292*Ramure*Pc/MaxiM</f>
        <v>8.3998088738487862E-5</v>
      </c>
      <c r="Q292" s="305">
        <f t="shared" si="105"/>
        <v>0.5</v>
      </c>
      <c r="R292" s="177">
        <f t="shared" si="106"/>
        <v>0.46851152256331763</v>
      </c>
      <c r="S292" s="811">
        <f t="shared" si="107"/>
        <v>-1</v>
      </c>
      <c r="T292" s="176">
        <f t="shared" si="108"/>
        <v>5</v>
      </c>
      <c r="U292" s="251">
        <f t="shared" si="109"/>
        <v>-0.53148847743668237</v>
      </c>
      <c r="V292" s="383">
        <f t="shared" si="110"/>
        <v>38.190470143609126</v>
      </c>
      <c r="W292" s="402">
        <f t="shared" si="111"/>
        <v>38.906422029286389</v>
      </c>
      <c r="X292" s="157">
        <f t="shared" si="112"/>
        <v>46665</v>
      </c>
      <c r="Y292" s="385">
        <f t="shared" si="113"/>
        <v>37.516279842735365</v>
      </c>
      <c r="Z292" s="385">
        <f t="shared" si="114"/>
        <v>40.422070130225173</v>
      </c>
      <c r="AA292" s="386">
        <f t="shared" si="115"/>
        <v>43.918208033055102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7.9605659233604437E-2</v>
      </c>
      <c r="AD292" s="231">
        <f>(INDEX(Models!$BJ292:$BT292,,AH292)*(1-AF292)+INDEX(Models!$BJ292:$BT292,,AH292+1)*AF292-ERP_i)*AE292*Ramure*Pc/MaxiM</f>
        <v>1.2946441218487426E-3</v>
      </c>
      <c r="AE292" s="305">
        <f t="shared" si="117"/>
        <v>0.5</v>
      </c>
      <c r="AF292" s="177">
        <f t="shared" si="118"/>
        <v>0.99349908893729655</v>
      </c>
      <c r="AG292" s="811">
        <f t="shared" si="124"/>
        <v>2</v>
      </c>
      <c r="AH292" s="176">
        <f t="shared" si="119"/>
        <v>8</v>
      </c>
      <c r="AI292" s="225">
        <f t="shared" si="120"/>
        <v>2.9934990889372965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'2026'!Wh/'2026'!Env_an*'2027'!Env_an</f>
        <v>11.357856817940448</v>
      </c>
      <c r="C293" s="841"/>
      <c r="D293" s="393">
        <f t="shared" si="102"/>
        <v>12.237837616469456</v>
      </c>
      <c r="E293" s="385">
        <f t="shared" si="100"/>
        <v>12.837316824580416</v>
      </c>
      <c r="F293" s="385">
        <f t="shared" si="103"/>
        <v>12.837316824580416</v>
      </c>
      <c r="G293" s="110">
        <f t="shared" si="101"/>
        <v>0.29968353824570182</v>
      </c>
      <c r="H293" s="414" t="b">
        <f>Wh_hp&gt;='2026'!Maxi_hp</f>
        <v>0</v>
      </c>
      <c r="I293" s="390">
        <f>IF(H293,Wh_hp,'2026'!Maxi_hp)</f>
        <v>39.638043153684698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7.1906559484393395E-2</v>
      </c>
      <c r="M293" s="845"/>
      <c r="N293" s="845"/>
      <c r="O293" s="48">
        <f>IF(t&lt;Tnet,'2026'!Resal+('2026'!Salim-'2026'!Resal)*(1-EXP(('2026'!Tnet-t)/('2026'!Tau_j))),Resal+(Salim-Resal)*(1-EXP((Tnet-t)/(Tau_j))))*Salcycl</f>
        <v>4.669817036556273E-2</v>
      </c>
      <c r="P293" s="169">
        <f>(INDEX(Models!$BJ293:$BT293,,T293)*(1-R293)+INDEX(Models!$BJ293:$BT293,,T293+1)*R293-ERP_i)*Q293*Ramure*Pc/MaxiM</f>
        <v>9.2873409955167676E-5</v>
      </c>
      <c r="Q293" s="305">
        <f t="shared" si="105"/>
        <v>0.5</v>
      </c>
      <c r="R293" s="177">
        <f t="shared" si="106"/>
        <v>0.46867352463435674</v>
      </c>
      <c r="S293" s="811">
        <f t="shared" si="107"/>
        <v>-1</v>
      </c>
      <c r="T293" s="176">
        <f t="shared" si="108"/>
        <v>5</v>
      </c>
      <c r="U293" s="251">
        <f t="shared" si="109"/>
        <v>-0.53132647536564326</v>
      </c>
      <c r="V293" s="383">
        <f t="shared" si="110"/>
        <v>37.89598201332258</v>
      </c>
      <c r="W293" s="402">
        <f t="shared" si="111"/>
        <v>11.357856817940448</v>
      </c>
      <c r="X293" s="157">
        <f t="shared" si="112"/>
        <v>46666</v>
      </c>
      <c r="Y293" s="385">
        <f t="shared" si="113"/>
        <v>10.965824107565304</v>
      </c>
      <c r="Z293" s="385">
        <f t="shared" si="114"/>
        <v>11.815431107317373</v>
      </c>
      <c r="AA293" s="386">
        <f t="shared" si="115"/>
        <v>12.837316824580416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7.9602749642072701E-2</v>
      </c>
      <c r="AD293" s="231">
        <f>(INDEX(Models!$BJ293:$BT293,,AH293)*(1-AF293)+INDEX(Models!$BJ293:$BT293,,AH293+1)*AF293-ERP_i)*AE293*Ramure*Pc/MaxiM</f>
        <v>1.3013725316957491E-3</v>
      </c>
      <c r="AE293" s="305">
        <f t="shared" si="117"/>
        <v>0.5</v>
      </c>
      <c r="AF293" s="177">
        <f t="shared" si="118"/>
        <v>0.99366109100833588</v>
      </c>
      <c r="AG293" s="811">
        <f t="shared" si="124"/>
        <v>2</v>
      </c>
      <c r="AH293" s="176">
        <f t="shared" si="119"/>
        <v>8</v>
      </c>
      <c r="AI293" s="225">
        <f t="shared" si="120"/>
        <v>2.9936610910083359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'2026'!Wh/'2026'!Env_an*'2027'!Env_an</f>
        <v>27.761357088560853</v>
      </c>
      <c r="C294" s="841"/>
      <c r="D294" s="393">
        <f t="shared" si="102"/>
        <v>29.912898782501347</v>
      </c>
      <c r="E294" s="385">
        <f t="shared" si="100"/>
        <v>31.379543826392517</v>
      </c>
      <c r="F294" s="385">
        <f t="shared" si="103"/>
        <v>31.381544416183004</v>
      </c>
      <c r="G294" s="110">
        <f t="shared" si="101"/>
        <v>0.73827512691578379</v>
      </c>
      <c r="H294" s="414" t="b">
        <f>Wh_hp&gt;='2026'!Maxi_hp</f>
        <v>0</v>
      </c>
      <c r="I294" s="390">
        <f>IF(H294,Wh_hp,'2026'!Maxi_hp)</f>
        <v>42.817625020301556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7.1926887112629734E-2</v>
      </c>
      <c r="M294" s="845"/>
      <c r="N294" s="845"/>
      <c r="O294" s="48">
        <f>IF(t&lt;Tnet,'2026'!Resal+('2026'!Salim-'2026'!Resal)*(1-EXP(('2026'!Tnet-t)/('2026'!Tau_j))),Resal+(Salim-Resal)*(1-EXP((Tnet-t)/(Tau_j))))*Salcycl</f>
        <v>4.6738889896086093E-2</v>
      </c>
      <c r="P294" s="169">
        <f>(INDEX(Models!$BJ294:$BT294,,T294)*(1-R294)+INDEX(Models!$BJ294:$BT294,,T294+1)*R294-ERP_i)*Q294*Ramure*Pc/MaxiM</f>
        <v>1.0181390687486791E-4</v>
      </c>
      <c r="Q294" s="305">
        <f t="shared" si="105"/>
        <v>0.5</v>
      </c>
      <c r="R294" s="177">
        <f t="shared" si="106"/>
        <v>0.46882910342087958</v>
      </c>
      <c r="S294" s="811">
        <f t="shared" si="107"/>
        <v>-1</v>
      </c>
      <c r="T294" s="176">
        <f t="shared" si="108"/>
        <v>5</v>
      </c>
      <c r="U294" s="251">
        <f t="shared" si="109"/>
        <v>-0.53117089657912042</v>
      </c>
      <c r="V294" s="383">
        <f t="shared" si="110"/>
        <v>37.60156521309613</v>
      </c>
      <c r="W294" s="402">
        <f t="shared" si="111"/>
        <v>27.761357088560853</v>
      </c>
      <c r="X294" s="157">
        <f t="shared" si="112"/>
        <v>46667</v>
      </c>
      <c r="Y294" s="385">
        <f t="shared" si="113"/>
        <v>26.784296771197038</v>
      </c>
      <c r="Z294" s="385">
        <f t="shared" si="114"/>
        <v>28.860115005236171</v>
      </c>
      <c r="AA294" s="386">
        <f t="shared" si="115"/>
        <v>31.35601159088187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7.9598662553482719E-2</v>
      </c>
      <c r="AD294" s="231">
        <f>(INDEX(Models!$BJ294:$BT294,,AH294)*(1-AF294)+INDEX(Models!$BJ294:$BT294,,AH294+1)*AF294-ERP_i)*AE294*Ramure*Pc/MaxiM</f>
        <v>1.2994151573821272E-3</v>
      </c>
      <c r="AE294" s="305">
        <f t="shared" si="117"/>
        <v>0.5</v>
      </c>
      <c r="AF294" s="177">
        <f t="shared" si="118"/>
        <v>0.9938166697948585</v>
      </c>
      <c r="AG294" s="811">
        <f t="shared" si="124"/>
        <v>2</v>
      </c>
      <c r="AH294" s="176">
        <f t="shared" si="119"/>
        <v>8</v>
      </c>
      <c r="AI294" s="225">
        <f t="shared" si="120"/>
        <v>2.9938166697948585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'2026'!Wh/'2026'!Env_an*'2027'!Env_an</f>
        <v>15.131175447007415</v>
      </c>
      <c r="C295" s="841"/>
      <c r="D295" s="393">
        <f t="shared" si="102"/>
        <v>16.304218553175676</v>
      </c>
      <c r="E295" s="385">
        <f t="shared" si="100"/>
        <v>17.104339660101612</v>
      </c>
      <c r="F295" s="385">
        <f t="shared" si="103"/>
        <v>17.104625561480741</v>
      </c>
      <c r="G295" s="110">
        <f t="shared" si="101"/>
        <v>0.40554487317656657</v>
      </c>
      <c r="H295" s="414" t="b">
        <f>Wh_hp&gt;='2026'!Maxi_hp</f>
        <v>0</v>
      </c>
      <c r="I295" s="390">
        <f>IF(H295,Wh_hp,'2026'!Maxi_hp)</f>
        <v>40.412475476580589</v>
      </c>
      <c r="J295" s="85">
        <f>IF(H295,An,'2026'!An_max)</f>
        <v>2019</v>
      </c>
      <c r="K295" s="197">
        <f t="shared" si="104"/>
        <v>46668</v>
      </c>
      <c r="L295" s="147">
        <f>IF(t&lt;Tvie,1-EXP((T0-t)*PertePVj)+'2026'!Pspv,1-EXP((T0-t)*PertePVj)+Pspv)</f>
        <v>7.1947214295638884E-2</v>
      </c>
      <c r="M295" s="845"/>
      <c r="N295" s="845"/>
      <c r="O295" s="48">
        <f>IF(t&lt;Tnet,'2026'!Resal+('2026'!Salim-'2026'!Resal)*(1-EXP(('2026'!Tnet-t)/('2026'!Tau_j))),Resal+(Salim-Resal)*(1-EXP((Tnet-t)/(Tau_j))))*Salcycl</f>
        <v>4.6778836413798167E-2</v>
      </c>
      <c r="P295" s="169">
        <f>(INDEX(Models!$BJ295:$BT295,,T295)*(1-R295)+INDEX(Models!$BJ295:$BT295,,T295+1)*R295-ERP_i)*Q295*Ramure*Pc/MaxiM</f>
        <v>1.1081704272044041E-4</v>
      </c>
      <c r="Q295" s="305">
        <f t="shared" si="105"/>
        <v>0.5</v>
      </c>
      <c r="R295" s="177">
        <f t="shared" si="106"/>
        <v>0.46897850978674083</v>
      </c>
      <c r="S295" s="811">
        <f t="shared" si="107"/>
        <v>-1</v>
      </c>
      <c r="T295" s="176">
        <f t="shared" si="108"/>
        <v>5</v>
      </c>
      <c r="U295" s="251">
        <f t="shared" si="109"/>
        <v>-0.53102149021325917</v>
      </c>
      <c r="V295" s="383">
        <f t="shared" si="110"/>
        <v>37.307219366438993</v>
      </c>
      <c r="W295" s="402">
        <f t="shared" si="111"/>
        <v>15.131175447007415</v>
      </c>
      <c r="X295" s="157">
        <f t="shared" si="112"/>
        <v>46668</v>
      </c>
      <c r="Y295" s="385">
        <f t="shared" si="113"/>
        <v>14.607690359991656</v>
      </c>
      <c r="Z295" s="385">
        <f t="shared" si="114"/>
        <v>15.740150328739013</v>
      </c>
      <c r="AA295" s="386">
        <f t="shared" si="115"/>
        <v>17.101300891070288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7.9593392982285974E-2</v>
      </c>
      <c r="AD295" s="231">
        <f>(INDEX(Models!$BJ295:$BT295,,AH295)*(1-AF295)+INDEX(Models!$BJ295:$BT295,,AH295+1)*AF295-ERP_i)*AE295*Ramure*Pc/MaxiM</f>
        <v>1.2886616497886695E-3</v>
      </c>
      <c r="AE295" s="305">
        <f t="shared" si="117"/>
        <v>0.5</v>
      </c>
      <c r="AF295" s="177">
        <f t="shared" si="118"/>
        <v>0.99396607616071986</v>
      </c>
      <c r="AG295" s="811">
        <f t="shared" si="124"/>
        <v>2</v>
      </c>
      <c r="AH295" s="176">
        <f t="shared" si="119"/>
        <v>8</v>
      </c>
      <c r="AI295" s="225">
        <f t="shared" si="120"/>
        <v>2.9939660761607199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'2026'!Wh/'2026'!Env_an*'2027'!Env_an</f>
        <v>35.588063805248098</v>
      </c>
      <c r="C296" s="841"/>
      <c r="D296" s="393">
        <f t="shared" si="102"/>
        <v>38.347865380568642</v>
      </c>
      <c r="E296" s="385">
        <f t="shared" si="100"/>
        <v>40.231420303032017</v>
      </c>
      <c r="F296" s="385">
        <f t="shared" si="103"/>
        <v>40.235952617539922</v>
      </c>
      <c r="G296" s="110">
        <f t="shared" si="101"/>
        <v>0.96149623263253059</v>
      </c>
      <c r="H296" s="414" t="b">
        <f>Wh_hp&gt;='2026'!Maxi_hp</f>
        <v>0</v>
      </c>
      <c r="I296" s="390">
        <f>IF(H296,Wh_hp,'2026'!Maxi_hp)</f>
        <v>40.236172512085183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7.1967541033430504E-2</v>
      </c>
      <c r="M296" s="845"/>
      <c r="N296" s="845"/>
      <c r="O296" s="48">
        <f>IF(t&lt;Tnet,'2026'!Resal+('2026'!Salim-'2026'!Resal)*(1-EXP(('2026'!Tnet-t)/('2026'!Tau_j))),Resal+(Salim-Resal)*(1-EXP((Tnet-t)/(Tau_j))))*Salcycl</f>
        <v>4.6818007126669121E-2</v>
      </c>
      <c r="P296" s="169">
        <f>(INDEX(Models!$BJ296:$BT296,,T296)*(1-R296)+INDEX(Models!$BJ296:$BT296,,T296+1)*R296-ERP_i)*Q296*Ramure*Pc/MaxiM</f>
        <v>1.1919890809310864E-4</v>
      </c>
      <c r="Q296" s="305">
        <f t="shared" si="105"/>
        <v>0.5</v>
      </c>
      <c r="R296" s="177">
        <f t="shared" si="106"/>
        <v>0.46912198509740333</v>
      </c>
      <c r="S296" s="811">
        <f t="shared" si="107"/>
        <v>-1</v>
      </c>
      <c r="T296" s="176">
        <f t="shared" si="108"/>
        <v>5</v>
      </c>
      <c r="U296" s="251">
        <f t="shared" si="109"/>
        <v>-0.53087801490259667</v>
      </c>
      <c r="V296" s="383">
        <f t="shared" si="110"/>
        <v>37.012969238257035</v>
      </c>
      <c r="W296" s="402">
        <f t="shared" si="111"/>
        <v>35.588063805248098</v>
      </c>
      <c r="X296" s="157">
        <f t="shared" si="112"/>
        <v>46669</v>
      </c>
      <c r="Y296" s="385">
        <f t="shared" si="113"/>
        <v>34.327224176168187</v>
      </c>
      <c r="Z296" s="385">
        <f t="shared" si="114"/>
        <v>36.989249507925621</v>
      </c>
      <c r="AA296" s="386">
        <f t="shared" si="115"/>
        <v>40.187662561966476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7.958693912862265E-2</v>
      </c>
      <c r="AD296" s="231">
        <f>(INDEX(Models!$BJ296:$BT296,,AH296)*(1-AF296)+INDEX(Models!$BJ296:$BT296,,AH296+1)*AF296-ERP_i)*AE296*Ramure*Pc/MaxiM</f>
        <v>1.2700181962359033E-3</v>
      </c>
      <c r="AE296" s="305">
        <f t="shared" si="117"/>
        <v>0.5</v>
      </c>
      <c r="AF296" s="177">
        <f t="shared" si="118"/>
        <v>0.99410955147138225</v>
      </c>
      <c r="AG296" s="811">
        <f t="shared" si="124"/>
        <v>2</v>
      </c>
      <c r="AH296" s="176">
        <f t="shared" si="119"/>
        <v>8</v>
      </c>
      <c r="AI296" s="225">
        <f t="shared" si="120"/>
        <v>2.9941095514713822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'2026'!Wh/'2026'!Env_an*'2027'!Env_an</f>
        <v>29.331214883478339</v>
      </c>
      <c r="C297" s="841"/>
      <c r="D297" s="393">
        <f t="shared" si="102"/>
        <v>31.606499366514761</v>
      </c>
      <c r="E297" s="385">
        <f t="shared" ref="E297:E360" si="125">Wh_pvt/(1-Psa)</f>
        <v>33.16027029629015</v>
      </c>
      <c r="F297" s="385">
        <f t="shared" si="103"/>
        <v>33.163260939979352</v>
      </c>
      <c r="G297" s="110">
        <f t="shared" ref="G297:G360" si="126">+Wh_hp/MaxiM</f>
        <v>0.79877678799525231</v>
      </c>
      <c r="H297" s="414" t="b">
        <f>Wh_hp&gt;='2026'!Maxi_hp</f>
        <v>0</v>
      </c>
      <c r="I297" s="390">
        <f>IF(H297,Wh_hp,'2026'!Maxi_hp)</f>
        <v>33.164255329044202</v>
      </c>
      <c r="J297" s="85">
        <f>IF(H297,An,'2026'!An_max)</f>
        <v>2025</v>
      </c>
      <c r="K297" s="197">
        <f t="shared" si="104"/>
        <v>46670</v>
      </c>
      <c r="L297" s="147">
        <f>IF(t&lt;Tvie,1-EXP((T0-t)*PertePVj)+'2026'!Pspv,1-EXP((T0-t)*PertePVj)+Pspv)</f>
        <v>7.1987867326014365E-2</v>
      </c>
      <c r="M297" s="845"/>
      <c r="N297" s="845"/>
      <c r="O297" s="48">
        <f>IF(t&lt;Tnet,'2026'!Resal+('2026'!Salim-'2026'!Resal)*(1-EXP(('2026'!Tnet-t)/('2026'!Tau_j))),Resal+(Salim-Resal)*(1-EXP((Tnet-t)/(Tau_j))))*Salcycl</f>
        <v>4.6856401226295898E-2</v>
      </c>
      <c r="P297" s="169">
        <f>(INDEX(Models!$BJ297:$BT297,,T297)*(1-R297)+INDEX(Models!$BJ297:$BT297,,T297+1)*R297-ERP_i)*Q297*Ramure*Pc/MaxiM</f>
        <v>1.265534386995774E-4</v>
      </c>
      <c r="Q297" s="305">
        <f t="shared" si="105"/>
        <v>0.5</v>
      </c>
      <c r="R297" s="177">
        <f t="shared" si="106"/>
        <v>0.46925976155599447</v>
      </c>
      <c r="S297" s="811">
        <f t="shared" si="107"/>
        <v>-1</v>
      </c>
      <c r="T297" s="176">
        <f t="shared" si="108"/>
        <v>5</v>
      </c>
      <c r="U297" s="251">
        <f t="shared" si="109"/>
        <v>-0.53074023844400553</v>
      </c>
      <c r="V297" s="383">
        <f t="shared" si="110"/>
        <v>36.718828506218095</v>
      </c>
      <c r="W297" s="402">
        <f t="shared" si="111"/>
        <v>29.331214883478339</v>
      </c>
      <c r="X297" s="157">
        <f t="shared" si="112"/>
        <v>46670</v>
      </c>
      <c r="Y297" s="385">
        <f t="shared" si="113"/>
        <v>28.301591563176423</v>
      </c>
      <c r="Z297" s="385">
        <f t="shared" si="114"/>
        <v>30.497005983777246</v>
      </c>
      <c r="AA297" s="386">
        <f t="shared" si="115"/>
        <v>33.133768143777395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7.9579302557995932E-2</v>
      </c>
      <c r="AD297" s="231">
        <f>(INDEX(Models!$BJ297:$BT297,,AH297)*(1-AF297)+INDEX(Models!$BJ297:$BT297,,AH297+1)*AF297-ERP_i)*AE297*Ramure*Pc/MaxiM</f>
        <v>1.2480305794025435E-3</v>
      </c>
      <c r="AE297" s="305">
        <f t="shared" si="117"/>
        <v>0.5</v>
      </c>
      <c r="AF297" s="177">
        <f t="shared" si="118"/>
        <v>0.9942473279299735</v>
      </c>
      <c r="AG297" s="811">
        <f t="shared" si="124"/>
        <v>2</v>
      </c>
      <c r="AH297" s="176">
        <f t="shared" si="119"/>
        <v>8</v>
      </c>
      <c r="AI297" s="225">
        <f t="shared" si="120"/>
        <v>2.9942473279299735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'2026'!Wh/'2026'!Env_an*'2027'!Env_an</f>
        <v>21.329488065060445</v>
      </c>
      <c r="C298" s="841"/>
      <c r="D298" s="393">
        <f t="shared" si="102"/>
        <v>22.98456506636591</v>
      </c>
      <c r="E298" s="385">
        <f t="shared" si="125"/>
        <v>24.115434745500291</v>
      </c>
      <c r="F298" s="385">
        <f t="shared" si="103"/>
        <v>24.116741983751361</v>
      </c>
      <c r="G298" s="110">
        <f t="shared" si="126"/>
        <v>0.58552998206915396</v>
      </c>
      <c r="H298" s="414" t="b">
        <f>Wh_hp&gt;='2026'!Maxi_hp</f>
        <v>0</v>
      </c>
      <c r="I298" s="390">
        <f>IF(H298,Wh_hp,'2026'!Maxi_hp)</f>
        <v>42.375150802238252</v>
      </c>
      <c r="J298" s="85">
        <f>IF(H298,An,'2026'!An_max)</f>
        <v>2019</v>
      </c>
      <c r="K298" s="197">
        <f t="shared" si="104"/>
        <v>46671</v>
      </c>
      <c r="L298" s="147">
        <f>IF(t&lt;Tvie,1-EXP((T0-t)*PertePVj)+'2026'!Pspv,1-EXP((T0-t)*PertePVj)+Pspv)</f>
        <v>7.2008193173400237E-2</v>
      </c>
      <c r="M298" s="845"/>
      <c r="N298" s="845"/>
      <c r="O298" s="48">
        <f>IF(t&lt;Tnet,'2026'!Resal+('2026'!Salim-'2026'!Resal)*(1-EXP(('2026'!Tnet-t)/('2026'!Tau_j))),Resal+(Salim-Resal)*(1-EXP((Tnet-t)/(Tau_j))))*Salcycl</f>
        <v>4.6894019994617397E-2</v>
      </c>
      <c r="P298" s="169">
        <f>(INDEX(Models!$BJ298:$BT298,,T298)*(1-R298)+INDEX(Models!$BJ298:$BT298,,T298+1)*R298-ERP_i)*Q298*Ramure*Pc/MaxiM</f>
        <v>1.3286554497682167E-4</v>
      </c>
      <c r="Q298" s="305">
        <f t="shared" si="105"/>
        <v>0.5</v>
      </c>
      <c r="R298" s="177">
        <f t="shared" si="106"/>
        <v>0.46939206252936083</v>
      </c>
      <c r="S298" s="811">
        <f t="shared" si="107"/>
        <v>-1</v>
      </c>
      <c r="T298" s="176">
        <f t="shared" si="108"/>
        <v>5</v>
      </c>
      <c r="U298" s="251">
        <f t="shared" si="109"/>
        <v>-0.53060793747063917</v>
      </c>
      <c r="V298" s="383">
        <f t="shared" si="110"/>
        <v>36.424796047105644</v>
      </c>
      <c r="W298" s="402">
        <f t="shared" si="111"/>
        <v>21.329488065060445</v>
      </c>
      <c r="X298" s="157">
        <f t="shared" si="112"/>
        <v>46671</v>
      </c>
      <c r="Y298" s="385">
        <f t="shared" si="113"/>
        <v>20.589065300664728</v>
      </c>
      <c r="Z298" s="385">
        <f t="shared" si="114"/>
        <v>22.186688663849274</v>
      </c>
      <c r="AA298" s="386">
        <f t="shared" si="115"/>
        <v>24.104712401589815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7.9570488366998204E-2</v>
      </c>
      <c r="AD298" s="231">
        <f>(INDEX(Models!$BJ298:$BT298,,AH298)*(1-AF298)+INDEX(Models!$BJ298:$BT298,,AH298+1)*AF298-ERP_i)*AE298*Ramure*Pc/MaxiM</f>
        <v>1.2226669380491148E-3</v>
      </c>
      <c r="AE298" s="305">
        <f t="shared" si="117"/>
        <v>0.5</v>
      </c>
      <c r="AF298" s="177">
        <f t="shared" si="118"/>
        <v>0.99437962890333953</v>
      </c>
      <c r="AG298" s="811">
        <f t="shared" si="124"/>
        <v>2</v>
      </c>
      <c r="AH298" s="176">
        <f t="shared" si="119"/>
        <v>8</v>
      </c>
      <c r="AI298" s="225">
        <f t="shared" si="120"/>
        <v>2.9943796289033395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'2026'!Wh/'2026'!Env_an*'2027'!Env_an</f>
        <v>26.640699050717071</v>
      </c>
      <c r="C299" s="841"/>
      <c r="D299" s="393">
        <f t="shared" si="102"/>
        <v>28.708532087456589</v>
      </c>
      <c r="E299" s="385">
        <f t="shared" si="125"/>
        <v>30.122192704040092</v>
      </c>
      <c r="F299" s="385">
        <f t="shared" si="103"/>
        <v>30.12479228174767</v>
      </c>
      <c r="G299" s="110">
        <f t="shared" si="126"/>
        <v>0.73730075600198286</v>
      </c>
      <c r="H299" s="414" t="b">
        <f>Wh_hp&gt;='2026'!Maxi_hp</f>
        <v>0</v>
      </c>
      <c r="I299" s="390">
        <f>IF(H299,Wh_hp,'2026'!Maxi_hp)</f>
        <v>39.768274465309958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7.2028518575598E-2</v>
      </c>
      <c r="M299" s="845"/>
      <c r="N299" s="845"/>
      <c r="O299" s="48">
        <f>IF(t&lt;Tnet,'2026'!Resal+('2026'!Salim-'2026'!Resal)*(1-EXP(('2026'!Tnet-t)/('2026'!Tau_j))),Resal+(Salim-Resal)*(1-EXP((Tnet-t)/(Tau_j))))*Salcycl</f>
        <v>4.693086690179428E-2</v>
      </c>
      <c r="P299" s="169">
        <f>(INDEX(Models!$BJ299:$BT299,,T299)*(1-R299)+INDEX(Models!$BJ299:$BT299,,T299+1)*R299-ERP_i)*Q299*Ramure*Pc/MaxiM</f>
        <v>1.3812064632096093E-4</v>
      </c>
      <c r="Q299" s="305">
        <f t="shared" si="105"/>
        <v>0.5</v>
      </c>
      <c r="R299" s="177">
        <f t="shared" si="106"/>
        <v>0.46951910286426224</v>
      </c>
      <c r="S299" s="811">
        <f t="shared" si="107"/>
        <v>-1</v>
      </c>
      <c r="T299" s="176">
        <f t="shared" si="108"/>
        <v>5</v>
      </c>
      <c r="U299" s="251">
        <f t="shared" si="109"/>
        <v>-0.53048089713573776</v>
      </c>
      <c r="V299" s="383">
        <f t="shared" si="110"/>
        <v>36.130870620685513</v>
      </c>
      <c r="W299" s="402">
        <f t="shared" si="111"/>
        <v>26.640699050717071</v>
      </c>
      <c r="X299" s="157">
        <f t="shared" si="112"/>
        <v>46672</v>
      </c>
      <c r="Y299" s="385">
        <f t="shared" si="113"/>
        <v>25.711645400954566</v>
      </c>
      <c r="Z299" s="385">
        <f t="shared" si="114"/>
        <v>27.707365921944216</v>
      </c>
      <c r="AA299" s="386">
        <f t="shared" si="115"/>
        <v>30.102321860901103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7.9560505333231918E-2</v>
      </c>
      <c r="AD299" s="231">
        <f>(INDEX(Models!$BJ299:$BT299,,AH299)*(1-AF299)+INDEX(Models!$BJ299:$BT299,,AH299+1)*AF299-ERP_i)*AE299*Ramure*Pc/MaxiM</f>
        <v>1.1938973939436676E-3</v>
      </c>
      <c r="AE299" s="305">
        <f t="shared" si="117"/>
        <v>0.5</v>
      </c>
      <c r="AF299" s="177">
        <f t="shared" si="118"/>
        <v>0.99450666923824116</v>
      </c>
      <c r="AG299" s="811">
        <f t="shared" si="124"/>
        <v>2</v>
      </c>
      <c r="AH299" s="176">
        <f t="shared" si="119"/>
        <v>8</v>
      </c>
      <c r="AI299" s="225">
        <f t="shared" si="120"/>
        <v>2.9945066692382412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'2026'!Wh/'2026'!Env_an*'2027'!Env_an</f>
        <v>21.985777204844016</v>
      </c>
      <c r="C300" s="841"/>
      <c r="D300" s="393">
        <f t="shared" si="102"/>
        <v>23.692817290666106</v>
      </c>
      <c r="E300" s="385">
        <f t="shared" si="125"/>
        <v>24.8604360922652</v>
      </c>
      <c r="F300" s="385">
        <f t="shared" si="103"/>
        <v>24.862020567247679</v>
      </c>
      <c r="G300" s="110">
        <f t="shared" si="126"/>
        <v>0.6134447185748253</v>
      </c>
      <c r="H300" s="414" t="b">
        <f>Wh_hp&gt;='2026'!Maxi_hp</f>
        <v>0</v>
      </c>
      <c r="I300" s="390">
        <f>IF(H300,Wh_hp,'2026'!Maxi_hp)</f>
        <v>39.855056795061437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7.2048843532617202E-2</v>
      </c>
      <c r="M300" s="845"/>
      <c r="N300" s="845"/>
      <c r="O300" s="48">
        <f>IF(t&lt;Tnet,'2026'!Resal+('2026'!Salim-'2026'!Resal)*(1-EXP(('2026'!Tnet-t)/('2026'!Tau_j))),Resal+(Salim-Resal)*(1-EXP((Tnet-t)/(Tau_j))))*Salcycl</f>
        <v>4.6966947694146534E-2</v>
      </c>
      <c r="P300" s="169">
        <f>(INDEX(Models!$BJ300:$BT300,,T300)*(1-R300)+INDEX(Models!$BJ300:$BT300,,T300+1)*R300-ERP_i)*Q300*Ramure*Pc/MaxiM</f>
        <v>1.4230470501396217E-4</v>
      </c>
      <c r="Q300" s="305">
        <f t="shared" si="105"/>
        <v>0.5</v>
      </c>
      <c r="R300" s="177">
        <f t="shared" si="106"/>
        <v>0.46964108919385639</v>
      </c>
      <c r="S300" s="811">
        <f t="shared" si="107"/>
        <v>-1</v>
      </c>
      <c r="T300" s="176">
        <f t="shared" si="108"/>
        <v>5</v>
      </c>
      <c r="U300" s="251">
        <f t="shared" si="109"/>
        <v>-0.53035891080614361</v>
      </c>
      <c r="V300" s="383">
        <f t="shared" si="110"/>
        <v>35.83705086929254</v>
      </c>
      <c r="W300" s="402">
        <f t="shared" si="111"/>
        <v>21.985777204844016</v>
      </c>
      <c r="X300" s="157">
        <f t="shared" si="112"/>
        <v>46673</v>
      </c>
      <c r="Y300" s="385">
        <f t="shared" si="113"/>
        <v>21.224429941115922</v>
      </c>
      <c r="Z300" s="385">
        <f t="shared" si="114"/>
        <v>22.872356797221098</v>
      </c>
      <c r="AA300" s="386">
        <f t="shared" si="115"/>
        <v>24.849085821158006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7.9549366047655751E-2</v>
      </c>
      <c r="AD300" s="231">
        <f>(INDEX(Models!$BJ300:$BT300,,AH300)*(1-AF300)+INDEX(Models!$BJ300:$BT300,,AH300+1)*AF300-ERP_i)*AE300*Ramure*Pc/MaxiM</f>
        <v>1.1616940924123647E-3</v>
      </c>
      <c r="AE300" s="305">
        <f t="shared" si="117"/>
        <v>0.5</v>
      </c>
      <c r="AF300" s="177">
        <f t="shared" si="118"/>
        <v>0.9946286555678352</v>
      </c>
      <c r="AG300" s="811">
        <f t="shared" si="124"/>
        <v>2</v>
      </c>
      <c r="AH300" s="176">
        <f t="shared" si="119"/>
        <v>8</v>
      </c>
      <c r="AI300" s="225">
        <f t="shared" si="120"/>
        <v>2.9946286555678352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'2026'!Wh/'2026'!Env_an*'2027'!Env_an</f>
        <v>18.661893943055681</v>
      </c>
      <c r="C301" s="841"/>
      <c r="D301" s="393">
        <f t="shared" si="102"/>
        <v>20.111298493797634</v>
      </c>
      <c r="E301" s="385">
        <f t="shared" si="125"/>
        <v>21.103196650572603</v>
      </c>
      <c r="F301" s="385">
        <f t="shared" si="103"/>
        <v>21.104183201137705</v>
      </c>
      <c r="G301" s="110">
        <f t="shared" si="126"/>
        <v>0.52499442026969567</v>
      </c>
      <c r="H301" s="414" t="b">
        <f>Wh_hp&gt;='2026'!Maxi_hp</f>
        <v>0</v>
      </c>
      <c r="I301" s="390">
        <f>IF(H301,Wh_hp,'2026'!Maxi_hp)</f>
        <v>41.909965007378638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7.2069168044467724E-2</v>
      </c>
      <c r="M301" s="845"/>
      <c r="N301" s="845"/>
      <c r="O301" s="48">
        <f>IF(t&lt;Tnet,'2026'!Resal+('2026'!Salim-'2026'!Resal)*(1-EXP(('2026'!Tnet-t)/('2026'!Tau_j))),Resal+(Salim-Resal)*(1-EXP((Tnet-t)/(Tau_j))))*Salcycl</f>
        <v>4.7002270471097257E-2</v>
      </c>
      <c r="P301" s="169">
        <f>(INDEX(Models!$BJ301:$BT301,,T301)*(1-R301)+INDEX(Models!$BJ301:$BT301,,T301+1)*R301-ERP_i)*Q301*Ramure*Pc/MaxiM</f>
        <v>1.4540425446915982E-4</v>
      </c>
      <c r="Q301" s="305">
        <f t="shared" si="105"/>
        <v>0.5</v>
      </c>
      <c r="R301" s="177">
        <f t="shared" si="106"/>
        <v>0.4697582202346372</v>
      </c>
      <c r="S301" s="811">
        <f t="shared" si="107"/>
        <v>-1</v>
      </c>
      <c r="T301" s="176">
        <f t="shared" si="108"/>
        <v>5</v>
      </c>
      <c r="U301" s="251">
        <f t="shared" si="109"/>
        <v>-0.5302417797653628</v>
      </c>
      <c r="V301" s="383">
        <f t="shared" si="110"/>
        <v>35.543335318241965</v>
      </c>
      <c r="W301" s="402">
        <f t="shared" si="111"/>
        <v>18.661893943055681</v>
      </c>
      <c r="X301" s="157">
        <f t="shared" si="112"/>
        <v>46674</v>
      </c>
      <c r="Y301" s="385">
        <f t="shared" si="113"/>
        <v>18.019104309558291</v>
      </c>
      <c r="Z301" s="385">
        <f t="shared" si="114"/>
        <v>19.418585619775797</v>
      </c>
      <c r="AA301" s="386">
        <f t="shared" si="115"/>
        <v>21.096543213316856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7.9537087027692535E-2</v>
      </c>
      <c r="AD301" s="231">
        <f>(INDEX(Models!$BJ301:$BT301,,AH301)*(1-AF301)+INDEX(Models!$BJ301:$BT301,,AH301+1)*AF301-ERP_i)*AE301*Ramure*Pc/MaxiM</f>
        <v>1.1260312167884711E-3</v>
      </c>
      <c r="AE301" s="305">
        <f t="shared" si="117"/>
        <v>0.5</v>
      </c>
      <c r="AF301" s="177">
        <f t="shared" si="118"/>
        <v>0.99474578660861601</v>
      </c>
      <c r="AG301" s="811">
        <f t="shared" si="124"/>
        <v>2</v>
      </c>
      <c r="AH301" s="176">
        <f t="shared" si="119"/>
        <v>8</v>
      </c>
      <c r="AI301" s="225">
        <f t="shared" si="120"/>
        <v>2.994745786608616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'2026'!Wh/'2026'!Env_an*'2027'!Env_an</f>
        <v>34.559672935555874</v>
      </c>
      <c r="C302" s="841"/>
      <c r="D302" s="393">
        <f t="shared" si="102"/>
        <v>37.24461857230736</v>
      </c>
      <c r="E302" s="385">
        <f t="shared" si="125"/>
        <v>39.082957621404525</v>
      </c>
      <c r="F302" s="385">
        <f t="shared" si="103"/>
        <v>39.088558389918937</v>
      </c>
      <c r="G302" s="110">
        <f t="shared" si="126"/>
        <v>0.98041993292869711</v>
      </c>
      <c r="H302" s="414" t="b">
        <f>Wh_hp&gt;='2026'!Maxi_hp</f>
        <v>0</v>
      </c>
      <c r="I302" s="390">
        <f>IF(H302,Wh_hp,'2026'!Maxi_hp)</f>
        <v>39.088683998488683</v>
      </c>
      <c r="J302" s="85">
        <f>IF(H302,An,'2026'!An_max)</f>
        <v>2025</v>
      </c>
      <c r="K302" s="197">
        <f t="shared" si="104"/>
        <v>46675</v>
      </c>
      <c r="L302" s="147">
        <f>IF(t&lt;Tvie,1-EXP((T0-t)*PertePVj)+'2026'!Pspv,1-EXP((T0-t)*PertePVj)+Pspv)</f>
        <v>7.2089492111159226E-2</v>
      </c>
      <c r="M302" s="845"/>
      <c r="N302" s="845"/>
      <c r="O302" s="48">
        <f>IF(t&lt;Tnet,'2026'!Resal+('2026'!Salim-'2026'!Resal)*(1-EXP(('2026'!Tnet-t)/('2026'!Tau_j))),Resal+(Salim-Resal)*(1-EXP((Tnet-t)/(Tau_j))))*Salcycl</f>
        <v>4.7036845750137536E-2</v>
      </c>
      <c r="P302" s="169">
        <f>(INDEX(Models!$BJ302:$BT302,,T302)*(1-R302)+INDEX(Models!$BJ302:$BT302,,T302+1)*R302-ERP_i)*Q302*Ramure*Pc/MaxiM</f>
        <v>1.4740642098843315E-4</v>
      </c>
      <c r="Q302" s="305">
        <f t="shared" si="105"/>
        <v>0.5</v>
      </c>
      <c r="R302" s="177">
        <f t="shared" si="106"/>
        <v>0.46987068707400326</v>
      </c>
      <c r="S302" s="811">
        <f t="shared" si="107"/>
        <v>-1</v>
      </c>
      <c r="T302" s="176">
        <f t="shared" si="108"/>
        <v>5</v>
      </c>
      <c r="U302" s="251">
        <f t="shared" si="109"/>
        <v>-0.53012931292599674</v>
      </c>
      <c r="V302" s="383">
        <f t="shared" si="110"/>
        <v>35.249722377114345</v>
      </c>
      <c r="W302" s="402">
        <f t="shared" si="111"/>
        <v>34.559672935555874</v>
      </c>
      <c r="X302" s="157">
        <f t="shared" si="112"/>
        <v>46675</v>
      </c>
      <c r="Y302" s="385">
        <f t="shared" si="113"/>
        <v>33.351033196928753</v>
      </c>
      <c r="Z302" s="385">
        <f t="shared" si="114"/>
        <v>35.942079449890279</v>
      </c>
      <c r="AA302" s="386">
        <f t="shared" si="115"/>
        <v>39.047261741485585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7.9523688809559137E-2</v>
      </c>
      <c r="AD302" s="231">
        <f>(INDEX(Models!$BJ302:$BT302,,AH302)*(1-AF302)+INDEX(Models!$BJ302:$BT302,,AH302+1)*AF302-ERP_i)*AE302*Ramure*Pc/MaxiM</f>
        <v>1.0868849745738912E-3</v>
      </c>
      <c r="AE302" s="305">
        <f t="shared" si="117"/>
        <v>0.5</v>
      </c>
      <c r="AF302" s="177">
        <f t="shared" si="118"/>
        <v>0.99485825344798196</v>
      </c>
      <c r="AG302" s="811">
        <f t="shared" si="124"/>
        <v>2</v>
      </c>
      <c r="AH302" s="176">
        <f t="shared" si="119"/>
        <v>8</v>
      </c>
      <c r="AI302" s="225">
        <f t="shared" si="120"/>
        <v>2.994858253447982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'2026'!Wh/'2026'!Env_an*'2027'!Env_an</f>
        <v>31.037572926595189</v>
      </c>
      <c r="C303" s="841"/>
      <c r="D303" s="393">
        <f t="shared" si="102"/>
        <v>33.449618772617768</v>
      </c>
      <c r="E303" s="385">
        <f t="shared" si="125"/>
        <v>35.101888775385397</v>
      </c>
      <c r="F303" s="385">
        <f t="shared" si="103"/>
        <v>35.106261506030698</v>
      </c>
      <c r="G303" s="110">
        <f t="shared" si="126"/>
        <v>0.88789848878474753</v>
      </c>
      <c r="H303" s="414" t="b">
        <f>Wh_hp&gt;='2026'!Maxi_hp</f>
        <v>0</v>
      </c>
      <c r="I303" s="390">
        <f>IF(H303,Wh_hp,'2026'!Maxi_hp)</f>
        <v>38.517225515333379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7.2109815732701477E-2</v>
      </c>
      <c r="M303" s="845"/>
      <c r="N303" s="845"/>
      <c r="O303" s="48">
        <f>IF(t&lt;Tnet,'2026'!Resal+('2026'!Salim-'2026'!Resal)*(1-EXP(('2026'!Tnet-t)/('2026'!Tau_j))),Resal+(Salim-Resal)*(1-EXP((Tnet-t)/(Tau_j))))*Salcycl</f>
        <v>4.7070686518904829E-2</v>
      </c>
      <c r="P303" s="169">
        <f>(INDEX(Models!$BJ303:$BT303,,T303)*(1-R303)+INDEX(Models!$BJ303:$BT303,,T303+1)*R303-ERP_i)*Q303*Ramure*Pc/MaxiM</f>
        <v>1.4830242818596642E-4</v>
      </c>
      <c r="Q303" s="305">
        <f t="shared" si="105"/>
        <v>0.5</v>
      </c>
      <c r="R303" s="177">
        <f t="shared" si="106"/>
        <v>0.4699786734486362</v>
      </c>
      <c r="S303" s="811">
        <f t="shared" si="107"/>
        <v>-1</v>
      </c>
      <c r="T303" s="176">
        <f t="shared" si="108"/>
        <v>5</v>
      </c>
      <c r="U303" s="251">
        <f t="shared" si="109"/>
        <v>-0.5300213265513638</v>
      </c>
      <c r="V303" s="383">
        <f t="shared" si="110"/>
        <v>34.955387610618793</v>
      </c>
      <c r="W303" s="402">
        <f t="shared" si="111"/>
        <v>31.037572926595189</v>
      </c>
      <c r="X303" s="157">
        <f t="shared" si="112"/>
        <v>46676</v>
      </c>
      <c r="Y303" s="385">
        <f t="shared" si="113"/>
        <v>29.958464499182</v>
      </c>
      <c r="Z303" s="385">
        <f t="shared" si="114"/>
        <v>32.286648794370507</v>
      </c>
      <c r="AA303" s="386">
        <f t="shared" si="115"/>
        <v>35.075471318903652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7.9509196018419118E-2</v>
      </c>
      <c r="AD303" s="231">
        <f>(INDEX(Models!$BJ303:$BT303,,AH303)*(1-AF303)+INDEX(Models!$BJ303:$BT303,,AH303+1)*AF303-ERP_i)*AE303*Ramure*Pc/MaxiM</f>
        <v>1.0442581273903985E-3</v>
      </c>
      <c r="AE303" s="305">
        <f t="shared" si="117"/>
        <v>0.5</v>
      </c>
      <c r="AF303" s="177">
        <f t="shared" si="118"/>
        <v>0.9949662398226149</v>
      </c>
      <c r="AG303" s="811">
        <f t="shared" si="124"/>
        <v>2</v>
      </c>
      <c r="AH303" s="176">
        <f t="shared" si="119"/>
        <v>8</v>
      </c>
      <c r="AI303" s="225">
        <f t="shared" si="120"/>
        <v>2.9949662398226149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'2026'!Wh/'2026'!Env_an*'2027'!Env_an</f>
        <v>18.834142020033838</v>
      </c>
      <c r="C304" s="841"/>
      <c r="D304" s="393">
        <f t="shared" si="102"/>
        <v>20.298258203893546</v>
      </c>
      <c r="E304" s="385">
        <f t="shared" si="125"/>
        <v>21.301646895153819</v>
      </c>
      <c r="F304" s="385">
        <f t="shared" si="103"/>
        <v>21.302743747040484</v>
      </c>
      <c r="G304" s="110">
        <f t="shared" si="126"/>
        <v>0.54334833151391215</v>
      </c>
      <c r="H304" s="414" t="b">
        <f>Wh_hp&gt;='2026'!Maxi_hp</f>
        <v>0</v>
      </c>
      <c r="I304" s="390">
        <f>IF(H304,Wh_hp,'2026'!Maxi_hp)</f>
        <v>36.170374756257267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7.2130138909104358E-2</v>
      </c>
      <c r="M304" s="845"/>
      <c r="N304" s="845"/>
      <c r="O304" s="48">
        <f>IF(t&lt;Tnet,'2026'!Resal+('2026'!Salim-'2026'!Resal)*(1-EXP(('2026'!Tnet-t)/('2026'!Tau_j))),Resal+(Salim-Resal)*(1-EXP((Tnet-t)/(Tau_j))))*Salcycl</f>
        <v>4.7103808273554135E-2</v>
      </c>
      <c r="P304" s="169">
        <f>(INDEX(Models!$BJ304:$BT304,,T304)*(1-R304)+INDEX(Models!$BJ304:$BT304,,T304+1)*R304-ERP_i)*Q304*Ramure*Pc/MaxiM</f>
        <v>1.4807728584408317E-4</v>
      </c>
      <c r="Q304" s="305">
        <f t="shared" si="105"/>
        <v>0.5</v>
      </c>
      <c r="R304" s="177">
        <f t="shared" si="106"/>
        <v>0.47008235601388104</v>
      </c>
      <c r="S304" s="811">
        <f t="shared" si="107"/>
        <v>-1</v>
      </c>
      <c r="T304" s="176">
        <f t="shared" si="108"/>
        <v>5</v>
      </c>
      <c r="U304" s="251">
        <f t="shared" si="109"/>
        <v>-0.52991764398611896</v>
      </c>
      <c r="V304" s="383">
        <f t="shared" si="110"/>
        <v>34.659759995767331</v>
      </c>
      <c r="W304" s="402">
        <f t="shared" si="111"/>
        <v>18.834142020033838</v>
      </c>
      <c r="X304" s="157">
        <f t="shared" si="112"/>
        <v>46677</v>
      </c>
      <c r="Y304" s="385">
        <f t="shared" si="113"/>
        <v>18.188557438054662</v>
      </c>
      <c r="Z304" s="385">
        <f t="shared" si="114"/>
        <v>19.602487590954183</v>
      </c>
      <c r="AA304" s="386">
        <f t="shared" si="115"/>
        <v>21.29533090451239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7.9493637415115254E-2</v>
      </c>
      <c r="AD304" s="231">
        <f>(INDEX(Models!$BJ304:$BT304,,AH304)*(1-AF304)+INDEX(Models!$BJ304:$BT304,,AH304+1)*AF304-ERP_i)*AE304*Ramure*Pc/MaxiM</f>
        <v>1.0007491579253863E-3</v>
      </c>
      <c r="AE304" s="305">
        <f t="shared" si="117"/>
        <v>0.5</v>
      </c>
      <c r="AF304" s="177">
        <f t="shared" si="118"/>
        <v>0.99506992238785985</v>
      </c>
      <c r="AG304" s="811">
        <f t="shared" si="124"/>
        <v>2</v>
      </c>
      <c r="AH304" s="176">
        <f t="shared" si="119"/>
        <v>8</v>
      </c>
      <c r="AI304" s="225">
        <f t="shared" si="120"/>
        <v>2.9950699223878599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'2026'!Wh/'2026'!Env_an*'2027'!Env_an</f>
        <v>31.970534391021832</v>
      </c>
      <c r="C305" s="841"/>
      <c r="D305" s="393">
        <f t="shared" si="102"/>
        <v>34.456593520048145</v>
      </c>
      <c r="E305" s="385">
        <f t="shared" si="125"/>
        <v>36.161090987257346</v>
      </c>
      <c r="F305" s="385">
        <f t="shared" si="103"/>
        <v>36.165882755818224</v>
      </c>
      <c r="G305" s="110">
        <f t="shared" si="126"/>
        <v>0.93035757095223059</v>
      </c>
      <c r="H305" s="414" t="b">
        <f>Wh_hp&gt;='2026'!Maxi_hp</f>
        <v>0</v>
      </c>
      <c r="I305" s="390">
        <f>IF(H305,Wh_hp,'2026'!Maxi_hp)</f>
        <v>37.794322636082605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7.2150461640377417E-2</v>
      </c>
      <c r="M305" s="845"/>
      <c r="N305" s="845"/>
      <c r="O305" s="48">
        <f>IF(t&lt;Tnet,'2026'!Resal+('2026'!Salim-'2026'!Resal)*(1-EXP(('2026'!Tnet-t)/('2026'!Tau_j))),Resal+(Salim-Resal)*(1-EXP((Tnet-t)/(Tau_j))))*Salcycl</f>
        <v>4.7136229042698014E-2</v>
      </c>
      <c r="P305" s="169">
        <f>(INDEX(Models!$BJ305:$BT305,,T305)*(1-R305)+INDEX(Models!$BJ305:$BT305,,T305+1)*R305-ERP_i)*Q305*Ramure*Pc/MaxiM</f>
        <v>1.4712905596823701E-4</v>
      </c>
      <c r="Q305" s="305">
        <f t="shared" si="105"/>
        <v>0.5</v>
      </c>
      <c r="R305" s="177">
        <f t="shared" si="106"/>
        <v>0.47018190460432152</v>
      </c>
      <c r="S305" s="811">
        <f t="shared" si="107"/>
        <v>-1</v>
      </c>
      <c r="T305" s="176">
        <f t="shared" si="108"/>
        <v>5</v>
      </c>
      <c r="U305" s="251">
        <f t="shared" si="109"/>
        <v>-0.52981809539567848</v>
      </c>
      <c r="V305" s="383">
        <f t="shared" si="110"/>
        <v>34.363203398370985</v>
      </c>
      <c r="W305" s="402">
        <f t="shared" si="111"/>
        <v>31.970534391021832</v>
      </c>
      <c r="X305" s="157">
        <f t="shared" si="112"/>
        <v>46678</v>
      </c>
      <c r="Y305" s="385">
        <f t="shared" si="113"/>
        <v>30.862806958768623</v>
      </c>
      <c r="Z305" s="385">
        <f t="shared" si="114"/>
        <v>33.26272815022579</v>
      </c>
      <c r="AA305" s="386">
        <f t="shared" si="115"/>
        <v>36.13459936304595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7.9477045918410177E-2</v>
      </c>
      <c r="AD305" s="231">
        <f>(INDEX(Models!$BJ305:$BT305,,AH305)*(1-AF305)+INDEX(Models!$BJ305:$BT305,,AH305+1)*AF305-ERP_i)*AE305*Ramure*Pc/MaxiM</f>
        <v>9.6054222727934063E-4</v>
      </c>
      <c r="AE305" s="305">
        <f t="shared" si="117"/>
        <v>0.5</v>
      </c>
      <c r="AF305" s="177">
        <f t="shared" si="118"/>
        <v>0.99516947097830055</v>
      </c>
      <c r="AG305" s="811">
        <f t="shared" si="124"/>
        <v>2</v>
      </c>
      <c r="AH305" s="176">
        <f t="shared" si="119"/>
        <v>8</v>
      </c>
      <c r="AI305" s="225">
        <f t="shared" si="120"/>
        <v>2.9951694709783006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'2026'!Wh/'2026'!Env_an*'2027'!Env_an</f>
        <v>14.726264707354467</v>
      </c>
      <c r="C306" s="841"/>
      <c r="D306" s="393">
        <f t="shared" si="102"/>
        <v>15.871740674081533</v>
      </c>
      <c r="E306" s="385">
        <f t="shared" si="125"/>
        <v>16.657438209781194</v>
      </c>
      <c r="F306" s="385">
        <f t="shared" si="103"/>
        <v>16.657896083949026</v>
      </c>
      <c r="G306" s="110">
        <f t="shared" si="126"/>
        <v>0.43223407759727817</v>
      </c>
      <c r="H306" s="414" t="b">
        <f>Wh_hp&gt;='2026'!Maxi_hp</f>
        <v>0</v>
      </c>
      <c r="I306" s="390">
        <f>IF(H306,Wh_hp,'2026'!Maxi_hp)</f>
        <v>37.715287299843339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7.2170783926530646E-2</v>
      </c>
      <c r="M306" s="845"/>
      <c r="N306" s="845"/>
      <c r="O306" s="48">
        <f>IF(t&lt;Tnet,'2026'!Resal+('2026'!Salim-'2026'!Resal)*(1-EXP(('2026'!Tnet-t)/('2026'!Tau_j))),Resal+(Salim-Resal)*(1-EXP((Tnet-t)/(Tau_j))))*Salcycl</f>
        <v>4.7167969396296576E-2</v>
      </c>
      <c r="P306" s="169">
        <f>(INDEX(Models!$BJ306:$BT306,,T306)*(1-R306)+INDEX(Models!$BJ306:$BT306,,T306+1)*R306-ERP_i)*Q306*Ramure*Pc/MaxiM</f>
        <v>1.4544982191219168E-4</v>
      </c>
      <c r="Q306" s="305">
        <f t="shared" si="105"/>
        <v>0.5</v>
      </c>
      <c r="R306" s="177">
        <f t="shared" si="106"/>
        <v>0.47027748248575163</v>
      </c>
      <c r="S306" s="811">
        <f t="shared" si="107"/>
        <v>-1</v>
      </c>
      <c r="T306" s="176">
        <f t="shared" si="108"/>
        <v>5</v>
      </c>
      <c r="U306" s="251">
        <f t="shared" si="109"/>
        <v>-0.52972251751424837</v>
      </c>
      <c r="V306" s="383">
        <f t="shared" si="110"/>
        <v>34.066095825802243</v>
      </c>
      <c r="W306" s="402">
        <f t="shared" si="111"/>
        <v>14.726264707354467</v>
      </c>
      <c r="X306" s="157">
        <f t="shared" si="112"/>
        <v>46679</v>
      </c>
      <c r="Y306" s="385">
        <f t="shared" si="113"/>
        <v>14.225099002830115</v>
      </c>
      <c r="Z306" s="385">
        <f t="shared" si="114"/>
        <v>15.33159201758065</v>
      </c>
      <c r="AA306" s="386">
        <f t="shared" si="115"/>
        <v>16.654988377040322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7.9459458601846514E-2</v>
      </c>
      <c r="AD306" s="231">
        <f>(INDEX(Models!$BJ306:$BT306,,AH306)*(1-AF306)+INDEX(Models!$BJ306:$BT306,,AH306+1)*AF306-ERP_i)*AE306*Ramure*Pc/MaxiM</f>
        <v>9.2367178967116964E-4</v>
      </c>
      <c r="AE306" s="305">
        <f t="shared" si="117"/>
        <v>0.5</v>
      </c>
      <c r="AF306" s="177">
        <f t="shared" si="118"/>
        <v>0.99526504885973033</v>
      </c>
      <c r="AG306" s="811">
        <f t="shared" si="124"/>
        <v>2</v>
      </c>
      <c r="AH306" s="176">
        <f t="shared" si="119"/>
        <v>8</v>
      </c>
      <c r="AI306" s="225">
        <f t="shared" si="120"/>
        <v>2.9952650488597303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'2026'!Wh/'2026'!Env_an*'2027'!Env_an</f>
        <v>6.1007609018616575</v>
      </c>
      <c r="C307" s="841"/>
      <c r="D307" s="393">
        <f t="shared" si="102"/>
        <v>6.5754499011445651</v>
      </c>
      <c r="E307" s="385">
        <f t="shared" si="125"/>
        <v>6.9011790111843192</v>
      </c>
      <c r="F307" s="385">
        <f t="shared" si="103"/>
        <v>6.9011790111843192</v>
      </c>
      <c r="G307" s="110">
        <f t="shared" si="126"/>
        <v>0.18063672881243747</v>
      </c>
      <c r="H307" s="414" t="b">
        <f>Wh_hp&gt;='2026'!Maxi_hp</f>
        <v>0</v>
      </c>
      <c r="I307" s="390">
        <f>IF(H307,Wh_hp,'2026'!Maxi_hp)</f>
        <v>31.908942257613869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7.2191105767573482E-2</v>
      </c>
      <c r="M307" s="845"/>
      <c r="N307" s="845"/>
      <c r="O307" s="48">
        <f>IF(t&lt;Tnet,'2026'!Resal+('2026'!Salim-'2026'!Resal)*(1-EXP(('2026'!Tnet-t)/('2026'!Tau_j))),Resal+(Salim-Resal)*(1-EXP((Tnet-t)/(Tau_j))))*Salcycl</f>
        <v>4.7199052438991244E-2</v>
      </c>
      <c r="P307" s="169">
        <f>(INDEX(Models!$BJ307:$BT307,,T307)*(1-R307)+INDEX(Models!$BJ307:$BT307,,T307+1)*R307-ERP_i)*Q307*Ramure*Pc/MaxiM</f>
        <v>1.4303195146656716E-4</v>
      </c>
      <c r="Q307" s="305">
        <f t="shared" si="105"/>
        <v>0.5</v>
      </c>
      <c r="R307" s="177">
        <f t="shared" si="106"/>
        <v>0.47036924659874502</v>
      </c>
      <c r="S307" s="811">
        <f t="shared" si="107"/>
        <v>-1</v>
      </c>
      <c r="T307" s="176">
        <f t="shared" si="108"/>
        <v>5</v>
      </c>
      <c r="U307" s="251">
        <f t="shared" si="109"/>
        <v>-0.52963075340125498</v>
      </c>
      <c r="V307" s="383">
        <f t="shared" si="110"/>
        <v>33.768815114329257</v>
      </c>
      <c r="W307" s="402">
        <f t="shared" si="111"/>
        <v>6.1007609018616575</v>
      </c>
      <c r="X307" s="157">
        <f t="shared" si="112"/>
        <v>46680</v>
      </c>
      <c r="Y307" s="385">
        <f t="shared" si="113"/>
        <v>5.8943170426549321</v>
      </c>
      <c r="Z307" s="385">
        <f t="shared" si="114"/>
        <v>6.3529430244697993</v>
      </c>
      <c r="AA307" s="386">
        <f t="shared" si="115"/>
        <v>6.9011790111843192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7.9440916664533373E-2</v>
      </c>
      <c r="AD307" s="231">
        <f>(INDEX(Models!$BJ307:$BT307,,AH307)*(1-AF307)+INDEX(Models!$BJ307:$BT307,,AH307+1)*AF307-ERP_i)*AE307*Ramure*Pc/MaxiM</f>
        <v>8.9017263812406753E-4</v>
      </c>
      <c r="AE307" s="305">
        <f t="shared" si="117"/>
        <v>0.5</v>
      </c>
      <c r="AF307" s="177">
        <f t="shared" si="118"/>
        <v>0.99535681297272394</v>
      </c>
      <c r="AG307" s="811">
        <f t="shared" si="124"/>
        <v>2</v>
      </c>
      <c r="AH307" s="176">
        <f t="shared" si="119"/>
        <v>8</v>
      </c>
      <c r="AI307" s="225">
        <f t="shared" si="120"/>
        <v>2.9953568129727239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'2026'!Wh/'2026'!Env_an*'2027'!Env_an</f>
        <v>15.451489564332695</v>
      </c>
      <c r="C308" s="841"/>
      <c r="D308" s="393">
        <f t="shared" si="102"/>
        <v>16.65410635215477</v>
      </c>
      <c r="E308" s="385">
        <f t="shared" si="125"/>
        <v>17.479662120478032</v>
      </c>
      <c r="F308" s="385">
        <f t="shared" si="103"/>
        <v>17.480226646910346</v>
      </c>
      <c r="G308" s="110">
        <f t="shared" si="126"/>
        <v>0.46157826982200734</v>
      </c>
      <c r="H308" s="414" t="b">
        <f>Wh_hp&gt;='2026'!Maxi_hp</f>
        <v>0</v>
      </c>
      <c r="I308" s="390">
        <f>IF(H308,Wh_hp,'2026'!Maxi_hp)</f>
        <v>24.59946864863414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7.2211427163516029E-2</v>
      </c>
      <c r="M308" s="845"/>
      <c r="N308" s="845"/>
      <c r="O308" s="48">
        <f>IF(t&lt;Tnet,'2026'!Resal+('2026'!Salim-'2026'!Resal)*(1-EXP(('2026'!Tnet-t)/('2026'!Tau_j))),Resal+(Salim-Resal)*(1-EXP((Tnet-t)/(Tau_j))))*Salcycl</f>
        <v>4.7229503787495637E-2</v>
      </c>
      <c r="P308" s="169">
        <f>(INDEX(Models!$BJ308:$BT308,,T308)*(1-R308)+INDEX(Models!$BJ308:$BT308,,T308+1)*R308-ERP_i)*Q308*Ramure*Pc/MaxiM</f>
        <v>1.3986815648172932E-4</v>
      </c>
      <c r="Q308" s="305">
        <f t="shared" si="105"/>
        <v>0.5</v>
      </c>
      <c r="R308" s="177">
        <f t="shared" si="106"/>
        <v>0.47045734779403037</v>
      </c>
      <c r="S308" s="811">
        <f t="shared" si="107"/>
        <v>-1</v>
      </c>
      <c r="T308" s="176">
        <f t="shared" si="108"/>
        <v>5</v>
      </c>
      <c r="U308" s="251">
        <f t="shared" si="109"/>
        <v>-0.52954265220596963</v>
      </c>
      <c r="V308" s="383">
        <f t="shared" si="110"/>
        <v>33.471738938934948</v>
      </c>
      <c r="W308" s="402">
        <f t="shared" si="111"/>
        <v>15.451489564332695</v>
      </c>
      <c r="X308" s="157">
        <f t="shared" si="112"/>
        <v>46681</v>
      </c>
      <c r="Y308" s="385">
        <f t="shared" si="113"/>
        <v>14.926935892641149</v>
      </c>
      <c r="Z308" s="385">
        <f t="shared" si="114"/>
        <v>16.088725739535395</v>
      </c>
      <c r="AA308" s="386">
        <f t="shared" si="115"/>
        <v>17.476755251626262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7.9421465375370842E-2</v>
      </c>
      <c r="AD308" s="231">
        <f>(INDEX(Models!$BJ308:$BT308,,AH308)*(1-AF308)+INDEX(Models!$BJ308:$BT308,,AH308+1)*AF308-ERP_i)*AE308*Ramure*Pc/MaxiM</f>
        <v>8.6007958354808749E-4</v>
      </c>
      <c r="AE308" s="305">
        <f t="shared" si="117"/>
        <v>0.5</v>
      </c>
      <c r="AF308" s="177">
        <f t="shared" si="118"/>
        <v>0.99544491416800929</v>
      </c>
      <c r="AG308" s="811">
        <f t="shared" si="124"/>
        <v>2</v>
      </c>
      <c r="AH308" s="176">
        <f t="shared" si="119"/>
        <v>8</v>
      </c>
      <c r="AI308" s="225">
        <f t="shared" si="120"/>
        <v>2.9954449141680093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'2026'!Wh/'2026'!Env_an*'2027'!Env_an</f>
        <v>30.846261704242441</v>
      </c>
      <c r="C309" s="841"/>
      <c r="D309" s="393">
        <f t="shared" si="102"/>
        <v>33.24780907467926</v>
      </c>
      <c r="E309" s="385">
        <f t="shared" si="125"/>
        <v>34.897019590938932</v>
      </c>
      <c r="F309" s="385">
        <f t="shared" si="103"/>
        <v>34.901288614616675</v>
      </c>
      <c r="G309" s="110">
        <f t="shared" si="126"/>
        <v>0.92978488168426399</v>
      </c>
      <c r="H309" s="414" t="b">
        <f>Wh_hp&gt;='2026'!Maxi_hp</f>
        <v>0</v>
      </c>
      <c r="I309" s="390">
        <f>IF(H309,Wh_hp,'2026'!Maxi_hp)</f>
        <v>34.901633541905234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7.2231748114367722E-2</v>
      </c>
      <c r="M309" s="845"/>
      <c r="N309" s="845"/>
      <c r="O309" s="48">
        <f>IF(t&lt;Tnet,'2026'!Resal+('2026'!Salim-'2026'!Resal)*(1-EXP(('2026'!Tnet-t)/('2026'!Tau_j))),Resal+(Salim-Resal)*(1-EXP((Tnet-t)/(Tau_j))))*Salcycl</f>
        <v>4.7259351531782151E-2</v>
      </c>
      <c r="P309" s="169">
        <f>(INDEX(Models!$BJ309:$BT309,,T309)*(1-R309)+INDEX(Models!$BJ309:$BT309,,T309+1)*R309-ERP_i)*Q309*Ramure*Pc/MaxiM</f>
        <v>1.3595155123934127E-4</v>
      </c>
      <c r="Q309" s="305">
        <f t="shared" si="105"/>
        <v>0.5</v>
      </c>
      <c r="R309" s="177">
        <f t="shared" si="106"/>
        <v>0.47054193105987618</v>
      </c>
      <c r="S309" s="811">
        <f t="shared" si="107"/>
        <v>-1</v>
      </c>
      <c r="T309" s="176">
        <f t="shared" si="108"/>
        <v>5</v>
      </c>
      <c r="U309" s="251">
        <f t="shared" si="109"/>
        <v>-0.52945806894012382</v>
      </c>
      <c r="V309" s="383">
        <f t="shared" si="110"/>
        <v>33.175244820521407</v>
      </c>
      <c r="W309" s="402">
        <f t="shared" si="111"/>
        <v>30.846261704242441</v>
      </c>
      <c r="X309" s="157">
        <f t="shared" si="112"/>
        <v>46682</v>
      </c>
      <c r="Y309" s="385">
        <f t="shared" si="113"/>
        <v>29.786921455290035</v>
      </c>
      <c r="Z309" s="385">
        <f t="shared" si="114"/>
        <v>32.105993490022897</v>
      </c>
      <c r="AA309" s="386">
        <f t="shared" si="115"/>
        <v>34.87511811381237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7.9401153990436346E-2</v>
      </c>
      <c r="AD309" s="231">
        <f>(INDEX(Models!$BJ309:$BT309,,AH309)*(1-AF309)+INDEX(Models!$BJ309:$BT309,,AH309+1)*AF309-ERP_i)*AE309*Ramure*Pc/MaxiM</f>
        <v>8.3342713689001763E-4</v>
      </c>
      <c r="AE309" s="305">
        <f t="shared" si="117"/>
        <v>0.5</v>
      </c>
      <c r="AF309" s="177">
        <f t="shared" si="118"/>
        <v>0.99552949743385533</v>
      </c>
      <c r="AG309" s="811">
        <f t="shared" si="124"/>
        <v>2</v>
      </c>
      <c r="AH309" s="176">
        <f t="shared" si="119"/>
        <v>8</v>
      </c>
      <c r="AI309" s="225">
        <f t="shared" si="120"/>
        <v>2.9955294974338553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'2026'!Wh/'2026'!Env_an*'2027'!Env_an</f>
        <v>16.074781257547343</v>
      </c>
      <c r="C310" s="841"/>
      <c r="D310" s="393">
        <f t="shared" si="102"/>
        <v>17.326668930038938</v>
      </c>
      <c r="E310" s="385">
        <f t="shared" si="125"/>
        <v>18.186692639728371</v>
      </c>
      <c r="F310" s="385">
        <f t="shared" si="103"/>
        <v>18.187338621015741</v>
      </c>
      <c r="G310" s="110">
        <f t="shared" si="126"/>
        <v>0.48884986681900044</v>
      </c>
      <c r="H310" s="414" t="b">
        <f>Wh_hp&gt;='2026'!Maxi_hp</f>
        <v>0</v>
      </c>
      <c r="I310" s="390">
        <f>IF(H310,Wh_hp,'2026'!Maxi_hp)</f>
        <v>37.419724893736571</v>
      </c>
      <c r="J310" s="85">
        <f>IF(H310,An,'2026'!An_max)</f>
        <v>2018</v>
      </c>
      <c r="K310" s="197">
        <f t="shared" si="104"/>
        <v>46683</v>
      </c>
      <c r="L310" s="147">
        <f>IF(t&lt;Tvie,1-EXP((T0-t)*PertePVj)+'2026'!Pspv,1-EXP((T0-t)*PertePVj)+Pspv)</f>
        <v>7.2252068620138443E-2</v>
      </c>
      <c r="M310" s="845"/>
      <c r="N310" s="845"/>
      <c r="O310" s="48">
        <f>IF(t&lt;Tnet,'2026'!Resal+('2026'!Salim-'2026'!Resal)*(1-EXP(('2026'!Tnet-t)/('2026'!Tau_j))),Resal+(Salim-Resal)*(1-EXP((Tnet-t)/(Tau_j))))*Salcycl</f>
        <v>4.7288626179931896E-2</v>
      </c>
      <c r="P310" s="169">
        <f>(INDEX(Models!$BJ310:$BT310,,T310)*(1-R310)+INDEX(Models!$BJ310:$BT310,,T310+1)*R310-ERP_i)*Q310*Ramure*Pc/MaxiM</f>
        <v>1.3162067172679134E-4</v>
      </c>
      <c r="Q310" s="305">
        <f t="shared" si="105"/>
        <v>0.5</v>
      </c>
      <c r="R310" s="177">
        <f t="shared" si="106"/>
        <v>0.47062313574169801</v>
      </c>
      <c r="S310" s="811">
        <f t="shared" si="107"/>
        <v>-1</v>
      </c>
      <c r="T310" s="176">
        <f t="shared" si="108"/>
        <v>5</v>
      </c>
      <c r="U310" s="251">
        <f t="shared" si="109"/>
        <v>-0.52937686425830199</v>
      </c>
      <c r="V310" s="383">
        <f t="shared" si="110"/>
        <v>32.879698793496587</v>
      </c>
      <c r="W310" s="402">
        <f t="shared" si="111"/>
        <v>16.074781257547343</v>
      </c>
      <c r="X310" s="157">
        <f t="shared" si="112"/>
        <v>46683</v>
      </c>
      <c r="Y310" s="385">
        <f t="shared" si="113"/>
        <v>15.530463018510963</v>
      </c>
      <c r="Z310" s="385">
        <f t="shared" si="114"/>
        <v>16.739959738214814</v>
      </c>
      <c r="AA310" s="386">
        <f t="shared" si="115"/>
        <v>18.183355115392658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7.9380035643475524E-2</v>
      </c>
      <c r="AD310" s="231">
        <f>(INDEX(Models!$BJ310:$BT310,,AH310)*(1-AF310)+INDEX(Models!$BJ310:$BT310,,AH310+1)*AF310-ERP_i)*AE310*Ramure*Pc/MaxiM</f>
        <v>8.1165150785012636E-4</v>
      </c>
      <c r="AE310" s="305">
        <f t="shared" si="117"/>
        <v>0.5</v>
      </c>
      <c r="AF310" s="177">
        <f t="shared" si="118"/>
        <v>0.99561070211567682</v>
      </c>
      <c r="AG310" s="811">
        <f t="shared" si="124"/>
        <v>2</v>
      </c>
      <c r="AH310" s="176">
        <f t="shared" si="119"/>
        <v>8</v>
      </c>
      <c r="AI310" s="225">
        <f t="shared" si="120"/>
        <v>2.9956107021156768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'2026'!Wh/'2026'!Env_an*'2027'!Env_an</f>
        <v>23.827050181613796</v>
      </c>
      <c r="C311" s="841"/>
      <c r="D311" s="393">
        <f t="shared" si="102"/>
        <v>25.683239229813847</v>
      </c>
      <c r="E311" s="385">
        <f t="shared" si="125"/>
        <v>26.958861395468741</v>
      </c>
      <c r="F311" s="385">
        <f t="shared" si="103"/>
        <v>26.960980512861877</v>
      </c>
      <c r="G311" s="110">
        <f t="shared" si="126"/>
        <v>0.73118152992778551</v>
      </c>
      <c r="H311" s="414" t="b">
        <f>Wh_hp&gt;='2026'!Maxi_hp</f>
        <v>0</v>
      </c>
      <c r="I311" s="390">
        <f>IF(H311,Wh_hp,'2026'!Maxi_hp)</f>
        <v>38.572719008292552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7.2272388680837962E-2</v>
      </c>
      <c r="M311" s="845"/>
      <c r="N311" s="845"/>
      <c r="O311" s="48">
        <f>IF(t&lt;Tnet,'2026'!Resal+('2026'!Salim-'2026'!Resal)*(1-EXP(('2026'!Tnet-t)/('2026'!Tau_j))),Resal+(Salim-Resal)*(1-EXP((Tnet-t)/(Tau_j))))*Salcycl</f>
        <v>4.7317360586649392E-2</v>
      </c>
      <c r="P311" s="169">
        <f>(INDEX(Models!$BJ311:$BT311,,T311)*(1-R311)+INDEX(Models!$BJ311:$BT311,,T311+1)*R311-ERP_i)*Q311*Ramure*Pc/MaxiM</f>
        <v>1.2759132301212348E-4</v>
      </c>
      <c r="Q311" s="305">
        <f t="shared" si="105"/>
        <v>0.5</v>
      </c>
      <c r="R311" s="177">
        <f t="shared" si="106"/>
        <v>0.47070109575409069</v>
      </c>
      <c r="S311" s="811">
        <f t="shared" si="107"/>
        <v>-1</v>
      </c>
      <c r="T311" s="176">
        <f t="shared" si="108"/>
        <v>5</v>
      </c>
      <c r="U311" s="251">
        <f t="shared" si="109"/>
        <v>-0.52929890424590931</v>
      </c>
      <c r="V311" s="383">
        <f t="shared" si="110"/>
        <v>32.58545488648091</v>
      </c>
      <c r="W311" s="402">
        <f t="shared" si="111"/>
        <v>23.827050181613796</v>
      </c>
      <c r="X311" s="157">
        <f t="shared" si="112"/>
        <v>46684</v>
      </c>
      <c r="Y311" s="385">
        <f t="shared" si="113"/>
        <v>23.016244559844562</v>
      </c>
      <c r="Z311" s="385">
        <f t="shared" si="114"/>
        <v>24.809269745800833</v>
      </c>
      <c r="AA311" s="386">
        <f t="shared" si="115"/>
        <v>26.947797571404479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7.93581672096621E-2</v>
      </c>
      <c r="AD311" s="231">
        <f>(INDEX(Models!$BJ311:$BT311,,AH311)*(1-AF311)+INDEX(Models!$BJ311:$BT311,,AH311+1)*AF311-ERP_i)*AE311*Ramure*Pc/MaxiM</f>
        <v>7.9374033132382441E-4</v>
      </c>
      <c r="AE311" s="305">
        <f t="shared" si="117"/>
        <v>0.5</v>
      </c>
      <c r="AF311" s="177">
        <f t="shared" si="118"/>
        <v>0.99568866212806961</v>
      </c>
      <c r="AG311" s="811">
        <f t="shared" si="124"/>
        <v>2</v>
      </c>
      <c r="AH311" s="176">
        <f t="shared" si="119"/>
        <v>8</v>
      </c>
      <c r="AI311" s="225">
        <f t="shared" si="120"/>
        <v>2.9956886621280696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'2026'!Wh/'2026'!Env_an*'2027'!Env_an</f>
        <v>20.549250830883981</v>
      </c>
      <c r="C312" s="841"/>
      <c r="D312" s="393">
        <f t="shared" si="102"/>
        <v>22.150575957153407</v>
      </c>
      <c r="E312" s="385">
        <f t="shared" si="125"/>
        <v>23.251428557421889</v>
      </c>
      <c r="F312" s="385">
        <f t="shared" si="103"/>
        <v>23.252812486911697</v>
      </c>
      <c r="G312" s="110">
        <f t="shared" si="126"/>
        <v>0.63629882138418048</v>
      </c>
      <c r="H312" s="414" t="b">
        <f>Wh_hp&gt;='2026'!Maxi_hp</f>
        <v>0</v>
      </c>
      <c r="I312" s="390">
        <f>IF(H312,Wh_hp,'2026'!Maxi_hp)</f>
        <v>35.926796289859503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7.2292708296476049E-2</v>
      </c>
      <c r="M312" s="845"/>
      <c r="N312" s="845"/>
      <c r="O312" s="48">
        <f>IF(t&lt;Tnet,'2026'!Resal+('2026'!Salim-'2026'!Resal)*(1-EXP(('2026'!Tnet-t)/('2026'!Tau_j))),Resal+(Salim-Resal)*(1-EXP((Tnet-t)/(Tau_j))))*Salcycl</f>
        <v>4.7345589865577936E-2</v>
      </c>
      <c r="P312" s="169">
        <f>(INDEX(Models!$BJ312:$BT312,,T312)*(1-R312)+INDEX(Models!$BJ312:$BT312,,T312+1)*R312-ERP_i)*Q312*Ramure*Pc/MaxiM</f>
        <v>1.2386776102385702E-4</v>
      </c>
      <c r="Q312" s="305">
        <f t="shared" si="105"/>
        <v>0.5</v>
      </c>
      <c r="R312" s="177">
        <f t="shared" si="106"/>
        <v>0.47077593978549892</v>
      </c>
      <c r="S312" s="811">
        <f t="shared" si="107"/>
        <v>-1</v>
      </c>
      <c r="T312" s="176">
        <f t="shared" si="108"/>
        <v>5</v>
      </c>
      <c r="U312" s="251">
        <f t="shared" si="109"/>
        <v>-0.52922406021450108</v>
      </c>
      <c r="V312" s="383">
        <f t="shared" si="110"/>
        <v>32.292890847015123</v>
      </c>
      <c r="W312" s="402">
        <f t="shared" si="111"/>
        <v>20.549250830883981</v>
      </c>
      <c r="X312" s="157">
        <f t="shared" si="112"/>
        <v>46685</v>
      </c>
      <c r="Y312" s="385">
        <f t="shared" si="113"/>
        <v>19.852950803411073</v>
      </c>
      <c r="Z312" s="385">
        <f t="shared" si="114"/>
        <v>21.400015911220912</v>
      </c>
      <c r="AA312" s="386">
        <f t="shared" si="115"/>
        <v>23.244100807788485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7.9335609143016114E-2</v>
      </c>
      <c r="AD312" s="231">
        <f>(INDEX(Models!$BJ312:$BT312,,AH312)*(1-AF312)+INDEX(Models!$BJ312:$BT312,,AH312+1)*AF312-ERP_i)*AE312*Ramure*Pc/MaxiM</f>
        <v>7.7973350210297791E-4</v>
      </c>
      <c r="AE312" s="305">
        <f t="shared" si="117"/>
        <v>0.5</v>
      </c>
      <c r="AF312" s="177">
        <f t="shared" si="118"/>
        <v>0.99576350615947806</v>
      </c>
      <c r="AG312" s="811">
        <f t="shared" si="124"/>
        <v>2</v>
      </c>
      <c r="AH312" s="176">
        <f t="shared" si="119"/>
        <v>8</v>
      </c>
      <c r="AI312" s="225">
        <f t="shared" si="120"/>
        <v>2.9957635061594781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'2026'!Wh/'2026'!Env_an*'2027'!Env_an</f>
        <v>12.880726574402962</v>
      </c>
      <c r="C313" s="841"/>
      <c r="D313" s="393">
        <f t="shared" si="102"/>
        <v>13.884776822114562</v>
      </c>
      <c r="E313" s="385">
        <f t="shared" si="125"/>
        <v>14.575255522038763</v>
      </c>
      <c r="F313" s="385">
        <f t="shared" si="103"/>
        <v>14.575512583338464</v>
      </c>
      <c r="G313" s="110">
        <f t="shared" si="126"/>
        <v>0.40245133151882623</v>
      </c>
      <c r="H313" s="414" t="b">
        <f>Wh_hp&gt;='2026'!Maxi_hp</f>
        <v>0</v>
      </c>
      <c r="I313" s="390">
        <f>IF(H313,Wh_hp,'2026'!Maxi_hp)</f>
        <v>37.208706699200022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7.2313027467062252E-2</v>
      </c>
      <c r="M313" s="845"/>
      <c r="N313" s="845"/>
      <c r="O313" s="48">
        <f>IF(t&lt;Tnet,'2026'!Resal+('2026'!Salim-'2026'!Resal)*(1-EXP(('2026'!Tnet-t)/('2026'!Tau_j))),Resal+(Salim-Resal)*(1-EXP((Tnet-t)/(Tau_j))))*Salcycl</f>
        <v>4.7373351285687641E-2</v>
      </c>
      <c r="P313" s="169">
        <f>(INDEX(Models!$BJ313:$BT313,,T313)*(1-R313)+INDEX(Models!$BJ313:$BT313,,T313+1)*R313-ERP_i)*Q313*Ramure*Pc/MaxiM</f>
        <v>1.2045307848791785E-4</v>
      </c>
      <c r="Q313" s="305">
        <f t="shared" si="105"/>
        <v>0.5</v>
      </c>
      <c r="R313" s="177">
        <f t="shared" si="106"/>
        <v>0.47084779149572842</v>
      </c>
      <c r="S313" s="811">
        <f t="shared" si="107"/>
        <v>-1</v>
      </c>
      <c r="T313" s="176">
        <f t="shared" si="108"/>
        <v>5</v>
      </c>
      <c r="U313" s="251">
        <f t="shared" si="109"/>
        <v>-0.52915220850427158</v>
      </c>
      <c r="V313" s="383">
        <f t="shared" si="110"/>
        <v>32.002384363955528</v>
      </c>
      <c r="W313" s="402">
        <f t="shared" si="111"/>
        <v>12.880726574402962</v>
      </c>
      <c r="X313" s="157">
        <f t="shared" si="112"/>
        <v>46686</v>
      </c>
      <c r="Y313" s="385">
        <f t="shared" si="113"/>
        <v>12.447686220481332</v>
      </c>
      <c r="Z313" s="385">
        <f t="shared" si="114"/>
        <v>13.417981052913163</v>
      </c>
      <c r="AA313" s="386">
        <f t="shared" si="115"/>
        <v>14.57387003089706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7.931242528809275E-2</v>
      </c>
      <c r="AD313" s="231">
        <f>(INDEX(Models!$BJ313:$BT313,,AH313)*(1-AF313)+INDEX(Models!$BJ313:$BT313,,AH313+1)*AF313-ERP_i)*AE313*Ramure*Pc/MaxiM</f>
        <v>7.6966271614892895E-4</v>
      </c>
      <c r="AE313" s="305">
        <f t="shared" si="117"/>
        <v>0.5</v>
      </c>
      <c r="AF313" s="177">
        <f t="shared" si="118"/>
        <v>0.99583535786970723</v>
      </c>
      <c r="AG313" s="811">
        <f t="shared" si="124"/>
        <v>2</v>
      </c>
      <c r="AH313" s="176">
        <f t="shared" si="119"/>
        <v>8</v>
      </c>
      <c r="AI313" s="225">
        <f t="shared" si="120"/>
        <v>2.9958353578697072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'2026'!Wh/'2026'!Env_an*'2027'!Env_an</f>
        <v>13.757979428898068</v>
      </c>
      <c r="C314" s="841"/>
      <c r="D314" s="393">
        <f t="shared" si="102"/>
        <v>14.830736205113789</v>
      </c>
      <c r="E314" s="385">
        <f t="shared" si="125"/>
        <v>15.56870339751795</v>
      </c>
      <c r="F314" s="385">
        <f t="shared" si="103"/>
        <v>15.569052647382591</v>
      </c>
      <c r="G314" s="110">
        <f t="shared" si="126"/>
        <v>0.43376861112125686</v>
      </c>
      <c r="H314" s="414" t="b">
        <f>Wh_hp&gt;='2026'!Maxi_hp</f>
        <v>0</v>
      </c>
      <c r="I314" s="390">
        <f>IF(H314,Wh_hp,'2026'!Maxi_hp)</f>
        <v>29.570719829876996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7.2333346192606673E-2</v>
      </c>
      <c r="M314" s="845"/>
      <c r="N314" s="845"/>
      <c r="O314" s="48">
        <f>IF(t&lt;Tnet,'2026'!Resal+('2026'!Salim-'2026'!Resal)*(1-EXP(('2026'!Tnet-t)/('2026'!Tau_j))),Resal+(Salim-Resal)*(1-EXP((Tnet-t)/(Tau_j))))*Salcycl</f>
        <v>4.7400684152144178E-2</v>
      </c>
      <c r="P314" s="169">
        <f>(INDEX(Models!$BJ314:$BT314,,T314)*(1-R314)+INDEX(Models!$BJ314:$BT314,,T314+1)*R314-ERP_i)*Q314*Ramure*Pc/MaxiM</f>
        <v>1.17350303010521E-4</v>
      </c>
      <c r="Q314" s="305">
        <f t="shared" si="105"/>
        <v>0.5</v>
      </c>
      <c r="R314" s="177">
        <f t="shared" si="106"/>
        <v>0.47091676970650576</v>
      </c>
      <c r="S314" s="811">
        <f t="shared" si="107"/>
        <v>-1</v>
      </c>
      <c r="T314" s="176">
        <f t="shared" si="108"/>
        <v>5</v>
      </c>
      <c r="U314" s="251">
        <f t="shared" si="109"/>
        <v>-0.52908323029349424</v>
      </c>
      <c r="V314" s="383">
        <f t="shared" si="110"/>
        <v>31.7143130395993</v>
      </c>
      <c r="W314" s="402">
        <f t="shared" si="111"/>
        <v>13.757979428898068</v>
      </c>
      <c r="X314" s="157">
        <f t="shared" si="112"/>
        <v>46687</v>
      </c>
      <c r="Y314" s="385">
        <f t="shared" si="113"/>
        <v>13.295792244825718</v>
      </c>
      <c r="Z314" s="385">
        <f t="shared" si="114"/>
        <v>14.332510703339624</v>
      </c>
      <c r="AA314" s="386">
        <f t="shared" si="115"/>
        <v>15.566780198654175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7.9288682666776578E-2</v>
      </c>
      <c r="AD314" s="231">
        <f>(INDEX(Models!$BJ314:$BT314,,AH314)*(1-AF314)+INDEX(Models!$BJ314:$BT314,,AH314+1)*AF314-ERP_i)*AE314*Ramure*Pc/MaxiM</f>
        <v>7.6355805357056824E-4</v>
      </c>
      <c r="AE314" s="305">
        <f t="shared" si="117"/>
        <v>0.5</v>
      </c>
      <c r="AF314" s="177">
        <f t="shared" si="118"/>
        <v>0.99590433608048468</v>
      </c>
      <c r="AG314" s="811">
        <f t="shared" si="124"/>
        <v>2</v>
      </c>
      <c r="AH314" s="176">
        <f t="shared" si="119"/>
        <v>8</v>
      </c>
      <c r="AI314" s="225">
        <f t="shared" si="120"/>
        <v>2.9959043360804847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'2026'!Wh/'2026'!Env_an*'2027'!Env_an</f>
        <v>16.246325965178308</v>
      </c>
      <c r="C315" s="841"/>
      <c r="D315" s="393">
        <f t="shared" si="102"/>
        <v>17.513491233650782</v>
      </c>
      <c r="E315" s="385">
        <f t="shared" si="125"/>
        <v>18.385470520863439</v>
      </c>
      <c r="F315" s="385">
        <f t="shared" si="103"/>
        <v>18.386123252908956</v>
      </c>
      <c r="G315" s="110">
        <f t="shared" si="126"/>
        <v>0.51687974008745585</v>
      </c>
      <c r="H315" s="414" t="b">
        <f>Wh_hp&gt;='2026'!Maxi_hp</f>
        <v>0</v>
      </c>
      <c r="I315" s="390">
        <f>IF(H315,Wh_hp,'2026'!Maxi_hp)</f>
        <v>24.903019933810778</v>
      </c>
      <c r="J315" s="85">
        <f>IF(H315,An,'2026'!An_max)</f>
        <v>2020</v>
      </c>
      <c r="K315" s="197">
        <f t="shared" si="104"/>
        <v>46688</v>
      </c>
      <c r="L315" s="147">
        <f>IF(t&lt;Tvie,1-EXP((T0-t)*PertePVj)+'2026'!Pspv,1-EXP((T0-t)*PertePVj)+Pspv)</f>
        <v>7.2353664473118751E-2</v>
      </c>
      <c r="M315" s="845"/>
      <c r="N315" s="845"/>
      <c r="O315" s="48">
        <f>IF(t&lt;Tnet,'2026'!Resal+('2026'!Salim-'2026'!Resal)*(1-EXP(('2026'!Tnet-t)/('2026'!Tau_j))),Resal+(Salim-Resal)*(1-EXP((Tnet-t)/(Tau_j))))*Salcycl</f>
        <v>4.7427629672199746E-2</v>
      </c>
      <c r="P315" s="169">
        <f>(INDEX(Models!$BJ315:$BT315,,T315)*(1-R315)+INDEX(Models!$BJ315:$BT315,,T315+1)*R315-ERP_i)*Q315*Ramure*Pc/MaxiM</f>
        <v>1.1456237037041383E-4</v>
      </c>
      <c r="Q315" s="305">
        <f t="shared" si="105"/>
        <v>0.5</v>
      </c>
      <c r="R315" s="177">
        <f t="shared" si="106"/>
        <v>0.47098298858528787</v>
      </c>
      <c r="S315" s="811">
        <f t="shared" si="107"/>
        <v>-1</v>
      </c>
      <c r="T315" s="176">
        <f t="shared" si="108"/>
        <v>5</v>
      </c>
      <c r="U315" s="251">
        <f t="shared" si="109"/>
        <v>-0.52901701141471213</v>
      </c>
      <c r="V315" s="383">
        <f t="shared" si="110"/>
        <v>31.429054397811345</v>
      </c>
      <c r="W315" s="402">
        <f t="shared" si="111"/>
        <v>16.246325965178308</v>
      </c>
      <c r="X315" s="157">
        <f t="shared" si="112"/>
        <v>46688</v>
      </c>
      <c r="Y315" s="385">
        <f t="shared" si="113"/>
        <v>15.700194128293527</v>
      </c>
      <c r="Z315" s="385">
        <f t="shared" si="114"/>
        <v>16.924762732314559</v>
      </c>
      <c r="AA315" s="386">
        <f t="shared" si="115"/>
        <v>18.381784818812115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7.9264451241232298E-2</v>
      </c>
      <c r="AD315" s="231">
        <f>(INDEX(Models!$BJ315:$BT315,,AH315)*(1-AF315)+INDEX(Models!$BJ315:$BT315,,AH315+1)*AF315-ERP_i)*AE315*Ramure*Pc/MaxiM</f>
        <v>7.6144766791102255E-4</v>
      </c>
      <c r="AE315" s="305">
        <f t="shared" si="117"/>
        <v>0.5</v>
      </c>
      <c r="AF315" s="177">
        <f t="shared" si="118"/>
        <v>0.99597055495926679</v>
      </c>
      <c r="AG315" s="811">
        <f t="shared" si="124"/>
        <v>2</v>
      </c>
      <c r="AH315" s="176">
        <f t="shared" si="119"/>
        <v>8</v>
      </c>
      <c r="AI315" s="225">
        <f t="shared" si="120"/>
        <v>2.9959705549592668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'2026'!Wh/'2026'!Env_an*'2027'!Env_an</f>
        <v>25.511845886678554</v>
      </c>
      <c r="C316" s="841"/>
      <c r="D316" s="393">
        <f t="shared" si="102"/>
        <v>27.502296615365086</v>
      </c>
      <c r="E316" s="385">
        <f t="shared" si="125"/>
        <v>28.872414853785713</v>
      </c>
      <c r="F316" s="385">
        <f t="shared" si="103"/>
        <v>28.874814955957547</v>
      </c>
      <c r="G316" s="110">
        <f t="shared" si="126"/>
        <v>0.81905539136370054</v>
      </c>
      <c r="H316" s="414" t="b">
        <f>Wh_hp&gt;='2026'!Maxi_hp</f>
        <v>0</v>
      </c>
      <c r="I316" s="390">
        <f>IF(H316,Wh_hp,'2026'!Maxi_hp)</f>
        <v>29.923980500554308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7.2373982308608364E-2</v>
      </c>
      <c r="M316" s="845"/>
      <c r="N316" s="845"/>
      <c r="O316" s="48">
        <f>IF(t&lt;Tnet,'2026'!Resal+('2026'!Salim-'2026'!Resal)*(1-EXP(('2026'!Tnet-t)/('2026'!Tau_j))),Resal+(Salim-Resal)*(1-EXP((Tnet-t)/(Tau_j))))*Salcycl</f>
        <v>4.7454230806779109E-2</v>
      </c>
      <c r="P316" s="169">
        <f>(INDEX(Models!$BJ316:$BT316,,T316)*(1-R316)+INDEX(Models!$BJ316:$BT316,,T316+1)*R316-ERP_i)*Q316*Ramure*Pc/MaxiM</f>
        <v>1.1209209804591471E-4</v>
      </c>
      <c r="Q316" s="305">
        <f t="shared" si="105"/>
        <v>0.5</v>
      </c>
      <c r="R316" s="177">
        <f t="shared" si="106"/>
        <v>0.47104655782252403</v>
      </c>
      <c r="S316" s="811">
        <f t="shared" si="107"/>
        <v>-1</v>
      </c>
      <c r="T316" s="176">
        <f t="shared" si="108"/>
        <v>5</v>
      </c>
      <c r="U316" s="251">
        <f t="shared" si="109"/>
        <v>-0.52895344217747597</v>
      </c>
      <c r="V316" s="383">
        <f t="shared" si="110"/>
        <v>31.146985889936364</v>
      </c>
      <c r="W316" s="402">
        <f t="shared" si="111"/>
        <v>25.511845886678554</v>
      </c>
      <c r="X316" s="157">
        <f t="shared" si="112"/>
        <v>46689</v>
      </c>
      <c r="Y316" s="385">
        <f t="shared" si="113"/>
        <v>24.648628584095999</v>
      </c>
      <c r="Z316" s="385">
        <f t="shared" si="114"/>
        <v>26.571730540115421</v>
      </c>
      <c r="AA316" s="386">
        <f t="shared" si="115"/>
        <v>28.858470039834664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7.9239803654273883E-2</v>
      </c>
      <c r="AD316" s="231">
        <f>(INDEX(Models!$BJ316:$BT316,,AH316)*(1-AF316)+INDEX(Models!$BJ316:$BT316,,AH316+1)*AF316-ERP_i)*AE316*Ramure*Pc/MaxiM</f>
        <v>7.6335747790215686E-4</v>
      </c>
      <c r="AE316" s="305">
        <f t="shared" si="117"/>
        <v>0.5</v>
      </c>
      <c r="AF316" s="177">
        <f t="shared" si="118"/>
        <v>0.99603412419650272</v>
      </c>
      <c r="AG316" s="811">
        <f t="shared" si="124"/>
        <v>2</v>
      </c>
      <c r="AH316" s="176">
        <f t="shared" si="119"/>
        <v>8</v>
      </c>
      <c r="AI316" s="225">
        <f t="shared" si="120"/>
        <v>2.9960341241965027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'2026'!Wh/'2026'!Env_an*'2027'!Env_an</f>
        <v>21.103902221772476</v>
      </c>
      <c r="C317" s="841"/>
      <c r="D317" s="393">
        <f t="shared" si="102"/>
        <v>22.750940636658854</v>
      </c>
      <c r="E317" s="385">
        <f t="shared" si="125"/>
        <v>23.885013801368125</v>
      </c>
      <c r="F317" s="385">
        <f t="shared" si="103"/>
        <v>23.886453417464768</v>
      </c>
      <c r="G317" s="110">
        <f t="shared" si="126"/>
        <v>0.68367671442867117</v>
      </c>
      <c r="H317" s="414" t="b">
        <f>Wh_hp&gt;='2026'!Maxi_hp</f>
        <v>0</v>
      </c>
      <c r="I317" s="390">
        <f>IF(H317,Wh_hp,'2026'!Maxi_hp)</f>
        <v>33.09982659368044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7.2394299699085174E-2</v>
      </c>
      <c r="M317" s="845"/>
      <c r="N317" s="845"/>
      <c r="O317" s="48">
        <f>IF(t&lt;Tnet,'2026'!Resal+('2026'!Salim-'2026'!Resal)*(1-EXP(('2026'!Tnet-t)/('2026'!Tau_j))),Resal+(Salim-Resal)*(1-EXP((Tnet-t)/(Tau_j))))*Salcycl</f>
        <v>4.7480532108560541E-2</v>
      </c>
      <c r="P317" s="169">
        <f>(INDEX(Models!$BJ317:$BT317,,T317)*(1-R317)+INDEX(Models!$BJ317:$BT317,,T317+1)*R317-ERP_i)*Q317*Ramure*Pc/MaxiM</f>
        <v>1.0994846528309281E-4</v>
      </c>
      <c r="Q317" s="305">
        <f t="shared" si="105"/>
        <v>0.5</v>
      </c>
      <c r="R317" s="177">
        <f t="shared" si="106"/>
        <v>0.47110758280256659</v>
      </c>
      <c r="S317" s="811">
        <f t="shared" si="107"/>
        <v>-1</v>
      </c>
      <c r="T317" s="176">
        <f t="shared" si="108"/>
        <v>5</v>
      </c>
      <c r="U317" s="251">
        <f t="shared" si="109"/>
        <v>-0.52889241719743341</v>
      </c>
      <c r="V317" s="383">
        <f t="shared" si="110"/>
        <v>30.866714173048187</v>
      </c>
      <c r="W317" s="402">
        <f t="shared" si="111"/>
        <v>21.103902221772476</v>
      </c>
      <c r="X317" s="157">
        <f t="shared" si="112"/>
        <v>46690</v>
      </c>
      <c r="Y317" s="385">
        <f t="shared" si="113"/>
        <v>20.393426920883325</v>
      </c>
      <c r="Z317" s="385">
        <f t="shared" si="114"/>
        <v>21.985016817240027</v>
      </c>
      <c r="AA317" s="386">
        <f t="shared" si="115"/>
        <v>23.876379826868277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7.9214814948616499E-2</v>
      </c>
      <c r="AD317" s="231">
        <f>(INDEX(Models!$BJ317:$BT317,,AH317)*(1-AF317)+INDEX(Models!$BJ317:$BT317,,AH317+1)*AF317-ERP_i)*AE317*Ramure*Pc/MaxiM</f>
        <v>7.6935498884606014E-4</v>
      </c>
      <c r="AE317" s="305">
        <f t="shared" si="117"/>
        <v>0.5</v>
      </c>
      <c r="AF317" s="177">
        <f t="shared" si="118"/>
        <v>0.99609514917654574</v>
      </c>
      <c r="AG317" s="811">
        <f t="shared" si="124"/>
        <v>2</v>
      </c>
      <c r="AH317" s="176">
        <f t="shared" si="119"/>
        <v>8</v>
      </c>
      <c r="AI317" s="225">
        <f t="shared" si="120"/>
        <v>2.9960951491765457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'2026'!Wh/'2026'!Env_an*'2027'!Env_an</f>
        <v>20.602967741600043</v>
      </c>
      <c r="C318" s="841"/>
      <c r="D318" s="393">
        <f t="shared" si="102"/>
        <v>22.211397582690459</v>
      </c>
      <c r="E318" s="385">
        <f t="shared" si="125"/>
        <v>23.31921366148428</v>
      </c>
      <c r="F318" s="385">
        <f t="shared" si="103"/>
        <v>23.32056216063911</v>
      </c>
      <c r="G318" s="110">
        <f t="shared" si="126"/>
        <v>0.67355525638368574</v>
      </c>
      <c r="H318" s="414" t="b">
        <f>Wh_hp&gt;='2026'!Maxi_hp</f>
        <v>0</v>
      </c>
      <c r="I318" s="390">
        <f>IF(H318,Wh_hp,'2026'!Maxi_hp)</f>
        <v>33.51042975379562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7.241461664455906E-2</v>
      </c>
      <c r="M318" s="845"/>
      <c r="N318" s="845"/>
      <c r="O318" s="48">
        <f>IF(t&lt;Tnet,'2026'!Resal+('2026'!Salim-'2026'!Resal)*(1-EXP(('2026'!Tnet-t)/('2026'!Tau_j))),Resal+(Salim-Resal)*(1-EXP((Tnet-t)/(Tau_j))))*Salcycl</f>
        <v>4.7506579547472942E-2</v>
      </c>
      <c r="P318" s="169">
        <f>(INDEX(Models!$BJ318:$BT318,,T318)*(1-R318)+INDEX(Models!$BJ318:$BT318,,T318+1)*R318-ERP_i)*Q318*Ramure*Pc/MaxiM</f>
        <v>1.0834659978098778E-4</v>
      </c>
      <c r="Q318" s="305">
        <f t="shared" si="105"/>
        <v>0.5</v>
      </c>
      <c r="R318" s="177">
        <f t="shared" si="106"/>
        <v>0.47116616476842754</v>
      </c>
      <c r="S318" s="811">
        <f t="shared" si="107"/>
        <v>-1</v>
      </c>
      <c r="T318" s="176">
        <f t="shared" si="108"/>
        <v>5</v>
      </c>
      <c r="U318" s="251">
        <f t="shared" si="109"/>
        <v>-0.52883383523157246</v>
      </c>
      <c r="V318" s="383">
        <f t="shared" si="110"/>
        <v>30.586839877421681</v>
      </c>
      <c r="W318" s="402">
        <f t="shared" si="111"/>
        <v>20.602967741600043</v>
      </c>
      <c r="X318" s="157">
        <f t="shared" si="112"/>
        <v>46691</v>
      </c>
      <c r="Y318" s="385">
        <f t="shared" si="113"/>
        <v>19.910506132481505</v>
      </c>
      <c r="Z318" s="385">
        <f t="shared" si="114"/>
        <v>21.464876969554414</v>
      </c>
      <c r="AA318" s="386">
        <f t="shared" si="115"/>
        <v>23.31085323315007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7.9189562266666291E-2</v>
      </c>
      <c r="AD318" s="231">
        <f>(INDEX(Models!$BJ318:$BT318,,AH318)*(1-AF318)+INDEX(Models!$BJ318:$BT318,,AH318+1)*AF318-ERP_i)*AE318*Ramure*Pc/MaxiM</f>
        <v>7.8007411216469839E-4</v>
      </c>
      <c r="AE318" s="305">
        <f t="shared" si="117"/>
        <v>0.5</v>
      </c>
      <c r="AF318" s="177">
        <f t="shared" si="118"/>
        <v>0.99615373114240668</v>
      </c>
      <c r="AG318" s="811">
        <f t="shared" si="124"/>
        <v>2</v>
      </c>
      <c r="AH318" s="176">
        <f t="shared" si="119"/>
        <v>8</v>
      </c>
      <c r="AI318" s="225">
        <f t="shared" si="120"/>
        <v>2.9961537311424067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'2026'!Wh/'2026'!Env_an*'2027'!Env_an</f>
        <v>21.916110751997113</v>
      </c>
      <c r="C319" s="841"/>
      <c r="D319" s="393">
        <f t="shared" si="102"/>
        <v>23.627572377544109</v>
      </c>
      <c r="E319" s="385">
        <f t="shared" si="125"/>
        <v>24.806694612742078</v>
      </c>
      <c r="F319" s="385">
        <f t="shared" si="103"/>
        <v>24.808303565169378</v>
      </c>
      <c r="G319" s="110">
        <f t="shared" si="126"/>
        <v>0.72308855801589389</v>
      </c>
      <c r="H319" s="414" t="b">
        <f>Wh_hp&gt;='2026'!Maxi_hp</f>
        <v>0</v>
      </c>
      <c r="I319" s="390">
        <f>IF(H319,Wh_hp,'2026'!Maxi_hp)</f>
        <v>32.377451552901285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7.2434933145039682E-2</v>
      </c>
      <c r="M319" s="845"/>
      <c r="N319" s="845"/>
      <c r="O319" s="48">
        <f>IF(t&lt;Tnet,'2026'!Resal+('2026'!Salim-'2026'!Resal)*(1-EXP(('2026'!Tnet-t)/('2026'!Tau_j))),Resal+(Salim-Resal)*(1-EXP((Tnet-t)/(Tau_j))))*Salcycl</f>
        <v>4.7532420324645219E-2</v>
      </c>
      <c r="P319" s="169">
        <f>(INDEX(Models!$BJ319:$BT319,,T319)*(1-R319)+INDEX(Models!$BJ319:$BT319,,T319+1)*R319-ERP_i)*Q319*Ramure*Pc/MaxiM</f>
        <v>1.0729547145820227E-4</v>
      </c>
      <c r="Q319" s="305">
        <f t="shared" si="105"/>
        <v>0.5</v>
      </c>
      <c r="R319" s="177">
        <f t="shared" si="106"/>
        <v>0.47122240098056922</v>
      </c>
      <c r="S319" s="811">
        <f t="shared" si="107"/>
        <v>-1</v>
      </c>
      <c r="T319" s="176">
        <f t="shared" si="108"/>
        <v>5</v>
      </c>
      <c r="U319" s="251">
        <f t="shared" si="109"/>
        <v>-0.52877759901943078</v>
      </c>
      <c r="V319" s="383">
        <f t="shared" si="110"/>
        <v>30.307740770336917</v>
      </c>
      <c r="W319" s="402">
        <f t="shared" si="111"/>
        <v>21.916110751997113</v>
      </c>
      <c r="X319" s="157">
        <f t="shared" si="112"/>
        <v>46692</v>
      </c>
      <c r="Y319" s="385">
        <f t="shared" si="113"/>
        <v>21.1794903555903</v>
      </c>
      <c r="Z319" s="385">
        <f t="shared" si="114"/>
        <v>22.833428200786319</v>
      </c>
      <c r="AA319" s="386">
        <f t="shared" si="115"/>
        <v>24.796414658799581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7.9164124532683205E-2</v>
      </c>
      <c r="AD319" s="231">
        <f>(INDEX(Models!$BJ319:$BT319,,AH319)*(1-AF319)+INDEX(Models!$BJ319:$BT319,,AH319+1)*AF319-ERP_i)*AE319*Ramure*Pc/MaxiM</f>
        <v>7.9283003799451228E-4</v>
      </c>
      <c r="AE319" s="305">
        <f t="shared" si="117"/>
        <v>0.5</v>
      </c>
      <c r="AF319" s="177">
        <f t="shared" si="118"/>
        <v>0.99620996735454792</v>
      </c>
      <c r="AG319" s="811">
        <f t="shared" si="124"/>
        <v>2</v>
      </c>
      <c r="AH319" s="176">
        <f t="shared" si="119"/>
        <v>8</v>
      </c>
      <c r="AI319" s="225">
        <f t="shared" si="120"/>
        <v>2.9962099673545479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'2026'!Wh/'2026'!Env_an*'2027'!Env_an</f>
        <v>26.339992604504761</v>
      </c>
      <c r="C320" s="841"/>
      <c r="D320" s="393">
        <f t="shared" si="102"/>
        <v>28.397543710750313</v>
      </c>
      <c r="E320" s="385">
        <f t="shared" si="125"/>
        <v>29.815512936311588</v>
      </c>
      <c r="F320" s="385">
        <f t="shared" si="103"/>
        <v>29.81813848837475</v>
      </c>
      <c r="G320" s="110">
        <f t="shared" si="126"/>
        <v>0.87711218165648885</v>
      </c>
      <c r="H320" s="414" t="b">
        <f>Wh_hp&gt;='2026'!Maxi_hp</f>
        <v>0</v>
      </c>
      <c r="I320" s="390">
        <f>IF(H320,Wh_hp,'2026'!Maxi_hp)</f>
        <v>29.818544719634914</v>
      </c>
      <c r="J320" s="85">
        <f>IF(H320,An,'2026'!An_max)</f>
        <v>2025</v>
      </c>
      <c r="K320" s="197">
        <f t="shared" si="104"/>
        <v>46693</v>
      </c>
      <c r="L320" s="147">
        <f>IF(t&lt;Tvie,1-EXP((T0-t)*PertePVj)+'2026'!Pspv,1-EXP((T0-t)*PertePVj)+Pspv)</f>
        <v>7.2455249200536809E-2</v>
      </c>
      <c r="M320" s="845"/>
      <c r="N320" s="845"/>
      <c r="O320" s="48">
        <f>IF(t&lt;Tnet,'2026'!Resal+('2026'!Salim-'2026'!Resal)*(1-EXP(('2026'!Tnet-t)/('2026'!Tau_j))),Resal+(Salim-Resal)*(1-EXP((Tnet-t)/(Tau_j))))*Salcycl</f>
        <v>4.7558102675951862E-2</v>
      </c>
      <c r="P320" s="169">
        <f>(INDEX(Models!$BJ320:$BT320,,T320)*(1-R320)+INDEX(Models!$BJ320:$BT320,,T320+1)*R320-ERP_i)*Q320*Ramure*Pc/MaxiM</f>
        <v>1.067985929055699E-4</v>
      </c>
      <c r="Q320" s="305">
        <f t="shared" si="105"/>
        <v>0.5</v>
      </c>
      <c r="R320" s="177">
        <f t="shared" si="106"/>
        <v>0.47127638486992329</v>
      </c>
      <c r="S320" s="811">
        <f t="shared" si="107"/>
        <v>-1</v>
      </c>
      <c r="T320" s="176">
        <f t="shared" si="108"/>
        <v>5</v>
      </c>
      <c r="U320" s="251">
        <f t="shared" si="109"/>
        <v>-0.52872361513007671</v>
      </c>
      <c r="V320" s="383">
        <f t="shared" si="110"/>
        <v>30.029794741729496</v>
      </c>
      <c r="W320" s="402">
        <f t="shared" si="111"/>
        <v>26.339992604504761</v>
      </c>
      <c r="X320" s="157">
        <f t="shared" si="112"/>
        <v>46693</v>
      </c>
      <c r="Y320" s="385">
        <f t="shared" si="113"/>
        <v>25.45191107266508</v>
      </c>
      <c r="Z320" s="385">
        <f t="shared" si="114"/>
        <v>27.440089602930467</v>
      </c>
      <c r="AA320" s="386">
        <f t="shared" si="115"/>
        <v>29.798283509458415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7.9138582119316514E-2</v>
      </c>
      <c r="AD320" s="231">
        <f>(INDEX(Models!$BJ320:$BT320,,AH320)*(1-AF320)+INDEX(Models!$BJ320:$BT320,,AH320+1)*AF320-ERP_i)*AE320*Ramure*Pc/MaxiM</f>
        <v>8.0763350313469101E-4</v>
      </c>
      <c r="AE320" s="305">
        <f t="shared" si="117"/>
        <v>0.5</v>
      </c>
      <c r="AF320" s="177">
        <f t="shared" si="118"/>
        <v>0.99626395124390221</v>
      </c>
      <c r="AG320" s="811">
        <f t="shared" si="124"/>
        <v>2</v>
      </c>
      <c r="AH320" s="176">
        <f t="shared" si="119"/>
        <v>8</v>
      </c>
      <c r="AI320" s="225">
        <f t="shared" si="120"/>
        <v>2.9962639512439022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'2026'!Wh/'2026'!Env_an*'2027'!Env_an</f>
        <v>9.0446065794267323</v>
      </c>
      <c r="C321" s="841"/>
      <c r="D321" s="393">
        <f t="shared" si="102"/>
        <v>9.7513404890344635</v>
      </c>
      <c r="E321" s="385">
        <f t="shared" si="125"/>
        <v>10.238527248950064</v>
      </c>
      <c r="F321" s="385">
        <f t="shared" si="103"/>
        <v>10.238533478752327</v>
      </c>
      <c r="G321" s="110">
        <f t="shared" si="126"/>
        <v>0.3039535572201319</v>
      </c>
      <c r="H321" s="414" t="b">
        <f>Wh_hp&gt;='2026'!Maxi_hp</f>
        <v>0</v>
      </c>
      <c r="I321" s="390">
        <f>IF(H321,Wh_hp,'2026'!Maxi_hp)</f>
        <v>30.00122544451607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7.24755648110601E-2</v>
      </c>
      <c r="M321" s="845"/>
      <c r="N321" s="845"/>
      <c r="O321" s="48">
        <f>IF(t&lt;Tnet,'2026'!Resal+('2026'!Salim-'2026'!Resal)*(1-EXP(('2026'!Tnet-t)/('2026'!Tau_j))),Resal+(Salim-Resal)*(1-EXP((Tnet-t)/(Tau_j))))*Salcycl</f>
        <v>4.7583675666396229E-2</v>
      </c>
      <c r="P321" s="169">
        <f>(INDEX(Models!$BJ321:$BT321,,T321)*(1-R321)+INDEX(Models!$BJ321:$BT321,,T321+1)*R321-ERP_i)*Q321*Ramure*Pc/MaxiM</f>
        <v>1.0685945109243267E-4</v>
      </c>
      <c r="Q321" s="305">
        <f t="shared" si="105"/>
        <v>0.5</v>
      </c>
      <c r="R321" s="177">
        <f t="shared" si="106"/>
        <v>0.47132820618531657</v>
      </c>
      <c r="S321" s="811">
        <f t="shared" si="107"/>
        <v>-1</v>
      </c>
      <c r="T321" s="176">
        <f t="shared" si="108"/>
        <v>5</v>
      </c>
      <c r="U321" s="251">
        <f t="shared" si="109"/>
        <v>-0.52867179381468343</v>
      </c>
      <c r="V321" s="383">
        <f t="shared" si="110"/>
        <v>29.753379638639732</v>
      </c>
      <c r="W321" s="402">
        <f t="shared" si="111"/>
        <v>9.0446065794267323</v>
      </c>
      <c r="X321" s="157">
        <f t="shared" si="112"/>
        <v>46694</v>
      </c>
      <c r="Y321" s="385">
        <f t="shared" si="113"/>
        <v>8.7451529569812845</v>
      </c>
      <c r="Z321" s="385">
        <f t="shared" si="114"/>
        <v>9.4284879461961211</v>
      </c>
      <c r="AA321" s="386">
        <f t="shared" si="115"/>
        <v>10.238485411497733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7.9113016500662478E-2</v>
      </c>
      <c r="AD321" s="231">
        <f>(INDEX(Models!$BJ321:$BT321,,AH321)*(1-AF321)+INDEX(Models!$BJ321:$BT321,,AH321+1)*AF321-ERP_i)*AE321*Ramure*Pc/MaxiM</f>
        <v>8.2449493962505956E-4</v>
      </c>
      <c r="AE321" s="305">
        <f t="shared" si="117"/>
        <v>0.5</v>
      </c>
      <c r="AF321" s="177">
        <f t="shared" si="118"/>
        <v>0.99631577255929571</v>
      </c>
      <c r="AG321" s="811">
        <f t="shared" si="124"/>
        <v>2</v>
      </c>
      <c r="AH321" s="176">
        <f t="shared" si="119"/>
        <v>8</v>
      </c>
      <c r="AI321" s="225">
        <f t="shared" si="120"/>
        <v>2.9963157725592957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'2026'!Wh/'2026'!Env_an*'2027'!Env_an</f>
        <v>15.862618993273985</v>
      </c>
      <c r="C322" s="841"/>
      <c r="D322" s="393">
        <f t="shared" si="102"/>
        <v>17.102478200176748</v>
      </c>
      <c r="E322" s="385">
        <f t="shared" si="125"/>
        <v>17.957416222653663</v>
      </c>
      <c r="F322" s="385">
        <f t="shared" si="103"/>
        <v>17.958072756384823</v>
      </c>
      <c r="G322" s="110">
        <f t="shared" si="126"/>
        <v>0.53806309999801727</v>
      </c>
      <c r="H322" s="414" t="b">
        <f>Wh_hp&gt;='2026'!Maxi_hp</f>
        <v>0</v>
      </c>
      <c r="I322" s="390">
        <f>IF(H322,Wh_hp,'2026'!Maxi_hp)</f>
        <v>23.180990079496752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7.2495879976619437E-2</v>
      </c>
      <c r="M322" s="845"/>
      <c r="N322" s="845"/>
      <c r="O322" s="48">
        <f>IF(t&lt;Tnet,'2026'!Resal+('2026'!Salim-'2026'!Resal)*(1-EXP(('2026'!Tnet-t)/('2026'!Tau_j))),Resal+(Salim-Resal)*(1-EXP((Tnet-t)/(Tau_j))))*Salcycl</f>
        <v>4.7609188976663233E-2</v>
      </c>
      <c r="P322" s="169">
        <f>(INDEX(Models!$BJ322:$BT322,,T322)*(1-R322)+INDEX(Models!$BJ322:$BT322,,T322+1)*R322-ERP_i)*Q322*Ramure*Pc/MaxiM</f>
        <v>1.0748148422131076E-4</v>
      </c>
      <c r="Q322" s="305">
        <f t="shared" si="105"/>
        <v>0.5</v>
      </c>
      <c r="R322" s="177">
        <f t="shared" si="106"/>
        <v>0.47137795113548897</v>
      </c>
      <c r="S322" s="811">
        <f t="shared" si="107"/>
        <v>-1</v>
      </c>
      <c r="T322" s="176">
        <f t="shared" si="108"/>
        <v>5</v>
      </c>
      <c r="U322" s="251">
        <f t="shared" si="109"/>
        <v>-0.52862204886451103</v>
      </c>
      <c r="V322" s="383">
        <f t="shared" si="110"/>
        <v>29.478873276897229</v>
      </c>
      <c r="W322" s="402">
        <f t="shared" si="111"/>
        <v>15.862618993273985</v>
      </c>
      <c r="X322" s="157">
        <f t="shared" si="112"/>
        <v>46695</v>
      </c>
      <c r="Y322" s="385">
        <f t="shared" si="113"/>
        <v>15.334489639643399</v>
      </c>
      <c r="Z322" s="385">
        <f t="shared" si="114"/>
        <v>16.533069027506688</v>
      </c>
      <c r="AA322" s="386">
        <f t="shared" si="115"/>
        <v>17.952920831387505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7.9087509894125912E-2</v>
      </c>
      <c r="AD322" s="231">
        <f>(INDEX(Models!$BJ322:$BT322,,AH322)*(1-AF322)+INDEX(Models!$BJ322:$BT322,,AH322+1)*AF322-ERP_i)*AE322*Ramure*Pc/MaxiM</f>
        <v>8.4342436500446216E-4</v>
      </c>
      <c r="AE322" s="305">
        <f t="shared" si="117"/>
        <v>0.5</v>
      </c>
      <c r="AF322" s="177">
        <f t="shared" si="118"/>
        <v>0.99636551750946767</v>
      </c>
      <c r="AG322" s="811">
        <f t="shared" si="124"/>
        <v>2</v>
      </c>
      <c r="AH322" s="176">
        <f t="shared" si="119"/>
        <v>8</v>
      </c>
      <c r="AI322" s="225">
        <f t="shared" si="120"/>
        <v>2.9963655175094677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'2026'!Wh/'2026'!Env_an*'2027'!Env_an</f>
        <v>27.622099074045408</v>
      </c>
      <c r="C323" s="841"/>
      <c r="D323" s="393">
        <f t="shared" si="102"/>
        <v>29.781758900931131</v>
      </c>
      <c r="E323" s="385">
        <f t="shared" si="125"/>
        <v>31.27136055054336</v>
      </c>
      <c r="F323" s="385">
        <f t="shared" si="103"/>
        <v>31.274495686962609</v>
      </c>
      <c r="G323" s="110">
        <f t="shared" si="126"/>
        <v>0.94573883541385872</v>
      </c>
      <c r="H323" s="414" t="b">
        <f>Wh_hp&gt;='2026'!Maxi_hp</f>
        <v>0</v>
      </c>
      <c r="I323" s="390">
        <f>IF(H323,Wh_hp,'2026'!Maxi_hp)</f>
        <v>31.274689215653005</v>
      </c>
      <c r="J323" s="85">
        <f>IF(H323,An,'2026'!An_max)</f>
        <v>2025</v>
      </c>
      <c r="K323" s="197">
        <f t="shared" si="104"/>
        <v>46696</v>
      </c>
      <c r="L323" s="147">
        <f>IF(t&lt;Tvie,1-EXP((T0-t)*PertePVj)+'2026'!Pspv,1-EXP((T0-t)*PertePVj)+Pspv)</f>
        <v>7.251619469722459E-2</v>
      </c>
      <c r="M323" s="845"/>
      <c r="N323" s="845"/>
      <c r="O323" s="48">
        <f>IF(t&lt;Tnet,'2026'!Resal+('2026'!Salim-'2026'!Resal)*(1-EXP(('2026'!Tnet-t)/('2026'!Tau_j))),Resal+(Salim-Resal)*(1-EXP((Tnet-t)/(Tau_j))))*Salcycl</f>
        <v>4.7634692683249658E-2</v>
      </c>
      <c r="P323" s="169">
        <f>(INDEX(Models!$BJ323:$BT323,,T323)*(1-R323)+INDEX(Models!$BJ323:$BT323,,T323+1)*R323-ERP_i)*Q323*Ramure*Pc/MaxiM</f>
        <v>1.0866805754243989E-4</v>
      </c>
      <c r="Q323" s="305">
        <f t="shared" si="105"/>
        <v>0.5</v>
      </c>
      <c r="R323" s="177">
        <f t="shared" si="106"/>
        <v>0.47142570252587834</v>
      </c>
      <c r="S323" s="811">
        <f t="shared" si="107"/>
        <v>-1</v>
      </c>
      <c r="T323" s="176">
        <f t="shared" si="108"/>
        <v>5</v>
      </c>
      <c r="U323" s="251">
        <f t="shared" si="109"/>
        <v>-0.52857429747412166</v>
      </c>
      <c r="V323" s="383">
        <f t="shared" si="110"/>
        <v>29.206653439192586</v>
      </c>
      <c r="W323" s="402">
        <f t="shared" si="111"/>
        <v>27.622099074045408</v>
      </c>
      <c r="X323" s="157">
        <f t="shared" si="112"/>
        <v>46696</v>
      </c>
      <c r="Y323" s="385">
        <f t="shared" si="113"/>
        <v>26.691963121125603</v>
      </c>
      <c r="Z323" s="385">
        <f t="shared" si="114"/>
        <v>28.778899392655227</v>
      </c>
      <c r="AA323" s="386">
        <f t="shared" si="115"/>
        <v>31.249556344197121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7.906214489348036E-2</v>
      </c>
      <c r="AD323" s="231">
        <f>(INDEX(Models!$BJ323:$BT323,,AH323)*(1-AF323)+INDEX(Models!$BJ323:$BT323,,AH323+1)*AF323-ERP_i)*AE323*Ramure*Pc/MaxiM</f>
        <v>8.6443126304494632E-4</v>
      </c>
      <c r="AE323" s="305">
        <f t="shared" si="117"/>
        <v>0.5</v>
      </c>
      <c r="AF323" s="177">
        <f t="shared" si="118"/>
        <v>0.99641326889985748</v>
      </c>
      <c r="AG323" s="811">
        <f t="shared" si="124"/>
        <v>2</v>
      </c>
      <c r="AH323" s="176">
        <f t="shared" si="119"/>
        <v>8</v>
      </c>
      <c r="AI323" s="225">
        <f t="shared" si="120"/>
        <v>2.9964132688998575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'2026'!Wh/'2026'!Env_an*'2027'!Env_an</f>
        <v>28.457366450158496</v>
      </c>
      <c r="C324" s="841"/>
      <c r="D324" s="393">
        <f t="shared" si="102"/>
        <v>30.683004479932169</v>
      </c>
      <c r="E324" s="385">
        <f t="shared" si="125"/>
        <v>32.218548120221968</v>
      </c>
      <c r="F324" s="385">
        <f t="shared" si="103"/>
        <v>32.222027325282291</v>
      </c>
      <c r="G324" s="110">
        <f t="shared" si="126"/>
        <v>0.98341917123515721</v>
      </c>
      <c r="H324" s="414" t="b">
        <f>Wh_hp&gt;='2026'!Maxi_hp</f>
        <v>0</v>
      </c>
      <c r="I324" s="390">
        <f>IF(H324,Wh_hp,'2026'!Maxi_hp)</f>
        <v>32.22208948922934</v>
      </c>
      <c r="J324" s="85">
        <f>IF(H324,An,'2026'!An_max)</f>
        <v>2025</v>
      </c>
      <c r="K324" s="197">
        <f t="shared" si="104"/>
        <v>46697</v>
      </c>
      <c r="L324" s="147">
        <f>IF(t&lt;Tvie,1-EXP((T0-t)*PertePVj)+'2026'!Pspv,1-EXP((T0-t)*PertePVj)+Pspv)</f>
        <v>7.2536508972885105E-2</v>
      </c>
      <c r="M324" s="845"/>
      <c r="N324" s="845"/>
      <c r="O324" s="48">
        <f>IF(t&lt;Tnet,'2026'!Resal+('2026'!Salim-'2026'!Resal)*(1-EXP(('2026'!Tnet-t)/('2026'!Tau_j))),Resal+(Salim-Resal)*(1-EXP((Tnet-t)/(Tau_j))))*Salcycl</f>
        <v>4.7660237033648863E-2</v>
      </c>
      <c r="P324" s="169">
        <f>(INDEX(Models!$BJ324:$BT324,,T324)*(1-R324)+INDEX(Models!$BJ324:$BT324,,T324+1)*R324-ERP_i)*Q324*Ramure*Pc/MaxiM</f>
        <v>1.1059523358989003E-4</v>
      </c>
      <c r="Q324" s="305">
        <f t="shared" si="105"/>
        <v>0.5</v>
      </c>
      <c r="R324" s="177">
        <f t="shared" si="106"/>
        <v>0.47147153989034751</v>
      </c>
      <c r="S324" s="811">
        <f t="shared" si="107"/>
        <v>-1</v>
      </c>
      <c r="T324" s="176">
        <f t="shared" si="108"/>
        <v>5</v>
      </c>
      <c r="U324" s="251">
        <f t="shared" si="109"/>
        <v>-0.52852846010965249</v>
      </c>
      <c r="V324" s="383">
        <f t="shared" si="110"/>
        <v>28.937092887238514</v>
      </c>
      <c r="W324" s="402">
        <f t="shared" si="111"/>
        <v>28.457366450158496</v>
      </c>
      <c r="X324" s="157">
        <f t="shared" si="112"/>
        <v>46697</v>
      </c>
      <c r="Y324" s="385">
        <f t="shared" si="113"/>
        <v>27.498914059188596</v>
      </c>
      <c r="Z324" s="385">
        <f t="shared" si="114"/>
        <v>29.649591951846059</v>
      </c>
      <c r="AA324" s="386">
        <f t="shared" si="115"/>
        <v>32.194118638534704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7.9037004095616981E-2</v>
      </c>
      <c r="AD324" s="231">
        <f>(INDEX(Models!$BJ324:$BT324,,AH324)*(1-AF324)+INDEX(Models!$BJ324:$BT324,,AH324+1)*AF324-ERP_i)*AE324*Ramure*Pc/MaxiM</f>
        <v>8.8714740192667556E-4</v>
      </c>
      <c r="AE324" s="305">
        <f t="shared" si="117"/>
        <v>0.5</v>
      </c>
      <c r="AF324" s="177">
        <f t="shared" si="118"/>
        <v>0.99645910626432643</v>
      </c>
      <c r="AG324" s="811">
        <f t="shared" si="124"/>
        <v>2</v>
      </c>
      <c r="AH324" s="176">
        <f t="shared" si="119"/>
        <v>8</v>
      </c>
      <c r="AI324" s="225">
        <f t="shared" si="120"/>
        <v>2.9964591062643264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'2026'!Wh/'2026'!Env_an*'2027'!Env_an</f>
        <v>26.299138559408348</v>
      </c>
      <c r="C325" s="841"/>
      <c r="D325" s="393">
        <f t="shared" si="102"/>
        <v>28.356603623856756</v>
      </c>
      <c r="E325" s="385">
        <f t="shared" si="125"/>
        <v>29.776523099478368</v>
      </c>
      <c r="F325" s="385">
        <f t="shared" si="103"/>
        <v>29.77948818451582</v>
      </c>
      <c r="G325" s="110">
        <f t="shared" si="126"/>
        <v>0.9172743595951629</v>
      </c>
      <c r="H325" s="414" t="b">
        <f>Wh_hp&gt;='2026'!Maxi_hp</f>
        <v>0</v>
      </c>
      <c r="I325" s="390">
        <f>IF(H325,Wh_hp,'2026'!Maxi_hp)</f>
        <v>29.779781428954571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7.2556822803610976E-2</v>
      </c>
      <c r="M325" s="845"/>
      <c r="N325" s="845"/>
      <c r="O325" s="48">
        <f>IF(t&lt;Tnet,'2026'!Resal+('2026'!Salim-'2026'!Resal)*(1-EXP(('2026'!Tnet-t)/('2026'!Tau_j))),Resal+(Salim-Resal)*(1-EXP((Tnet-t)/(Tau_j))))*Salcycl</f>
        <v>4.7685872218119638E-2</v>
      </c>
      <c r="P325" s="169">
        <f>(INDEX(Models!$BJ325:$BT325,,T325)*(1-R325)+INDEX(Models!$BJ325:$BT325,,T325+1)*R325-ERP_i)*Q325*Ramure*Pc/MaxiM</f>
        <v>1.1290966406688487E-4</v>
      </c>
      <c r="Q325" s="305">
        <f t="shared" si="105"/>
        <v>0.5</v>
      </c>
      <c r="R325" s="177">
        <f t="shared" si="106"/>
        <v>0.47151553961801862</v>
      </c>
      <c r="S325" s="811">
        <f t="shared" si="107"/>
        <v>-1</v>
      </c>
      <c r="T325" s="176">
        <f t="shared" si="108"/>
        <v>5</v>
      </c>
      <c r="U325" s="251">
        <f t="shared" si="109"/>
        <v>-0.52848446038198138</v>
      </c>
      <c r="V325" s="383">
        <f t="shared" si="110"/>
        <v>28.670579719082138</v>
      </c>
      <c r="W325" s="402">
        <f t="shared" si="111"/>
        <v>26.299138559408348</v>
      </c>
      <c r="X325" s="157">
        <f t="shared" si="112"/>
        <v>46698</v>
      </c>
      <c r="Y325" s="385">
        <f t="shared" si="113"/>
        <v>25.416148200699485</v>
      </c>
      <c r="Z325" s="385">
        <f t="shared" si="114"/>
        <v>27.404534127396502</v>
      </c>
      <c r="AA325" s="386">
        <f t="shared" si="115"/>
        <v>29.755587670653995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7.9012169723543579E-2</v>
      </c>
      <c r="AD325" s="231">
        <f>(INDEX(Models!$BJ325:$BT325,,AH325)*(1-AF325)+INDEX(Models!$BJ325:$BT325,,AH325+1)*AF325-ERP_i)*AE325*Ramure*Pc/MaxiM</f>
        <v>9.1012532763159917E-4</v>
      </c>
      <c r="AE325" s="305">
        <f t="shared" si="117"/>
        <v>0.5</v>
      </c>
      <c r="AF325" s="177">
        <f t="shared" si="118"/>
        <v>0.99650310599199754</v>
      </c>
      <c r="AG325" s="811">
        <f t="shared" si="124"/>
        <v>2</v>
      </c>
      <c r="AH325" s="176">
        <f t="shared" si="119"/>
        <v>8</v>
      </c>
      <c r="AI325" s="225">
        <f t="shared" si="120"/>
        <v>2.9965031059919975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'2026'!Wh/'2026'!Env_an*'2027'!Env_an</f>
        <v>19.800589005905685</v>
      </c>
      <c r="C326" s="841"/>
      <c r="D326" s="393">
        <f t="shared" si="102"/>
        <v>21.350119539375136</v>
      </c>
      <c r="E326" s="385">
        <f t="shared" si="125"/>
        <v>22.419805406278044</v>
      </c>
      <c r="F326" s="385">
        <f t="shared" si="103"/>
        <v>22.421275624666514</v>
      </c>
      <c r="G326" s="110">
        <f t="shared" si="126"/>
        <v>0.69698509187141511</v>
      </c>
      <c r="H326" s="414" t="b">
        <f>Wh_hp&gt;='2026'!Maxi_hp</f>
        <v>0</v>
      </c>
      <c r="I326" s="390">
        <f>IF(H326,Wh_hp,'2026'!Maxi_hp)</f>
        <v>27.215230575971084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7.2577136189411751E-2</v>
      </c>
      <c r="M326" s="845"/>
      <c r="N326" s="845"/>
      <c r="O326" s="48">
        <f>IF(t&lt;Tnet,'2026'!Resal+('2026'!Salim-'2026'!Resal)*(1-EXP(('2026'!Tnet-t)/('2026'!Tau_j))),Resal+(Salim-Resal)*(1-EXP((Tnet-t)/(Tau_j))))*Salcycl</f>
        <v>4.7711648139612095E-2</v>
      </c>
      <c r="P326" s="169">
        <f>(INDEX(Models!$BJ326:$BT326,,T326)*(1-R326)+INDEX(Models!$BJ326:$BT326,,T326+1)*R326-ERP_i)*Q326*Ramure*Pc/MaxiM</f>
        <v>1.1561314537398537E-4</v>
      </c>
      <c r="Q326" s="305">
        <f t="shared" si="105"/>
        <v>0.5</v>
      </c>
      <c r="R326" s="177">
        <f t="shared" si="106"/>
        <v>0.47155777507538466</v>
      </c>
      <c r="S326" s="811">
        <f t="shared" si="107"/>
        <v>-1</v>
      </c>
      <c r="T326" s="176">
        <f t="shared" si="108"/>
        <v>5</v>
      </c>
      <c r="U326" s="251">
        <f t="shared" si="109"/>
        <v>-0.52844222492461534</v>
      </c>
      <c r="V326" s="383">
        <f t="shared" si="110"/>
        <v>28.407491547473914</v>
      </c>
      <c r="W326" s="402">
        <f t="shared" si="111"/>
        <v>19.800589005905685</v>
      </c>
      <c r="X326" s="157">
        <f t="shared" si="112"/>
        <v>46699</v>
      </c>
      <c r="Y326" s="385">
        <f t="shared" si="113"/>
        <v>19.141394294166901</v>
      </c>
      <c r="Z326" s="385">
        <f t="shared" si="114"/>
        <v>20.639338365585338</v>
      </c>
      <c r="AA326" s="386">
        <f t="shared" si="115"/>
        <v>22.409406352732525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7.8987723248248903E-2</v>
      </c>
      <c r="AD326" s="231">
        <f>(INDEX(Models!$BJ326:$BT326,,AH326)*(1-AF326)+INDEX(Models!$BJ326:$BT326,,AH326+1)*AF326-ERP_i)*AE326*Ramure*Pc/MaxiM</f>
        <v>9.3336056217960099E-4</v>
      </c>
      <c r="AE326" s="305">
        <f t="shared" si="117"/>
        <v>0.5</v>
      </c>
      <c r="AF326" s="177">
        <f t="shared" si="118"/>
        <v>0.99654534144936369</v>
      </c>
      <c r="AG326" s="811">
        <f t="shared" si="124"/>
        <v>2</v>
      </c>
      <c r="AH326" s="176">
        <f t="shared" si="119"/>
        <v>8</v>
      </c>
      <c r="AI326" s="225">
        <f t="shared" si="120"/>
        <v>2.9965453414493637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'2026'!Wh/'2026'!Env_an*'2027'!Env_an</f>
        <v>9.2587961258211475</v>
      </c>
      <c r="C327" s="841"/>
      <c r="D327" s="393">
        <f t="shared" si="102"/>
        <v>9.9835784548343121</v>
      </c>
      <c r="E327" s="385">
        <f t="shared" si="125"/>
        <v>10.484062589822413</v>
      </c>
      <c r="F327" s="385">
        <f t="shared" si="103"/>
        <v>10.484114025351923</v>
      </c>
      <c r="G327" s="110">
        <f t="shared" si="126"/>
        <v>0.32889280644674018</v>
      </c>
      <c r="H327" s="414" t="b">
        <f>Wh_hp&gt;='2026'!Maxi_hp</f>
        <v>0</v>
      </c>
      <c r="I327" s="390">
        <f>IF(H327,Wh_hp,'2026'!Maxi_hp)</f>
        <v>21.819080346731017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7.2597449130297198E-2</v>
      </c>
      <c r="M327" s="845"/>
      <c r="N327" s="845"/>
      <c r="O327" s="48">
        <f>IF(t&lt;Tnet,'2026'!Resal+('2026'!Salim-'2026'!Resal)*(1-EXP(('2026'!Tnet-t)/('2026'!Tau_j))),Resal+(Salim-Resal)*(1-EXP((Tnet-t)/(Tau_j))))*Salcycl</f>
        <v>4.773761418345171E-2</v>
      </c>
      <c r="P327" s="169">
        <f>(INDEX(Models!$BJ327:$BT327,,T327)*(1-R327)+INDEX(Models!$BJ327:$BT327,,T327+1)*R327-ERP_i)*Q327*Ramure*Pc/MaxiM</f>
        <v>1.1870731809968132E-4</v>
      </c>
      <c r="Q327" s="305">
        <f t="shared" si="105"/>
        <v>0.5</v>
      </c>
      <c r="R327" s="177">
        <f t="shared" si="106"/>
        <v>0.47159831672385422</v>
      </c>
      <c r="S327" s="811">
        <f t="shared" si="107"/>
        <v>-1</v>
      </c>
      <c r="T327" s="176">
        <f t="shared" si="108"/>
        <v>5</v>
      </c>
      <c r="U327" s="251">
        <f t="shared" si="109"/>
        <v>-0.52840168327614578</v>
      </c>
      <c r="V327" s="383">
        <f t="shared" si="110"/>
        <v>28.148205969836148</v>
      </c>
      <c r="W327" s="402">
        <f t="shared" si="111"/>
        <v>9.2587961258211475</v>
      </c>
      <c r="X327" s="157">
        <f t="shared" si="112"/>
        <v>46700</v>
      </c>
      <c r="Y327" s="385">
        <f t="shared" si="113"/>
        <v>8.9548759256908816</v>
      </c>
      <c r="Z327" s="385">
        <f t="shared" si="114"/>
        <v>9.6558672577438429</v>
      </c>
      <c r="AA327" s="386">
        <f t="shared" si="115"/>
        <v>10.483699426001905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7.896374501207605E-2</v>
      </c>
      <c r="AD327" s="231">
        <f>(INDEX(Models!$BJ327:$BT327,,AH327)*(1-AF327)+INDEX(Models!$BJ327:$BT327,,AH327+1)*AF327-ERP_i)*AE327*Ramure*Pc/MaxiM</f>
        <v>9.5684787140625676E-4</v>
      </c>
      <c r="AE327" s="305">
        <f t="shared" si="117"/>
        <v>0.5</v>
      </c>
      <c r="AF327" s="177">
        <f t="shared" si="118"/>
        <v>0.99658588309783314</v>
      </c>
      <c r="AG327" s="811">
        <f t="shared" si="124"/>
        <v>2</v>
      </c>
      <c r="AH327" s="176">
        <f t="shared" si="119"/>
        <v>8</v>
      </c>
      <c r="AI327" s="225">
        <f t="shared" si="120"/>
        <v>2.9965858830978331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'2026'!Wh/'2026'!Env_an*'2027'!Env_an</f>
        <v>19.227760118116223</v>
      </c>
      <c r="C328" s="841"/>
      <c r="D328" s="393">
        <f t="shared" si="102"/>
        <v>20.733371119803234</v>
      </c>
      <c r="E328" s="385">
        <f t="shared" si="125"/>
        <v>21.773349441288044</v>
      </c>
      <c r="F328" s="385">
        <f t="shared" si="103"/>
        <v>21.774829338471331</v>
      </c>
      <c r="G328" s="110">
        <f t="shared" si="126"/>
        <v>0.68930011111727618</v>
      </c>
      <c r="H328" s="414" t="b">
        <f>Wh_hp&gt;='2026'!Maxi_hp</f>
        <v>0</v>
      </c>
      <c r="I328" s="390">
        <f>IF(H328,Wh_hp,'2026'!Maxi_hp)</f>
        <v>21.789231727925742</v>
      </c>
      <c r="J328" s="85">
        <f>IF(H328,An,'2026'!An_max)</f>
        <v>2018</v>
      </c>
      <c r="K328" s="197">
        <f t="shared" si="104"/>
        <v>46701</v>
      </c>
      <c r="L328" s="147">
        <f>IF(t&lt;Tvie,1-EXP((T0-t)*PertePVj)+'2026'!Pspv,1-EXP((T0-t)*PertePVj)+Pspv)</f>
        <v>7.26177616262772E-2</v>
      </c>
      <c r="M328" s="845"/>
      <c r="N328" s="845"/>
      <c r="O328" s="48">
        <f>IF(t&lt;Tnet,'2026'!Resal+('2026'!Salim-'2026'!Resal)*(1-EXP(('2026'!Tnet-t)/('2026'!Tau_j))),Resal+(Salim-Resal)*(1-EXP((Tnet-t)/(Tau_j))))*Salcycl</f>
        <v>4.7763818988397662E-2</v>
      </c>
      <c r="P328" s="169">
        <f>(INDEX(Models!$BJ328:$BT328,,T328)*(1-R328)+INDEX(Models!$BJ328:$BT328,,T328+1)*R328-ERP_i)*Q328*Ramure*Pc/MaxiM</f>
        <v>1.2219363711227677E-4</v>
      </c>
      <c r="Q328" s="305">
        <f t="shared" si="105"/>
        <v>0.5</v>
      </c>
      <c r="R328" s="177">
        <f t="shared" si="106"/>
        <v>0.47163723223288934</v>
      </c>
      <c r="S328" s="811">
        <f t="shared" si="107"/>
        <v>-1</v>
      </c>
      <c r="T328" s="176">
        <f t="shared" si="108"/>
        <v>5</v>
      </c>
      <c r="U328" s="251">
        <f t="shared" si="109"/>
        <v>-0.52836276776711066</v>
      </c>
      <c r="V328" s="383">
        <f t="shared" si="110"/>
        <v>27.893100575835405</v>
      </c>
      <c r="W328" s="402">
        <f t="shared" si="111"/>
        <v>19.227760118116223</v>
      </c>
      <c r="X328" s="157">
        <f t="shared" si="112"/>
        <v>46701</v>
      </c>
      <c r="Y328" s="385">
        <f t="shared" si="113"/>
        <v>18.58935755303262</v>
      </c>
      <c r="Z328" s="385">
        <f t="shared" si="114"/>
        <v>20.044979064545501</v>
      </c>
      <c r="AA328" s="386">
        <f t="shared" si="115"/>
        <v>21.762953439498606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7.8940313856255911E-2</v>
      </c>
      <c r="AD328" s="231">
        <f>(INDEX(Models!$BJ328:$BT328,,AH328)*(1-AF328)+INDEX(Models!$BJ328:$BT328,,AH328+1)*AF328-ERP_i)*AE328*Ramure*Pc/MaxiM</f>
        <v>9.8058115512658379E-4</v>
      </c>
      <c r="AE328" s="305">
        <f t="shared" si="117"/>
        <v>0.5</v>
      </c>
      <c r="AF328" s="177">
        <f t="shared" si="118"/>
        <v>0.99662479860686837</v>
      </c>
      <c r="AG328" s="811">
        <f t="shared" si="124"/>
        <v>2</v>
      </c>
      <c r="AH328" s="176">
        <f t="shared" si="119"/>
        <v>8</v>
      </c>
      <c r="AI328" s="225">
        <f t="shared" si="120"/>
        <v>2.9966247986068684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'2026'!Wh/'2026'!Env_an*'2027'!Env_an</f>
        <v>26.041701119493226</v>
      </c>
      <c r="C329" s="841"/>
      <c r="D329" s="393">
        <f t="shared" si="102"/>
        <v>28.081486181731652</v>
      </c>
      <c r="E329" s="385">
        <f t="shared" si="125"/>
        <v>29.490863706963637</v>
      </c>
      <c r="F329" s="385">
        <f t="shared" si="103"/>
        <v>29.494274513484985</v>
      </c>
      <c r="G329" s="110">
        <f t="shared" si="126"/>
        <v>0.9420775828899226</v>
      </c>
      <c r="H329" s="414" t="b">
        <f>Wh_hp&gt;='2026'!Maxi_hp</f>
        <v>0</v>
      </c>
      <c r="I329" s="390">
        <f>IF(H329,Wh_hp,'2026'!Maxi_hp)</f>
        <v>29.494502522363131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7.2638073677361303E-2</v>
      </c>
      <c r="M329" s="845"/>
      <c r="N329" s="845"/>
      <c r="O329" s="48">
        <f>IF(t&lt;Tnet,'2026'!Resal+('2026'!Salim-'2026'!Resal)*(1-EXP(('2026'!Tnet-t)/('2026'!Tau_j))),Resal+(Salim-Resal)*(1-EXP((Tnet-t)/(Tau_j))))*Salcycl</f>
        <v>4.7790310220693591E-2</v>
      </c>
      <c r="P329" s="169">
        <f>(INDEX(Models!$BJ329:$BT329,,T329)*(1-R329)+INDEX(Models!$BJ329:$BT329,,T329+1)*R329-ERP_i)*Q329*Ramure*Pc/MaxiM</f>
        <v>1.26073338107871E-4</v>
      </c>
      <c r="Q329" s="305">
        <f t="shared" si="105"/>
        <v>0.5</v>
      </c>
      <c r="R329" s="177">
        <f t="shared" si="106"/>
        <v>0.4716745865888865</v>
      </c>
      <c r="S329" s="811">
        <f t="shared" si="107"/>
        <v>-1</v>
      </c>
      <c r="T329" s="176">
        <f t="shared" si="108"/>
        <v>5</v>
      </c>
      <c r="U329" s="251">
        <f t="shared" si="109"/>
        <v>-0.5283254134111135</v>
      </c>
      <c r="V329" s="383">
        <f t="shared" si="110"/>
        <v>27.642552946185095</v>
      </c>
      <c r="W329" s="402">
        <f t="shared" si="111"/>
        <v>26.041701119493226</v>
      </c>
      <c r="X329" s="157">
        <f t="shared" si="112"/>
        <v>46702</v>
      </c>
      <c r="Y329" s="385">
        <f t="shared" si="113"/>
        <v>25.170111813602812</v>
      </c>
      <c r="Z329" s="385">
        <f t="shared" si="114"/>
        <v>27.14162734005307</v>
      </c>
      <c r="AA329" s="386">
        <f t="shared" si="115"/>
        <v>29.467097180882604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7.8917506755237177E-2</v>
      </c>
      <c r="AD329" s="231">
        <f>(INDEX(Models!$BJ329:$BT329,,AH329)*(1-AF329)+INDEX(Models!$BJ329:$BT329,,AH329+1)*AF329-ERP_i)*AE329*Ramure*Pc/MaxiM</f>
        <v>1.004553327961387E-3</v>
      </c>
      <c r="AE329" s="305">
        <f t="shared" si="117"/>
        <v>0.5</v>
      </c>
      <c r="AF329" s="177">
        <f t="shared" si="118"/>
        <v>0.9966621529628652</v>
      </c>
      <c r="AG329" s="811">
        <f t="shared" si="124"/>
        <v>2</v>
      </c>
      <c r="AH329" s="176">
        <f t="shared" si="119"/>
        <v>8</v>
      </c>
      <c r="AI329" s="225">
        <f t="shared" si="120"/>
        <v>2.9966621529628652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'2026'!Wh/'2026'!Env_an*'2027'!Env_an</f>
        <v>26.085339854218763</v>
      </c>
      <c r="C330" s="841"/>
      <c r="D330" s="393">
        <f t="shared" si="102"/>
        <v>28.129159136458089</v>
      </c>
      <c r="E330" s="385">
        <f t="shared" si="125"/>
        <v>29.541761515878761</v>
      </c>
      <c r="F330" s="385">
        <f t="shared" si="103"/>
        <v>29.545349289114565</v>
      </c>
      <c r="G330" s="110">
        <f t="shared" si="126"/>
        <v>0.95211752328307186</v>
      </c>
      <c r="H330" s="414" t="b">
        <f>Wh_hp&gt;='2026'!Maxi_hp</f>
        <v>0</v>
      </c>
      <c r="I330" s="390">
        <f>IF(H330,Wh_hp,'2026'!Maxi_hp)</f>
        <v>29.545544526554973</v>
      </c>
      <c r="J330" s="85">
        <f>IF(H330,An,'2026'!An_max)</f>
        <v>2025</v>
      </c>
      <c r="K330" s="197">
        <f t="shared" si="104"/>
        <v>46703</v>
      </c>
      <c r="L330" s="147">
        <f>IF(t&lt;Tvie,1-EXP((T0-t)*PertePVj)+'2026'!Pspv,1-EXP((T0-t)*PertePVj)+Pspv)</f>
        <v>7.265838528355939E-2</v>
      </c>
      <c r="M330" s="845"/>
      <c r="N330" s="845"/>
      <c r="O330" s="48">
        <f>IF(t&lt;Tnet,'2026'!Resal+('2026'!Salim-'2026'!Resal)*(1-EXP(('2026'!Tnet-t)/('2026'!Tau_j))),Resal+(Salim-Resal)*(1-EXP((Tnet-t)/(Tau_j))))*Salcycl</f>
        <v>4.7817134352716117E-2</v>
      </c>
      <c r="P330" s="169">
        <f>(INDEX(Models!$BJ330:$BT330,,T330)*(1-R330)+INDEX(Models!$BJ330:$BT330,,T330+1)*R330-ERP_i)*Q330*Ramure*Pc/MaxiM</f>
        <v>1.3034740015029357E-4</v>
      </c>
      <c r="Q330" s="305">
        <f t="shared" si="105"/>
        <v>0.5</v>
      </c>
      <c r="R330" s="177">
        <f t="shared" si="106"/>
        <v>0.47171044219994962</v>
      </c>
      <c r="S330" s="811">
        <f t="shared" si="107"/>
        <v>-1</v>
      </c>
      <c r="T330" s="176">
        <f t="shared" si="108"/>
        <v>5</v>
      </c>
      <c r="U330" s="251">
        <f t="shared" si="109"/>
        <v>-0.52828955780005038</v>
      </c>
      <c r="V330" s="383">
        <f t="shared" si="110"/>
        <v>27.396940657649203</v>
      </c>
      <c r="W330" s="402">
        <f t="shared" si="111"/>
        <v>26.085339854218763</v>
      </c>
      <c r="X330" s="157">
        <f t="shared" si="112"/>
        <v>46703</v>
      </c>
      <c r="Y330" s="385">
        <f t="shared" si="113"/>
        <v>25.212818836139004</v>
      </c>
      <c r="Z330" s="385">
        <f t="shared" si="114"/>
        <v>27.188274995993247</v>
      </c>
      <c r="AA330" s="386">
        <f t="shared" si="115"/>
        <v>29.517033082398171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7.8895398460410576E-2</v>
      </c>
      <c r="AD330" s="231">
        <f>(INDEX(Models!$BJ330:$BT330,,AH330)*(1-AF330)+INDEX(Models!$BJ330:$BT330,,AH330+1)*AF330-ERP_i)*AE330*Ramure*Pc/MaxiM</f>
        <v>1.0287561908231997E-3</v>
      </c>
      <c r="AE330" s="305">
        <f t="shared" si="117"/>
        <v>0.5</v>
      </c>
      <c r="AF330" s="177">
        <f t="shared" si="118"/>
        <v>0.99669800857392854</v>
      </c>
      <c r="AG330" s="811">
        <f t="shared" si="124"/>
        <v>2</v>
      </c>
      <c r="AH330" s="176">
        <f t="shared" si="119"/>
        <v>8</v>
      </c>
      <c r="AI330" s="225">
        <f t="shared" si="120"/>
        <v>2.9966980085739285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'2026'!Wh/'2026'!Env_an*'2027'!Env_an</f>
        <v>25.197767773571623</v>
      </c>
      <c r="C331" s="841"/>
      <c r="D331" s="393">
        <f t="shared" si="102"/>
        <v>27.172639814236621</v>
      </c>
      <c r="E331" s="385">
        <f t="shared" si="125"/>
        <v>28.538022567511558</v>
      </c>
      <c r="F331" s="385">
        <f t="shared" si="103"/>
        <v>28.541479405904386</v>
      </c>
      <c r="G331" s="110">
        <f t="shared" si="126"/>
        <v>0.92789411097469521</v>
      </c>
      <c r="H331" s="414" t="b">
        <f>Wh_hp&gt;='2026'!Maxi_hp</f>
        <v>0</v>
      </c>
      <c r="I331" s="390">
        <f>IF(H331,Wh_hp,'2026'!Maxi_hp)</f>
        <v>29.179515996539571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7.267869644488123E-2</v>
      </c>
      <c r="M331" s="845"/>
      <c r="N331" s="845"/>
      <c r="O331" s="48">
        <f>IF(t&lt;Tnet,'2026'!Resal+('2026'!Salim-'2026'!Resal)*(1-EXP(('2026'!Tnet-t)/('2026'!Tau_j))),Resal+(Salim-Resal)*(1-EXP((Tnet-t)/(Tau_j))))*Salcycl</f>
        <v>4.7844336447800159E-2</v>
      </c>
      <c r="P331" s="169">
        <f>(INDEX(Models!$BJ331:$BT331,,T331)*(1-R331)+INDEX(Models!$BJ331:$BT331,,T331+1)*R331-ERP_i)*Q331*Ramure*Pc/MaxiM</f>
        <v>1.3502223754030489E-4</v>
      </c>
      <c r="Q331" s="305">
        <f t="shared" si="105"/>
        <v>0.5</v>
      </c>
      <c r="R331" s="177">
        <f t="shared" si="106"/>
        <v>0.47174485899670038</v>
      </c>
      <c r="S331" s="811">
        <f t="shared" si="107"/>
        <v>-1</v>
      </c>
      <c r="T331" s="176">
        <f t="shared" si="108"/>
        <v>5</v>
      </c>
      <c r="U331" s="251">
        <f t="shared" si="109"/>
        <v>-0.52825514100329962</v>
      </c>
      <c r="V331" s="383">
        <f t="shared" si="110"/>
        <v>27.155487931789736</v>
      </c>
      <c r="W331" s="402">
        <f t="shared" si="111"/>
        <v>25.197767773571623</v>
      </c>
      <c r="X331" s="157">
        <f t="shared" si="112"/>
        <v>46704</v>
      </c>
      <c r="Y331" s="385">
        <f t="shared" si="113"/>
        <v>24.356519832589033</v>
      </c>
      <c r="Z331" s="385">
        <f t="shared" si="114"/>
        <v>26.265459166323694</v>
      </c>
      <c r="AA331" s="386">
        <f t="shared" si="115"/>
        <v>28.514514746246075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7.8874061155765077E-2</v>
      </c>
      <c r="AD331" s="231">
        <f>(INDEX(Models!$BJ331:$BT331,,AH331)*(1-AF331)+INDEX(Models!$BJ331:$BT331,,AH331+1)*AF331-ERP_i)*AE331*Ramure*Pc/MaxiM</f>
        <v>1.0532250188876509E-3</v>
      </c>
      <c r="AE331" s="305">
        <f t="shared" si="117"/>
        <v>0.5</v>
      </c>
      <c r="AF331" s="177">
        <f t="shared" si="118"/>
        <v>0.9967324253706793</v>
      </c>
      <c r="AG331" s="811">
        <f t="shared" si="124"/>
        <v>2</v>
      </c>
      <c r="AH331" s="176">
        <f t="shared" si="119"/>
        <v>8</v>
      </c>
      <c r="AI331" s="225">
        <f t="shared" si="120"/>
        <v>2.9967324253706793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'2026'!Wh/'2026'!Env_an*'2027'!Env_an</f>
        <v>8.8726853597553799</v>
      </c>
      <c r="C332" s="841"/>
      <c r="D332" s="393">
        <f t="shared" si="102"/>
        <v>9.5682905855565004</v>
      </c>
      <c r="E332" s="385">
        <f t="shared" si="125"/>
        <v>10.049373805945237</v>
      </c>
      <c r="F332" s="385">
        <f t="shared" si="103"/>
        <v>10.049433431561203</v>
      </c>
      <c r="G332" s="110">
        <f t="shared" si="126"/>
        <v>0.32958424759795329</v>
      </c>
      <c r="H332" s="414" t="b">
        <f>Wh_hp&gt;='2026'!Maxi_hp</f>
        <v>0</v>
      </c>
      <c r="I332" s="390">
        <f>IF(H332,Wh_hp,'2026'!Maxi_hp)</f>
        <v>19.900379192311398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7.2699007161336482E-2</v>
      </c>
      <c r="M332" s="845"/>
      <c r="N332" s="845"/>
      <c r="O332" s="48">
        <f>IF(t&lt;Tnet,'2026'!Resal+('2026'!Salim-'2026'!Resal)*(1-EXP(('2026'!Tnet-t)/('2026'!Tau_j))),Resal+(Salim-Resal)*(1-EXP((Tnet-t)/(Tau_j))))*Salcycl</f>
        <v>4.7871959952780888E-2</v>
      </c>
      <c r="P332" s="169">
        <f>(INDEX(Models!$BJ332:$BT332,,T332)*(1-R332)+INDEX(Models!$BJ332:$BT332,,T332+1)*R332-ERP_i)*Q332*Ramure*Pc/MaxiM</f>
        <v>1.4017794669819429E-4</v>
      </c>
      <c r="Q332" s="305">
        <f t="shared" si="105"/>
        <v>0.5</v>
      </c>
      <c r="R332" s="177">
        <f t="shared" si="106"/>
        <v>0.47177789452926211</v>
      </c>
      <c r="S332" s="811">
        <f t="shared" si="107"/>
        <v>-1</v>
      </c>
      <c r="T332" s="176">
        <f t="shared" si="108"/>
        <v>5</v>
      </c>
      <c r="U332" s="251">
        <f t="shared" si="109"/>
        <v>-0.52822210547073789</v>
      </c>
      <c r="V332" s="383">
        <f t="shared" si="110"/>
        <v>26.917227708018007</v>
      </c>
      <c r="W332" s="402">
        <f t="shared" si="111"/>
        <v>8.8726853597553799</v>
      </c>
      <c r="X332" s="157">
        <f t="shared" si="112"/>
        <v>46705</v>
      </c>
      <c r="Y332" s="385">
        <f t="shared" si="113"/>
        <v>8.5836337474181974</v>
      </c>
      <c r="Z332" s="385">
        <f t="shared" si="114"/>
        <v>9.2565777603040065</v>
      </c>
      <c r="AA332" s="386">
        <f t="shared" si="115"/>
        <v>10.048975276705724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7.8853564127931833E-2</v>
      </c>
      <c r="AD332" s="231">
        <f>(INDEX(Models!$BJ332:$BT332,,AH332)*(1-AF332)+INDEX(Models!$BJ332:$BT332,,AH332+1)*AF332-ERP_i)*AE332*Ramure*Pc/MaxiM</f>
        <v>1.0771076469514107E-3</v>
      </c>
      <c r="AE332" s="305">
        <f t="shared" si="117"/>
        <v>0.5</v>
      </c>
      <c r="AF332" s="177">
        <f t="shared" si="118"/>
        <v>0.99676546090324081</v>
      </c>
      <c r="AG332" s="811">
        <f t="shared" si="124"/>
        <v>2</v>
      </c>
      <c r="AH332" s="176">
        <f t="shared" si="119"/>
        <v>8</v>
      </c>
      <c r="AI332" s="225">
        <f t="shared" si="120"/>
        <v>2.9967654609032408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'2026'!Wh/'2026'!Env_an*'2027'!Env_an</f>
        <v>11.53763490712929</v>
      </c>
      <c r="C333" s="841"/>
      <c r="D333" s="393">
        <f t="shared" si="102"/>
        <v>12.442440702192496</v>
      </c>
      <c r="E333" s="385">
        <f t="shared" si="125"/>
        <v>13.068418558838921</v>
      </c>
      <c r="F333" s="385">
        <f t="shared" si="103"/>
        <v>13.068778498650834</v>
      </c>
      <c r="G333" s="110">
        <f t="shared" si="126"/>
        <v>0.43235741665261984</v>
      </c>
      <c r="H333" s="414" t="b">
        <f>Wh_hp&gt;='2026'!Maxi_hp</f>
        <v>0</v>
      </c>
      <c r="I333" s="390">
        <f>IF(H333,Wh_hp,'2026'!Maxi_hp)</f>
        <v>27.219183293094108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7.2719317432934916E-2</v>
      </c>
      <c r="M333" s="845"/>
      <c r="N333" s="845"/>
      <c r="O333" s="48">
        <f>IF(t&lt;Tnet,'2026'!Resal+('2026'!Salim-'2026'!Resal)*(1-EXP(('2026'!Tnet-t)/('2026'!Tau_j))),Resal+(Salim-Resal)*(1-EXP((Tnet-t)/(Tau_j))))*Salcycl</f>
        <v>4.7900046499738086E-2</v>
      </c>
      <c r="P333" s="169">
        <f>(INDEX(Models!$BJ333:$BT333,,T333)*(1-R333)+INDEX(Models!$BJ333:$BT333,,T333+1)*R333-ERP_i)*Q333*Ramure*Pc/MaxiM</f>
        <v>1.4560529282971204E-4</v>
      </c>
      <c r="Q333" s="305">
        <f t="shared" si="105"/>
        <v>0.5</v>
      </c>
      <c r="R333" s="177">
        <f t="shared" si="106"/>
        <v>0.47180960406055716</v>
      </c>
      <c r="S333" s="811">
        <f t="shared" si="107"/>
        <v>-1</v>
      </c>
      <c r="T333" s="176">
        <f t="shared" si="108"/>
        <v>5</v>
      </c>
      <c r="U333" s="251">
        <f t="shared" si="109"/>
        <v>-0.52819039593944284</v>
      </c>
      <c r="V333" s="383">
        <f t="shared" si="110"/>
        <v>26.682259292161159</v>
      </c>
      <c r="W333" s="402">
        <f t="shared" si="111"/>
        <v>11.53763490712929</v>
      </c>
      <c r="X333" s="157">
        <f t="shared" si="112"/>
        <v>46706</v>
      </c>
      <c r="Y333" s="385">
        <f t="shared" si="113"/>
        <v>11.160759847561323</v>
      </c>
      <c r="Z333" s="385">
        <f t="shared" si="114"/>
        <v>12.036010301286662</v>
      </c>
      <c r="AA333" s="386">
        <f t="shared" si="115"/>
        <v>13.066059705223109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7.883397345296754E-2</v>
      </c>
      <c r="AD333" s="231">
        <f>(INDEX(Models!$BJ333:$BT333,,AH333)*(1-AF333)+INDEX(Models!$BJ333:$BT333,,AH333+1)*AF333-ERP_i)*AE333*Ramure*Pc/MaxiM</f>
        <v>1.0998247487089717E-3</v>
      </c>
      <c r="AE333" s="305">
        <f t="shared" si="117"/>
        <v>0.5</v>
      </c>
      <c r="AF333" s="177">
        <f t="shared" si="118"/>
        <v>0.99679717043453619</v>
      </c>
      <c r="AG333" s="811">
        <f t="shared" si="124"/>
        <v>2</v>
      </c>
      <c r="AH333" s="176">
        <f t="shared" si="119"/>
        <v>8</v>
      </c>
      <c r="AI333" s="225">
        <f t="shared" si="120"/>
        <v>2.9967971704345362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'2026'!Wh/'2026'!Env_an*'2027'!Env_an</f>
        <v>25.615392426288185</v>
      </c>
      <c r="C334" s="841"/>
      <c r="D334" s="393">
        <f t="shared" si="102"/>
        <v>27.62481087225537</v>
      </c>
      <c r="E334" s="385">
        <f t="shared" si="125"/>
        <v>29.015483406644659</v>
      </c>
      <c r="F334" s="385">
        <f t="shared" si="103"/>
        <v>29.019676202246721</v>
      </c>
      <c r="G334" s="110">
        <f t="shared" si="126"/>
        <v>0.96841446738521775</v>
      </c>
      <c r="H334" s="414" t="b">
        <f>Wh_hp&gt;='2026'!Maxi_hp</f>
        <v>0</v>
      </c>
      <c r="I334" s="390">
        <f>IF(H334,Wh_hp,'2026'!Maxi_hp)</f>
        <v>29.019822672351918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7.2739627259686301E-2</v>
      </c>
      <c r="M334" s="845"/>
      <c r="N334" s="845"/>
      <c r="O334" s="48">
        <f>IF(t&lt;Tnet,'2026'!Resal+('2026'!Salim-'2026'!Resal)*(1-EXP(('2026'!Tnet-t)/('2026'!Tau_j))),Resal+(Salim-Resal)*(1-EXP((Tnet-t)/(Tau_j))))*Salcycl</f>
        <v>4.7928635718363331E-2</v>
      </c>
      <c r="P334" s="169">
        <f>(INDEX(Models!$BJ334:$BT334,,T334)*(1-R334)+INDEX(Models!$BJ334:$BT334,,T334+1)*R334-ERP_i)*Q334*Ramure*Pc/MaxiM</f>
        <v>1.5130700398134343E-4</v>
      </c>
      <c r="Q334" s="305">
        <f t="shared" si="105"/>
        <v>0.5</v>
      </c>
      <c r="R334" s="177">
        <f t="shared" si="106"/>
        <v>0.47184004065604679</v>
      </c>
      <c r="S334" s="811">
        <f t="shared" si="107"/>
        <v>-1</v>
      </c>
      <c r="T334" s="176">
        <f t="shared" si="108"/>
        <v>5</v>
      </c>
      <c r="U334" s="251">
        <f t="shared" si="109"/>
        <v>-0.52815995934395321</v>
      </c>
      <c r="V334" s="383">
        <f t="shared" si="110"/>
        <v>26.450676250983218</v>
      </c>
      <c r="W334" s="402">
        <f t="shared" si="111"/>
        <v>25.615392426288185</v>
      </c>
      <c r="X334" s="157">
        <f t="shared" si="112"/>
        <v>46707</v>
      </c>
      <c r="Y334" s="385">
        <f t="shared" si="113"/>
        <v>24.761426903176595</v>
      </c>
      <c r="Z334" s="385">
        <f t="shared" si="114"/>
        <v>26.703855390692102</v>
      </c>
      <c r="AA334" s="386">
        <f t="shared" si="115"/>
        <v>28.988602274292983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7.8815351702106323E-2</v>
      </c>
      <c r="AD334" s="231">
        <f>(INDEX(Models!$BJ334:$BT334,,AH334)*(1-AF334)+INDEX(Models!$BJ334:$BT334,,AH334+1)*AF334-ERP_i)*AE334*Ramure*Pc/MaxiM</f>
        <v>1.1213766152341458E-3</v>
      </c>
      <c r="AE334" s="305">
        <f t="shared" si="117"/>
        <v>0.5</v>
      </c>
      <c r="AF334" s="177">
        <f t="shared" si="118"/>
        <v>0.99682760703002549</v>
      </c>
      <c r="AG334" s="811">
        <f t="shared" si="124"/>
        <v>2</v>
      </c>
      <c r="AH334" s="176">
        <f t="shared" si="119"/>
        <v>8</v>
      </c>
      <c r="AI334" s="225">
        <f t="shared" si="120"/>
        <v>2.9968276070300255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'2026'!Wh/'2026'!Env_an*'2027'!Env_an</f>
        <v>11.99012887543106</v>
      </c>
      <c r="C335" s="841"/>
      <c r="D335" s="393">
        <f t="shared" ref="D335:D379" si="127">Wh/(1-Ppv)</f>
        <v>12.930986644390275</v>
      </c>
      <c r="E335" s="385">
        <f t="shared" si="125"/>
        <v>13.582366590290164</v>
      </c>
      <c r="F335" s="385">
        <f t="shared" ref="F335:F379" si="128">Wh_sa/(1-Pvg*MEDIAN((-Sdif+Wh/Env_an)/Csdif,0,1))</f>
        <v>13.582846498559965</v>
      </c>
      <c r="G335" s="110">
        <f t="shared" si="126"/>
        <v>0.45718880989376248</v>
      </c>
      <c r="H335" s="414" t="b">
        <f>Wh_hp&gt;='2026'!Maxi_hp</f>
        <v>0</v>
      </c>
      <c r="I335" s="390">
        <f>IF(H335,Wh_hp,'2026'!Maxi_hp)</f>
        <v>28.670073792979203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7.2759936641600298E-2</v>
      </c>
      <c r="M335" s="845"/>
      <c r="N335" s="845"/>
      <c r="O335" s="48">
        <f>IF(t&lt;Tnet,'2026'!Resal+('2026'!Salim-'2026'!Resal)*(1-EXP(('2026'!Tnet-t)/('2026'!Tau_j))),Resal+(Salim-Resal)*(1-EXP((Tnet-t)/(Tau_j))))*Salcycl</f>
        <v>4.7957765060291438E-2</v>
      </c>
      <c r="P335" s="169">
        <f>(INDEX(Models!$BJ335:$BT335,,T335)*(1-R335)+INDEX(Models!$BJ335:$BT335,,T335+1)*R335-ERP_i)*Q335*Ramure*Pc/MaxiM</f>
        <v>1.5728590697121835E-4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0.47186925527004098</v>
      </c>
      <c r="S335" s="811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-0.52813074472995902</v>
      </c>
      <c r="V335" s="383">
        <f t="shared" ref="V335:V379" si="135">MaxiM*(1-Ppv)*(1-Pvg)*(1-Psa)</f>
        <v>26.222572207592254</v>
      </c>
      <c r="W335" s="402">
        <f t="shared" ref="W335:W379" si="136">Wh*(A335&gt;Tmaj)</f>
        <v>11.99012887543106</v>
      </c>
      <c r="X335" s="157">
        <f t="shared" ref="X335:X379" si="137">t</f>
        <v>46708</v>
      </c>
      <c r="Y335" s="385">
        <f t="shared" ref="Y335:Y379" si="138">Wh_pvt_s*(1-Ppv)</f>
        <v>11.599160687579829</v>
      </c>
      <c r="Z335" s="385">
        <f t="shared" ref="Z335:Z379" si="139">Wh_sa_s*(1-Psa_s)</f>
        <v>12.509339432086731</v>
      </c>
      <c r="AA335" s="386">
        <f t="shared" ref="AA335:AA379" si="140">Wh_hp*(1-Pvg_s*MEDIAN((-Sdif+Wh/Env_an)/Csdif,0,1))</f>
        <v>13.579362768839255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7.8797757668564533E-2</v>
      </c>
      <c r="AD335" s="231">
        <f>(INDEX(Models!$BJ335:$BT335,,AH335)*(1-AF335)+INDEX(Models!$BJ335:$BT335,,AH335+1)*AF335-ERP_i)*AE335*Ramure*Pc/MaxiM</f>
        <v>1.1417631727644972E-3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0.99685682164401967</v>
      </c>
      <c r="AG335" s="811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2.9968568216440197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'2026'!Wh/'2026'!Env_an*'2027'!Env_an</f>
        <v>14.231927658298215</v>
      </c>
      <c r="C336" s="841"/>
      <c r="D336" s="393">
        <f t="shared" si="127"/>
        <v>15.349034131806754</v>
      </c>
      <c r="E336" s="385">
        <f t="shared" si="125"/>
        <v>16.122722802764503</v>
      </c>
      <c r="F336" s="385">
        <f t="shared" si="128"/>
        <v>16.123654860288028</v>
      </c>
      <c r="G336" s="110">
        <f t="shared" si="126"/>
        <v>0.5473651955798563</v>
      </c>
      <c r="H336" s="414" t="b">
        <f>Wh_hp&gt;='2026'!Maxi_hp</f>
        <v>0</v>
      </c>
      <c r="I336" s="390">
        <f>IF(H336,Wh_hp,'2026'!Maxi_hp)</f>
        <v>27.452705708144066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7.2780245578686675E-2</v>
      </c>
      <c r="M336" s="845"/>
      <c r="N336" s="845"/>
      <c r="O336" s="48">
        <f>IF(t&lt;Tnet,'2026'!Resal+('2026'!Salim-'2026'!Resal)*(1-EXP(('2026'!Tnet-t)/('2026'!Tau_j))),Resal+(Salim-Resal)*(1-EXP((Tnet-t)/(Tau_j))))*Salcycl</f>
        <v>4.798746963664785E-2</v>
      </c>
      <c r="P336" s="169">
        <f>(INDEX(Models!$BJ336:$BT336,,T336)*(1-R336)+INDEX(Models!$BJ336:$BT336,,T336+1)*R336-ERP_i)*Q336*Ramure*Pc/MaxiM</f>
        <v>1.6354491681215436E-4</v>
      </c>
      <c r="Q336" s="305">
        <f t="shared" si="130"/>
        <v>0.5</v>
      </c>
      <c r="R336" s="177">
        <f t="shared" si="131"/>
        <v>0.47189729682870429</v>
      </c>
      <c r="S336" s="811">
        <f t="shared" si="132"/>
        <v>-1</v>
      </c>
      <c r="T336" s="176">
        <f t="shared" si="133"/>
        <v>5</v>
      </c>
      <c r="U336" s="251">
        <f t="shared" si="134"/>
        <v>-0.52810270317129571</v>
      </c>
      <c r="V336" s="383">
        <f t="shared" si="135"/>
        <v>25.998040850141159</v>
      </c>
      <c r="W336" s="402">
        <f t="shared" si="136"/>
        <v>14.231927658298215</v>
      </c>
      <c r="X336" s="157">
        <f t="shared" si="137"/>
        <v>46709</v>
      </c>
      <c r="Y336" s="385">
        <f t="shared" si="138"/>
        <v>13.766726499028637</v>
      </c>
      <c r="Z336" s="385">
        <f t="shared" si="139"/>
        <v>14.847317945270248</v>
      </c>
      <c r="AA336" s="386">
        <f t="shared" si="140"/>
        <v>16.117038306800644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7.8781246117323747E-2</v>
      </c>
      <c r="AD336" s="231">
        <f>(INDEX(Models!$BJ336:$BT336,,AH336)*(1-AF336)+INDEX(Models!$BJ336:$BT336,,AH336+1)*AF336-ERP_i)*AE336*Ramure*Pc/MaxiM</f>
        <v>1.1609838045029961E-3</v>
      </c>
      <c r="AE336" s="305">
        <f t="shared" si="142"/>
        <v>0.5</v>
      </c>
      <c r="AF336" s="177">
        <f t="shared" si="143"/>
        <v>0.99688486320268321</v>
      </c>
      <c r="AG336" s="811">
        <f t="shared" ref="AG336:AG379" si="149">INDEX(Echel_vg,AH336)</f>
        <v>2</v>
      </c>
      <c r="AH336" s="176">
        <f t="shared" si="144"/>
        <v>8</v>
      </c>
      <c r="AI336" s="225">
        <f t="shared" si="145"/>
        <v>2.9968848632026832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'2026'!Wh/'2026'!Env_an*'2027'!Env_an</f>
        <v>7.2887607653136692</v>
      </c>
      <c r="C337" s="841"/>
      <c r="D337" s="393">
        <f t="shared" si="127"/>
        <v>7.8610495264159725</v>
      </c>
      <c r="E337" s="385">
        <f t="shared" si="125"/>
        <v>8.2575592047389357</v>
      </c>
      <c r="F337" s="385">
        <f t="shared" si="128"/>
        <v>8.2575592047389357</v>
      </c>
      <c r="G337" s="110">
        <f t="shared" si="126"/>
        <v>0.28271215837057267</v>
      </c>
      <c r="H337" s="414" t="b">
        <f>Wh_hp&gt;='2026'!Maxi_hp</f>
        <v>0</v>
      </c>
      <c r="I337" s="390">
        <f>IF(H337,Wh_hp,'2026'!Maxi_hp)</f>
        <v>29.080430360791048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7.2800554070955315E-2</v>
      </c>
      <c r="M337" s="845"/>
      <c r="N337" s="845"/>
      <c r="O337" s="48">
        <f>IF(t&lt;Tnet,'2026'!Resal+('2026'!Salim-'2026'!Resal)*(1-EXP(('2026'!Tnet-t)/('2026'!Tau_j))),Resal+(Salim-Resal)*(1-EXP((Tnet-t)/(Tau_j))))*Salcycl</f>
        <v>4.8017782069962066E-2</v>
      </c>
      <c r="P337" s="169">
        <f>(INDEX(Models!$BJ337:$BT337,,T337)*(1-R337)+INDEX(Models!$BJ337:$BT337,,T337+1)*R337-ERP_i)*Q337*Ramure*Pc/MaxiM</f>
        <v>1.7008702236139434E-4</v>
      </c>
      <c r="Q337" s="305">
        <f t="shared" si="130"/>
        <v>0.5</v>
      </c>
      <c r="R337" s="177">
        <f t="shared" si="131"/>
        <v>0.4719242123098748</v>
      </c>
      <c r="S337" s="811">
        <f t="shared" si="132"/>
        <v>-1</v>
      </c>
      <c r="T337" s="176">
        <f t="shared" si="133"/>
        <v>5</v>
      </c>
      <c r="U337" s="251">
        <f t="shared" si="134"/>
        <v>-0.5280757876901252</v>
      </c>
      <c r="V337" s="383">
        <f t="shared" si="135"/>
        <v>25.777175922324762</v>
      </c>
      <c r="W337" s="402">
        <f t="shared" si="136"/>
        <v>7.2887607653136692</v>
      </c>
      <c r="X337" s="157">
        <f t="shared" si="137"/>
        <v>46710</v>
      </c>
      <c r="Y337" s="385">
        <f t="shared" si="138"/>
        <v>7.0533409907584579</v>
      </c>
      <c r="Z337" s="385">
        <f t="shared" si="139"/>
        <v>7.6071453900526009</v>
      </c>
      <c r="AA337" s="386">
        <f t="shared" si="140"/>
        <v>8.2575592047389357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7.876586755963777E-2</v>
      </c>
      <c r="AD337" s="231">
        <f>(INDEX(Models!$BJ337:$BT337,,AH337)*(1-AF337)+INDEX(Models!$BJ337:$BT337,,AH337+1)*AF337-ERP_i)*AE337*Ramure*Pc/MaxiM</f>
        <v>1.1790371761647017E-3</v>
      </c>
      <c r="AE337" s="305">
        <f t="shared" si="142"/>
        <v>0.5</v>
      </c>
      <c r="AF337" s="177">
        <f t="shared" si="143"/>
        <v>0.99691177868385372</v>
      </c>
      <c r="AG337" s="811">
        <f t="shared" si="149"/>
        <v>2</v>
      </c>
      <c r="AH337" s="176">
        <f t="shared" si="144"/>
        <v>8</v>
      </c>
      <c r="AI337" s="225">
        <f t="shared" si="145"/>
        <v>2.9969117786838537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'2026'!Wh/'2026'!Env_an*'2027'!Env_an</f>
        <v>14.568108691544749</v>
      </c>
      <c r="C338" s="841"/>
      <c r="D338" s="393">
        <f t="shared" si="127"/>
        <v>15.71229128907054</v>
      </c>
      <c r="E338" s="385">
        <f t="shared" si="125"/>
        <v>16.505352556594318</v>
      </c>
      <c r="F338" s="385">
        <f t="shared" si="128"/>
        <v>16.506476806891193</v>
      </c>
      <c r="G338" s="110">
        <f t="shared" si="126"/>
        <v>0.56989369708669713</v>
      </c>
      <c r="H338" s="414" t="b">
        <f>Wh_hp&gt;='2026'!Maxi_hp</f>
        <v>0</v>
      </c>
      <c r="I338" s="390">
        <f>IF(H338,Wh_hp,'2026'!Maxi_hp)</f>
        <v>30.110087627610774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7.2820862118415763E-2</v>
      </c>
      <c r="M338" s="845"/>
      <c r="N338" s="845"/>
      <c r="O338" s="48">
        <f>IF(t&lt;Tnet,'2026'!Resal+('2026'!Salim-'2026'!Resal)*(1-EXP(('2026'!Tnet-t)/('2026'!Tau_j))),Resal+(Salim-Resal)*(1-EXP((Tnet-t)/(Tau_j))))*Salcycl</f>
        <v>4.8048732361486435E-2</v>
      </c>
      <c r="P338" s="169">
        <f>(INDEX(Models!$BJ338:$BT338,,T338)*(1-R338)+INDEX(Models!$BJ338:$BT338,,T338+1)*R338-ERP_i)*Q338*Ramure*Pc/MaxiM</f>
        <v>1.76609645222854E-4</v>
      </c>
      <c r="Q338" s="305">
        <f t="shared" si="130"/>
        <v>0.5</v>
      </c>
      <c r="R338" s="177">
        <f t="shared" si="131"/>
        <v>0.4719500468198139</v>
      </c>
      <c r="S338" s="811">
        <f t="shared" si="132"/>
        <v>-1</v>
      </c>
      <c r="T338" s="176">
        <f t="shared" si="133"/>
        <v>5</v>
      </c>
      <c r="U338" s="251">
        <f t="shared" si="134"/>
        <v>-0.5280499531801861</v>
      </c>
      <c r="V338" s="383">
        <f t="shared" si="135"/>
        <v>25.560079043806631</v>
      </c>
      <c r="W338" s="402">
        <f t="shared" si="136"/>
        <v>14.568108691544749</v>
      </c>
      <c r="X338" s="157">
        <f t="shared" si="137"/>
        <v>46711</v>
      </c>
      <c r="Y338" s="385">
        <f t="shared" si="138"/>
        <v>14.092708592786176</v>
      </c>
      <c r="Z338" s="385">
        <f t="shared" si="139"/>
        <v>15.199553157532371</v>
      </c>
      <c r="AA338" s="386">
        <f t="shared" si="140"/>
        <v>16.4988664081731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7.8751668053817628E-2</v>
      </c>
      <c r="AD338" s="231">
        <f>(INDEX(Models!$BJ338:$BT338,,AH338)*(1-AF338)+INDEX(Models!$BJ338:$BT338,,AH338+1)*AF338-ERP_i)*AE338*Ramure*Pc/MaxiM</f>
        <v>1.195525428226406E-3</v>
      </c>
      <c r="AE338" s="305">
        <f t="shared" si="142"/>
        <v>0.5</v>
      </c>
      <c r="AF338" s="177">
        <f t="shared" si="143"/>
        <v>0.99693761319379259</v>
      </c>
      <c r="AG338" s="811">
        <f t="shared" si="149"/>
        <v>2</v>
      </c>
      <c r="AH338" s="176">
        <f t="shared" si="144"/>
        <v>8</v>
      </c>
      <c r="AI338" s="225">
        <f t="shared" si="145"/>
        <v>2.9969376131937926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'2026'!Wh/'2026'!Env_an*'2027'!Env_an</f>
        <v>3.0787610433025012</v>
      </c>
      <c r="C339" s="841"/>
      <c r="D339" s="393">
        <f t="shared" si="127"/>
        <v>3.3206403722394588</v>
      </c>
      <c r="E339" s="385">
        <f t="shared" si="125"/>
        <v>3.4883620318976427</v>
      </c>
      <c r="F339" s="385">
        <f t="shared" si="128"/>
        <v>3.4883620318976427</v>
      </c>
      <c r="G339" s="110">
        <f t="shared" si="126"/>
        <v>0.12144302020049648</v>
      </c>
      <c r="H339" s="414" t="b">
        <f>Wh_hp&gt;='2026'!Maxi_hp</f>
        <v>0</v>
      </c>
      <c r="I339" s="390">
        <f>IF(H339,Wh_hp,'2026'!Maxi_hp)</f>
        <v>29.084066217541494</v>
      </c>
      <c r="J339" s="85">
        <f>IF(H339,An,'2026'!An_max)</f>
        <v>2019</v>
      </c>
      <c r="K339" s="197">
        <f t="shared" si="129"/>
        <v>46712</v>
      </c>
      <c r="L339" s="147">
        <f>IF(t&lt;Tvie,1-EXP((T0-t)*PertePVj)+'2026'!Pspv,1-EXP((T0-t)*PertePVj)+Pspv)</f>
        <v>7.2841169721077903E-2</v>
      </c>
      <c r="M339" s="845"/>
      <c r="N339" s="845"/>
      <c r="O339" s="48">
        <f>IF(t&lt;Tnet,'2026'!Resal+('2026'!Salim-'2026'!Resal)*(1-EXP(('2026'!Tnet-t)/('2026'!Tau_j))),Resal+(Salim-Resal)*(1-EXP((Tnet-t)/(Tau_j))))*Salcycl</f>
        <v>4.8080347774839417E-2</v>
      </c>
      <c r="P339" s="169">
        <f>(INDEX(Models!$BJ339:$BT339,,T339)*(1-R339)+INDEX(Models!$BJ339:$BT339,,T339+1)*R339-ERP_i)*Q339*Ramure*Pc/MaxiM</f>
        <v>1.8293565569132208E-4</v>
      </c>
      <c r="Q339" s="305">
        <f t="shared" si="130"/>
        <v>0.5</v>
      </c>
      <c r="R339" s="177">
        <f t="shared" si="131"/>
        <v>0.47197484366699904</v>
      </c>
      <c r="S339" s="811">
        <f t="shared" si="132"/>
        <v>-1</v>
      </c>
      <c r="T339" s="176">
        <f t="shared" si="133"/>
        <v>5</v>
      </c>
      <c r="U339" s="251">
        <f t="shared" si="134"/>
        <v>-0.52802515633300096</v>
      </c>
      <c r="V339" s="383">
        <f t="shared" si="135"/>
        <v>25.346848448353587</v>
      </c>
      <c r="W339" s="402">
        <f t="shared" si="136"/>
        <v>3.0787610433025012</v>
      </c>
      <c r="X339" s="157">
        <f t="shared" si="137"/>
        <v>46712</v>
      </c>
      <c r="Y339" s="385">
        <f t="shared" si="138"/>
        <v>2.9796038229433708</v>
      </c>
      <c r="Z339" s="385">
        <f t="shared" si="139"/>
        <v>3.2136929786312889</v>
      </c>
      <c r="AA339" s="386">
        <f t="shared" si="140"/>
        <v>3.4883620318976427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7.8738689033642562E-2</v>
      </c>
      <c r="AD339" s="231">
        <f>(INDEX(Models!$BJ339:$BT339,,AH339)*(1-AF339)+INDEX(Models!$BJ339:$BT339,,AH339+1)*AF339-ERP_i)*AE339*Ramure*Pc/MaxiM</f>
        <v>1.2108315480391456E-3</v>
      </c>
      <c r="AE339" s="305">
        <f t="shared" si="142"/>
        <v>0.5</v>
      </c>
      <c r="AF339" s="177">
        <f t="shared" si="143"/>
        <v>0.99696241004097796</v>
      </c>
      <c r="AG339" s="811">
        <f t="shared" si="149"/>
        <v>2</v>
      </c>
      <c r="AH339" s="176">
        <f t="shared" si="144"/>
        <v>8</v>
      </c>
      <c r="AI339" s="225">
        <f t="shared" si="145"/>
        <v>2.996962410040978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'2026'!Wh/'2026'!Env_an*'2027'!Env_an</f>
        <v>7.6537123001181904</v>
      </c>
      <c r="C340" s="841"/>
      <c r="D340" s="393">
        <f t="shared" si="127"/>
        <v>8.2551982354840749</v>
      </c>
      <c r="E340" s="385">
        <f t="shared" si="125"/>
        <v>8.672452952776954</v>
      </c>
      <c r="F340" s="385">
        <f t="shared" si="128"/>
        <v>8.6724634300536163</v>
      </c>
      <c r="G340" s="110">
        <f t="shared" si="126"/>
        <v>0.30441574548060774</v>
      </c>
      <c r="H340" s="414" t="b">
        <f>Wh_hp&gt;='2026'!Maxi_hp</f>
        <v>0</v>
      </c>
      <c r="I340" s="390">
        <f>IF(H340,Wh_hp,'2026'!Maxi_hp)</f>
        <v>29.591035421411469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7.2861476878951503E-2</v>
      </c>
      <c r="M340" s="845"/>
      <c r="N340" s="845"/>
      <c r="O340" s="48">
        <f>IF(t&lt;Tnet,'2026'!Resal+('2026'!Salim-'2026'!Resal)*(1-EXP(('2026'!Tnet-t)/('2026'!Tau_j))),Resal+(Salim-Resal)*(1-EXP((Tnet-t)/(Tau_j))))*Salcycl</f>
        <v>4.8112652736763704E-2</v>
      </c>
      <c r="P340" s="169">
        <f>(INDEX(Models!$BJ340:$BT340,,T340)*(1-R340)+INDEX(Models!$BJ340:$BT340,,T340+1)*R340-ERP_i)*Q340*Ramure*Pc/MaxiM</f>
        <v>1.8906477761890413E-4</v>
      </c>
      <c r="Q340" s="305">
        <f t="shared" si="130"/>
        <v>0.5</v>
      </c>
      <c r="R340" s="177">
        <f t="shared" si="131"/>
        <v>0.4719986444330676</v>
      </c>
      <c r="S340" s="811">
        <f t="shared" si="132"/>
        <v>-1</v>
      </c>
      <c r="T340" s="176">
        <f t="shared" si="133"/>
        <v>5</v>
      </c>
      <c r="U340" s="251">
        <f t="shared" si="134"/>
        <v>-0.5280013555669324</v>
      </c>
      <c r="V340" s="383">
        <f t="shared" si="135"/>
        <v>25.137577839151035</v>
      </c>
      <c r="W340" s="402">
        <f t="shared" si="136"/>
        <v>7.6537123001181904</v>
      </c>
      <c r="X340" s="157">
        <f t="shared" si="137"/>
        <v>46713</v>
      </c>
      <c r="Y340" s="385">
        <f t="shared" si="138"/>
        <v>7.4075068758528761</v>
      </c>
      <c r="Z340" s="385">
        <f t="shared" si="139"/>
        <v>7.9896441482302007</v>
      </c>
      <c r="AA340" s="386">
        <f t="shared" si="140"/>
        <v>8.6723955477656016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7.8726967165526504E-2</v>
      </c>
      <c r="AD340" s="231">
        <f>(INDEX(Models!$BJ340:$BT340,,AH340)*(1-AF340)+INDEX(Models!$BJ340:$BT340,,AH340+1)*AF340-ERP_i)*AE340*Ramure*Pc/MaxiM</f>
        <v>1.2249509200880815E-3</v>
      </c>
      <c r="AE340" s="305">
        <f t="shared" si="142"/>
        <v>0.5</v>
      </c>
      <c r="AF340" s="177">
        <f t="shared" si="143"/>
        <v>0.99698621080704664</v>
      </c>
      <c r="AG340" s="811">
        <f t="shared" si="149"/>
        <v>2</v>
      </c>
      <c r="AH340" s="176">
        <f t="shared" si="144"/>
        <v>8</v>
      </c>
      <c r="AI340" s="225">
        <f t="shared" si="145"/>
        <v>2.9969862108070466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'2026'!Wh/'2026'!Env_an*'2027'!Env_an</f>
        <v>11.470619740549653</v>
      </c>
      <c r="C341" s="841"/>
      <c r="D341" s="393">
        <f t="shared" si="127"/>
        <v>12.372337785564888</v>
      </c>
      <c r="E341" s="385">
        <f t="shared" si="125"/>
        <v>12.99814202598702</v>
      </c>
      <c r="F341" s="385">
        <f t="shared" si="128"/>
        <v>12.998721635479427</v>
      </c>
      <c r="G341" s="110">
        <f t="shared" si="126"/>
        <v>0.46000033496954146</v>
      </c>
      <c r="H341" s="414" t="b">
        <f>Wh_hp&gt;='2026'!Maxi_hp</f>
        <v>0</v>
      </c>
      <c r="I341" s="390">
        <f>IF(H341,Wh_hp,'2026'!Maxi_hp)</f>
        <v>29.56301535081597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7.2881783592046112E-2</v>
      </c>
      <c r="M341" s="845"/>
      <c r="N341" s="845"/>
      <c r="O341" s="48">
        <f>IF(t&lt;Tnet,'2026'!Resal+('2026'!Salim-'2026'!Resal)*(1-EXP(('2026'!Tnet-t)/('2026'!Tau_j))),Resal+(Salim-Resal)*(1-EXP((Tnet-t)/(Tau_j))))*Salcycl</f>
        <v>4.8145668755655187E-2</v>
      </c>
      <c r="P341" s="169">
        <f>(INDEX(Models!$BJ341:$BT341,,T341)*(1-R341)+INDEX(Models!$BJ341:$BT341,,T341+1)*R341-ERP_i)*Q341*Ramure*Pc/MaxiM</f>
        <v>1.9499532635239704E-4</v>
      </c>
      <c r="Q341" s="305">
        <f t="shared" si="130"/>
        <v>0.5</v>
      </c>
      <c r="R341" s="177">
        <f t="shared" si="131"/>
        <v>0.47202148904101726</v>
      </c>
      <c r="S341" s="811">
        <f t="shared" si="132"/>
        <v>-1</v>
      </c>
      <c r="T341" s="176">
        <f t="shared" si="133"/>
        <v>5</v>
      </c>
      <c r="U341" s="251">
        <f t="shared" si="134"/>
        <v>-0.52797851095898274</v>
      </c>
      <c r="V341" s="383">
        <f t="shared" si="135"/>
        <v>24.932361014429731</v>
      </c>
      <c r="W341" s="402">
        <f t="shared" si="136"/>
        <v>11.470619740549653</v>
      </c>
      <c r="X341" s="157">
        <f t="shared" si="137"/>
        <v>46714</v>
      </c>
      <c r="Y341" s="385">
        <f t="shared" si="138"/>
        <v>11.099568200998597</v>
      </c>
      <c r="Z341" s="385">
        <f t="shared" si="139"/>
        <v>11.972117476024788</v>
      </c>
      <c r="AA341" s="386">
        <f t="shared" si="140"/>
        <v>12.995042156854558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7.8716534235343028E-2</v>
      </c>
      <c r="AD341" s="231">
        <f>(INDEX(Models!$BJ341:$BT341,,AH341)*(1-AF341)+INDEX(Models!$BJ341:$BT341,,AH341+1)*AF341-ERP_i)*AE341*Ramure*Pc/MaxiM</f>
        <v>1.2378698842263026E-3</v>
      </c>
      <c r="AE341" s="305">
        <f t="shared" si="142"/>
        <v>0.5</v>
      </c>
      <c r="AF341" s="177">
        <f t="shared" si="143"/>
        <v>0.9970090554149964</v>
      </c>
      <c r="AG341" s="811">
        <f t="shared" si="149"/>
        <v>2</v>
      </c>
      <c r="AH341" s="176">
        <f t="shared" si="144"/>
        <v>8</v>
      </c>
      <c r="AI341" s="225">
        <f t="shared" si="145"/>
        <v>2.9970090554149964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'2026'!Wh/'2026'!Env_an*'2027'!Env_an</f>
        <v>12.625351713547575</v>
      </c>
      <c r="C342" s="841"/>
      <c r="D342" s="393">
        <f t="shared" si="127"/>
        <v>13.618142782401586</v>
      </c>
      <c r="E342" s="385">
        <f t="shared" si="125"/>
        <v>14.307468222303251</v>
      </c>
      <c r="F342" s="385">
        <f t="shared" si="128"/>
        <v>14.308331894889728</v>
      </c>
      <c r="G342" s="110">
        <f t="shared" si="126"/>
        <v>0.51042944085127118</v>
      </c>
      <c r="H342" s="414" t="b">
        <f>Wh_hp&gt;='2026'!Maxi_hp</f>
        <v>0</v>
      </c>
      <c r="I342" s="390">
        <f>IF(H342,Wh_hp,'2026'!Maxi_hp)</f>
        <v>27.223770958160259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7.2902089860371611E-2</v>
      </c>
      <c r="M342" s="845"/>
      <c r="N342" s="845"/>
      <c r="O342" s="48">
        <f>IF(t&lt;Tnet,'2026'!Resal+('2026'!Salim-'2026'!Resal)*(1-EXP(('2026'!Tnet-t)/('2026'!Tau_j))),Resal+(Salim-Resal)*(1-EXP((Tnet-t)/(Tau_j))))*Salcycl</f>
        <v>4.817941435837738E-2</v>
      </c>
      <c r="P342" s="169">
        <f>(INDEX(Models!$BJ342:$BT342,,T342)*(1-R342)+INDEX(Models!$BJ342:$BT342,,T342+1)*R342-ERP_i)*Q342*Ramure*Pc/MaxiM</f>
        <v>2.0072607707936609E-4</v>
      </c>
      <c r="Q342" s="305">
        <f t="shared" si="130"/>
        <v>0.5</v>
      </c>
      <c r="R342" s="177">
        <f t="shared" si="131"/>
        <v>0.47204341582076537</v>
      </c>
      <c r="S342" s="811">
        <f t="shared" si="132"/>
        <v>-1</v>
      </c>
      <c r="T342" s="176">
        <f t="shared" si="133"/>
        <v>5</v>
      </c>
      <c r="U342" s="251">
        <f t="shared" si="134"/>
        <v>-0.52795658417923463</v>
      </c>
      <c r="V342" s="383">
        <f t="shared" si="135"/>
        <v>24.731291818807634</v>
      </c>
      <c r="W342" s="402">
        <f t="shared" si="136"/>
        <v>12.625351713547575</v>
      </c>
      <c r="X342" s="157">
        <f t="shared" si="137"/>
        <v>46715</v>
      </c>
      <c r="Y342" s="385">
        <f t="shared" si="138"/>
        <v>12.216560714440417</v>
      </c>
      <c r="Z342" s="385">
        <f t="shared" si="139"/>
        <v>13.177206615211229</v>
      </c>
      <c r="AA342" s="386">
        <f t="shared" si="140"/>
        <v>14.30295528185011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7.8707417065577434E-2</v>
      </c>
      <c r="AD342" s="231">
        <f>(INDEX(Models!$BJ342:$BT342,,AH342)*(1-AF342)+INDEX(Models!$BJ342:$BT342,,AH342+1)*AF342-ERP_i)*AE342*Ramure*Pc/MaxiM</f>
        <v>1.2495782085877941E-3</v>
      </c>
      <c r="AE342" s="305">
        <f t="shared" si="142"/>
        <v>0.5</v>
      </c>
      <c r="AF342" s="177">
        <f t="shared" si="143"/>
        <v>0.99703098219474429</v>
      </c>
      <c r="AG342" s="811">
        <f t="shared" si="149"/>
        <v>2</v>
      </c>
      <c r="AH342" s="176">
        <f t="shared" si="144"/>
        <v>8</v>
      </c>
      <c r="AI342" s="225">
        <f t="shared" si="145"/>
        <v>2.9970309821947443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'2026'!Wh/'2026'!Env_an*'2027'!Env_an</f>
        <v>4.8887542214608359</v>
      </c>
      <c r="C343" s="841"/>
      <c r="D343" s="393">
        <f t="shared" si="127"/>
        <v>5.2732955673839648</v>
      </c>
      <c r="E343" s="385">
        <f t="shared" si="125"/>
        <v>5.5404208942948845</v>
      </c>
      <c r="F343" s="385">
        <f t="shared" si="128"/>
        <v>5.5404208942948845</v>
      </c>
      <c r="G343" s="110">
        <f t="shared" si="126"/>
        <v>0.19921958992693664</v>
      </c>
      <c r="H343" s="414" t="b">
        <f>Wh_hp&gt;='2026'!Maxi_hp</f>
        <v>0</v>
      </c>
      <c r="I343" s="390">
        <f>IF(H343,Wh_hp,'2026'!Maxi_hp)</f>
        <v>26.38503248912658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7.2922395683937768E-2</v>
      </c>
      <c r="M343" s="845"/>
      <c r="N343" s="845"/>
      <c r="O343" s="48">
        <f>IF(t&lt;Tnet,'2026'!Resal+('2026'!Salim-'2026'!Resal)*(1-EXP(('2026'!Tnet-t)/('2026'!Tau_j))),Resal+(Salim-Resal)*(1-EXP((Tnet-t)/(Tau_j))))*Salcycl</f>
        <v>4.8213905045731323E-2</v>
      </c>
      <c r="P343" s="169">
        <f>(INDEX(Models!$BJ343:$BT343,,T343)*(1-R343)+INDEX(Models!$BJ343:$BT343,,T343+1)*R343-ERP_i)*Q343*Ramure*Pc/MaxiM</f>
        <v>2.0625656132068851E-4</v>
      </c>
      <c r="Q343" s="305">
        <f t="shared" si="130"/>
        <v>0.5</v>
      </c>
      <c r="R343" s="177">
        <f t="shared" si="131"/>
        <v>0.47206446157216264</v>
      </c>
      <c r="S343" s="811">
        <f t="shared" si="132"/>
        <v>-1</v>
      </c>
      <c r="T343" s="176">
        <f t="shared" si="133"/>
        <v>5</v>
      </c>
      <c r="U343" s="251">
        <f t="shared" si="134"/>
        <v>-0.52793553842783736</v>
      </c>
      <c r="V343" s="383">
        <f t="shared" si="135"/>
        <v>24.534464133866287</v>
      </c>
      <c r="W343" s="402">
        <f t="shared" si="136"/>
        <v>4.8887542214608359</v>
      </c>
      <c r="X343" s="157">
        <f t="shared" si="137"/>
        <v>46716</v>
      </c>
      <c r="Y343" s="385">
        <f t="shared" si="138"/>
        <v>4.7321673015210699</v>
      </c>
      <c r="Z343" s="385">
        <f t="shared" si="139"/>
        <v>5.1043917785201556</v>
      </c>
      <c r="AA343" s="386">
        <f t="shared" si="140"/>
        <v>5.5404208942948845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7.8699637463233094E-2</v>
      </c>
      <c r="AD343" s="231">
        <f>(INDEX(Models!$BJ343:$BT343,,AH343)*(1-AF343)+INDEX(Models!$BJ343:$BT343,,AH343+1)*AF343-ERP_i)*AE343*Ramure*Pc/MaxiM</f>
        <v>1.2600705156459932E-3</v>
      </c>
      <c r="AE343" s="305">
        <f t="shared" si="142"/>
        <v>0.5</v>
      </c>
      <c r="AF343" s="177">
        <f t="shared" si="143"/>
        <v>0.99705202794614145</v>
      </c>
      <c r="AG343" s="811">
        <f t="shared" si="149"/>
        <v>2</v>
      </c>
      <c r="AH343" s="176">
        <f t="shared" si="144"/>
        <v>8</v>
      </c>
      <c r="AI343" s="225">
        <f t="shared" si="145"/>
        <v>2.9970520279461415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'2026'!Wh/'2026'!Env_an*'2027'!Env_an</f>
        <v>9.7997606714643553</v>
      </c>
      <c r="C344" s="841"/>
      <c r="D344" s="393">
        <f t="shared" si="127"/>
        <v>10.57082521511728</v>
      </c>
      <c r="E344" s="385">
        <f t="shared" si="125"/>
        <v>11.106714799782655</v>
      </c>
      <c r="F344" s="385">
        <f t="shared" si="128"/>
        <v>11.107059213437434</v>
      </c>
      <c r="G344" s="110">
        <f t="shared" si="126"/>
        <v>0.40251426796465783</v>
      </c>
      <c r="H344" s="414" t="b">
        <f>Wh_hp&gt;='2026'!Maxi_hp</f>
        <v>0</v>
      </c>
      <c r="I344" s="390">
        <f>IF(H344,Wh_hp,'2026'!Maxi_hp)</f>
        <v>26.793324525882319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7.2942701062754245E-2</v>
      </c>
      <c r="M344" s="845"/>
      <c r="N344" s="845"/>
      <c r="O344" s="48">
        <f>IF(t&lt;Tnet,'2026'!Resal+('2026'!Salim-'2026'!Resal)*(1-EXP(('2026'!Tnet-t)/('2026'!Tau_j))),Resal+(Salim-Resal)*(1-EXP((Tnet-t)/(Tau_j))))*Salcycl</f>
        <v>4.8249153266802326E-2</v>
      </c>
      <c r="P344" s="169">
        <f>(INDEX(Models!$BJ344:$BT344,,T344)*(1-R344)+INDEX(Models!$BJ344:$BT344,,T344+1)*R344-ERP_i)*Q344*Ramure*Pc/MaxiM</f>
        <v>2.1158609253362927E-4</v>
      </c>
      <c r="Q344" s="305">
        <f t="shared" si="130"/>
        <v>0.5</v>
      </c>
      <c r="R344" s="177">
        <f t="shared" si="131"/>
        <v>0.47208466162556095</v>
      </c>
      <c r="S344" s="811">
        <f t="shared" si="132"/>
        <v>-1</v>
      </c>
      <c r="T344" s="176">
        <f t="shared" si="133"/>
        <v>5</v>
      </c>
      <c r="U344" s="251">
        <f t="shared" si="134"/>
        <v>-0.52791533837443905</v>
      </c>
      <c r="V344" s="383">
        <f t="shared" si="135"/>
        <v>24.341971899046488</v>
      </c>
      <c r="W344" s="402">
        <f t="shared" si="136"/>
        <v>9.7997606714643553</v>
      </c>
      <c r="X344" s="157">
        <f t="shared" si="137"/>
        <v>46717</v>
      </c>
      <c r="Y344" s="385">
        <f t="shared" si="138"/>
        <v>9.4848209807138986</v>
      </c>
      <c r="Z344" s="385">
        <f t="shared" si="139"/>
        <v>10.231105446866174</v>
      </c>
      <c r="AA344" s="386">
        <f t="shared" si="140"/>
        <v>11.104993018973053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7.8693212198677573E-2</v>
      </c>
      <c r="AD344" s="231">
        <f>(INDEX(Models!$BJ344:$BT344,,AH344)*(1-AF344)+INDEX(Models!$BJ344:$BT344,,AH344+1)*AF344-ERP_i)*AE344*Ramure*Pc/MaxiM</f>
        <v>1.2693399552161958E-3</v>
      </c>
      <c r="AE344" s="305">
        <f t="shared" si="142"/>
        <v>0.5</v>
      </c>
      <c r="AF344" s="177">
        <f t="shared" si="143"/>
        <v>0.99707222799953987</v>
      </c>
      <c r="AG344" s="811">
        <f t="shared" si="149"/>
        <v>2</v>
      </c>
      <c r="AH344" s="176">
        <f t="shared" si="144"/>
        <v>8</v>
      </c>
      <c r="AI344" s="225">
        <f t="shared" si="145"/>
        <v>2.9970722279995399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'2026'!Wh/'2026'!Env_an*'2027'!Env_an</f>
        <v>13.94017363463284</v>
      </c>
      <c r="C345" s="841"/>
      <c r="D345" s="393">
        <f t="shared" si="127"/>
        <v>15.037343412193088</v>
      </c>
      <c r="E345" s="385">
        <f t="shared" si="125"/>
        <v>15.800261709808916</v>
      </c>
      <c r="F345" s="385">
        <f t="shared" si="128"/>
        <v>15.801618025090214</v>
      </c>
      <c r="G345" s="110">
        <f t="shared" si="126"/>
        <v>0.57713819618612316</v>
      </c>
      <c r="H345" s="414" t="b">
        <f>Wh_hp&gt;='2026'!Maxi_hp</f>
        <v>0</v>
      </c>
      <c r="I345" s="390">
        <f>IF(H345,Wh_hp,'2026'!Maxi_hp)</f>
        <v>25.130362962848679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7.296300599683081E-2</v>
      </c>
      <c r="M345" s="845"/>
      <c r="N345" s="845"/>
      <c r="O345" s="48">
        <f>IF(t&lt;Tnet,'2026'!Resal+('2026'!Salim-'2026'!Resal)*(1-EXP(('2026'!Tnet-t)/('2026'!Tau_j))),Resal+(Salim-Resal)*(1-EXP((Tnet-t)/(Tau_j))))*Salcycl</f>
        <v>4.8285168412255011E-2</v>
      </c>
      <c r="P345" s="169">
        <f>(INDEX(Models!$BJ345:$BT345,,T345)*(1-R345)+INDEX(Models!$BJ345:$BT345,,T345+1)*R345-ERP_i)*Q345*Ramure*Pc/MaxiM</f>
        <v>2.1674163503692677E-4</v>
      </c>
      <c r="Q345" s="305">
        <f t="shared" si="130"/>
        <v>0.5</v>
      </c>
      <c r="R345" s="177">
        <f t="shared" si="131"/>
        <v>0.47210404990002153</v>
      </c>
      <c r="S345" s="811">
        <f t="shared" si="132"/>
        <v>-1</v>
      </c>
      <c r="T345" s="176">
        <f t="shared" si="133"/>
        <v>5</v>
      </c>
      <c r="U345" s="251">
        <f t="shared" si="134"/>
        <v>-0.52789595009997847</v>
      </c>
      <c r="V345" s="383">
        <f t="shared" si="135"/>
        <v>24.15079905336842</v>
      </c>
      <c r="W345" s="402">
        <f t="shared" si="136"/>
        <v>13.94017363463284</v>
      </c>
      <c r="X345" s="157">
        <f t="shared" si="137"/>
        <v>46718</v>
      </c>
      <c r="Y345" s="385">
        <f t="shared" si="138"/>
        <v>13.489178487658748</v>
      </c>
      <c r="Z345" s="385">
        <f t="shared" si="139"/>
        <v>14.550852420041215</v>
      </c>
      <c r="AA345" s="386">
        <f t="shared" si="140"/>
        <v>15.793623481196734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7.8688153015368092E-2</v>
      </c>
      <c r="AD345" s="231">
        <f>(INDEX(Models!$BJ345:$BT345,,AH345)*(1-AF345)+INDEX(Models!$BJ345:$BT345,,AH345+1)*AF345-ERP_i)*AE345*Ramure*Pc/MaxiM</f>
        <v>1.277542573426849E-3</v>
      </c>
      <c r="AE345" s="305">
        <f t="shared" si="142"/>
        <v>0.5</v>
      </c>
      <c r="AF345" s="177">
        <f t="shared" si="143"/>
        <v>0.99709161627400045</v>
      </c>
      <c r="AG345" s="811">
        <f t="shared" si="149"/>
        <v>2</v>
      </c>
      <c r="AH345" s="176">
        <f t="shared" si="144"/>
        <v>8</v>
      </c>
      <c r="AI345" s="225">
        <f t="shared" si="145"/>
        <v>2.9970916162740004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'2026'!Wh/'2026'!Env_an*'2027'!Env_an</f>
        <v>10.105013401603371</v>
      </c>
      <c r="C346" s="841"/>
      <c r="D346" s="393">
        <f t="shared" si="127"/>
        <v>10.900573329378764</v>
      </c>
      <c r="E346" s="385">
        <f t="shared" si="125"/>
        <v>11.454055715133762</v>
      </c>
      <c r="F346" s="385">
        <f t="shared" si="128"/>
        <v>11.454497025205907</v>
      </c>
      <c r="G346" s="110">
        <f t="shared" si="126"/>
        <v>0.42168983733696219</v>
      </c>
      <c r="H346" s="414" t="b">
        <f>Wh_hp&gt;='2026'!Maxi_hp</f>
        <v>0</v>
      </c>
      <c r="I346" s="390">
        <f>IF(H346,Wh_hp,'2026'!Maxi_hp)</f>
        <v>18.630206084198146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7.2983310486177233E-2</v>
      </c>
      <c r="M346" s="845"/>
      <c r="N346" s="845"/>
      <c r="O346" s="48">
        <f>IF(t&lt;Tnet,'2026'!Resal+('2026'!Salim-'2026'!Resal)*(1-EXP(('2026'!Tnet-t)/('2026'!Tau_j))),Resal+(Salim-Resal)*(1-EXP((Tnet-t)/(Tau_j))))*Salcycl</f>
        <v>4.8321956826498182E-2</v>
      </c>
      <c r="P346" s="169">
        <f>(INDEX(Models!$BJ346:$BT346,,T346)*(1-R346)+INDEX(Models!$BJ346:$BT346,,T346+1)*R346-ERP_i)*Q346*Ramure*Pc/MaxiM</f>
        <v>2.2148087712366835E-4</v>
      </c>
      <c r="Q346" s="305">
        <f t="shared" si="130"/>
        <v>0.5</v>
      </c>
      <c r="R346" s="177">
        <f t="shared" si="131"/>
        <v>0.47212265895925631</v>
      </c>
      <c r="S346" s="811">
        <f t="shared" si="132"/>
        <v>-1</v>
      </c>
      <c r="T346" s="176">
        <f t="shared" si="133"/>
        <v>5</v>
      </c>
      <c r="U346" s="251">
        <f t="shared" si="134"/>
        <v>-0.52787734104074369</v>
      </c>
      <c r="V346" s="383">
        <f t="shared" si="135"/>
        <v>23.958757567285861</v>
      </c>
      <c r="W346" s="402">
        <f t="shared" si="136"/>
        <v>10.105013401603371</v>
      </c>
      <c r="X346" s="157">
        <f t="shared" si="137"/>
        <v>46719</v>
      </c>
      <c r="Y346" s="385">
        <f t="shared" si="138"/>
        <v>9.7808117119759785</v>
      </c>
      <c r="Z346" s="385">
        <f t="shared" si="139"/>
        <v>10.550847490249135</v>
      </c>
      <c r="AA346" s="386">
        <f t="shared" si="140"/>
        <v>11.45193704931463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7.8684466670153622E-2</v>
      </c>
      <c r="AD346" s="231">
        <f>(INDEX(Models!$BJ346:$BT346,,AH346)*(1-AF346)+INDEX(Models!$BJ346:$BT346,,AH346+1)*AF346-ERP_i)*AE346*Ramure*Pc/MaxiM</f>
        <v>1.2847785301174836E-3</v>
      </c>
      <c r="AE346" s="305">
        <f t="shared" si="142"/>
        <v>0.5</v>
      </c>
      <c r="AF346" s="177">
        <f t="shared" si="143"/>
        <v>0.99711022533323534</v>
      </c>
      <c r="AG346" s="811">
        <f t="shared" si="149"/>
        <v>2</v>
      </c>
      <c r="AH346" s="176">
        <f t="shared" si="144"/>
        <v>8</v>
      </c>
      <c r="AI346" s="225">
        <f t="shared" si="145"/>
        <v>2.9971102253332353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'2026'!Wh/'2026'!Env_an*'2027'!Env_an</f>
        <v>14.059812760323235</v>
      </c>
      <c r="C347" s="841"/>
      <c r="D347" s="393">
        <f t="shared" si="127"/>
        <v>15.167063195404905</v>
      </c>
      <c r="E347" s="385">
        <f t="shared" si="125"/>
        <v>15.93780796788554</v>
      </c>
      <c r="F347" s="385">
        <f t="shared" si="128"/>
        <v>15.939306520030593</v>
      </c>
      <c r="G347" s="110">
        <f t="shared" si="126"/>
        <v>0.59148639323924235</v>
      </c>
      <c r="H347" s="414" t="b">
        <f>Wh_hp&gt;='2026'!Maxi_hp</f>
        <v>0</v>
      </c>
      <c r="I347" s="390">
        <f>IF(H347,Wh_hp,'2026'!Maxi_hp)</f>
        <v>26.41641779115476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7.3003614530803174E-2</v>
      </c>
      <c r="M347" s="845"/>
      <c r="N347" s="845"/>
      <c r="O347" s="48">
        <f>IF(t&lt;Tnet,'2026'!Resal+('2026'!Salim-'2026'!Resal)*(1-EXP(('2026'!Tnet-t)/('2026'!Tau_j))),Resal+(Salim-Resal)*(1-EXP((Tnet-t)/(Tau_j))))*Salcycl</f>
        <v>4.835952183849087E-2</v>
      </c>
      <c r="P347" s="169">
        <f>(INDEX(Models!$BJ347:$BT347,,T347)*(1-R347)+INDEX(Models!$BJ347:$BT347,,T347+1)*R347-ERP_i)*Q347*Ramure*Pc/MaxiM</f>
        <v>2.2571795911186085E-4</v>
      </c>
      <c r="Q347" s="305">
        <f t="shared" si="130"/>
        <v>0.5</v>
      </c>
      <c r="R347" s="177">
        <f t="shared" si="131"/>
        <v>0.47214052006538543</v>
      </c>
      <c r="S347" s="811">
        <f t="shared" si="132"/>
        <v>-1</v>
      </c>
      <c r="T347" s="176">
        <f t="shared" si="133"/>
        <v>5</v>
      </c>
      <c r="U347" s="251">
        <f t="shared" si="134"/>
        <v>-0.52785947993461457</v>
      </c>
      <c r="V347" s="383">
        <f t="shared" si="135"/>
        <v>23.767175448239232</v>
      </c>
      <c r="W347" s="402">
        <f t="shared" si="136"/>
        <v>14.059812760323235</v>
      </c>
      <c r="X347" s="157">
        <f t="shared" si="137"/>
        <v>46720</v>
      </c>
      <c r="Y347" s="385">
        <f t="shared" si="138"/>
        <v>13.605771917719904</v>
      </c>
      <c r="Z347" s="385">
        <f t="shared" si="139"/>
        <v>14.677265338886276</v>
      </c>
      <c r="AA347" s="386">
        <f t="shared" si="140"/>
        <v>15.930729463884196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7.8682155003610435E-2</v>
      </c>
      <c r="AD347" s="231">
        <f>(INDEX(Models!$BJ347:$BT347,,AH347)*(1-AF347)+INDEX(Models!$BJ347:$BT347,,AH347+1)*AF347-ERP_i)*AE347*Ramure*Pc/MaxiM</f>
        <v>1.2919107386046968E-3</v>
      </c>
      <c r="AE347" s="305">
        <f t="shared" si="142"/>
        <v>0.5</v>
      </c>
      <c r="AF347" s="177">
        <f t="shared" si="143"/>
        <v>0.99712808643936457</v>
      </c>
      <c r="AG347" s="811">
        <f t="shared" si="149"/>
        <v>2</v>
      </c>
      <c r="AH347" s="176">
        <f t="shared" si="144"/>
        <v>8</v>
      </c>
      <c r="AI347" s="225">
        <f t="shared" si="145"/>
        <v>2.9971280864393646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'2026'!Wh/'2026'!Env_an*'2027'!Env_an</f>
        <v>3.9172006997342614</v>
      </c>
      <c r="C348" s="841"/>
      <c r="D348" s="393">
        <f t="shared" si="127"/>
        <v>4.2257840049498165</v>
      </c>
      <c r="E348" s="385">
        <f t="shared" si="125"/>
        <v>4.4407046224933024</v>
      </c>
      <c r="F348" s="385">
        <f t="shared" si="128"/>
        <v>4.4407046224933024</v>
      </c>
      <c r="G348" s="110">
        <f t="shared" si="126"/>
        <v>0.16610421355573396</v>
      </c>
      <c r="H348" s="414" t="b">
        <f>Wh_hp&gt;='2026'!Maxi_hp</f>
        <v>0</v>
      </c>
      <c r="I348" s="390">
        <f>IF(H348,Wh_hp,'2026'!Maxi_hp)</f>
        <v>25.687652657075112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7.3023918130718402E-2</v>
      </c>
      <c r="M348" s="845"/>
      <c r="N348" s="845"/>
      <c r="O348" s="48">
        <f>IF(t&lt;Tnet,'2026'!Resal+('2026'!Salim-'2026'!Resal)*(1-EXP(('2026'!Tnet-t)/('2026'!Tau_j))),Resal+(Salim-Resal)*(1-EXP((Tnet-t)/(Tau_j))))*Salcycl</f>
        <v>4.8397863810814519E-2</v>
      </c>
      <c r="P348" s="169">
        <f>(INDEX(Models!$BJ348:$BT348,,T348)*(1-R348)+INDEX(Models!$BJ348:$BT348,,T348+1)*R348-ERP_i)*Q348*Ramure*Pc/MaxiM</f>
        <v>2.2943868941913432E-4</v>
      </c>
      <c r="Q348" s="305">
        <f t="shared" si="130"/>
        <v>0.5</v>
      </c>
      <c r="R348" s="177">
        <f t="shared" si="131"/>
        <v>0.4721576632305946</v>
      </c>
      <c r="S348" s="811">
        <f t="shared" si="132"/>
        <v>-1</v>
      </c>
      <c r="T348" s="176">
        <f t="shared" si="133"/>
        <v>5</v>
      </c>
      <c r="U348" s="251">
        <f t="shared" si="134"/>
        <v>-0.5278423367694054</v>
      </c>
      <c r="V348" s="383">
        <f t="shared" si="135"/>
        <v>23.577378673933897</v>
      </c>
      <c r="W348" s="402">
        <f t="shared" si="136"/>
        <v>3.9172006997342614</v>
      </c>
      <c r="X348" s="157">
        <f t="shared" si="137"/>
        <v>46721</v>
      </c>
      <c r="Y348" s="385">
        <f t="shared" si="138"/>
        <v>3.7925414959425594</v>
      </c>
      <c r="Z348" s="385">
        <f t="shared" si="139"/>
        <v>4.0913045871634131</v>
      </c>
      <c r="AA348" s="386">
        <f t="shared" si="140"/>
        <v>4.4407046224933024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7.8681215039633337E-2</v>
      </c>
      <c r="AD348" s="231">
        <f>(INDEX(Models!$BJ348:$BT348,,AH348)*(1-AF348)+INDEX(Models!$BJ348:$BT348,,AH348+1)*AF348-ERP_i)*AE348*Ramure*Pc/MaxiM</f>
        <v>1.2988737022581931E-3</v>
      </c>
      <c r="AE348" s="305">
        <f t="shared" si="142"/>
        <v>0.5</v>
      </c>
      <c r="AF348" s="177">
        <f t="shared" si="143"/>
        <v>0.9971452296045733</v>
      </c>
      <c r="AG348" s="811">
        <f t="shared" si="149"/>
        <v>2</v>
      </c>
      <c r="AH348" s="176">
        <f t="shared" si="144"/>
        <v>8</v>
      </c>
      <c r="AI348" s="225">
        <f t="shared" si="145"/>
        <v>2.9971452296045733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'2026'!Wh/'2026'!Env_an*'2027'!Env_an</f>
        <v>3.3706957472869159</v>
      </c>
      <c r="C349" s="841"/>
      <c r="D349" s="393">
        <f t="shared" si="127"/>
        <v>3.6363069573426277</v>
      </c>
      <c r="E349" s="385">
        <f t="shared" si="125"/>
        <v>3.821404238819325</v>
      </c>
      <c r="F349" s="385">
        <f t="shared" si="128"/>
        <v>3.821404238819325</v>
      </c>
      <c r="G349" s="110">
        <f t="shared" si="126"/>
        <v>0.1440706196741682</v>
      </c>
      <c r="H349" s="414" t="b">
        <f>Wh_hp&gt;='2026'!Maxi_hp</f>
        <v>0</v>
      </c>
      <c r="I349" s="390">
        <f>IF(H349,Wh_hp,'2026'!Maxi_hp)</f>
        <v>26.512351889003813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7.3044221285932798E-2</v>
      </c>
      <c r="M349" s="845"/>
      <c r="N349" s="845"/>
      <c r="O349" s="48">
        <f>IF(t&lt;Tnet,'2026'!Resal+('2026'!Salim-'2026'!Resal)*(1-EXP(('2026'!Tnet-t)/('2026'!Tau_j))),Resal+(Salim-Resal)*(1-EXP((Tnet-t)/(Tau_j))))*Salcycl</f>
        <v>4.8436980206492231E-2</v>
      </c>
      <c r="P349" s="169">
        <f>(INDEX(Models!$BJ349:$BT349,,T349)*(1-R349)+INDEX(Models!$BJ349:$BT349,,T349+1)*R349-ERP_i)*Q349*Ramure*Pc/MaxiM</f>
        <v>2.3262686044213146E-4</v>
      </c>
      <c r="Q349" s="305">
        <f t="shared" si="130"/>
        <v>0.5</v>
      </c>
      <c r="R349" s="177">
        <f t="shared" si="131"/>
        <v>0.47217411726677005</v>
      </c>
      <c r="S349" s="811">
        <f t="shared" si="132"/>
        <v>-1</v>
      </c>
      <c r="T349" s="176">
        <f t="shared" si="133"/>
        <v>5</v>
      </c>
      <c r="U349" s="251">
        <f t="shared" si="134"/>
        <v>-0.52782588273322995</v>
      </c>
      <c r="V349" s="383">
        <f t="shared" si="135"/>
        <v>23.390692984726176</v>
      </c>
      <c r="W349" s="402">
        <f t="shared" si="136"/>
        <v>3.3706957472869159</v>
      </c>
      <c r="X349" s="157">
        <f t="shared" si="137"/>
        <v>46722</v>
      </c>
      <c r="Y349" s="385">
        <f t="shared" si="138"/>
        <v>3.2635609164510466</v>
      </c>
      <c r="Z349" s="385">
        <f t="shared" si="139"/>
        <v>3.5207298895945915</v>
      </c>
      <c r="AA349" s="386">
        <f t="shared" si="140"/>
        <v>3.821404238819325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7.8681639113278121E-2</v>
      </c>
      <c r="AD349" s="231">
        <f>(INDEX(Models!$BJ349:$BT349,,AH349)*(1-AF349)+INDEX(Models!$BJ349:$BT349,,AH349+1)*AF349-ERP_i)*AE349*Ramure*Pc/MaxiM</f>
        <v>1.3055967215542664E-3</v>
      </c>
      <c r="AE349" s="305">
        <f t="shared" si="142"/>
        <v>0.5</v>
      </c>
      <c r="AF349" s="177">
        <f t="shared" si="143"/>
        <v>0.99716168364074909</v>
      </c>
      <c r="AG349" s="811">
        <f t="shared" si="149"/>
        <v>2</v>
      </c>
      <c r="AH349" s="176">
        <f t="shared" si="144"/>
        <v>8</v>
      </c>
      <c r="AI349" s="225">
        <f t="shared" si="145"/>
        <v>2.9971616836407491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'2026'!Wh/'2026'!Env_an*'2027'!Env_an</f>
        <v>5.5896591619526772</v>
      </c>
      <c r="C350" s="841"/>
      <c r="D350" s="393">
        <f t="shared" si="127"/>
        <v>6.0302570207500672</v>
      </c>
      <c r="E350" s="385">
        <f t="shared" si="125"/>
        <v>6.3374780950696916</v>
      </c>
      <c r="F350" s="385">
        <f t="shared" si="128"/>
        <v>6.3374780950696916</v>
      </c>
      <c r="G350" s="110">
        <f t="shared" si="126"/>
        <v>0.24078926397714154</v>
      </c>
      <c r="H350" s="414" t="b">
        <f>Wh_hp&gt;='2026'!Maxi_hp</f>
        <v>0</v>
      </c>
      <c r="I350" s="390">
        <f>IF(H350,Wh_hp,'2026'!Maxi_hp)</f>
        <v>10.56169638849005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7.306452399645591E-2</v>
      </c>
      <c r="M350" s="845"/>
      <c r="N350" s="845"/>
      <c r="O350" s="48">
        <f>IF(t&lt;Tnet,'2026'!Resal+('2026'!Salim-'2026'!Resal)*(1-EXP(('2026'!Tnet-t)/('2026'!Tau_j))),Resal+(Salim-Resal)*(1-EXP((Tnet-t)/(Tau_j))))*Salcycl</f>
        <v>4.8476865672897676E-2</v>
      </c>
      <c r="P350" s="169">
        <f>(INDEX(Models!$BJ350:$BT350,,T350)*(1-R350)+INDEX(Models!$BJ350:$BT350,,T350+1)*R350-ERP_i)*Q350*Ramure*Pc/MaxiM</f>
        <v>2.3526447359015071E-4</v>
      </c>
      <c r="Q350" s="305">
        <f t="shared" si="130"/>
        <v>0.5</v>
      </c>
      <c r="R350" s="177">
        <f t="shared" si="131"/>
        <v>0.47218990983319198</v>
      </c>
      <c r="S350" s="811">
        <f t="shared" si="132"/>
        <v>-1</v>
      </c>
      <c r="T350" s="176">
        <f t="shared" si="133"/>
        <v>5</v>
      </c>
      <c r="U350" s="251">
        <f t="shared" si="134"/>
        <v>-0.52781009016680802</v>
      </c>
      <c r="V350" s="383">
        <f t="shared" si="135"/>
        <v>23.208443854302828</v>
      </c>
      <c r="W350" s="402">
        <f t="shared" si="136"/>
        <v>5.5896591619526772</v>
      </c>
      <c r="X350" s="157">
        <f t="shared" si="137"/>
        <v>46723</v>
      </c>
      <c r="Y350" s="385">
        <f t="shared" si="138"/>
        <v>5.4122128033206334</v>
      </c>
      <c r="Z350" s="385">
        <f t="shared" si="139"/>
        <v>5.8388236758994649</v>
      </c>
      <c r="AA350" s="386">
        <f t="shared" si="140"/>
        <v>6.3374780950696916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7.8683415025633044E-2</v>
      </c>
      <c r="AD350" s="231">
        <f>(INDEX(Models!$BJ350:$BT350,,AH350)*(1-AF350)+INDEX(Models!$BJ350:$BT350,,AH350+1)*AF350-ERP_i)*AE350*Ramure*Pc/MaxiM</f>
        <v>1.3120039018982214E-3</v>
      </c>
      <c r="AE350" s="305">
        <f t="shared" si="142"/>
        <v>0.5</v>
      </c>
      <c r="AF350" s="177">
        <f t="shared" si="143"/>
        <v>0.99717747620717079</v>
      </c>
      <c r="AG350" s="811">
        <f t="shared" si="149"/>
        <v>2</v>
      </c>
      <c r="AH350" s="176">
        <f t="shared" si="144"/>
        <v>8</v>
      </c>
      <c r="AI350" s="225">
        <f t="shared" si="145"/>
        <v>2.9971774762071708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'2026'!Wh/'2026'!Env_an*'2027'!Env_an</f>
        <v>8.3494508876762232</v>
      </c>
      <c r="C351" s="841"/>
      <c r="D351" s="393">
        <f t="shared" si="127"/>
        <v>9.0077831545337759</v>
      </c>
      <c r="E351" s="385">
        <f t="shared" si="125"/>
        <v>9.4671034616853227</v>
      </c>
      <c r="F351" s="385">
        <f t="shared" si="128"/>
        <v>9.4673041283463828</v>
      </c>
      <c r="G351" s="110">
        <f t="shared" si="126"/>
        <v>0.36243756520765114</v>
      </c>
      <c r="H351" s="414" t="b">
        <f>Wh_hp&gt;='2026'!Maxi_hp</f>
        <v>0</v>
      </c>
      <c r="I351" s="390">
        <f>IF(H351,Wh_hp,'2026'!Maxi_hp)</f>
        <v>17.22212353344614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7.308482626229762E-2</v>
      </c>
      <c r="M351" s="845"/>
      <c r="N351" s="845"/>
      <c r="O351" s="48">
        <f>IF(t&lt;Tnet,'2026'!Resal+('2026'!Salim-'2026'!Resal)*(1-EXP(('2026'!Tnet-t)/('2026'!Tau_j))),Resal+(Salim-Resal)*(1-EXP((Tnet-t)/(Tau_j))))*Salcycl</f>
        <v>4.8517512141963967E-2</v>
      </c>
      <c r="P351" s="169">
        <f>(INDEX(Models!$BJ351:$BT351,,T351)*(1-R351)+INDEX(Models!$BJ351:$BT351,,T351+1)*R351-ERP_i)*Q351*Ramure*Pc/MaxiM</f>
        <v>2.3733200658529764E-4</v>
      </c>
      <c r="Q351" s="305">
        <f t="shared" si="130"/>
        <v>0.5</v>
      </c>
      <c r="R351" s="177">
        <f t="shared" si="131"/>
        <v>0.47220506748235458</v>
      </c>
      <c r="S351" s="811">
        <f t="shared" si="132"/>
        <v>-1</v>
      </c>
      <c r="T351" s="176">
        <f t="shared" si="133"/>
        <v>5</v>
      </c>
      <c r="U351" s="251">
        <f t="shared" si="134"/>
        <v>-0.52779493251764542</v>
      </c>
      <c r="V351" s="383">
        <f t="shared" si="135"/>
        <v>23.031956485048291</v>
      </c>
      <c r="W351" s="402">
        <f t="shared" si="136"/>
        <v>8.3494508876762232</v>
      </c>
      <c r="X351" s="157">
        <f t="shared" si="137"/>
        <v>46724</v>
      </c>
      <c r="Y351" s="385">
        <f t="shared" si="138"/>
        <v>8.0839313945608655</v>
      </c>
      <c r="Z351" s="385">
        <f t="shared" si="139"/>
        <v>8.7213281469577595</v>
      </c>
      <c r="AA351" s="386">
        <f t="shared" si="140"/>
        <v>9.4661897336811798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7.8686526224291301E-2</v>
      </c>
      <c r="AD351" s="231">
        <f>(INDEX(Models!$BJ351:$BT351,,AH351)*(1-AF351)+INDEX(Models!$BJ351:$BT351,,AH351+1)*AF351-ERP_i)*AE351*Ramure*Pc/MaxiM</f>
        <v>1.3180142661612627E-3</v>
      </c>
      <c r="AE351" s="305">
        <f t="shared" si="142"/>
        <v>0.5</v>
      </c>
      <c r="AF351" s="177">
        <f t="shared" si="143"/>
        <v>0.99719263385633372</v>
      </c>
      <c r="AG351" s="811">
        <f t="shared" si="149"/>
        <v>2</v>
      </c>
      <c r="AH351" s="176">
        <f t="shared" si="144"/>
        <v>8</v>
      </c>
      <c r="AI351" s="225">
        <f t="shared" si="145"/>
        <v>2.9971926338563337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'2026'!Wh/'2026'!Env_an*'2027'!Env_an</f>
        <v>16.577819324859046</v>
      </c>
      <c r="C352" s="841"/>
      <c r="D352" s="393">
        <f t="shared" si="127"/>
        <v>17.885328560056905</v>
      </c>
      <c r="E352" s="385">
        <f t="shared" si="125"/>
        <v>18.798146021042111</v>
      </c>
      <c r="F352" s="385">
        <f t="shared" si="128"/>
        <v>18.800873864167034</v>
      </c>
      <c r="G352" s="110">
        <f t="shared" si="126"/>
        <v>0.72503991334611939</v>
      </c>
      <c r="H352" s="414" t="b">
        <f>Wh_hp&gt;='2026'!Maxi_hp</f>
        <v>0</v>
      </c>
      <c r="I352" s="390">
        <f>IF(H352,Wh_hp,'2026'!Maxi_hp)</f>
        <v>18.802161730519916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7.3105128083467474E-2</v>
      </c>
      <c r="M352" s="845"/>
      <c r="N352" s="845"/>
      <c r="O352" s="48">
        <f>IF(t&lt;Tnet,'2026'!Resal+('2026'!Salim-'2026'!Resal)*(1-EXP(('2026'!Tnet-t)/('2026'!Tau_j))),Resal+(Salim-Resal)*(1-EXP((Tnet-t)/(Tau_j))))*Salcycl</f>
        <v>4.8558908945777218E-2</v>
      </c>
      <c r="P352" s="169">
        <f>(INDEX(Models!$BJ352:$BT352,,T352)*(1-R352)+INDEX(Models!$BJ352:$BT352,,T352+1)*R352-ERP_i)*Q352*Ramure*Pc/MaxiM</f>
        <v>2.3891321033262314E-4</v>
      </c>
      <c r="Q352" s="305">
        <f t="shared" si="130"/>
        <v>0.5</v>
      </c>
      <c r="R352" s="177">
        <f t="shared" si="131"/>
        <v>0.47221961570398951</v>
      </c>
      <c r="S352" s="811">
        <f t="shared" si="132"/>
        <v>-1</v>
      </c>
      <c r="T352" s="176">
        <f t="shared" si="133"/>
        <v>5</v>
      </c>
      <c r="U352" s="251">
        <f t="shared" si="134"/>
        <v>-0.52778038429601049</v>
      </c>
      <c r="V352" s="383">
        <f t="shared" si="135"/>
        <v>22.862553400522362</v>
      </c>
      <c r="W352" s="402">
        <f t="shared" si="136"/>
        <v>16.577819324859046</v>
      </c>
      <c r="X352" s="157">
        <f t="shared" si="137"/>
        <v>46725</v>
      </c>
      <c r="Y352" s="385">
        <f t="shared" si="138"/>
        <v>16.042225451581263</v>
      </c>
      <c r="Z352" s="385">
        <f t="shared" si="139"/>
        <v>17.30749186087403</v>
      </c>
      <c r="AA352" s="386">
        <f t="shared" si="140"/>
        <v>18.78576130191292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7.8690952007803933E-2</v>
      </c>
      <c r="AD352" s="231">
        <f>(INDEX(Models!$BJ352:$BT352,,AH352)*(1-AF352)+INDEX(Models!$BJ352:$BT352,,AH352+1)*AF352-ERP_i)*AE352*Ramure*Pc/MaxiM</f>
        <v>1.3236064535735476E-3</v>
      </c>
      <c r="AE352" s="305">
        <f t="shared" si="142"/>
        <v>0.5</v>
      </c>
      <c r="AF352" s="177">
        <f t="shared" si="143"/>
        <v>0.99720718207796866</v>
      </c>
      <c r="AG352" s="811">
        <f t="shared" si="149"/>
        <v>2</v>
      </c>
      <c r="AH352" s="176">
        <f t="shared" si="144"/>
        <v>8</v>
      </c>
      <c r="AI352" s="225">
        <f t="shared" si="145"/>
        <v>2.9972071820779687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'2026'!Wh/'2026'!Env_an*'2027'!Env_an</f>
        <v>22.564257336703726</v>
      </c>
      <c r="C353" s="841"/>
      <c r="D353" s="393">
        <f t="shared" si="127"/>
        <v>24.344456147455986</v>
      </c>
      <c r="E353" s="385">
        <f t="shared" si="125"/>
        <v>25.588062680719993</v>
      </c>
      <c r="F353" s="385">
        <f t="shared" si="128"/>
        <v>25.594159987263499</v>
      </c>
      <c r="G353" s="110">
        <f t="shared" si="126"/>
        <v>0.99395012702011287</v>
      </c>
      <c r="H353" s="414" t="b">
        <f>Wh_hp&gt;='2026'!Maxi_hp</f>
        <v>0</v>
      </c>
      <c r="I353" s="390">
        <f>IF(H353,Wh_hp,'2026'!Maxi_hp)</f>
        <v>25.594198791491184</v>
      </c>
      <c r="J353" s="85">
        <f>IF(H353,An,'2026'!An_max)</f>
        <v>2025</v>
      </c>
      <c r="K353" s="197">
        <f t="shared" si="129"/>
        <v>46726</v>
      </c>
      <c r="L353" s="147">
        <f>IF(t&lt;Tvie,1-EXP((T0-t)*PertePVj)+'2026'!Pspv,1-EXP((T0-t)*PertePVj)+Pspv)</f>
        <v>7.3125429459975466E-2</v>
      </c>
      <c r="M353" s="845"/>
      <c r="N353" s="845"/>
      <c r="O353" s="48">
        <f>IF(t&lt;Tnet,'2026'!Resal+('2026'!Salim-'2026'!Resal)*(1-EXP(('2026'!Tnet-t)/('2026'!Tau_j))),Resal+(Salim-Resal)*(1-EXP((Tnet-t)/(Tau_j))))*Salcycl</f>
        <v>4.8601042946523482E-2</v>
      </c>
      <c r="P353" s="169">
        <f>(INDEX(Models!$BJ353:$BT353,,T353)*(1-R353)+INDEX(Models!$BJ353:$BT353,,T353+1)*R353-ERP_i)*Q353*Ramure*Pc/MaxiM</f>
        <v>2.403065663971626E-4</v>
      </c>
      <c r="Q353" s="305">
        <f t="shared" si="130"/>
        <v>0.5</v>
      </c>
      <c r="R353" s="177">
        <f t="shared" si="131"/>
        <v>0.47223357896735851</v>
      </c>
      <c r="S353" s="811">
        <f t="shared" si="132"/>
        <v>-1</v>
      </c>
      <c r="T353" s="176">
        <f t="shared" si="133"/>
        <v>5</v>
      </c>
      <c r="U353" s="251">
        <f t="shared" si="134"/>
        <v>-0.52776642103264149</v>
      </c>
      <c r="V353" s="383">
        <f t="shared" si="135"/>
        <v>22.7015519839597</v>
      </c>
      <c r="W353" s="402">
        <f t="shared" si="136"/>
        <v>22.564257336703726</v>
      </c>
      <c r="X353" s="157">
        <f t="shared" si="137"/>
        <v>46726</v>
      </c>
      <c r="Y353" s="385">
        <f t="shared" si="138"/>
        <v>21.826890856954492</v>
      </c>
      <c r="Z353" s="385">
        <f t="shared" si="139"/>
        <v>23.548915409597978</v>
      </c>
      <c r="AA353" s="386">
        <f t="shared" si="140"/>
        <v>25.560436595997285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7.8696667752314792E-2</v>
      </c>
      <c r="AD353" s="231">
        <f>(INDEX(Models!$BJ353:$BT353,,AH353)*(1-AF353)+INDEX(Models!$BJ353:$BT353,,AH353+1)*AF353-ERP_i)*AE353*Ramure*Pc/MaxiM</f>
        <v>1.3291036467704743E-3</v>
      </c>
      <c r="AE353" s="305">
        <f t="shared" si="142"/>
        <v>0.5</v>
      </c>
      <c r="AF353" s="177">
        <f t="shared" si="143"/>
        <v>0.99722114534133732</v>
      </c>
      <c r="AG353" s="811">
        <f t="shared" si="149"/>
        <v>2</v>
      </c>
      <c r="AH353" s="176">
        <f t="shared" si="144"/>
        <v>8</v>
      </c>
      <c r="AI353" s="225">
        <f t="shared" si="145"/>
        <v>2.9972211453413373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'2026'!Wh/'2026'!Env_an*'2027'!Env_an</f>
        <v>10.450345994340772</v>
      </c>
      <c r="C354" s="841"/>
      <c r="D354" s="393">
        <f t="shared" si="127"/>
        <v>11.275069163525238</v>
      </c>
      <c r="E354" s="385">
        <f t="shared" si="125"/>
        <v>11.851576026975609</v>
      </c>
      <c r="F354" s="385">
        <f t="shared" si="128"/>
        <v>11.85224425615961</v>
      </c>
      <c r="G354" s="110">
        <f t="shared" si="126"/>
        <v>0.46333850148721556</v>
      </c>
      <c r="H354" s="414" t="b">
        <f>Wh_hp&gt;='2026'!Maxi_hp</f>
        <v>0</v>
      </c>
      <c r="I354" s="390">
        <f>IF(H354,Wh_hp,'2026'!Maxi_hp)</f>
        <v>20.632916228723204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7.3145730391831143E-2</v>
      </c>
      <c r="M354" s="845"/>
      <c r="N354" s="845"/>
      <c r="O354" s="48">
        <f>IF(t&lt;Tnet,'2026'!Resal+('2026'!Salim-'2026'!Resal)*(1-EXP(('2026'!Tnet-t)/('2026'!Tau_j))),Resal+(Salim-Resal)*(1-EXP((Tnet-t)/(Tau_j))))*Salcycl</f>
        <v>4.8643898679650015E-2</v>
      </c>
      <c r="P354" s="169">
        <f>(INDEX(Models!$BJ354:$BT354,,T354)*(1-R354)+INDEX(Models!$BJ354:$BT354,,T354+1)*R354-ERP_i)*Q354*Ramure*Pc/MaxiM</f>
        <v>2.4149395942395346E-4</v>
      </c>
      <c r="Q354" s="305">
        <f t="shared" si="130"/>
        <v>0.5</v>
      </c>
      <c r="R354" s="177">
        <f t="shared" si="131"/>
        <v>0.47224698076188143</v>
      </c>
      <c r="S354" s="811">
        <f t="shared" si="132"/>
        <v>-1</v>
      </c>
      <c r="T354" s="176">
        <f t="shared" si="133"/>
        <v>5</v>
      </c>
      <c r="U354" s="251">
        <f t="shared" si="134"/>
        <v>-0.52775301923811857</v>
      </c>
      <c r="V354" s="383">
        <f t="shared" si="135"/>
        <v>22.550276626051346</v>
      </c>
      <c r="W354" s="402">
        <f t="shared" si="136"/>
        <v>10.450345994340772</v>
      </c>
      <c r="X354" s="157">
        <f t="shared" si="137"/>
        <v>46727</v>
      </c>
      <c r="Y354" s="385">
        <f t="shared" si="138"/>
        <v>10.117566808850382</v>
      </c>
      <c r="Z354" s="385">
        <f t="shared" si="139"/>
        <v>10.916027622257836</v>
      </c>
      <c r="AA354" s="386">
        <f t="shared" si="140"/>
        <v>11.84855184207785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7.870364515841792E-2</v>
      </c>
      <c r="AD354" s="231">
        <f>(INDEX(Models!$BJ354:$BT354,,AH354)*(1-AF354)+INDEX(Models!$BJ354:$BT354,,AH354+1)*AF354-ERP_i)*AE354*Ramure*Pc/MaxiM</f>
        <v>1.3344159725218474E-3</v>
      </c>
      <c r="AE354" s="305">
        <f t="shared" si="142"/>
        <v>0.5</v>
      </c>
      <c r="AF354" s="177">
        <f t="shared" si="143"/>
        <v>0.99723454713586035</v>
      </c>
      <c r="AG354" s="811">
        <f t="shared" si="149"/>
        <v>2</v>
      </c>
      <c r="AH354" s="176">
        <f t="shared" si="144"/>
        <v>8</v>
      </c>
      <c r="AI354" s="225">
        <f t="shared" si="145"/>
        <v>2.9972345471358603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'2026'!Wh/'2026'!Env_an*'2027'!Env_an</f>
        <v>18.961878104288434</v>
      </c>
      <c r="C355" s="841"/>
      <c r="D355" s="393">
        <f t="shared" si="127"/>
        <v>20.458764715186902</v>
      </c>
      <c r="E355" s="385">
        <f t="shared" si="125"/>
        <v>21.505828865791919</v>
      </c>
      <c r="F355" s="385">
        <f t="shared" si="128"/>
        <v>21.509897724602524</v>
      </c>
      <c r="G355" s="110">
        <f t="shared" si="126"/>
        <v>0.84608763465825743</v>
      </c>
      <c r="H355" s="414" t="b">
        <f>Wh_hp&gt;='2026'!Maxi_hp</f>
        <v>0</v>
      </c>
      <c r="I355" s="390">
        <f>IF(H355,Wh_hp,'2026'!Maxi_hp)</f>
        <v>21.510735238277935</v>
      </c>
      <c r="J355" s="85">
        <f>IF(H355,An,'2026'!An_max)</f>
        <v>2025</v>
      </c>
      <c r="K355" s="197">
        <f t="shared" si="129"/>
        <v>46728</v>
      </c>
      <c r="L355" s="147">
        <f>IF(t&lt;Tvie,1-EXP((T0-t)*PertePVj)+'2026'!Pspv,1-EXP((T0-t)*PertePVj)+Pspv)</f>
        <v>7.3166030879044386E-2</v>
      </c>
      <c r="M355" s="845"/>
      <c r="N355" s="845"/>
      <c r="O355" s="48">
        <f>IF(t&lt;Tnet,'2026'!Resal+('2026'!Salim-'2026'!Resal)*(1-EXP(('2026'!Tnet-t)/('2026'!Tau_j))),Resal+(Salim-Resal)*(1-EXP((Tnet-t)/(Tau_j))))*Salcycl</f>
        <v>4.868745850900557E-2</v>
      </c>
      <c r="P355" s="169">
        <f>(INDEX(Models!$BJ355:$BT355,,T355)*(1-R355)+INDEX(Models!$BJ355:$BT355,,T355+1)*R355-ERP_i)*Q355*Ramure*Pc/MaxiM</f>
        <v>2.4245665210000271E-4</v>
      </c>
      <c r="Q355" s="305">
        <f t="shared" si="130"/>
        <v>0.5</v>
      </c>
      <c r="R355" s="177">
        <f t="shared" si="131"/>
        <v>0.47225984363616647</v>
      </c>
      <c r="S355" s="811">
        <f t="shared" si="132"/>
        <v>-1</v>
      </c>
      <c r="T355" s="176">
        <f t="shared" si="133"/>
        <v>5</v>
      </c>
      <c r="U355" s="251">
        <f t="shared" si="134"/>
        <v>-0.52774015636383353</v>
      </c>
      <c r="V355" s="383">
        <f t="shared" si="135"/>
        <v>22.410051362081209</v>
      </c>
      <c r="W355" s="402">
        <f t="shared" si="136"/>
        <v>18.961878104288434</v>
      </c>
      <c r="X355" s="157">
        <f t="shared" si="137"/>
        <v>46728</v>
      </c>
      <c r="Y355" s="385">
        <f t="shared" si="138"/>
        <v>18.347702355657788</v>
      </c>
      <c r="Z355" s="385">
        <f t="shared" si="139"/>
        <v>19.796104768429498</v>
      </c>
      <c r="AA355" s="386">
        <f t="shared" si="140"/>
        <v>21.487419351366608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7.8711852516134842E-2</v>
      </c>
      <c r="AD355" s="231">
        <f>(INDEX(Models!$BJ355:$BT355,,AH355)*(1-AF355)+INDEX(Models!$BJ355:$BT355,,AH355+1)*AF355-ERP_i)*AE355*Ramure*Pc/MaxiM</f>
        <v>1.3394495540694699E-3</v>
      </c>
      <c r="AE355" s="305">
        <f t="shared" si="142"/>
        <v>0.5</v>
      </c>
      <c r="AF355" s="177">
        <f t="shared" si="143"/>
        <v>0.99724741001014561</v>
      </c>
      <c r="AG355" s="811">
        <f t="shared" si="149"/>
        <v>2</v>
      </c>
      <c r="AH355" s="176">
        <f t="shared" si="144"/>
        <v>8</v>
      </c>
      <c r="AI355" s="225">
        <f t="shared" si="145"/>
        <v>2.9972474100101456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'2026'!Wh/'2026'!Env_an*'2027'!Env_an</f>
        <v>3.9146221936928076</v>
      </c>
      <c r="C356" s="841"/>
      <c r="D356" s="393">
        <f t="shared" si="127"/>
        <v>4.2237424029206574</v>
      </c>
      <c r="E356" s="385">
        <f t="shared" si="125"/>
        <v>4.4401168580097732</v>
      </c>
      <c r="F356" s="385">
        <f t="shared" si="128"/>
        <v>4.4401168580097732</v>
      </c>
      <c r="G356" s="110">
        <f t="shared" si="126"/>
        <v>0.17564110710377803</v>
      </c>
      <c r="H356" s="414" t="b">
        <f>Wh_hp&gt;='2026'!Maxi_hp</f>
        <v>0</v>
      </c>
      <c r="I356" s="390">
        <f>IF(H356,Wh_hp,'2026'!Maxi_hp)</f>
        <v>16.757981515209075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7.3186330921624743E-2</v>
      </c>
      <c r="M356" s="845"/>
      <c r="N356" s="845"/>
      <c r="O356" s="48">
        <f>IF(t&lt;Tnet,'2026'!Resal+('2026'!Salim-'2026'!Resal)*(1-EXP(('2026'!Tnet-t)/('2026'!Tau_j))),Resal+(Salim-Resal)*(1-EXP((Tnet-t)/(Tau_j))))*Salcycl</f>
        <v>4.8731702792638533E-2</v>
      </c>
      <c r="P356" s="169">
        <f>(INDEX(Models!$BJ356:$BT356,,T356)*(1-R356)+INDEX(Models!$BJ356:$BT356,,T356+1)*R356-ERP_i)*Q356*Ramure*Pc/MaxiM</f>
        <v>2.4317549621828813E-4</v>
      </c>
      <c r="Q356" s="305">
        <f t="shared" si="130"/>
        <v>0.5</v>
      </c>
      <c r="R356" s="177">
        <f t="shared" si="131"/>
        <v>0.47227218923550063</v>
      </c>
      <c r="S356" s="811">
        <f t="shared" si="132"/>
        <v>-1</v>
      </c>
      <c r="T356" s="176">
        <f t="shared" si="133"/>
        <v>5</v>
      </c>
      <c r="U356" s="251">
        <f t="shared" si="134"/>
        <v>-0.52772781076449937</v>
      </c>
      <c r="V356" s="383">
        <f t="shared" si="135"/>
        <v>22.282199867858644</v>
      </c>
      <c r="W356" s="402">
        <f t="shared" si="136"/>
        <v>3.9146221936928076</v>
      </c>
      <c r="X356" s="157">
        <f t="shared" si="137"/>
        <v>46729</v>
      </c>
      <c r="Y356" s="385">
        <f t="shared" si="138"/>
        <v>3.791210358210805</v>
      </c>
      <c r="Z356" s="385">
        <f t="shared" si="139"/>
        <v>4.0905852866637042</v>
      </c>
      <c r="AA356" s="386">
        <f t="shared" si="140"/>
        <v>4.4401168580097732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7.8721254985784736E-2</v>
      </c>
      <c r="AD356" s="231">
        <f>(INDEX(Models!$BJ356:$BT356,,AH356)*(1-AF356)+INDEX(Models!$BJ356:$BT356,,AH356+1)*AF356-ERP_i)*AE356*Ramure*Pc/MaxiM</f>
        <v>1.3441070161777863E-3</v>
      </c>
      <c r="AE356" s="305">
        <f t="shared" si="142"/>
        <v>0.5</v>
      </c>
      <c r="AF356" s="177">
        <f t="shared" si="143"/>
        <v>0.99725975560947955</v>
      </c>
      <c r="AG356" s="811">
        <f t="shared" si="149"/>
        <v>2</v>
      </c>
      <c r="AH356" s="176">
        <f t="shared" si="144"/>
        <v>8</v>
      </c>
      <c r="AI356" s="225">
        <f t="shared" si="145"/>
        <v>2.9972597556094795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'2026'!Wh/'2026'!Env_an*'2027'!Env_an</f>
        <v>4.7364661771237717</v>
      </c>
      <c r="C357" s="841"/>
      <c r="D357" s="393">
        <f t="shared" si="127"/>
        <v>5.1105956657622036</v>
      </c>
      <c r="E357" s="385">
        <f t="shared" si="125"/>
        <v>5.3726555925764776</v>
      </c>
      <c r="F357" s="385">
        <f t="shared" si="128"/>
        <v>5.3726555925764776</v>
      </c>
      <c r="G357" s="110">
        <f t="shared" si="126"/>
        <v>0.21360982132725964</v>
      </c>
      <c r="H357" s="414" t="b">
        <f>Wh_hp&gt;='2026'!Maxi_hp</f>
        <v>0</v>
      </c>
      <c r="I357" s="390">
        <f>IF(H357,Wh_hp,'2026'!Maxi_hp)</f>
        <v>11.880379374635188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7.3206630519582205E-2</v>
      </c>
      <c r="M357" s="845"/>
      <c r="N357" s="845"/>
      <c r="O357" s="48">
        <f>IF(t&lt;Tnet,'2026'!Resal+('2026'!Salim-'2026'!Resal)*(1-EXP(('2026'!Tnet-t)/('2026'!Tau_j))),Resal+(Salim-Resal)*(1-EXP((Tnet-t)/(Tau_j))))*Salcycl</f>
        <v>4.8776610057858272E-2</v>
      </c>
      <c r="P357" s="169">
        <f>(INDEX(Models!$BJ357:$BT357,,T357)*(1-R357)+INDEX(Models!$BJ357:$BT357,,T357+1)*R357-ERP_i)*Q357*Ramure*Pc/MaxiM</f>
        <v>2.4363117965472343E-4</v>
      </c>
      <c r="Q357" s="305">
        <f t="shared" si="130"/>
        <v>0.5</v>
      </c>
      <c r="R357" s="177">
        <f t="shared" si="131"/>
        <v>0.47228403833786059</v>
      </c>
      <c r="S357" s="811">
        <f t="shared" si="132"/>
        <v>-1</v>
      </c>
      <c r="T357" s="176">
        <f t="shared" si="133"/>
        <v>5</v>
      </c>
      <c r="U357" s="251">
        <f t="shared" si="134"/>
        <v>-0.52771596166213941</v>
      </c>
      <c r="V357" s="383">
        <f t="shared" si="135"/>
        <v>22.168045443130339</v>
      </c>
      <c r="W357" s="402">
        <f t="shared" si="136"/>
        <v>4.7364661771237717</v>
      </c>
      <c r="X357" s="157">
        <f t="shared" si="137"/>
        <v>46730</v>
      </c>
      <c r="Y357" s="385">
        <f t="shared" si="138"/>
        <v>4.5873089801625726</v>
      </c>
      <c r="Z357" s="385">
        <f t="shared" si="139"/>
        <v>4.9496566669810402</v>
      </c>
      <c r="AA357" s="386">
        <f t="shared" si="140"/>
        <v>5.3726555925764776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7.8731814892416499E-2</v>
      </c>
      <c r="AD357" s="231">
        <f>(INDEX(Models!$BJ357:$BT357,,AH357)*(1-AF357)+INDEX(Models!$BJ357:$BT357,,AH357+1)*AF357-ERP_i)*AE357*Ramure*Pc/MaxiM</f>
        <v>1.3482881534295893E-3</v>
      </c>
      <c r="AE357" s="305">
        <f t="shared" si="142"/>
        <v>0.5</v>
      </c>
      <c r="AF357" s="177">
        <f t="shared" si="143"/>
        <v>0.99727160471183973</v>
      </c>
      <c r="AG357" s="811">
        <f t="shared" si="149"/>
        <v>2</v>
      </c>
      <c r="AH357" s="176">
        <f t="shared" si="144"/>
        <v>8</v>
      </c>
      <c r="AI357" s="225">
        <f t="shared" si="145"/>
        <v>2.9972716047118397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'2026'!Wh/'2026'!Env_an*'2027'!Env_an</f>
        <v>11.149366463306142</v>
      </c>
      <c r="C358" s="841"/>
      <c r="D358" s="393">
        <f t="shared" si="127"/>
        <v>12.030309058690435</v>
      </c>
      <c r="E358" s="385">
        <f t="shared" si="125"/>
        <v>12.647802037814028</v>
      </c>
      <c r="F358" s="385">
        <f t="shared" si="128"/>
        <v>12.648706065613689</v>
      </c>
      <c r="G358" s="110">
        <f t="shared" si="126"/>
        <v>0.50511984608419525</v>
      </c>
      <c r="H358" s="414" t="b">
        <f>Wh_hp&gt;='2026'!Maxi_hp</f>
        <v>0</v>
      </c>
      <c r="I358" s="390">
        <f>IF(H358,Wh_hp,'2026'!Maxi_hp)</f>
        <v>21.95872257479607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7.3226929672926322E-2</v>
      </c>
      <c r="M358" s="845"/>
      <c r="N358" s="845"/>
      <c r="O358" s="48">
        <f>IF(t&lt;Tnet,'2026'!Resal+('2026'!Salim-'2026'!Resal)*(1-EXP(('2026'!Tnet-t)/('2026'!Tau_j))),Resal+(Salim-Resal)*(1-EXP((Tnet-t)/(Tau_j))))*Salcycl</f>
        <v>4.8822157184104417E-2</v>
      </c>
      <c r="P358" s="169">
        <f>(INDEX(Models!$BJ358:$BT358,,T358)*(1-R358)+INDEX(Models!$BJ358:$BT358,,T358+1)*R358-ERP_i)*Q358*Ramure*Pc/MaxiM</f>
        <v>2.4380450818513387E-4</v>
      </c>
      <c r="Q358" s="305">
        <f t="shared" si="130"/>
        <v>0.5</v>
      </c>
      <c r="R358" s="177">
        <f t="shared" si="131"/>
        <v>0.47229541088850513</v>
      </c>
      <c r="S358" s="811">
        <f t="shared" si="132"/>
        <v>-1</v>
      </c>
      <c r="T358" s="176">
        <f t="shared" si="133"/>
        <v>5</v>
      </c>
      <c r="U358" s="251">
        <f t="shared" si="134"/>
        <v>-0.52770458911149487</v>
      </c>
      <c r="V358" s="383">
        <f t="shared" si="135"/>
        <v>22.068910999323926</v>
      </c>
      <c r="W358" s="402">
        <f t="shared" si="136"/>
        <v>11.149366463306142</v>
      </c>
      <c r="X358" s="157">
        <f t="shared" si="137"/>
        <v>46731</v>
      </c>
      <c r="Y358" s="385">
        <f t="shared" si="138"/>
        <v>10.795131213542167</v>
      </c>
      <c r="Z358" s="385">
        <f t="shared" si="139"/>
        <v>11.648084692116038</v>
      </c>
      <c r="AA358" s="386">
        <f t="shared" si="140"/>
        <v>12.643693250862666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7.8743492031388751E-2</v>
      </c>
      <c r="AD358" s="231">
        <f>(INDEX(Models!$BJ358:$BT358,,AH358)*(1-AF358)+INDEX(Models!$BJ358:$BT358,,AH358+1)*AF358-ERP_i)*AE358*Ramure*Pc/MaxiM</f>
        <v>1.3518907664733253E-3</v>
      </c>
      <c r="AE358" s="305">
        <f t="shared" si="142"/>
        <v>0.5</v>
      </c>
      <c r="AF358" s="177">
        <f t="shared" si="143"/>
        <v>0.99728297726248405</v>
      </c>
      <c r="AG358" s="811">
        <f t="shared" si="149"/>
        <v>2</v>
      </c>
      <c r="AH358" s="176">
        <f t="shared" si="144"/>
        <v>8</v>
      </c>
      <c r="AI358" s="225">
        <f t="shared" si="145"/>
        <v>2.997282977262484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'2026'!Wh/'2026'!Env_an*'2027'!Env_an</f>
        <v>15.576144296133593</v>
      </c>
      <c r="C359" s="841"/>
      <c r="D359" s="393">
        <f t="shared" si="127"/>
        <v>16.807227097830957</v>
      </c>
      <c r="E359" s="385">
        <f t="shared" si="125"/>
        <v>17.670767827461507</v>
      </c>
      <c r="F359" s="385">
        <f t="shared" si="128"/>
        <v>17.673281922265524</v>
      </c>
      <c r="G359" s="110">
        <f t="shared" si="126"/>
        <v>0.70850442797623336</v>
      </c>
      <c r="H359" s="414" t="b">
        <f>Wh_hp&gt;='2026'!Maxi_hp</f>
        <v>0</v>
      </c>
      <c r="I359" s="390">
        <f>IF(H359,Wh_hp,'2026'!Maxi_hp)</f>
        <v>18.260406248134906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7.3247228381666862E-2</v>
      </c>
      <c r="M359" s="845"/>
      <c r="N359" s="845"/>
      <c r="O359" s="48">
        <f>IF(t&lt;Tnet,'2026'!Resal+('2026'!Salim-'2026'!Resal)*(1-EXP(('2026'!Tnet-t)/('2026'!Tau_j))),Resal+(Salim-Resal)*(1-EXP((Tnet-t)/(Tau_j))))*Salcycl</f>
        <v>4.8868319592120617E-2</v>
      </c>
      <c r="P359" s="169">
        <f>(INDEX(Models!$BJ359:$BT359,,T359)*(1-R359)+INDEX(Models!$BJ359:$BT359,,T359+1)*R359-ERP_i)*Q359*Ramure*Pc/MaxiM</f>
        <v>2.4371893851531996E-4</v>
      </c>
      <c r="Q359" s="305">
        <f t="shared" si="130"/>
        <v>0.5</v>
      </c>
      <c r="R359" s="177">
        <f t="shared" si="131"/>
        <v>0.47230632603319656</v>
      </c>
      <c r="S359" s="811">
        <f t="shared" si="132"/>
        <v>-1</v>
      </c>
      <c r="T359" s="176">
        <f t="shared" si="133"/>
        <v>5</v>
      </c>
      <c r="U359" s="251">
        <f t="shared" si="134"/>
        <v>-0.52769367396680344</v>
      </c>
      <c r="V359" s="383">
        <f t="shared" si="135"/>
        <v>21.982309529142576</v>
      </c>
      <c r="W359" s="402">
        <f t="shared" si="136"/>
        <v>15.576144296133593</v>
      </c>
      <c r="X359" s="157">
        <f t="shared" si="137"/>
        <v>46732</v>
      </c>
      <c r="Y359" s="385">
        <f t="shared" si="138"/>
        <v>15.076899178381554</v>
      </c>
      <c r="Z359" s="385">
        <f t="shared" si="139"/>
        <v>16.268523429451054</v>
      </c>
      <c r="AA359" s="386">
        <f t="shared" si="140"/>
        <v>17.659303873907803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7.8756243982622237E-2</v>
      </c>
      <c r="AD359" s="231">
        <f>(INDEX(Models!$BJ359:$BT359,,AH359)*(1-AF359)+INDEX(Models!$BJ359:$BT359,,AH359+1)*AF359-ERP_i)*AE359*Ramure*Pc/MaxiM</f>
        <v>1.3550463979382632E-3</v>
      </c>
      <c r="AE359" s="305">
        <f t="shared" si="142"/>
        <v>0.5</v>
      </c>
      <c r="AF359" s="177">
        <f t="shared" si="143"/>
        <v>0.99729389240717525</v>
      </c>
      <c r="AG359" s="811">
        <f t="shared" si="149"/>
        <v>2</v>
      </c>
      <c r="AH359" s="176">
        <f t="shared" si="144"/>
        <v>8</v>
      </c>
      <c r="AI359" s="225">
        <f t="shared" si="145"/>
        <v>2.9972938924071753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'2026'!Wh/'2026'!Env_an*'2027'!Env_an</f>
        <v>5.4246554555738689</v>
      </c>
      <c r="C360" s="841"/>
      <c r="D360" s="393">
        <f t="shared" si="127"/>
        <v>5.8535290513129867</v>
      </c>
      <c r="E360" s="385">
        <f t="shared" si="125"/>
        <v>6.1545808113715221</v>
      </c>
      <c r="F360" s="385">
        <f t="shared" si="128"/>
        <v>6.1545808113715221</v>
      </c>
      <c r="G360" s="110">
        <f t="shared" si="126"/>
        <v>0.24758406713563835</v>
      </c>
      <c r="H360" s="414" t="b">
        <f>Wh_hp&gt;='2026'!Maxi_hp</f>
        <v>0</v>
      </c>
      <c r="I360" s="390">
        <f>IF(H360,Wh_hp,'2026'!Maxi_hp)</f>
        <v>23.792403120855759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7.3267526645813597E-2</v>
      </c>
      <c r="M360" s="845"/>
      <c r="N360" s="845"/>
      <c r="O360" s="48">
        <f>IF(t&lt;Tnet,'2026'!Resal+('2026'!Salim-'2026'!Resal)*(1-EXP(('2026'!Tnet-t)/('2026'!Tau_j))),Resal+(Salim-Resal)*(1-EXP((Tnet-t)/(Tau_j))))*Salcycl</f>
        <v>4.8915071437894968E-2</v>
      </c>
      <c r="P360" s="169">
        <f>(INDEX(Models!$BJ360:$BT360,,T360)*(1-R360)+INDEX(Models!$BJ360:$BT360,,T360+1)*R360-ERP_i)*Q360*Ramure*Pc/MaxiM</f>
        <v>2.4340708140147533E-4</v>
      </c>
      <c r="Q360" s="305">
        <f t="shared" si="130"/>
        <v>0.5</v>
      </c>
      <c r="R360" s="177">
        <f t="shared" si="131"/>
        <v>0.47231680215011118</v>
      </c>
      <c r="S360" s="811">
        <f t="shared" si="132"/>
        <v>-1</v>
      </c>
      <c r="T360" s="176">
        <f t="shared" si="133"/>
        <v>5</v>
      </c>
      <c r="U360" s="251">
        <f t="shared" si="134"/>
        <v>-0.52768319784988882</v>
      </c>
      <c r="V360" s="383">
        <f t="shared" si="135"/>
        <v>21.905024498408686</v>
      </c>
      <c r="W360" s="402">
        <f t="shared" si="136"/>
        <v>5.4246554555738689</v>
      </c>
      <c r="X360" s="157">
        <f t="shared" si="137"/>
        <v>46733</v>
      </c>
      <c r="Y360" s="385">
        <f t="shared" si="138"/>
        <v>5.2543732445791491</v>
      </c>
      <c r="Z360" s="385">
        <f t="shared" si="139"/>
        <v>5.6697843181880048</v>
      </c>
      <c r="AA360" s="386">
        <f t="shared" si="140"/>
        <v>6.1545808113715221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7.8770026431009249E-2</v>
      </c>
      <c r="AD360" s="231">
        <f>(INDEX(Models!$BJ360:$BT360,,AH360)*(1-AF360)+INDEX(Models!$BJ360:$BT360,,AH360+1)*AF360-ERP_i)*AE360*Ramure*Pc/MaxiM</f>
        <v>1.3579367247682226E-3</v>
      </c>
      <c r="AE360" s="305">
        <f t="shared" si="142"/>
        <v>0.5</v>
      </c>
      <c r="AF360" s="177">
        <f t="shared" si="143"/>
        <v>0.9973043685240901</v>
      </c>
      <c r="AG360" s="811">
        <f t="shared" si="149"/>
        <v>2</v>
      </c>
      <c r="AH360" s="176">
        <f t="shared" si="144"/>
        <v>8</v>
      </c>
      <c r="AI360" s="225">
        <f t="shared" si="145"/>
        <v>2.9973043685240901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'2026'!Wh/'2026'!Env_an*'2027'!Env_an</f>
        <v>5.1494728021522294</v>
      </c>
      <c r="C361" s="841"/>
      <c r="D361" s="393">
        <f t="shared" si="127"/>
        <v>5.5567121465534637</v>
      </c>
      <c r="E361" s="385">
        <f t="shared" ref="E361:E379" si="150">Wh_pvt/(1-Psa)</f>
        <v>5.8427890376186724</v>
      </c>
      <c r="F361" s="385">
        <f t="shared" si="128"/>
        <v>5.8427890376186724</v>
      </c>
      <c r="G361" s="110">
        <f t="shared" ref="G361:G379" si="151">+Wh_hp/MaxiM</f>
        <v>0.23575377507292822</v>
      </c>
      <c r="H361" s="414" t="b">
        <f>Wh_hp&gt;='2026'!Maxi_hp</f>
        <v>0</v>
      </c>
      <c r="I361" s="390">
        <f>IF(H361,Wh_hp,'2026'!Maxi_hp)</f>
        <v>25.480851358483925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7.3287824465376183E-2</v>
      </c>
      <c r="M361" s="845"/>
      <c r="N361" s="845"/>
      <c r="O361" s="48">
        <f>IF(t&lt;Tnet,'2026'!Resal+('2026'!Salim-'2026'!Resal)*(1-EXP(('2026'!Tnet-t)/('2026'!Tau_j))),Resal+(Salim-Resal)*(1-EXP((Tnet-t)/(Tau_j))))*Salcycl</f>
        <v>4.8962385809809009E-2</v>
      </c>
      <c r="P361" s="169">
        <f>(INDEX(Models!$BJ361:$BT361,,T361)*(1-R361)+INDEX(Models!$BJ361:$BT361,,T361+1)*R361-ERP_i)*Q361*Ramure*Pc/MaxiM</f>
        <v>2.4313446408250427E-4</v>
      </c>
      <c r="Q361" s="305">
        <f t="shared" si="130"/>
        <v>0.5</v>
      </c>
      <c r="R361" s="177">
        <f t="shared" si="131"/>
        <v>0.47232685688048714</v>
      </c>
      <c r="S361" s="811">
        <f t="shared" si="132"/>
        <v>-1</v>
      </c>
      <c r="T361" s="176">
        <f t="shared" si="133"/>
        <v>5</v>
      </c>
      <c r="U361" s="251">
        <f t="shared" si="134"/>
        <v>-0.52767314311951286</v>
      </c>
      <c r="V361" s="383">
        <f t="shared" si="135"/>
        <v>21.837278263092998</v>
      </c>
      <c r="W361" s="402">
        <f t="shared" si="136"/>
        <v>5.1494728021522294</v>
      </c>
      <c r="X361" s="157">
        <f t="shared" si="137"/>
        <v>46734</v>
      </c>
      <c r="Y361" s="385">
        <f t="shared" si="138"/>
        <v>4.9879968784297901</v>
      </c>
      <c r="Z361" s="385">
        <f t="shared" si="139"/>
        <v>5.3824661098816318</v>
      </c>
      <c r="AA361" s="386">
        <f t="shared" si="140"/>
        <v>5.8427890376186724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7.8784793490448063E-2</v>
      </c>
      <c r="AD361" s="231">
        <f>(INDEX(Models!$BJ361:$BT361,,AH361)*(1-AF361)+INDEX(Models!$BJ361:$BT361,,AH361+1)*AF361-ERP_i)*AE361*Ramure*Pc/MaxiM</f>
        <v>1.3604280158287935E-3</v>
      </c>
      <c r="AE361" s="305">
        <f t="shared" si="142"/>
        <v>0.5</v>
      </c>
      <c r="AF361" s="177">
        <f t="shared" si="143"/>
        <v>0.99731442325446595</v>
      </c>
      <c r="AG361" s="811">
        <f t="shared" si="149"/>
        <v>2</v>
      </c>
      <c r="AH361" s="176">
        <f t="shared" si="144"/>
        <v>8</v>
      </c>
      <c r="AI361" s="225">
        <f t="shared" si="145"/>
        <v>2.997314423254466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'2026'!Wh/'2026'!Env_an*'2027'!Env_an</f>
        <v>16.339682412177524</v>
      </c>
      <c r="C362" s="841"/>
      <c r="D362" s="393">
        <f t="shared" si="127"/>
        <v>17.632271089531216</v>
      </c>
      <c r="E362" s="385">
        <f t="shared" si="150"/>
        <v>18.540968301783661</v>
      </c>
      <c r="F362" s="385">
        <f t="shared" si="128"/>
        <v>18.543865427843667</v>
      </c>
      <c r="G362" s="110">
        <f t="shared" si="151"/>
        <v>0.75017410160244491</v>
      </c>
      <c r="H362" s="414" t="b">
        <f>Wh_hp&gt;='2026'!Maxi_hp</f>
        <v>0</v>
      </c>
      <c r="I362" s="390">
        <f>IF(H362,Wh_hp,'2026'!Maxi_hp)</f>
        <v>22.845836803064749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7.3308121840364504E-2</v>
      </c>
      <c r="M362" s="845"/>
      <c r="N362" s="845"/>
      <c r="O362" s="48">
        <f>IF(t&lt;Tnet,'2026'!Resal+('2026'!Salim-'2026'!Resal)*(1-EXP(('2026'!Tnet-t)/('2026'!Tau_j))),Resal+(Salim-Resal)*(1-EXP((Tnet-t)/(Tau_j))))*Salcycl</f>
        <v>4.901023492742973E-2</v>
      </c>
      <c r="P362" s="169">
        <f>(INDEX(Models!$BJ362:$BT362,,T362)*(1-R362)+INDEX(Models!$BJ362:$BT362,,T362+1)*R362-ERP_i)*Q362*Ramure*Pc/MaxiM</f>
        <v>2.4289687494183316E-4</v>
      </c>
      <c r="Q362" s="305">
        <f t="shared" si="130"/>
        <v>0.5</v>
      </c>
      <c r="R362" s="177">
        <f t="shared" si="131"/>
        <v>0.47233650715805653</v>
      </c>
      <c r="S362" s="811">
        <f t="shared" si="132"/>
        <v>-1</v>
      </c>
      <c r="T362" s="176">
        <f t="shared" si="133"/>
        <v>5</v>
      </c>
      <c r="U362" s="251">
        <f t="shared" si="134"/>
        <v>-0.52766349284194347</v>
      </c>
      <c r="V362" s="383">
        <f t="shared" si="135"/>
        <v>21.77929904887667</v>
      </c>
      <c r="W362" s="402">
        <f t="shared" si="136"/>
        <v>16.339682412177524</v>
      </c>
      <c r="X362" s="157">
        <f t="shared" si="137"/>
        <v>46735</v>
      </c>
      <c r="Y362" s="385">
        <f t="shared" si="138"/>
        <v>15.81643336408108</v>
      </c>
      <c r="Z362" s="385">
        <f t="shared" si="139"/>
        <v>17.067629205396447</v>
      </c>
      <c r="AA362" s="386">
        <f t="shared" si="140"/>
        <v>18.527614451460341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7.8800498028974292E-2</v>
      </c>
      <c r="AD362" s="231">
        <f>(INDEX(Models!$BJ362:$BT362,,AH362)*(1-AF362)+INDEX(Models!$BJ362:$BT362,,AH362+1)*AF362-ERP_i)*AE362*Ramure*Pc/MaxiM</f>
        <v>1.3624921030391673E-3</v>
      </c>
      <c r="AE362" s="305">
        <f t="shared" si="142"/>
        <v>0.5</v>
      </c>
      <c r="AF362" s="177">
        <f t="shared" si="143"/>
        <v>0.99732407353203545</v>
      </c>
      <c r="AG362" s="811">
        <f t="shared" si="149"/>
        <v>2</v>
      </c>
      <c r="AH362" s="176">
        <f t="shared" si="144"/>
        <v>8</v>
      </c>
      <c r="AI362" s="225">
        <f t="shared" si="145"/>
        <v>2.9973240735320354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'2026'!Wh/'2026'!Env_an*'2027'!Env_an</f>
        <v>5.4199817394544523</v>
      </c>
      <c r="C363" s="841"/>
      <c r="D363" s="393">
        <f t="shared" si="127"/>
        <v>5.848870138291014</v>
      </c>
      <c r="E363" s="385">
        <f t="shared" si="150"/>
        <v>6.1506104149829799</v>
      </c>
      <c r="F363" s="385">
        <f t="shared" si="128"/>
        <v>6.1506104149829799</v>
      </c>
      <c r="G363" s="110">
        <f t="shared" si="151"/>
        <v>0.24934829613460394</v>
      </c>
      <c r="H363" s="414" t="b">
        <f>Wh_hp&gt;='2026'!Maxi_hp</f>
        <v>0</v>
      </c>
      <c r="I363" s="390">
        <f>IF(H363,Wh_hp,'2026'!Maxi_hp)</f>
        <v>25.557265904120406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7.3328418770788217E-2</v>
      </c>
      <c r="M363" s="845"/>
      <c r="N363" s="845"/>
      <c r="O363" s="48">
        <f>IF(t&lt;Tnet,'2026'!Resal+('2026'!Salim-'2026'!Resal)*(1-EXP(('2026'!Tnet-t)/('2026'!Tau_j))),Resal+(Salim-Resal)*(1-EXP((Tnet-t)/(Tau_j))))*Salcycl</f>
        <v>4.9058590340386697E-2</v>
      </c>
      <c r="P363" s="169">
        <f>(INDEX(Models!$BJ363:$BT363,,T363)*(1-R363)+INDEX(Models!$BJ363:$BT363,,T363+1)*R363-ERP_i)*Q363*Ramure*Pc/MaxiM</f>
        <v>2.4269005015989774E-4</v>
      </c>
      <c r="Q363" s="305">
        <f t="shared" si="130"/>
        <v>0.5</v>
      </c>
      <c r="R363" s="177">
        <f t="shared" si="131"/>
        <v>0.47234576923731297</v>
      </c>
      <c r="S363" s="811">
        <f t="shared" si="132"/>
        <v>-1</v>
      </c>
      <c r="T363" s="176">
        <f t="shared" si="133"/>
        <v>5</v>
      </c>
      <c r="U363" s="251">
        <f t="shared" si="134"/>
        <v>-0.52765423076268703</v>
      </c>
      <c r="V363" s="383">
        <f t="shared" si="135"/>
        <v>21.731314983155606</v>
      </c>
      <c r="W363" s="402">
        <f t="shared" si="136"/>
        <v>5.4199817394544523</v>
      </c>
      <c r="X363" s="157">
        <f t="shared" si="137"/>
        <v>46736</v>
      </c>
      <c r="Y363" s="385">
        <f t="shared" si="138"/>
        <v>5.2503703060795468</v>
      </c>
      <c r="Z363" s="385">
        <f t="shared" si="139"/>
        <v>5.6658371880953045</v>
      </c>
      <c r="AA363" s="386">
        <f t="shared" si="140"/>
        <v>6.1506104149829799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7.8817091992489235E-2</v>
      </c>
      <c r="AD363" s="231">
        <f>(INDEX(Models!$BJ363:$BT363,,AH363)*(1-AF363)+INDEX(Models!$BJ363:$BT363,,AH363+1)*AF363-ERP_i)*AE363*Ramure*Pc/MaxiM</f>
        <v>1.3641012592818151E-3</v>
      </c>
      <c r="AE363" s="305">
        <f t="shared" si="142"/>
        <v>0.5</v>
      </c>
      <c r="AF363" s="177">
        <f t="shared" si="143"/>
        <v>0.99733333561129189</v>
      </c>
      <c r="AG363" s="811">
        <f t="shared" si="149"/>
        <v>2</v>
      </c>
      <c r="AH363" s="176">
        <f t="shared" si="144"/>
        <v>8</v>
      </c>
      <c r="AI363" s="225">
        <f t="shared" si="145"/>
        <v>2.9973333356112919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'2026'!Wh/'2026'!Env_an*'2027'!Env_an</f>
        <v>4.6183792009986178</v>
      </c>
      <c r="C364" s="841"/>
      <c r="D364" s="393">
        <f t="shared" si="127"/>
        <v>4.983945176612778</v>
      </c>
      <c r="E364" s="385">
        <f t="shared" si="150"/>
        <v>5.2413335615639332</v>
      </c>
      <c r="F364" s="385">
        <f t="shared" si="128"/>
        <v>5.2413335615639332</v>
      </c>
      <c r="G364" s="110">
        <f t="shared" si="151"/>
        <v>0.21284014491440825</v>
      </c>
      <c r="H364" s="414" t="b">
        <f>Wh_hp&gt;='2026'!Maxi_hp</f>
        <v>0</v>
      </c>
      <c r="I364" s="390">
        <f>IF(H364,Wh_hp,'2026'!Maxi_hp)</f>
        <v>25.18523938599883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7.3348715256657093E-2</v>
      </c>
      <c r="M364" s="845"/>
      <c r="N364" s="845"/>
      <c r="O364" s="48">
        <f>IF(t&lt;Tnet,'2026'!Resal+('2026'!Salim-'2026'!Resal)*(1-EXP(('2026'!Tnet-t)/('2026'!Tau_j))),Resal+(Salim-Resal)*(1-EXP((Tnet-t)/(Tau_j))))*Salcycl</f>
        <v>4.9107423125795975E-2</v>
      </c>
      <c r="P364" s="169">
        <f>(INDEX(Models!$BJ364:$BT364,,T364)*(1-R364)+INDEX(Models!$BJ364:$BT364,,T364+1)*R364-ERP_i)*Q364*Ramure*Pc/MaxiM</f>
        <v>2.425096963477167E-4</v>
      </c>
      <c r="Q364" s="305">
        <f t="shared" si="130"/>
        <v>0.5</v>
      </c>
      <c r="R364" s="177">
        <f t="shared" si="131"/>
        <v>0.47235465872065818</v>
      </c>
      <c r="S364" s="811">
        <f t="shared" si="132"/>
        <v>-1</v>
      </c>
      <c r="T364" s="176">
        <f t="shared" si="133"/>
        <v>5</v>
      </c>
      <c r="U364" s="251">
        <f t="shared" si="134"/>
        <v>-0.52764534127934182</v>
      </c>
      <c r="V364" s="383">
        <f t="shared" si="135"/>
        <v>21.693554104268038</v>
      </c>
      <c r="W364" s="402">
        <f t="shared" si="136"/>
        <v>4.6183792009986178</v>
      </c>
      <c r="X364" s="157">
        <f t="shared" si="137"/>
        <v>46737</v>
      </c>
      <c r="Y364" s="385">
        <f t="shared" si="138"/>
        <v>4.4739979740275313</v>
      </c>
      <c r="Z364" s="385">
        <f t="shared" si="139"/>
        <v>4.8281355108321105</v>
      </c>
      <c r="AA364" s="386">
        <f t="shared" si="140"/>
        <v>5.2413335615639332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7.8834526724632023E-2</v>
      </c>
      <c r="AD364" s="231">
        <f>(INDEX(Models!$BJ364:$BT364,,AH364)*(1-AF364)+INDEX(Models!$BJ364:$BT364,,AH364+1)*AF364-ERP_i)*AE364*Ramure*Pc/MaxiM</f>
        <v>1.3652284543420447E-3</v>
      </c>
      <c r="AE364" s="305">
        <f t="shared" si="142"/>
        <v>0.5</v>
      </c>
      <c r="AF364" s="177">
        <f t="shared" si="143"/>
        <v>0.99734222509463688</v>
      </c>
      <c r="AG364" s="811">
        <f t="shared" si="149"/>
        <v>2</v>
      </c>
      <c r="AH364" s="176">
        <f t="shared" si="144"/>
        <v>8</v>
      </c>
      <c r="AI364" s="225">
        <f t="shared" si="145"/>
        <v>2.9973422250946369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'2026'!Wh/'2026'!Env_an*'2027'!Env_an</f>
        <v>3.3750347647898034</v>
      </c>
      <c r="C365" s="841"/>
      <c r="D365" s="393">
        <f t="shared" si="127"/>
        <v>3.6422640791642338</v>
      </c>
      <c r="E365" s="385">
        <f t="shared" si="150"/>
        <v>3.8305618757616262</v>
      </c>
      <c r="F365" s="385">
        <f t="shared" si="128"/>
        <v>3.8305618757616262</v>
      </c>
      <c r="G365" s="110">
        <f t="shared" si="151"/>
        <v>0.1557361195463684</v>
      </c>
      <c r="H365" s="414" t="b">
        <f>Wh_hp&gt;='2026'!Maxi_hp</f>
        <v>0</v>
      </c>
      <c r="I365" s="390">
        <f>IF(H365,Wh_hp,'2026'!Maxi_hp)</f>
        <v>25.601732712427946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7.3369011297980791E-2</v>
      </c>
      <c r="M365" s="845"/>
      <c r="N365" s="845"/>
      <c r="O365" s="48">
        <f>IF(t&lt;Tnet,'2026'!Resal+('2026'!Salim-'2026'!Resal)*(1-EXP(('2026'!Tnet-t)/('2026'!Tau_j))),Resal+(Salim-Resal)*(1-EXP((Tnet-t)/(Tau_j))))*Salcycl</f>
        <v>4.9156704082727681E-2</v>
      </c>
      <c r="P365" s="169">
        <f>(INDEX(Models!$BJ365:$BT365,,T365)*(1-R365)+INDEX(Models!$BJ365:$BT365,,T365+1)*R365-ERP_i)*Q365*Ramure*Pc/MaxiM</f>
        <v>2.4235151425959107E-4</v>
      </c>
      <c r="Q365" s="305">
        <f t="shared" si="130"/>
        <v>0.5</v>
      </c>
      <c r="R365" s="177">
        <f t="shared" si="131"/>
        <v>0.47236319058447063</v>
      </c>
      <c r="S365" s="811">
        <f t="shared" si="132"/>
        <v>-1</v>
      </c>
      <c r="T365" s="176">
        <f t="shared" si="133"/>
        <v>5</v>
      </c>
      <c r="U365" s="251">
        <f t="shared" si="134"/>
        <v>-0.52763680941552937</v>
      </c>
      <c r="V365" s="383">
        <f t="shared" si="135"/>
        <v>21.666244348660868</v>
      </c>
      <c r="W365" s="402">
        <f t="shared" si="136"/>
        <v>3.3750347647898034</v>
      </c>
      <c r="X365" s="157">
        <f t="shared" si="137"/>
        <v>46738</v>
      </c>
      <c r="Y365" s="385">
        <f t="shared" si="138"/>
        <v>3.2696281232859454</v>
      </c>
      <c r="Z365" s="385">
        <f t="shared" si="139"/>
        <v>3.5285115252468358</v>
      </c>
      <c r="AA365" s="386">
        <f t="shared" si="140"/>
        <v>3.8305618757616262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7.8852753280413718E-2</v>
      </c>
      <c r="AD365" s="231">
        <f>(INDEX(Models!$BJ365:$BT365,,AH365)*(1-AF365)+INDEX(Models!$BJ365:$BT365,,AH365+1)*AF365-ERP_i)*AE365*Ramure*Pc/MaxiM</f>
        <v>1.3658476153855551E-3</v>
      </c>
      <c r="AE365" s="305">
        <f t="shared" si="142"/>
        <v>0.5</v>
      </c>
      <c r="AF365" s="177">
        <f t="shared" si="143"/>
        <v>0.99735075695844966</v>
      </c>
      <c r="AG365" s="811">
        <f t="shared" si="149"/>
        <v>2</v>
      </c>
      <c r="AH365" s="176">
        <f t="shared" si="144"/>
        <v>8</v>
      </c>
      <c r="AI365" s="225">
        <f t="shared" si="145"/>
        <v>2.9973507569584497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'2026'!Wh/'2026'!Env_an*'2027'!Env_an</f>
        <v>20.266737581412841</v>
      </c>
      <c r="C366" s="841"/>
      <c r="D366" s="393">
        <f t="shared" si="127"/>
        <v>21.871901254987179</v>
      </c>
      <c r="E366" s="385">
        <f t="shared" si="150"/>
        <v>23.003837368293397</v>
      </c>
      <c r="F366" s="385">
        <f t="shared" si="128"/>
        <v>23.008901741816953</v>
      </c>
      <c r="G366" s="110">
        <f t="shared" si="151"/>
        <v>0.93610398242315329</v>
      </c>
      <c r="H366" s="414" t="b">
        <f>Wh_hp&gt;='2026'!Maxi_hp</f>
        <v>0</v>
      </c>
      <c r="I366" s="390">
        <f>IF(H366,Wh_hp,'2026'!Maxi_hp)</f>
        <v>25.724211482819697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7.338930689476908E-2</v>
      </c>
      <c r="M366" s="845"/>
      <c r="N366" s="845"/>
      <c r="O366" s="48">
        <f>IF(t&lt;Tnet,'2026'!Resal+('2026'!Salim-'2026'!Resal)*(1-EXP(('2026'!Tnet-t)/('2026'!Tau_j))),Resal+(Salim-Resal)*(1-EXP((Tnet-t)/(Tau_j))))*Salcycl</f>
        <v>4.9206403922259702E-2</v>
      </c>
      <c r="P366" s="169">
        <f>(INDEX(Models!$BJ366:$BT366,,T366)*(1-R366)+INDEX(Models!$BJ366:$BT366,,T366+1)*R366-ERP_i)*Q366*Ramure*Pc/MaxiM</f>
        <v>2.4220641248570379E-4</v>
      </c>
      <c r="Q366" s="305">
        <f t="shared" si="130"/>
        <v>0.5</v>
      </c>
      <c r="R366" s="177">
        <f t="shared" si="131"/>
        <v>0.47237137920413996</v>
      </c>
      <c r="S366" s="811">
        <f t="shared" si="132"/>
        <v>-1</v>
      </c>
      <c r="T366" s="176">
        <f t="shared" si="133"/>
        <v>5</v>
      </c>
      <c r="U366" s="251">
        <f t="shared" si="134"/>
        <v>-0.52762862079586004</v>
      </c>
      <c r="V366" s="383">
        <f t="shared" si="135"/>
        <v>21.649613653083463</v>
      </c>
      <c r="W366" s="402">
        <f t="shared" si="136"/>
        <v>20.266737581412841</v>
      </c>
      <c r="X366" s="157">
        <f t="shared" si="137"/>
        <v>46739</v>
      </c>
      <c r="Y366" s="385">
        <f t="shared" si="138"/>
        <v>19.614350890570719</v>
      </c>
      <c r="Z366" s="385">
        <f t="shared" si="139"/>
        <v>21.167844313170697</v>
      </c>
      <c r="AA366" s="386">
        <f t="shared" si="140"/>
        <v>22.980343602019651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7.8871722731319871E-2</v>
      </c>
      <c r="AD366" s="231">
        <f>(INDEX(Models!$BJ366:$BT366,,AH366)*(1-AF366)+INDEX(Models!$BJ366:$BT366,,AH366+1)*AF366-ERP_i)*AE366*Ramure*Pc/MaxiM</f>
        <v>1.365808535921486E-3</v>
      </c>
      <c r="AE366" s="305">
        <f t="shared" si="142"/>
        <v>0.5</v>
      </c>
      <c r="AF366" s="177">
        <f t="shared" si="143"/>
        <v>0.99735894557811866</v>
      </c>
      <c r="AG366" s="811">
        <f t="shared" si="149"/>
        <v>2</v>
      </c>
      <c r="AH366" s="176">
        <f t="shared" si="144"/>
        <v>8</v>
      </c>
      <c r="AI366" s="225">
        <f t="shared" si="145"/>
        <v>2.9973589455781187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'2026'!Wh/'2026'!Env_an*'2027'!Env_an</f>
        <v>16.400995494529184</v>
      </c>
      <c r="C367" s="841"/>
      <c r="D367" s="393">
        <f t="shared" si="127"/>
        <v>17.700372819276357</v>
      </c>
      <c r="E367" s="385">
        <f t="shared" si="150"/>
        <v>18.617400694682015</v>
      </c>
      <c r="F367" s="385">
        <f t="shared" si="128"/>
        <v>18.62034703828833</v>
      </c>
      <c r="G367" s="110">
        <f t="shared" si="151"/>
        <v>0.75770207853582972</v>
      </c>
      <c r="H367" s="414" t="b">
        <f>Wh_hp&gt;='2026'!Maxi_hp</f>
        <v>0</v>
      </c>
      <c r="I367" s="390">
        <f>IF(H367,Wh_hp,'2026'!Maxi_hp)</f>
        <v>25.408167099175618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7.340960204703173E-2</v>
      </c>
      <c r="M367" s="845"/>
      <c r="N367" s="845"/>
      <c r="O367" s="48">
        <f>IF(t&lt;Tnet,'2026'!Resal+('2026'!Salim-'2026'!Resal)*(1-EXP(('2026'!Tnet-t)/('2026'!Tau_j))),Resal+(Salim-Resal)*(1-EXP((Tnet-t)/(Tau_j))))*Salcycl</f>
        <v>4.9256493451720305E-2</v>
      </c>
      <c r="P367" s="169">
        <f>(INDEX(Models!$BJ367:$BT367,,T367)*(1-R367)+INDEX(Models!$BJ367:$BT367,,T367+1)*R367-ERP_i)*Q367*Ramure*Pc/MaxiM</f>
        <v>2.419638959277951E-4</v>
      </c>
      <c r="Q367" s="305">
        <f t="shared" si="130"/>
        <v>0.5</v>
      </c>
      <c r="R367" s="177">
        <f t="shared" si="131"/>
        <v>0.47237923837810614</v>
      </c>
      <c r="S367" s="811">
        <f t="shared" si="132"/>
        <v>-1</v>
      </c>
      <c r="T367" s="176">
        <f t="shared" si="133"/>
        <v>5</v>
      </c>
      <c r="U367" s="251">
        <f t="shared" si="134"/>
        <v>-0.52762076162189386</v>
      </c>
      <c r="V367" s="383">
        <f t="shared" si="135"/>
        <v>21.643892056147546</v>
      </c>
      <c r="W367" s="402">
        <f t="shared" si="136"/>
        <v>16.400995494529184</v>
      </c>
      <c r="X367" s="157">
        <f t="shared" si="137"/>
        <v>46740</v>
      </c>
      <c r="Y367" s="385">
        <f t="shared" si="138"/>
        <v>15.878101009969612</v>
      </c>
      <c r="Z367" s="385">
        <f t="shared" si="139"/>
        <v>17.136051749562323</v>
      </c>
      <c r="AA367" s="386">
        <f t="shared" si="140"/>
        <v>18.603725443082656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7.8891386459697052E-2</v>
      </c>
      <c r="AD367" s="231">
        <f>(INDEX(Models!$BJ367:$BT367,,AH367)*(1-AF367)+INDEX(Models!$BJ367:$BT367,,AH367+1)*AF367-ERP_i)*AE367*Ramure*Pc/MaxiM</f>
        <v>1.3650227094633796E-3</v>
      </c>
      <c r="AE367" s="305">
        <f t="shared" si="142"/>
        <v>0.5</v>
      </c>
      <c r="AF367" s="177">
        <f t="shared" si="143"/>
        <v>0.99736680475208495</v>
      </c>
      <c r="AG367" s="811">
        <f t="shared" si="149"/>
        <v>2</v>
      </c>
      <c r="AH367" s="176">
        <f t="shared" si="144"/>
        <v>8</v>
      </c>
      <c r="AI367" s="225">
        <f t="shared" si="145"/>
        <v>2.9973668047520849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'2026'!Wh/'2026'!Env_an*'2027'!Env_an</f>
        <v>4.3115273266741294</v>
      </c>
      <c r="C368" s="841"/>
      <c r="D368" s="393">
        <f t="shared" si="127"/>
        <v>4.653212219532473</v>
      </c>
      <c r="E368" s="385">
        <f t="shared" si="150"/>
        <v>4.8945473925052116</v>
      </c>
      <c r="F368" s="385">
        <f t="shared" si="128"/>
        <v>4.8945473925052116</v>
      </c>
      <c r="G368" s="110">
        <f t="shared" si="151"/>
        <v>0.19910501247583171</v>
      </c>
      <c r="H368" s="414" t="b">
        <f>Wh_hp&gt;='2026'!Maxi_hp</f>
        <v>0</v>
      </c>
      <c r="I368" s="390">
        <f>IF(H368,Wh_hp,'2026'!Maxi_hp)</f>
        <v>22.549218247197125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7.3429896754778512E-2</v>
      </c>
      <c r="M368" s="845"/>
      <c r="N368" s="845"/>
      <c r="O368" s="48">
        <f>IF(t&lt;Tnet,'2026'!Resal+('2026'!Salim-'2026'!Resal)*(1-EXP(('2026'!Tnet-t)/('2026'!Tau_j))),Resal+(Salim-Resal)*(1-EXP((Tnet-t)/(Tau_j))))*Salcycl</f>
        <v>4.9306943751792752E-2</v>
      </c>
      <c r="P368" s="169">
        <f>(INDEX(Models!$BJ368:$BT368,,T368)*(1-R368)+INDEX(Models!$BJ368:$BT368,,T368+1)*R368-ERP_i)*Q368*Ramure*Pc/MaxiM</f>
        <v>2.4162029918522676E-4</v>
      </c>
      <c r="Q368" s="305">
        <f t="shared" si="130"/>
        <v>0.5</v>
      </c>
      <c r="R368" s="177">
        <f t="shared" si="131"/>
        <v>0.47238678135094447</v>
      </c>
      <c r="S368" s="811">
        <f t="shared" si="132"/>
        <v>-1</v>
      </c>
      <c r="T368" s="176">
        <f t="shared" si="133"/>
        <v>5</v>
      </c>
      <c r="U368" s="251">
        <f t="shared" si="134"/>
        <v>-0.52761321864905553</v>
      </c>
      <c r="V368" s="383">
        <f t="shared" si="135"/>
        <v>21.649307169877204</v>
      </c>
      <c r="W368" s="402">
        <f t="shared" si="136"/>
        <v>4.3115273266741294</v>
      </c>
      <c r="X368" s="157">
        <f t="shared" si="137"/>
        <v>46741</v>
      </c>
      <c r="Y368" s="385">
        <f t="shared" si="138"/>
        <v>4.1772655905887355</v>
      </c>
      <c r="Z368" s="385">
        <f t="shared" si="139"/>
        <v>4.5083103544548546</v>
      </c>
      <c r="AA368" s="386">
        <f t="shared" si="140"/>
        <v>4.8945473925052116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7.8911696440366191E-2</v>
      </c>
      <c r="AD368" s="231">
        <f>(INDEX(Models!$BJ368:$BT368,,AH368)*(1-AF368)+INDEX(Models!$BJ368:$BT368,,AH368+1)*AF368-ERP_i)*AE368*Ramure*Pc/MaxiM</f>
        <v>1.3634694778844804E-3</v>
      </c>
      <c r="AE368" s="305">
        <f t="shared" si="142"/>
        <v>0.5</v>
      </c>
      <c r="AF368" s="177">
        <f t="shared" si="143"/>
        <v>0.99737434772492328</v>
      </c>
      <c r="AG368" s="811">
        <f t="shared" si="149"/>
        <v>2</v>
      </c>
      <c r="AH368" s="176">
        <f t="shared" si="144"/>
        <v>8</v>
      </c>
      <c r="AI368" s="225">
        <f t="shared" si="145"/>
        <v>2.9973743477249233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'2026'!Wh/'2026'!Env_an*'2027'!Env_an</f>
        <v>19.445333440901219</v>
      </c>
      <c r="C369" s="841"/>
      <c r="D369" s="393">
        <f t="shared" si="127"/>
        <v>20.986819329514731</v>
      </c>
      <c r="E369" s="385">
        <f t="shared" si="150"/>
        <v>22.076463367056579</v>
      </c>
      <c r="F369" s="385">
        <f t="shared" si="128"/>
        <v>22.081008922140029</v>
      </c>
      <c r="G369" s="110">
        <f t="shared" si="151"/>
        <v>0.89746925877950989</v>
      </c>
      <c r="H369" s="414" t="b">
        <f>Wh_hp&gt;='2026'!Maxi_hp</f>
        <v>0</v>
      </c>
      <c r="I369" s="390">
        <f>IF(H369,Wh_hp,'2026'!Maxi_hp)</f>
        <v>22.081581243363594</v>
      </c>
      <c r="J369" s="85">
        <f>IF(H369,An,'2026'!An_max)</f>
        <v>2025</v>
      </c>
      <c r="K369" s="197">
        <f t="shared" si="129"/>
        <v>46742</v>
      </c>
      <c r="L369" s="147">
        <f>IF(t&lt;Tvie,1-EXP((T0-t)*PertePVj)+'2026'!Pspv,1-EXP((T0-t)*PertePVj)+Pspv)</f>
        <v>7.3450191018019084E-2</v>
      </c>
      <c r="M369" s="845"/>
      <c r="N369" s="845"/>
      <c r="O369" s="48">
        <f>IF(t&lt;Tnet,'2026'!Resal+('2026'!Salim-'2026'!Resal)*(1-EXP(('2026'!Tnet-t)/('2026'!Tau_j))),Resal+(Salim-Resal)*(1-EXP((Tnet-t)/(Tau_j))))*Salcycl</f>
        <v>4.9357726345237982E-2</v>
      </c>
      <c r="P369" s="169">
        <f>(INDEX(Models!$BJ369:$BT369,,T369)*(1-R369)+INDEX(Models!$BJ369:$BT369,,T369+1)*R369-ERP_i)*Q369*Ramure*Pc/MaxiM</f>
        <v>2.411723107232861E-4</v>
      </c>
      <c r="Q369" s="305">
        <f t="shared" si="130"/>
        <v>0.5</v>
      </c>
      <c r="R369" s="177">
        <f t="shared" si="131"/>
        <v>0.47239402083553139</v>
      </c>
      <c r="S369" s="811">
        <f t="shared" si="132"/>
        <v>-1</v>
      </c>
      <c r="T369" s="176">
        <f t="shared" si="133"/>
        <v>5</v>
      </c>
      <c r="U369" s="251">
        <f t="shared" si="134"/>
        <v>-0.52760597916446861</v>
      </c>
      <c r="V369" s="383">
        <f t="shared" si="135"/>
        <v>21.666086512898261</v>
      </c>
      <c r="W369" s="402">
        <f t="shared" si="136"/>
        <v>19.445333440901219</v>
      </c>
      <c r="X369" s="157">
        <f t="shared" si="137"/>
        <v>46742</v>
      </c>
      <c r="Y369" s="385">
        <f t="shared" si="138"/>
        <v>18.822366505187787</v>
      </c>
      <c r="Z369" s="385">
        <f t="shared" si="139"/>
        <v>20.314468064990812</v>
      </c>
      <c r="AA369" s="386">
        <f t="shared" si="140"/>
        <v>22.055354674871513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7.8932605507548562E-2</v>
      </c>
      <c r="AD369" s="231">
        <f>(INDEX(Models!$BJ369:$BT369,,AH369)*(1-AF369)+INDEX(Models!$BJ369:$BT369,,AH369+1)*AF369-ERP_i)*AE369*Ramure*Pc/MaxiM</f>
        <v>1.3611305946203132E-3</v>
      </c>
      <c r="AE369" s="305">
        <f t="shared" si="142"/>
        <v>0.5</v>
      </c>
      <c r="AF369" s="177">
        <f t="shared" si="143"/>
        <v>0.9973815872095102</v>
      </c>
      <c r="AG369" s="811">
        <f t="shared" si="149"/>
        <v>2</v>
      </c>
      <c r="AH369" s="176">
        <f t="shared" si="144"/>
        <v>8</v>
      </c>
      <c r="AI369" s="225">
        <f t="shared" si="145"/>
        <v>2.9973815872095102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'2026'!Wh/'2026'!Env_an*'2027'!Env_an</f>
        <v>16.070313018538958</v>
      </c>
      <c r="C370" s="841"/>
      <c r="D370" s="393">
        <f t="shared" si="127"/>
        <v>17.344631504488742</v>
      </c>
      <c r="E370" s="385">
        <f t="shared" si="150"/>
        <v>18.246152234720732</v>
      </c>
      <c r="F370" s="385">
        <f t="shared" si="128"/>
        <v>18.248917037955671</v>
      </c>
      <c r="G370" s="110">
        <f t="shared" si="151"/>
        <v>0.74069060019780919</v>
      </c>
      <c r="H370" s="414" t="b">
        <f>Wh_hp&gt;='2026'!Maxi_hp</f>
        <v>0</v>
      </c>
      <c r="I370" s="390">
        <f>IF(H370,Wh_hp,'2026'!Maxi_hp)</f>
        <v>25.041754314682116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7.3470484836763217E-2</v>
      </c>
      <c r="M370" s="845"/>
      <c r="N370" s="845"/>
      <c r="O370" s="48">
        <f>IF(t&lt;Tnet,'2026'!Resal+('2026'!Salim-'2026'!Resal)*(1-EXP(('2026'!Tnet-t)/('2026'!Tau_j))),Resal+(Salim-Resal)*(1-EXP((Tnet-t)/(Tau_j))))*Salcycl</f>
        <v>4.940881335608286E-2</v>
      </c>
      <c r="P370" s="169">
        <f>(INDEX(Models!$BJ370:$BT370,,T370)*(1-R370)+INDEX(Models!$BJ370:$BT370,,T370+1)*R370-ERP_i)*Q370*Ramure*Pc/MaxiM</f>
        <v>2.406170110675507E-4</v>
      </c>
      <c r="Q370" s="305">
        <f t="shared" si="130"/>
        <v>0.5</v>
      </c>
      <c r="R370" s="177">
        <f t="shared" si="131"/>
        <v>0.47240096903432871</v>
      </c>
      <c r="S370" s="811">
        <f t="shared" si="132"/>
        <v>-1</v>
      </c>
      <c r="T370" s="176">
        <f t="shared" si="133"/>
        <v>5</v>
      </c>
      <c r="U370" s="251">
        <f t="shared" si="134"/>
        <v>-0.52759903096567129</v>
      </c>
      <c r="V370" s="383">
        <f t="shared" si="135"/>
        <v>21.694457497195099</v>
      </c>
      <c r="W370" s="402">
        <f t="shared" si="136"/>
        <v>16.070313018538958</v>
      </c>
      <c r="X370" s="157">
        <f t="shared" si="137"/>
        <v>46743</v>
      </c>
      <c r="Y370" s="385">
        <f t="shared" si="138"/>
        <v>15.559876185093353</v>
      </c>
      <c r="Z370" s="385">
        <f t="shared" si="139"/>
        <v>16.7937188513115</v>
      </c>
      <c r="AA370" s="386">
        <f t="shared" si="140"/>
        <v>18.233313085319299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7.8954067605349149E-2</v>
      </c>
      <c r="AD370" s="231">
        <f>(INDEX(Models!$BJ370:$BT370,,AH370)*(1-AF370)+INDEX(Models!$BJ370:$BT370,,AH370+1)*AF370-ERP_i)*AE370*Ramure*Pc/MaxiM</f>
        <v>1.3579904699025653E-3</v>
      </c>
      <c r="AE370" s="305">
        <f t="shared" si="142"/>
        <v>0.5</v>
      </c>
      <c r="AF370" s="177">
        <f t="shared" si="143"/>
        <v>0.99738853540830741</v>
      </c>
      <c r="AG370" s="811">
        <f t="shared" si="149"/>
        <v>2</v>
      </c>
      <c r="AH370" s="176">
        <f t="shared" si="144"/>
        <v>8</v>
      </c>
      <c r="AI370" s="225">
        <f t="shared" si="145"/>
        <v>2.9973885354083074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'2026'!Wh/'2026'!Env_an*'2027'!Env_an</f>
        <v>16.595913409908896</v>
      </c>
      <c r="C371" s="841"/>
      <c r="D371" s="393">
        <f t="shared" si="127"/>
        <v>17.912302457026986</v>
      </c>
      <c r="E371" s="385">
        <f t="shared" si="150"/>
        <v>18.844347218297219</v>
      </c>
      <c r="F371" s="385">
        <f t="shared" si="128"/>
        <v>18.847342162490303</v>
      </c>
      <c r="G371" s="110">
        <f t="shared" si="151"/>
        <v>0.76350758474554303</v>
      </c>
      <c r="H371" s="414" t="b">
        <f>Wh_hp&gt;='2026'!Maxi_hp</f>
        <v>0</v>
      </c>
      <c r="I371" s="390">
        <f>IF(H371,Wh_hp,'2026'!Maxi_hp)</f>
        <v>19.829576058520093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7.3490778211020569E-2</v>
      </c>
      <c r="M371" s="845"/>
      <c r="N371" s="845"/>
      <c r="O371" s="48">
        <f>IF(t&lt;Tnet,'2026'!Resal+('2026'!Salim-'2026'!Resal)*(1-EXP(('2026'!Tnet-t)/('2026'!Tau_j))),Resal+(Salim-Resal)*(1-EXP((Tnet-t)/(Tau_j))))*Salcycl</f>
        <v>4.9460177658223609E-2</v>
      </c>
      <c r="P371" s="169">
        <f>(INDEX(Models!$BJ371:$BT371,,T371)*(1-R371)+INDEX(Models!$BJ371:$BT371,,T371+1)*R371-ERP_i)*Q371*Ramure*Pc/MaxiM</f>
        <v>2.399505917850963E-4</v>
      </c>
      <c r="Q371" s="305">
        <f t="shared" si="130"/>
        <v>0.5</v>
      </c>
      <c r="R371" s="177">
        <f t="shared" si="131"/>
        <v>0.47240096903432871</v>
      </c>
      <c r="S371" s="811">
        <f t="shared" si="132"/>
        <v>-1</v>
      </c>
      <c r="T371" s="176">
        <f t="shared" si="133"/>
        <v>5</v>
      </c>
      <c r="U371" s="251">
        <f t="shared" si="134"/>
        <v>-0.52759903096567129</v>
      </c>
      <c r="V371" s="383">
        <f t="shared" si="135"/>
        <v>21.734647446190664</v>
      </c>
      <c r="W371" s="402">
        <f t="shared" si="136"/>
        <v>16.595913409908896</v>
      </c>
      <c r="X371" s="157">
        <f t="shared" si="137"/>
        <v>46744</v>
      </c>
      <c r="Y371" s="385">
        <f t="shared" si="138"/>
        <v>16.068716348354265</v>
      </c>
      <c r="Z371" s="385">
        <f t="shared" si="139"/>
        <v>17.34328808657455</v>
      </c>
      <c r="AA371" s="386">
        <f t="shared" si="140"/>
        <v>18.830441771888662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7.897603802021437E-2</v>
      </c>
      <c r="AD371" s="231">
        <f>(INDEX(Models!$BJ371:$BT371,,AH371)*(1-AF371)+INDEX(Models!$BJ371:$BT371,,AH371+1)*AF371-ERP_i)*AE371*Ramure*Pc/MaxiM</f>
        <v>1.3540348216262948E-3</v>
      </c>
      <c r="AE371" s="305">
        <f t="shared" si="142"/>
        <v>0.5</v>
      </c>
      <c r="AF371" s="177">
        <f t="shared" si="143"/>
        <v>0.99738853540830741</v>
      </c>
      <c r="AG371" s="811">
        <f t="shared" si="149"/>
        <v>2</v>
      </c>
      <c r="AH371" s="176">
        <f t="shared" si="144"/>
        <v>8</v>
      </c>
      <c r="AI371" s="225">
        <f t="shared" si="145"/>
        <v>2.9973885354083074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'2026'!Wh/'2026'!Env_an*'2027'!Env_an</f>
        <v>19.944307700601339</v>
      </c>
      <c r="C372" s="841"/>
      <c r="D372" s="393">
        <f t="shared" si="127"/>
        <v>21.52676311540937</v>
      </c>
      <c r="E372" s="385">
        <f t="shared" si="150"/>
        <v>22.648111735796171</v>
      </c>
      <c r="F372" s="385">
        <f t="shared" si="128"/>
        <v>22.652875085182423</v>
      </c>
      <c r="G372" s="110">
        <f t="shared" si="151"/>
        <v>0.91540082947033163</v>
      </c>
      <c r="H372" s="414" t="b">
        <f>Wh_hp&gt;='2026'!Maxi_hp</f>
        <v>0</v>
      </c>
      <c r="I372" s="390">
        <f>IF(H372,Wh_hp,'2026'!Maxi_hp)</f>
        <v>22.653355426259242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7.3511071140801021E-2</v>
      </c>
      <c r="M372" s="845"/>
      <c r="N372" s="845"/>
      <c r="O372" s="48">
        <f>IF(t&lt;Tnet,'2026'!Resal+('2026'!Salim-'2026'!Resal)*(1-EXP(('2026'!Tnet-t)/('2026'!Tau_j))),Resal+(Salim-Resal)*(1-EXP((Tnet-t)/(Tau_j))))*Salcycl</f>
        <v>4.9511793012503844E-2</v>
      </c>
      <c r="P372" s="169">
        <f>(INDEX(Models!$BJ372:$BT372,,T372)*(1-R372)+INDEX(Models!$BJ372:$BT372,,T372+1)*R372-ERP_i)*Q372*Ramure*Pc/MaxiM</f>
        <v>2.3917203511312322E-4</v>
      </c>
      <c r="Q372" s="305">
        <f t="shared" si="130"/>
        <v>0.5</v>
      </c>
      <c r="R372" s="177">
        <f t="shared" si="131"/>
        <v>0.47240096903432871</v>
      </c>
      <c r="S372" s="811">
        <f t="shared" si="132"/>
        <v>-1</v>
      </c>
      <c r="T372" s="176">
        <f t="shared" si="133"/>
        <v>5</v>
      </c>
      <c r="U372" s="251">
        <f t="shared" si="134"/>
        <v>-0.52759903096567129</v>
      </c>
      <c r="V372" s="383">
        <f t="shared" si="135"/>
        <v>21.786883537920286</v>
      </c>
      <c r="W372" s="402">
        <f t="shared" si="136"/>
        <v>19.944307700601339</v>
      </c>
      <c r="X372" s="157">
        <f t="shared" si="137"/>
        <v>46745</v>
      </c>
      <c r="Y372" s="385">
        <f t="shared" si="138"/>
        <v>19.306717022964463</v>
      </c>
      <c r="Z372" s="385">
        <f t="shared" si="139"/>
        <v>20.838583626398147</v>
      </c>
      <c r="AA372" s="386">
        <f t="shared" si="140"/>
        <v>22.626003354972951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7.899847359396546E-2</v>
      </c>
      <c r="AD372" s="231">
        <f>(INDEX(Models!$BJ372:$BT372,,AH372)*(1-AF372)+INDEX(Models!$BJ372:$BT372,,AH372+1)*AF372-ERP_i)*AE372*Ramure*Pc/MaxiM</f>
        <v>1.3492536196818723E-3</v>
      </c>
      <c r="AE372" s="305">
        <f t="shared" si="142"/>
        <v>0.5</v>
      </c>
      <c r="AF372" s="177">
        <f t="shared" si="143"/>
        <v>0.99738853540830741</v>
      </c>
      <c r="AG372" s="811">
        <f t="shared" si="149"/>
        <v>2</v>
      </c>
      <c r="AH372" s="176">
        <f t="shared" si="144"/>
        <v>8</v>
      </c>
      <c r="AI372" s="225">
        <f t="shared" si="145"/>
        <v>2.9973885354083074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'2026'!Wh/'2026'!Env_an*'2027'!Env_an</f>
        <v>11.866769951988672</v>
      </c>
      <c r="C373" s="841"/>
      <c r="D373" s="393">
        <f t="shared" si="127"/>
        <v>12.808604075831571</v>
      </c>
      <c r="E373" s="385">
        <f t="shared" si="150"/>
        <v>13.47655091557341</v>
      </c>
      <c r="F373" s="385">
        <f t="shared" si="128"/>
        <v>13.477665730601313</v>
      </c>
      <c r="G373" s="110">
        <f t="shared" si="151"/>
        <v>0.54293418460303089</v>
      </c>
      <c r="H373" s="414" t="b">
        <f>Wh_hp&gt;='2026'!Maxi_hp</f>
        <v>0</v>
      </c>
      <c r="I373" s="390">
        <f>IF(H373,Wh_hp,'2026'!Maxi_hp)</f>
        <v>16.332134440633631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7.3531363626114121E-2</v>
      </c>
      <c r="M373" s="845"/>
      <c r="N373" s="845"/>
      <c r="O373" s="48">
        <f>IF(t&lt;Tnet,'2026'!Resal+('2026'!Salim-'2026'!Resal)*(1-EXP(('2026'!Tnet-t)/('2026'!Tau_j))),Resal+(Salim-Resal)*(1-EXP((Tnet-t)/(Tau_j))))*Salcycl</f>
        <v>4.9563634191443176E-2</v>
      </c>
      <c r="P373" s="169">
        <f>(INDEX(Models!$BJ373:$BT373,,T373)*(1-R373)+INDEX(Models!$BJ373:$BT373,,T373+1)*R373-ERP_i)*Q373*Ramure*Pc/MaxiM</f>
        <v>2.3825749041961536E-4</v>
      </c>
      <c r="Q373" s="305">
        <f t="shared" si="130"/>
        <v>0.5</v>
      </c>
      <c r="R373" s="177">
        <f t="shared" si="131"/>
        <v>0.47240096903432871</v>
      </c>
      <c r="S373" s="811">
        <f t="shared" si="132"/>
        <v>-1</v>
      </c>
      <c r="T373" s="176">
        <f t="shared" si="133"/>
        <v>5</v>
      </c>
      <c r="U373" s="251">
        <f t="shared" si="134"/>
        <v>-0.52759903096567129</v>
      </c>
      <c r="V373" s="383">
        <f t="shared" si="135"/>
        <v>21.853337582247747</v>
      </c>
      <c r="W373" s="402">
        <f t="shared" si="136"/>
        <v>11.866769951988672</v>
      </c>
      <c r="X373" s="157">
        <f t="shared" si="137"/>
        <v>46746</v>
      </c>
      <c r="Y373" s="385">
        <f t="shared" si="138"/>
        <v>11.494560202914895</v>
      </c>
      <c r="Z373" s="385">
        <f t="shared" si="139"/>
        <v>12.406853024084615</v>
      </c>
      <c r="AA373" s="386">
        <f t="shared" si="140"/>
        <v>13.471379378818719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7.902133291620278E-2</v>
      </c>
      <c r="AD373" s="231">
        <f>(INDEX(Models!$BJ373:$BT373,,AH373)*(1-AF373)+INDEX(Models!$BJ373:$BT373,,AH373+1)*AF373-ERP_i)*AE373*Ramure*Pc/MaxiM</f>
        <v>1.3435147195994554E-3</v>
      </c>
      <c r="AE373" s="305">
        <f t="shared" si="142"/>
        <v>0.5</v>
      </c>
      <c r="AF373" s="177">
        <f t="shared" si="143"/>
        <v>0.99738853540830741</v>
      </c>
      <c r="AG373" s="811">
        <f t="shared" si="149"/>
        <v>2</v>
      </c>
      <c r="AH373" s="176">
        <f t="shared" si="144"/>
        <v>8</v>
      </c>
      <c r="AI373" s="225">
        <f t="shared" si="145"/>
        <v>2.9973885354083074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'2026'!Wh/'2026'!Env_an*'2027'!Env_an</f>
        <v>20.221770917637205</v>
      </c>
      <c r="C374" s="841"/>
      <c r="D374" s="393">
        <f t="shared" si="127"/>
        <v>21.82719742695993</v>
      </c>
      <c r="E374" s="385">
        <f t="shared" si="150"/>
        <v>22.966706100693919</v>
      </c>
      <c r="F374" s="385">
        <f t="shared" si="128"/>
        <v>22.971546749502544</v>
      </c>
      <c r="G374" s="110">
        <f t="shared" si="151"/>
        <v>0.92185781365134012</v>
      </c>
      <c r="H374" s="414" t="b">
        <f>Wh_hp&gt;='2026'!Maxi_hp</f>
        <v>0</v>
      </c>
      <c r="I374" s="390">
        <f>IF(H374,Wh_hp,'2026'!Maxi_hp)</f>
        <v>24.2954595694269</v>
      </c>
      <c r="J374" s="85">
        <f>IF(H374,An,'2026'!An_max)</f>
        <v>2018</v>
      </c>
      <c r="K374" s="197">
        <f t="shared" si="129"/>
        <v>46747</v>
      </c>
      <c r="L374" s="147">
        <f>IF(t&lt;Tvie,1-EXP((T0-t)*PertePVj)+'2026'!Pspv,1-EXP((T0-t)*PertePVj)+Pspv)</f>
        <v>7.3551655666969862E-2</v>
      </c>
      <c r="M374" s="845"/>
      <c r="N374" s="845"/>
      <c r="O374" s="48">
        <f>IF(t&lt;Tnet,'2026'!Resal+('2026'!Salim-'2026'!Resal)*(1-EXP(('2026'!Tnet-t)/('2026'!Tau_j))),Resal+(Salim-Resal)*(1-EXP((Tnet-t)/(Tau_j))))*Salcycl</f>
        <v>4.9615677090915571E-2</v>
      </c>
      <c r="P374" s="169">
        <f>(INDEX(Models!$BJ374:$BT374,,T374)*(1-R374)+INDEX(Models!$BJ374:$BT374,,T374+1)*R374-ERP_i)*Q374*Ramure*Pc/MaxiM</f>
        <v>2.3719374704842241E-4</v>
      </c>
      <c r="Q374" s="305">
        <f t="shared" si="130"/>
        <v>0.5</v>
      </c>
      <c r="R374" s="177">
        <f t="shared" si="131"/>
        <v>0.47240096903432871</v>
      </c>
      <c r="S374" s="811">
        <f t="shared" si="132"/>
        <v>-1</v>
      </c>
      <c r="T374" s="176">
        <f t="shared" si="133"/>
        <v>5</v>
      </c>
      <c r="U374" s="251">
        <f t="shared" si="134"/>
        <v>-0.52759903096567129</v>
      </c>
      <c r="V374" s="383">
        <f t="shared" si="135"/>
        <v>21.93530849735156</v>
      </c>
      <c r="W374" s="402">
        <f t="shared" si="136"/>
        <v>20.221770917637205</v>
      </c>
      <c r="X374" s="157">
        <f t="shared" si="137"/>
        <v>46747</v>
      </c>
      <c r="Y374" s="385">
        <f t="shared" si="138"/>
        <v>19.576452562476685</v>
      </c>
      <c r="Z374" s="385">
        <f t="shared" si="139"/>
        <v>21.130646605634759</v>
      </c>
      <c r="AA374" s="386">
        <f t="shared" si="140"/>
        <v>22.944266428462857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7.9044576495078733E-2</v>
      </c>
      <c r="AD374" s="231">
        <f>(INDEX(Models!$BJ374:$BT374,,AH374)*(1-AF374)+INDEX(Models!$BJ374:$BT374,,AH374+1)*AF374-ERP_i)*AE374*Ramure*Pc/MaxiM</f>
        <v>1.3367467510882994E-3</v>
      </c>
      <c r="AE374" s="305">
        <f t="shared" si="142"/>
        <v>0.5</v>
      </c>
      <c r="AF374" s="177">
        <f t="shared" si="143"/>
        <v>0.99738853540830741</v>
      </c>
      <c r="AG374" s="811">
        <f t="shared" si="149"/>
        <v>2</v>
      </c>
      <c r="AH374" s="176">
        <f t="shared" si="144"/>
        <v>8</v>
      </c>
      <c r="AI374" s="225">
        <f t="shared" si="145"/>
        <v>2.9973885354083074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'2026'!Wh/'2026'!Env_an*'2027'!Env_an</f>
        <v>7.2876252608469896</v>
      </c>
      <c r="C375" s="841"/>
      <c r="D375" s="393">
        <f t="shared" si="127"/>
        <v>7.8663693735522227</v>
      </c>
      <c r="E375" s="385">
        <f t="shared" si="150"/>
        <v>8.2774951660084799</v>
      </c>
      <c r="F375" s="385">
        <f t="shared" si="128"/>
        <v>8.2775810971375599</v>
      </c>
      <c r="G375" s="110">
        <f t="shared" si="151"/>
        <v>0.33070422759175594</v>
      </c>
      <c r="H375" s="414" t="b">
        <f>Wh_hp&gt;='2026'!Maxi_hp</f>
        <v>0</v>
      </c>
      <c r="I375" s="390">
        <f>IF(H375,Wh_hp,'2026'!Maxi_hp)</f>
        <v>24.678488393426758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7.3571947263377679E-2</v>
      </c>
      <c r="M375" s="845"/>
      <c r="N375" s="845"/>
      <c r="O375" s="48">
        <f>IF(t&lt;Tnet,'2026'!Resal+('2026'!Salim-'2026'!Resal)*(1-EXP(('2026'!Tnet-t)/('2026'!Tau_j))),Resal+(Salim-Resal)*(1-EXP((Tnet-t)/(Tau_j))))*Salcycl</f>
        <v>4.9667898828204098E-2</v>
      </c>
      <c r="P375" s="169">
        <f>(INDEX(Models!$BJ375:$BT375,,T375)*(1-R375)+INDEX(Models!$BJ375:$BT375,,T375+1)*R375-ERP_i)*Q375*Ramure*Pc/MaxiM</f>
        <v>2.3609791431688517E-4</v>
      </c>
      <c r="Q375" s="305">
        <f t="shared" si="130"/>
        <v>0.5</v>
      </c>
      <c r="R375" s="177">
        <f t="shared" si="131"/>
        <v>0.47240096903432871</v>
      </c>
      <c r="S375" s="811">
        <f t="shared" si="132"/>
        <v>-1</v>
      </c>
      <c r="T375" s="176">
        <f t="shared" si="133"/>
        <v>5</v>
      </c>
      <c r="U375" s="251">
        <f t="shared" si="134"/>
        <v>-0.52759903096567129</v>
      </c>
      <c r="V375" s="383">
        <f t="shared" si="135"/>
        <v>22.031712016247063</v>
      </c>
      <c r="W375" s="402">
        <f t="shared" si="136"/>
        <v>7.2876252608469896</v>
      </c>
      <c r="X375" s="157">
        <f t="shared" si="137"/>
        <v>46748</v>
      </c>
      <c r="Y375" s="385">
        <f t="shared" si="138"/>
        <v>7.0618297924070639</v>
      </c>
      <c r="Z375" s="385">
        <f t="shared" si="139"/>
        <v>7.6226424400111483</v>
      </c>
      <c r="AA375" s="386">
        <f t="shared" si="140"/>
        <v>8.2770973551852123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7.9068166905645762E-2</v>
      </c>
      <c r="AD375" s="231">
        <f>(INDEX(Models!$BJ375:$BT375,,AH375)*(1-AF375)+INDEX(Models!$BJ375:$BT375,,AH375+1)*AF375-ERP_i)*AE375*Ramure*Pc/MaxiM</f>
        <v>1.3290930450951274E-3</v>
      </c>
      <c r="AE375" s="305">
        <f t="shared" si="142"/>
        <v>0.5</v>
      </c>
      <c r="AF375" s="177">
        <f t="shared" si="143"/>
        <v>0.99738853540830741</v>
      </c>
      <c r="AG375" s="811">
        <f t="shared" si="149"/>
        <v>2</v>
      </c>
      <c r="AH375" s="176">
        <f t="shared" si="144"/>
        <v>8</v>
      </c>
      <c r="AI375" s="225">
        <f t="shared" si="145"/>
        <v>2.9973885354083074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'2026'!Wh/'2026'!Env_an*'2027'!Env_an</f>
        <v>19.424173974053861</v>
      </c>
      <c r="C376" s="841"/>
      <c r="D376" s="393">
        <f t="shared" si="127"/>
        <v>20.967196929382524</v>
      </c>
      <c r="E376" s="385">
        <f t="shared" si="150"/>
        <v>22.064236919014391</v>
      </c>
      <c r="F376" s="385">
        <f t="shared" si="128"/>
        <v>22.068513547196449</v>
      </c>
      <c r="G376" s="110">
        <f t="shared" si="151"/>
        <v>0.87723971283560143</v>
      </c>
      <c r="H376" s="414" t="b">
        <f>Wh_hp&gt;='2026'!Maxi_hp</f>
        <v>0</v>
      </c>
      <c r="I376" s="390">
        <f>IF(H376,Wh_hp,'2026'!Maxi_hp)</f>
        <v>22.069179928956952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7.3592238415347566E-2</v>
      </c>
      <c r="M376" s="845"/>
      <c r="N376" s="845"/>
      <c r="O376" s="48">
        <f>IF(t&lt;Tnet,'2026'!Resal+('2026'!Salim-'2026'!Resal)*(1-EXP(('2026'!Tnet-t)/('2026'!Tau_j))),Resal+(Salim-Resal)*(1-EXP((Tnet-t)/(Tau_j))))*Salcycl</f>
        <v>4.9720277825990165E-2</v>
      </c>
      <c r="P376" s="169">
        <f>(INDEX(Models!$BJ376:$BT376,,T376)*(1-R376)+INDEX(Models!$BJ376:$BT376,,T376+1)*R376-ERP_i)*Q376*Ramure*Pc/MaxiM</f>
        <v>2.3498657622125381E-4</v>
      </c>
      <c r="Q376" s="305">
        <f t="shared" si="130"/>
        <v>0.5</v>
      </c>
      <c r="R376" s="177">
        <f t="shared" si="131"/>
        <v>0.47240096903432871</v>
      </c>
      <c r="S376" s="811">
        <f t="shared" si="132"/>
        <v>-1</v>
      </c>
      <c r="T376" s="176">
        <f t="shared" si="133"/>
        <v>5</v>
      </c>
      <c r="U376" s="251">
        <f t="shared" si="134"/>
        <v>-0.52759903096567129</v>
      </c>
      <c r="V376" s="383">
        <f t="shared" si="135"/>
        <v>22.141466351452454</v>
      </c>
      <c r="W376" s="402">
        <f t="shared" si="136"/>
        <v>19.424173974053861</v>
      </c>
      <c r="X376" s="157">
        <f t="shared" si="137"/>
        <v>46749</v>
      </c>
      <c r="Y376" s="385">
        <f t="shared" si="138"/>
        <v>18.806942147027563</v>
      </c>
      <c r="Z376" s="385">
        <f t="shared" si="139"/>
        <v>20.300933268151425</v>
      </c>
      <c r="AA376" s="386">
        <f t="shared" si="140"/>
        <v>22.044476524637524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7.9092068915198141E-2</v>
      </c>
      <c r="AD376" s="231">
        <f>(INDEX(Models!$BJ376:$BT376,,AH376)*(1-AF376)+INDEX(Models!$BJ376:$BT376,,AH376+1)*AF376-ERP_i)*AE376*Ramure*Pc/MaxiM</f>
        <v>1.3207549015767698E-3</v>
      </c>
      <c r="AE376" s="305">
        <f t="shared" si="142"/>
        <v>0.5</v>
      </c>
      <c r="AF376" s="177">
        <f t="shared" si="143"/>
        <v>0.99738853540830741</v>
      </c>
      <c r="AG376" s="811">
        <f t="shared" si="149"/>
        <v>2</v>
      </c>
      <c r="AH376" s="176">
        <f t="shared" si="144"/>
        <v>8</v>
      </c>
      <c r="AI376" s="225">
        <f t="shared" si="145"/>
        <v>2.9973885354083074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'2026'!Wh/'2026'!Env_an*'2027'!Env_an</f>
        <v>9.548534227007945</v>
      </c>
      <c r="C377" s="841"/>
      <c r="D377" s="393">
        <f t="shared" si="127"/>
        <v>10.307279110723851</v>
      </c>
      <c r="E377" s="385">
        <f t="shared" si="150"/>
        <v>10.847173228003259</v>
      </c>
      <c r="F377" s="385">
        <f t="shared" si="128"/>
        <v>10.847640344585447</v>
      </c>
      <c r="G377" s="110">
        <f t="shared" si="151"/>
        <v>0.4288057331020016</v>
      </c>
      <c r="H377" s="414" t="b">
        <f>Wh_hp&gt;='2026'!Maxi_hp</f>
        <v>0</v>
      </c>
      <c r="I377" s="390">
        <f>IF(H377,Wh_hp,'2026'!Maxi_hp)</f>
        <v>24.70046719987749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7.361252912288907E-2</v>
      </c>
      <c r="M377" s="845"/>
      <c r="N377" s="845"/>
      <c r="O377" s="48">
        <f>IF(t&lt;Tnet,'2026'!Resal+('2026'!Salim-'2026'!Resal)*(1-EXP(('2026'!Tnet-t)/('2026'!Tau_j))),Resal+(Salim-Resal)*(1-EXP((Tnet-t)/(Tau_j))))*Salcycl</f>
        <v>4.9772793881968057E-2</v>
      </c>
      <c r="P377" s="169">
        <f>(INDEX(Models!$BJ377:$BT377,,T377)*(1-R377)+INDEX(Models!$BJ377:$BT377,,T377+1)*R377-ERP_i)*Q377*Ramure*Pc/MaxiM</f>
        <v>2.3387133924099201E-4</v>
      </c>
      <c r="Q377" s="305">
        <f t="shared" si="130"/>
        <v>0.5</v>
      </c>
      <c r="R377" s="177">
        <f t="shared" si="131"/>
        <v>0.47240096903432871</v>
      </c>
      <c r="S377" s="811">
        <f t="shared" si="132"/>
        <v>-1</v>
      </c>
      <c r="T377" s="176">
        <f t="shared" si="133"/>
        <v>5</v>
      </c>
      <c r="U377" s="251">
        <f t="shared" si="134"/>
        <v>-0.52759903096567129</v>
      </c>
      <c r="V377" s="383">
        <f t="shared" si="135"/>
        <v>22.26349010311441</v>
      </c>
      <c r="W377" s="402">
        <f t="shared" si="136"/>
        <v>9.548534227007945</v>
      </c>
      <c r="X377" s="157">
        <f t="shared" si="137"/>
        <v>46750</v>
      </c>
      <c r="Y377" s="385">
        <f t="shared" si="138"/>
        <v>9.2518343656596063</v>
      </c>
      <c r="Z377" s="385">
        <f t="shared" si="139"/>
        <v>9.987002908081104</v>
      </c>
      <c r="AA377" s="386">
        <f t="shared" si="140"/>
        <v>10.845020235814816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7.9116249585240939E-2</v>
      </c>
      <c r="AD377" s="231">
        <f>(INDEX(Models!$BJ377:$BT377,,AH377)*(1-AF377)+INDEX(Models!$BJ377:$BT377,,AH377+1)*AF377-ERP_i)*AE377*Ramure*Pc/MaxiM</f>
        <v>1.3118103071244475E-3</v>
      </c>
      <c r="AE377" s="305">
        <f t="shared" si="142"/>
        <v>0.5</v>
      </c>
      <c r="AF377" s="177">
        <f t="shared" si="143"/>
        <v>0.99738853540830741</v>
      </c>
      <c r="AG377" s="811">
        <f t="shared" si="149"/>
        <v>2</v>
      </c>
      <c r="AH377" s="176">
        <f t="shared" si="144"/>
        <v>8</v>
      </c>
      <c r="AI377" s="225">
        <f t="shared" si="145"/>
        <v>2.9973885354083074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'2026'!Wh/'2026'!Env_an*'2027'!Env_an</f>
        <v>12.572656965821041</v>
      </c>
      <c r="C378" s="841"/>
      <c r="D378" s="393">
        <f t="shared" si="127"/>
        <v>13.572001716952014</v>
      </c>
      <c r="E378" s="385">
        <f t="shared" si="150"/>
        <v>14.283692828763989</v>
      </c>
      <c r="F378" s="385">
        <f t="shared" si="128"/>
        <v>14.284934302338081</v>
      </c>
      <c r="G378" s="110">
        <f t="shared" si="151"/>
        <v>0.5612800900003998</v>
      </c>
      <c r="H378" s="414" t="b">
        <f>Wh_hp&gt;='2026'!Maxi_hp</f>
        <v>0</v>
      </c>
      <c r="I378" s="390">
        <f>IF(H378,Wh_hp,'2026'!Maxi_hp)</f>
        <v>26.021620495154139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7.3632819386012072E-2</v>
      </c>
      <c r="M378" s="845"/>
      <c r="N378" s="845"/>
      <c r="O378" s="48">
        <f>IF(t&lt;Tnet,'2026'!Resal+('2026'!Salim-'2026'!Resal)*(1-EXP(('2026'!Tnet-t)/('2026'!Tau_j))),Resal+(Salim-Resal)*(1-EXP((Tnet-t)/(Tau_j))))*Salcycl</f>
        <v>4.9825428223911096E-2</v>
      </c>
      <c r="P378" s="169">
        <f>(INDEX(Models!$BJ378:$BT378,,T378)*(1-R378)+INDEX(Models!$BJ378:$BT378,,T378+1)*R378-ERP_i)*Q378*Ramure*Pc/MaxiM</f>
        <v>2.3276349477297089E-4</v>
      </c>
      <c r="Q378" s="305">
        <f t="shared" si="130"/>
        <v>0.5</v>
      </c>
      <c r="R378" s="177">
        <f t="shared" si="131"/>
        <v>0.47240096903432871</v>
      </c>
      <c r="S378" s="811">
        <f t="shared" si="132"/>
        <v>-1</v>
      </c>
      <c r="T378" s="176">
        <f t="shared" si="133"/>
        <v>5</v>
      </c>
      <c r="U378" s="251">
        <f t="shared" si="134"/>
        <v>-0.52759903096567129</v>
      </c>
      <c r="V378" s="383">
        <f t="shared" si="135"/>
        <v>22.396702177709404</v>
      </c>
      <c r="W378" s="402">
        <f t="shared" si="136"/>
        <v>12.572656965821041</v>
      </c>
      <c r="X378" s="157">
        <f t="shared" si="137"/>
        <v>46751</v>
      </c>
      <c r="Y378" s="385">
        <f t="shared" si="138"/>
        <v>12.179892791424995</v>
      </c>
      <c r="Z378" s="385">
        <f t="shared" si="139"/>
        <v>13.148018459972072</v>
      </c>
      <c r="AA378" s="386">
        <f t="shared" si="140"/>
        <v>14.27798812571335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7.9140678349935392E-2</v>
      </c>
      <c r="AD378" s="231">
        <f>(INDEX(Models!$BJ378:$BT378,,AH378)*(1-AF378)+INDEX(Models!$BJ378:$BT378,,AH378+1)*AF378-ERP_i)*AE378*Ramure*Pc/MaxiM</f>
        <v>1.302336497710193E-3</v>
      </c>
      <c r="AE378" s="305">
        <f t="shared" si="142"/>
        <v>0.5</v>
      </c>
      <c r="AF378" s="177">
        <f t="shared" si="143"/>
        <v>0.99738853540830741</v>
      </c>
      <c r="AG378" s="811">
        <f t="shared" si="149"/>
        <v>2</v>
      </c>
      <c r="AH378" s="176">
        <f t="shared" si="144"/>
        <v>8</v>
      </c>
      <c r="AI378" s="225">
        <f t="shared" si="145"/>
        <v>2.9973885354083074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'2026'!Wh/'2026'!Env_an*'2027'!Env_an</f>
        <v>11.667056002857626</v>
      </c>
      <c r="C379" s="841"/>
      <c r="D379" s="393">
        <f t="shared" si="127"/>
        <v>12.594694405290653</v>
      </c>
      <c r="E379" s="385">
        <f t="shared" si="150"/>
        <v>13.255873007140822</v>
      </c>
      <c r="F379" s="385">
        <f t="shared" si="128"/>
        <v>13.256827797151232</v>
      </c>
      <c r="G379" s="110">
        <f t="shared" si="151"/>
        <v>0.51753247290901017</v>
      </c>
      <c r="H379" s="414" t="b">
        <f>Wh_hp&gt;='2026'!Maxi_hp</f>
        <v>0</v>
      </c>
      <c r="I379" s="390">
        <f>IF(H379,Wh_hp,'2026'!Maxi_hp)</f>
        <v>25.489311551615195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7.365310920472623E-2</v>
      </c>
      <c r="M379" s="845"/>
      <c r="N379" s="845"/>
      <c r="O379" s="48">
        <f>IF(t&lt;Tnet,'2026'!Resal+('2026'!Salim-'2026'!Resal)*(1-EXP(('2026'!Tnet-t)/('2026'!Tau_j))),Resal+(Salim-Resal)*(1-EXP((Tnet-t)/(Tau_j))))*Salcycl</f>
        <v>4.9878163550148555E-2</v>
      </c>
      <c r="P379" s="169">
        <f>(INDEX(Models!$BJ379:$BT379,,T379)*(1-R379)+INDEX(Models!$BJ379:$BT379,,T379+1)*R379-ERP_i)*Q379*Ramure*Pc/MaxiM</f>
        <v>2.3167396461519087E-4</v>
      </c>
      <c r="Q379" s="306">
        <f t="shared" si="130"/>
        <v>0.5</v>
      </c>
      <c r="R379" s="177">
        <f t="shared" si="131"/>
        <v>0.47240096903432871</v>
      </c>
      <c r="S379" s="811">
        <f t="shared" si="132"/>
        <v>-1</v>
      </c>
      <c r="T379" s="176">
        <f t="shared" si="133"/>
        <v>5</v>
      </c>
      <c r="U379" s="307">
        <f t="shared" si="134"/>
        <v>-0.52759903096567129</v>
      </c>
      <c r="V379" s="383">
        <f t="shared" si="135"/>
        <v>22.540021770346765</v>
      </c>
      <c r="W379" s="402">
        <f t="shared" si="136"/>
        <v>11.667056002857626</v>
      </c>
      <c r="X379" s="157">
        <f t="shared" si="137"/>
        <v>46752</v>
      </c>
      <c r="Y379" s="385">
        <f t="shared" si="138"/>
        <v>11.303694197029209</v>
      </c>
      <c r="Z379" s="385">
        <f t="shared" si="139"/>
        <v>12.20244198944191</v>
      </c>
      <c r="AA379" s="386">
        <f t="shared" si="140"/>
        <v>13.25150143470308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7.9165327071081176E-2</v>
      </c>
      <c r="AD379" s="231">
        <f>(INDEX(Models!$BJ379:$BT379,,AH379)*(1-AF379)+INDEX(Models!$BJ379:$BT379,,AH379+1)*AF379-ERP_i)*AE379*Ramure*Pc/MaxiM</f>
        <v>1.2924093171141654E-3</v>
      </c>
      <c r="AE379" s="306">
        <f t="shared" si="142"/>
        <v>0.5</v>
      </c>
      <c r="AF379" s="177">
        <f t="shared" si="143"/>
        <v>0.99738853540830741</v>
      </c>
      <c r="AG379" s="811">
        <f t="shared" si="149"/>
        <v>2</v>
      </c>
      <c r="AH379" s="176">
        <f t="shared" si="144"/>
        <v>8</v>
      </c>
      <c r="AI379" s="222">
        <f t="shared" si="145"/>
        <v>2.9973885354083074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7"/>
      <c r="B380" s="805"/>
      <c r="C380" s="842"/>
      <c r="D380" s="608"/>
      <c r="E380" s="387"/>
      <c r="F380" s="387"/>
      <c r="G380" s="609"/>
      <c r="H380" s="602" t="b">
        <f>Wh_hp&gt;='2026'!Maxi_hp</f>
        <v>0</v>
      </c>
      <c r="I380" s="603">
        <f>IF(H380,Wh_hp,'2026'!Maxi_hp)</f>
        <v>16.688760379988651</v>
      </c>
      <c r="J380" s="151">
        <f>IF(H380,An,'2026'!An_max)</f>
        <v>2024</v>
      </c>
      <c r="K380" s="234"/>
      <c r="L380" s="610"/>
      <c r="M380" s="846"/>
      <c r="N380" s="846"/>
      <c r="O380" s="611"/>
      <c r="P380" s="322"/>
      <c r="Q380" s="229"/>
      <c r="R380" s="229"/>
      <c r="S380" s="229"/>
      <c r="T380" s="229"/>
      <c r="U380" s="323"/>
      <c r="V380" s="397">
        <f>(V379+V15)/2</f>
        <v>22.994857765353899</v>
      </c>
      <c r="W380" s="804"/>
      <c r="X380" s="612"/>
      <c r="Y380" s="387"/>
      <c r="Z380" s="387"/>
      <c r="AA380" s="388"/>
      <c r="AB380" s="234"/>
      <c r="AC380" s="613"/>
      <c r="AD380" s="322"/>
      <c r="AE380" s="229"/>
      <c r="AF380" s="229"/>
      <c r="AG380" s="229"/>
      <c r="AH380" s="229"/>
      <c r="AI380" s="614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1.7204585186909038</v>
      </c>
      <c r="C381" s="375"/>
      <c r="D381" s="373">
        <f>MIN(D15:D380)</f>
        <v>1.842865767045452</v>
      </c>
      <c r="E381" s="373">
        <f>MIN(E15:E380)</f>
        <v>1.8936556067273835</v>
      </c>
      <c r="F381" s="374">
        <f>MIN(F15:F380)</f>
        <v>1.8936556067273835</v>
      </c>
      <c r="G381" s="125">
        <f>+MIN(G15:G380)</f>
        <v>6.8503961443845338E-2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6.6238177126627273E-2</v>
      </c>
      <c r="M381" s="847"/>
      <c r="N381" s="847"/>
      <c r="O381" s="47">
        <f t="shared" si="152"/>
        <v>2.6142030543304832E-2</v>
      </c>
      <c r="P381" s="168">
        <f t="shared" si="152"/>
        <v>3.0201796105361953E-7</v>
      </c>
      <c r="Q381" s="310">
        <f t="shared" si="152"/>
        <v>0.5</v>
      </c>
      <c r="R381" s="311">
        <f t="shared" si="152"/>
        <v>5.6500363537892451E-4</v>
      </c>
      <c r="S381" s="811">
        <f t="shared" si="152"/>
        <v>-2</v>
      </c>
      <c r="T381" s="176">
        <f t="shared" si="152"/>
        <v>4</v>
      </c>
      <c r="U381" s="252">
        <f>MIN(U15:U380)</f>
        <v>-1.0275977579295004</v>
      </c>
      <c r="V381" s="57">
        <f>MIN(V15:V380)</f>
        <v>21.643892056147546</v>
      </c>
      <c r="W381" s="58"/>
      <c r="X381" s="112" t="s">
        <v>7</v>
      </c>
      <c r="Y381" s="373">
        <f>MIN(Y15:Y380)</f>
        <v>1.6488802885827061</v>
      </c>
      <c r="Z381" s="373">
        <f>MIN(Z15:Z380)</f>
        <v>1.7661948862895072</v>
      </c>
      <c r="AA381" s="373">
        <f>MIN(AA15:AA380)</f>
        <v>1.8936556067273835</v>
      </c>
      <c r="AB381" s="200" t="s">
        <v>7</v>
      </c>
      <c r="AC381" s="47">
        <f t="shared" ref="AC381:AH381" si="153">MIN(AC15:AC380)</f>
        <v>6.6976514092851686E-2</v>
      </c>
      <c r="AD381" s="168">
        <f t="shared" si="153"/>
        <v>2.7445477192583034E-5</v>
      </c>
      <c r="AE381" s="310">
        <f t="shared" si="153"/>
        <v>0.5</v>
      </c>
      <c r="AF381" s="311">
        <f t="shared" si="153"/>
        <v>0.49738980844447855</v>
      </c>
      <c r="AG381" s="811">
        <f t="shared" si="153"/>
        <v>2</v>
      </c>
      <c r="AH381" s="176">
        <f t="shared" si="153"/>
        <v>8</v>
      </c>
      <c r="AI381" s="226">
        <f>MIN(AI15:AI380)</f>
        <v>2.4973898084444786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29.12941721437851</v>
      </c>
      <c r="C382" s="375"/>
      <c r="D382" s="375">
        <f>AVERAGE(D15:D380)</f>
        <v>31.316519273980123</v>
      </c>
      <c r="E382" s="375">
        <f>AVERAGE(E15:E380)</f>
        <v>32.606085978289393</v>
      </c>
      <c r="F382" s="376">
        <f>AVERAGE(F15:F380)</f>
        <v>32.607422235020316</v>
      </c>
      <c r="G382" s="126">
        <f>AVERAGE(G15:G380)</f>
        <v>0.67229865621741802</v>
      </c>
      <c r="H382" s="94"/>
      <c r="I382" s="376">
        <f>AVERAGE(I15:I380)</f>
        <v>43.922124875731825</v>
      </c>
      <c r="J382" s="59">
        <f>AVERAGE(J15:J380)</f>
        <v>2020.7322404371585</v>
      </c>
      <c r="K382" s="200" t="s">
        <v>8</v>
      </c>
      <c r="L382" s="147">
        <f t="shared" ref="L382:V382" si="154">AVERAGE(L15:L380)</f>
        <v>6.9950555997057851E-2</v>
      </c>
      <c r="M382" s="845"/>
      <c r="N382" s="845"/>
      <c r="O382" s="48">
        <f t="shared" si="154"/>
        <v>3.9548074488668469E-2</v>
      </c>
      <c r="P382" s="169">
        <f t="shared" si="154"/>
        <v>7.5985840369875073E-5</v>
      </c>
      <c r="Q382" s="312">
        <f t="shared" si="154"/>
        <v>0.5</v>
      </c>
      <c r="R382" s="177">
        <f t="shared" si="154"/>
        <v>0.50434063359019166</v>
      </c>
      <c r="S382" s="811">
        <f t="shared" si="154"/>
        <v>-1.252054794520548</v>
      </c>
      <c r="T382" s="176">
        <f t="shared" si="154"/>
        <v>4.7479452054794518</v>
      </c>
      <c r="U382" s="251">
        <f>AVERAGE(U15:U380)</f>
        <v>-0.74771416093035725</v>
      </c>
      <c r="V382" s="59">
        <f t="shared" si="154"/>
        <v>41.977088590358775</v>
      </c>
      <c r="X382" s="112" t="s">
        <v>8</v>
      </c>
      <c r="Y382" s="375">
        <f>AVERAGE(Y15:Y380)</f>
        <v>28.036373001540689</v>
      </c>
      <c r="Z382" s="375">
        <f>AVERAGE(Z15:Z380)</f>
        <v>30.141536759291903</v>
      </c>
      <c r="AA382" s="375">
        <f>AVERAGE(AA15:AA380)</f>
        <v>32.596295910643626</v>
      </c>
      <c r="AB382" s="200" t="s">
        <v>8</v>
      </c>
      <c r="AC382" s="48">
        <f t="shared" ref="AC382:AH382" si="155">AVERAGE(AC15:AC380)</f>
        <v>7.5004013279003606E-2</v>
      </c>
      <c r="AD382" s="169">
        <f t="shared" si="155"/>
        <v>6.113005358113012E-4</v>
      </c>
      <c r="AE382" s="312">
        <f t="shared" si="155"/>
        <v>0.5</v>
      </c>
      <c r="AF382" s="177">
        <f t="shared" si="155"/>
        <v>0.77727340544362311</v>
      </c>
      <c r="AG382" s="811">
        <f t="shared" si="155"/>
        <v>2</v>
      </c>
      <c r="AH382" s="176">
        <f t="shared" si="155"/>
        <v>8</v>
      </c>
      <c r="AI382" s="225">
        <f>AVERAGE(AI15:AI380)</f>
        <v>2.7772734054436206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55.874086049969016</v>
      </c>
      <c r="C383" s="377"/>
      <c r="D383" s="377">
        <f>MAX(D15:D380)</f>
        <v>60.031906266355485</v>
      </c>
      <c r="E383" s="377">
        <f>MAX(E15:E380)</f>
        <v>62.392492947956065</v>
      </c>
      <c r="F383" s="378">
        <f>MAX(F15:F380)</f>
        <v>62.396007956609452</v>
      </c>
      <c r="G383" s="127">
        <f>+MAX(G15:G380)</f>
        <v>1.0441658803409344</v>
      </c>
      <c r="H383" s="94"/>
      <c r="I383" s="378">
        <f>MAX(I15:I380)</f>
        <v>66.115436428019962</v>
      </c>
      <c r="J383" s="60">
        <f>MAX(J15:J380)</f>
        <v>2027</v>
      </c>
      <c r="K383" s="200" t="s">
        <v>9</v>
      </c>
      <c r="L383" s="148">
        <f t="shared" ref="L383:T383" si="156">MAX(L15:L380)</f>
        <v>7.365310920472623E-2</v>
      </c>
      <c r="M383" s="848"/>
      <c r="N383" s="848"/>
      <c r="O383" s="49">
        <f t="shared" si="156"/>
        <v>4.9878163550148555E-2</v>
      </c>
      <c r="P383" s="170">
        <f t="shared" si="156"/>
        <v>2.4380450818513387E-4</v>
      </c>
      <c r="Q383" s="313">
        <f t="shared" si="156"/>
        <v>0.5</v>
      </c>
      <c r="R383" s="314">
        <f t="shared" si="156"/>
        <v>0.99946741883056545</v>
      </c>
      <c r="S383" s="812">
        <f t="shared" si="156"/>
        <v>-1</v>
      </c>
      <c r="T383" s="233">
        <f t="shared" si="156"/>
        <v>5</v>
      </c>
      <c r="U383" s="253">
        <f>MAX(U15:U380)</f>
        <v>-0.52759903096567129</v>
      </c>
      <c r="V383" s="60">
        <f>MAX(V15:V380)</f>
        <v>57.091401200103341</v>
      </c>
      <c r="X383" s="112" t="s">
        <v>9</v>
      </c>
      <c r="Y383" s="377">
        <f>MAX(Y15:Y380)</f>
        <v>53.716428937631541</v>
      </c>
      <c r="Z383" s="377">
        <f>MAX(Z15:Z380)</f>
        <v>57.713689026847717</v>
      </c>
      <c r="AA383" s="377">
        <f>MAX(AA15:AA380)</f>
        <v>62.363346464359189</v>
      </c>
      <c r="AB383" s="200" t="s">
        <v>9</v>
      </c>
      <c r="AC383" s="49">
        <f t="shared" ref="AC383:AH383" si="157">MAX(AC15:AC380)</f>
        <v>7.9607980635894693E-2</v>
      </c>
      <c r="AD383" s="170">
        <f t="shared" si="157"/>
        <v>1.3658476153855551E-3</v>
      </c>
      <c r="AE383" s="313">
        <f t="shared" si="157"/>
        <v>0.5</v>
      </c>
      <c r="AF383" s="314">
        <f t="shared" si="157"/>
        <v>0.99738853540830741</v>
      </c>
      <c r="AG383" s="812">
        <f t="shared" si="157"/>
        <v>2</v>
      </c>
      <c r="AH383" s="233">
        <f t="shared" si="157"/>
        <v>8</v>
      </c>
      <c r="AI383" s="227">
        <f>MAX(AI15:AI380)</f>
        <v>2.9973885354083074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6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3" sqref="A83:Z9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4" customWidth="1"/>
    <col min="14" max="14" width="9.140625" style="63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76" customWidth="1"/>
    <col min="50" max="51" width="6.85546875" style="15" customWidth="1"/>
    <col min="52" max="16384" width="11.42578125" style="15"/>
  </cols>
  <sheetData>
    <row r="1" spans="1:49" ht="21.75" thickBot="1" x14ac:dyDescent="0.4">
      <c r="A1" s="661" t="str">
        <f>"Calcul Masques  "&amp;Station</f>
        <v>Calcul Masques  Garderie Labège</v>
      </c>
      <c r="B1" s="1211" t="str">
        <f>Station</f>
        <v>Garderie Labège</v>
      </c>
      <c r="C1" s="1212"/>
      <c r="D1" s="1212"/>
      <c r="E1" s="1212"/>
      <c r="F1" s="1213"/>
      <c r="H1" s="22" t="s">
        <v>281</v>
      </c>
      <c r="I1" s="1222">
        <v>44600</v>
      </c>
      <c r="J1" s="1223"/>
      <c r="K1" s="889"/>
      <c r="M1" s="791" t="s">
        <v>171</v>
      </c>
      <c r="N1" s="663"/>
      <c r="O1" s="664"/>
      <c r="P1" s="664"/>
      <c r="Q1" s="663"/>
      <c r="R1" s="663"/>
      <c r="S1" s="665"/>
      <c r="T1" s="666"/>
      <c r="U1" s="665"/>
      <c r="V1" s="663"/>
      <c r="W1" s="665"/>
      <c r="X1" s="663"/>
      <c r="Y1" s="15"/>
      <c r="AA1" s="15"/>
    </row>
    <row r="2" spans="1:49" s="6" customFormat="1" ht="12.75" customHeight="1" thickBot="1" x14ac:dyDescent="0.25">
      <c r="A2" s="573"/>
      <c r="C2" s="667"/>
      <c r="D2" s="668"/>
      <c r="E2" s="1034"/>
      <c r="F2" s="1034"/>
      <c r="G2" s="26"/>
      <c r="H2" s="25"/>
      <c r="L2" s="8"/>
      <c r="P2" s="1126"/>
      <c r="Q2" s="565"/>
      <c r="R2" s="565"/>
      <c r="S2" s="1121"/>
      <c r="T2" s="1121"/>
      <c r="U2" s="565"/>
      <c r="V2" s="1121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</row>
    <row r="3" spans="1:49" ht="16.5" thickBot="1" x14ac:dyDescent="0.3">
      <c r="A3" s="669" t="s">
        <v>312</v>
      </c>
      <c r="B3" s="670"/>
      <c r="C3" s="670"/>
      <c r="E3" s="1035"/>
      <c r="F3" s="1036" t="s">
        <v>191</v>
      </c>
      <c r="G3" s="20"/>
      <c r="H3" s="22" t="s">
        <v>15</v>
      </c>
      <c r="I3" s="890">
        <v>0.33</v>
      </c>
      <c r="J3" s="891">
        <f>DEGREES(ATAN(I3))</f>
        <v>18.262889942194128</v>
      </c>
      <c r="K3" s="891"/>
      <c r="L3" s="562" t="s">
        <v>303</v>
      </c>
      <c r="M3" s="892" t="s">
        <v>135</v>
      </c>
      <c r="P3" s="1127"/>
      <c r="Q3" s="1127"/>
      <c r="R3" s="1127"/>
      <c r="S3" s="1128"/>
      <c r="T3" s="1128"/>
      <c r="U3" s="1129"/>
      <c r="V3" s="1128"/>
      <c r="W3" s="1129"/>
      <c r="X3" s="1129"/>
      <c r="Y3" s="1129"/>
      <c r="Z3" s="1129"/>
      <c r="AA3" s="1129"/>
      <c r="AB3" s="1129"/>
      <c r="AC3" s="1129"/>
      <c r="AD3" s="1129"/>
      <c r="AE3" s="1129"/>
      <c r="AF3" s="1129"/>
    </row>
    <row r="4" spans="1:49" s="25" customFormat="1" ht="12" thickBot="1" x14ac:dyDescent="0.25">
      <c r="A4" s="671" t="s">
        <v>139</v>
      </c>
      <c r="B4" s="893" t="s">
        <v>140</v>
      </c>
      <c r="C4" s="893" t="s">
        <v>141</v>
      </c>
      <c r="D4" s="893" t="s">
        <v>142</v>
      </c>
      <c r="E4" s="894" t="s">
        <v>169</v>
      </c>
      <c r="F4" s="672" t="s">
        <v>190</v>
      </c>
      <c r="I4" s="6"/>
      <c r="J4" s="895"/>
      <c r="K4" s="895"/>
      <c r="L4" s="6"/>
      <c r="O4" s="895" t="s">
        <v>282</v>
      </c>
      <c r="P4" s="1130"/>
      <c r="Q4" s="1131"/>
      <c r="R4" s="565"/>
      <c r="S4" s="1130"/>
      <c r="T4" s="1121"/>
      <c r="U4" s="565"/>
      <c r="V4" s="1121"/>
      <c r="W4" s="565"/>
      <c r="X4" s="1130"/>
      <c r="Y4" s="1130"/>
      <c r="Z4" s="1130"/>
      <c r="AA4" s="1130"/>
      <c r="AB4" s="1130"/>
      <c r="AC4" s="1130"/>
      <c r="AD4" s="1130"/>
      <c r="AE4" s="1130"/>
      <c r="AF4" s="1130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</row>
    <row r="5" spans="1:49" ht="16.5" thickBot="1" x14ac:dyDescent="0.3">
      <c r="A5" s="673" t="s">
        <v>143</v>
      </c>
      <c r="B5" s="896">
        <v>2</v>
      </c>
      <c r="C5" s="897">
        <v>15</v>
      </c>
      <c r="D5" s="171">
        <f>+C5*B5</f>
        <v>30</v>
      </c>
      <c r="E5" s="898">
        <v>0.3</v>
      </c>
      <c r="F5" s="674">
        <f>+D5*E5</f>
        <v>9</v>
      </c>
      <c r="G5" s="634"/>
      <c r="H5" s="22" t="s">
        <v>283</v>
      </c>
      <c r="I5" s="892">
        <f>+Azi_pvD-90</f>
        <v>-39</v>
      </c>
      <c r="J5" s="891"/>
      <c r="K5" s="891"/>
      <c r="L5" s="22" t="s">
        <v>284</v>
      </c>
      <c r="M5" s="892">
        <v>51</v>
      </c>
      <c r="N5" s="899">
        <f>+IF($M$3="G",Azi_pvG,Azi_pvD)</f>
        <v>51</v>
      </c>
      <c r="O5" s="900">
        <f>90-$J$3</f>
        <v>71.737110057805864</v>
      </c>
      <c r="P5" s="1132"/>
      <c r="Q5" s="1128"/>
      <c r="R5" s="1133"/>
      <c r="S5" s="1128"/>
      <c r="T5" s="1128"/>
      <c r="U5" s="1129"/>
      <c r="V5" s="1128"/>
      <c r="W5" s="1129"/>
      <c r="X5" s="1129"/>
      <c r="Y5" s="1129"/>
      <c r="Z5" s="1129"/>
      <c r="AA5" s="1129"/>
      <c r="AB5" s="1129"/>
      <c r="AC5" s="1129"/>
      <c r="AD5" s="1134"/>
      <c r="AE5" s="1134"/>
      <c r="AF5" s="1129"/>
    </row>
    <row r="6" spans="1:49" s="6" customFormat="1" ht="11.25" x14ac:dyDescent="0.2">
      <c r="A6" s="562" t="s">
        <v>138</v>
      </c>
      <c r="B6" s="8">
        <f>1.776+0.002+0.01</f>
        <v>1.788</v>
      </c>
      <c r="C6" s="8">
        <f>1.052+0.002+0.01</f>
        <v>1.0640000000000001</v>
      </c>
      <c r="E6" s="633"/>
      <c r="F6" s="599"/>
      <c r="G6" s="25"/>
      <c r="N6" s="18"/>
      <c r="P6" s="565"/>
      <c r="Q6" s="565"/>
      <c r="R6" s="1121"/>
      <c r="S6" s="1122"/>
      <c r="T6" s="1121"/>
      <c r="U6" s="565"/>
      <c r="V6" s="1121"/>
      <c r="W6" s="565"/>
      <c r="X6" s="565"/>
      <c r="Y6" s="565"/>
      <c r="Z6" s="565"/>
      <c r="AA6" s="565"/>
      <c r="AB6" s="565"/>
      <c r="AC6" s="565"/>
      <c r="AD6" s="1134"/>
      <c r="AE6" s="1134"/>
      <c r="AF6" s="565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</row>
    <row r="7" spans="1:49" s="6" customFormat="1" ht="19.5" thickBot="1" x14ac:dyDescent="0.35">
      <c r="A7" s="16" t="s">
        <v>164</v>
      </c>
      <c r="D7" s="675"/>
      <c r="F7" s="8"/>
      <c r="G7" s="26"/>
      <c r="H7" s="565"/>
      <c r="I7" s="565"/>
      <c r="M7" s="676" t="s">
        <v>144</v>
      </c>
      <c r="N7" s="26"/>
      <c r="O7" s="18"/>
      <c r="P7" s="18"/>
      <c r="S7" s="676" t="s">
        <v>144</v>
      </c>
      <c r="U7" s="26"/>
      <c r="V7" s="1121"/>
      <c r="W7" s="565"/>
      <c r="X7" s="565"/>
      <c r="Y7" s="1135"/>
      <c r="Z7" s="1122"/>
      <c r="AA7" s="565"/>
      <c r="AB7" s="565"/>
      <c r="AC7" s="565"/>
      <c r="AD7" s="565"/>
      <c r="AE7" s="565"/>
      <c r="AF7" s="565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</row>
    <row r="8" spans="1:49" s="19" customFormat="1" ht="16.5" thickBot="1" x14ac:dyDescent="0.3">
      <c r="A8" s="669" t="s">
        <v>305</v>
      </c>
      <c r="D8" s="105"/>
      <c r="E8" s="901">
        <v>2.84</v>
      </c>
      <c r="F8" s="678" t="s">
        <v>237</v>
      </c>
      <c r="H8" s="29"/>
      <c r="I8" s="31"/>
      <c r="L8" s="677" t="s">
        <v>172</v>
      </c>
      <c r="M8" s="29"/>
      <c r="O8" s="29"/>
      <c r="P8" s="34"/>
      <c r="R8" s="677" t="s">
        <v>173</v>
      </c>
      <c r="S8" s="29"/>
      <c r="U8" s="29"/>
      <c r="V8" s="29"/>
      <c r="Y8" s="677" t="s">
        <v>174</v>
      </c>
      <c r="Z8" s="67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9" t="s">
        <v>175</v>
      </c>
      <c r="B9" s="902" t="s">
        <v>176</v>
      </c>
      <c r="C9" s="902" t="s">
        <v>177</v>
      </c>
      <c r="D9" s="902" t="s">
        <v>180</v>
      </c>
      <c r="E9" s="903" t="s">
        <v>181</v>
      </c>
      <c r="F9" s="679" t="s">
        <v>178</v>
      </c>
      <c r="G9" s="679" t="s">
        <v>179</v>
      </c>
      <c r="H9" s="680" t="s">
        <v>147</v>
      </c>
      <c r="I9" s="681" t="s">
        <v>182</v>
      </c>
      <c r="L9" s="682" t="s">
        <v>149</v>
      </c>
      <c r="M9" s="690" t="s">
        <v>150</v>
      </c>
      <c r="N9" s="690" t="s">
        <v>151</v>
      </c>
      <c r="O9" s="690" t="s">
        <v>152</v>
      </c>
      <c r="P9" s="34"/>
      <c r="R9" s="682" t="s">
        <v>149</v>
      </c>
      <c r="S9" s="690" t="s">
        <v>150</v>
      </c>
      <c r="T9" s="690" t="s">
        <v>151</v>
      </c>
      <c r="U9" s="690" t="s">
        <v>152</v>
      </c>
      <c r="V9" s="560"/>
      <c r="W9" s="796" t="s">
        <v>351</v>
      </c>
      <c r="X9" s="560"/>
      <c r="Y9" s="560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92" t="s">
        <v>353</v>
      </c>
      <c r="B10" s="904">
        <v>3.18</v>
      </c>
      <c r="C10" s="905">
        <v>-3.14</v>
      </c>
      <c r="D10" s="904">
        <f>Hrm*B10/(B10-C10)</f>
        <v>1.4289873417721519</v>
      </c>
      <c r="E10" s="905">
        <f>+D10*C10/B10</f>
        <v>-1.4110126582278482</v>
      </c>
      <c r="F10" s="906">
        <f>DEGREES(ATAN2(H10,D10))</f>
        <v>1.1894015784779228</v>
      </c>
      <c r="G10" s="906">
        <f>DEGREES(ATAN2(H10,E10))</f>
        <v>-1.1744447693932147</v>
      </c>
      <c r="H10" s="556">
        <f>SQRT(POWER(N10-T$10,2)+POWER(M10-S$10,2))</f>
        <v>68.827201744659106</v>
      </c>
      <c r="I10" s="684">
        <f>(F10-G10)/(B10-C10)</f>
        <v>0.37402632086568632</v>
      </c>
      <c r="J10" s="43"/>
      <c r="K10" s="43"/>
      <c r="L10" s="793" t="str">
        <f>A10</f>
        <v>Toit préfabriqué blanc</v>
      </c>
      <c r="M10" s="907">
        <v>668.43</v>
      </c>
      <c r="N10" s="908">
        <v>658.48</v>
      </c>
      <c r="O10" s="909">
        <v>156.9</v>
      </c>
      <c r="P10" s="823"/>
      <c r="Q10" s="823"/>
      <c r="R10" s="794" t="s">
        <v>352</v>
      </c>
      <c r="S10" s="907">
        <v>708.64</v>
      </c>
      <c r="T10" s="908">
        <v>602.62</v>
      </c>
      <c r="U10" s="909">
        <v>157.09</v>
      </c>
      <c r="V10" s="685" t="s">
        <v>183</v>
      </c>
      <c r="W10" s="910">
        <f>1.55-0.03</f>
        <v>1.52</v>
      </c>
      <c r="X10" s="823" t="s">
        <v>85</v>
      </c>
      <c r="Y10" s="623" t="s">
        <v>346</v>
      </c>
      <c r="Z10" s="626"/>
      <c r="AA10" s="560"/>
      <c r="AB10" s="560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92" t="s">
        <v>354</v>
      </c>
      <c r="B11" s="911">
        <v>0.24</v>
      </c>
      <c r="C11" s="912">
        <v>-2.79</v>
      </c>
      <c r="D11" s="911">
        <f>2.46*B11/(B11-C11)</f>
        <v>0.1948514851485148</v>
      </c>
      <c r="E11" s="912">
        <f>+D11*C11/B11</f>
        <v>-2.2651485148514849</v>
      </c>
      <c r="F11" s="906">
        <f>DEGREES(ATAN2(H11,D11))</f>
        <v>0.45027440048555711</v>
      </c>
      <c r="G11" s="906">
        <f>DEGREES(ATAN2(H11,E11))</f>
        <v>-5.2200564970209653</v>
      </c>
      <c r="H11" s="556">
        <f>SQRT(POWER(N11-T$11,2)+POWER(M11-S$11,2))</f>
        <v>24.793632247010578</v>
      </c>
      <c r="I11" s="684">
        <f>(F11-G11)/(B11-C11)</f>
        <v>1.8713963358107333</v>
      </c>
      <c r="J11" s="117"/>
      <c r="K11" s="43"/>
      <c r="L11" s="793" t="str">
        <f>A11</f>
        <v>poteau gauche box poubelle</v>
      </c>
      <c r="M11" s="913">
        <v>597.63</v>
      </c>
      <c r="N11" s="627">
        <v>729.54</v>
      </c>
      <c r="O11" s="914">
        <v>156.51</v>
      </c>
      <c r="P11" s="824"/>
      <c r="Q11" s="824"/>
      <c r="R11" s="795" t="s">
        <v>349</v>
      </c>
      <c r="S11" s="913">
        <v>609.82000000000005</v>
      </c>
      <c r="T11" s="627">
        <v>751.13</v>
      </c>
      <c r="U11" s="914">
        <v>157.16</v>
      </c>
      <c r="V11" s="686" t="s">
        <v>184</v>
      </c>
      <c r="W11" s="915">
        <f>+Hobs1-U10+U11</f>
        <v>1.5900000000000034</v>
      </c>
      <c r="X11" s="824" t="s">
        <v>85</v>
      </c>
      <c r="Y11" s="624" t="s">
        <v>347</v>
      </c>
      <c r="Z11" s="626"/>
      <c r="AA11" s="560"/>
      <c r="AB11" s="560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92" t="s">
        <v>355</v>
      </c>
      <c r="B12" s="916">
        <v>1.73</v>
      </c>
      <c r="C12" s="917">
        <v>-3.41</v>
      </c>
      <c r="D12" s="916">
        <f>2.82*B12/(B12-C12)</f>
        <v>0.94914396887159513</v>
      </c>
      <c r="E12" s="917">
        <f>+D12*C12/B12</f>
        <v>-1.8708560311284044</v>
      </c>
      <c r="F12" s="906">
        <f>DEGREES(ATAN2(H12,D12))</f>
        <v>2.0709004119397054</v>
      </c>
      <c r="G12" s="906">
        <f>DEGREES(ATAN2(H12,E12))</f>
        <v>-4.0768325018420173</v>
      </c>
      <c r="H12" s="556">
        <f>SQRT(POWER(N12-T$12,2)+POWER(M12-S$12,2))</f>
        <v>26.248611391843287</v>
      </c>
      <c r="I12" s="684">
        <f>(F12-G12)/(B12-C12)</f>
        <v>1.1960569871170665</v>
      </c>
      <c r="J12" s="117"/>
      <c r="K12" s="43"/>
      <c r="L12" s="793" t="str">
        <f>A12</f>
        <v>Panneau sans issue</v>
      </c>
      <c r="M12" s="918">
        <v>637.55999999999995</v>
      </c>
      <c r="N12" s="919">
        <v>680.59</v>
      </c>
      <c r="O12" s="920">
        <v>156.43</v>
      </c>
      <c r="P12" s="824"/>
      <c r="Q12" s="824"/>
      <c r="R12" s="795" t="s">
        <v>350</v>
      </c>
      <c r="S12" s="918">
        <v>659.7</v>
      </c>
      <c r="T12" s="919">
        <v>666.49</v>
      </c>
      <c r="U12" s="920">
        <v>156.72999999999999</v>
      </c>
      <c r="V12" s="686" t="s">
        <v>238</v>
      </c>
      <c r="W12" s="921">
        <f>+Hobs1-U10+U12+0.06</f>
        <v>1.2199999999999966</v>
      </c>
      <c r="X12" s="824" t="s">
        <v>85</v>
      </c>
      <c r="Y12" s="624" t="s">
        <v>348</v>
      </c>
      <c r="Z12" s="626"/>
      <c r="AA12" s="560"/>
      <c r="AB12" s="560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2"/>
      <c r="C13" s="1112" t="s">
        <v>333</v>
      </c>
      <c r="D13" s="10" t="e">
        <f>Hrm*B13/(B13-C13)</f>
        <v>#VALUE!</v>
      </c>
      <c r="E13" s="1113" t="e">
        <f>+D13*C13/B13</f>
        <v>#VALUE!</v>
      </c>
      <c r="F13" s="565"/>
      <c r="G13" s="1117"/>
      <c r="H13" s="1118"/>
      <c r="I13" s="1119"/>
      <c r="J13" s="565"/>
      <c r="K13" s="565"/>
      <c r="L13" s="565"/>
      <c r="O13" s="18"/>
      <c r="P13" s="1120"/>
      <c r="Q13" s="565"/>
      <c r="R13" s="565"/>
      <c r="U13" s="797"/>
      <c r="V13" s="26"/>
      <c r="Y13" s="1121"/>
      <c r="Z13" s="1122"/>
      <c r="AA13" s="1123"/>
      <c r="AB13" s="1124"/>
      <c r="AC13" s="1125"/>
      <c r="AD13" s="1124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</row>
    <row r="14" spans="1:49" s="19" customFormat="1" ht="15.75" x14ac:dyDescent="0.25">
      <c r="A14" s="669" t="s">
        <v>162</v>
      </c>
      <c r="B14" s="689"/>
      <c r="C14" s="28"/>
      <c r="D14" s="676" t="s">
        <v>306</v>
      </c>
      <c r="E14" s="71"/>
      <c r="F14" s="82"/>
      <c r="G14" s="894" t="s">
        <v>186</v>
      </c>
      <c r="K14" s="1022" t="s">
        <v>307</v>
      </c>
      <c r="L14" s="1021">
        <f>+CHOOSE(N14,L16,L17,L18,L19)</f>
        <v>6.3844887990947772</v>
      </c>
      <c r="M14" s="136" t="s">
        <v>286</v>
      </c>
      <c r="N14" s="922">
        <f>IF(M3="D",3,IF(M3="C",2,1))</f>
        <v>3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90" t="s">
        <v>149</v>
      </c>
      <c r="B15" s="691" t="s">
        <v>185</v>
      </c>
      <c r="C15" s="690" t="s">
        <v>145</v>
      </c>
      <c r="D15" s="690" t="s">
        <v>150</v>
      </c>
      <c r="E15" s="690" t="s">
        <v>151</v>
      </c>
      <c r="F15" s="1033" t="s">
        <v>287</v>
      </c>
      <c r="G15" s="1032" t="s">
        <v>187</v>
      </c>
      <c r="H15" s="690" t="s">
        <v>153</v>
      </c>
      <c r="I15" s="690" t="s">
        <v>155</v>
      </c>
      <c r="J15" s="690" t="s">
        <v>146</v>
      </c>
      <c r="K15" s="690" t="s">
        <v>147</v>
      </c>
      <c r="L15" s="690" t="s">
        <v>148</v>
      </c>
      <c r="M15" s="690" t="s">
        <v>154</v>
      </c>
      <c r="N15" s="69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74" t="s">
        <v>299</v>
      </c>
      <c r="B16" s="923">
        <v>1</v>
      </c>
      <c r="C16" s="983">
        <v>5.47</v>
      </c>
      <c r="D16" s="924">
        <v>606.84</v>
      </c>
      <c r="E16" s="924">
        <v>693.06</v>
      </c>
      <c r="F16" s="996"/>
      <c r="G16" s="1000"/>
      <c r="H16" s="1000"/>
      <c r="I16" s="1000"/>
      <c r="J16" s="1007">
        <f>IF(B16="",0,C16*CHOOSE(B16,Rata1,Rata2,Rata3))</f>
        <v>2.0459239751353042</v>
      </c>
      <c r="K16" s="1002">
        <f>IF(B16="",0,SQRT(+POWER(D16-CHOOSE(B16,$S$10,$S$11,$S$12),2)+POWER(E16-CHOOSE(B16,$T$10,$T$11,$T$12),2)))</f>
        <v>136.17133912832017</v>
      </c>
      <c r="L16" s="1137">
        <f>IF(B16="",0,K16*TAN(RADIANS(J16))+CHOOSE(B16,Hobs1,Hobs2,Hobs3))</f>
        <v>6.3844887990947772</v>
      </c>
      <c r="M16" s="1008"/>
      <c r="N16" s="1017" t="str">
        <f t="shared" ref="N16:N43" si="0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75" t="s">
        <v>299</v>
      </c>
      <c r="B17" s="925">
        <v>3</v>
      </c>
      <c r="C17" s="984">
        <v>4.17</v>
      </c>
      <c r="D17" s="926">
        <v>606.84</v>
      </c>
      <c r="E17" s="926">
        <v>693.06</v>
      </c>
      <c r="F17" s="997"/>
      <c r="G17" s="987"/>
      <c r="H17" s="987"/>
      <c r="I17" s="987"/>
      <c r="J17" s="1009">
        <f>IF(B17="",0,C17*CHOOSE(B17,Rata1,Rata2,Rata3))</f>
        <v>4.9875576362781677</v>
      </c>
      <c r="K17" s="1004">
        <f>IF(B17="",0,SQRT(+POWER(D17-CHOOSE(B17,$S$10,$S$11,$S$12),2)+POWER(E17-CHOOSE(B17,$T$10,$T$11,$T$12),2)))</f>
        <v>59.162019066289467</v>
      </c>
      <c r="L17" s="1003">
        <f>IF(B17="",0,K17*TAN(RADIANS(J17))+CHOOSE(B17,Hobs1,Hobs2,Hobs3))</f>
        <v>6.3830602494241369</v>
      </c>
      <c r="M17" s="1010"/>
      <c r="N17" s="1018" t="str">
        <f t="shared" si="0"/>
        <v>Centre du champ PV G.: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75" t="s">
        <v>300</v>
      </c>
      <c r="B18" s="925"/>
      <c r="C18" s="984"/>
      <c r="D18" s="926">
        <v>595.05999999999995</v>
      </c>
      <c r="E18" s="926">
        <v>695.43</v>
      </c>
      <c r="F18" s="998"/>
      <c r="G18" s="988"/>
      <c r="H18" s="988"/>
      <c r="I18" s="988"/>
      <c r="J18" s="1009">
        <f>IF(B18="",0,C18*CHOOSE(B18,Rata1,Rata2,Rata3))</f>
        <v>0</v>
      </c>
      <c r="K18" s="1004">
        <f>IF(B18="",0,SQRT(+POWER(D18-CHOOSE(B18,$S$10,$S$11,$S$12),2)+POWER(E18-CHOOSE(B18,$T$10,$T$11,$T$12),2)))</f>
        <v>0</v>
      </c>
      <c r="L18" s="1136">
        <f>+L16</f>
        <v>6.3844887990947772</v>
      </c>
      <c r="M18" s="1010"/>
      <c r="N18" s="1018" t="str">
        <f t="shared" si="0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76"/>
      <c r="B19" s="973"/>
      <c r="C19" s="1012"/>
      <c r="D19" s="977"/>
      <c r="E19" s="978"/>
      <c r="F19" s="999"/>
      <c r="G19" s="989"/>
      <c r="H19" s="989"/>
      <c r="I19" s="989"/>
      <c r="J19" s="1011">
        <f>IF(B19="",0,C19*CHOOSE(B19,Rata1,Rata2,Rata3))</f>
        <v>0</v>
      </c>
      <c r="K19" s="1006">
        <f>IF(B19="",0,SQRT(+POWER(D19-CHOOSE(B19,$S$10,$S$11,$S$12),2)+POWER(E19-CHOOSE(B19,$T$10,$T$11,$T$12),2)))</f>
        <v>0</v>
      </c>
      <c r="L19" s="1005">
        <f>IF(B19="",0,K19*TAN(RADIANS(J19))+CHOOSE(B19,Hobs1,Hobs2,Hobs3))</f>
        <v>0</v>
      </c>
      <c r="M19" s="1013"/>
      <c r="N19" s="1019">
        <f t="shared" si="0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27" t="s">
        <v>163</v>
      </c>
      <c r="B20" s="925"/>
      <c r="C20" s="984"/>
      <c r="D20" s="926"/>
      <c r="E20" s="926"/>
      <c r="F20" s="986"/>
      <c r="G20" s="1014">
        <f t="shared" ref="G20:G42" si="1">IF(AND(H20=H21,H20&gt;=Azi_pv_sel+90),"",P58-P57)</f>
        <v>90</v>
      </c>
      <c r="H20" s="990">
        <f>+Azi_pv_sel-180</f>
        <v>-129</v>
      </c>
      <c r="I20" s="991">
        <f>J3</f>
        <v>18.262889942194128</v>
      </c>
      <c r="J20" s="1009">
        <f t="shared" ref="J20:J42" si="2">IF(B20="",0,C20*CHOOSE(B20,Rata1,Rata2,Rata3))</f>
        <v>0</v>
      </c>
      <c r="K20" s="1004">
        <f t="shared" ref="K20:K42" si="3">IF(B20="",0,SQRT(+POWER(D20-CHOOSE(B20,$S$10,$S$11,$S$12),2)+POWER(E20-CHOOSE(B20,$T$10,$T$11,$T$12),2)))</f>
        <v>0</v>
      </c>
      <c r="L20" s="1003">
        <f t="shared" ref="L20:L42" si="4">IF(B20="",0,K20*TAN(RADIANS(J20))+CHOOSE(B20,Hobs1,Hobs2,Hobs3))</f>
        <v>0</v>
      </c>
      <c r="M20" s="1004">
        <f t="shared" ref="M20:M42" si="5">IF(B20="",0,SQRT(POWER($E20-CHOOSE($N$14,E$16,E$17,E$18,E$19),2)+POWER($D20-CHOOSE($N$14,D$16,D$17,D$18,D$19),2)))</f>
        <v>0</v>
      </c>
      <c r="N20" s="1015" t="str">
        <f t="shared" si="0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27" t="s">
        <v>288</v>
      </c>
      <c r="B21" s="925"/>
      <c r="C21" s="984"/>
      <c r="D21" s="926"/>
      <c r="E21" s="926"/>
      <c r="F21" s="986"/>
      <c r="G21" s="1014">
        <f t="shared" si="1"/>
        <v>25.798688363531468</v>
      </c>
      <c r="H21" s="992">
        <f>+Azi_pv_sel-90</f>
        <v>-39</v>
      </c>
      <c r="I21" s="993">
        <v>1</v>
      </c>
      <c r="J21" s="1009">
        <f t="shared" si="2"/>
        <v>0</v>
      </c>
      <c r="K21" s="1004">
        <f t="shared" si="3"/>
        <v>0</v>
      </c>
      <c r="L21" s="1003">
        <f t="shared" si="4"/>
        <v>0</v>
      </c>
      <c r="M21" s="1004">
        <f t="shared" si="5"/>
        <v>0</v>
      </c>
      <c r="N21" s="1015" t="str">
        <f t="shared" si="0"/>
        <v>Toiture D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27" t="s">
        <v>161</v>
      </c>
      <c r="B22" s="925">
        <v>1</v>
      </c>
      <c r="C22" s="984">
        <v>13.23</v>
      </c>
      <c r="D22" s="926">
        <v>616.08000000000004</v>
      </c>
      <c r="E22" s="926">
        <v>605.82000000000005</v>
      </c>
      <c r="F22" s="986"/>
      <c r="G22" s="1014">
        <f t="shared" si="1"/>
        <v>13.387300720010273</v>
      </c>
      <c r="H22" s="992">
        <f t="shared" ref="H22:H29" si="6">DEGREES(ATAN2(CHOOSE($N$14,E$16,E$17,E$18,E$19)-$E22,CHOOSE($N$14,D$16,D$17,D$18,D$19)-$D22))</f>
        <v>-13.201311636468532</v>
      </c>
      <c r="I22" s="993">
        <v>2</v>
      </c>
      <c r="J22" s="1009">
        <f t="shared" si="2"/>
        <v>4.9483682250530299</v>
      </c>
      <c r="K22" s="1004">
        <f t="shared" si="3"/>
        <v>92.615298952170903</v>
      </c>
      <c r="L22" s="1003">
        <f t="shared" si="4"/>
        <v>9.5386967465383972</v>
      </c>
      <c r="M22" s="1004">
        <f t="shared" si="5"/>
        <v>92.042340800307699</v>
      </c>
      <c r="N22" s="1015" t="str">
        <f t="shared" si="0"/>
        <v>Arbre 6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27" t="s">
        <v>339</v>
      </c>
      <c r="B23" s="925">
        <v>1</v>
      </c>
      <c r="C23" s="984">
        <v>10.02</v>
      </c>
      <c r="D23" s="926">
        <v>594.89</v>
      </c>
      <c r="E23" s="926">
        <v>643.05999999999995</v>
      </c>
      <c r="F23" s="986"/>
      <c r="G23" s="1014">
        <f t="shared" si="1"/>
        <v>34.663362636190861</v>
      </c>
      <c r="H23" s="992">
        <f t="shared" si="6"/>
        <v>0.18598908354174226</v>
      </c>
      <c r="I23" s="993">
        <f t="shared" ref="I23:I29" si="7">DEGREES(ATAN2(M23,$L23-L$14))</f>
        <v>3.3259528893225832</v>
      </c>
      <c r="J23" s="1009">
        <f t="shared" si="2"/>
        <v>3.7477437350741769</v>
      </c>
      <c r="K23" s="1004">
        <f t="shared" si="3"/>
        <v>120.72471205184129</v>
      </c>
      <c r="L23" s="1003">
        <f t="shared" si="4"/>
        <v>9.4279412156074258</v>
      </c>
      <c r="M23" s="1004">
        <f t="shared" si="5"/>
        <v>52.37027592060214</v>
      </c>
      <c r="N23" s="1015" t="str">
        <f t="shared" si="0"/>
        <v>Arbre 7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27" t="s">
        <v>340</v>
      </c>
      <c r="B24" s="925">
        <v>2</v>
      </c>
      <c r="C24" s="984">
        <v>2.56</v>
      </c>
      <c r="D24" s="926">
        <v>547.12</v>
      </c>
      <c r="E24" s="926">
        <v>626.58000000000004</v>
      </c>
      <c r="F24" s="986"/>
      <c r="G24" s="1014">
        <f t="shared" si="1"/>
        <v>20.562038058309248</v>
      </c>
      <c r="H24" s="992">
        <f t="shared" si="6"/>
        <v>34.849351719732603</v>
      </c>
      <c r="I24" s="993">
        <f t="shared" si="7"/>
        <v>4.696356714752798</v>
      </c>
      <c r="J24" s="1009">
        <f t="shared" si="2"/>
        <v>4.790774619675477</v>
      </c>
      <c r="K24" s="1004">
        <f t="shared" si="3"/>
        <v>139.4417172154732</v>
      </c>
      <c r="L24" s="1003">
        <f t="shared" si="4"/>
        <v>13.276638171546788</v>
      </c>
      <c r="M24" s="1004">
        <f t="shared" si="5"/>
        <v>83.896162605926037</v>
      </c>
      <c r="N24" s="1015" t="str">
        <f t="shared" si="0"/>
        <v>Arbre 8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27" t="s">
        <v>341</v>
      </c>
      <c r="B25" s="925">
        <v>2</v>
      </c>
      <c r="C25" s="984">
        <v>2.84</v>
      </c>
      <c r="D25" s="926">
        <v>522.26</v>
      </c>
      <c r="E25" s="926">
        <v>645.23</v>
      </c>
      <c r="F25" s="986" t="s">
        <v>135</v>
      </c>
      <c r="G25" s="1014">
        <f t="shared" si="1"/>
        <v>7.5009999999999977</v>
      </c>
      <c r="H25" s="992">
        <f t="shared" si="6"/>
        <v>55.411389778041851</v>
      </c>
      <c r="I25" s="993">
        <f t="shared" si="7"/>
        <v>5.1618397152417588</v>
      </c>
      <c r="J25" s="1009">
        <f t="shared" si="2"/>
        <v>5.3147655937024822</v>
      </c>
      <c r="K25" s="1004">
        <f t="shared" si="3"/>
        <v>137.41020195021912</v>
      </c>
      <c r="L25" s="1003">
        <f t="shared" si="4"/>
        <v>14.372876366164663</v>
      </c>
      <c r="M25" s="1004">
        <f t="shared" si="5"/>
        <v>88.430085378224007</v>
      </c>
      <c r="N25" s="1015" t="str">
        <f t="shared" si="0"/>
        <v>Arbre 9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27" t="s">
        <v>342</v>
      </c>
      <c r="B26" s="925">
        <v>2</v>
      </c>
      <c r="C26" s="984">
        <v>1.5</v>
      </c>
      <c r="D26" s="926">
        <v>569.26</v>
      </c>
      <c r="E26" s="926">
        <v>681.28</v>
      </c>
      <c r="F26" s="986"/>
      <c r="G26" s="1014">
        <f t="shared" si="1"/>
        <v>19.696391444055273</v>
      </c>
      <c r="H26" s="992">
        <f t="shared" si="6"/>
        <v>61.257451030248376</v>
      </c>
      <c r="I26" s="993">
        <f t="shared" si="7"/>
        <v>-1.6235761846460082</v>
      </c>
      <c r="J26" s="1009">
        <f t="shared" si="2"/>
        <v>2.8070945037161001</v>
      </c>
      <c r="K26" s="1004">
        <f t="shared" si="3"/>
        <v>80.772124523253737</v>
      </c>
      <c r="L26" s="1003">
        <f t="shared" si="4"/>
        <v>5.5504413293830446</v>
      </c>
      <c r="M26" s="1004">
        <f t="shared" si="5"/>
        <v>29.425541626281021</v>
      </c>
      <c r="N26" s="1015" t="str">
        <f t="shared" si="0"/>
        <v>Arbre 10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27" t="s">
        <v>343</v>
      </c>
      <c r="B27" s="925">
        <v>2</v>
      </c>
      <c r="C27" s="984">
        <v>2.4900000000000002</v>
      </c>
      <c r="D27" s="926">
        <v>542.64</v>
      </c>
      <c r="E27" s="926">
        <v>688.63</v>
      </c>
      <c r="F27" s="986"/>
      <c r="G27" s="1014">
        <f t="shared" si="1"/>
        <v>15.954624533878814</v>
      </c>
      <c r="H27" s="992">
        <f t="shared" si="6"/>
        <v>82.608781222097122</v>
      </c>
      <c r="I27" s="993">
        <f t="shared" si="7"/>
        <v>2.9073028621022723</v>
      </c>
      <c r="J27" s="1009">
        <f t="shared" si="2"/>
        <v>4.6597768761687259</v>
      </c>
      <c r="K27" s="1004">
        <f t="shared" si="3"/>
        <v>91.757301616819618</v>
      </c>
      <c r="L27" s="1003">
        <f t="shared" si="4"/>
        <v>9.06897572895652</v>
      </c>
      <c r="M27" s="1004">
        <f t="shared" si="5"/>
        <v>52.859213009654191</v>
      </c>
      <c r="N27" s="1015" t="str">
        <f t="shared" si="0"/>
        <v>Arbre 12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27" t="s">
        <v>344</v>
      </c>
      <c r="B28" s="925">
        <v>2</v>
      </c>
      <c r="C28" s="984">
        <v>1.7</v>
      </c>
      <c r="D28" s="926">
        <v>549.57000000000005</v>
      </c>
      <c r="E28" s="926">
        <v>702.28</v>
      </c>
      <c r="F28" s="986"/>
      <c r="G28" s="1014">
        <f t="shared" si="1"/>
        <v>10.865997888746477</v>
      </c>
      <c r="H28" s="992">
        <f t="shared" si="6"/>
        <v>98.563405755975936</v>
      </c>
      <c r="I28" s="993">
        <f t="shared" si="7"/>
        <v>-0.60180274032356051</v>
      </c>
      <c r="J28" s="1009">
        <f t="shared" si="2"/>
        <v>3.1813737708782464</v>
      </c>
      <c r="K28" s="1004">
        <f t="shared" si="3"/>
        <v>77.565359536329112</v>
      </c>
      <c r="L28" s="1003">
        <f t="shared" si="4"/>
        <v>5.9012828437274232</v>
      </c>
      <c r="M28" s="1004">
        <f t="shared" si="5"/>
        <v>46.002854259273853</v>
      </c>
      <c r="N28" s="1015" t="str">
        <f t="shared" si="0"/>
        <v>Arbre 11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27" t="s">
        <v>345</v>
      </c>
      <c r="B29" s="925">
        <v>2</v>
      </c>
      <c r="C29" s="984">
        <v>4.74</v>
      </c>
      <c r="D29" s="926">
        <v>518.94000000000005</v>
      </c>
      <c r="E29" s="926">
        <v>722.28</v>
      </c>
      <c r="F29" s="986"/>
      <c r="G29" s="1014">
        <f t="shared" si="1"/>
        <v>31.570596355277587</v>
      </c>
      <c r="H29" s="992">
        <f t="shared" si="6"/>
        <v>109.42940364472241</v>
      </c>
      <c r="I29" s="993">
        <f t="shared" si="7"/>
        <v>7.1227851388083225</v>
      </c>
      <c r="J29" s="1009">
        <f t="shared" si="2"/>
        <v>8.8704186317428757</v>
      </c>
      <c r="K29" s="1004">
        <f t="shared" si="3"/>
        <v>95.349341371610961</v>
      </c>
      <c r="L29" s="1003">
        <f t="shared" si="4"/>
        <v>16.470877154411461</v>
      </c>
      <c r="M29" s="1004">
        <f t="shared" si="5"/>
        <v>80.716645742993961</v>
      </c>
      <c r="N29" s="1015" t="str">
        <f t="shared" si="0"/>
        <v>Arbre 13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27" t="s">
        <v>288</v>
      </c>
      <c r="B30" s="925"/>
      <c r="C30" s="984"/>
      <c r="D30" s="926"/>
      <c r="E30" s="926"/>
      <c r="F30" s="986"/>
      <c r="G30" s="1014">
        <f t="shared" si="1"/>
        <v>90</v>
      </c>
      <c r="H30" s="992">
        <f>+Azi_pv_sel+90</f>
        <v>141</v>
      </c>
      <c r="I30" s="993">
        <v>1</v>
      </c>
      <c r="J30" s="1009">
        <f t="shared" si="2"/>
        <v>0</v>
      </c>
      <c r="K30" s="1004">
        <f t="shared" si="3"/>
        <v>0</v>
      </c>
      <c r="L30" s="1003">
        <f t="shared" si="4"/>
        <v>0</v>
      </c>
      <c r="M30" s="1004">
        <f t="shared" si="5"/>
        <v>0</v>
      </c>
      <c r="N30" s="1015" t="str">
        <f t="shared" si="0"/>
        <v>Toiture D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27" t="s">
        <v>163</v>
      </c>
      <c r="B31" s="925"/>
      <c r="C31" s="984"/>
      <c r="D31" s="926"/>
      <c r="E31" s="926"/>
      <c r="F31" s="986"/>
      <c r="G31" s="1014" t="str">
        <f t="shared" si="1"/>
        <v/>
      </c>
      <c r="H31" s="992">
        <f>+Azi_pv_sel+180</f>
        <v>231</v>
      </c>
      <c r="I31" s="993">
        <v>18.262889942194128</v>
      </c>
      <c r="J31" s="1009">
        <f t="shared" si="2"/>
        <v>0</v>
      </c>
      <c r="K31" s="1004">
        <f t="shared" si="3"/>
        <v>0</v>
      </c>
      <c r="L31" s="1003">
        <f t="shared" si="4"/>
        <v>0</v>
      </c>
      <c r="M31" s="1004">
        <f t="shared" si="5"/>
        <v>0</v>
      </c>
      <c r="N31" s="1015" t="str">
        <f t="shared" si="0"/>
        <v>Arrière PV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27"/>
      <c r="B32" s="925"/>
      <c r="C32" s="985"/>
      <c r="D32" s="926"/>
      <c r="E32" s="926"/>
      <c r="F32" s="986"/>
      <c r="G32" s="1014" t="str">
        <f t="shared" si="1"/>
        <v/>
      </c>
      <c r="H32" s="992">
        <f t="shared" ref="H32:I32" si="8">+H31</f>
        <v>231</v>
      </c>
      <c r="I32" s="993">
        <f t="shared" si="8"/>
        <v>18.262889942194128</v>
      </c>
      <c r="J32" s="1009">
        <f t="shared" si="2"/>
        <v>0</v>
      </c>
      <c r="K32" s="1004">
        <f t="shared" si="3"/>
        <v>0</v>
      </c>
      <c r="L32" s="1003">
        <f t="shared" si="4"/>
        <v>0</v>
      </c>
      <c r="M32" s="1004">
        <f t="shared" si="5"/>
        <v>0</v>
      </c>
      <c r="N32" s="1015">
        <f t="shared" si="0"/>
        <v>0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27"/>
      <c r="B33" s="925"/>
      <c r="C33" s="985"/>
      <c r="D33" s="926"/>
      <c r="E33" s="926"/>
      <c r="F33" s="986"/>
      <c r="G33" s="1014" t="str">
        <f t="shared" si="1"/>
        <v/>
      </c>
      <c r="H33" s="992">
        <f t="shared" ref="H33:I33" si="9">+H32</f>
        <v>231</v>
      </c>
      <c r="I33" s="993">
        <f t="shared" si="9"/>
        <v>18.262889942194128</v>
      </c>
      <c r="J33" s="1009">
        <f t="shared" si="2"/>
        <v>0</v>
      </c>
      <c r="K33" s="1004">
        <f t="shared" si="3"/>
        <v>0</v>
      </c>
      <c r="L33" s="1003">
        <f t="shared" si="4"/>
        <v>0</v>
      </c>
      <c r="M33" s="1004">
        <f t="shared" si="5"/>
        <v>0</v>
      </c>
      <c r="N33" s="1015">
        <f t="shared" si="0"/>
        <v>0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27"/>
      <c r="B34" s="925"/>
      <c r="C34" s="985"/>
      <c r="D34" s="926"/>
      <c r="E34" s="926"/>
      <c r="F34" s="986"/>
      <c r="G34" s="1014" t="str">
        <f t="shared" si="1"/>
        <v/>
      </c>
      <c r="H34" s="992">
        <f t="shared" ref="H34:I34" si="10">+H33</f>
        <v>231</v>
      </c>
      <c r="I34" s="993">
        <f t="shared" si="10"/>
        <v>18.262889942194128</v>
      </c>
      <c r="J34" s="1009">
        <f t="shared" si="2"/>
        <v>0</v>
      </c>
      <c r="K34" s="1004">
        <f t="shared" si="3"/>
        <v>0</v>
      </c>
      <c r="L34" s="1003">
        <f t="shared" si="4"/>
        <v>0</v>
      </c>
      <c r="M34" s="1004">
        <f t="shared" si="5"/>
        <v>0</v>
      </c>
      <c r="N34" s="1015">
        <f t="shared" si="0"/>
        <v>0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27"/>
      <c r="B35" s="925"/>
      <c r="C35" s="979"/>
      <c r="D35" s="926"/>
      <c r="E35" s="926"/>
      <c r="F35" s="986"/>
      <c r="G35" s="1014" t="str">
        <f t="shared" si="1"/>
        <v/>
      </c>
      <c r="H35" s="992">
        <f t="shared" ref="H35:I35" si="11">+H34</f>
        <v>231</v>
      </c>
      <c r="I35" s="993">
        <f t="shared" si="11"/>
        <v>18.262889942194128</v>
      </c>
      <c r="J35" s="1009">
        <f t="shared" si="2"/>
        <v>0</v>
      </c>
      <c r="K35" s="1004">
        <f t="shared" si="3"/>
        <v>0</v>
      </c>
      <c r="L35" s="1003">
        <f t="shared" si="4"/>
        <v>0</v>
      </c>
      <c r="M35" s="1004">
        <f t="shared" si="5"/>
        <v>0</v>
      </c>
      <c r="N35" s="1015">
        <f t="shared" si="0"/>
        <v>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27"/>
      <c r="B36" s="925"/>
      <c r="C36" s="979"/>
      <c r="D36" s="926"/>
      <c r="E36" s="926"/>
      <c r="F36" s="986"/>
      <c r="G36" s="1014" t="str">
        <f t="shared" si="1"/>
        <v/>
      </c>
      <c r="H36" s="992">
        <f t="shared" ref="H36:I36" si="12">+H35</f>
        <v>231</v>
      </c>
      <c r="I36" s="993">
        <f t="shared" si="12"/>
        <v>18.262889942194128</v>
      </c>
      <c r="J36" s="1009">
        <f t="shared" si="2"/>
        <v>0</v>
      </c>
      <c r="K36" s="1004">
        <f t="shared" si="3"/>
        <v>0</v>
      </c>
      <c r="L36" s="1003">
        <f t="shared" si="4"/>
        <v>0</v>
      </c>
      <c r="M36" s="1004">
        <f t="shared" si="5"/>
        <v>0</v>
      </c>
      <c r="N36" s="1015">
        <f t="shared" si="0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27"/>
      <c r="B37" s="925"/>
      <c r="C37" s="979"/>
      <c r="D37" s="926"/>
      <c r="E37" s="926"/>
      <c r="F37" s="986"/>
      <c r="G37" s="1014" t="str">
        <f t="shared" si="1"/>
        <v/>
      </c>
      <c r="H37" s="992">
        <f t="shared" ref="H37:I37" si="13">+H36</f>
        <v>231</v>
      </c>
      <c r="I37" s="993">
        <f t="shared" si="13"/>
        <v>18.262889942194128</v>
      </c>
      <c r="J37" s="1009">
        <f t="shared" si="2"/>
        <v>0</v>
      </c>
      <c r="K37" s="1004">
        <f t="shared" si="3"/>
        <v>0</v>
      </c>
      <c r="L37" s="1003">
        <f t="shared" si="4"/>
        <v>0</v>
      </c>
      <c r="M37" s="1004">
        <f t="shared" si="5"/>
        <v>0</v>
      </c>
      <c r="N37" s="1015">
        <f t="shared" si="0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27"/>
      <c r="B38" s="925"/>
      <c r="C38" s="979"/>
      <c r="D38" s="926"/>
      <c r="E38" s="926"/>
      <c r="F38" s="986"/>
      <c r="G38" s="1014" t="str">
        <f t="shared" si="1"/>
        <v/>
      </c>
      <c r="H38" s="992">
        <f t="shared" ref="H38:I38" si="14">+H37</f>
        <v>231</v>
      </c>
      <c r="I38" s="993">
        <f t="shared" si="14"/>
        <v>18.262889942194128</v>
      </c>
      <c r="J38" s="1009">
        <f t="shared" si="2"/>
        <v>0</v>
      </c>
      <c r="K38" s="1004">
        <f t="shared" si="3"/>
        <v>0</v>
      </c>
      <c r="L38" s="1003">
        <f t="shared" si="4"/>
        <v>0</v>
      </c>
      <c r="M38" s="1004">
        <f t="shared" si="5"/>
        <v>0</v>
      </c>
      <c r="N38" s="1015">
        <f t="shared" si="0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27"/>
      <c r="B39" s="925"/>
      <c r="C39" s="979"/>
      <c r="D39" s="926"/>
      <c r="E39" s="926"/>
      <c r="F39" s="986"/>
      <c r="G39" s="1014" t="str">
        <f t="shared" si="1"/>
        <v/>
      </c>
      <c r="H39" s="992">
        <f t="shared" ref="H39:I39" si="15">+H38</f>
        <v>231</v>
      </c>
      <c r="I39" s="993">
        <f t="shared" si="15"/>
        <v>18.262889942194128</v>
      </c>
      <c r="J39" s="1009">
        <f t="shared" si="2"/>
        <v>0</v>
      </c>
      <c r="K39" s="1004">
        <f t="shared" si="3"/>
        <v>0</v>
      </c>
      <c r="L39" s="1003">
        <f t="shared" si="4"/>
        <v>0</v>
      </c>
      <c r="M39" s="1004">
        <f t="shared" si="5"/>
        <v>0</v>
      </c>
      <c r="N39" s="1015">
        <f t="shared" si="0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27"/>
      <c r="B40" s="925"/>
      <c r="C40" s="979"/>
      <c r="D40" s="926"/>
      <c r="E40" s="926"/>
      <c r="F40" s="986"/>
      <c r="G40" s="1014" t="str">
        <f t="shared" si="1"/>
        <v/>
      </c>
      <c r="H40" s="992">
        <f t="shared" ref="H40:I40" si="16">+H39</f>
        <v>231</v>
      </c>
      <c r="I40" s="993">
        <f t="shared" si="16"/>
        <v>18.262889942194128</v>
      </c>
      <c r="J40" s="1009">
        <f t="shared" si="2"/>
        <v>0</v>
      </c>
      <c r="K40" s="1004">
        <f t="shared" si="3"/>
        <v>0</v>
      </c>
      <c r="L40" s="1003">
        <f t="shared" si="4"/>
        <v>0</v>
      </c>
      <c r="M40" s="1004">
        <f t="shared" si="5"/>
        <v>0</v>
      </c>
      <c r="N40" s="1015">
        <f t="shared" si="0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27"/>
      <c r="B41" s="925"/>
      <c r="C41" s="979"/>
      <c r="D41" s="926"/>
      <c r="E41" s="926"/>
      <c r="F41" s="986"/>
      <c r="G41" s="1014" t="str">
        <f t="shared" si="1"/>
        <v/>
      </c>
      <c r="H41" s="992">
        <f t="shared" ref="H41:I41" si="17">+H40</f>
        <v>231</v>
      </c>
      <c r="I41" s="993">
        <f t="shared" si="17"/>
        <v>18.262889942194128</v>
      </c>
      <c r="J41" s="1009">
        <f t="shared" si="2"/>
        <v>0</v>
      </c>
      <c r="K41" s="1004">
        <f t="shared" si="3"/>
        <v>0</v>
      </c>
      <c r="L41" s="1003">
        <f t="shared" si="4"/>
        <v>0</v>
      </c>
      <c r="M41" s="1004">
        <f t="shared" si="5"/>
        <v>0</v>
      </c>
      <c r="N41" s="1015">
        <f t="shared" si="0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27"/>
      <c r="B42" s="925"/>
      <c r="C42" s="979"/>
      <c r="D42" s="926"/>
      <c r="E42" s="926"/>
      <c r="F42" s="986"/>
      <c r="G42" s="1014" t="str">
        <f t="shared" si="1"/>
        <v/>
      </c>
      <c r="H42" s="992">
        <f t="shared" ref="H42:I42" si="18">+H41</f>
        <v>231</v>
      </c>
      <c r="I42" s="993">
        <f t="shared" si="18"/>
        <v>18.262889942194128</v>
      </c>
      <c r="J42" s="1009">
        <f t="shared" si="2"/>
        <v>0</v>
      </c>
      <c r="K42" s="1004">
        <f t="shared" si="3"/>
        <v>0</v>
      </c>
      <c r="L42" s="1003">
        <f t="shared" si="4"/>
        <v>0</v>
      </c>
      <c r="M42" s="1004">
        <f t="shared" si="5"/>
        <v>0</v>
      </c>
      <c r="N42" s="1015">
        <f t="shared" si="0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71"/>
      <c r="B43" s="972"/>
      <c r="C43" s="981"/>
      <c r="D43" s="982"/>
      <c r="E43" s="982"/>
      <c r="F43" s="1001"/>
      <c r="G43" s="1114"/>
      <c r="H43" s="994">
        <f t="shared" ref="H43:I43" si="19">+H42</f>
        <v>231</v>
      </c>
      <c r="I43" s="995">
        <f t="shared" si="19"/>
        <v>18.262889942194128</v>
      </c>
      <c r="J43" s="1011"/>
      <c r="K43" s="1006"/>
      <c r="L43" s="1005"/>
      <c r="M43" s="1006"/>
      <c r="N43" s="1016">
        <f t="shared" si="0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70" t="s">
        <v>188</v>
      </c>
      <c r="B44" s="928"/>
      <c r="C44" s="929"/>
      <c r="D44" s="625"/>
      <c r="E44" s="660"/>
      <c r="F44" s="980"/>
      <c r="G44" s="625"/>
      <c r="H44" s="930"/>
      <c r="I44" s="930"/>
      <c r="J44" s="929"/>
      <c r="K44" s="625"/>
      <c r="L44" s="928"/>
      <c r="M44" s="928"/>
      <c r="N44" s="1020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27" t="s">
        <v>337</v>
      </c>
      <c r="B45" s="925">
        <v>1</v>
      </c>
      <c r="C45" s="984"/>
      <c r="D45" s="926">
        <v>668.36</v>
      </c>
      <c r="E45" s="926">
        <v>726.51</v>
      </c>
      <c r="F45" s="986"/>
      <c r="G45" s="1014"/>
      <c r="H45" s="992"/>
      <c r="I45" s="993"/>
      <c r="J45" s="1009"/>
      <c r="K45" s="1004"/>
      <c r="L45" s="1003"/>
      <c r="M45" s="1004"/>
      <c r="N45" s="1015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27" t="s">
        <v>336</v>
      </c>
      <c r="B46" s="925">
        <v>1</v>
      </c>
      <c r="C46" s="984">
        <v>21.06</v>
      </c>
      <c r="D46" s="926">
        <v>670.82</v>
      </c>
      <c r="E46" s="926">
        <v>714.58</v>
      </c>
      <c r="F46" s="986"/>
      <c r="G46" s="1014"/>
      <c r="H46" s="992"/>
      <c r="I46" s="993"/>
      <c r="J46" s="1009"/>
      <c r="K46" s="1004"/>
      <c r="L46" s="1003"/>
      <c r="M46" s="1004"/>
      <c r="N46" s="1015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9" customFormat="1" ht="12.75" x14ac:dyDescent="0.2">
      <c r="A47" s="927" t="s">
        <v>338</v>
      </c>
      <c r="B47" s="925">
        <v>1</v>
      </c>
      <c r="C47" s="984">
        <v>8</v>
      </c>
      <c r="D47" s="926">
        <v>681.06</v>
      </c>
      <c r="E47" s="926">
        <v>701.07</v>
      </c>
      <c r="F47" s="986"/>
      <c r="G47" s="1014"/>
      <c r="H47" s="992"/>
      <c r="I47" s="993"/>
      <c r="J47" s="1009"/>
      <c r="K47" s="1004"/>
      <c r="L47" s="1003"/>
      <c r="M47" s="1004"/>
      <c r="N47" s="1015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27" t="s">
        <v>157</v>
      </c>
      <c r="B48" s="925">
        <v>3</v>
      </c>
      <c r="C48" s="984">
        <v>7.94</v>
      </c>
      <c r="D48" s="926">
        <v>629.08000000000004</v>
      </c>
      <c r="E48" s="926">
        <v>685.77</v>
      </c>
      <c r="F48" s="986"/>
      <c r="G48" s="1014"/>
      <c r="H48" s="992"/>
      <c r="I48" s="993"/>
      <c r="J48" s="1009"/>
      <c r="K48" s="1004"/>
      <c r="L48" s="1003"/>
      <c r="M48" s="1004"/>
      <c r="N48" s="1015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4" customFormat="1" ht="12.75" x14ac:dyDescent="0.2">
      <c r="A49" s="927" t="s">
        <v>158</v>
      </c>
      <c r="B49" s="925">
        <v>1</v>
      </c>
      <c r="C49" s="984">
        <v>23.71</v>
      </c>
      <c r="D49" s="926">
        <v>656.77</v>
      </c>
      <c r="E49" s="926">
        <v>676.18</v>
      </c>
      <c r="F49" s="986"/>
      <c r="G49" s="1014"/>
      <c r="H49" s="992"/>
      <c r="I49" s="993"/>
      <c r="J49" s="1009"/>
      <c r="K49" s="1004"/>
      <c r="L49" s="1003"/>
      <c r="M49" s="1004"/>
      <c r="N49" s="1015"/>
      <c r="O49" s="698"/>
      <c r="P49" s="694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9" customFormat="1" ht="12.75" x14ac:dyDescent="0.2">
      <c r="A50" s="927" t="s">
        <v>156</v>
      </c>
      <c r="B50" s="925">
        <v>1</v>
      </c>
      <c r="C50" s="984">
        <v>38.5</v>
      </c>
      <c r="D50" s="926">
        <v>688.01</v>
      </c>
      <c r="E50" s="926">
        <v>665</v>
      </c>
      <c r="F50" s="986"/>
      <c r="G50" s="1014"/>
      <c r="H50" s="992"/>
      <c r="I50" s="993"/>
      <c r="J50" s="1009"/>
      <c r="K50" s="1004"/>
      <c r="L50" s="1003"/>
      <c r="M50" s="1004"/>
      <c r="N50" s="1015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7" t="s">
        <v>159</v>
      </c>
      <c r="B51" s="925">
        <v>1</v>
      </c>
      <c r="C51" s="984">
        <v>44.7</v>
      </c>
      <c r="D51" s="926">
        <v>664.48</v>
      </c>
      <c r="E51" s="926">
        <v>632.73</v>
      </c>
      <c r="F51" s="986"/>
      <c r="G51" s="1014"/>
      <c r="H51" s="992"/>
      <c r="I51" s="993"/>
      <c r="J51" s="1009"/>
      <c r="K51" s="1004"/>
      <c r="L51" s="1003"/>
      <c r="M51" s="1004"/>
      <c r="N51" s="1015"/>
      <c r="O51" s="698"/>
      <c r="P51" s="69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s="34" customFormat="1" ht="12.75" x14ac:dyDescent="0.2">
      <c r="A52" s="927" t="s">
        <v>160</v>
      </c>
      <c r="B52" s="925">
        <v>3</v>
      </c>
      <c r="C52" s="984">
        <v>2.94</v>
      </c>
      <c r="D52" s="926">
        <v>608.53</v>
      </c>
      <c r="E52" s="926">
        <v>683.25</v>
      </c>
      <c r="F52" s="986"/>
      <c r="G52" s="1014"/>
      <c r="H52" s="992"/>
      <c r="I52" s="993"/>
      <c r="J52" s="1009"/>
      <c r="K52" s="1004"/>
      <c r="L52" s="1003"/>
      <c r="M52" s="1004"/>
      <c r="N52" s="1015"/>
      <c r="O52" s="698"/>
      <c r="P52" s="694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</row>
    <row r="53" spans="1:51" ht="21" x14ac:dyDescent="0.35">
      <c r="A53" s="661" t="s">
        <v>170</v>
      </c>
      <c r="C53" s="634"/>
      <c r="F53" s="15"/>
      <c r="K53" s="15"/>
      <c r="L53" s="634"/>
      <c r="M53" s="931"/>
      <c r="N53" s="41"/>
      <c r="O53" s="932"/>
      <c r="P53" s="21"/>
      <c r="R53" s="21"/>
      <c r="S53" s="342"/>
    </row>
    <row r="54" spans="1:51" s="36" customFormat="1" ht="15.75" x14ac:dyDescent="0.25">
      <c r="A54" s="696"/>
      <c r="B54" s="696" t="s">
        <v>199</v>
      </c>
      <c r="C54" s="1111">
        <v>1</v>
      </c>
      <c r="E54" s="694"/>
      <c r="G54" s="696" t="s">
        <v>334</v>
      </c>
      <c r="H54" s="1138">
        <f>I1</f>
        <v>44600</v>
      </c>
      <c r="L54" s="1037"/>
      <c r="P54" s="693" t="s">
        <v>289</v>
      </c>
      <c r="R54" s="694"/>
      <c r="V54" s="694"/>
      <c r="X54" s="694"/>
      <c r="Y54" s="700"/>
      <c r="Z54" s="694"/>
      <c r="AA54" s="693" t="s">
        <v>290</v>
      </c>
      <c r="AM54" s="82"/>
      <c r="AN54" s="1224" t="s">
        <v>324</v>
      </c>
      <c r="AO54" s="1225"/>
      <c r="AP54" s="1232" t="s">
        <v>325</v>
      </c>
      <c r="AQ54" s="1233"/>
      <c r="AR54" s="1232" t="s">
        <v>326</v>
      </c>
      <c r="AS54" s="1233"/>
      <c r="AT54" s="1232" t="s">
        <v>327</v>
      </c>
      <c r="AU54" s="1233"/>
      <c r="AV54" s="1232" t="s">
        <v>328</v>
      </c>
      <c r="AW54" s="1233"/>
    </row>
    <row r="55" spans="1:51" s="4" customFormat="1" x14ac:dyDescent="0.25">
      <c r="A55" s="718" t="str">
        <f>Station</f>
        <v>Garderie Labège</v>
      </c>
      <c r="B55" s="1221" t="s">
        <v>314</v>
      </c>
      <c r="C55" s="1218" t="str">
        <f>"Hauteur fonction de la croissance vue du champ PV "&amp;ZonePV</f>
        <v>Hauteur fonction de la croissance vue du champ PV 3</v>
      </c>
      <c r="D55" s="1219"/>
      <c r="E55" s="1219"/>
      <c r="F55" s="1219"/>
      <c r="G55" s="1219"/>
      <c r="H55" s="1219"/>
      <c r="I55" s="1219"/>
      <c r="J55" s="1219"/>
      <c r="K55" s="1219"/>
      <c r="L55" s="1219"/>
      <c r="M55" s="1220"/>
      <c r="O55" s="933" t="str">
        <f>Station</f>
        <v>Garderie Labège</v>
      </c>
      <c r="P55" s="934">
        <f>Azi_pv_sel</f>
        <v>51</v>
      </c>
      <c r="Q55" s="1218" t="str">
        <f>"Elevation vue du champ PV zone: "&amp;ZonePV</f>
        <v>Elevation vue du champ PV zone: 3</v>
      </c>
      <c r="R55" s="1219"/>
      <c r="S55" s="1219"/>
      <c r="T55" s="1219"/>
      <c r="U55" s="1219"/>
      <c r="V55" s="1219"/>
      <c r="W55" s="1219"/>
      <c r="X55" s="1219"/>
      <c r="Y55" s="1219"/>
      <c r="Z55" s="1220"/>
      <c r="AA55" s="935">
        <f>Ram_pv</f>
        <v>0.33</v>
      </c>
      <c r="AB55" s="2"/>
      <c r="AC55" s="2"/>
      <c r="AD55" s="28"/>
      <c r="AG55" s="936"/>
      <c r="AH55" s="937" t="s">
        <v>291</v>
      </c>
      <c r="AJ55" s="1230" t="s">
        <v>321</v>
      </c>
      <c r="AK55" s="1078"/>
      <c r="AL55" s="1078"/>
      <c r="AM55" s="1078"/>
      <c r="AN55" s="1228" t="s">
        <v>315</v>
      </c>
      <c r="AO55" s="1229"/>
      <c r="AP55" s="1226" t="s">
        <v>315</v>
      </c>
      <c r="AQ55" s="1227"/>
      <c r="AR55" s="1226" t="s">
        <v>315</v>
      </c>
      <c r="AS55" s="1227"/>
      <c r="AT55" s="1226" t="s">
        <v>315</v>
      </c>
      <c r="AU55" s="1227"/>
      <c r="AV55" s="1226" t="s">
        <v>315</v>
      </c>
      <c r="AW55" s="1227"/>
    </row>
    <row r="56" spans="1:51" s="19" customFormat="1" ht="13.5" thickBot="1" x14ac:dyDescent="0.25">
      <c r="A56" s="719" t="s">
        <v>313</v>
      </c>
      <c r="B56" s="1221"/>
      <c r="C56" s="701">
        <f>+D$56-$C$54</f>
        <v>-5</v>
      </c>
      <c r="D56" s="701">
        <f>+E$56-$C$54</f>
        <v>-4</v>
      </c>
      <c r="E56" s="701">
        <f>+F$56-$C$54</f>
        <v>-3</v>
      </c>
      <c r="F56" s="701">
        <f>+G$56-$C$54</f>
        <v>-2</v>
      </c>
      <c r="G56" s="701">
        <f>+H$56-$C$54</f>
        <v>-1</v>
      </c>
      <c r="H56" s="702">
        <v>0</v>
      </c>
      <c r="I56" s="701">
        <f>$C$54+H$56</f>
        <v>1</v>
      </c>
      <c r="J56" s="701">
        <f>$C$54+I$56</f>
        <v>2</v>
      </c>
      <c r="K56" s="701">
        <f>$C$54+J$56</f>
        <v>3</v>
      </c>
      <c r="L56" s="701">
        <f>$C$54+K$56</f>
        <v>4</v>
      </c>
      <c r="M56" s="701">
        <f>$C$54+L$56</f>
        <v>5</v>
      </c>
      <c r="N56" s="683" t="s">
        <v>154</v>
      </c>
      <c r="O56" s="683" t="str">
        <f>"zone "&amp;ZonePV</f>
        <v>zone 3</v>
      </c>
      <c r="P56" s="703" t="s">
        <v>153</v>
      </c>
      <c r="Q56" s="701">
        <f t="shared" ref="Q56:AA56" si="20">C56</f>
        <v>-5</v>
      </c>
      <c r="R56" s="701">
        <f t="shared" si="20"/>
        <v>-4</v>
      </c>
      <c r="S56" s="701">
        <f t="shared" si="20"/>
        <v>-3</v>
      </c>
      <c r="T56" s="701">
        <f t="shared" si="20"/>
        <v>-2</v>
      </c>
      <c r="U56" s="701">
        <f t="shared" si="20"/>
        <v>-1</v>
      </c>
      <c r="V56" s="702">
        <f t="shared" si="20"/>
        <v>0</v>
      </c>
      <c r="W56" s="701">
        <f t="shared" si="20"/>
        <v>1</v>
      </c>
      <c r="X56" s="701">
        <f t="shared" si="20"/>
        <v>2</v>
      </c>
      <c r="Y56" s="701">
        <f t="shared" si="20"/>
        <v>3</v>
      </c>
      <c r="Z56" s="701">
        <f t="shared" si="20"/>
        <v>4</v>
      </c>
      <c r="AA56" s="701">
        <f t="shared" si="20"/>
        <v>5</v>
      </c>
      <c r="AB56" s="124" t="s">
        <v>298</v>
      </c>
      <c r="AC56" s="939" t="s">
        <v>293</v>
      </c>
      <c r="AD56" s="938" t="s">
        <v>292</v>
      </c>
      <c r="AE56" s="939" t="s">
        <v>294</v>
      </c>
      <c r="AF56" s="940" t="s">
        <v>295</v>
      </c>
      <c r="AG56" s="941" t="s">
        <v>296</v>
      </c>
      <c r="AH56" s="942" t="s">
        <v>297</v>
      </c>
      <c r="AJ56" s="1231"/>
      <c r="AK56" s="82" t="s">
        <v>317</v>
      </c>
      <c r="AL56" s="82" t="s">
        <v>319</v>
      </c>
      <c r="AM56" s="82" t="s">
        <v>320</v>
      </c>
      <c r="AN56" s="1087" t="s">
        <v>318</v>
      </c>
      <c r="AO56" s="1088" t="s">
        <v>316</v>
      </c>
      <c r="AP56" s="1089" t="s">
        <v>318</v>
      </c>
      <c r="AQ56" s="1090" t="s">
        <v>316</v>
      </c>
      <c r="AR56" s="1089" t="s">
        <v>318</v>
      </c>
      <c r="AS56" s="1090" t="s">
        <v>316</v>
      </c>
      <c r="AT56" s="1089" t="s">
        <v>318</v>
      </c>
      <c r="AU56" s="1090" t="s">
        <v>316</v>
      </c>
      <c r="AV56" s="1089" t="s">
        <v>318</v>
      </c>
      <c r="AW56" s="1090" t="s">
        <v>316</v>
      </c>
    </row>
    <row r="57" spans="1:51" s="28" customFormat="1" ht="12.75" x14ac:dyDescent="0.2">
      <c r="A57" s="1038" t="str">
        <f t="shared" ref="A57:A80" si="21">A20</f>
        <v>Arrière PV</v>
      </c>
      <c r="B57" s="1041">
        <v>1</v>
      </c>
      <c r="C57" s="1097">
        <f t="shared" ref="C57:M57" si="22">$L20+C$56*Rapous</f>
        <v>-5</v>
      </c>
      <c r="D57" s="1097">
        <f t="shared" si="22"/>
        <v>-4</v>
      </c>
      <c r="E57" s="1097">
        <f t="shared" si="22"/>
        <v>-3</v>
      </c>
      <c r="F57" s="1097">
        <f t="shared" si="22"/>
        <v>-2</v>
      </c>
      <c r="G57" s="1098">
        <f t="shared" si="22"/>
        <v>-1</v>
      </c>
      <c r="H57" s="1099">
        <f t="shared" si="22"/>
        <v>0</v>
      </c>
      <c r="I57" s="1100">
        <f t="shared" si="22"/>
        <v>1</v>
      </c>
      <c r="J57" s="1097">
        <f t="shared" si="22"/>
        <v>2</v>
      </c>
      <c r="K57" s="1097">
        <f t="shared" si="22"/>
        <v>3</v>
      </c>
      <c r="L57" s="1097">
        <f t="shared" si="22"/>
        <v>4</v>
      </c>
      <c r="M57" s="1098">
        <f t="shared" si="22"/>
        <v>5</v>
      </c>
      <c r="N57" s="698">
        <f t="shared" ref="N57:N80" si="23">$M20</f>
        <v>0</v>
      </c>
      <c r="O57" s="943" t="str">
        <f t="shared" ref="O57:O80" si="24">N20</f>
        <v>Arrière PV</v>
      </c>
      <c r="P57" s="688">
        <f t="shared" ref="P57:P80" si="25">$H20+Azi_decal</f>
        <v>-129</v>
      </c>
      <c r="Q57" s="1101">
        <f t="shared" ref="Q57:Q80" si="26">MAX(IF($N57=0,$I20,DEGREES(ATAN2($N57,C57-H_pv))),Elev_F+0)</f>
        <v>18.262889942194128</v>
      </c>
      <c r="R57" s="698">
        <f t="shared" ref="R57:R80" si="27">MAX(IF($N57=0,$I20,DEGREES(ATAN2($N57,D57-H_pv))),Elev_F+0)</f>
        <v>18.262889942194128</v>
      </c>
      <c r="S57" s="698">
        <f t="shared" ref="S57:S80" si="28">MAX(IF($N57=0,$I20,DEGREES(ATAN2($N57,E57-H_pv))),Elev_F+0)</f>
        <v>18.262889942194128</v>
      </c>
      <c r="T57" s="698">
        <f t="shared" ref="T57:T80" si="29">MAX(IF($N57=0,$I20,DEGREES(ATAN2($N57,F57-H_pv))),Elev_F+0)</f>
        <v>18.262889942194128</v>
      </c>
      <c r="U57" s="959">
        <f t="shared" ref="U57:U80" si="30">MAX(IF($N57=0,$I20,DEGREES(ATAN2($N57,G57-H_pv))),Elev_F+0)</f>
        <v>18.262889942194128</v>
      </c>
      <c r="V57" s="1102">
        <f t="shared" ref="V57:V80" si="31">MAX(IF($N57=0,$I20,DEGREES(ATAN2($N57,H57-H_pv))),Elev_F+0)</f>
        <v>18.262889942194128</v>
      </c>
      <c r="W57" s="695">
        <f t="shared" ref="W57:W80" si="32">MAX(IF($N57=0,$I20,DEGREES(ATAN2($N57,I57-H_pv))),Elev_F+0)</f>
        <v>18.262889942194128</v>
      </c>
      <c r="X57" s="698">
        <f t="shared" ref="X57:X80" si="33">MAX(IF($N57=0,$I20,DEGREES(ATAN2($N57,J57-H_pv))),Elev_F+0)</f>
        <v>18.262889942194128</v>
      </c>
      <c r="Y57" s="698">
        <f t="shared" ref="Y57:Y80" si="34">MAX(IF($N57=0,$I20,DEGREES(ATAN2($N57,K57-H_pv))),Elev_F+0)</f>
        <v>18.262889942194128</v>
      </c>
      <c r="Z57" s="698">
        <f t="shared" ref="Z57:Z80" si="35">MAX(IF($N57=0,$I20,DEGREES(ATAN2($N57,L57-H_pv))),Elev_F+0)</f>
        <v>18.262889942194128</v>
      </c>
      <c r="AA57" s="959">
        <f t="shared" ref="AA57:AA80" si="36">MAX(IF($N57=0,$I20,DEGREES(ATAN2($N57,M57-H_pv))),Elev_F+0)</f>
        <v>18.262889942194128</v>
      </c>
      <c r="AB57" s="1065">
        <f t="shared" ref="AB57:AB79" si="37">(AA57+AA58)/2</f>
        <v>9.6314449710970642</v>
      </c>
      <c r="AC57" s="1066">
        <f>INDEX($AH$57:$AH$83,MATCH(AB57,$AG$57:$AG$83)+1)</f>
        <v>7.5010000000000003</v>
      </c>
      <c r="AD57" s="1067" t="b">
        <f t="shared" ref="AD57:AD80" si="38">G20&lt;AC57</f>
        <v>0</v>
      </c>
      <c r="AE57" s="1066">
        <f t="shared" ref="AE57:AE80" si="39">H21-H20</f>
        <v>90</v>
      </c>
      <c r="AF57" s="1068">
        <f>+IF(F15="D",AC56-AE56,IF(F20="G",AE57-AC57,0))</f>
        <v>0</v>
      </c>
      <c r="AG57" s="944">
        <v>-10</v>
      </c>
      <c r="AH57" s="945">
        <v>7.5</v>
      </c>
      <c r="AJ57" s="1079">
        <f t="shared" ref="AJ57:AJ80" si="40">AM57+(INDEX($AO$57:$AO$80,$AK57+1)-AM57)/(INDEX($AN$57:$AN$80,AK57+1)-AL57)*($H20-AL57)</f>
        <v>1</v>
      </c>
      <c r="AK57" s="82">
        <f t="shared" ref="AK57:AK80" si="41">MATCH($H20,$AN$57:$AN$80)</f>
        <v>1</v>
      </c>
      <c r="AL57" s="1080">
        <f>INDEX($AN$57:$AN$80,$AK57)</f>
        <v>-129</v>
      </c>
      <c r="AM57" s="1080">
        <f>INDEX($AO$57:$AO$80,$AK57)</f>
        <v>1</v>
      </c>
      <c r="AN57" s="1091">
        <f t="shared" ref="AN57:AN68" si="42">IF(AND(AX57=0,AX58=0),MAX(AN56,$H$43+1),AX57)</f>
        <v>-129</v>
      </c>
      <c r="AO57" s="1092">
        <f>IF(AND(AY57=0,AY58=0),$I$43,AY57)</f>
        <v>1</v>
      </c>
      <c r="AP57" s="1084">
        <f>$H$20</f>
        <v>-129</v>
      </c>
      <c r="AQ57" s="1085">
        <v>1</v>
      </c>
      <c r="AR57" s="1084">
        <f>$H$20</f>
        <v>-129</v>
      </c>
      <c r="AS57" s="1085">
        <f>AS58</f>
        <v>1</v>
      </c>
      <c r="AT57" s="1084">
        <f>$H$20</f>
        <v>-129</v>
      </c>
      <c r="AU57" s="1085">
        <f>AU58</f>
        <v>1</v>
      </c>
      <c r="AV57" s="1084">
        <f>$H$20</f>
        <v>-129</v>
      </c>
      <c r="AW57" s="1085">
        <f>AW58</f>
        <v>1</v>
      </c>
      <c r="AX57" s="28">
        <f t="shared" ref="AX57:AX80" si="43">CHOOSE(ZonePV,AP57,AR57,AT57,AV57)</f>
        <v>-129</v>
      </c>
      <c r="AY57" s="28">
        <f t="shared" ref="AY57:AY80" si="44">CHOOSE(ZonePV,AQ57,AS57,AU57,AW57)</f>
        <v>1</v>
      </c>
    </row>
    <row r="58" spans="1:51" s="28" customFormat="1" ht="12.75" x14ac:dyDescent="0.2">
      <c r="A58" s="1038" t="str">
        <f t="shared" si="21"/>
        <v>Toiture D</v>
      </c>
      <c r="B58" s="1042">
        <v>1</v>
      </c>
      <c r="C58" s="1097">
        <f t="shared" ref="C58:M58" si="45">$L21+C$56*Rapous</f>
        <v>-5</v>
      </c>
      <c r="D58" s="1097">
        <f t="shared" si="45"/>
        <v>-4</v>
      </c>
      <c r="E58" s="1097">
        <f t="shared" si="45"/>
        <v>-3</v>
      </c>
      <c r="F58" s="1097">
        <f t="shared" si="45"/>
        <v>-2</v>
      </c>
      <c r="G58" s="1098">
        <f t="shared" si="45"/>
        <v>-1</v>
      </c>
      <c r="H58" s="1099">
        <f t="shared" si="45"/>
        <v>0</v>
      </c>
      <c r="I58" s="1100">
        <f t="shared" si="45"/>
        <v>1</v>
      </c>
      <c r="J58" s="1097">
        <f t="shared" si="45"/>
        <v>2</v>
      </c>
      <c r="K58" s="1097">
        <f t="shared" si="45"/>
        <v>3</v>
      </c>
      <c r="L58" s="1097">
        <f t="shared" si="45"/>
        <v>4</v>
      </c>
      <c r="M58" s="1098">
        <f t="shared" si="45"/>
        <v>5</v>
      </c>
      <c r="N58" s="698">
        <f t="shared" si="23"/>
        <v>0</v>
      </c>
      <c r="O58" s="943" t="str">
        <f t="shared" si="24"/>
        <v>Toiture D</v>
      </c>
      <c r="P58" s="688">
        <f t="shared" si="25"/>
        <v>-39</v>
      </c>
      <c r="Q58" s="695">
        <f t="shared" si="26"/>
        <v>1</v>
      </c>
      <c r="R58" s="698">
        <f t="shared" si="27"/>
        <v>1</v>
      </c>
      <c r="S58" s="698">
        <f t="shared" si="28"/>
        <v>1</v>
      </c>
      <c r="T58" s="698">
        <f t="shared" si="29"/>
        <v>1</v>
      </c>
      <c r="U58" s="959">
        <f t="shared" si="30"/>
        <v>1</v>
      </c>
      <c r="V58" s="1102">
        <f t="shared" si="31"/>
        <v>1</v>
      </c>
      <c r="W58" s="695">
        <f t="shared" si="32"/>
        <v>1</v>
      </c>
      <c r="X58" s="698">
        <f t="shared" si="33"/>
        <v>1</v>
      </c>
      <c r="Y58" s="698">
        <f t="shared" si="34"/>
        <v>1</v>
      </c>
      <c r="Z58" s="698">
        <f t="shared" si="35"/>
        <v>1</v>
      </c>
      <c r="AA58" s="959">
        <f t="shared" si="36"/>
        <v>1</v>
      </c>
      <c r="AB58" s="1069">
        <f t="shared" si="37"/>
        <v>3.0313629488778928</v>
      </c>
      <c r="AC58" s="1070">
        <f t="shared" ref="AC58:AC80" si="46">INDEX($AH$57:$AH$83,MATCH(AB58,$AG$57:$AG$83)+1)</f>
        <v>7.5010000000000003</v>
      </c>
      <c r="AD58" s="39" t="b">
        <f t="shared" si="38"/>
        <v>0</v>
      </c>
      <c r="AE58" s="1070">
        <f t="shared" si="39"/>
        <v>25.798688363531468</v>
      </c>
      <c r="AF58" s="1071">
        <f t="shared" ref="AF58:AF80" si="47">+IF(F20="D",AC57-AE57,IF(F21="G",AE58-AC58,0))</f>
        <v>0</v>
      </c>
      <c r="AG58" s="944">
        <v>22.98</v>
      </c>
      <c r="AH58" s="945">
        <v>7.5010000000000003</v>
      </c>
      <c r="AJ58" s="1079">
        <f t="shared" si="40"/>
        <v>1</v>
      </c>
      <c r="AK58" s="82">
        <f t="shared" si="41"/>
        <v>1</v>
      </c>
      <c r="AL58" s="1080">
        <f t="shared" ref="AL58:AL80" si="48">INDEX($AN$57:$AN$80,$AK58)</f>
        <v>-129</v>
      </c>
      <c r="AM58" s="1080">
        <f t="shared" ref="AM58:AM80" si="49">INDEX($AO$57:$AO$80,$AK58)</f>
        <v>1</v>
      </c>
      <c r="AN58" s="1091">
        <f t="shared" si="42"/>
        <v>231</v>
      </c>
      <c r="AO58" s="1092">
        <f t="shared" ref="AO58:AO80" si="50">IF(AND(AY58=0,AY59=0),$I$43,AY58)</f>
        <v>1</v>
      </c>
      <c r="AP58" s="1084">
        <f>$H$43</f>
        <v>231</v>
      </c>
      <c r="AQ58" s="1085">
        <v>1</v>
      </c>
      <c r="AR58" s="1084">
        <f>$H$43</f>
        <v>231</v>
      </c>
      <c r="AS58" s="1085">
        <v>1</v>
      </c>
      <c r="AT58" s="1084">
        <f>$H$43</f>
        <v>231</v>
      </c>
      <c r="AU58" s="1085">
        <v>1</v>
      </c>
      <c r="AV58" s="1084">
        <f>$H$43</f>
        <v>231</v>
      </c>
      <c r="AW58" s="1085">
        <v>1</v>
      </c>
      <c r="AX58" s="28">
        <f t="shared" si="43"/>
        <v>231</v>
      </c>
      <c r="AY58" s="28">
        <f t="shared" si="44"/>
        <v>1</v>
      </c>
    </row>
    <row r="59" spans="1:51" s="19" customFormat="1" ht="12.75" x14ac:dyDescent="0.2">
      <c r="A59" s="1038" t="str">
        <f t="shared" si="21"/>
        <v>Arbre 6</v>
      </c>
      <c r="B59" s="1042">
        <v>1</v>
      </c>
      <c r="C59" s="1097">
        <f t="shared" ref="C59:M59" si="51">$L22+C$56*Rapous</f>
        <v>4.5386967465383972</v>
      </c>
      <c r="D59" s="1097">
        <f t="shared" si="51"/>
        <v>5.5386967465383972</v>
      </c>
      <c r="E59" s="1097">
        <f t="shared" si="51"/>
        <v>6.5386967465383972</v>
      </c>
      <c r="F59" s="1097">
        <f t="shared" si="51"/>
        <v>7.5386967465383972</v>
      </c>
      <c r="G59" s="1098">
        <f t="shared" si="51"/>
        <v>8.5386967465383972</v>
      </c>
      <c r="H59" s="1099">
        <f t="shared" si="51"/>
        <v>9.5386967465383972</v>
      </c>
      <c r="I59" s="1100">
        <f t="shared" si="51"/>
        <v>10.538696746538397</v>
      </c>
      <c r="J59" s="1097">
        <f t="shared" si="51"/>
        <v>11.538696746538397</v>
      </c>
      <c r="K59" s="1097">
        <f t="shared" si="51"/>
        <v>12.538696746538397</v>
      </c>
      <c r="L59" s="1097">
        <f t="shared" si="51"/>
        <v>13.538696746538397</v>
      </c>
      <c r="M59" s="1098">
        <f t="shared" si="51"/>
        <v>14.538696746538397</v>
      </c>
      <c r="N59" s="698">
        <f t="shared" si="23"/>
        <v>92.042340800307699</v>
      </c>
      <c r="O59" s="943" t="str">
        <f t="shared" si="24"/>
        <v>Arbre 6</v>
      </c>
      <c r="P59" s="688">
        <f t="shared" si="25"/>
        <v>-13.201311636468532</v>
      </c>
      <c r="Q59" s="695">
        <f t="shared" si="26"/>
        <v>1</v>
      </c>
      <c r="R59" s="698">
        <f t="shared" si="27"/>
        <v>1</v>
      </c>
      <c r="S59" s="698">
        <f t="shared" si="28"/>
        <v>1</v>
      </c>
      <c r="T59" s="698">
        <f t="shared" si="29"/>
        <v>1</v>
      </c>
      <c r="U59" s="959">
        <f t="shared" si="30"/>
        <v>1.3407361577831629</v>
      </c>
      <c r="V59" s="1102">
        <f t="shared" si="31"/>
        <v>1.9627065774564294</v>
      </c>
      <c r="W59" s="695">
        <f t="shared" si="32"/>
        <v>2.5842146060394704</v>
      </c>
      <c r="X59" s="698">
        <f t="shared" si="33"/>
        <v>3.2051146964836721</v>
      </c>
      <c r="Y59" s="698">
        <f t="shared" si="34"/>
        <v>3.8252621572189676</v>
      </c>
      <c r="Z59" s="698">
        <f t="shared" si="35"/>
        <v>4.4445133522811977</v>
      </c>
      <c r="AA59" s="959">
        <f t="shared" si="36"/>
        <v>5.0627258977557856</v>
      </c>
      <c r="AB59" s="1069">
        <f t="shared" si="37"/>
        <v>6.8972226949425224</v>
      </c>
      <c r="AC59" s="1070">
        <f t="shared" si="46"/>
        <v>7.5010000000000003</v>
      </c>
      <c r="AD59" s="39" t="b">
        <f t="shared" si="38"/>
        <v>0</v>
      </c>
      <c r="AE59" s="1070">
        <f t="shared" si="39"/>
        <v>13.387300720010273</v>
      </c>
      <c r="AF59" s="1071">
        <f t="shared" si="47"/>
        <v>0</v>
      </c>
      <c r="AG59" s="944">
        <v>23.38</v>
      </c>
      <c r="AH59" s="945">
        <v>7.5199999999999818</v>
      </c>
      <c r="AJ59" s="1079">
        <f t="shared" si="40"/>
        <v>1</v>
      </c>
      <c r="AK59" s="82">
        <f t="shared" si="41"/>
        <v>1</v>
      </c>
      <c r="AL59" s="1080">
        <f t="shared" si="48"/>
        <v>-129</v>
      </c>
      <c r="AM59" s="1080">
        <f t="shared" si="49"/>
        <v>1</v>
      </c>
      <c r="AN59" s="1091">
        <f t="shared" si="42"/>
        <v>232</v>
      </c>
      <c r="AO59" s="1092">
        <f t="shared" si="50"/>
        <v>18.262889942194128</v>
      </c>
      <c r="AP59" s="1084"/>
      <c r="AQ59" s="1085"/>
      <c r="AR59" s="1084"/>
      <c r="AS59" s="1085"/>
      <c r="AT59" s="1084"/>
      <c r="AU59" s="1085"/>
      <c r="AV59" s="1084"/>
      <c r="AW59" s="1085"/>
      <c r="AX59" s="28">
        <f t="shared" si="43"/>
        <v>0</v>
      </c>
      <c r="AY59" s="28">
        <f t="shared" si="44"/>
        <v>0</v>
      </c>
    </row>
    <row r="60" spans="1:51" s="19" customFormat="1" ht="12.75" x14ac:dyDescent="0.2">
      <c r="A60" s="1038" t="str">
        <f t="shared" si="21"/>
        <v>Arbre 7</v>
      </c>
      <c r="B60" s="1042">
        <v>1</v>
      </c>
      <c r="C60" s="1097">
        <f t="shared" ref="C60:M60" si="52">$L23+C$56*Rapous</f>
        <v>4.4279412156074258</v>
      </c>
      <c r="D60" s="1097">
        <f t="shared" si="52"/>
        <v>5.4279412156074258</v>
      </c>
      <c r="E60" s="1097">
        <f t="shared" si="52"/>
        <v>6.4279412156074258</v>
      </c>
      <c r="F60" s="1097">
        <f t="shared" si="52"/>
        <v>7.4279412156074258</v>
      </c>
      <c r="G60" s="1098">
        <f t="shared" si="52"/>
        <v>8.4279412156074258</v>
      </c>
      <c r="H60" s="1099">
        <f t="shared" si="52"/>
        <v>9.4279412156074258</v>
      </c>
      <c r="I60" s="1100">
        <f t="shared" si="52"/>
        <v>10.427941215607426</v>
      </c>
      <c r="J60" s="1097">
        <f t="shared" si="52"/>
        <v>11.427941215607426</v>
      </c>
      <c r="K60" s="1097">
        <f t="shared" si="52"/>
        <v>12.427941215607426</v>
      </c>
      <c r="L60" s="1097">
        <f t="shared" si="52"/>
        <v>13.427941215607426</v>
      </c>
      <c r="M60" s="1098">
        <f t="shared" si="52"/>
        <v>14.427941215607426</v>
      </c>
      <c r="N60" s="698">
        <f t="shared" si="23"/>
        <v>52.37027592060214</v>
      </c>
      <c r="O60" s="943" t="str">
        <f t="shared" si="24"/>
        <v>Arbre 7</v>
      </c>
      <c r="P60" s="688">
        <f t="shared" si="25"/>
        <v>0.18598908354174226</v>
      </c>
      <c r="Q60" s="695">
        <f t="shared" si="26"/>
        <v>1</v>
      </c>
      <c r="R60" s="698">
        <f t="shared" si="27"/>
        <v>1</v>
      </c>
      <c r="S60" s="698">
        <f t="shared" si="28"/>
        <v>1</v>
      </c>
      <c r="T60" s="698">
        <f t="shared" si="29"/>
        <v>1.1414396638194959</v>
      </c>
      <c r="U60" s="959">
        <f t="shared" si="30"/>
        <v>2.2345086459584587</v>
      </c>
      <c r="V60" s="1102">
        <f t="shared" si="31"/>
        <v>3.3259528893225832</v>
      </c>
      <c r="W60" s="695">
        <f t="shared" si="32"/>
        <v>4.4149862319355577</v>
      </c>
      <c r="X60" s="698">
        <f t="shared" si="33"/>
        <v>5.5008329390793929</v>
      </c>
      <c r="Y60" s="698">
        <f t="shared" si="34"/>
        <v>6.5827309523564956</v>
      </c>
      <c r="Z60" s="698">
        <f t="shared" si="35"/>
        <v>7.6599349934451482</v>
      </c>
      <c r="AA60" s="959">
        <f t="shared" si="36"/>
        <v>8.73171949212926</v>
      </c>
      <c r="AB60" s="1069">
        <f t="shared" si="37"/>
        <v>8.3997790784879651</v>
      </c>
      <c r="AC60" s="1070">
        <f t="shared" si="46"/>
        <v>7.5010000000000003</v>
      </c>
      <c r="AD60" s="39" t="b">
        <f t="shared" si="38"/>
        <v>0</v>
      </c>
      <c r="AE60" s="1070">
        <f t="shared" si="39"/>
        <v>34.663362636190861</v>
      </c>
      <c r="AF60" s="1071">
        <f t="shared" si="47"/>
        <v>0</v>
      </c>
      <c r="AG60" s="944">
        <v>24.23</v>
      </c>
      <c r="AH60" s="945">
        <v>7.6000000000000227</v>
      </c>
      <c r="AJ60" s="1079">
        <f t="shared" si="40"/>
        <v>1</v>
      </c>
      <c r="AK60" s="82">
        <f t="shared" si="41"/>
        <v>1</v>
      </c>
      <c r="AL60" s="1080">
        <f t="shared" si="48"/>
        <v>-129</v>
      </c>
      <c r="AM60" s="1080">
        <f t="shared" si="49"/>
        <v>1</v>
      </c>
      <c r="AN60" s="1091">
        <f t="shared" si="42"/>
        <v>232</v>
      </c>
      <c r="AO60" s="1092">
        <f t="shared" si="50"/>
        <v>18.262889942194128</v>
      </c>
      <c r="AP60" s="1084"/>
      <c r="AQ60" s="1085"/>
      <c r="AR60" s="1084"/>
      <c r="AS60" s="1085"/>
      <c r="AT60" s="1084"/>
      <c r="AU60" s="1085"/>
      <c r="AV60" s="1084"/>
      <c r="AW60" s="1085"/>
      <c r="AX60" s="28">
        <f t="shared" si="43"/>
        <v>0</v>
      </c>
      <c r="AY60" s="28">
        <f t="shared" si="44"/>
        <v>0</v>
      </c>
    </row>
    <row r="61" spans="1:51" s="19" customFormat="1" ht="12.75" x14ac:dyDescent="0.2">
      <c r="A61" s="1038" t="str">
        <f t="shared" si="21"/>
        <v>Arbre 8</v>
      </c>
      <c r="B61" s="1042">
        <v>1</v>
      </c>
      <c r="C61" s="1097">
        <f t="shared" ref="C61:M61" si="53">$L24+C$56*Rapous</f>
        <v>8.2766381715467876</v>
      </c>
      <c r="D61" s="1097">
        <f t="shared" si="53"/>
        <v>9.2766381715467876</v>
      </c>
      <c r="E61" s="1097">
        <f t="shared" si="53"/>
        <v>10.276638171546788</v>
      </c>
      <c r="F61" s="1097">
        <f t="shared" si="53"/>
        <v>11.276638171546788</v>
      </c>
      <c r="G61" s="1098">
        <f t="shared" si="53"/>
        <v>12.276638171546788</v>
      </c>
      <c r="H61" s="1099">
        <f t="shared" si="53"/>
        <v>13.276638171546788</v>
      </c>
      <c r="I61" s="1100">
        <f t="shared" si="53"/>
        <v>14.276638171546788</v>
      </c>
      <c r="J61" s="1097">
        <f t="shared" si="53"/>
        <v>15.276638171546788</v>
      </c>
      <c r="K61" s="1097">
        <f t="shared" si="53"/>
        <v>16.276638171546786</v>
      </c>
      <c r="L61" s="1097">
        <f t="shared" si="53"/>
        <v>17.276638171546786</v>
      </c>
      <c r="M61" s="1098">
        <f t="shared" si="53"/>
        <v>18.276638171546786</v>
      </c>
      <c r="N61" s="698">
        <f t="shared" si="23"/>
        <v>83.896162605926037</v>
      </c>
      <c r="O61" s="943" t="str">
        <f t="shared" si="24"/>
        <v>Arbre 8</v>
      </c>
      <c r="P61" s="688">
        <f t="shared" si="25"/>
        <v>34.849351719732603</v>
      </c>
      <c r="Q61" s="695">
        <f t="shared" si="26"/>
        <v>1.2919994655957467</v>
      </c>
      <c r="R61" s="698">
        <f t="shared" si="27"/>
        <v>1.9743734725740234</v>
      </c>
      <c r="S61" s="698">
        <f t="shared" si="28"/>
        <v>2.6561876523804475</v>
      </c>
      <c r="T61" s="698">
        <f t="shared" si="29"/>
        <v>3.337249885386826</v>
      </c>
      <c r="U61" s="959">
        <f t="shared" si="30"/>
        <v>4.0173693249894473</v>
      </c>
      <c r="V61" s="1102">
        <f t="shared" si="31"/>
        <v>4.696356714752798</v>
      </c>
      <c r="W61" s="695">
        <f t="shared" si="32"/>
        <v>5.3740246988833285</v>
      </c>
      <c r="X61" s="698">
        <f t="shared" si="33"/>
        <v>6.0501881247839515</v>
      </c>
      <c r="Y61" s="698">
        <f t="shared" si="34"/>
        <v>6.7246643365011094</v>
      </c>
      <c r="Z61" s="698">
        <f t="shared" si="35"/>
        <v>7.3972734579457402</v>
      </c>
      <c r="AA61" s="959">
        <f t="shared" si="36"/>
        <v>8.0678386648466702</v>
      </c>
      <c r="AB61" s="1069">
        <f t="shared" si="37"/>
        <v>8.2117769570862116</v>
      </c>
      <c r="AC61" s="1070">
        <f t="shared" si="46"/>
        <v>7.5010000000000003</v>
      </c>
      <c r="AD61" s="39" t="b">
        <f t="shared" si="38"/>
        <v>0</v>
      </c>
      <c r="AE61" s="1070">
        <f t="shared" si="39"/>
        <v>20.562038058309248</v>
      </c>
      <c r="AF61" s="1071">
        <f t="shared" si="47"/>
        <v>0</v>
      </c>
      <c r="AG61" s="944">
        <v>25.31</v>
      </c>
      <c r="AH61" s="945">
        <v>7.7300000000000182</v>
      </c>
      <c r="AJ61" s="1079">
        <f t="shared" si="40"/>
        <v>1</v>
      </c>
      <c r="AK61" s="82">
        <f t="shared" si="41"/>
        <v>1</v>
      </c>
      <c r="AL61" s="1080">
        <f t="shared" si="48"/>
        <v>-129</v>
      </c>
      <c r="AM61" s="1080">
        <f t="shared" si="49"/>
        <v>1</v>
      </c>
      <c r="AN61" s="1091">
        <f t="shared" si="42"/>
        <v>232</v>
      </c>
      <c r="AO61" s="1092">
        <f t="shared" si="50"/>
        <v>18.262889942194128</v>
      </c>
      <c r="AP61" s="1084"/>
      <c r="AQ61" s="1085"/>
      <c r="AR61" s="1084"/>
      <c r="AS61" s="1085"/>
      <c r="AT61" s="1084"/>
      <c r="AU61" s="1085"/>
      <c r="AV61" s="1084"/>
      <c r="AW61" s="1085"/>
      <c r="AX61" s="28">
        <f t="shared" si="43"/>
        <v>0</v>
      </c>
      <c r="AY61" s="28">
        <f t="shared" si="44"/>
        <v>0</v>
      </c>
    </row>
    <row r="62" spans="1:51" s="19" customFormat="1" ht="12.75" x14ac:dyDescent="0.2">
      <c r="A62" s="1038" t="str">
        <f t="shared" si="21"/>
        <v>Arbre 9</v>
      </c>
      <c r="B62" s="1042">
        <v>1</v>
      </c>
      <c r="C62" s="1097">
        <f t="shared" ref="C62:M62" si="54">$L25+C$56*Rapous</f>
        <v>9.3728763661646628</v>
      </c>
      <c r="D62" s="1097">
        <f t="shared" si="54"/>
        <v>10.372876366164663</v>
      </c>
      <c r="E62" s="1097">
        <f t="shared" si="54"/>
        <v>11.372876366164663</v>
      </c>
      <c r="F62" s="1097">
        <f t="shared" si="54"/>
        <v>12.372876366164663</v>
      </c>
      <c r="G62" s="1098">
        <f t="shared" si="54"/>
        <v>13.372876366164663</v>
      </c>
      <c r="H62" s="1099">
        <f t="shared" si="54"/>
        <v>14.372876366164663</v>
      </c>
      <c r="I62" s="1100">
        <f t="shared" si="54"/>
        <v>15.372876366164663</v>
      </c>
      <c r="J62" s="1097">
        <f t="shared" si="54"/>
        <v>16.372876366164661</v>
      </c>
      <c r="K62" s="1097">
        <f t="shared" si="54"/>
        <v>17.372876366164661</v>
      </c>
      <c r="L62" s="1097">
        <f t="shared" si="54"/>
        <v>18.372876366164661</v>
      </c>
      <c r="M62" s="1098">
        <f t="shared" si="54"/>
        <v>19.372876366164661</v>
      </c>
      <c r="N62" s="698">
        <f t="shared" si="23"/>
        <v>88.430085378224007</v>
      </c>
      <c r="O62" s="943" t="str">
        <f t="shared" si="24"/>
        <v>Arbre 9</v>
      </c>
      <c r="P62" s="688">
        <f t="shared" si="25"/>
        <v>55.411389778041851</v>
      </c>
      <c r="Q62" s="695">
        <f t="shared" si="26"/>
        <v>1.9355048610634349</v>
      </c>
      <c r="R62" s="698">
        <f t="shared" si="27"/>
        <v>2.5824131221156374</v>
      </c>
      <c r="S62" s="698">
        <f t="shared" si="28"/>
        <v>3.2286632260840942</v>
      </c>
      <c r="T62" s="698">
        <f t="shared" si="29"/>
        <v>3.8740920371171077</v>
      </c>
      <c r="U62" s="959">
        <f t="shared" si="30"/>
        <v>4.5185376670815902</v>
      </c>
      <c r="V62" s="1102">
        <f t="shared" si="31"/>
        <v>5.1618397152417588</v>
      </c>
      <c r="W62" s="695">
        <f t="shared" si="32"/>
        <v>5.8038395023505096</v>
      </c>
      <c r="X62" s="698">
        <f t="shared" si="33"/>
        <v>6.4443802983207119</v>
      </c>
      <c r="Y62" s="698">
        <f t="shared" si="34"/>
        <v>7.0833075426879777</v>
      </c>
      <c r="Z62" s="698">
        <f t="shared" si="35"/>
        <v>7.7204690571255838</v>
      </c>
      <c r="AA62" s="959">
        <f t="shared" si="36"/>
        <v>8.3557152493257512</v>
      </c>
      <c r="AB62" s="1069">
        <f t="shared" si="37"/>
        <v>8.2069363253820029</v>
      </c>
      <c r="AC62" s="1070">
        <f t="shared" si="46"/>
        <v>7.5010000000000003</v>
      </c>
      <c r="AD62" s="39" t="b">
        <f t="shared" si="38"/>
        <v>0</v>
      </c>
      <c r="AE62" s="1070">
        <f t="shared" si="39"/>
        <v>5.8460612522065247</v>
      </c>
      <c r="AF62" s="1071">
        <f t="shared" si="47"/>
        <v>0</v>
      </c>
      <c r="AG62" s="944">
        <v>26.83</v>
      </c>
      <c r="AH62" s="945">
        <v>7.9000000000000057</v>
      </c>
      <c r="AJ62" s="1079">
        <f t="shared" si="40"/>
        <v>1</v>
      </c>
      <c r="AK62" s="82">
        <f t="shared" si="41"/>
        <v>1</v>
      </c>
      <c r="AL62" s="1080">
        <f t="shared" si="48"/>
        <v>-129</v>
      </c>
      <c r="AM62" s="1080">
        <f t="shared" si="49"/>
        <v>1</v>
      </c>
      <c r="AN62" s="1091">
        <f t="shared" si="42"/>
        <v>232</v>
      </c>
      <c r="AO62" s="1092">
        <f t="shared" si="50"/>
        <v>18.262889942194128</v>
      </c>
      <c r="AP62" s="1084"/>
      <c r="AQ62" s="1085"/>
      <c r="AR62" s="1084"/>
      <c r="AS62" s="1085"/>
      <c r="AT62" s="1084"/>
      <c r="AU62" s="1085"/>
      <c r="AV62" s="1084"/>
      <c r="AW62" s="1085"/>
      <c r="AX62" s="28">
        <f t="shared" si="43"/>
        <v>0</v>
      </c>
      <c r="AY62" s="28">
        <f t="shared" si="44"/>
        <v>0</v>
      </c>
    </row>
    <row r="63" spans="1:51" s="19" customFormat="1" ht="12.75" x14ac:dyDescent="0.2">
      <c r="A63" s="1038" t="str">
        <f t="shared" si="21"/>
        <v>Arbre 10</v>
      </c>
      <c r="B63" s="1042">
        <v>1</v>
      </c>
      <c r="C63" s="1097">
        <f t="shared" ref="C63:M63" si="55">$L26+C$56*Rapous</f>
        <v>0.55044132938304458</v>
      </c>
      <c r="D63" s="1097">
        <f t="shared" si="55"/>
        <v>1.5504413293830446</v>
      </c>
      <c r="E63" s="1097">
        <f t="shared" si="55"/>
        <v>2.5504413293830446</v>
      </c>
      <c r="F63" s="1097">
        <f t="shared" si="55"/>
        <v>3.5504413293830446</v>
      </c>
      <c r="G63" s="1098">
        <f t="shared" si="55"/>
        <v>4.5504413293830446</v>
      </c>
      <c r="H63" s="1099">
        <f t="shared" si="55"/>
        <v>5.5504413293830446</v>
      </c>
      <c r="I63" s="1100">
        <f t="shared" si="55"/>
        <v>6.5504413293830446</v>
      </c>
      <c r="J63" s="1097">
        <f t="shared" si="55"/>
        <v>7.5504413293830446</v>
      </c>
      <c r="K63" s="1097">
        <f t="shared" si="55"/>
        <v>8.5504413293830446</v>
      </c>
      <c r="L63" s="1097">
        <f t="shared" si="55"/>
        <v>9.5504413293830446</v>
      </c>
      <c r="M63" s="1098">
        <f t="shared" si="55"/>
        <v>10.550441329383045</v>
      </c>
      <c r="N63" s="698">
        <f t="shared" si="23"/>
        <v>29.425541626281021</v>
      </c>
      <c r="O63" s="943" t="str">
        <f t="shared" si="24"/>
        <v>Arbre 10</v>
      </c>
      <c r="P63" s="688">
        <f t="shared" si="25"/>
        <v>62.912389778041849</v>
      </c>
      <c r="Q63" s="695">
        <f t="shared" si="26"/>
        <v>1</v>
      </c>
      <c r="R63" s="698">
        <f t="shared" si="27"/>
        <v>1</v>
      </c>
      <c r="S63" s="698">
        <f t="shared" si="28"/>
        <v>1</v>
      </c>
      <c r="T63" s="698">
        <f t="shared" si="29"/>
        <v>1</v>
      </c>
      <c r="U63" s="959">
        <f t="shared" si="30"/>
        <v>1</v>
      </c>
      <c r="V63" s="1102">
        <f t="shared" si="31"/>
        <v>1</v>
      </c>
      <c r="W63" s="695">
        <f t="shared" si="32"/>
        <v>1</v>
      </c>
      <c r="X63" s="698">
        <f t="shared" si="33"/>
        <v>2.2690909462967142</v>
      </c>
      <c r="Y63" s="698">
        <f t="shared" si="34"/>
        <v>4.2098302344441336</v>
      </c>
      <c r="Z63" s="698">
        <f t="shared" si="35"/>
        <v>6.140943618553564</v>
      </c>
      <c r="AA63" s="959">
        <f t="shared" si="36"/>
        <v>8.0581574014382564</v>
      </c>
      <c r="AB63" s="1069">
        <f t="shared" si="37"/>
        <v>8.1648353369814775</v>
      </c>
      <c r="AC63" s="1070">
        <f t="shared" si="46"/>
        <v>7.5010000000000003</v>
      </c>
      <c r="AD63" s="39" t="b">
        <f t="shared" si="38"/>
        <v>0</v>
      </c>
      <c r="AE63" s="1070">
        <f t="shared" si="39"/>
        <v>21.351330191848746</v>
      </c>
      <c r="AF63" s="1071">
        <f t="shared" si="47"/>
        <v>1.6549387477934756</v>
      </c>
      <c r="AG63" s="944">
        <v>28.54</v>
      </c>
      <c r="AH63" s="945">
        <v>8.1200000000000045</v>
      </c>
      <c r="AJ63" s="1079">
        <f t="shared" si="40"/>
        <v>1</v>
      </c>
      <c r="AK63" s="82">
        <f t="shared" si="41"/>
        <v>1</v>
      </c>
      <c r="AL63" s="1080">
        <f t="shared" si="48"/>
        <v>-129</v>
      </c>
      <c r="AM63" s="1080">
        <f t="shared" si="49"/>
        <v>1</v>
      </c>
      <c r="AN63" s="1091">
        <f t="shared" si="42"/>
        <v>232</v>
      </c>
      <c r="AO63" s="1092">
        <f t="shared" si="50"/>
        <v>18.262889942194128</v>
      </c>
      <c r="AP63" s="1084"/>
      <c r="AQ63" s="1085"/>
      <c r="AR63" s="1084"/>
      <c r="AS63" s="1085"/>
      <c r="AT63" s="1084"/>
      <c r="AU63" s="1085"/>
      <c r="AV63" s="1084"/>
      <c r="AW63" s="1085"/>
      <c r="AX63" s="28">
        <f t="shared" si="43"/>
        <v>0</v>
      </c>
      <c r="AY63" s="28">
        <f t="shared" si="44"/>
        <v>0</v>
      </c>
    </row>
    <row r="64" spans="1:51" s="19" customFormat="1" ht="12.75" x14ac:dyDescent="0.2">
      <c r="A64" s="1038" t="str">
        <f t="shared" si="21"/>
        <v>Arbre 12</v>
      </c>
      <c r="B64" s="1042">
        <v>1</v>
      </c>
      <c r="C64" s="1097">
        <f t="shared" ref="C64:M64" si="56">$L27+C$56*Rapous</f>
        <v>4.06897572895652</v>
      </c>
      <c r="D64" s="1097">
        <f t="shared" si="56"/>
        <v>5.06897572895652</v>
      </c>
      <c r="E64" s="1097">
        <f t="shared" si="56"/>
        <v>6.06897572895652</v>
      </c>
      <c r="F64" s="1097">
        <f t="shared" si="56"/>
        <v>7.06897572895652</v>
      </c>
      <c r="G64" s="1098">
        <f t="shared" si="56"/>
        <v>8.06897572895652</v>
      </c>
      <c r="H64" s="1099">
        <f t="shared" si="56"/>
        <v>9.06897572895652</v>
      </c>
      <c r="I64" s="1100">
        <f t="shared" si="56"/>
        <v>10.06897572895652</v>
      </c>
      <c r="J64" s="1097">
        <f t="shared" si="56"/>
        <v>11.06897572895652</v>
      </c>
      <c r="K64" s="1097">
        <f t="shared" si="56"/>
        <v>12.06897572895652</v>
      </c>
      <c r="L64" s="1097">
        <f t="shared" si="56"/>
        <v>13.06897572895652</v>
      </c>
      <c r="M64" s="1098">
        <f t="shared" si="56"/>
        <v>14.06897572895652</v>
      </c>
      <c r="N64" s="698">
        <f t="shared" si="23"/>
        <v>52.859213009654191</v>
      </c>
      <c r="O64" s="943" t="str">
        <f t="shared" si="24"/>
        <v>Arbre 12</v>
      </c>
      <c r="P64" s="688">
        <f t="shared" si="25"/>
        <v>82.608781222097122</v>
      </c>
      <c r="Q64" s="695">
        <f t="shared" si="26"/>
        <v>1</v>
      </c>
      <c r="R64" s="698">
        <f t="shared" si="27"/>
        <v>1</v>
      </c>
      <c r="S64" s="698">
        <f t="shared" si="28"/>
        <v>1</v>
      </c>
      <c r="T64" s="698">
        <f t="shared" si="29"/>
        <v>1</v>
      </c>
      <c r="U64" s="959">
        <f t="shared" si="30"/>
        <v>1.825251173591806</v>
      </c>
      <c r="V64" s="1102">
        <f t="shared" si="31"/>
        <v>2.9073028621022723</v>
      </c>
      <c r="W64" s="695">
        <f t="shared" si="32"/>
        <v>3.9872831682494478</v>
      </c>
      <c r="X64" s="698">
        <f t="shared" si="33"/>
        <v>5.0644333567537405</v>
      </c>
      <c r="Y64" s="698">
        <f t="shared" si="34"/>
        <v>6.1380066545587315</v>
      </c>
      <c r="Z64" s="698">
        <f t="shared" si="35"/>
        <v>7.2072712725908614</v>
      </c>
      <c r="AA64" s="959">
        <f t="shared" si="36"/>
        <v>8.2715132725246985</v>
      </c>
      <c r="AB64" s="1069">
        <f t="shared" si="37"/>
        <v>6.9395652419879656</v>
      </c>
      <c r="AC64" s="1070">
        <f t="shared" si="46"/>
        <v>7.5010000000000003</v>
      </c>
      <c r="AD64" s="39" t="b">
        <f t="shared" si="38"/>
        <v>0</v>
      </c>
      <c r="AE64" s="1070">
        <f t="shared" si="39"/>
        <v>15.954624533878814</v>
      </c>
      <c r="AF64" s="1071">
        <f t="shared" si="47"/>
        <v>0</v>
      </c>
      <c r="AG64" s="944">
        <v>30.6</v>
      </c>
      <c r="AH64" s="945">
        <v>8.3700000000000045</v>
      </c>
      <c r="AJ64" s="1079">
        <f t="shared" si="40"/>
        <v>1</v>
      </c>
      <c r="AK64" s="82">
        <f t="shared" si="41"/>
        <v>1</v>
      </c>
      <c r="AL64" s="1080">
        <f t="shared" si="48"/>
        <v>-129</v>
      </c>
      <c r="AM64" s="1080">
        <f t="shared" si="49"/>
        <v>1</v>
      </c>
      <c r="AN64" s="1091">
        <f t="shared" si="42"/>
        <v>232</v>
      </c>
      <c r="AO64" s="1092">
        <f t="shared" si="50"/>
        <v>18.262889942194128</v>
      </c>
      <c r="AP64" s="1084"/>
      <c r="AQ64" s="1085"/>
      <c r="AR64" s="1084"/>
      <c r="AS64" s="1085"/>
      <c r="AT64" s="1084"/>
      <c r="AU64" s="1085"/>
      <c r="AV64" s="1084"/>
      <c r="AW64" s="1085"/>
      <c r="AX64" s="28">
        <f t="shared" si="43"/>
        <v>0</v>
      </c>
      <c r="AY64" s="28">
        <f t="shared" si="44"/>
        <v>0</v>
      </c>
    </row>
    <row r="65" spans="1:51" s="19" customFormat="1" ht="12.75" x14ac:dyDescent="0.2">
      <c r="A65" s="1038" t="str">
        <f t="shared" si="21"/>
        <v>Arbre 11</v>
      </c>
      <c r="B65" s="1042">
        <v>1</v>
      </c>
      <c r="C65" s="1097">
        <f t="shared" ref="C65:M65" si="57">$L28+C$56*Rapous</f>
        <v>0.90128284372742318</v>
      </c>
      <c r="D65" s="1097">
        <f t="shared" si="57"/>
        <v>1.9012828437274232</v>
      </c>
      <c r="E65" s="1097">
        <f t="shared" si="57"/>
        <v>2.9012828437274232</v>
      </c>
      <c r="F65" s="1097">
        <f t="shared" si="57"/>
        <v>3.9012828437274232</v>
      </c>
      <c r="G65" s="1098">
        <f t="shared" si="57"/>
        <v>4.9012828437274232</v>
      </c>
      <c r="H65" s="1099">
        <f t="shared" si="57"/>
        <v>5.9012828437274232</v>
      </c>
      <c r="I65" s="1100">
        <f t="shared" si="57"/>
        <v>6.9012828437274232</v>
      </c>
      <c r="J65" s="1097">
        <f t="shared" si="57"/>
        <v>7.9012828437274232</v>
      </c>
      <c r="K65" s="1097">
        <f t="shared" si="57"/>
        <v>8.9012828437274223</v>
      </c>
      <c r="L65" s="1097">
        <f t="shared" si="57"/>
        <v>9.9012828437274223</v>
      </c>
      <c r="M65" s="1098">
        <f t="shared" si="57"/>
        <v>10.901282843727422</v>
      </c>
      <c r="N65" s="698">
        <f t="shared" si="23"/>
        <v>46.002854259273853</v>
      </c>
      <c r="O65" s="943" t="str">
        <f t="shared" si="24"/>
        <v>Arbre 11</v>
      </c>
      <c r="P65" s="688">
        <f t="shared" si="25"/>
        <v>98.563405755975936</v>
      </c>
      <c r="Q65" s="695">
        <f t="shared" si="26"/>
        <v>1</v>
      </c>
      <c r="R65" s="698">
        <f t="shared" si="27"/>
        <v>1</v>
      </c>
      <c r="S65" s="698">
        <f t="shared" si="28"/>
        <v>1</v>
      </c>
      <c r="T65" s="698">
        <f t="shared" si="29"/>
        <v>1</v>
      </c>
      <c r="U65" s="959">
        <f t="shared" si="30"/>
        <v>1</v>
      </c>
      <c r="V65" s="1102">
        <f t="shared" si="31"/>
        <v>1</v>
      </c>
      <c r="W65" s="695">
        <f t="shared" si="32"/>
        <v>1</v>
      </c>
      <c r="X65" s="698">
        <f t="shared" si="33"/>
        <v>1.8884572760714167</v>
      </c>
      <c r="Y65" s="698">
        <f t="shared" si="34"/>
        <v>3.1315027138687968</v>
      </c>
      <c r="Z65" s="698">
        <f t="shared" si="35"/>
        <v>4.3716047690839384</v>
      </c>
      <c r="AA65" s="959">
        <f t="shared" si="36"/>
        <v>5.6076172114512319</v>
      </c>
      <c r="AB65" s="1069">
        <f t="shared" si="37"/>
        <v>8.0971828604560088</v>
      </c>
      <c r="AC65" s="1070">
        <f t="shared" si="46"/>
        <v>7.5010000000000003</v>
      </c>
      <c r="AD65" s="39" t="b">
        <f t="shared" si="38"/>
        <v>0</v>
      </c>
      <c r="AE65" s="1070">
        <f t="shared" si="39"/>
        <v>10.865997888746477</v>
      </c>
      <c r="AF65" s="1071">
        <f t="shared" si="47"/>
        <v>0</v>
      </c>
      <c r="AG65" s="944">
        <v>32.76</v>
      </c>
      <c r="AH65" s="945">
        <v>8.660000000000025</v>
      </c>
      <c r="AJ65" s="1079">
        <f t="shared" si="40"/>
        <v>1</v>
      </c>
      <c r="AK65" s="82">
        <f t="shared" si="41"/>
        <v>1</v>
      </c>
      <c r="AL65" s="1080">
        <f t="shared" si="48"/>
        <v>-129</v>
      </c>
      <c r="AM65" s="1080">
        <f t="shared" si="49"/>
        <v>1</v>
      </c>
      <c r="AN65" s="1091">
        <f t="shared" si="42"/>
        <v>232</v>
      </c>
      <c r="AO65" s="1092">
        <f t="shared" si="50"/>
        <v>18.262889942194128</v>
      </c>
      <c r="AP65" s="1084"/>
      <c r="AQ65" s="1085"/>
      <c r="AR65" s="1084"/>
      <c r="AS65" s="1085"/>
      <c r="AT65" s="1084"/>
      <c r="AU65" s="1085"/>
      <c r="AV65" s="1084"/>
      <c r="AW65" s="1085"/>
      <c r="AX65" s="28">
        <f t="shared" si="43"/>
        <v>0</v>
      </c>
      <c r="AY65" s="28">
        <f t="shared" si="44"/>
        <v>0</v>
      </c>
    </row>
    <row r="66" spans="1:51" s="19" customFormat="1" ht="12.75" x14ac:dyDescent="0.2">
      <c r="A66" s="1038" t="str">
        <f t="shared" si="21"/>
        <v>Arbre 13</v>
      </c>
      <c r="B66" s="1042">
        <v>1</v>
      </c>
      <c r="C66" s="1097">
        <f t="shared" ref="C66:M66" si="58">$L29+C$56*Rapous</f>
        <v>11.470877154411461</v>
      </c>
      <c r="D66" s="1097">
        <f t="shared" si="58"/>
        <v>12.470877154411461</v>
      </c>
      <c r="E66" s="1097">
        <f t="shared" si="58"/>
        <v>13.470877154411461</v>
      </c>
      <c r="F66" s="1097">
        <f t="shared" si="58"/>
        <v>14.470877154411461</v>
      </c>
      <c r="G66" s="1098">
        <f t="shared" si="58"/>
        <v>15.470877154411461</v>
      </c>
      <c r="H66" s="1099">
        <f t="shared" si="58"/>
        <v>16.470877154411461</v>
      </c>
      <c r="I66" s="1100">
        <f t="shared" si="58"/>
        <v>17.470877154411461</v>
      </c>
      <c r="J66" s="1097">
        <f t="shared" si="58"/>
        <v>18.470877154411461</v>
      </c>
      <c r="K66" s="1097">
        <f t="shared" si="58"/>
        <v>19.470877154411461</v>
      </c>
      <c r="L66" s="1097">
        <f t="shared" si="58"/>
        <v>20.470877154411461</v>
      </c>
      <c r="M66" s="1098">
        <f t="shared" si="58"/>
        <v>21.470877154411461</v>
      </c>
      <c r="N66" s="698">
        <f t="shared" si="23"/>
        <v>80.716645742993961</v>
      </c>
      <c r="O66" s="943" t="str">
        <f t="shared" si="24"/>
        <v>Arbre 13</v>
      </c>
      <c r="P66" s="688">
        <f t="shared" si="25"/>
        <v>109.42940364472241</v>
      </c>
      <c r="Q66" s="695">
        <f t="shared" si="26"/>
        <v>3.6057463920445221</v>
      </c>
      <c r="R66" s="698">
        <f t="shared" si="27"/>
        <v>4.3121921095111064</v>
      </c>
      <c r="S66" s="698">
        <f t="shared" si="28"/>
        <v>5.0173267361208564</v>
      </c>
      <c r="T66" s="698">
        <f t="shared" si="29"/>
        <v>5.7209409762830896</v>
      </c>
      <c r="U66" s="959">
        <f t="shared" si="30"/>
        <v>6.422828269187419</v>
      </c>
      <c r="V66" s="1102">
        <f t="shared" si="31"/>
        <v>7.1227851388083225</v>
      </c>
      <c r="W66" s="695">
        <f t="shared" si="32"/>
        <v>7.8206115303318198</v>
      </c>
      <c r="X66" s="698">
        <f t="shared" si="33"/>
        <v>8.5161111316969738</v>
      </c>
      <c r="Y66" s="698">
        <f t="shared" si="34"/>
        <v>9.2090916790635493</v>
      </c>
      <c r="Z66" s="698">
        <f t="shared" si="35"/>
        <v>9.8993652451429099</v>
      </c>
      <c r="AA66" s="959">
        <f t="shared" si="36"/>
        <v>10.586748509460785</v>
      </c>
      <c r="AB66" s="1069">
        <f t="shared" si="37"/>
        <v>5.7933742547303924</v>
      </c>
      <c r="AC66" s="1070">
        <f t="shared" si="46"/>
        <v>7.5010000000000003</v>
      </c>
      <c r="AD66" s="39" t="b">
        <f t="shared" si="38"/>
        <v>0</v>
      </c>
      <c r="AE66" s="1070">
        <f t="shared" si="39"/>
        <v>31.570596355277587</v>
      </c>
      <c r="AF66" s="1071">
        <f t="shared" si="47"/>
        <v>0</v>
      </c>
      <c r="AG66" s="944">
        <v>35.270000000000003</v>
      </c>
      <c r="AH66" s="945">
        <v>9</v>
      </c>
      <c r="AJ66" s="1079">
        <f t="shared" si="40"/>
        <v>1</v>
      </c>
      <c r="AK66" s="82">
        <f t="shared" si="41"/>
        <v>1</v>
      </c>
      <c r="AL66" s="1080">
        <f t="shared" si="48"/>
        <v>-129</v>
      </c>
      <c r="AM66" s="1080">
        <f t="shared" si="49"/>
        <v>1</v>
      </c>
      <c r="AN66" s="1091">
        <f t="shared" si="42"/>
        <v>232</v>
      </c>
      <c r="AO66" s="1092">
        <f t="shared" si="50"/>
        <v>18.262889942194128</v>
      </c>
      <c r="AP66" s="1084"/>
      <c r="AQ66" s="1085"/>
      <c r="AR66" s="1084"/>
      <c r="AS66" s="1085"/>
      <c r="AT66" s="1084"/>
      <c r="AU66" s="1085"/>
      <c r="AV66" s="1084"/>
      <c r="AW66" s="1085"/>
      <c r="AX66" s="28">
        <f t="shared" si="43"/>
        <v>0</v>
      </c>
      <c r="AY66" s="28">
        <f t="shared" si="44"/>
        <v>0</v>
      </c>
    </row>
    <row r="67" spans="1:51" s="19" customFormat="1" ht="12.75" x14ac:dyDescent="0.2">
      <c r="A67" s="1038" t="str">
        <f t="shared" si="21"/>
        <v>Toiture D</v>
      </c>
      <c r="B67" s="1042">
        <v>1</v>
      </c>
      <c r="C67" s="1097">
        <f t="shared" ref="C67:M67" si="59">$L30+C$56*Rapous</f>
        <v>-5</v>
      </c>
      <c r="D67" s="1097">
        <f t="shared" si="59"/>
        <v>-4</v>
      </c>
      <c r="E67" s="1097">
        <f t="shared" si="59"/>
        <v>-3</v>
      </c>
      <c r="F67" s="1097">
        <f t="shared" si="59"/>
        <v>-2</v>
      </c>
      <c r="G67" s="1098">
        <f t="shared" si="59"/>
        <v>-1</v>
      </c>
      <c r="H67" s="1099">
        <f t="shared" si="59"/>
        <v>0</v>
      </c>
      <c r="I67" s="1100">
        <f t="shared" si="59"/>
        <v>1</v>
      </c>
      <c r="J67" s="1097">
        <f t="shared" si="59"/>
        <v>2</v>
      </c>
      <c r="K67" s="1097">
        <f t="shared" si="59"/>
        <v>3</v>
      </c>
      <c r="L67" s="1097">
        <f t="shared" si="59"/>
        <v>4</v>
      </c>
      <c r="M67" s="1098">
        <f t="shared" si="59"/>
        <v>5</v>
      </c>
      <c r="N67" s="698">
        <f t="shared" si="23"/>
        <v>0</v>
      </c>
      <c r="O67" s="943" t="str">
        <f t="shared" si="24"/>
        <v>Toiture D</v>
      </c>
      <c r="P67" s="688">
        <f t="shared" si="25"/>
        <v>141</v>
      </c>
      <c r="Q67" s="695">
        <f t="shared" si="26"/>
        <v>1</v>
      </c>
      <c r="R67" s="698">
        <f t="shared" si="27"/>
        <v>1</v>
      </c>
      <c r="S67" s="698">
        <f t="shared" si="28"/>
        <v>1</v>
      </c>
      <c r="T67" s="698">
        <f t="shared" si="29"/>
        <v>1</v>
      </c>
      <c r="U67" s="959">
        <f t="shared" si="30"/>
        <v>1</v>
      </c>
      <c r="V67" s="1102">
        <f t="shared" si="31"/>
        <v>1</v>
      </c>
      <c r="W67" s="695">
        <f t="shared" si="32"/>
        <v>1</v>
      </c>
      <c r="X67" s="698">
        <f t="shared" si="33"/>
        <v>1</v>
      </c>
      <c r="Y67" s="698">
        <f t="shared" si="34"/>
        <v>1</v>
      </c>
      <c r="Z67" s="698">
        <f t="shared" si="35"/>
        <v>1</v>
      </c>
      <c r="AA67" s="959">
        <f t="shared" si="36"/>
        <v>1</v>
      </c>
      <c r="AB67" s="1069">
        <f t="shared" si="37"/>
        <v>9.6314449710970642</v>
      </c>
      <c r="AC67" s="1070">
        <f t="shared" si="46"/>
        <v>7.5010000000000003</v>
      </c>
      <c r="AD67" s="39" t="b">
        <f t="shared" si="38"/>
        <v>0</v>
      </c>
      <c r="AE67" s="1070">
        <f t="shared" si="39"/>
        <v>90</v>
      </c>
      <c r="AF67" s="1071">
        <f t="shared" si="47"/>
        <v>0</v>
      </c>
      <c r="AG67" s="944">
        <v>37.65</v>
      </c>
      <c r="AH67" s="945">
        <v>9.3500000000000227</v>
      </c>
      <c r="AJ67" s="1079">
        <f t="shared" si="40"/>
        <v>1</v>
      </c>
      <c r="AK67" s="82">
        <f t="shared" si="41"/>
        <v>1</v>
      </c>
      <c r="AL67" s="1080">
        <f t="shared" si="48"/>
        <v>-129</v>
      </c>
      <c r="AM67" s="1080">
        <f t="shared" si="49"/>
        <v>1</v>
      </c>
      <c r="AN67" s="1091">
        <f t="shared" si="42"/>
        <v>232</v>
      </c>
      <c r="AO67" s="1092">
        <f t="shared" si="50"/>
        <v>18.262889942194128</v>
      </c>
      <c r="AP67" s="1084"/>
      <c r="AQ67" s="1085"/>
      <c r="AR67" s="1084"/>
      <c r="AS67" s="1085"/>
      <c r="AT67" s="1084"/>
      <c r="AU67" s="1085"/>
      <c r="AV67" s="1084"/>
      <c r="AW67" s="1085"/>
      <c r="AX67" s="28">
        <f t="shared" si="43"/>
        <v>0</v>
      </c>
      <c r="AY67" s="28">
        <f t="shared" si="44"/>
        <v>0</v>
      </c>
    </row>
    <row r="68" spans="1:51" s="19" customFormat="1" ht="12.75" x14ac:dyDescent="0.2">
      <c r="A68" s="1038" t="str">
        <f t="shared" si="21"/>
        <v>Arrière PV</v>
      </c>
      <c r="B68" s="1042">
        <v>1</v>
      </c>
      <c r="C68" s="1097">
        <f t="shared" ref="C68:M68" si="60">$L31+C$56*Rapous</f>
        <v>-5</v>
      </c>
      <c r="D68" s="1097">
        <f t="shared" si="60"/>
        <v>-4</v>
      </c>
      <c r="E68" s="1097">
        <f t="shared" si="60"/>
        <v>-3</v>
      </c>
      <c r="F68" s="1097">
        <f t="shared" si="60"/>
        <v>-2</v>
      </c>
      <c r="G68" s="1098">
        <f t="shared" si="60"/>
        <v>-1</v>
      </c>
      <c r="H68" s="1099">
        <f t="shared" si="60"/>
        <v>0</v>
      </c>
      <c r="I68" s="1100">
        <f t="shared" si="60"/>
        <v>1</v>
      </c>
      <c r="J68" s="1097">
        <f t="shared" si="60"/>
        <v>2</v>
      </c>
      <c r="K68" s="1097">
        <f t="shared" si="60"/>
        <v>3</v>
      </c>
      <c r="L68" s="1097">
        <f t="shared" si="60"/>
        <v>4</v>
      </c>
      <c r="M68" s="1098">
        <f t="shared" si="60"/>
        <v>5</v>
      </c>
      <c r="N68" s="698">
        <f t="shared" si="23"/>
        <v>0</v>
      </c>
      <c r="O68" s="943" t="str">
        <f t="shared" si="24"/>
        <v>Arrière PV</v>
      </c>
      <c r="P68" s="688">
        <f t="shared" si="25"/>
        <v>231</v>
      </c>
      <c r="Q68" s="695">
        <f t="shared" si="26"/>
        <v>18.262889942194128</v>
      </c>
      <c r="R68" s="698">
        <f t="shared" si="27"/>
        <v>18.262889942194128</v>
      </c>
      <c r="S68" s="698">
        <f t="shared" si="28"/>
        <v>18.262889942194128</v>
      </c>
      <c r="T68" s="698">
        <f t="shared" si="29"/>
        <v>18.262889942194128</v>
      </c>
      <c r="U68" s="959">
        <f t="shared" si="30"/>
        <v>18.262889942194128</v>
      </c>
      <c r="V68" s="1102">
        <f t="shared" si="31"/>
        <v>18.262889942194128</v>
      </c>
      <c r="W68" s="695">
        <f t="shared" si="32"/>
        <v>18.262889942194128</v>
      </c>
      <c r="X68" s="698">
        <f t="shared" si="33"/>
        <v>18.262889942194128</v>
      </c>
      <c r="Y68" s="698">
        <f t="shared" si="34"/>
        <v>18.262889942194128</v>
      </c>
      <c r="Z68" s="698">
        <f t="shared" si="35"/>
        <v>18.262889942194128</v>
      </c>
      <c r="AA68" s="959">
        <f t="shared" si="36"/>
        <v>18.262889942194128</v>
      </c>
      <c r="AB68" s="1069">
        <f t="shared" si="37"/>
        <v>18.262889942194128</v>
      </c>
      <c r="AC68" s="1070">
        <f t="shared" si="46"/>
        <v>7.5010000000000003</v>
      </c>
      <c r="AD68" s="39" t="b">
        <f t="shared" si="38"/>
        <v>0</v>
      </c>
      <c r="AE68" s="1070">
        <f t="shared" si="39"/>
        <v>0</v>
      </c>
      <c r="AF68" s="1071">
        <f t="shared" si="47"/>
        <v>0</v>
      </c>
      <c r="AG68" s="944">
        <v>40.520000000000003</v>
      </c>
      <c r="AH68" s="945">
        <v>9.789999999999992</v>
      </c>
      <c r="AJ68" s="1079">
        <f t="shared" si="40"/>
        <v>1</v>
      </c>
      <c r="AK68" s="82">
        <f t="shared" si="41"/>
        <v>2</v>
      </c>
      <c r="AL68" s="1080">
        <f t="shared" si="48"/>
        <v>231</v>
      </c>
      <c r="AM68" s="1080">
        <f t="shared" si="49"/>
        <v>1</v>
      </c>
      <c r="AN68" s="1091">
        <f t="shared" si="42"/>
        <v>232</v>
      </c>
      <c r="AO68" s="1092">
        <f t="shared" si="50"/>
        <v>18.262889942194128</v>
      </c>
      <c r="AP68" s="1084"/>
      <c r="AQ68" s="1085"/>
      <c r="AR68" s="1084"/>
      <c r="AS68" s="1085"/>
      <c r="AT68" s="1084"/>
      <c r="AU68" s="1085"/>
      <c r="AV68" s="1084"/>
      <c r="AW68" s="1085"/>
      <c r="AX68" s="28">
        <f t="shared" si="43"/>
        <v>0</v>
      </c>
      <c r="AY68" s="28">
        <f t="shared" si="44"/>
        <v>0</v>
      </c>
    </row>
    <row r="69" spans="1:51" s="19" customFormat="1" ht="12.75" x14ac:dyDescent="0.2">
      <c r="A69" s="1038">
        <f t="shared" si="21"/>
        <v>0</v>
      </c>
      <c r="B69" s="1042">
        <v>1</v>
      </c>
      <c r="C69" s="1097">
        <f t="shared" ref="C69:M69" si="61">$L32+C$56*Rapous</f>
        <v>-5</v>
      </c>
      <c r="D69" s="1097">
        <f t="shared" si="61"/>
        <v>-4</v>
      </c>
      <c r="E69" s="1097">
        <f t="shared" si="61"/>
        <v>-3</v>
      </c>
      <c r="F69" s="1097">
        <f t="shared" si="61"/>
        <v>-2</v>
      </c>
      <c r="G69" s="1098">
        <f t="shared" si="61"/>
        <v>-1</v>
      </c>
      <c r="H69" s="1099">
        <f t="shared" si="61"/>
        <v>0</v>
      </c>
      <c r="I69" s="1100">
        <f t="shared" si="61"/>
        <v>1</v>
      </c>
      <c r="J69" s="1097">
        <f t="shared" si="61"/>
        <v>2</v>
      </c>
      <c r="K69" s="1097">
        <f t="shared" si="61"/>
        <v>3</v>
      </c>
      <c r="L69" s="1097">
        <f t="shared" si="61"/>
        <v>4</v>
      </c>
      <c r="M69" s="1098">
        <f t="shared" si="61"/>
        <v>5</v>
      </c>
      <c r="N69" s="698">
        <f t="shared" si="23"/>
        <v>0</v>
      </c>
      <c r="O69" s="943">
        <f t="shared" si="24"/>
        <v>0</v>
      </c>
      <c r="P69" s="688">
        <f t="shared" si="25"/>
        <v>231</v>
      </c>
      <c r="Q69" s="695">
        <f t="shared" si="26"/>
        <v>18.262889942194128</v>
      </c>
      <c r="R69" s="698">
        <f t="shared" si="27"/>
        <v>18.262889942194128</v>
      </c>
      <c r="S69" s="698">
        <f t="shared" si="28"/>
        <v>18.262889942194128</v>
      </c>
      <c r="T69" s="698">
        <f t="shared" si="29"/>
        <v>18.262889942194128</v>
      </c>
      <c r="U69" s="959">
        <f t="shared" si="30"/>
        <v>18.262889942194128</v>
      </c>
      <c r="V69" s="1102">
        <f t="shared" si="31"/>
        <v>18.262889942194128</v>
      </c>
      <c r="W69" s="695">
        <f t="shared" si="32"/>
        <v>18.262889942194128</v>
      </c>
      <c r="X69" s="698">
        <f t="shared" si="33"/>
        <v>18.262889942194128</v>
      </c>
      <c r="Y69" s="698">
        <f t="shared" si="34"/>
        <v>18.262889942194128</v>
      </c>
      <c r="Z69" s="698">
        <f t="shared" si="35"/>
        <v>18.262889942194128</v>
      </c>
      <c r="AA69" s="959">
        <f t="shared" si="36"/>
        <v>18.262889942194128</v>
      </c>
      <c r="AB69" s="1069">
        <f t="shared" si="37"/>
        <v>18.262889942194128</v>
      </c>
      <c r="AC69" s="1070">
        <f t="shared" si="46"/>
        <v>7.5010000000000003</v>
      </c>
      <c r="AD69" s="39" t="b">
        <f t="shared" si="38"/>
        <v>0</v>
      </c>
      <c r="AE69" s="1070">
        <f t="shared" si="39"/>
        <v>0</v>
      </c>
      <c r="AF69" s="1071">
        <f t="shared" si="47"/>
        <v>0</v>
      </c>
      <c r="AG69" s="944">
        <v>42.91</v>
      </c>
      <c r="AH69" s="945">
        <v>10.22999999999999</v>
      </c>
      <c r="AJ69" s="1079">
        <f t="shared" si="40"/>
        <v>1</v>
      </c>
      <c r="AK69" s="82">
        <f t="shared" si="41"/>
        <v>2</v>
      </c>
      <c r="AL69" s="1080">
        <f t="shared" si="48"/>
        <v>231</v>
      </c>
      <c r="AM69" s="1080">
        <f t="shared" si="49"/>
        <v>1</v>
      </c>
      <c r="AN69" s="1091">
        <f>IF(AND(AX69=0,AX70=0),MAX(AN68,$H$43+1),AX69)</f>
        <v>232</v>
      </c>
      <c r="AO69" s="1092">
        <f t="shared" si="50"/>
        <v>18.262889942194128</v>
      </c>
      <c r="AP69" s="1084"/>
      <c r="AQ69" s="1085"/>
      <c r="AR69" s="1084"/>
      <c r="AS69" s="1085"/>
      <c r="AT69" s="1084"/>
      <c r="AU69" s="1085"/>
      <c r="AV69" s="1084"/>
      <c r="AW69" s="1085"/>
      <c r="AX69" s="28">
        <f t="shared" si="43"/>
        <v>0</v>
      </c>
      <c r="AY69" s="28">
        <f t="shared" si="44"/>
        <v>0</v>
      </c>
    </row>
    <row r="70" spans="1:51" s="19" customFormat="1" ht="12.75" x14ac:dyDescent="0.2">
      <c r="A70" s="1038">
        <f t="shared" si="21"/>
        <v>0</v>
      </c>
      <c r="B70" s="1042">
        <v>1</v>
      </c>
      <c r="C70" s="1097">
        <f t="shared" ref="C70:M70" si="62">$L33+C$56*Rapous</f>
        <v>-5</v>
      </c>
      <c r="D70" s="1097">
        <f t="shared" si="62"/>
        <v>-4</v>
      </c>
      <c r="E70" s="1097">
        <f t="shared" si="62"/>
        <v>-3</v>
      </c>
      <c r="F70" s="1097">
        <f t="shared" si="62"/>
        <v>-2</v>
      </c>
      <c r="G70" s="1098">
        <f t="shared" si="62"/>
        <v>-1</v>
      </c>
      <c r="H70" s="1099">
        <f t="shared" si="62"/>
        <v>0</v>
      </c>
      <c r="I70" s="1100">
        <f t="shared" si="62"/>
        <v>1</v>
      </c>
      <c r="J70" s="1097">
        <f t="shared" si="62"/>
        <v>2</v>
      </c>
      <c r="K70" s="1097">
        <f t="shared" si="62"/>
        <v>3</v>
      </c>
      <c r="L70" s="1097">
        <f t="shared" si="62"/>
        <v>4</v>
      </c>
      <c r="M70" s="1098">
        <f t="shared" si="62"/>
        <v>5</v>
      </c>
      <c r="N70" s="698">
        <f t="shared" si="23"/>
        <v>0</v>
      </c>
      <c r="O70" s="943">
        <f t="shared" si="24"/>
        <v>0</v>
      </c>
      <c r="P70" s="688">
        <f t="shared" si="25"/>
        <v>231</v>
      </c>
      <c r="Q70" s="695">
        <f t="shared" si="26"/>
        <v>18.262889942194128</v>
      </c>
      <c r="R70" s="698">
        <f t="shared" si="27"/>
        <v>18.262889942194128</v>
      </c>
      <c r="S70" s="698">
        <f t="shared" si="28"/>
        <v>18.262889942194128</v>
      </c>
      <c r="T70" s="698">
        <f t="shared" si="29"/>
        <v>18.262889942194128</v>
      </c>
      <c r="U70" s="959">
        <f t="shared" si="30"/>
        <v>18.262889942194128</v>
      </c>
      <c r="V70" s="1102">
        <f t="shared" si="31"/>
        <v>18.262889942194128</v>
      </c>
      <c r="W70" s="695">
        <f t="shared" si="32"/>
        <v>18.262889942194128</v>
      </c>
      <c r="X70" s="698">
        <f t="shared" si="33"/>
        <v>18.262889942194128</v>
      </c>
      <c r="Y70" s="698">
        <f t="shared" si="34"/>
        <v>18.262889942194128</v>
      </c>
      <c r="Z70" s="698">
        <f t="shared" si="35"/>
        <v>18.262889942194128</v>
      </c>
      <c r="AA70" s="959">
        <f t="shared" si="36"/>
        <v>18.262889942194128</v>
      </c>
      <c r="AB70" s="1069">
        <f t="shared" si="37"/>
        <v>18.262889942194128</v>
      </c>
      <c r="AC70" s="1070">
        <f t="shared" si="46"/>
        <v>7.5010000000000003</v>
      </c>
      <c r="AD70" s="39" t="b">
        <f t="shared" si="38"/>
        <v>0</v>
      </c>
      <c r="AE70" s="1070">
        <f t="shared" si="39"/>
        <v>0</v>
      </c>
      <c r="AF70" s="1071">
        <f t="shared" si="47"/>
        <v>0</v>
      </c>
      <c r="AG70" s="944">
        <v>46.04</v>
      </c>
      <c r="AH70" s="945">
        <v>10.759999999999991</v>
      </c>
      <c r="AJ70" s="1079">
        <f t="shared" si="40"/>
        <v>1</v>
      </c>
      <c r="AK70" s="82">
        <f t="shared" si="41"/>
        <v>2</v>
      </c>
      <c r="AL70" s="1080">
        <f t="shared" si="48"/>
        <v>231</v>
      </c>
      <c r="AM70" s="1080">
        <f t="shared" si="49"/>
        <v>1</v>
      </c>
      <c r="AN70" s="1091">
        <f>IF(AND(AX70=0,AX71=0),MAX(AN69,$H$43+1),AX70)</f>
        <v>232</v>
      </c>
      <c r="AO70" s="1092">
        <f t="shared" si="50"/>
        <v>18.262889942194128</v>
      </c>
      <c r="AP70" s="1084"/>
      <c r="AQ70" s="1085"/>
      <c r="AR70" s="1084"/>
      <c r="AS70" s="1085"/>
      <c r="AT70" s="1084"/>
      <c r="AU70" s="1085"/>
      <c r="AV70" s="1084"/>
      <c r="AW70" s="1085"/>
      <c r="AX70" s="28">
        <f t="shared" si="43"/>
        <v>0</v>
      </c>
      <c r="AY70" s="28">
        <f t="shared" si="44"/>
        <v>0</v>
      </c>
    </row>
    <row r="71" spans="1:51" s="28" customFormat="1" ht="12.75" x14ac:dyDescent="0.2">
      <c r="A71" s="1039">
        <f t="shared" si="21"/>
        <v>0</v>
      </c>
      <c r="B71" s="1042">
        <v>1</v>
      </c>
      <c r="C71" s="1097">
        <f t="shared" ref="C71:M71" si="63">$L34+C$56*Rapous</f>
        <v>-5</v>
      </c>
      <c r="D71" s="1097">
        <f t="shared" si="63"/>
        <v>-4</v>
      </c>
      <c r="E71" s="1097">
        <f t="shared" si="63"/>
        <v>-3</v>
      </c>
      <c r="F71" s="1097">
        <f t="shared" si="63"/>
        <v>-2</v>
      </c>
      <c r="G71" s="1098">
        <f t="shared" si="63"/>
        <v>-1</v>
      </c>
      <c r="H71" s="1099">
        <f t="shared" si="63"/>
        <v>0</v>
      </c>
      <c r="I71" s="1100">
        <f t="shared" si="63"/>
        <v>1</v>
      </c>
      <c r="J71" s="1097">
        <f t="shared" si="63"/>
        <v>2</v>
      </c>
      <c r="K71" s="1097">
        <f t="shared" si="63"/>
        <v>3</v>
      </c>
      <c r="L71" s="1097">
        <f t="shared" si="63"/>
        <v>4</v>
      </c>
      <c r="M71" s="1098">
        <f t="shared" si="63"/>
        <v>5</v>
      </c>
      <c r="N71" s="698">
        <f t="shared" si="23"/>
        <v>0</v>
      </c>
      <c r="O71" s="943">
        <f t="shared" si="24"/>
        <v>0</v>
      </c>
      <c r="P71" s="688">
        <f t="shared" si="25"/>
        <v>231</v>
      </c>
      <c r="Q71" s="695">
        <f t="shared" si="26"/>
        <v>18.262889942194128</v>
      </c>
      <c r="R71" s="698">
        <f t="shared" si="27"/>
        <v>18.262889942194128</v>
      </c>
      <c r="S71" s="698">
        <f t="shared" si="28"/>
        <v>18.262889942194128</v>
      </c>
      <c r="T71" s="698">
        <f t="shared" si="29"/>
        <v>18.262889942194128</v>
      </c>
      <c r="U71" s="959">
        <f t="shared" si="30"/>
        <v>18.262889942194128</v>
      </c>
      <c r="V71" s="1102">
        <f t="shared" si="31"/>
        <v>18.262889942194128</v>
      </c>
      <c r="W71" s="695">
        <f t="shared" si="32"/>
        <v>18.262889942194128</v>
      </c>
      <c r="X71" s="698">
        <f t="shared" si="33"/>
        <v>18.262889942194128</v>
      </c>
      <c r="Y71" s="698">
        <f t="shared" si="34"/>
        <v>18.262889942194128</v>
      </c>
      <c r="Z71" s="698">
        <f t="shared" si="35"/>
        <v>18.262889942194128</v>
      </c>
      <c r="AA71" s="959">
        <f t="shared" si="36"/>
        <v>18.262889942194128</v>
      </c>
      <c r="AB71" s="1069">
        <f t="shared" si="37"/>
        <v>18.262889942194128</v>
      </c>
      <c r="AC71" s="1070">
        <f t="shared" si="46"/>
        <v>7.5010000000000003</v>
      </c>
      <c r="AD71" s="39" t="b">
        <f t="shared" si="38"/>
        <v>0</v>
      </c>
      <c r="AE71" s="1070">
        <f t="shared" si="39"/>
        <v>0</v>
      </c>
      <c r="AF71" s="1071">
        <f t="shared" si="47"/>
        <v>0</v>
      </c>
      <c r="AG71" s="944">
        <v>48.37</v>
      </c>
      <c r="AH71" s="945">
        <v>11.280000000000001</v>
      </c>
      <c r="AJ71" s="1079">
        <f t="shared" si="40"/>
        <v>1</v>
      </c>
      <c r="AK71" s="82">
        <f t="shared" si="41"/>
        <v>2</v>
      </c>
      <c r="AL71" s="1080">
        <f t="shared" si="48"/>
        <v>231</v>
      </c>
      <c r="AM71" s="1080">
        <f t="shared" si="49"/>
        <v>1</v>
      </c>
      <c r="AN71" s="1091">
        <f t="shared" ref="AN71:AN80" si="64">IF(AND(AX71=0,AX72=0),MAX(AN70,$H$43+1),AX71)</f>
        <v>232</v>
      </c>
      <c r="AO71" s="1092">
        <f t="shared" si="50"/>
        <v>18.262889942194128</v>
      </c>
      <c r="AP71" s="1084"/>
      <c r="AQ71" s="1085"/>
      <c r="AR71" s="1084"/>
      <c r="AS71" s="1085"/>
      <c r="AT71" s="1084"/>
      <c r="AU71" s="1085"/>
      <c r="AV71" s="1084"/>
      <c r="AW71" s="1085"/>
      <c r="AX71" s="28">
        <f t="shared" si="43"/>
        <v>0</v>
      </c>
      <c r="AY71" s="28">
        <f t="shared" si="44"/>
        <v>0</v>
      </c>
    </row>
    <row r="72" spans="1:51" s="28" customFormat="1" ht="12.75" x14ac:dyDescent="0.2">
      <c r="A72" s="1039">
        <f t="shared" si="21"/>
        <v>0</v>
      </c>
      <c r="B72" s="1042">
        <v>1</v>
      </c>
      <c r="C72" s="1097">
        <f t="shared" ref="C72:M72" si="65">$L35+C$56*Rapous</f>
        <v>-5</v>
      </c>
      <c r="D72" s="1097">
        <f t="shared" si="65"/>
        <v>-4</v>
      </c>
      <c r="E72" s="1097">
        <f t="shared" si="65"/>
        <v>-3</v>
      </c>
      <c r="F72" s="1097">
        <f t="shared" si="65"/>
        <v>-2</v>
      </c>
      <c r="G72" s="1098">
        <f t="shared" si="65"/>
        <v>-1</v>
      </c>
      <c r="H72" s="1099">
        <f t="shared" si="65"/>
        <v>0</v>
      </c>
      <c r="I72" s="1100">
        <f t="shared" si="65"/>
        <v>1</v>
      </c>
      <c r="J72" s="1097">
        <f t="shared" si="65"/>
        <v>2</v>
      </c>
      <c r="K72" s="1097">
        <f t="shared" si="65"/>
        <v>3</v>
      </c>
      <c r="L72" s="1097">
        <f t="shared" si="65"/>
        <v>4</v>
      </c>
      <c r="M72" s="1098">
        <f t="shared" si="65"/>
        <v>5</v>
      </c>
      <c r="N72" s="698">
        <f t="shared" si="23"/>
        <v>0</v>
      </c>
      <c r="O72" s="943">
        <f t="shared" si="24"/>
        <v>0</v>
      </c>
      <c r="P72" s="688">
        <f t="shared" si="25"/>
        <v>231</v>
      </c>
      <c r="Q72" s="695">
        <f t="shared" si="26"/>
        <v>18.262889942194128</v>
      </c>
      <c r="R72" s="698">
        <f t="shared" si="27"/>
        <v>18.262889942194128</v>
      </c>
      <c r="S72" s="698">
        <f t="shared" si="28"/>
        <v>18.262889942194128</v>
      </c>
      <c r="T72" s="698">
        <f t="shared" si="29"/>
        <v>18.262889942194128</v>
      </c>
      <c r="U72" s="959">
        <f t="shared" si="30"/>
        <v>18.262889942194128</v>
      </c>
      <c r="V72" s="1102">
        <f t="shared" si="31"/>
        <v>18.262889942194128</v>
      </c>
      <c r="W72" s="695">
        <f t="shared" si="32"/>
        <v>18.262889942194128</v>
      </c>
      <c r="X72" s="698">
        <f t="shared" si="33"/>
        <v>18.262889942194128</v>
      </c>
      <c r="Y72" s="698">
        <f t="shared" si="34"/>
        <v>18.262889942194128</v>
      </c>
      <c r="Z72" s="698">
        <f t="shared" si="35"/>
        <v>18.262889942194128</v>
      </c>
      <c r="AA72" s="959">
        <f t="shared" si="36"/>
        <v>18.262889942194128</v>
      </c>
      <c r="AB72" s="1069">
        <f t="shared" si="37"/>
        <v>18.262889942194128</v>
      </c>
      <c r="AC72" s="1070">
        <f t="shared" si="46"/>
        <v>7.5010000000000003</v>
      </c>
      <c r="AD72" s="39" t="b">
        <f t="shared" si="38"/>
        <v>0</v>
      </c>
      <c r="AE72" s="1070">
        <f t="shared" si="39"/>
        <v>0</v>
      </c>
      <c r="AF72" s="1071">
        <f t="shared" si="47"/>
        <v>0</v>
      </c>
      <c r="AG72" s="944">
        <v>51.52</v>
      </c>
      <c r="AH72" s="945">
        <v>11.930000000000007</v>
      </c>
      <c r="AJ72" s="1079">
        <f t="shared" si="40"/>
        <v>1</v>
      </c>
      <c r="AK72" s="82">
        <f t="shared" si="41"/>
        <v>2</v>
      </c>
      <c r="AL72" s="1080">
        <f t="shared" si="48"/>
        <v>231</v>
      </c>
      <c r="AM72" s="1080">
        <f t="shared" si="49"/>
        <v>1</v>
      </c>
      <c r="AN72" s="1091">
        <f t="shared" si="64"/>
        <v>232</v>
      </c>
      <c r="AO72" s="1092">
        <f t="shared" si="50"/>
        <v>18.262889942194128</v>
      </c>
      <c r="AP72" s="1084"/>
      <c r="AQ72" s="1085"/>
      <c r="AR72" s="1084"/>
      <c r="AS72" s="1085"/>
      <c r="AT72" s="1084"/>
      <c r="AU72" s="1085"/>
      <c r="AV72" s="1084"/>
      <c r="AW72" s="1085"/>
      <c r="AX72" s="28">
        <f t="shared" si="43"/>
        <v>0</v>
      </c>
      <c r="AY72" s="28">
        <f t="shared" si="44"/>
        <v>0</v>
      </c>
    </row>
    <row r="73" spans="1:51" s="28" customFormat="1" ht="12.75" x14ac:dyDescent="0.2">
      <c r="A73" s="1039">
        <f t="shared" si="21"/>
        <v>0</v>
      </c>
      <c r="B73" s="1042">
        <v>1</v>
      </c>
      <c r="C73" s="1097">
        <f t="shared" ref="C73:M73" si="66">$L36+C$56*Rapous</f>
        <v>-5</v>
      </c>
      <c r="D73" s="1097">
        <f t="shared" si="66"/>
        <v>-4</v>
      </c>
      <c r="E73" s="1097">
        <f t="shared" si="66"/>
        <v>-3</v>
      </c>
      <c r="F73" s="1097">
        <f t="shared" si="66"/>
        <v>-2</v>
      </c>
      <c r="G73" s="1098">
        <f t="shared" si="66"/>
        <v>-1</v>
      </c>
      <c r="H73" s="1099">
        <f t="shared" si="66"/>
        <v>0</v>
      </c>
      <c r="I73" s="1100">
        <f t="shared" si="66"/>
        <v>1</v>
      </c>
      <c r="J73" s="1097">
        <f t="shared" si="66"/>
        <v>2</v>
      </c>
      <c r="K73" s="1097">
        <f t="shared" si="66"/>
        <v>3</v>
      </c>
      <c r="L73" s="1097">
        <f t="shared" si="66"/>
        <v>4</v>
      </c>
      <c r="M73" s="1098">
        <f t="shared" si="66"/>
        <v>5</v>
      </c>
      <c r="N73" s="698">
        <f t="shared" si="23"/>
        <v>0</v>
      </c>
      <c r="O73" s="943">
        <f t="shared" si="24"/>
        <v>0</v>
      </c>
      <c r="P73" s="688">
        <f t="shared" si="25"/>
        <v>231</v>
      </c>
      <c r="Q73" s="695">
        <f t="shared" si="26"/>
        <v>18.262889942194128</v>
      </c>
      <c r="R73" s="698">
        <f t="shared" si="27"/>
        <v>18.262889942194128</v>
      </c>
      <c r="S73" s="698">
        <f t="shared" si="28"/>
        <v>18.262889942194128</v>
      </c>
      <c r="T73" s="698">
        <f t="shared" si="29"/>
        <v>18.262889942194128</v>
      </c>
      <c r="U73" s="959">
        <f t="shared" si="30"/>
        <v>18.262889942194128</v>
      </c>
      <c r="V73" s="1102">
        <f t="shared" si="31"/>
        <v>18.262889942194128</v>
      </c>
      <c r="W73" s="695">
        <f t="shared" si="32"/>
        <v>18.262889942194128</v>
      </c>
      <c r="X73" s="698">
        <f t="shared" si="33"/>
        <v>18.262889942194128</v>
      </c>
      <c r="Y73" s="698">
        <f t="shared" si="34"/>
        <v>18.262889942194128</v>
      </c>
      <c r="Z73" s="698">
        <f t="shared" si="35"/>
        <v>18.262889942194128</v>
      </c>
      <c r="AA73" s="959">
        <f t="shared" si="36"/>
        <v>18.262889942194128</v>
      </c>
      <c r="AB73" s="1069">
        <f t="shared" si="37"/>
        <v>18.262889942194128</v>
      </c>
      <c r="AC73" s="1070">
        <f t="shared" si="46"/>
        <v>7.5010000000000003</v>
      </c>
      <c r="AD73" s="39" t="b">
        <f t="shared" si="38"/>
        <v>0</v>
      </c>
      <c r="AE73" s="1070">
        <f t="shared" si="39"/>
        <v>0</v>
      </c>
      <c r="AF73" s="1071">
        <f t="shared" si="47"/>
        <v>0</v>
      </c>
      <c r="AG73" s="944">
        <v>53.73</v>
      </c>
      <c r="AH73" s="947">
        <v>12.530000000000001</v>
      </c>
      <c r="AJ73" s="1079">
        <f t="shared" si="40"/>
        <v>1</v>
      </c>
      <c r="AK73" s="82">
        <f t="shared" si="41"/>
        <v>2</v>
      </c>
      <c r="AL73" s="1080">
        <f t="shared" si="48"/>
        <v>231</v>
      </c>
      <c r="AM73" s="1080">
        <f t="shared" si="49"/>
        <v>1</v>
      </c>
      <c r="AN73" s="1091">
        <f t="shared" si="64"/>
        <v>232</v>
      </c>
      <c r="AO73" s="1092">
        <f t="shared" si="50"/>
        <v>18.262889942194128</v>
      </c>
      <c r="AP73" s="1084"/>
      <c r="AQ73" s="1085"/>
      <c r="AR73" s="1084"/>
      <c r="AS73" s="1085"/>
      <c r="AT73" s="1084"/>
      <c r="AU73" s="1085"/>
      <c r="AV73" s="1084"/>
      <c r="AW73" s="1085"/>
      <c r="AX73" s="28">
        <f t="shared" si="43"/>
        <v>0</v>
      </c>
      <c r="AY73" s="28">
        <f t="shared" si="44"/>
        <v>0</v>
      </c>
    </row>
    <row r="74" spans="1:51" s="28" customFormat="1" ht="12.75" x14ac:dyDescent="0.2">
      <c r="A74" s="1039">
        <f t="shared" si="21"/>
        <v>0</v>
      </c>
      <c r="B74" s="1042">
        <v>1</v>
      </c>
      <c r="C74" s="1097">
        <f t="shared" ref="C74:M74" si="67">$L37+C$56*Rapous</f>
        <v>-5</v>
      </c>
      <c r="D74" s="1097">
        <f t="shared" si="67"/>
        <v>-4</v>
      </c>
      <c r="E74" s="1097">
        <f t="shared" si="67"/>
        <v>-3</v>
      </c>
      <c r="F74" s="1097">
        <f t="shared" si="67"/>
        <v>-2</v>
      </c>
      <c r="G74" s="1098">
        <f t="shared" si="67"/>
        <v>-1</v>
      </c>
      <c r="H74" s="1099">
        <f t="shared" si="67"/>
        <v>0</v>
      </c>
      <c r="I74" s="1100">
        <f t="shared" si="67"/>
        <v>1</v>
      </c>
      <c r="J74" s="1097">
        <f t="shared" si="67"/>
        <v>2</v>
      </c>
      <c r="K74" s="1097">
        <f t="shared" si="67"/>
        <v>3</v>
      </c>
      <c r="L74" s="1097">
        <f t="shared" si="67"/>
        <v>4</v>
      </c>
      <c r="M74" s="1098">
        <f t="shared" si="67"/>
        <v>5</v>
      </c>
      <c r="N74" s="698">
        <f t="shared" si="23"/>
        <v>0</v>
      </c>
      <c r="O74" s="943">
        <f t="shared" si="24"/>
        <v>0</v>
      </c>
      <c r="P74" s="688">
        <f t="shared" si="25"/>
        <v>231</v>
      </c>
      <c r="Q74" s="695">
        <f t="shared" si="26"/>
        <v>18.262889942194128</v>
      </c>
      <c r="R74" s="698">
        <f t="shared" si="27"/>
        <v>18.262889942194128</v>
      </c>
      <c r="S74" s="698">
        <f t="shared" si="28"/>
        <v>18.262889942194128</v>
      </c>
      <c r="T74" s="698">
        <f t="shared" si="29"/>
        <v>18.262889942194128</v>
      </c>
      <c r="U74" s="959">
        <f t="shared" si="30"/>
        <v>18.262889942194128</v>
      </c>
      <c r="V74" s="1102">
        <f t="shared" si="31"/>
        <v>18.262889942194128</v>
      </c>
      <c r="W74" s="695">
        <f t="shared" si="32"/>
        <v>18.262889942194128</v>
      </c>
      <c r="X74" s="698">
        <f t="shared" si="33"/>
        <v>18.262889942194128</v>
      </c>
      <c r="Y74" s="698">
        <f t="shared" si="34"/>
        <v>18.262889942194128</v>
      </c>
      <c r="Z74" s="698">
        <f t="shared" si="35"/>
        <v>18.262889942194128</v>
      </c>
      <c r="AA74" s="959">
        <f t="shared" si="36"/>
        <v>18.262889942194128</v>
      </c>
      <c r="AB74" s="1069">
        <f t="shared" si="37"/>
        <v>18.262889942194128</v>
      </c>
      <c r="AC74" s="1070">
        <f t="shared" si="46"/>
        <v>7.5010000000000003</v>
      </c>
      <c r="AD74" s="39" t="b">
        <f t="shared" si="38"/>
        <v>0</v>
      </c>
      <c r="AE74" s="1070">
        <f t="shared" si="39"/>
        <v>0</v>
      </c>
      <c r="AF74" s="1071">
        <f t="shared" si="47"/>
        <v>0</v>
      </c>
      <c r="AG74" s="944">
        <v>56.67</v>
      </c>
      <c r="AH74" s="947">
        <v>13.370000000000005</v>
      </c>
      <c r="AJ74" s="1079">
        <f t="shared" si="40"/>
        <v>1</v>
      </c>
      <c r="AK74" s="82">
        <f t="shared" si="41"/>
        <v>2</v>
      </c>
      <c r="AL74" s="1080">
        <f t="shared" si="48"/>
        <v>231</v>
      </c>
      <c r="AM74" s="1080">
        <f t="shared" si="49"/>
        <v>1</v>
      </c>
      <c r="AN74" s="1091">
        <f t="shared" si="64"/>
        <v>232</v>
      </c>
      <c r="AO74" s="1092">
        <f t="shared" si="50"/>
        <v>18.262889942194128</v>
      </c>
      <c r="AP74" s="1084"/>
      <c r="AQ74" s="1085"/>
      <c r="AR74" s="1084"/>
      <c r="AS74" s="1085"/>
      <c r="AT74" s="1084"/>
      <c r="AU74" s="1085"/>
      <c r="AV74" s="1084"/>
      <c r="AW74" s="1085"/>
      <c r="AX74" s="28">
        <f t="shared" si="43"/>
        <v>0</v>
      </c>
      <c r="AY74" s="28">
        <f t="shared" si="44"/>
        <v>0</v>
      </c>
    </row>
    <row r="75" spans="1:51" s="28" customFormat="1" ht="12.75" x14ac:dyDescent="0.2">
      <c r="A75" s="1039">
        <f t="shared" si="21"/>
        <v>0</v>
      </c>
      <c r="B75" s="1042">
        <v>1</v>
      </c>
      <c r="C75" s="1097">
        <f t="shared" ref="C75:M75" si="68">$L38+C$56*Rapous</f>
        <v>-5</v>
      </c>
      <c r="D75" s="1097">
        <f t="shared" si="68"/>
        <v>-4</v>
      </c>
      <c r="E75" s="1097">
        <f t="shared" si="68"/>
        <v>-3</v>
      </c>
      <c r="F75" s="1097">
        <f t="shared" si="68"/>
        <v>-2</v>
      </c>
      <c r="G75" s="1098">
        <f t="shared" si="68"/>
        <v>-1</v>
      </c>
      <c r="H75" s="1099">
        <f t="shared" si="68"/>
        <v>0</v>
      </c>
      <c r="I75" s="1100">
        <f t="shared" si="68"/>
        <v>1</v>
      </c>
      <c r="J75" s="1097">
        <f t="shared" si="68"/>
        <v>2</v>
      </c>
      <c r="K75" s="1097">
        <f t="shared" si="68"/>
        <v>3</v>
      </c>
      <c r="L75" s="1097">
        <f t="shared" si="68"/>
        <v>4</v>
      </c>
      <c r="M75" s="1098">
        <f t="shared" si="68"/>
        <v>5</v>
      </c>
      <c r="N75" s="698">
        <f t="shared" si="23"/>
        <v>0</v>
      </c>
      <c r="O75" s="943">
        <f t="shared" si="24"/>
        <v>0</v>
      </c>
      <c r="P75" s="688">
        <f t="shared" si="25"/>
        <v>231</v>
      </c>
      <c r="Q75" s="695">
        <f t="shared" si="26"/>
        <v>18.262889942194128</v>
      </c>
      <c r="R75" s="698">
        <f t="shared" si="27"/>
        <v>18.262889942194128</v>
      </c>
      <c r="S75" s="698">
        <f t="shared" si="28"/>
        <v>18.262889942194128</v>
      </c>
      <c r="T75" s="698">
        <f t="shared" si="29"/>
        <v>18.262889942194128</v>
      </c>
      <c r="U75" s="959">
        <f t="shared" si="30"/>
        <v>18.262889942194128</v>
      </c>
      <c r="V75" s="1102">
        <f t="shared" si="31"/>
        <v>18.262889942194128</v>
      </c>
      <c r="W75" s="695">
        <f t="shared" si="32"/>
        <v>18.262889942194128</v>
      </c>
      <c r="X75" s="698">
        <f t="shared" si="33"/>
        <v>18.262889942194128</v>
      </c>
      <c r="Y75" s="698">
        <f t="shared" si="34"/>
        <v>18.262889942194128</v>
      </c>
      <c r="Z75" s="698">
        <f t="shared" si="35"/>
        <v>18.262889942194128</v>
      </c>
      <c r="AA75" s="959">
        <f t="shared" si="36"/>
        <v>18.262889942194128</v>
      </c>
      <c r="AB75" s="1069">
        <f t="shared" si="37"/>
        <v>18.262889942194128</v>
      </c>
      <c r="AC75" s="1070">
        <f t="shared" si="46"/>
        <v>7.5010000000000003</v>
      </c>
      <c r="AD75" s="39" t="b">
        <f t="shared" si="38"/>
        <v>0</v>
      </c>
      <c r="AE75" s="1070">
        <f t="shared" si="39"/>
        <v>0</v>
      </c>
      <c r="AF75" s="1071">
        <f t="shared" si="47"/>
        <v>0</v>
      </c>
      <c r="AG75" s="944">
        <v>58.66</v>
      </c>
      <c r="AH75" s="947">
        <v>13.969999999999999</v>
      </c>
      <c r="AJ75" s="1079">
        <f t="shared" si="40"/>
        <v>1</v>
      </c>
      <c r="AK75" s="82">
        <f t="shared" si="41"/>
        <v>2</v>
      </c>
      <c r="AL75" s="1080">
        <f t="shared" si="48"/>
        <v>231</v>
      </c>
      <c r="AM75" s="1080">
        <f t="shared" si="49"/>
        <v>1</v>
      </c>
      <c r="AN75" s="1091">
        <f t="shared" si="64"/>
        <v>232</v>
      </c>
      <c r="AO75" s="1092">
        <f t="shared" si="50"/>
        <v>18.262889942194128</v>
      </c>
      <c r="AP75" s="1084"/>
      <c r="AQ75" s="1085"/>
      <c r="AR75" s="1084"/>
      <c r="AS75" s="1085"/>
      <c r="AT75" s="1084"/>
      <c r="AU75" s="1085"/>
      <c r="AV75" s="1084"/>
      <c r="AW75" s="1085"/>
      <c r="AX75" s="28">
        <f t="shared" si="43"/>
        <v>0</v>
      </c>
      <c r="AY75" s="28">
        <f t="shared" si="44"/>
        <v>0</v>
      </c>
    </row>
    <row r="76" spans="1:51" s="28" customFormat="1" ht="12.75" x14ac:dyDescent="0.2">
      <c r="A76" s="1039">
        <f t="shared" si="21"/>
        <v>0</v>
      </c>
      <c r="B76" s="1042">
        <v>1</v>
      </c>
      <c r="C76" s="698">
        <f t="shared" ref="C76:M76" si="69">$L39+C$56*Rapous</f>
        <v>-5</v>
      </c>
      <c r="D76" s="698">
        <f t="shared" si="69"/>
        <v>-4</v>
      </c>
      <c r="E76" s="698">
        <f t="shared" si="69"/>
        <v>-3</v>
      </c>
      <c r="F76" s="698">
        <f t="shared" si="69"/>
        <v>-2</v>
      </c>
      <c r="G76" s="959">
        <f t="shared" si="69"/>
        <v>-1</v>
      </c>
      <c r="H76" s="1099">
        <f t="shared" si="69"/>
        <v>0</v>
      </c>
      <c r="I76" s="1100">
        <f t="shared" si="69"/>
        <v>1</v>
      </c>
      <c r="J76" s="1103">
        <f t="shared" si="69"/>
        <v>2</v>
      </c>
      <c r="K76" s="1097">
        <f t="shared" si="69"/>
        <v>3</v>
      </c>
      <c r="L76" s="1103">
        <f t="shared" si="69"/>
        <v>4</v>
      </c>
      <c r="M76" s="1098">
        <f t="shared" si="69"/>
        <v>5</v>
      </c>
      <c r="N76" s="698">
        <f t="shared" si="23"/>
        <v>0</v>
      </c>
      <c r="O76" s="943">
        <f t="shared" si="24"/>
        <v>0</v>
      </c>
      <c r="P76" s="698">
        <f t="shared" si="25"/>
        <v>231</v>
      </c>
      <c r="Q76" s="695">
        <f t="shared" si="26"/>
        <v>18.262889942194128</v>
      </c>
      <c r="R76" s="698">
        <f t="shared" si="27"/>
        <v>18.262889942194128</v>
      </c>
      <c r="S76" s="698">
        <f t="shared" si="28"/>
        <v>18.262889942194128</v>
      </c>
      <c r="T76" s="698">
        <f t="shared" si="29"/>
        <v>18.262889942194128</v>
      </c>
      <c r="U76" s="959">
        <f t="shared" si="30"/>
        <v>18.262889942194128</v>
      </c>
      <c r="V76" s="1102">
        <f t="shared" si="31"/>
        <v>18.262889942194128</v>
      </c>
      <c r="W76" s="695">
        <f t="shared" si="32"/>
        <v>18.262889942194128</v>
      </c>
      <c r="X76" s="698">
        <f t="shared" si="33"/>
        <v>18.262889942194128</v>
      </c>
      <c r="Y76" s="698">
        <f t="shared" si="34"/>
        <v>18.262889942194128</v>
      </c>
      <c r="Z76" s="698">
        <f t="shared" si="35"/>
        <v>18.262889942194128</v>
      </c>
      <c r="AA76" s="959">
        <f t="shared" si="36"/>
        <v>18.262889942194128</v>
      </c>
      <c r="AB76" s="1069">
        <f t="shared" si="37"/>
        <v>18.262889942194128</v>
      </c>
      <c r="AC76" s="1070">
        <f t="shared" si="46"/>
        <v>7.5010000000000003</v>
      </c>
      <c r="AD76" s="39" t="b">
        <f t="shared" si="38"/>
        <v>0</v>
      </c>
      <c r="AE76" s="1070">
        <f t="shared" si="39"/>
        <v>0</v>
      </c>
      <c r="AF76" s="1071">
        <f t="shared" si="47"/>
        <v>0</v>
      </c>
      <c r="AG76" s="944">
        <v>61.27</v>
      </c>
      <c r="AH76" s="947">
        <v>15.02000000000001</v>
      </c>
      <c r="AJ76" s="1079">
        <f t="shared" si="40"/>
        <v>1</v>
      </c>
      <c r="AK76" s="82">
        <f t="shared" si="41"/>
        <v>2</v>
      </c>
      <c r="AL76" s="1080">
        <f t="shared" si="48"/>
        <v>231</v>
      </c>
      <c r="AM76" s="1080">
        <f t="shared" si="49"/>
        <v>1</v>
      </c>
      <c r="AN76" s="1091">
        <f t="shared" si="64"/>
        <v>232</v>
      </c>
      <c r="AO76" s="1092">
        <f t="shared" si="50"/>
        <v>18.262889942194128</v>
      </c>
      <c r="AP76" s="1084"/>
      <c r="AQ76" s="1085"/>
      <c r="AR76" s="1084"/>
      <c r="AS76" s="1085"/>
      <c r="AT76" s="1084"/>
      <c r="AU76" s="1085"/>
      <c r="AV76" s="1084"/>
      <c r="AW76" s="1085"/>
      <c r="AX76" s="28">
        <f t="shared" si="43"/>
        <v>0</v>
      </c>
      <c r="AY76" s="28">
        <f t="shared" si="44"/>
        <v>0</v>
      </c>
    </row>
    <row r="77" spans="1:51" s="28" customFormat="1" ht="12.75" x14ac:dyDescent="0.2">
      <c r="A77" s="1039">
        <f t="shared" si="21"/>
        <v>0</v>
      </c>
      <c r="B77" s="1042">
        <v>1</v>
      </c>
      <c r="C77" s="698">
        <f t="shared" ref="C77:M77" si="70">$L40+C$56*Rapous</f>
        <v>-5</v>
      </c>
      <c r="D77" s="698">
        <f t="shared" si="70"/>
        <v>-4</v>
      </c>
      <c r="E77" s="698">
        <f t="shared" si="70"/>
        <v>-3</v>
      </c>
      <c r="F77" s="698">
        <f t="shared" si="70"/>
        <v>-2</v>
      </c>
      <c r="G77" s="959">
        <f t="shared" si="70"/>
        <v>-1</v>
      </c>
      <c r="H77" s="1099">
        <f t="shared" si="70"/>
        <v>0</v>
      </c>
      <c r="I77" s="1100">
        <f t="shared" si="70"/>
        <v>1</v>
      </c>
      <c r="J77" s="1103">
        <f t="shared" si="70"/>
        <v>2</v>
      </c>
      <c r="K77" s="1097">
        <f t="shared" si="70"/>
        <v>3</v>
      </c>
      <c r="L77" s="1103">
        <f t="shared" si="70"/>
        <v>4</v>
      </c>
      <c r="M77" s="1098">
        <f t="shared" si="70"/>
        <v>5</v>
      </c>
      <c r="N77" s="698">
        <f t="shared" si="23"/>
        <v>0</v>
      </c>
      <c r="O77" s="943">
        <f t="shared" si="24"/>
        <v>0</v>
      </c>
      <c r="P77" s="698">
        <f t="shared" si="25"/>
        <v>231</v>
      </c>
      <c r="Q77" s="695">
        <f t="shared" si="26"/>
        <v>18.262889942194128</v>
      </c>
      <c r="R77" s="698">
        <f t="shared" si="27"/>
        <v>18.262889942194128</v>
      </c>
      <c r="S77" s="698">
        <f t="shared" si="28"/>
        <v>18.262889942194128</v>
      </c>
      <c r="T77" s="698">
        <f t="shared" si="29"/>
        <v>18.262889942194128</v>
      </c>
      <c r="U77" s="959">
        <f t="shared" si="30"/>
        <v>18.262889942194128</v>
      </c>
      <c r="V77" s="1102">
        <f t="shared" si="31"/>
        <v>18.262889942194128</v>
      </c>
      <c r="W77" s="695">
        <f t="shared" si="32"/>
        <v>18.262889942194128</v>
      </c>
      <c r="X77" s="698">
        <f t="shared" si="33"/>
        <v>18.262889942194128</v>
      </c>
      <c r="Y77" s="698">
        <f t="shared" si="34"/>
        <v>18.262889942194128</v>
      </c>
      <c r="Z77" s="698">
        <f t="shared" si="35"/>
        <v>18.262889942194128</v>
      </c>
      <c r="AA77" s="959">
        <f t="shared" si="36"/>
        <v>18.262889942194128</v>
      </c>
      <c r="AB77" s="1069">
        <f t="shared" si="37"/>
        <v>18.262889942194128</v>
      </c>
      <c r="AC77" s="1070">
        <f t="shared" si="46"/>
        <v>7.5010000000000003</v>
      </c>
      <c r="AD77" s="39" t="b">
        <f t="shared" si="38"/>
        <v>0</v>
      </c>
      <c r="AE77" s="1070">
        <f t="shared" si="39"/>
        <v>0</v>
      </c>
      <c r="AF77" s="1071">
        <f t="shared" si="47"/>
        <v>0</v>
      </c>
      <c r="AG77" s="944">
        <v>62.95</v>
      </c>
      <c r="AH77" s="947">
        <v>15.569999999999993</v>
      </c>
      <c r="AJ77" s="1079">
        <f t="shared" si="40"/>
        <v>1</v>
      </c>
      <c r="AK77" s="82">
        <f t="shared" si="41"/>
        <v>2</v>
      </c>
      <c r="AL77" s="1080">
        <f t="shared" si="48"/>
        <v>231</v>
      </c>
      <c r="AM77" s="1080">
        <f t="shared" si="49"/>
        <v>1</v>
      </c>
      <c r="AN77" s="1091">
        <f t="shared" si="64"/>
        <v>232</v>
      </c>
      <c r="AO77" s="1092">
        <f t="shared" si="50"/>
        <v>18.262889942194128</v>
      </c>
      <c r="AP77" s="1084"/>
      <c r="AQ77" s="1085"/>
      <c r="AR77" s="1084"/>
      <c r="AS77" s="1085"/>
      <c r="AT77" s="1084"/>
      <c r="AU77" s="1085"/>
      <c r="AV77" s="1084"/>
      <c r="AW77" s="1085"/>
      <c r="AX77" s="28">
        <f t="shared" si="43"/>
        <v>0</v>
      </c>
      <c r="AY77" s="28">
        <f t="shared" si="44"/>
        <v>0</v>
      </c>
    </row>
    <row r="78" spans="1:51" s="28" customFormat="1" ht="12.75" x14ac:dyDescent="0.2">
      <c r="A78" s="1039">
        <f t="shared" si="21"/>
        <v>0</v>
      </c>
      <c r="B78" s="1042">
        <v>1</v>
      </c>
      <c r="C78" s="698">
        <f t="shared" ref="C78:M78" si="71">$L41+C$56*Rapous</f>
        <v>-5</v>
      </c>
      <c r="D78" s="698">
        <f t="shared" si="71"/>
        <v>-4</v>
      </c>
      <c r="E78" s="698">
        <f t="shared" si="71"/>
        <v>-3</v>
      </c>
      <c r="F78" s="698">
        <f t="shared" si="71"/>
        <v>-2</v>
      </c>
      <c r="G78" s="959">
        <f t="shared" si="71"/>
        <v>-1</v>
      </c>
      <c r="H78" s="1099">
        <f t="shared" si="71"/>
        <v>0</v>
      </c>
      <c r="I78" s="1100">
        <f t="shared" si="71"/>
        <v>1</v>
      </c>
      <c r="J78" s="1103">
        <f t="shared" si="71"/>
        <v>2</v>
      </c>
      <c r="K78" s="1097">
        <f t="shared" si="71"/>
        <v>3</v>
      </c>
      <c r="L78" s="1103">
        <f t="shared" si="71"/>
        <v>4</v>
      </c>
      <c r="M78" s="1098">
        <f t="shared" si="71"/>
        <v>5</v>
      </c>
      <c r="N78" s="698">
        <f t="shared" si="23"/>
        <v>0</v>
      </c>
      <c r="O78" s="943">
        <f t="shared" si="24"/>
        <v>0</v>
      </c>
      <c r="P78" s="698">
        <f t="shared" si="25"/>
        <v>231</v>
      </c>
      <c r="Q78" s="695">
        <f t="shared" si="26"/>
        <v>18.262889942194128</v>
      </c>
      <c r="R78" s="698">
        <f t="shared" si="27"/>
        <v>18.262889942194128</v>
      </c>
      <c r="S78" s="698">
        <f t="shared" si="28"/>
        <v>18.262889942194128</v>
      </c>
      <c r="T78" s="698">
        <f t="shared" si="29"/>
        <v>18.262889942194128</v>
      </c>
      <c r="U78" s="959">
        <f t="shared" si="30"/>
        <v>18.262889942194128</v>
      </c>
      <c r="V78" s="1102">
        <f t="shared" si="31"/>
        <v>18.262889942194128</v>
      </c>
      <c r="W78" s="695">
        <f t="shared" si="32"/>
        <v>18.262889942194128</v>
      </c>
      <c r="X78" s="698">
        <f t="shared" si="33"/>
        <v>18.262889942194128</v>
      </c>
      <c r="Y78" s="698">
        <f t="shared" si="34"/>
        <v>18.262889942194128</v>
      </c>
      <c r="Z78" s="698">
        <f t="shared" si="35"/>
        <v>18.262889942194128</v>
      </c>
      <c r="AA78" s="959">
        <f t="shared" si="36"/>
        <v>18.262889942194128</v>
      </c>
      <c r="AB78" s="1069">
        <f t="shared" si="37"/>
        <v>18.262889942194128</v>
      </c>
      <c r="AC78" s="1070">
        <f t="shared" si="46"/>
        <v>7.5010000000000003</v>
      </c>
      <c r="AD78" s="39" t="b">
        <f t="shared" si="38"/>
        <v>0</v>
      </c>
      <c r="AE78" s="1070">
        <f t="shared" si="39"/>
        <v>0</v>
      </c>
      <c r="AF78" s="1071">
        <f t="shared" si="47"/>
        <v>0</v>
      </c>
      <c r="AG78" s="944">
        <v>65.069999999999993</v>
      </c>
      <c r="AH78" s="947">
        <v>16.789999999999992</v>
      </c>
      <c r="AJ78" s="1079">
        <f t="shared" si="40"/>
        <v>1</v>
      </c>
      <c r="AK78" s="82">
        <f t="shared" si="41"/>
        <v>2</v>
      </c>
      <c r="AL78" s="1080">
        <f t="shared" si="48"/>
        <v>231</v>
      </c>
      <c r="AM78" s="1080">
        <f t="shared" si="49"/>
        <v>1</v>
      </c>
      <c r="AN78" s="1091">
        <f t="shared" si="64"/>
        <v>232</v>
      </c>
      <c r="AO78" s="1092">
        <f t="shared" si="50"/>
        <v>18.262889942194128</v>
      </c>
      <c r="AP78" s="1084"/>
      <c r="AQ78" s="1085"/>
      <c r="AR78" s="1084"/>
      <c r="AS78" s="1085"/>
      <c r="AT78" s="1084"/>
      <c r="AU78" s="1085"/>
      <c r="AV78" s="1084"/>
      <c r="AW78" s="1085"/>
      <c r="AX78" s="28">
        <f t="shared" si="43"/>
        <v>0</v>
      </c>
      <c r="AY78" s="28">
        <f t="shared" si="44"/>
        <v>0</v>
      </c>
    </row>
    <row r="79" spans="1:51" s="28" customFormat="1" ht="12.75" x14ac:dyDescent="0.2">
      <c r="A79" s="1039">
        <f t="shared" si="21"/>
        <v>0</v>
      </c>
      <c r="B79" s="1042">
        <v>1</v>
      </c>
      <c r="C79" s="698">
        <f t="shared" ref="C79:M79" si="72">$L42+C$56*Rapous</f>
        <v>-5</v>
      </c>
      <c r="D79" s="698">
        <f t="shared" si="72"/>
        <v>-4</v>
      </c>
      <c r="E79" s="698">
        <f t="shared" si="72"/>
        <v>-3</v>
      </c>
      <c r="F79" s="698">
        <f t="shared" si="72"/>
        <v>-2</v>
      </c>
      <c r="G79" s="959">
        <f t="shared" si="72"/>
        <v>-1</v>
      </c>
      <c r="H79" s="1099">
        <f t="shared" si="72"/>
        <v>0</v>
      </c>
      <c r="I79" s="1100">
        <f t="shared" si="72"/>
        <v>1</v>
      </c>
      <c r="J79" s="1103">
        <f t="shared" si="72"/>
        <v>2</v>
      </c>
      <c r="K79" s="1097">
        <f t="shared" si="72"/>
        <v>3</v>
      </c>
      <c r="L79" s="1103">
        <f t="shared" si="72"/>
        <v>4</v>
      </c>
      <c r="M79" s="1098">
        <f t="shared" si="72"/>
        <v>5</v>
      </c>
      <c r="N79" s="698">
        <f t="shared" si="23"/>
        <v>0</v>
      </c>
      <c r="O79" s="943">
        <f t="shared" si="24"/>
        <v>0</v>
      </c>
      <c r="P79" s="698">
        <f t="shared" si="25"/>
        <v>231</v>
      </c>
      <c r="Q79" s="695">
        <f t="shared" si="26"/>
        <v>18.262889942194128</v>
      </c>
      <c r="R79" s="698">
        <f t="shared" si="27"/>
        <v>18.262889942194128</v>
      </c>
      <c r="S79" s="698">
        <f t="shared" si="28"/>
        <v>18.262889942194128</v>
      </c>
      <c r="T79" s="698">
        <f t="shared" si="29"/>
        <v>18.262889942194128</v>
      </c>
      <c r="U79" s="959">
        <f t="shared" si="30"/>
        <v>18.262889942194128</v>
      </c>
      <c r="V79" s="1102">
        <f t="shared" si="31"/>
        <v>18.262889942194128</v>
      </c>
      <c r="W79" s="695">
        <f t="shared" si="32"/>
        <v>18.262889942194128</v>
      </c>
      <c r="X79" s="698">
        <f t="shared" si="33"/>
        <v>18.262889942194128</v>
      </c>
      <c r="Y79" s="698">
        <f t="shared" si="34"/>
        <v>18.262889942194128</v>
      </c>
      <c r="Z79" s="698">
        <f t="shared" si="35"/>
        <v>18.262889942194128</v>
      </c>
      <c r="AA79" s="959">
        <f t="shared" si="36"/>
        <v>18.262889942194128</v>
      </c>
      <c r="AB79" s="1069">
        <f t="shared" si="37"/>
        <v>18.262889942194128</v>
      </c>
      <c r="AC79" s="1070">
        <f t="shared" si="46"/>
        <v>7.5010000000000003</v>
      </c>
      <c r="AD79" s="39" t="b">
        <f t="shared" si="38"/>
        <v>0</v>
      </c>
      <c r="AE79" s="1070">
        <f t="shared" si="39"/>
        <v>0</v>
      </c>
      <c r="AF79" s="1071">
        <f t="shared" si="47"/>
        <v>0</v>
      </c>
      <c r="AG79" s="944">
        <v>66.36</v>
      </c>
      <c r="AH79" s="947">
        <v>17.259999999999991</v>
      </c>
      <c r="AJ79" s="1079">
        <f t="shared" si="40"/>
        <v>1</v>
      </c>
      <c r="AK79" s="82">
        <f t="shared" si="41"/>
        <v>2</v>
      </c>
      <c r="AL79" s="1080">
        <f t="shared" si="48"/>
        <v>231</v>
      </c>
      <c r="AM79" s="1080">
        <f t="shared" si="49"/>
        <v>1</v>
      </c>
      <c r="AN79" s="1091">
        <f t="shared" si="64"/>
        <v>232</v>
      </c>
      <c r="AO79" s="1092">
        <f t="shared" si="50"/>
        <v>18.262889942194128</v>
      </c>
      <c r="AP79" s="1084"/>
      <c r="AQ79" s="1085"/>
      <c r="AR79" s="1084"/>
      <c r="AS79" s="1085"/>
      <c r="AT79" s="1084"/>
      <c r="AU79" s="1085"/>
      <c r="AV79" s="1084"/>
      <c r="AW79" s="1085"/>
      <c r="AX79" s="28">
        <f t="shared" si="43"/>
        <v>0</v>
      </c>
      <c r="AY79" s="28">
        <f t="shared" si="44"/>
        <v>0</v>
      </c>
    </row>
    <row r="80" spans="1:51" s="28" customFormat="1" ht="13.5" thickBot="1" x14ac:dyDescent="0.25">
      <c r="A80" s="1040">
        <f t="shared" si="21"/>
        <v>0</v>
      </c>
      <c r="B80" s="1043">
        <v>1</v>
      </c>
      <c r="C80" s="707">
        <f t="shared" ref="C80:M80" si="73">$L43+C$56*Rapous</f>
        <v>-5</v>
      </c>
      <c r="D80" s="707">
        <f t="shared" si="73"/>
        <v>-4</v>
      </c>
      <c r="E80" s="707">
        <f t="shared" si="73"/>
        <v>-3</v>
      </c>
      <c r="F80" s="707">
        <f t="shared" si="73"/>
        <v>-2</v>
      </c>
      <c r="G80" s="965">
        <f t="shared" si="73"/>
        <v>-1</v>
      </c>
      <c r="H80" s="1104">
        <f t="shared" si="73"/>
        <v>0</v>
      </c>
      <c r="I80" s="1105">
        <f t="shared" si="73"/>
        <v>1</v>
      </c>
      <c r="J80" s="1106">
        <f t="shared" si="73"/>
        <v>2</v>
      </c>
      <c r="K80" s="1107">
        <f t="shared" si="73"/>
        <v>3</v>
      </c>
      <c r="L80" s="1106">
        <f t="shared" si="73"/>
        <v>4</v>
      </c>
      <c r="M80" s="1108">
        <f t="shared" si="73"/>
        <v>5</v>
      </c>
      <c r="N80" s="707">
        <f t="shared" si="23"/>
        <v>0</v>
      </c>
      <c r="O80" s="948">
        <f t="shared" si="24"/>
        <v>0</v>
      </c>
      <c r="P80" s="707">
        <f t="shared" si="25"/>
        <v>231</v>
      </c>
      <c r="Q80" s="964">
        <f t="shared" si="26"/>
        <v>18.262889942194128</v>
      </c>
      <c r="R80" s="707">
        <f t="shared" si="27"/>
        <v>18.262889942194128</v>
      </c>
      <c r="S80" s="707">
        <f t="shared" si="28"/>
        <v>18.262889942194128</v>
      </c>
      <c r="T80" s="707">
        <f t="shared" si="29"/>
        <v>18.262889942194128</v>
      </c>
      <c r="U80" s="965">
        <f t="shared" si="30"/>
        <v>18.262889942194128</v>
      </c>
      <c r="V80" s="1109">
        <f t="shared" si="31"/>
        <v>18.262889942194128</v>
      </c>
      <c r="W80" s="964">
        <f t="shared" si="32"/>
        <v>18.262889942194128</v>
      </c>
      <c r="X80" s="707">
        <f t="shared" si="33"/>
        <v>18.262889942194128</v>
      </c>
      <c r="Y80" s="707">
        <f t="shared" si="34"/>
        <v>18.262889942194128</v>
      </c>
      <c r="Z80" s="707">
        <f t="shared" si="35"/>
        <v>18.262889942194128</v>
      </c>
      <c r="AA80" s="965">
        <f t="shared" si="36"/>
        <v>18.262889942194128</v>
      </c>
      <c r="AB80" s="1072">
        <f>(AA80+Z81)/2</f>
        <v>9.1314449710970642</v>
      </c>
      <c r="AC80" s="1073">
        <f t="shared" si="46"/>
        <v>7.5010000000000003</v>
      </c>
      <c r="AD80" s="1074" t="b">
        <f t="shared" si="38"/>
        <v>1</v>
      </c>
      <c r="AE80" s="1073">
        <f t="shared" si="39"/>
        <v>-231</v>
      </c>
      <c r="AF80" s="1075">
        <f t="shared" si="47"/>
        <v>0</v>
      </c>
      <c r="AG80" s="944">
        <v>67.87</v>
      </c>
      <c r="AH80" s="947">
        <v>18.400000000000006</v>
      </c>
      <c r="AJ80" s="1081">
        <f t="shared" si="40"/>
        <v>1</v>
      </c>
      <c r="AK80" s="1082">
        <f t="shared" si="41"/>
        <v>2</v>
      </c>
      <c r="AL80" s="1083">
        <f t="shared" si="48"/>
        <v>231</v>
      </c>
      <c r="AM80" s="1083">
        <f t="shared" si="49"/>
        <v>1</v>
      </c>
      <c r="AN80" s="1093">
        <f t="shared" si="64"/>
        <v>232</v>
      </c>
      <c r="AO80" s="1094">
        <f t="shared" si="50"/>
        <v>18.262889942194128</v>
      </c>
      <c r="AP80" s="1095"/>
      <c r="AQ80" s="1096"/>
      <c r="AR80" s="1095"/>
      <c r="AS80" s="1096"/>
      <c r="AT80" s="1095"/>
      <c r="AU80" s="1096"/>
      <c r="AV80" s="1095"/>
      <c r="AW80" s="1096"/>
      <c r="AX80" s="28">
        <f t="shared" si="43"/>
        <v>0</v>
      </c>
      <c r="AY80" s="28">
        <f t="shared" si="44"/>
        <v>0</v>
      </c>
    </row>
    <row r="81" spans="1:49" s="19" customFormat="1" ht="12.75" x14ac:dyDescent="0.2">
      <c r="G81" s="31"/>
      <c r="H81" s="31"/>
      <c r="U81" s="29"/>
      <c r="W81" s="29"/>
      <c r="X81" s="704"/>
      <c r="Y81" s="29"/>
      <c r="AB81" s="1044"/>
      <c r="AC81" s="29"/>
      <c r="AG81" s="944">
        <v>68.69</v>
      </c>
      <c r="AH81" s="947">
        <v>18.659999999999997</v>
      </c>
      <c r="AJ81" s="946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5.75" x14ac:dyDescent="0.25">
      <c r="A82" s="662" t="s">
        <v>197</v>
      </c>
      <c r="F82" s="30"/>
      <c r="G82" s="29"/>
      <c r="H82" s="31"/>
      <c r="K82" s="30"/>
      <c r="Q82" s="29"/>
      <c r="R82" s="678"/>
      <c r="S82" s="29"/>
      <c r="U82" s="29"/>
      <c r="W82" s="29"/>
      <c r="X82" s="704"/>
      <c r="Y82" s="29"/>
      <c r="AB82" s="1044"/>
      <c r="AC82" s="29"/>
      <c r="AG82" s="944">
        <v>69.48</v>
      </c>
      <c r="AH82" s="947">
        <v>19.439999999999998</v>
      </c>
      <c r="AJ82" s="946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691" t="str">
        <f t="array" ref="A83:Z95">TRANSPOSE(O55:AA80)</f>
        <v>Garderie Labège</v>
      </c>
      <c r="B83" s="949" t="str">
        <v>zone 3</v>
      </c>
      <c r="C83" s="950" t="str">
        <v>Arrière PV</v>
      </c>
      <c r="D83" s="950" t="str">
        <v>Toiture D</v>
      </c>
      <c r="E83" s="950" t="str">
        <v>Arbre 6</v>
      </c>
      <c r="F83" s="950" t="str">
        <v>Arbre 7</v>
      </c>
      <c r="G83" s="950" t="str">
        <v>Arbre 8</v>
      </c>
      <c r="H83" s="950" t="str">
        <v>Arbre 9</v>
      </c>
      <c r="I83" s="950" t="str">
        <v>Arbre 10</v>
      </c>
      <c r="J83" s="950" t="str">
        <v>Arbre 12</v>
      </c>
      <c r="K83" s="950" t="str">
        <v>Arbre 11</v>
      </c>
      <c r="L83" s="950" t="str">
        <v>Arbre 13</v>
      </c>
      <c r="M83" s="950" t="str">
        <v>Toiture D</v>
      </c>
      <c r="N83" s="950" t="str">
        <v>Arrière PV</v>
      </c>
      <c r="O83" s="950">
        <v>0</v>
      </c>
      <c r="P83" s="950">
        <v>0</v>
      </c>
      <c r="Q83" s="950">
        <v>0</v>
      </c>
      <c r="R83" s="950">
        <v>0</v>
      </c>
      <c r="S83" s="950">
        <v>0</v>
      </c>
      <c r="T83" s="950">
        <v>0</v>
      </c>
      <c r="U83" s="950">
        <v>0</v>
      </c>
      <c r="V83" s="950">
        <v>0</v>
      </c>
      <c r="W83" s="950">
        <v>0</v>
      </c>
      <c r="X83" s="950">
        <v>0</v>
      </c>
      <c r="Y83" s="950">
        <v>0</v>
      </c>
      <c r="Z83" s="950">
        <v>0</v>
      </c>
      <c r="AB83" s="1045"/>
      <c r="AG83" s="966">
        <v>69.760000000000005</v>
      </c>
      <c r="AH83" s="967">
        <v>19.519999999999982</v>
      </c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51">
        <v>51</v>
      </c>
      <c r="B84" s="952" t="str">
        <v>Azi.S / PV</v>
      </c>
      <c r="C84" s="953">
        <v>-129</v>
      </c>
      <c r="D84" s="705">
        <v>-39</v>
      </c>
      <c r="E84" s="705">
        <v>-13.201311636468532</v>
      </c>
      <c r="F84" s="705">
        <v>0.18598908354174226</v>
      </c>
      <c r="G84" s="705">
        <v>34.849351719732603</v>
      </c>
      <c r="H84" s="705">
        <v>55.411389778041851</v>
      </c>
      <c r="I84" s="705">
        <v>62.912389778041849</v>
      </c>
      <c r="J84" s="705">
        <v>82.608781222097122</v>
      </c>
      <c r="K84" s="705">
        <v>98.563405755975936</v>
      </c>
      <c r="L84" s="705">
        <v>109.42940364472241</v>
      </c>
      <c r="M84" s="705">
        <v>141</v>
      </c>
      <c r="N84" s="705">
        <v>231</v>
      </c>
      <c r="O84" s="705">
        <v>231</v>
      </c>
      <c r="P84" s="705">
        <v>231</v>
      </c>
      <c r="Q84" s="705">
        <v>231</v>
      </c>
      <c r="R84" s="705">
        <v>231</v>
      </c>
      <c r="S84" s="705">
        <v>231</v>
      </c>
      <c r="T84" s="705">
        <v>231</v>
      </c>
      <c r="U84" s="705">
        <v>231</v>
      </c>
      <c r="V84" s="705">
        <v>231</v>
      </c>
      <c r="W84" s="705">
        <v>231</v>
      </c>
      <c r="X84" s="705">
        <v>231</v>
      </c>
      <c r="Y84" s="705">
        <v>231</v>
      </c>
      <c r="Z84" s="954">
        <v>231</v>
      </c>
      <c r="AD84" s="28"/>
      <c r="AE84" s="34"/>
      <c r="AF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55" t="str">
        <v>Elevation vue du champ PV zone: 3</v>
      </c>
      <c r="B85" s="956">
        <v>-5</v>
      </c>
      <c r="C85" s="825">
        <v>18.262889942194128</v>
      </c>
      <c r="D85" s="706">
        <v>1</v>
      </c>
      <c r="E85" s="706">
        <v>1</v>
      </c>
      <c r="F85" s="706">
        <v>1</v>
      </c>
      <c r="G85" s="706">
        <v>1.2919994655957467</v>
      </c>
      <c r="H85" s="706">
        <v>1.9355048610634349</v>
      </c>
      <c r="I85" s="706">
        <v>1</v>
      </c>
      <c r="J85" s="706">
        <v>1</v>
      </c>
      <c r="K85" s="706">
        <v>1</v>
      </c>
      <c r="L85" s="706">
        <v>3.6057463920445221</v>
      </c>
      <c r="M85" s="706">
        <v>1</v>
      </c>
      <c r="N85" s="706">
        <v>18.262889942194128</v>
      </c>
      <c r="O85" s="706">
        <v>18.262889942194128</v>
      </c>
      <c r="P85" s="706">
        <v>18.262889942194128</v>
      </c>
      <c r="Q85" s="706">
        <v>18.262889942194128</v>
      </c>
      <c r="R85" s="706">
        <v>18.262889942194128</v>
      </c>
      <c r="S85" s="706">
        <v>18.262889942194128</v>
      </c>
      <c r="T85" s="706">
        <v>18.262889942194128</v>
      </c>
      <c r="U85" s="706">
        <v>18.262889942194128</v>
      </c>
      <c r="V85" s="706">
        <v>18.262889942194128</v>
      </c>
      <c r="W85" s="706">
        <v>18.262889942194128</v>
      </c>
      <c r="X85" s="706">
        <v>18.262889942194128</v>
      </c>
      <c r="Y85" s="706">
        <v>18.262889942194128</v>
      </c>
      <c r="Z85" s="957">
        <v>18.262889942194128</v>
      </c>
      <c r="AD85" s="28"/>
      <c r="AE85" s="34"/>
      <c r="AF85" s="28"/>
      <c r="AG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58">
        <v>0</v>
      </c>
      <c r="B86" s="956">
        <v>-4</v>
      </c>
      <c r="C86" s="695">
        <v>18.262889942194128</v>
      </c>
      <c r="D86" s="698">
        <v>1</v>
      </c>
      <c r="E86" s="698">
        <v>1</v>
      </c>
      <c r="F86" s="698">
        <v>1</v>
      </c>
      <c r="G86" s="698">
        <v>1.9743734725740234</v>
      </c>
      <c r="H86" s="698">
        <v>2.5824131221156374</v>
      </c>
      <c r="I86" s="698">
        <v>1</v>
      </c>
      <c r="J86" s="698">
        <v>1</v>
      </c>
      <c r="K86" s="698">
        <v>1</v>
      </c>
      <c r="L86" s="698">
        <v>4.3121921095111064</v>
      </c>
      <c r="M86" s="698">
        <v>1</v>
      </c>
      <c r="N86" s="698">
        <v>18.262889942194128</v>
      </c>
      <c r="O86" s="698">
        <v>18.262889942194128</v>
      </c>
      <c r="P86" s="698">
        <v>18.262889942194128</v>
      </c>
      <c r="Q86" s="698">
        <v>18.262889942194128</v>
      </c>
      <c r="R86" s="698">
        <v>18.262889942194128</v>
      </c>
      <c r="S86" s="698">
        <v>18.262889942194128</v>
      </c>
      <c r="T86" s="698">
        <v>18.262889942194128</v>
      </c>
      <c r="U86" s="698">
        <v>18.262889942194128</v>
      </c>
      <c r="V86" s="698">
        <v>18.262889942194128</v>
      </c>
      <c r="W86" s="698">
        <v>18.262889942194128</v>
      </c>
      <c r="X86" s="698">
        <v>18.262889942194128</v>
      </c>
      <c r="Y86" s="698">
        <v>18.262889942194128</v>
      </c>
      <c r="Z86" s="959">
        <v>18.262889942194128</v>
      </c>
      <c r="AD86" s="28"/>
      <c r="AE86" s="34"/>
      <c r="AF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58">
        <v>0</v>
      </c>
      <c r="B87" s="956">
        <v>-3</v>
      </c>
      <c r="C87" s="695">
        <v>18.262889942194128</v>
      </c>
      <c r="D87" s="698">
        <v>1</v>
      </c>
      <c r="E87" s="698">
        <v>1</v>
      </c>
      <c r="F87" s="698">
        <v>1</v>
      </c>
      <c r="G87" s="698">
        <v>2.6561876523804475</v>
      </c>
      <c r="H87" s="698">
        <v>3.2286632260840942</v>
      </c>
      <c r="I87" s="698">
        <v>1</v>
      </c>
      <c r="J87" s="698">
        <v>1</v>
      </c>
      <c r="K87" s="698">
        <v>1</v>
      </c>
      <c r="L87" s="698">
        <v>5.0173267361208564</v>
      </c>
      <c r="M87" s="698">
        <v>1</v>
      </c>
      <c r="N87" s="698">
        <v>18.262889942194128</v>
      </c>
      <c r="O87" s="698">
        <v>18.262889942194128</v>
      </c>
      <c r="P87" s="698">
        <v>18.262889942194128</v>
      </c>
      <c r="Q87" s="698">
        <v>18.262889942194128</v>
      </c>
      <c r="R87" s="698">
        <v>18.262889942194128</v>
      </c>
      <c r="S87" s="698">
        <v>18.262889942194128</v>
      </c>
      <c r="T87" s="698">
        <v>18.262889942194128</v>
      </c>
      <c r="U87" s="698">
        <v>18.262889942194128</v>
      </c>
      <c r="V87" s="698">
        <v>18.262889942194128</v>
      </c>
      <c r="W87" s="698">
        <v>18.262889942194128</v>
      </c>
      <c r="X87" s="698">
        <v>18.262889942194128</v>
      </c>
      <c r="Y87" s="698">
        <v>18.262889942194128</v>
      </c>
      <c r="Z87" s="959">
        <v>18.262889942194128</v>
      </c>
      <c r="AD87" s="28"/>
      <c r="AF87" s="28"/>
      <c r="AG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58">
        <v>0</v>
      </c>
      <c r="B88" s="956">
        <v>-2</v>
      </c>
      <c r="C88" s="695">
        <v>18.262889942194128</v>
      </c>
      <c r="D88" s="698">
        <v>1</v>
      </c>
      <c r="E88" s="698">
        <v>1</v>
      </c>
      <c r="F88" s="698">
        <v>1.1414396638194959</v>
      </c>
      <c r="G88" s="698">
        <v>3.337249885386826</v>
      </c>
      <c r="H88" s="698">
        <v>3.8740920371171077</v>
      </c>
      <c r="I88" s="698">
        <v>1</v>
      </c>
      <c r="J88" s="698">
        <v>1</v>
      </c>
      <c r="K88" s="698">
        <v>1</v>
      </c>
      <c r="L88" s="698">
        <v>5.7209409762830896</v>
      </c>
      <c r="M88" s="698">
        <v>1</v>
      </c>
      <c r="N88" s="698">
        <v>18.262889942194128</v>
      </c>
      <c r="O88" s="698">
        <v>18.262889942194128</v>
      </c>
      <c r="P88" s="698">
        <v>18.262889942194128</v>
      </c>
      <c r="Q88" s="698">
        <v>18.262889942194128</v>
      </c>
      <c r="R88" s="698">
        <v>18.262889942194128</v>
      </c>
      <c r="S88" s="698">
        <v>18.262889942194128</v>
      </c>
      <c r="T88" s="698">
        <v>18.262889942194128</v>
      </c>
      <c r="U88" s="698">
        <v>18.262889942194128</v>
      </c>
      <c r="V88" s="698">
        <v>18.262889942194128</v>
      </c>
      <c r="W88" s="698">
        <v>18.262889942194128</v>
      </c>
      <c r="X88" s="698">
        <v>18.262889942194128</v>
      </c>
      <c r="Y88" s="698">
        <v>18.262889942194128</v>
      </c>
      <c r="Z88" s="959">
        <v>18.262889942194128</v>
      </c>
      <c r="AD88" s="28"/>
      <c r="AF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58">
        <v>0</v>
      </c>
      <c r="B89" s="960">
        <v>-1</v>
      </c>
      <c r="C89" s="695">
        <v>18.262889942194128</v>
      </c>
      <c r="D89" s="698">
        <v>1</v>
      </c>
      <c r="E89" s="698">
        <v>1.3407361577831629</v>
      </c>
      <c r="F89" s="698">
        <v>2.2345086459584587</v>
      </c>
      <c r="G89" s="698">
        <v>4.0173693249894473</v>
      </c>
      <c r="H89" s="698">
        <v>4.5185376670815902</v>
      </c>
      <c r="I89" s="698">
        <v>1</v>
      </c>
      <c r="J89" s="698">
        <v>1.825251173591806</v>
      </c>
      <c r="K89" s="698">
        <v>1</v>
      </c>
      <c r="L89" s="698">
        <v>6.422828269187419</v>
      </c>
      <c r="M89" s="698">
        <v>1</v>
      </c>
      <c r="N89" s="698">
        <v>18.262889942194128</v>
      </c>
      <c r="O89" s="698">
        <v>18.262889942194128</v>
      </c>
      <c r="P89" s="698">
        <v>18.262889942194128</v>
      </c>
      <c r="Q89" s="698">
        <v>18.262889942194128</v>
      </c>
      <c r="R89" s="698">
        <v>18.262889942194128</v>
      </c>
      <c r="S89" s="698">
        <v>18.262889942194128</v>
      </c>
      <c r="T89" s="698">
        <v>18.262889942194128</v>
      </c>
      <c r="U89" s="698">
        <v>18.262889942194128</v>
      </c>
      <c r="V89" s="698">
        <v>18.262889942194128</v>
      </c>
      <c r="W89" s="698">
        <v>18.262889942194128</v>
      </c>
      <c r="X89" s="698">
        <v>18.262889942194128</v>
      </c>
      <c r="Y89" s="698">
        <v>18.262889942194128</v>
      </c>
      <c r="Z89" s="959">
        <v>18.262889942194128</v>
      </c>
      <c r="AF89" s="28"/>
      <c r="AG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58">
        <v>0</v>
      </c>
      <c r="B90" s="956">
        <v>0</v>
      </c>
      <c r="C90" s="961">
        <v>18.262889942194128</v>
      </c>
      <c r="D90" s="687">
        <v>1</v>
      </c>
      <c r="E90" s="687">
        <v>1.9627065774564294</v>
      </c>
      <c r="F90" s="687">
        <v>3.3259528893225832</v>
      </c>
      <c r="G90" s="687">
        <v>4.696356714752798</v>
      </c>
      <c r="H90" s="687">
        <v>5.1618397152417588</v>
      </c>
      <c r="I90" s="687">
        <v>1</v>
      </c>
      <c r="J90" s="687">
        <v>2.9073028621022723</v>
      </c>
      <c r="K90" s="687">
        <v>1</v>
      </c>
      <c r="L90" s="687">
        <v>7.1227851388083225</v>
      </c>
      <c r="M90" s="687">
        <v>1</v>
      </c>
      <c r="N90" s="687">
        <v>18.262889942194128</v>
      </c>
      <c r="O90" s="687">
        <v>18.262889942194128</v>
      </c>
      <c r="P90" s="687">
        <v>18.262889942194128</v>
      </c>
      <c r="Q90" s="687">
        <v>18.262889942194128</v>
      </c>
      <c r="R90" s="687">
        <v>18.262889942194128</v>
      </c>
      <c r="S90" s="687">
        <v>18.262889942194128</v>
      </c>
      <c r="T90" s="687">
        <v>18.262889942194128</v>
      </c>
      <c r="U90" s="687">
        <v>18.262889942194128</v>
      </c>
      <c r="V90" s="687">
        <v>18.262889942194128</v>
      </c>
      <c r="W90" s="687">
        <v>18.262889942194128</v>
      </c>
      <c r="X90" s="687">
        <v>18.262889942194128</v>
      </c>
      <c r="Y90" s="687">
        <v>18.262889942194128</v>
      </c>
      <c r="Z90" s="697">
        <v>18.262889942194128</v>
      </c>
      <c r="AF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58">
        <v>0</v>
      </c>
      <c r="B91" s="962">
        <v>1</v>
      </c>
      <c r="C91" s="695">
        <v>18.262889942194128</v>
      </c>
      <c r="D91" s="698">
        <v>1</v>
      </c>
      <c r="E91" s="698">
        <v>2.5842146060394704</v>
      </c>
      <c r="F91" s="698">
        <v>4.4149862319355577</v>
      </c>
      <c r="G91" s="698">
        <v>5.3740246988833285</v>
      </c>
      <c r="H91" s="698">
        <v>5.8038395023505096</v>
      </c>
      <c r="I91" s="698">
        <v>1</v>
      </c>
      <c r="J91" s="698">
        <v>3.9872831682494478</v>
      </c>
      <c r="K91" s="698">
        <v>1</v>
      </c>
      <c r="L91" s="698">
        <v>7.8206115303318198</v>
      </c>
      <c r="M91" s="698">
        <v>1</v>
      </c>
      <c r="N91" s="698">
        <v>18.262889942194128</v>
      </c>
      <c r="O91" s="698">
        <v>18.262889942194128</v>
      </c>
      <c r="P91" s="698">
        <v>18.262889942194128</v>
      </c>
      <c r="Q91" s="698">
        <v>18.262889942194128</v>
      </c>
      <c r="R91" s="698">
        <v>18.262889942194128</v>
      </c>
      <c r="S91" s="698">
        <v>18.262889942194128</v>
      </c>
      <c r="T91" s="698">
        <v>18.262889942194128</v>
      </c>
      <c r="U91" s="698">
        <v>18.262889942194128</v>
      </c>
      <c r="V91" s="698">
        <v>18.262889942194128</v>
      </c>
      <c r="W91" s="698">
        <v>18.262889942194128</v>
      </c>
      <c r="X91" s="698">
        <v>18.262889942194128</v>
      </c>
      <c r="Y91" s="698">
        <v>18.262889942194128</v>
      </c>
      <c r="Z91" s="959">
        <v>18.262889942194128</v>
      </c>
      <c r="AF91" s="28"/>
      <c r="AG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58">
        <v>0</v>
      </c>
      <c r="B92" s="956">
        <v>2</v>
      </c>
      <c r="C92" s="695">
        <v>18.262889942194128</v>
      </c>
      <c r="D92" s="698">
        <v>1</v>
      </c>
      <c r="E92" s="698">
        <v>3.2051146964836721</v>
      </c>
      <c r="F92" s="698">
        <v>5.5008329390793929</v>
      </c>
      <c r="G92" s="698">
        <v>6.0501881247839515</v>
      </c>
      <c r="H92" s="698">
        <v>6.4443802983207119</v>
      </c>
      <c r="I92" s="698">
        <v>2.2690909462967142</v>
      </c>
      <c r="J92" s="698">
        <v>5.0644333567537405</v>
      </c>
      <c r="K92" s="698">
        <v>1.8884572760714167</v>
      </c>
      <c r="L92" s="698">
        <v>8.5161111316969738</v>
      </c>
      <c r="M92" s="698">
        <v>1</v>
      </c>
      <c r="N92" s="698">
        <v>18.262889942194128</v>
      </c>
      <c r="O92" s="698">
        <v>18.262889942194128</v>
      </c>
      <c r="P92" s="698">
        <v>18.262889942194128</v>
      </c>
      <c r="Q92" s="698">
        <v>18.262889942194128</v>
      </c>
      <c r="R92" s="698">
        <v>18.262889942194128</v>
      </c>
      <c r="S92" s="698">
        <v>18.262889942194128</v>
      </c>
      <c r="T92" s="698">
        <v>18.262889942194128</v>
      </c>
      <c r="U92" s="698">
        <v>18.262889942194128</v>
      </c>
      <c r="V92" s="698">
        <v>18.262889942194128</v>
      </c>
      <c r="W92" s="698">
        <v>18.262889942194128</v>
      </c>
      <c r="X92" s="698">
        <v>18.262889942194128</v>
      </c>
      <c r="Y92" s="698">
        <v>18.262889942194128</v>
      </c>
      <c r="Z92" s="959">
        <v>18.262889942194128</v>
      </c>
      <c r="AF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58">
        <v>0</v>
      </c>
      <c r="B93" s="956">
        <v>3</v>
      </c>
      <c r="C93" s="695">
        <v>18.262889942194128</v>
      </c>
      <c r="D93" s="698">
        <v>1</v>
      </c>
      <c r="E93" s="698">
        <v>3.8252621572189676</v>
      </c>
      <c r="F93" s="698">
        <v>6.5827309523564956</v>
      </c>
      <c r="G93" s="698">
        <v>6.7246643365011094</v>
      </c>
      <c r="H93" s="698">
        <v>7.0833075426879777</v>
      </c>
      <c r="I93" s="698">
        <v>4.2098302344441336</v>
      </c>
      <c r="J93" s="698">
        <v>6.1380066545587315</v>
      </c>
      <c r="K93" s="698">
        <v>3.1315027138687968</v>
      </c>
      <c r="L93" s="698">
        <v>9.2090916790635493</v>
      </c>
      <c r="M93" s="698">
        <v>1</v>
      </c>
      <c r="N93" s="698">
        <v>18.262889942194128</v>
      </c>
      <c r="O93" s="698">
        <v>18.262889942194128</v>
      </c>
      <c r="P93" s="698">
        <v>18.262889942194128</v>
      </c>
      <c r="Q93" s="698">
        <v>18.262889942194128</v>
      </c>
      <c r="R93" s="698">
        <v>18.262889942194128</v>
      </c>
      <c r="S93" s="698">
        <v>18.262889942194128</v>
      </c>
      <c r="T93" s="698">
        <v>18.262889942194128</v>
      </c>
      <c r="U93" s="698">
        <v>18.262889942194128</v>
      </c>
      <c r="V93" s="698">
        <v>18.262889942194128</v>
      </c>
      <c r="W93" s="698">
        <v>18.262889942194128</v>
      </c>
      <c r="X93" s="698">
        <v>18.262889942194128</v>
      </c>
      <c r="Y93" s="698">
        <v>18.262889942194128</v>
      </c>
      <c r="Z93" s="959">
        <v>18.262889942194128</v>
      </c>
      <c r="AF93" s="28"/>
      <c r="AG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58">
        <v>0</v>
      </c>
      <c r="B94" s="956">
        <v>4</v>
      </c>
      <c r="C94" s="695">
        <v>18.262889942194128</v>
      </c>
      <c r="D94" s="698">
        <v>1</v>
      </c>
      <c r="E94" s="698">
        <v>4.4445133522811977</v>
      </c>
      <c r="F94" s="698">
        <v>7.6599349934451482</v>
      </c>
      <c r="G94" s="698">
        <v>7.3972734579457402</v>
      </c>
      <c r="H94" s="698">
        <v>7.7204690571255838</v>
      </c>
      <c r="I94" s="698">
        <v>6.140943618553564</v>
      </c>
      <c r="J94" s="698">
        <v>7.2072712725908614</v>
      </c>
      <c r="K94" s="698">
        <v>4.3716047690839384</v>
      </c>
      <c r="L94" s="698">
        <v>9.8993652451429099</v>
      </c>
      <c r="M94" s="698">
        <v>1</v>
      </c>
      <c r="N94" s="698">
        <v>18.262889942194128</v>
      </c>
      <c r="O94" s="698">
        <v>18.262889942194128</v>
      </c>
      <c r="P94" s="698">
        <v>18.262889942194128</v>
      </c>
      <c r="Q94" s="698">
        <v>18.262889942194128</v>
      </c>
      <c r="R94" s="698">
        <v>18.262889942194128</v>
      </c>
      <c r="S94" s="698">
        <v>18.262889942194128</v>
      </c>
      <c r="T94" s="698">
        <v>18.262889942194128</v>
      </c>
      <c r="U94" s="698">
        <v>18.262889942194128</v>
      </c>
      <c r="V94" s="698">
        <v>18.262889942194128</v>
      </c>
      <c r="W94" s="698">
        <v>18.262889942194128</v>
      </c>
      <c r="X94" s="698">
        <v>18.262889942194128</v>
      </c>
      <c r="Y94" s="698">
        <v>18.262889942194128</v>
      </c>
      <c r="Z94" s="959">
        <v>18.262889942194128</v>
      </c>
      <c r="AF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5" spans="1:49" s="19" customFormat="1" ht="12.75" x14ac:dyDescent="0.2">
      <c r="A95" s="963">
        <v>0.33</v>
      </c>
      <c r="B95" s="956">
        <v>5</v>
      </c>
      <c r="C95" s="964">
        <v>18.262889942194128</v>
      </c>
      <c r="D95" s="707">
        <v>1</v>
      </c>
      <c r="E95" s="707">
        <v>5.0627258977557856</v>
      </c>
      <c r="F95" s="707">
        <v>8.73171949212926</v>
      </c>
      <c r="G95" s="707">
        <v>8.0678386648466702</v>
      </c>
      <c r="H95" s="707">
        <v>8.3557152493257512</v>
      </c>
      <c r="I95" s="707">
        <v>8.0581574014382564</v>
      </c>
      <c r="J95" s="707">
        <v>8.2715132725246985</v>
      </c>
      <c r="K95" s="707">
        <v>5.6076172114512319</v>
      </c>
      <c r="L95" s="707">
        <v>10.586748509460785</v>
      </c>
      <c r="M95" s="707">
        <v>1</v>
      </c>
      <c r="N95" s="707">
        <v>18.262889942194128</v>
      </c>
      <c r="O95" s="707">
        <v>18.262889942194128</v>
      </c>
      <c r="P95" s="707">
        <v>18.262889942194128</v>
      </c>
      <c r="Q95" s="707">
        <v>18.262889942194128</v>
      </c>
      <c r="R95" s="707">
        <v>18.262889942194128</v>
      </c>
      <c r="S95" s="707">
        <v>18.262889942194128</v>
      </c>
      <c r="T95" s="707">
        <v>18.262889942194128</v>
      </c>
      <c r="U95" s="707">
        <v>18.262889942194128</v>
      </c>
      <c r="V95" s="707">
        <v>18.262889942194128</v>
      </c>
      <c r="W95" s="707">
        <v>18.262889942194128</v>
      </c>
      <c r="X95" s="707">
        <v>18.262889942194128</v>
      </c>
      <c r="Y95" s="707">
        <v>18.262889942194128</v>
      </c>
      <c r="Z95" s="965">
        <v>18.262889942194128</v>
      </c>
      <c r="AF95" s="28"/>
      <c r="AG95" s="28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</row>
    <row r="97" spans="1:49" s="677" customFormat="1" x14ac:dyDescent="0.25">
      <c r="A97" s="1110" t="s">
        <v>311</v>
      </c>
      <c r="F97" s="1028"/>
      <c r="G97" s="1029"/>
      <c r="H97" s="699"/>
      <c r="I97" s="1110" t="s">
        <v>310</v>
      </c>
      <c r="N97" s="1028"/>
      <c r="Q97" s="1110" t="s">
        <v>308</v>
      </c>
      <c r="V97" s="1028"/>
      <c r="W97" s="1029"/>
      <c r="X97" s="699"/>
      <c r="Y97" s="1110" t="s">
        <v>309</v>
      </c>
      <c r="AD97" s="1028"/>
      <c r="AH97" s="1030"/>
      <c r="AM97" s="1077"/>
      <c r="AN97" s="1077"/>
      <c r="AO97" s="1077"/>
      <c r="AP97" s="1077"/>
      <c r="AQ97" s="1077"/>
      <c r="AR97" s="1077"/>
      <c r="AS97" s="1077"/>
      <c r="AT97" s="1077"/>
      <c r="AU97" s="1077"/>
      <c r="AV97" s="1077"/>
      <c r="AW97" s="1077"/>
    </row>
    <row r="98" spans="1:49" s="19" customFormat="1" ht="12.75" x14ac:dyDescent="0.2">
      <c r="A98" s="1023" t="s">
        <v>163</v>
      </c>
      <c r="B98" s="1024"/>
      <c r="C98" s="1025"/>
      <c r="D98" s="1026"/>
      <c r="E98" s="1026"/>
      <c r="F98" s="1027"/>
      <c r="G98" s="29"/>
      <c r="H98" s="31"/>
      <c r="I98" s="1023"/>
      <c r="J98" s="1024"/>
      <c r="K98" s="1025"/>
      <c r="L98" s="1026"/>
      <c r="M98" s="1026"/>
      <c r="N98" s="1027"/>
      <c r="Q98" s="1023" t="s">
        <v>163</v>
      </c>
      <c r="R98" s="1024"/>
      <c r="S98" s="1025"/>
      <c r="T98" s="1026"/>
      <c r="U98" s="1026"/>
      <c r="V98" s="1027"/>
      <c r="W98" s="29"/>
      <c r="X98" s="704"/>
      <c r="Y98" s="1023"/>
      <c r="Z98" s="1024"/>
      <c r="AA98" s="1025"/>
      <c r="AB98" s="1026"/>
      <c r="AC98" s="1026"/>
      <c r="AD98" s="1027"/>
      <c r="AH98" s="1031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27" t="s">
        <v>288</v>
      </c>
      <c r="B99" s="925"/>
      <c r="C99" s="984"/>
      <c r="D99" s="926"/>
      <c r="E99" s="926"/>
      <c r="F99" s="986"/>
      <c r="G99" s="29"/>
      <c r="H99" s="31"/>
      <c r="I99" s="927"/>
      <c r="J99" s="925"/>
      <c r="K99" s="984"/>
      <c r="L99" s="926"/>
      <c r="M99" s="926"/>
      <c r="N99" s="986"/>
      <c r="Q99" s="927" t="s">
        <v>288</v>
      </c>
      <c r="R99" s="925"/>
      <c r="S99" s="984"/>
      <c r="T99" s="926"/>
      <c r="U99" s="926"/>
      <c r="V99" s="986"/>
      <c r="W99" s="29"/>
      <c r="X99" s="704"/>
      <c r="Y99" s="927"/>
      <c r="Z99" s="925"/>
      <c r="AA99" s="984"/>
      <c r="AB99" s="926"/>
      <c r="AC99" s="926"/>
      <c r="AD99" s="986"/>
      <c r="AH99" s="1031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27" t="s">
        <v>337</v>
      </c>
      <c r="B100" s="925">
        <v>1</v>
      </c>
      <c r="C100" s="984"/>
      <c r="D100" s="926">
        <v>668.36</v>
      </c>
      <c r="E100" s="926">
        <v>726.51</v>
      </c>
      <c r="F100" s="986"/>
      <c r="G100" s="29"/>
      <c r="H100" s="31"/>
      <c r="I100" s="927"/>
      <c r="J100" s="925"/>
      <c r="K100" s="984"/>
      <c r="L100" s="926"/>
      <c r="M100" s="926"/>
      <c r="N100" s="986"/>
      <c r="Q100" s="927" t="s">
        <v>161</v>
      </c>
      <c r="R100" s="925">
        <v>1</v>
      </c>
      <c r="S100" s="984">
        <v>13.23</v>
      </c>
      <c r="T100" s="926">
        <v>616.08000000000004</v>
      </c>
      <c r="U100" s="926">
        <v>605.82000000000005</v>
      </c>
      <c r="V100" s="986"/>
      <c r="W100" s="29"/>
      <c r="X100" s="704"/>
      <c r="Y100" s="927"/>
      <c r="Z100" s="925"/>
      <c r="AA100" s="984"/>
      <c r="AB100" s="926"/>
      <c r="AC100" s="926"/>
      <c r="AD100" s="986"/>
      <c r="AH100" s="1031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27" t="s">
        <v>336</v>
      </c>
      <c r="B101" s="925">
        <v>1</v>
      </c>
      <c r="C101" s="984">
        <v>21.06</v>
      </c>
      <c r="D101" s="926">
        <v>670.82</v>
      </c>
      <c r="E101" s="926">
        <v>714.58</v>
      </c>
      <c r="F101" s="986"/>
      <c r="G101" s="29"/>
      <c r="H101" s="31"/>
      <c r="I101" s="927"/>
      <c r="J101" s="925"/>
      <c r="K101" s="984"/>
      <c r="L101" s="926"/>
      <c r="M101" s="926"/>
      <c r="N101" s="986"/>
      <c r="Q101" s="927" t="s">
        <v>339</v>
      </c>
      <c r="R101" s="925">
        <v>1</v>
      </c>
      <c r="S101" s="984">
        <v>10.02</v>
      </c>
      <c r="T101" s="926">
        <v>594.89</v>
      </c>
      <c r="U101" s="926">
        <v>643.05999999999995</v>
      </c>
      <c r="V101" s="986"/>
      <c r="W101" s="29"/>
      <c r="X101" s="704"/>
      <c r="Y101" s="927"/>
      <c r="Z101" s="925"/>
      <c r="AA101" s="984"/>
      <c r="AB101" s="926"/>
      <c r="AC101" s="926"/>
      <c r="AD101" s="986"/>
      <c r="AH101" s="1031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27" t="s">
        <v>338</v>
      </c>
      <c r="B102" s="925">
        <v>1</v>
      </c>
      <c r="C102" s="984">
        <v>8</v>
      </c>
      <c r="D102" s="926">
        <v>681.06</v>
      </c>
      <c r="E102" s="926">
        <v>701.07</v>
      </c>
      <c r="F102" s="986"/>
      <c r="G102" s="29"/>
      <c r="H102" s="31"/>
      <c r="I102" s="927"/>
      <c r="J102" s="925"/>
      <c r="K102" s="984"/>
      <c r="L102" s="926"/>
      <c r="M102" s="926"/>
      <c r="N102" s="986"/>
      <c r="Q102" s="927" t="s">
        <v>340</v>
      </c>
      <c r="R102" s="925">
        <v>2</v>
      </c>
      <c r="S102" s="984">
        <v>2.56</v>
      </c>
      <c r="T102" s="926">
        <v>547.12</v>
      </c>
      <c r="U102" s="926">
        <v>626.58000000000004</v>
      </c>
      <c r="V102" s="986"/>
      <c r="W102" s="29"/>
      <c r="X102" s="704"/>
      <c r="Y102" s="927"/>
      <c r="Z102" s="925"/>
      <c r="AA102" s="984"/>
      <c r="AB102" s="926"/>
      <c r="AC102" s="926"/>
      <c r="AD102" s="986"/>
      <c r="AH102" s="1031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27" t="s">
        <v>157</v>
      </c>
      <c r="B103" s="925">
        <v>3</v>
      </c>
      <c r="C103" s="984">
        <v>7.94</v>
      </c>
      <c r="D103" s="926">
        <v>629.08000000000004</v>
      </c>
      <c r="E103" s="926">
        <v>685.77</v>
      </c>
      <c r="F103" s="986" t="s">
        <v>285</v>
      </c>
      <c r="G103" s="29"/>
      <c r="H103" s="31"/>
      <c r="I103" s="927"/>
      <c r="J103" s="925"/>
      <c r="K103" s="984"/>
      <c r="L103" s="926"/>
      <c r="M103" s="926"/>
      <c r="N103" s="986"/>
      <c r="Q103" s="927" t="s">
        <v>341</v>
      </c>
      <c r="R103" s="925">
        <v>2</v>
      </c>
      <c r="S103" s="984">
        <v>2.84</v>
      </c>
      <c r="T103" s="926">
        <v>522.26</v>
      </c>
      <c r="U103" s="926">
        <v>645.23</v>
      </c>
      <c r="V103" s="986" t="s">
        <v>135</v>
      </c>
      <c r="W103" s="29"/>
      <c r="X103" s="704"/>
      <c r="Y103" s="927"/>
      <c r="Z103" s="925"/>
      <c r="AA103" s="984"/>
      <c r="AB103" s="926"/>
      <c r="AC103" s="926"/>
      <c r="AD103" s="986"/>
      <c r="AH103" s="1031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27" t="s">
        <v>158</v>
      </c>
      <c r="B104" s="925">
        <v>1</v>
      </c>
      <c r="C104" s="984">
        <v>23.71</v>
      </c>
      <c r="D104" s="926">
        <v>656.77</v>
      </c>
      <c r="E104" s="926">
        <v>676.18</v>
      </c>
      <c r="F104" s="986" t="s">
        <v>135</v>
      </c>
      <c r="G104" s="29"/>
      <c r="H104" s="31"/>
      <c r="I104" s="927"/>
      <c r="J104" s="925"/>
      <c r="K104" s="984"/>
      <c r="L104" s="926"/>
      <c r="M104" s="926"/>
      <c r="N104" s="986"/>
      <c r="Q104" s="927" t="s">
        <v>342</v>
      </c>
      <c r="R104" s="925">
        <v>2</v>
      </c>
      <c r="S104" s="984">
        <v>1.5</v>
      </c>
      <c r="T104" s="926">
        <v>569.26</v>
      </c>
      <c r="U104" s="926">
        <v>681.28</v>
      </c>
      <c r="V104" s="986"/>
      <c r="W104" s="29"/>
      <c r="X104" s="704"/>
      <c r="Y104" s="927"/>
      <c r="Z104" s="925"/>
      <c r="AA104" s="984"/>
      <c r="AB104" s="926"/>
      <c r="AC104" s="926"/>
      <c r="AD104" s="986"/>
      <c r="AH104" s="1031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27" t="s">
        <v>156</v>
      </c>
      <c r="B105" s="925">
        <v>1</v>
      </c>
      <c r="C105" s="984">
        <v>38.5</v>
      </c>
      <c r="D105" s="926">
        <v>688.01</v>
      </c>
      <c r="E105" s="926">
        <v>665</v>
      </c>
      <c r="F105" s="986"/>
      <c r="G105" s="29"/>
      <c r="H105" s="31"/>
      <c r="I105" s="927"/>
      <c r="J105" s="925"/>
      <c r="K105" s="984"/>
      <c r="L105" s="926"/>
      <c r="M105" s="926"/>
      <c r="N105" s="986"/>
      <c r="Q105" s="927" t="s">
        <v>343</v>
      </c>
      <c r="R105" s="925">
        <v>2</v>
      </c>
      <c r="S105" s="984">
        <v>2.4900000000000002</v>
      </c>
      <c r="T105" s="926">
        <v>542.64</v>
      </c>
      <c r="U105" s="926">
        <v>688.63</v>
      </c>
      <c r="V105" s="986"/>
      <c r="W105" s="29"/>
      <c r="X105" s="704"/>
      <c r="Y105" s="927"/>
      <c r="Z105" s="925"/>
      <c r="AA105" s="984"/>
      <c r="AB105" s="926"/>
      <c r="AC105" s="926"/>
      <c r="AD105" s="986"/>
      <c r="AH105" s="1031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27" t="s">
        <v>159</v>
      </c>
      <c r="B106" s="925">
        <v>1</v>
      </c>
      <c r="C106" s="984">
        <v>44.7</v>
      </c>
      <c r="D106" s="926">
        <v>664.48</v>
      </c>
      <c r="E106" s="926">
        <v>632.73</v>
      </c>
      <c r="F106" s="986"/>
      <c r="G106" s="29"/>
      <c r="H106" s="31"/>
      <c r="I106" s="927"/>
      <c r="J106" s="925"/>
      <c r="K106" s="984"/>
      <c r="L106" s="926"/>
      <c r="M106" s="926"/>
      <c r="N106" s="986"/>
      <c r="Q106" s="927" t="s">
        <v>344</v>
      </c>
      <c r="R106" s="925">
        <v>2</v>
      </c>
      <c r="S106" s="984">
        <v>1.7</v>
      </c>
      <c r="T106" s="926">
        <v>549.57000000000005</v>
      </c>
      <c r="U106" s="926">
        <v>702.28</v>
      </c>
      <c r="V106" s="986"/>
      <c r="W106" s="29"/>
      <c r="X106" s="704"/>
      <c r="Y106" s="927"/>
      <c r="Z106" s="925"/>
      <c r="AA106" s="984"/>
      <c r="AB106" s="926"/>
      <c r="AC106" s="926"/>
      <c r="AD106" s="986"/>
      <c r="AH106" s="1031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27" t="s">
        <v>160</v>
      </c>
      <c r="B107" s="925">
        <v>3</v>
      </c>
      <c r="C107" s="984">
        <v>2.94</v>
      </c>
      <c r="D107" s="926">
        <v>608.53</v>
      </c>
      <c r="E107" s="926">
        <v>683.25</v>
      </c>
      <c r="F107" s="986" t="s">
        <v>285</v>
      </c>
      <c r="G107" s="29"/>
      <c r="H107" s="31"/>
      <c r="I107" s="927"/>
      <c r="J107" s="925"/>
      <c r="K107" s="984"/>
      <c r="L107" s="926"/>
      <c r="M107" s="926"/>
      <c r="N107" s="986"/>
      <c r="Q107" s="927" t="s">
        <v>345</v>
      </c>
      <c r="R107" s="925">
        <v>2</v>
      </c>
      <c r="S107" s="984">
        <v>4.74</v>
      </c>
      <c r="T107" s="926">
        <v>518.94000000000005</v>
      </c>
      <c r="U107" s="926">
        <v>722.28</v>
      </c>
      <c r="V107" s="986"/>
      <c r="W107" s="29"/>
      <c r="X107" s="704"/>
      <c r="Y107" s="927"/>
      <c r="Z107" s="925"/>
      <c r="AA107" s="984"/>
      <c r="AB107" s="926"/>
      <c r="AC107" s="926"/>
      <c r="AD107" s="986"/>
      <c r="AH107" s="1031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27" t="s">
        <v>161</v>
      </c>
      <c r="B108" s="925">
        <v>1</v>
      </c>
      <c r="C108" s="984">
        <v>13.23</v>
      </c>
      <c r="D108" s="926">
        <v>616.08000000000004</v>
      </c>
      <c r="E108" s="926">
        <v>605.82000000000005</v>
      </c>
      <c r="F108" s="986"/>
      <c r="G108" s="29"/>
      <c r="H108" s="31"/>
      <c r="I108" s="927"/>
      <c r="J108" s="925"/>
      <c r="K108" s="984"/>
      <c r="L108" s="926"/>
      <c r="M108" s="926"/>
      <c r="N108" s="986"/>
      <c r="Q108" s="927" t="s">
        <v>288</v>
      </c>
      <c r="R108" s="925"/>
      <c r="S108" s="984"/>
      <c r="T108" s="926"/>
      <c r="U108" s="926"/>
      <c r="V108" s="986"/>
      <c r="W108" s="29"/>
      <c r="X108" s="704"/>
      <c r="Y108" s="927"/>
      <c r="Z108" s="925"/>
      <c r="AA108" s="984"/>
      <c r="AB108" s="926"/>
      <c r="AC108" s="926"/>
      <c r="AD108" s="986"/>
      <c r="AH108" s="1031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27" t="s">
        <v>339</v>
      </c>
      <c r="B109" s="925">
        <v>1</v>
      </c>
      <c r="C109" s="984">
        <v>10.02</v>
      </c>
      <c r="D109" s="926">
        <v>594.89</v>
      </c>
      <c r="E109" s="926">
        <v>643.05999999999995</v>
      </c>
      <c r="F109" s="986"/>
      <c r="G109" s="29"/>
      <c r="H109" s="31"/>
      <c r="I109" s="927"/>
      <c r="J109" s="925"/>
      <c r="K109" s="984"/>
      <c r="L109" s="926"/>
      <c r="M109" s="926"/>
      <c r="N109" s="986"/>
      <c r="Q109" s="927" t="s">
        <v>163</v>
      </c>
      <c r="R109" s="925"/>
      <c r="S109" s="984"/>
      <c r="T109" s="926"/>
      <c r="U109" s="926"/>
      <c r="V109" s="986"/>
      <c r="W109" s="29"/>
      <c r="X109" s="704"/>
      <c r="Y109" s="927"/>
      <c r="Z109" s="925"/>
      <c r="AA109" s="984"/>
      <c r="AB109" s="926"/>
      <c r="AC109" s="926"/>
      <c r="AD109" s="986"/>
      <c r="AH109" s="1031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27" t="s">
        <v>340</v>
      </c>
      <c r="B110" s="925">
        <v>2</v>
      </c>
      <c r="C110" s="985">
        <v>2.56</v>
      </c>
      <c r="D110" s="926">
        <v>547.12</v>
      </c>
      <c r="E110" s="926">
        <v>626.58000000000004</v>
      </c>
      <c r="F110" s="986"/>
      <c r="G110" s="29"/>
      <c r="H110" s="31"/>
      <c r="I110" s="927"/>
      <c r="J110" s="925"/>
      <c r="K110" s="985"/>
      <c r="L110" s="926"/>
      <c r="M110" s="926"/>
      <c r="N110" s="986"/>
      <c r="Q110" s="927"/>
      <c r="R110" s="925"/>
      <c r="S110" s="985"/>
      <c r="T110" s="926"/>
      <c r="U110" s="926"/>
      <c r="V110" s="986"/>
      <c r="W110" s="29"/>
      <c r="X110" s="704"/>
      <c r="Y110" s="927"/>
      <c r="Z110" s="925"/>
      <c r="AA110" s="985"/>
      <c r="AB110" s="926"/>
      <c r="AC110" s="926"/>
      <c r="AD110" s="986"/>
      <c r="AH110" s="1031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27" t="s">
        <v>288</v>
      </c>
      <c r="B111" s="925"/>
      <c r="C111" s="985"/>
      <c r="D111" s="926"/>
      <c r="E111" s="926"/>
      <c r="F111" s="986"/>
      <c r="G111" s="29"/>
      <c r="H111" s="31"/>
      <c r="I111" s="927"/>
      <c r="J111" s="925"/>
      <c r="K111" s="985"/>
      <c r="L111" s="926"/>
      <c r="M111" s="926"/>
      <c r="N111" s="986"/>
      <c r="Q111" s="927"/>
      <c r="R111" s="925"/>
      <c r="S111" s="985"/>
      <c r="T111" s="926"/>
      <c r="U111" s="926"/>
      <c r="V111" s="986"/>
      <c r="W111" s="29"/>
      <c r="X111" s="704"/>
      <c r="Y111" s="927"/>
      <c r="Z111" s="925"/>
      <c r="AA111" s="985"/>
      <c r="AB111" s="926"/>
      <c r="AC111" s="926"/>
      <c r="AD111" s="986"/>
      <c r="AH111" s="1031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27" t="s">
        <v>163</v>
      </c>
      <c r="B112" s="925"/>
      <c r="C112" s="985"/>
      <c r="D112" s="926"/>
      <c r="E112" s="926"/>
      <c r="F112" s="986"/>
      <c r="G112" s="29"/>
      <c r="H112" s="31"/>
      <c r="I112" s="927"/>
      <c r="J112" s="925"/>
      <c r="K112" s="985"/>
      <c r="L112" s="926"/>
      <c r="M112" s="926"/>
      <c r="N112" s="986"/>
      <c r="Q112" s="927"/>
      <c r="R112" s="925"/>
      <c r="S112" s="985"/>
      <c r="T112" s="926"/>
      <c r="U112" s="926"/>
      <c r="V112" s="986"/>
      <c r="W112" s="29"/>
      <c r="X112" s="704"/>
      <c r="Y112" s="927"/>
      <c r="Z112" s="925"/>
      <c r="AA112" s="985"/>
      <c r="AB112" s="926"/>
      <c r="AC112" s="926"/>
      <c r="AD112" s="986"/>
      <c r="AH112" s="1031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27"/>
      <c r="B113" s="925"/>
      <c r="C113" s="979"/>
      <c r="D113" s="926"/>
      <c r="E113" s="926"/>
      <c r="F113" s="986"/>
      <c r="G113" s="29"/>
      <c r="H113" s="31"/>
      <c r="I113" s="927"/>
      <c r="J113" s="925"/>
      <c r="K113" s="979"/>
      <c r="L113" s="926"/>
      <c r="M113" s="926"/>
      <c r="N113" s="986"/>
      <c r="Q113" s="927"/>
      <c r="R113" s="925"/>
      <c r="S113" s="979"/>
      <c r="T113" s="926"/>
      <c r="U113" s="926"/>
      <c r="V113" s="986"/>
      <c r="W113" s="29"/>
      <c r="X113" s="704"/>
      <c r="Y113" s="927"/>
      <c r="Z113" s="925"/>
      <c r="AA113" s="979"/>
      <c r="AB113" s="926"/>
      <c r="AC113" s="926"/>
      <c r="AD113" s="986"/>
      <c r="AH113" s="1031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27"/>
      <c r="B114" s="925"/>
      <c r="C114" s="979"/>
      <c r="D114" s="926"/>
      <c r="E114" s="926"/>
      <c r="F114" s="986"/>
      <c r="G114" s="29"/>
      <c r="H114" s="31"/>
      <c r="I114" s="927"/>
      <c r="J114" s="925"/>
      <c r="K114" s="979"/>
      <c r="L114" s="926"/>
      <c r="M114" s="926"/>
      <c r="N114" s="986"/>
      <c r="Q114" s="927"/>
      <c r="R114" s="925"/>
      <c r="S114" s="979"/>
      <c r="T114" s="926"/>
      <c r="U114" s="926"/>
      <c r="V114" s="986"/>
      <c r="W114" s="29"/>
      <c r="X114" s="704"/>
      <c r="Y114" s="927"/>
      <c r="Z114" s="925"/>
      <c r="AA114" s="979"/>
      <c r="AB114" s="926"/>
      <c r="AC114" s="926"/>
      <c r="AD114" s="986"/>
      <c r="AH114" s="1031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27"/>
      <c r="B115" s="925"/>
      <c r="C115" s="979"/>
      <c r="D115" s="926"/>
      <c r="E115" s="926"/>
      <c r="F115" s="986"/>
      <c r="G115" s="29"/>
      <c r="H115" s="31"/>
      <c r="I115" s="927"/>
      <c r="J115" s="925"/>
      <c r="K115" s="979"/>
      <c r="L115" s="926"/>
      <c r="M115" s="926"/>
      <c r="N115" s="986"/>
      <c r="Q115" s="927"/>
      <c r="R115" s="925"/>
      <c r="S115" s="979"/>
      <c r="T115" s="926"/>
      <c r="U115" s="926"/>
      <c r="V115" s="986"/>
      <c r="W115" s="29"/>
      <c r="X115" s="704"/>
      <c r="Y115" s="927"/>
      <c r="Z115" s="925"/>
      <c r="AA115" s="979"/>
      <c r="AB115" s="926"/>
      <c r="AC115" s="926"/>
      <c r="AD115" s="986"/>
      <c r="AH115" s="1031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27"/>
      <c r="B116" s="925"/>
      <c r="C116" s="979"/>
      <c r="D116" s="926"/>
      <c r="E116" s="926"/>
      <c r="F116" s="986"/>
      <c r="G116" s="29"/>
      <c r="H116" s="31"/>
      <c r="I116" s="927"/>
      <c r="J116" s="925"/>
      <c r="K116" s="979"/>
      <c r="L116" s="926"/>
      <c r="M116" s="926"/>
      <c r="N116" s="986"/>
      <c r="Q116" s="927"/>
      <c r="R116" s="925"/>
      <c r="S116" s="979"/>
      <c r="T116" s="926"/>
      <c r="U116" s="926"/>
      <c r="V116" s="986"/>
      <c r="W116" s="29"/>
      <c r="X116" s="704"/>
      <c r="Y116" s="927"/>
      <c r="Z116" s="925"/>
      <c r="AA116" s="979"/>
      <c r="AB116" s="926"/>
      <c r="AC116" s="926"/>
      <c r="AD116" s="986"/>
      <c r="AH116" s="1031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27"/>
      <c r="B117" s="925"/>
      <c r="C117" s="979"/>
      <c r="D117" s="926"/>
      <c r="E117" s="926"/>
      <c r="F117" s="986"/>
      <c r="G117" s="29"/>
      <c r="H117" s="31"/>
      <c r="I117" s="927"/>
      <c r="J117" s="925"/>
      <c r="K117" s="979"/>
      <c r="L117" s="926"/>
      <c r="M117" s="926"/>
      <c r="N117" s="986"/>
      <c r="Q117" s="927"/>
      <c r="R117" s="925"/>
      <c r="S117" s="979"/>
      <c r="T117" s="926"/>
      <c r="U117" s="926"/>
      <c r="V117" s="986"/>
      <c r="W117" s="29"/>
      <c r="X117" s="704"/>
      <c r="Y117" s="927"/>
      <c r="Z117" s="925"/>
      <c r="AA117" s="979"/>
      <c r="AB117" s="926"/>
      <c r="AC117" s="926"/>
      <c r="AD117" s="986"/>
      <c r="AH117" s="1031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27"/>
      <c r="B118" s="925"/>
      <c r="C118" s="979"/>
      <c r="D118" s="926"/>
      <c r="E118" s="926"/>
      <c r="F118" s="986"/>
      <c r="G118" s="29"/>
      <c r="H118" s="31"/>
      <c r="I118" s="927"/>
      <c r="J118" s="925"/>
      <c r="K118" s="979"/>
      <c r="L118" s="926"/>
      <c r="M118" s="926"/>
      <c r="N118" s="986"/>
      <c r="Q118" s="927"/>
      <c r="R118" s="925"/>
      <c r="S118" s="979"/>
      <c r="T118" s="926"/>
      <c r="U118" s="926"/>
      <c r="V118" s="986"/>
      <c r="W118" s="29"/>
      <c r="X118" s="704"/>
      <c r="Y118" s="927"/>
      <c r="Z118" s="925"/>
      <c r="AA118" s="979"/>
      <c r="AB118" s="926"/>
      <c r="AC118" s="926"/>
      <c r="AD118" s="986"/>
      <c r="AH118" s="1031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27"/>
      <c r="B119" s="925"/>
      <c r="C119" s="979"/>
      <c r="D119" s="926"/>
      <c r="E119" s="926"/>
      <c r="F119" s="986"/>
      <c r="G119" s="29"/>
      <c r="H119" s="31"/>
      <c r="I119" s="927"/>
      <c r="J119" s="925"/>
      <c r="K119" s="979"/>
      <c r="L119" s="926"/>
      <c r="M119" s="926"/>
      <c r="N119" s="986"/>
      <c r="Q119" s="927"/>
      <c r="R119" s="925"/>
      <c r="S119" s="979"/>
      <c r="T119" s="926"/>
      <c r="U119" s="926"/>
      <c r="V119" s="986"/>
      <c r="W119" s="29"/>
      <c r="X119" s="704"/>
      <c r="Y119" s="927"/>
      <c r="Z119" s="925"/>
      <c r="AA119" s="979"/>
      <c r="AB119" s="926"/>
      <c r="AC119" s="926"/>
      <c r="AD119" s="986"/>
      <c r="AH119" s="1031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2.75" x14ac:dyDescent="0.2">
      <c r="A120" s="927"/>
      <c r="B120" s="925"/>
      <c r="C120" s="979"/>
      <c r="D120" s="926"/>
      <c r="E120" s="926"/>
      <c r="F120" s="986"/>
      <c r="G120" s="29"/>
      <c r="H120" s="31"/>
      <c r="I120" s="927"/>
      <c r="J120" s="925"/>
      <c r="K120" s="979"/>
      <c r="L120" s="926"/>
      <c r="M120" s="926"/>
      <c r="N120" s="986"/>
      <c r="Q120" s="927"/>
      <c r="R120" s="925"/>
      <c r="S120" s="979"/>
      <c r="T120" s="926"/>
      <c r="U120" s="926"/>
      <c r="V120" s="986"/>
      <c r="W120" s="29"/>
      <c r="X120" s="704"/>
      <c r="Y120" s="927"/>
      <c r="Z120" s="925"/>
      <c r="AA120" s="979"/>
      <c r="AB120" s="926"/>
      <c r="AC120" s="926"/>
      <c r="AD120" s="986"/>
      <c r="AH120" s="1031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19" customFormat="1" ht="13.5" thickBot="1" x14ac:dyDescent="0.25">
      <c r="A121" s="971"/>
      <c r="B121" s="972"/>
      <c r="C121" s="981"/>
      <c r="D121" s="982"/>
      <c r="E121" s="982"/>
      <c r="F121" s="1001"/>
      <c r="G121" s="29"/>
      <c r="H121" s="31"/>
      <c r="I121" s="971"/>
      <c r="J121" s="972"/>
      <c r="K121" s="981"/>
      <c r="L121" s="982"/>
      <c r="M121" s="982"/>
      <c r="N121" s="1001"/>
      <c r="Q121" s="971"/>
      <c r="R121" s="972"/>
      <c r="S121" s="981"/>
      <c r="T121" s="982"/>
      <c r="U121" s="982"/>
      <c r="V121" s="1001"/>
      <c r="W121" s="29"/>
      <c r="X121" s="704"/>
      <c r="Y121" s="971"/>
      <c r="Z121" s="972"/>
      <c r="AA121" s="981"/>
      <c r="AB121" s="982"/>
      <c r="AC121" s="982"/>
      <c r="AD121" s="1001"/>
      <c r="AH121" s="1031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</row>
    <row r="122" spans="1:49" s="677" customFormat="1" x14ac:dyDescent="0.25">
      <c r="A122" s="1110" t="s">
        <v>329</v>
      </c>
      <c r="F122" s="1028"/>
      <c r="G122" s="1029"/>
      <c r="H122" s="699"/>
      <c r="I122" s="1110" t="s">
        <v>330</v>
      </c>
      <c r="N122" s="1028"/>
      <c r="Q122" s="1110" t="s">
        <v>331</v>
      </c>
      <c r="V122" s="1028"/>
      <c r="W122" s="1029"/>
      <c r="X122" s="699"/>
      <c r="Y122" s="1110" t="s">
        <v>332</v>
      </c>
      <c r="AD122" s="1028"/>
      <c r="AH122" s="1030"/>
      <c r="AM122" s="1077"/>
      <c r="AN122" s="1077"/>
      <c r="AO122" s="1077"/>
      <c r="AP122" s="1077"/>
      <c r="AQ122" s="1077"/>
      <c r="AR122" s="1077"/>
      <c r="AS122" s="1077"/>
      <c r="AT122" s="1077"/>
      <c r="AU122" s="1077"/>
      <c r="AV122" s="1077"/>
      <c r="AW122" s="1077"/>
    </row>
    <row r="123" spans="1:49" s="19" customFormat="1" ht="12.75" x14ac:dyDescent="0.2">
      <c r="A123" s="1023"/>
      <c r="B123" s="1024"/>
      <c r="C123" s="1025"/>
      <c r="D123" s="1026"/>
      <c r="E123" s="1026"/>
      <c r="F123" s="1027"/>
      <c r="G123" s="29"/>
      <c r="H123" s="31"/>
      <c r="I123" s="1023"/>
      <c r="J123" s="1024"/>
      <c r="K123" s="1025"/>
      <c r="L123" s="1026"/>
      <c r="M123" s="1026"/>
      <c r="N123" s="1027"/>
      <c r="Q123" s="1023"/>
      <c r="R123" s="1024"/>
      <c r="S123" s="1025"/>
      <c r="T123" s="1026"/>
      <c r="U123" s="1026"/>
      <c r="V123" s="1027"/>
      <c r="W123" s="29"/>
      <c r="X123" s="704"/>
      <c r="Y123" s="1023"/>
      <c r="Z123" s="1024"/>
      <c r="AA123" s="1025"/>
      <c r="AB123" s="1026"/>
      <c r="AC123" s="1026"/>
      <c r="AD123" s="1027"/>
      <c r="AH123" s="1031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27"/>
      <c r="B124" s="925"/>
      <c r="C124" s="984"/>
      <c r="D124" s="926"/>
      <c r="E124" s="926"/>
      <c r="F124" s="986"/>
      <c r="G124" s="29"/>
      <c r="H124" s="31"/>
      <c r="I124" s="927"/>
      <c r="J124" s="925"/>
      <c r="K124" s="984"/>
      <c r="L124" s="926"/>
      <c r="M124" s="926"/>
      <c r="N124" s="986"/>
      <c r="Q124" s="927"/>
      <c r="R124" s="925"/>
      <c r="S124" s="984"/>
      <c r="T124" s="926"/>
      <c r="U124" s="926"/>
      <c r="V124" s="986"/>
      <c r="W124" s="29"/>
      <c r="X124" s="704"/>
      <c r="Y124" s="927"/>
      <c r="Z124" s="925"/>
      <c r="AA124" s="984"/>
      <c r="AB124" s="926"/>
      <c r="AC124" s="926"/>
      <c r="AD124" s="986"/>
      <c r="AH124" s="1031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27"/>
      <c r="B125" s="925"/>
      <c r="C125" s="984"/>
      <c r="D125" s="926"/>
      <c r="E125" s="926"/>
      <c r="F125" s="986"/>
      <c r="G125" s="29"/>
      <c r="H125" s="31"/>
      <c r="I125" s="927"/>
      <c r="J125" s="925"/>
      <c r="K125" s="984"/>
      <c r="L125" s="926"/>
      <c r="M125" s="926"/>
      <c r="N125" s="986"/>
      <c r="Q125" s="927"/>
      <c r="R125" s="925"/>
      <c r="S125" s="984"/>
      <c r="T125" s="926"/>
      <c r="U125" s="926"/>
      <c r="V125" s="986"/>
      <c r="W125" s="29"/>
      <c r="X125" s="704"/>
      <c r="Y125" s="927"/>
      <c r="Z125" s="925"/>
      <c r="AA125" s="984"/>
      <c r="AB125" s="926"/>
      <c r="AC125" s="926"/>
      <c r="AD125" s="986"/>
      <c r="AH125" s="1031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27"/>
      <c r="B126" s="925"/>
      <c r="C126" s="984"/>
      <c r="D126" s="926"/>
      <c r="E126" s="926"/>
      <c r="F126" s="986"/>
      <c r="G126" s="29"/>
      <c r="H126" s="31"/>
      <c r="I126" s="927"/>
      <c r="J126" s="925"/>
      <c r="K126" s="984"/>
      <c r="L126" s="926"/>
      <c r="M126" s="926"/>
      <c r="N126" s="986"/>
      <c r="Q126" s="927"/>
      <c r="R126" s="925"/>
      <c r="S126" s="984"/>
      <c r="T126" s="926"/>
      <c r="U126" s="926"/>
      <c r="V126" s="986"/>
      <c r="W126" s="29"/>
      <c r="X126" s="704"/>
      <c r="Y126" s="927"/>
      <c r="Z126" s="925"/>
      <c r="AA126" s="984"/>
      <c r="AB126" s="926"/>
      <c r="AC126" s="926"/>
      <c r="AD126" s="986"/>
      <c r="AH126" s="1031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27"/>
      <c r="B127" s="925"/>
      <c r="C127" s="984"/>
      <c r="D127" s="926"/>
      <c r="E127" s="926"/>
      <c r="F127" s="986"/>
      <c r="G127" s="29"/>
      <c r="H127" s="31"/>
      <c r="I127" s="927"/>
      <c r="J127" s="925"/>
      <c r="K127" s="984"/>
      <c r="L127" s="926"/>
      <c r="M127" s="926"/>
      <c r="N127" s="986"/>
      <c r="Q127" s="927"/>
      <c r="R127" s="925"/>
      <c r="S127" s="984"/>
      <c r="T127" s="926"/>
      <c r="U127" s="926"/>
      <c r="V127" s="986"/>
      <c r="W127" s="29"/>
      <c r="X127" s="704"/>
      <c r="Y127" s="927"/>
      <c r="Z127" s="925"/>
      <c r="AA127" s="984"/>
      <c r="AB127" s="926"/>
      <c r="AC127" s="926"/>
      <c r="AD127" s="986"/>
      <c r="AH127" s="1031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27"/>
      <c r="B128" s="925"/>
      <c r="C128" s="984"/>
      <c r="D128" s="926"/>
      <c r="E128" s="926"/>
      <c r="F128" s="986"/>
      <c r="G128" s="29"/>
      <c r="H128" s="31"/>
      <c r="I128" s="927"/>
      <c r="J128" s="925"/>
      <c r="K128" s="984"/>
      <c r="L128" s="926"/>
      <c r="M128" s="926"/>
      <c r="N128" s="986"/>
      <c r="Q128" s="927"/>
      <c r="R128" s="925"/>
      <c r="S128" s="984"/>
      <c r="T128" s="926"/>
      <c r="U128" s="926"/>
      <c r="V128" s="986"/>
      <c r="W128" s="29"/>
      <c r="X128" s="704"/>
      <c r="Y128" s="927"/>
      <c r="Z128" s="925"/>
      <c r="AA128" s="984"/>
      <c r="AB128" s="926"/>
      <c r="AC128" s="926"/>
      <c r="AD128" s="986"/>
      <c r="AH128" s="1031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27"/>
      <c r="B129" s="925"/>
      <c r="C129" s="984"/>
      <c r="D129" s="926"/>
      <c r="E129" s="926"/>
      <c r="F129" s="986"/>
      <c r="G129" s="29"/>
      <c r="H129" s="31"/>
      <c r="I129" s="927"/>
      <c r="J129" s="925"/>
      <c r="K129" s="984"/>
      <c r="L129" s="926"/>
      <c r="M129" s="926"/>
      <c r="N129" s="986"/>
      <c r="Q129" s="927"/>
      <c r="R129" s="925"/>
      <c r="S129" s="984"/>
      <c r="T129" s="926"/>
      <c r="U129" s="926"/>
      <c r="V129" s="986"/>
      <c r="W129" s="29"/>
      <c r="X129" s="704"/>
      <c r="Y129" s="927"/>
      <c r="Z129" s="925"/>
      <c r="AA129" s="984"/>
      <c r="AB129" s="926"/>
      <c r="AC129" s="926"/>
      <c r="AD129" s="986"/>
      <c r="AH129" s="1031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27"/>
      <c r="B130" s="925"/>
      <c r="C130" s="984"/>
      <c r="D130" s="926"/>
      <c r="E130" s="926"/>
      <c r="F130" s="986"/>
      <c r="G130" s="29"/>
      <c r="H130" s="31"/>
      <c r="I130" s="927"/>
      <c r="J130" s="925"/>
      <c r="K130" s="984"/>
      <c r="L130" s="926"/>
      <c r="M130" s="926"/>
      <c r="N130" s="986"/>
      <c r="Q130" s="927"/>
      <c r="R130" s="925"/>
      <c r="S130" s="984"/>
      <c r="T130" s="926"/>
      <c r="U130" s="926"/>
      <c r="V130" s="986"/>
      <c r="W130" s="29"/>
      <c r="X130" s="704"/>
      <c r="Y130" s="927"/>
      <c r="Z130" s="925"/>
      <c r="AA130" s="984"/>
      <c r="AB130" s="926"/>
      <c r="AC130" s="926"/>
      <c r="AD130" s="986"/>
      <c r="AH130" s="1031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27"/>
      <c r="B131" s="925"/>
      <c r="C131" s="984"/>
      <c r="D131" s="926"/>
      <c r="E131" s="926"/>
      <c r="F131" s="986"/>
      <c r="G131" s="29"/>
      <c r="H131" s="31"/>
      <c r="I131" s="927"/>
      <c r="J131" s="925"/>
      <c r="K131" s="984"/>
      <c r="L131" s="926"/>
      <c r="M131" s="926"/>
      <c r="N131" s="986"/>
      <c r="Q131" s="927"/>
      <c r="R131" s="925"/>
      <c r="S131" s="984"/>
      <c r="T131" s="926"/>
      <c r="U131" s="926"/>
      <c r="V131" s="986"/>
      <c r="W131" s="29"/>
      <c r="X131" s="704"/>
      <c r="Y131" s="927"/>
      <c r="Z131" s="925"/>
      <c r="AA131" s="984"/>
      <c r="AB131" s="926"/>
      <c r="AC131" s="926"/>
      <c r="AD131" s="986"/>
      <c r="AH131" s="1031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27"/>
      <c r="B132" s="925"/>
      <c r="C132" s="984"/>
      <c r="D132" s="926"/>
      <c r="E132" s="926"/>
      <c r="F132" s="986"/>
      <c r="G132" s="29"/>
      <c r="H132" s="31"/>
      <c r="I132" s="927"/>
      <c r="J132" s="925"/>
      <c r="K132" s="984"/>
      <c r="L132" s="926"/>
      <c r="M132" s="926"/>
      <c r="N132" s="986"/>
      <c r="Q132" s="927"/>
      <c r="R132" s="925"/>
      <c r="S132" s="984"/>
      <c r="T132" s="926"/>
      <c r="U132" s="926"/>
      <c r="V132" s="986"/>
      <c r="W132" s="29"/>
      <c r="X132" s="704"/>
      <c r="Y132" s="927"/>
      <c r="Z132" s="925"/>
      <c r="AA132" s="984"/>
      <c r="AB132" s="926"/>
      <c r="AC132" s="926"/>
      <c r="AD132" s="986"/>
      <c r="AH132" s="1031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27"/>
      <c r="B133" s="925"/>
      <c r="C133" s="984"/>
      <c r="D133" s="926"/>
      <c r="E133" s="926"/>
      <c r="F133" s="986"/>
      <c r="G133" s="29"/>
      <c r="H133" s="31"/>
      <c r="I133" s="927"/>
      <c r="J133" s="925"/>
      <c r="K133" s="984"/>
      <c r="L133" s="926"/>
      <c r="M133" s="926"/>
      <c r="N133" s="986"/>
      <c r="Q133" s="927"/>
      <c r="R133" s="925"/>
      <c r="S133" s="984"/>
      <c r="T133" s="926"/>
      <c r="U133" s="926"/>
      <c r="V133" s="986"/>
      <c r="W133" s="29"/>
      <c r="X133" s="704"/>
      <c r="Y133" s="927"/>
      <c r="Z133" s="925"/>
      <c r="AA133" s="984"/>
      <c r="AB133" s="926"/>
      <c r="AC133" s="926"/>
      <c r="AD133" s="986"/>
      <c r="AH133" s="1031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27"/>
      <c r="B134" s="925"/>
      <c r="C134" s="984"/>
      <c r="D134" s="926"/>
      <c r="E134" s="926"/>
      <c r="F134" s="986"/>
      <c r="G134" s="29"/>
      <c r="H134" s="31"/>
      <c r="I134" s="927"/>
      <c r="J134" s="925"/>
      <c r="K134" s="984"/>
      <c r="L134" s="926"/>
      <c r="M134" s="926"/>
      <c r="N134" s="986"/>
      <c r="Q134" s="927"/>
      <c r="R134" s="925"/>
      <c r="S134" s="984"/>
      <c r="T134" s="926"/>
      <c r="U134" s="926"/>
      <c r="V134" s="986"/>
      <c r="W134" s="29"/>
      <c r="X134" s="704"/>
      <c r="Y134" s="927"/>
      <c r="Z134" s="925"/>
      <c r="AA134" s="984"/>
      <c r="AB134" s="926"/>
      <c r="AC134" s="926"/>
      <c r="AD134" s="986"/>
      <c r="AH134" s="1031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27"/>
      <c r="B135" s="925"/>
      <c r="C135" s="985"/>
      <c r="D135" s="926"/>
      <c r="E135" s="926"/>
      <c r="F135" s="986"/>
      <c r="G135" s="29"/>
      <c r="H135" s="31"/>
      <c r="I135" s="927"/>
      <c r="J135" s="925"/>
      <c r="K135" s="985"/>
      <c r="L135" s="926"/>
      <c r="M135" s="926"/>
      <c r="N135" s="986"/>
      <c r="Q135" s="927"/>
      <c r="R135" s="925"/>
      <c r="S135" s="985"/>
      <c r="T135" s="926"/>
      <c r="U135" s="926"/>
      <c r="V135" s="986"/>
      <c r="W135" s="29"/>
      <c r="X135" s="704"/>
      <c r="Y135" s="927"/>
      <c r="Z135" s="925"/>
      <c r="AA135" s="985"/>
      <c r="AB135" s="926"/>
      <c r="AC135" s="926"/>
      <c r="AD135" s="986"/>
      <c r="AH135" s="1031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27"/>
      <c r="B136" s="925"/>
      <c r="C136" s="985"/>
      <c r="D136" s="926"/>
      <c r="E136" s="926"/>
      <c r="F136" s="986"/>
      <c r="G136" s="29"/>
      <c r="H136" s="31"/>
      <c r="I136" s="927"/>
      <c r="J136" s="925"/>
      <c r="K136" s="985"/>
      <c r="L136" s="926"/>
      <c r="M136" s="926"/>
      <c r="N136" s="986"/>
      <c r="Q136" s="927"/>
      <c r="R136" s="925"/>
      <c r="S136" s="985"/>
      <c r="T136" s="926"/>
      <c r="U136" s="926"/>
      <c r="V136" s="986"/>
      <c r="W136" s="29"/>
      <c r="X136" s="704"/>
      <c r="Y136" s="927"/>
      <c r="Z136" s="925"/>
      <c r="AA136" s="985"/>
      <c r="AB136" s="926"/>
      <c r="AC136" s="926"/>
      <c r="AD136" s="986"/>
      <c r="AH136" s="1031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27"/>
      <c r="B137" s="925"/>
      <c r="C137" s="985"/>
      <c r="D137" s="926"/>
      <c r="E137" s="926"/>
      <c r="F137" s="986"/>
      <c r="G137" s="29"/>
      <c r="H137" s="31"/>
      <c r="I137" s="927"/>
      <c r="J137" s="925"/>
      <c r="K137" s="985"/>
      <c r="L137" s="926"/>
      <c r="M137" s="926"/>
      <c r="N137" s="986"/>
      <c r="Q137" s="927"/>
      <c r="R137" s="925"/>
      <c r="S137" s="985"/>
      <c r="T137" s="926"/>
      <c r="U137" s="926"/>
      <c r="V137" s="986"/>
      <c r="W137" s="29"/>
      <c r="X137" s="704"/>
      <c r="Y137" s="927"/>
      <c r="Z137" s="925"/>
      <c r="AA137" s="985"/>
      <c r="AB137" s="926"/>
      <c r="AC137" s="926"/>
      <c r="AD137" s="986"/>
      <c r="AH137" s="1031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27"/>
      <c r="B138" s="925"/>
      <c r="C138" s="979"/>
      <c r="D138" s="926"/>
      <c r="E138" s="926"/>
      <c r="F138" s="986"/>
      <c r="G138" s="29"/>
      <c r="H138" s="31"/>
      <c r="I138" s="927"/>
      <c r="J138" s="925"/>
      <c r="K138" s="979"/>
      <c r="L138" s="926"/>
      <c r="M138" s="926"/>
      <c r="N138" s="986"/>
      <c r="Q138" s="927"/>
      <c r="R138" s="925"/>
      <c r="S138" s="979"/>
      <c r="T138" s="926"/>
      <c r="U138" s="926"/>
      <c r="V138" s="986"/>
      <c r="W138" s="29"/>
      <c r="X138" s="704"/>
      <c r="Y138" s="927"/>
      <c r="Z138" s="925"/>
      <c r="AA138" s="979"/>
      <c r="AB138" s="926"/>
      <c r="AC138" s="926"/>
      <c r="AD138" s="986"/>
      <c r="AH138" s="1031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27"/>
      <c r="B139" s="925"/>
      <c r="C139" s="979"/>
      <c r="D139" s="926"/>
      <c r="E139" s="926"/>
      <c r="F139" s="986"/>
      <c r="G139" s="29"/>
      <c r="H139" s="31"/>
      <c r="I139" s="927"/>
      <c r="J139" s="925"/>
      <c r="K139" s="979"/>
      <c r="L139" s="926"/>
      <c r="M139" s="926"/>
      <c r="N139" s="986"/>
      <c r="Q139" s="927"/>
      <c r="R139" s="925"/>
      <c r="S139" s="979"/>
      <c r="T139" s="926"/>
      <c r="U139" s="926"/>
      <c r="V139" s="986"/>
      <c r="W139" s="29"/>
      <c r="X139" s="704"/>
      <c r="Y139" s="927"/>
      <c r="Z139" s="925"/>
      <c r="AA139" s="979"/>
      <c r="AB139" s="926"/>
      <c r="AC139" s="926"/>
      <c r="AD139" s="986"/>
      <c r="AH139" s="1031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27"/>
      <c r="B140" s="925"/>
      <c r="C140" s="979"/>
      <c r="D140" s="926"/>
      <c r="E140" s="926"/>
      <c r="F140" s="986"/>
      <c r="G140" s="29"/>
      <c r="H140" s="31"/>
      <c r="I140" s="927"/>
      <c r="J140" s="925"/>
      <c r="K140" s="979"/>
      <c r="L140" s="926"/>
      <c r="M140" s="926"/>
      <c r="N140" s="986"/>
      <c r="Q140" s="927"/>
      <c r="R140" s="925"/>
      <c r="S140" s="979"/>
      <c r="T140" s="926"/>
      <c r="U140" s="926"/>
      <c r="V140" s="986"/>
      <c r="W140" s="29"/>
      <c r="X140" s="704"/>
      <c r="Y140" s="927"/>
      <c r="Z140" s="925"/>
      <c r="AA140" s="979"/>
      <c r="AB140" s="926"/>
      <c r="AC140" s="926"/>
      <c r="AD140" s="986"/>
      <c r="AH140" s="1031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27"/>
      <c r="B141" s="925"/>
      <c r="C141" s="979"/>
      <c r="D141" s="926"/>
      <c r="E141" s="926"/>
      <c r="F141" s="986"/>
      <c r="G141" s="29"/>
      <c r="H141" s="31"/>
      <c r="I141" s="927"/>
      <c r="J141" s="925"/>
      <c r="K141" s="979"/>
      <c r="L141" s="926"/>
      <c r="M141" s="926"/>
      <c r="N141" s="986"/>
      <c r="Q141" s="927"/>
      <c r="R141" s="925"/>
      <c r="S141" s="979"/>
      <c r="T141" s="926"/>
      <c r="U141" s="926"/>
      <c r="V141" s="986"/>
      <c r="W141" s="29"/>
      <c r="X141" s="704"/>
      <c r="Y141" s="927"/>
      <c r="Z141" s="925"/>
      <c r="AA141" s="979"/>
      <c r="AB141" s="926"/>
      <c r="AC141" s="926"/>
      <c r="AD141" s="986"/>
      <c r="AH141" s="1031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27"/>
      <c r="B142" s="925"/>
      <c r="C142" s="979"/>
      <c r="D142" s="926"/>
      <c r="E142" s="926"/>
      <c r="F142" s="986"/>
      <c r="G142" s="29"/>
      <c r="H142" s="31"/>
      <c r="I142" s="927"/>
      <c r="J142" s="925"/>
      <c r="K142" s="979"/>
      <c r="L142" s="926"/>
      <c r="M142" s="926"/>
      <c r="N142" s="986"/>
      <c r="Q142" s="927"/>
      <c r="R142" s="925"/>
      <c r="S142" s="979"/>
      <c r="T142" s="926"/>
      <c r="U142" s="926"/>
      <c r="V142" s="986"/>
      <c r="W142" s="29"/>
      <c r="X142" s="704"/>
      <c r="Y142" s="927"/>
      <c r="Z142" s="925"/>
      <c r="AA142" s="979"/>
      <c r="AB142" s="926"/>
      <c r="AC142" s="926"/>
      <c r="AD142" s="986"/>
      <c r="AH142" s="1031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27"/>
      <c r="B143" s="925"/>
      <c r="C143" s="979"/>
      <c r="D143" s="926"/>
      <c r="E143" s="926"/>
      <c r="F143" s="986"/>
      <c r="G143" s="29"/>
      <c r="H143" s="31"/>
      <c r="I143" s="927"/>
      <c r="J143" s="925"/>
      <c r="K143" s="979"/>
      <c r="L143" s="926"/>
      <c r="M143" s="926"/>
      <c r="N143" s="986"/>
      <c r="Q143" s="927"/>
      <c r="R143" s="925"/>
      <c r="S143" s="979"/>
      <c r="T143" s="926"/>
      <c r="U143" s="926"/>
      <c r="V143" s="986"/>
      <c r="W143" s="29"/>
      <c r="X143" s="704"/>
      <c r="Y143" s="927"/>
      <c r="Z143" s="925"/>
      <c r="AA143" s="979"/>
      <c r="AB143" s="926"/>
      <c r="AC143" s="926"/>
      <c r="AD143" s="986"/>
      <c r="AH143" s="1031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27"/>
      <c r="B144" s="925"/>
      <c r="C144" s="979"/>
      <c r="D144" s="926"/>
      <c r="E144" s="926"/>
      <c r="F144" s="986"/>
      <c r="G144" s="29"/>
      <c r="H144" s="31"/>
      <c r="I144" s="927"/>
      <c r="J144" s="925"/>
      <c r="K144" s="979"/>
      <c r="L144" s="926"/>
      <c r="M144" s="926"/>
      <c r="N144" s="986"/>
      <c r="Q144" s="927"/>
      <c r="R144" s="925"/>
      <c r="S144" s="979"/>
      <c r="T144" s="926"/>
      <c r="U144" s="926"/>
      <c r="V144" s="986"/>
      <c r="W144" s="29"/>
      <c r="X144" s="704"/>
      <c r="Y144" s="927"/>
      <c r="Z144" s="925"/>
      <c r="AA144" s="979"/>
      <c r="AB144" s="926"/>
      <c r="AC144" s="926"/>
      <c r="AD144" s="986"/>
      <c r="AH144" s="1031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2.75" x14ac:dyDescent="0.2">
      <c r="A145" s="927"/>
      <c r="B145" s="925"/>
      <c r="C145" s="979"/>
      <c r="D145" s="926"/>
      <c r="E145" s="926"/>
      <c r="F145" s="986"/>
      <c r="G145" s="29"/>
      <c r="H145" s="31"/>
      <c r="I145" s="927"/>
      <c r="J145" s="925"/>
      <c r="K145" s="979"/>
      <c r="L145" s="926"/>
      <c r="M145" s="926"/>
      <c r="N145" s="986"/>
      <c r="Q145" s="927"/>
      <c r="R145" s="925"/>
      <c r="S145" s="979"/>
      <c r="T145" s="926"/>
      <c r="U145" s="926"/>
      <c r="V145" s="986"/>
      <c r="W145" s="29"/>
      <c r="X145" s="704"/>
      <c r="Y145" s="927"/>
      <c r="Z145" s="925"/>
      <c r="AA145" s="979"/>
      <c r="AB145" s="926"/>
      <c r="AC145" s="926"/>
      <c r="AD145" s="986"/>
      <c r="AH145" s="1031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  <row r="146" spans="1:49" s="19" customFormat="1" ht="13.5" thickBot="1" x14ac:dyDescent="0.25">
      <c r="A146" s="971"/>
      <c r="B146" s="972"/>
      <c r="C146" s="981"/>
      <c r="D146" s="982"/>
      <c r="E146" s="982"/>
      <c r="F146" s="1001"/>
      <c r="G146" s="29"/>
      <c r="H146" s="31"/>
      <c r="I146" s="971"/>
      <c r="J146" s="972"/>
      <c r="K146" s="981"/>
      <c r="L146" s="982"/>
      <c r="M146" s="982"/>
      <c r="N146" s="1001"/>
      <c r="Q146" s="971"/>
      <c r="R146" s="972"/>
      <c r="S146" s="981"/>
      <c r="T146" s="982"/>
      <c r="U146" s="982"/>
      <c r="V146" s="1001"/>
      <c r="W146" s="29"/>
      <c r="X146" s="704"/>
      <c r="Y146" s="971"/>
      <c r="Z146" s="972"/>
      <c r="AA146" s="981"/>
      <c r="AB146" s="982"/>
      <c r="AC146" s="982"/>
      <c r="AD146" s="1001"/>
      <c r="AH146" s="1031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</row>
  </sheetData>
  <sheetProtection sheet="1" objects="1" scenarios="1" formatCells="0" formatColumns="0" formatRows="0" sort="0"/>
  <mergeCells count="16">
    <mergeCell ref="AV54:AW54"/>
    <mergeCell ref="AV55:AW55"/>
    <mergeCell ref="AT54:AU54"/>
    <mergeCell ref="AT55:AU55"/>
    <mergeCell ref="AP54:AQ54"/>
    <mergeCell ref="AR54:AS54"/>
    <mergeCell ref="AN54:AO54"/>
    <mergeCell ref="AP55:AQ55"/>
    <mergeCell ref="AR55:AS55"/>
    <mergeCell ref="AN55:AO55"/>
    <mergeCell ref="AJ55:AJ56"/>
    <mergeCell ref="Q55:Z55"/>
    <mergeCell ref="B55:B56"/>
    <mergeCell ref="B1:F1"/>
    <mergeCell ref="I1:J1"/>
    <mergeCell ref="C55:M55"/>
  </mergeCells>
  <conditionalFormatting sqref="C83:Z95">
    <cfRule type="expression" dxfId="40" priority="2086" stopIfTrue="1">
      <formula>C$83=0</formula>
    </cfRule>
  </conditionalFormatting>
  <conditionalFormatting sqref="A16:N43">
    <cfRule type="expression" dxfId="39" priority="13" stopIfTrue="1">
      <formula>$B16=""</formula>
    </cfRule>
  </conditionalFormatting>
  <conditionalFormatting sqref="A57:A80 C57:AA80">
    <cfRule type="expression" dxfId="38" priority="2094" stopIfTrue="1">
      <formula>$N57=0</formula>
    </cfRule>
  </conditionalFormatting>
  <conditionalFormatting sqref="F20:G43">
    <cfRule type="expression" dxfId="37" priority="2095" stopIfTrue="1">
      <formula>$AD57=TRUE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8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3" customWidth="1"/>
    <col min="66" max="69" width="10.140625" style="6" customWidth="1"/>
    <col min="70" max="70" width="10.140625" style="573" customWidth="1"/>
    <col min="71" max="71" width="10.140625" style="569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7" t="s">
        <v>196</v>
      </c>
      <c r="B1" s="90"/>
      <c r="K1" s="4"/>
      <c r="L1" s="4"/>
      <c r="M1" s="4"/>
      <c r="N1" s="273" t="s">
        <v>242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64">
        <v>0.98199999999999998</v>
      </c>
      <c r="Z1" s="678" t="s">
        <v>227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1" t="s">
        <v>75</v>
      </c>
      <c r="AN1" s="4"/>
      <c r="AO1" s="4"/>
      <c r="AT1" s="765"/>
      <c r="AY1" s="765"/>
      <c r="BC1" s="1243" t="s">
        <v>209</v>
      </c>
      <c r="BD1" s="1243"/>
      <c r="BE1" s="1243"/>
      <c r="BF1" s="809"/>
      <c r="BH1" s="735" t="s">
        <v>201</v>
      </c>
      <c r="BJ1" s="720"/>
      <c r="BK1" s="720"/>
      <c r="BL1" s="720"/>
      <c r="BM1" s="720"/>
      <c r="BN1" s="720"/>
      <c r="BO1" s="720"/>
      <c r="BP1" s="720"/>
      <c r="BQ1" s="720"/>
      <c r="BR1" s="574"/>
      <c r="BS1" s="575"/>
      <c r="BT1" s="462"/>
    </row>
    <row r="2" spans="1:84" s="4" customFormat="1" ht="12.75" customHeight="1" thickBot="1" x14ac:dyDescent="0.3">
      <c r="A2" s="1234" t="str">
        <f>'Réglage perte'!B2</f>
        <v>Garderie Labège</v>
      </c>
      <c r="B2" s="1235"/>
      <c r="C2" s="1235"/>
      <c r="D2" s="1236"/>
      <c r="I2" s="1190" t="s">
        <v>369</v>
      </c>
      <c r="J2" s="1191">
        <f>AVERAGEIF($BW$15:$CF$380,"&gt;0,97")</f>
        <v>0.99750342056170038</v>
      </c>
      <c r="L2" s="175">
        <v>43079</v>
      </c>
      <c r="M2" s="175">
        <v>43093</v>
      </c>
      <c r="N2" s="762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3"/>
      <c r="BC2" s="1243"/>
      <c r="BD2" s="1243"/>
      <c r="BE2" s="1243"/>
      <c r="BF2" s="809"/>
      <c r="BH2" s="28"/>
      <c r="BI2" s="566"/>
      <c r="BJ2" s="567"/>
      <c r="BK2" s="282"/>
      <c r="BL2" s="567"/>
      <c r="BM2" s="568"/>
      <c r="BN2" s="282"/>
      <c r="BP2" s="6"/>
      <c r="BQ2" s="282"/>
      <c r="BR2" s="568"/>
      <c r="BS2" s="569"/>
      <c r="BT2" s="6"/>
    </row>
    <row r="3" spans="1:84" s="4" customFormat="1" ht="12.75" customHeight="1" thickBot="1" x14ac:dyDescent="0.3">
      <c r="A3" s="1237"/>
      <c r="B3" s="1238"/>
      <c r="C3" s="1238"/>
      <c r="D3" s="1239"/>
      <c r="E3" s="3"/>
      <c r="L3" s="757">
        <f>AL3</f>
        <v>255</v>
      </c>
      <c r="M3" s="761">
        <f>+AM3</f>
        <v>252</v>
      </c>
      <c r="N3" s="171">
        <v>277</v>
      </c>
      <c r="O3" s="171">
        <v>314</v>
      </c>
      <c r="P3" s="171">
        <v>362</v>
      </c>
      <c r="Q3" s="171">
        <v>411</v>
      </c>
      <c r="R3" s="171">
        <v>463</v>
      </c>
      <c r="S3" s="171">
        <v>515</v>
      </c>
      <c r="T3" s="171">
        <v>565</v>
      </c>
      <c r="U3" s="171">
        <v>603</v>
      </c>
      <c r="V3" s="171">
        <v>628</v>
      </c>
      <c r="W3" s="171">
        <v>643</v>
      </c>
      <c r="X3" s="171">
        <v>649</v>
      </c>
      <c r="Y3" s="171">
        <v>648</v>
      </c>
      <c r="Z3" s="171">
        <v>639</v>
      </c>
      <c r="AA3" s="171">
        <v>626</v>
      </c>
      <c r="AB3" s="171">
        <v>609</v>
      </c>
      <c r="AC3" s="171">
        <v>589</v>
      </c>
      <c r="AD3" s="171">
        <v>566</v>
      </c>
      <c r="AE3" s="171">
        <v>539</v>
      </c>
      <c r="AF3" s="171">
        <v>500</v>
      </c>
      <c r="AG3" s="171">
        <v>453</v>
      </c>
      <c r="AH3" s="171">
        <v>406</v>
      </c>
      <c r="AI3" s="171">
        <v>359</v>
      </c>
      <c r="AJ3" s="171">
        <v>316</v>
      </c>
      <c r="AK3" s="171">
        <v>281</v>
      </c>
      <c r="AL3" s="171">
        <v>255</v>
      </c>
      <c r="AM3" s="171">
        <v>252</v>
      </c>
      <c r="AN3" s="757">
        <f>+N3</f>
        <v>277</v>
      </c>
      <c r="AO3" s="758">
        <f>+O3</f>
        <v>314</v>
      </c>
      <c r="BC3" s="1243"/>
      <c r="BD3" s="1243"/>
      <c r="BE3" s="1243"/>
      <c r="BF3" s="809"/>
      <c r="BH3" s="28"/>
      <c r="BI3" s="6"/>
      <c r="BJ3" s="6"/>
      <c r="BK3" s="6"/>
      <c r="BL3" s="6"/>
      <c r="BM3" s="6"/>
      <c r="BN3" s="6"/>
      <c r="BO3" s="798" t="s">
        <v>239</v>
      </c>
      <c r="BP3" s="799">
        <v>0.3</v>
      </c>
      <c r="BQ3" s="800" t="s">
        <v>240</v>
      </c>
      <c r="BR3" s="801" t="s">
        <v>245</v>
      </c>
      <c r="BS3" s="567"/>
    </row>
    <row r="4" spans="1:84" s="4" customFormat="1" ht="12.75" customHeight="1" x14ac:dyDescent="0.25">
      <c r="A4" s="2"/>
      <c r="B4" s="418"/>
      <c r="E4" s="33"/>
      <c r="F4" s="570"/>
      <c r="K4" s="2"/>
      <c r="M4" s="636" t="s">
        <v>193</v>
      </c>
      <c r="N4" s="763">
        <f>MAX($BA15:$BA28)-1</f>
        <v>4.6501424249861367E-2</v>
      </c>
      <c r="O4" s="652">
        <f>MAX($BA29:$BA42)-1</f>
        <v>2.0891005371974192E-2</v>
      </c>
      <c r="P4" s="652">
        <f>MAX($BA43:$BA56)-1</f>
        <v>3.3857050758687723E-2</v>
      </c>
      <c r="Q4" s="652">
        <f>MAX(BA57:BA70)-1</f>
        <v>3.9730126852131731E-2</v>
      </c>
      <c r="R4" s="652">
        <f>MAX(BA71:BA84)-1</f>
        <v>2.7480999671898321E-3</v>
      </c>
      <c r="S4" s="652">
        <f>MAX(BA85:BA98)-1</f>
        <v>2.020076196182985E-2</v>
      </c>
      <c r="T4" s="652">
        <f>MAX(BA99:BA112)-1</f>
        <v>4.7327367668172693E-2</v>
      </c>
      <c r="U4" s="652">
        <f>MAX(BA113:BA126)-1</f>
        <v>2.0068440125745379E-2</v>
      </c>
      <c r="V4" s="652">
        <f>MAX(BA127:BA140)-1</f>
        <v>2.8420797443345913E-2</v>
      </c>
      <c r="W4" s="652">
        <f>MAX(BA141:BA154)-1</f>
        <v>3.713566779572619E-2</v>
      </c>
      <c r="X4" s="652">
        <f>MAX(BA155:BA168)-1</f>
        <v>1.4935211295741269E-2</v>
      </c>
      <c r="Y4" s="652">
        <f>MAX(BA169:BA182)-1</f>
        <v>4.0335960608231192E-2</v>
      </c>
      <c r="Z4" s="652">
        <f>MAX(BA183:BA196)-1</f>
        <v>3.9421482565682453E-4</v>
      </c>
      <c r="AA4" s="652">
        <f>MAX(BA197:BA210)-1</f>
        <v>4.1790410166280711E-2</v>
      </c>
      <c r="AB4" s="652">
        <f>MAX(BA211:BA224)-1</f>
        <v>1.0944394164882576E-2</v>
      </c>
      <c r="AC4" s="652">
        <f>MAX(BA225:BA238)-1</f>
        <v>-6.534380726215594E-3</v>
      </c>
      <c r="AD4" s="652">
        <f>MAX(BA239:BA252)-1</f>
        <v>2.900843476579773E-2</v>
      </c>
      <c r="AE4" s="652">
        <f>MAX(BA253:BA266)-1</f>
        <v>4.7367195727860301E-2</v>
      </c>
      <c r="AF4" s="652">
        <f>MAX(BA267:BA280)-1</f>
        <v>4.4165880340934383E-2</v>
      </c>
      <c r="AG4" s="652">
        <f>MAX(BA281:BA294)-1</f>
        <v>1.8746872792742453E-2</v>
      </c>
      <c r="AH4" s="652">
        <f>MAX(BA295:BA308)-1</f>
        <v>4.2565711872035283E-2</v>
      </c>
      <c r="AI4" s="652">
        <f>MAX(BA309:BA322)-1</f>
        <v>4.6091765264368645E-2</v>
      </c>
      <c r="AJ4" s="652">
        <f>MAX(BA323:BA336)-1</f>
        <v>-1.6583666702851385E-2</v>
      </c>
      <c r="AK4" s="652">
        <f>MAX(BA337:BA350)-1</f>
        <v>4.6179566378834469E-2</v>
      </c>
      <c r="AL4" s="652">
        <f>MAX(BA351:BA364)-1</f>
        <v>3.6102155247474732E-2</v>
      </c>
      <c r="AM4" s="652">
        <f>MAX(BA365:BA380)-1</f>
        <v>4.6574803264006315E-2</v>
      </c>
      <c r="AN4" s="640"/>
      <c r="AP4" s="570"/>
      <c r="AU4" s="570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241</v>
      </c>
      <c r="BP4" s="802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0" t="s">
        <v>192</v>
      </c>
      <c r="B5" s="1241"/>
      <c r="C5" s="1241"/>
      <c r="D5" s="1241"/>
      <c r="E5" s="1241"/>
      <c r="F5" s="1241"/>
      <c r="G5" s="1241"/>
      <c r="H5" s="1241"/>
      <c r="I5" s="1241"/>
      <c r="J5" s="1242"/>
      <c r="K5" s="89"/>
      <c r="N5" s="88"/>
      <c r="O5" s="88"/>
      <c r="P5" s="19"/>
      <c r="Q5" s="70"/>
      <c r="R5" s="70"/>
      <c r="S5" s="70"/>
      <c r="T5" s="70"/>
      <c r="U5" s="70"/>
      <c r="V5" s="637"/>
      <c r="W5" s="70"/>
      <c r="X5" s="70"/>
      <c r="Y5" s="70"/>
      <c r="Z5" s="70"/>
      <c r="AA5" s="70"/>
      <c r="AB5" s="70"/>
      <c r="AC5" s="70"/>
      <c r="AD5" s="70"/>
      <c r="AE5" s="638"/>
      <c r="AF5" s="19"/>
      <c r="AG5" s="19"/>
      <c r="AH5" s="71"/>
      <c r="AI5" s="651"/>
      <c r="AJ5" s="651"/>
      <c r="AK5" s="651"/>
      <c r="AL5" s="651"/>
      <c r="AM5" s="88"/>
      <c r="AN5" s="650"/>
      <c r="AP5" s="759"/>
      <c r="AQ5" s="759"/>
      <c r="AR5" s="759"/>
      <c r="AS5" s="759"/>
      <c r="AT5" s="766"/>
      <c r="AU5" s="759"/>
      <c r="AV5" s="759"/>
      <c r="AW5" s="759"/>
      <c r="AX5" s="759"/>
      <c r="AY5" s="766"/>
      <c r="AZ5" s="759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70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8.9659887314030851E-3</v>
      </c>
      <c r="B7" s="269">
        <f>'2019'!Dépas_env</f>
        <v>4.7367195727860301E-2</v>
      </c>
      <c r="C7" s="269">
        <f>'2020'!Dépas_env</f>
        <v>4.7327367668172693E-2</v>
      </c>
      <c r="D7" s="269">
        <f>'2021'!Dépas_env</f>
        <v>4.6574803264006315E-2</v>
      </c>
      <c r="E7" s="269">
        <f>'2022'!Dépas_env</f>
        <v>4.4165880340934383E-2</v>
      </c>
      <c r="F7" s="600">
        <f>'2023'!Dépas_env</f>
        <v>4.416588034093416E-2</v>
      </c>
      <c r="G7" s="600">
        <f>'2024'!Dépas_env</f>
        <v>4.4165880340934383E-2</v>
      </c>
      <c r="H7" s="600">
        <f>'2025'!Dépas_env</f>
        <v>4.4165880340934383E-2</v>
      </c>
      <c r="I7" s="600">
        <f>'2026'!Dépas_env</f>
        <v>4.4165880340934383E-2</v>
      </c>
      <c r="J7" s="600">
        <f>'2027'!Dépas_env</f>
        <v>4.4165880340934383E-2</v>
      </c>
      <c r="K7" s="2"/>
      <c r="BA7" s="641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41"/>
      <c r="BC8" s="6"/>
      <c r="BD8" s="282"/>
      <c r="BE8" s="282"/>
      <c r="BF8" s="282"/>
      <c r="BJ8" s="6"/>
      <c r="BK8" s="6"/>
      <c r="BL8" s="6"/>
      <c r="BM8" s="6"/>
      <c r="BN8" s="6"/>
      <c r="BO8" s="571"/>
      <c r="BP8" s="571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1"/>
      <c r="BB9" s="19"/>
      <c r="BC9" s="19"/>
      <c r="BD9" s="283"/>
      <c r="BE9" s="283"/>
      <c r="BF9" s="283"/>
      <c r="BH9" s="702">
        <f>PousHi*($A$6-BP13-INDEX(Croivg,MIN(MAX(BO13-DATE(BP13,1,1)+1,0),366)))</f>
        <v>-2.0026106892122759</v>
      </c>
      <c r="BI9" s="968" t="s">
        <v>301</v>
      </c>
      <c r="BJ9" s="6"/>
      <c r="BK9" s="6"/>
      <c r="BL9" s="6"/>
      <c r="BM9" s="6"/>
      <c r="BN9" s="6"/>
      <c r="BO9" s="571"/>
      <c r="BP9" s="571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50"/>
      <c r="BD10" s="282"/>
      <c r="BE10" s="282"/>
      <c r="BF10" s="282"/>
      <c r="BH10" s="1047">
        <f>MIN(MATCH(H_i,Echel_vg),10)</f>
        <v>3</v>
      </c>
      <c r="BI10" s="562"/>
      <c r="BO10" s="734"/>
      <c r="BP10" s="734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2" t="s">
        <v>322</v>
      </c>
      <c r="D11" s="1086">
        <v>0.97</v>
      </c>
      <c r="E11" s="8"/>
      <c r="J11" s="9"/>
      <c r="K11" s="7"/>
      <c r="L11" s="760" t="s">
        <v>228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9" t="s">
        <v>231</v>
      </c>
      <c r="AT11" s="27"/>
      <c r="AU11" s="689" t="s">
        <v>232</v>
      </c>
      <c r="AY11" s="27"/>
      <c r="AZ11" s="771" t="s">
        <v>235</v>
      </c>
      <c r="BA11" s="641"/>
      <c r="BB11" s="19"/>
      <c r="BC11" s="15"/>
      <c r="BD11" s="1244" t="s">
        <v>251</v>
      </c>
      <c r="BE11" s="1245"/>
      <c r="BF11" s="1248" t="s">
        <v>246</v>
      </c>
      <c r="BH11" s="1048">
        <f>INDEX(Echel_vg,$BH$10)</f>
        <v>-3</v>
      </c>
      <c r="BI11" s="562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10.56169638849005</v>
      </c>
      <c r="C12" s="12">
        <f>+MIN(C15:C379)</f>
        <v>2018</v>
      </c>
      <c r="D12" s="1059">
        <f>+MIN(D15:D379)</f>
        <v>0.97012084314958424</v>
      </c>
      <c r="E12" s="12">
        <f t="shared" ref="E12:J12" si="1">+MIN(E15:E379)</f>
        <v>24.746400000000001</v>
      </c>
      <c r="F12" s="417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24.574760404867785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7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24.82213927235069</v>
      </c>
      <c r="AU12" s="417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24.660729344215774</v>
      </c>
      <c r="AZ12" s="391">
        <f t="shared" si="3"/>
        <v>24.769791837347206</v>
      </c>
      <c r="BA12" s="639"/>
      <c r="BC12" s="15"/>
      <c r="BD12" s="1246"/>
      <c r="BE12" s="1247"/>
      <c r="BF12" s="1249"/>
      <c r="BH12" s="1049">
        <f>(H_i-BH11)/(INDEX(Echel_vg,$BH$10+1)-BH$11)</f>
        <v>0.99738931078772408</v>
      </c>
      <c r="BJ12" s="6"/>
      <c r="BK12" s="6"/>
      <c r="BL12" s="6"/>
      <c r="BN12" s="356" t="str">
        <f>Masques!B54</f>
        <v>Pas de calcul pousse en hauteur:</v>
      </c>
      <c r="BO12" s="1115">
        <f>+Masques!C54</f>
        <v>1</v>
      </c>
      <c r="BP12" s="571"/>
      <c r="BQ12" s="571"/>
      <c r="BR12" s="572"/>
      <c r="BS12" s="569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66.115436428019962</v>
      </c>
      <c r="C13" s="12">
        <f>+MAX(C15:C379)</f>
        <v>2022</v>
      </c>
      <c r="D13" s="1059">
        <f>+MAX(D15:D379)</f>
        <v>1.0473671957278603</v>
      </c>
      <c r="E13" s="12">
        <f t="shared" ref="E13:J13" si="4">+MAX(E15:E379)</f>
        <v>63.7318</v>
      </c>
      <c r="F13" s="417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63.779665342851409</v>
      </c>
      <c r="K13" s="6"/>
      <c r="L13" s="774">
        <f>AL13</f>
        <v>250.41</v>
      </c>
      <c r="M13" s="774">
        <f>+AM13</f>
        <v>247.464</v>
      </c>
      <c r="N13" s="773">
        <f t="shared" ref="N13:AM13" si="5">Ajust_M*N3</f>
        <v>272.01400000000001</v>
      </c>
      <c r="O13" s="764">
        <f t="shared" si="5"/>
        <v>308.34800000000001</v>
      </c>
      <c r="P13" s="764">
        <f t="shared" si="5"/>
        <v>355.48399999999998</v>
      </c>
      <c r="Q13" s="764">
        <f t="shared" si="5"/>
        <v>403.60199999999998</v>
      </c>
      <c r="R13" s="764">
        <f t="shared" si="5"/>
        <v>454.666</v>
      </c>
      <c r="S13" s="764">
        <f t="shared" si="5"/>
        <v>505.73</v>
      </c>
      <c r="T13" s="764">
        <f t="shared" si="5"/>
        <v>554.83000000000004</v>
      </c>
      <c r="U13" s="764">
        <f t="shared" si="5"/>
        <v>592.14599999999996</v>
      </c>
      <c r="V13" s="764">
        <f t="shared" si="5"/>
        <v>616.69600000000003</v>
      </c>
      <c r="W13" s="764">
        <f t="shared" si="5"/>
        <v>631.42600000000004</v>
      </c>
      <c r="X13" s="764">
        <f t="shared" si="5"/>
        <v>637.31799999999998</v>
      </c>
      <c r="Y13" s="764">
        <f t="shared" si="5"/>
        <v>636.33600000000001</v>
      </c>
      <c r="Z13" s="764">
        <f t="shared" si="5"/>
        <v>627.49799999999993</v>
      </c>
      <c r="AA13" s="764">
        <f t="shared" si="5"/>
        <v>614.73199999999997</v>
      </c>
      <c r="AB13" s="764">
        <f t="shared" si="5"/>
        <v>598.03800000000001</v>
      </c>
      <c r="AC13" s="764">
        <f t="shared" si="5"/>
        <v>578.39800000000002</v>
      </c>
      <c r="AD13" s="764">
        <f t="shared" si="5"/>
        <v>555.81200000000001</v>
      </c>
      <c r="AE13" s="764">
        <f t="shared" si="5"/>
        <v>529.298</v>
      </c>
      <c r="AF13" s="764">
        <f t="shared" si="5"/>
        <v>491</v>
      </c>
      <c r="AG13" s="764">
        <f t="shared" si="5"/>
        <v>444.846</v>
      </c>
      <c r="AH13" s="764">
        <f t="shared" si="5"/>
        <v>398.69200000000001</v>
      </c>
      <c r="AI13" s="764">
        <f t="shared" si="5"/>
        <v>352.53800000000001</v>
      </c>
      <c r="AJ13" s="764">
        <f t="shared" si="5"/>
        <v>310.31200000000001</v>
      </c>
      <c r="AK13" s="764">
        <f t="shared" si="5"/>
        <v>275.94200000000001</v>
      </c>
      <c r="AL13" s="764">
        <f t="shared" si="5"/>
        <v>250.41</v>
      </c>
      <c r="AM13" s="764">
        <f t="shared" si="5"/>
        <v>247.464</v>
      </c>
      <c r="AN13" s="774">
        <f>+N13</f>
        <v>272.01400000000001</v>
      </c>
      <c r="AO13" s="774">
        <f>+O13</f>
        <v>308.34800000000001</v>
      </c>
      <c r="AP13" s="417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63.768446065006515</v>
      </c>
      <c r="AU13" s="417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63.794821210524859</v>
      </c>
      <c r="AZ13" s="391">
        <f t="shared" si="6"/>
        <v>63.781633637765687</v>
      </c>
      <c r="BA13" s="639"/>
      <c r="BC13" s="37"/>
      <c r="BD13" s="285" t="s">
        <v>49</v>
      </c>
      <c r="BE13" s="285" t="s">
        <v>48</v>
      </c>
      <c r="BF13" s="285" t="s">
        <v>249</v>
      </c>
      <c r="BH13" s="1050" t="s">
        <v>89</v>
      </c>
      <c r="BJ13" s="6"/>
      <c r="BN13" s="33" t="str">
        <f>Masques!G54</f>
        <v>Date de relevés hauteurs (ref. 0m):</v>
      </c>
      <c r="BO13" s="1116">
        <f>+Masques!I1</f>
        <v>44600</v>
      </c>
      <c r="BP13" s="801">
        <f>YEAR(BO13)</f>
        <v>2022</v>
      </c>
      <c r="BW13" s="677" t="s">
        <v>368</v>
      </c>
    </row>
    <row r="14" spans="1:84" ht="37.5" customHeight="1" thickBot="1" x14ac:dyDescent="0.3">
      <c r="A14" s="356" t="s">
        <v>114</v>
      </c>
      <c r="B14" s="1058" t="s">
        <v>3</v>
      </c>
      <c r="C14" s="1058" t="s">
        <v>13</v>
      </c>
      <c r="D14" s="1060" t="s">
        <v>323</v>
      </c>
      <c r="E14" s="174" t="s">
        <v>225</v>
      </c>
      <c r="F14" s="174" t="s">
        <v>221</v>
      </c>
      <c r="G14" s="174" t="s">
        <v>222</v>
      </c>
      <c r="H14" s="174" t="s">
        <v>223</v>
      </c>
      <c r="I14" s="744" t="s">
        <v>224</v>
      </c>
      <c r="J14" s="78" t="s">
        <v>0</v>
      </c>
      <c r="L14" s="2"/>
      <c r="M14" s="4" t="s">
        <v>226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221</v>
      </c>
      <c r="AQ14" s="174" t="s">
        <v>222</v>
      </c>
      <c r="AR14" s="174" t="s">
        <v>223</v>
      </c>
      <c r="AS14" s="744" t="s">
        <v>224</v>
      </c>
      <c r="AT14" s="767" t="s">
        <v>233</v>
      </c>
      <c r="AU14" s="174" t="s">
        <v>221</v>
      </c>
      <c r="AV14" s="174" t="s">
        <v>222</v>
      </c>
      <c r="AW14" s="174" t="s">
        <v>223</v>
      </c>
      <c r="AX14" s="744" t="s">
        <v>224</v>
      </c>
      <c r="AY14" s="767" t="s">
        <v>234</v>
      </c>
      <c r="AZ14" s="78" t="s">
        <v>236</v>
      </c>
      <c r="BA14" s="642" t="s">
        <v>194</v>
      </c>
      <c r="BB14" s="72"/>
      <c r="BC14" s="356" t="s">
        <v>114</v>
      </c>
      <c r="BD14" s="286" t="s">
        <v>19</v>
      </c>
      <c r="BE14" s="287" t="s">
        <v>21</v>
      </c>
      <c r="BF14" s="814" t="s">
        <v>250</v>
      </c>
      <c r="BH14" s="1051" t="s">
        <v>90</v>
      </c>
      <c r="BI14" s="1046" t="s">
        <v>302</v>
      </c>
      <c r="BJ14" s="721">
        <f>+Masques!C56</f>
        <v>-5</v>
      </c>
      <c r="BK14" s="721">
        <f>+Masques!D56</f>
        <v>-4</v>
      </c>
      <c r="BL14" s="721">
        <f>+Masques!E56</f>
        <v>-3</v>
      </c>
      <c r="BM14" s="722">
        <f>+Masques!F56</f>
        <v>-2</v>
      </c>
      <c r="BN14" s="722">
        <f>+Masques!G56</f>
        <v>-1</v>
      </c>
      <c r="BO14" s="723">
        <f>+Masques!H56</f>
        <v>0</v>
      </c>
      <c r="BP14" s="721">
        <f>+Masques!I56</f>
        <v>1</v>
      </c>
      <c r="BQ14" s="721">
        <f>+Masques!J56</f>
        <v>2</v>
      </c>
      <c r="BR14" s="721">
        <f>+Masques!K56</f>
        <v>3</v>
      </c>
      <c r="BS14" s="721">
        <f>+Masques!L56</f>
        <v>4</v>
      </c>
      <c r="BT14" s="721">
        <f>+Masques!M56</f>
        <v>5</v>
      </c>
      <c r="BU14" s="969" t="s">
        <v>200</v>
      </c>
      <c r="BW14" s="1182">
        <v>2018</v>
      </c>
      <c r="BX14" s="1182">
        <v>2019</v>
      </c>
      <c r="BY14" s="1182">
        <v>2020</v>
      </c>
      <c r="BZ14" s="1182">
        <v>2021</v>
      </c>
      <c r="CA14" s="1182">
        <v>2022</v>
      </c>
      <c r="CB14" s="1182">
        <v>2023</v>
      </c>
      <c r="CC14" s="1182">
        <v>2024</v>
      </c>
      <c r="CD14" s="1182">
        <v>2025</v>
      </c>
      <c r="CE14" s="1182">
        <v>2026</v>
      </c>
      <c r="CF14" s="1182">
        <v>2027</v>
      </c>
    </row>
    <row r="15" spans="1:84" s="6" customFormat="1" ht="11.25" x14ac:dyDescent="0.2">
      <c r="A15" s="11">
        <v>43101</v>
      </c>
      <c r="B15" s="379">
        <f>'2022'!Maxi_hp</f>
        <v>24.528525019852513</v>
      </c>
      <c r="C15" s="750">
        <f>'2022'!An_max</f>
        <v>2022</v>
      </c>
      <c r="D15" s="1061" t="str">
        <f t="shared" ref="D15:D78" si="7">IF($BA15&gt;$D$11,BA15,"")</f>
        <v/>
      </c>
      <c r="E15" s="1056"/>
      <c r="F15" s="750">
        <f>INT(MATCH($A15,x.2m)/2)*2+1</f>
        <v>1</v>
      </c>
      <c r="G15" s="750">
        <f>INT((MATCH($A15,x.2m)+1)/2)*2</f>
        <v>2</v>
      </c>
      <c r="H15" s="751">
        <f t="shared" ref="H15:H78" si="8">INDEX(x.2m,F15)</f>
        <v>43093</v>
      </c>
      <c r="I15" s="752">
        <f t="shared" ref="I15:I78" si="9">($A15-H15)/(INDEX(x.2m,G15)-H15)</f>
        <v>0.53333333333333333</v>
      </c>
      <c r="J15" s="745">
        <f>((1-I15)*(INDEX(a.m,F15)*$A15*$A15+INDEX(b.m,F15)*$A15+INDEX(c.m,F15))+I15*(INDEX(a.m,G15)*$A15*$A15+INDEX(b.m,G15)*$A15+INDEX(c.m,G15)))/10</f>
        <v>25.790555709302424</v>
      </c>
      <c r="L15" s="754" t="s">
        <v>210</v>
      </c>
      <c r="M15" s="784">
        <f t="shared" ref="M15:AN15" si="10">L12</f>
        <v>43079</v>
      </c>
      <c r="N15" s="785">
        <f t="shared" si="10"/>
        <v>43093</v>
      </c>
      <c r="O15" s="775">
        <f t="shared" si="10"/>
        <v>43108</v>
      </c>
      <c r="P15" s="775">
        <f t="shared" si="10"/>
        <v>43122</v>
      </c>
      <c r="Q15" s="775">
        <f t="shared" si="10"/>
        <v>43136</v>
      </c>
      <c r="R15" s="775">
        <f t="shared" si="10"/>
        <v>43150</v>
      </c>
      <c r="S15" s="775">
        <f t="shared" si="10"/>
        <v>43164</v>
      </c>
      <c r="T15" s="775">
        <f t="shared" si="10"/>
        <v>43178</v>
      </c>
      <c r="U15" s="775">
        <f t="shared" si="10"/>
        <v>43192</v>
      </c>
      <c r="V15" s="775">
        <f t="shared" si="10"/>
        <v>43206</v>
      </c>
      <c r="W15" s="775">
        <f t="shared" si="10"/>
        <v>43220</v>
      </c>
      <c r="X15" s="775">
        <f t="shared" si="10"/>
        <v>43234</v>
      </c>
      <c r="Y15" s="775">
        <f t="shared" si="10"/>
        <v>43248</v>
      </c>
      <c r="Z15" s="775">
        <f t="shared" si="10"/>
        <v>43262</v>
      </c>
      <c r="AA15" s="775">
        <f t="shared" si="10"/>
        <v>43276</v>
      </c>
      <c r="AB15" s="775">
        <f t="shared" si="10"/>
        <v>43290</v>
      </c>
      <c r="AC15" s="775">
        <f t="shared" si="10"/>
        <v>43304</v>
      </c>
      <c r="AD15" s="775">
        <f t="shared" si="10"/>
        <v>43318</v>
      </c>
      <c r="AE15" s="775">
        <f t="shared" si="10"/>
        <v>43332</v>
      </c>
      <c r="AF15" s="775">
        <f t="shared" si="10"/>
        <v>43346</v>
      </c>
      <c r="AG15" s="775">
        <f t="shared" si="10"/>
        <v>43360</v>
      </c>
      <c r="AH15" s="775">
        <f t="shared" si="10"/>
        <v>43374</v>
      </c>
      <c r="AI15" s="775">
        <f t="shared" si="10"/>
        <v>43388</v>
      </c>
      <c r="AJ15" s="775">
        <f t="shared" si="10"/>
        <v>43402</v>
      </c>
      <c r="AK15" s="775">
        <f t="shared" si="10"/>
        <v>43416</v>
      </c>
      <c r="AL15" s="775">
        <f t="shared" si="10"/>
        <v>43430</v>
      </c>
      <c r="AM15" s="775">
        <f t="shared" si="10"/>
        <v>43444</v>
      </c>
      <c r="AN15" s="777">
        <f t="shared" si="10"/>
        <v>43458</v>
      </c>
      <c r="AO15" s="1055">
        <v>43101</v>
      </c>
      <c r="AP15" s="750">
        <f t="shared" ref="AP15:AP78" si="11">INT(MATCH($A15,x.2lg)/2)*2+1</f>
        <v>1</v>
      </c>
      <c r="AQ15" s="750">
        <f t="shared" ref="AQ15:AQ78" si="12">INT((MATCH($A15,x.2lg)+1)/2)*2</f>
        <v>2</v>
      </c>
      <c r="AR15" s="751">
        <f t="shared" ref="AR15:AR78" si="13">INDEX(x.2lg,AP15)</f>
        <v>43079</v>
      </c>
      <c r="AS15" s="752">
        <f t="shared" ref="AS15:AS78" si="14">($A15-AR15)/(INDEX(x.2lg,AQ15)-AR15)</f>
        <v>0.75862068965517238</v>
      </c>
      <c r="AT15" s="768">
        <f t="shared" ref="AT15:AT78" si="15">((1-AS15)*(INDEX(a.lg,AP15)*$A15*$A15+INDEX(b.lg,AP15)*$A15+INDEX(c.lg,AP15))+AS15*(INDEX(a.lg,AQ15)*$A15*$A15+INDEX(b.lg,AQ15)*$A15+INDEX(c.lg,AQ15)))/10</f>
        <v>26.033509944430715</v>
      </c>
      <c r="AU15" s="750">
        <f t="shared" ref="AU15:AU78" si="16">INT(MATCH($A15,x.2ld)/2)*2+1</f>
        <v>1</v>
      </c>
      <c r="AV15" s="750">
        <f t="shared" ref="AV15:AV78" si="17">INT((MATCH($A15,x.2ld)+1)/2)*2</f>
        <v>2</v>
      </c>
      <c r="AW15" s="751">
        <f t="shared" ref="AW15:AW78" si="18">INDEX(x.2ld,AU15)</f>
        <v>43093</v>
      </c>
      <c r="AX15" s="752">
        <f t="shared" ref="AX15:AX78" si="19">($A15-AW15)/(INDEX(x.2ld,AV15)-AW15)</f>
        <v>0.27586206896551724</v>
      </c>
      <c r="AY15" s="768">
        <f t="shared" ref="AY15:AY78" si="20">((1-AX15)*(INDEX(a.ld,AU15)*$A15*$A15+INDEX(b.ld,AU15)*$A15+INDEX(c.ld,AU15))+AX15*(INDEX(a.ld,AV15)*$A15*$A15+INDEX(b.ld,AV15)*$A15+INDEX(c.ld,AV15)))/10</f>
        <v>25.654899030204479</v>
      </c>
      <c r="AZ15" s="745">
        <f>(AY15+AT15)/2</f>
        <v>25.844204487317597</v>
      </c>
      <c r="BA15" s="643">
        <f t="shared" ref="BA15:BA78" si="21">+B15/J15</f>
        <v>0.95106616919484566</v>
      </c>
      <c r="BC15" s="11">
        <v>43101</v>
      </c>
      <c r="BD15" s="288">
        <f>[2]!FeuilCaduc*(1-Persistant)+Persistant</f>
        <v>0.60457829942861385</v>
      </c>
      <c r="BE15" s="289">
        <f>[2]!CroissVégét</f>
        <v>2.3909964587625958E-6</v>
      </c>
      <c r="BF15" s="815">
        <f>1+[2]!Salcycl*Ksac</f>
        <v>1.0005722874285767</v>
      </c>
      <c r="BH15" s="1052">
        <f t="shared" ref="BH15:BH78" si="22">INDEX($BJ15:$BT15,,$BH$10)*(1-Ratini)+INDEX($BJ15:$BT15,,$BH$10+1)*Ratini</f>
        <v>2.4150959137955916E-3</v>
      </c>
      <c r="BI15" s="11">
        <v>44197</v>
      </c>
      <c r="BJ15" s="821">
        <v>5.1861063850512916E-4</v>
      </c>
      <c r="BK15" s="724">
        <v>9.5194527570198917E-4</v>
      </c>
      <c r="BL15" s="724">
        <v>1.5388949190492079E-3</v>
      </c>
      <c r="BM15" s="724">
        <v>2.4173893898335121E-3</v>
      </c>
      <c r="BN15" s="724">
        <v>3.6554122516709673E-3</v>
      </c>
      <c r="BO15" s="725">
        <v>5.6575957336878436E-3</v>
      </c>
      <c r="BP15" s="724">
        <v>8.1971506317892323E-3</v>
      </c>
      <c r="BQ15" s="724">
        <v>1.1240540101526794E-2</v>
      </c>
      <c r="BR15" s="724">
        <v>1.4577788776549801E-2</v>
      </c>
      <c r="BS15" s="724">
        <v>1.8754085640803279E-2</v>
      </c>
      <c r="BT15" s="724">
        <v>2.3651718495327767E-2</v>
      </c>
      <c r="BW15" s="1183">
        <f>'2018'!R\Max</f>
        <v>0</v>
      </c>
      <c r="BX15" s="1184">
        <f>'2019'!R\Max</f>
        <v>6.9822949212937954E-2</v>
      </c>
      <c r="BY15" s="1184">
        <f>'2020'!R\Max</f>
        <v>0.59335726300892178</v>
      </c>
      <c r="BZ15" s="1184">
        <f>'2021'!R\Max</f>
        <v>0.30735408525185709</v>
      </c>
      <c r="CA15" s="1184">
        <f>'2022'!R\Max</f>
        <v>0.95106616919484566</v>
      </c>
      <c r="CB15" s="1184">
        <f>'2023'!R\Max</f>
        <v>0.95105727077822177</v>
      </c>
      <c r="CC15" s="1184">
        <f>'2024'!R\Max</f>
        <v>0.95104836030293016</v>
      </c>
      <c r="CD15" s="1184">
        <f>'2025'!R\Max</f>
        <v>0.95103768834022295</v>
      </c>
      <c r="CE15" s="1184">
        <f>'2026'!R\Max</f>
        <v>0.95108475435450757</v>
      </c>
      <c r="CF15" s="1185">
        <f>'2027'!R\Max</f>
        <v>0.95108041415053479</v>
      </c>
    </row>
    <row r="16" spans="1:84" s="6" customFormat="1" ht="11.25" x14ac:dyDescent="0.2">
      <c r="A16" s="11">
        <v>43102</v>
      </c>
      <c r="B16" s="380">
        <f>'2022'!Maxi_hp</f>
        <v>24.297474136240545</v>
      </c>
      <c r="C16" s="13">
        <f>'2022'!An_max</f>
        <v>2020</v>
      </c>
      <c r="D16" s="1062" t="str">
        <f t="shared" si="7"/>
        <v/>
      </c>
      <c r="E16" s="1057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53">
        <f t="shared" si="9"/>
        <v>0.6</v>
      </c>
      <c r="J16" s="746">
        <f>((1-I16)*(INDEX(a.m,F16)*$A16*$A16+INDEX(b.m,F16)*$A16+INDEX(c.m,F16))+I16*(INDEX(a.m,G16)*$A16*$A16+INDEX(b.m,G16)*$A16+INDEX(c.m,G16)))/10</f>
        <v>25.974722366333008</v>
      </c>
      <c r="L16" s="755" t="s">
        <v>211</v>
      </c>
      <c r="M16" s="741">
        <f t="shared" ref="M16:AN16" si="25">L13</f>
        <v>250.41</v>
      </c>
      <c r="N16" s="780">
        <f t="shared" si="25"/>
        <v>247.464</v>
      </c>
      <c r="O16" s="742">
        <f t="shared" si="25"/>
        <v>272.01400000000001</v>
      </c>
      <c r="P16" s="742">
        <f t="shared" si="25"/>
        <v>308.34800000000001</v>
      </c>
      <c r="Q16" s="742">
        <f t="shared" si="25"/>
        <v>355.48399999999998</v>
      </c>
      <c r="R16" s="742">
        <f t="shared" si="25"/>
        <v>403.60199999999998</v>
      </c>
      <c r="S16" s="742">
        <f t="shared" si="25"/>
        <v>454.666</v>
      </c>
      <c r="T16" s="742">
        <f t="shared" si="25"/>
        <v>505.73</v>
      </c>
      <c r="U16" s="742">
        <f t="shared" si="25"/>
        <v>554.83000000000004</v>
      </c>
      <c r="V16" s="742">
        <f t="shared" si="25"/>
        <v>592.14599999999996</v>
      </c>
      <c r="W16" s="742">
        <f t="shared" si="25"/>
        <v>616.69600000000003</v>
      </c>
      <c r="X16" s="742">
        <f t="shared" si="25"/>
        <v>631.42600000000004</v>
      </c>
      <c r="Y16" s="742">
        <f t="shared" si="25"/>
        <v>637.31799999999998</v>
      </c>
      <c r="Z16" s="742">
        <f t="shared" si="25"/>
        <v>636.33600000000001</v>
      </c>
      <c r="AA16" s="742">
        <f t="shared" si="25"/>
        <v>627.49799999999993</v>
      </c>
      <c r="AB16" s="742">
        <f t="shared" si="25"/>
        <v>614.73199999999997</v>
      </c>
      <c r="AC16" s="742">
        <f t="shared" si="25"/>
        <v>598.03800000000001</v>
      </c>
      <c r="AD16" s="742">
        <f t="shared" si="25"/>
        <v>578.39800000000002</v>
      </c>
      <c r="AE16" s="742">
        <f t="shared" si="25"/>
        <v>555.81200000000001</v>
      </c>
      <c r="AF16" s="742">
        <f t="shared" si="25"/>
        <v>529.298</v>
      </c>
      <c r="AG16" s="742">
        <f t="shared" si="25"/>
        <v>491</v>
      </c>
      <c r="AH16" s="742">
        <f t="shared" si="25"/>
        <v>444.846</v>
      </c>
      <c r="AI16" s="742">
        <f t="shared" si="25"/>
        <v>398.69200000000001</v>
      </c>
      <c r="AJ16" s="742">
        <f t="shared" si="25"/>
        <v>352.53800000000001</v>
      </c>
      <c r="AK16" s="742">
        <f t="shared" si="25"/>
        <v>310.31200000000001</v>
      </c>
      <c r="AL16" s="742">
        <f t="shared" si="25"/>
        <v>275.94200000000001</v>
      </c>
      <c r="AM16" s="742">
        <f t="shared" si="25"/>
        <v>250.41</v>
      </c>
      <c r="AN16" s="778">
        <f t="shared" si="25"/>
        <v>247.464</v>
      </c>
      <c r="AO16" s="1055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53">
        <f t="shared" si="14"/>
        <v>0.7931034482758621</v>
      </c>
      <c r="AT16" s="769">
        <f t="shared" si="15"/>
        <v>26.180578022630051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53">
        <f t="shared" si="19"/>
        <v>0.31034482758620691</v>
      </c>
      <c r="AY16" s="769">
        <f t="shared" si="20"/>
        <v>25.829521779253565</v>
      </c>
      <c r="AZ16" s="746">
        <f t="shared" ref="AZ16:AZ79" si="26">(AY16+AT16)/2</f>
        <v>26.005049900941806</v>
      </c>
      <c r="BA16" s="643">
        <f>+B16/J16</f>
        <v>0.93542767439676588</v>
      </c>
      <c r="BC16" s="11">
        <v>43102</v>
      </c>
      <c r="BD16" s="290">
        <f>[2]!FeuilCaduc*(1-Persistant)+Persistant</f>
        <v>0.60425825265103927</v>
      </c>
      <c r="BE16" s="291">
        <f>[2]!CroissVégét</f>
        <v>6.0820224447240291E-5</v>
      </c>
      <c r="BF16" s="816">
        <f>1+[2]!Salcycl*Ksac</f>
        <v>1.00053228158138</v>
      </c>
      <c r="BH16" s="1053">
        <f t="shared" si="22"/>
        <v>2.4203727142960195E-3</v>
      </c>
      <c r="BI16" s="11">
        <v>44198</v>
      </c>
      <c r="BJ16" s="726">
        <v>5.1797775669451117E-4</v>
      </c>
      <c r="BK16" s="726">
        <v>9.5177281058244376E-4</v>
      </c>
      <c r="BL16" s="726">
        <v>1.5409455082916414E-3</v>
      </c>
      <c r="BM16" s="726">
        <v>2.4226746350153065E-3</v>
      </c>
      <c r="BN16" s="726">
        <v>3.6648082685987954E-3</v>
      </c>
      <c r="BO16" s="727">
        <v>5.6679954794048417E-3</v>
      </c>
      <c r="BP16" s="726">
        <v>8.2067786862826796E-3</v>
      </c>
      <c r="BQ16" s="726">
        <v>1.1247093936795637E-2</v>
      </c>
      <c r="BR16" s="726">
        <v>1.457586823841949E-2</v>
      </c>
      <c r="BS16" s="726">
        <v>1.8743444062860729E-2</v>
      </c>
      <c r="BT16" s="726">
        <v>2.3636132301146084E-2</v>
      </c>
      <c r="BW16" s="1186">
        <f>'2018'!R\Max</f>
        <v>0</v>
      </c>
      <c r="BX16" s="1184">
        <f>'2019'!R\Max</f>
        <v>0.28751111952792929</v>
      </c>
      <c r="BY16" s="1184">
        <f>'2020'!R\Max</f>
        <v>0.93542767439676588</v>
      </c>
      <c r="BZ16" s="1184">
        <f>'2021'!R\Max</f>
        <v>0.17169779832815238</v>
      </c>
      <c r="CA16" s="1184">
        <f>'2022'!R\Max</f>
        <v>0.67896861632916805</v>
      </c>
      <c r="CB16" s="1184">
        <f>'2023'!R\Max</f>
        <v>0.67892727149478416</v>
      </c>
      <c r="CC16" s="1184">
        <f>'2024'!R\Max</f>
        <v>0.67888587563802727</v>
      </c>
      <c r="CD16" s="1184">
        <f>'2025'!R\Max</f>
        <v>0.67883633648088226</v>
      </c>
      <c r="CE16" s="1184">
        <f>'2026'!R\Max</f>
        <v>0.67905511178089673</v>
      </c>
      <c r="CF16" s="1185">
        <f>'2027'!R\Max</f>
        <v>0.67903486805295943</v>
      </c>
    </row>
    <row r="17" spans="1:84" s="6" customFormat="1" ht="11.25" x14ac:dyDescent="0.2">
      <c r="A17" s="11">
        <v>43103</v>
      </c>
      <c r="B17" s="380">
        <f>'2022'!Maxi_hp</f>
        <v>27.383515682442006</v>
      </c>
      <c r="C17" s="13">
        <f>'2022'!An_max</f>
        <v>2019</v>
      </c>
      <c r="D17" s="1062">
        <f t="shared" si="7"/>
        <v>1.0465014242498614</v>
      </c>
      <c r="E17" s="1057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53">
        <f t="shared" si="9"/>
        <v>0.66666666666666663</v>
      </c>
      <c r="J17" s="746">
        <f t="shared" ref="J17:J78" si="27">((1-I17)*(INDEX(a.m,F17)*$A17*$A17+INDEX(b.m,F17)*$A17+INDEX(c.m,F17))+I17*(INDEX(a.m,G17)*$A17*$A17+INDEX(b.m,G17)*$A17+INDEX(c.m,G17)))/10</f>
        <v>26.166725670794648</v>
      </c>
      <c r="L17" s="755" t="s">
        <v>212</v>
      </c>
      <c r="M17" s="781">
        <f t="shared" ref="M17:AN17" si="28">M12</f>
        <v>43093</v>
      </c>
      <c r="N17" s="737">
        <f t="shared" si="28"/>
        <v>43108</v>
      </c>
      <c r="O17" s="737">
        <f t="shared" si="28"/>
        <v>43122</v>
      </c>
      <c r="P17" s="737">
        <f t="shared" si="28"/>
        <v>43136</v>
      </c>
      <c r="Q17" s="737">
        <f t="shared" si="28"/>
        <v>43150</v>
      </c>
      <c r="R17" s="737">
        <f t="shared" si="28"/>
        <v>43164</v>
      </c>
      <c r="S17" s="737">
        <f t="shared" si="28"/>
        <v>43178</v>
      </c>
      <c r="T17" s="737">
        <f t="shared" si="28"/>
        <v>43192</v>
      </c>
      <c r="U17" s="737">
        <f t="shared" si="28"/>
        <v>43206</v>
      </c>
      <c r="V17" s="737">
        <f t="shared" si="28"/>
        <v>43220</v>
      </c>
      <c r="W17" s="737">
        <f t="shared" si="28"/>
        <v>43234</v>
      </c>
      <c r="X17" s="737">
        <f t="shared" si="28"/>
        <v>43248</v>
      </c>
      <c r="Y17" s="737">
        <f t="shared" si="28"/>
        <v>43262</v>
      </c>
      <c r="Z17" s="737">
        <f t="shared" si="28"/>
        <v>43276</v>
      </c>
      <c r="AA17" s="737">
        <f t="shared" si="28"/>
        <v>43290</v>
      </c>
      <c r="AB17" s="737">
        <f t="shared" si="28"/>
        <v>43304</v>
      </c>
      <c r="AC17" s="737">
        <f t="shared" si="28"/>
        <v>43318</v>
      </c>
      <c r="AD17" s="737">
        <f t="shared" si="28"/>
        <v>43332</v>
      </c>
      <c r="AE17" s="737">
        <f t="shared" si="28"/>
        <v>43346</v>
      </c>
      <c r="AF17" s="737">
        <f t="shared" si="28"/>
        <v>43360</v>
      </c>
      <c r="AG17" s="737">
        <f t="shared" si="28"/>
        <v>43374</v>
      </c>
      <c r="AH17" s="737">
        <f t="shared" si="28"/>
        <v>43388</v>
      </c>
      <c r="AI17" s="737">
        <f t="shared" si="28"/>
        <v>43402</v>
      </c>
      <c r="AJ17" s="737">
        <f t="shared" si="28"/>
        <v>43416</v>
      </c>
      <c r="AK17" s="737">
        <f t="shared" si="28"/>
        <v>43430</v>
      </c>
      <c r="AL17" s="737">
        <f t="shared" si="28"/>
        <v>43444</v>
      </c>
      <c r="AM17" s="779">
        <f t="shared" si="28"/>
        <v>43458</v>
      </c>
      <c r="AN17" s="786">
        <f t="shared" si="28"/>
        <v>43473</v>
      </c>
      <c r="AO17" s="1055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53">
        <f t="shared" si="14"/>
        <v>0.82758620689655171</v>
      </c>
      <c r="AT17" s="769">
        <f t="shared" si="15"/>
        <v>26.334629365596278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53">
        <f t="shared" si="19"/>
        <v>0.34482758620689657</v>
      </c>
      <c r="AY17" s="769">
        <f t="shared" si="20"/>
        <v>26.015518651799908</v>
      </c>
      <c r="AZ17" s="746">
        <f t="shared" si="26"/>
        <v>26.175074008698093</v>
      </c>
      <c r="BA17" s="643">
        <f t="shared" si="21"/>
        <v>1.0465014242498614</v>
      </c>
      <c r="BC17" s="11">
        <v>43103</v>
      </c>
      <c r="BD17" s="290">
        <f>[2]!FeuilCaduc*(1-Persistant)+Persistant</f>
        <v>0.60395621458428694</v>
      </c>
      <c r="BE17" s="291">
        <f>[2]!CroissVégét</f>
        <v>1.216934154264056E-4</v>
      </c>
      <c r="BF17" s="816">
        <f>1+[2]!Salcycl*Ksac</f>
        <v>1.0004945268230359</v>
      </c>
      <c r="BH17" s="1053">
        <f t="shared" si="22"/>
        <v>2.4231232567360071E-3</v>
      </c>
      <c r="BI17" s="11">
        <v>44199</v>
      </c>
      <c r="BJ17" s="726">
        <v>5.1738984055470802E-4</v>
      </c>
      <c r="BK17" s="726">
        <v>9.5072019539327486E-4</v>
      </c>
      <c r="BL17" s="726">
        <v>1.5414082165388125E-3</v>
      </c>
      <c r="BM17" s="726">
        <v>2.4254311659133434E-3</v>
      </c>
      <c r="BN17" s="726">
        <v>3.6706727577414163E-3</v>
      </c>
      <c r="BO17" s="727">
        <v>5.6738231257845422E-3</v>
      </c>
      <c r="BP17" s="726">
        <v>8.2113648102420302E-3</v>
      </c>
      <c r="BQ17" s="726">
        <v>1.1249500322103215E-2</v>
      </c>
      <c r="BR17" s="726">
        <v>1.4571899587665372E-2</v>
      </c>
      <c r="BS17" s="726">
        <v>1.8732012174823596E-2</v>
      </c>
      <c r="BT17" s="726">
        <v>2.3619045311040376E-2</v>
      </c>
      <c r="BW17" s="1186">
        <f>'2018'!R\Max</f>
        <v>0</v>
      </c>
      <c r="BX17" s="1184">
        <f>'2019'!R\Max</f>
        <v>1.0465014242498614</v>
      </c>
      <c r="BY17" s="1184">
        <f>'2020'!R\Max</f>
        <v>0.3188663598556673</v>
      </c>
      <c r="BZ17" s="1184">
        <f>'2021'!R\Max</f>
        <v>0.99352580130195089</v>
      </c>
      <c r="CA17" s="1184">
        <f>'2022'!R\Max</f>
        <v>0.72537030779553135</v>
      </c>
      <c r="CB17" s="1184">
        <f>'2023'!R\Max</f>
        <v>0.72533283529676607</v>
      </c>
      <c r="CC17" s="1184">
        <f>'2024'!R\Max</f>
        <v>0.72529531649739709</v>
      </c>
      <c r="CD17" s="1184">
        <f>'2025'!R\Max</f>
        <v>0.72525042602572876</v>
      </c>
      <c r="CE17" s="1184">
        <f>'2026'!R\Max</f>
        <v>0.72544878540273927</v>
      </c>
      <c r="CF17" s="1185">
        <f>'2027'!R\Max</f>
        <v>0.72543038376293034</v>
      </c>
    </row>
    <row r="18" spans="1:84" s="6" customFormat="1" ht="11.25" x14ac:dyDescent="0.2">
      <c r="A18" s="11">
        <v>43104</v>
      </c>
      <c r="B18" s="380">
        <f>'2022'!Maxi_hp</f>
        <v>24.454097030053351</v>
      </c>
      <c r="C18" s="13">
        <f>'2022'!An_max</f>
        <v>2019</v>
      </c>
      <c r="D18" s="1062" t="str">
        <f t="shared" si="7"/>
        <v/>
      </c>
      <c r="E18" s="1057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53">
        <f t="shared" si="9"/>
        <v>0.73333333333333328</v>
      </c>
      <c r="J18" s="746">
        <f t="shared" si="27"/>
        <v>26.365340142846104</v>
      </c>
      <c r="L18" s="755" t="s">
        <v>213</v>
      </c>
      <c r="M18" s="780">
        <f t="shared" ref="M18:AN18" si="29">M13</f>
        <v>247.464</v>
      </c>
      <c r="N18" s="743">
        <f t="shared" si="29"/>
        <v>272.01400000000001</v>
      </c>
      <c r="O18" s="743">
        <f t="shared" si="29"/>
        <v>308.34800000000001</v>
      </c>
      <c r="P18" s="743">
        <f t="shared" si="29"/>
        <v>355.48399999999998</v>
      </c>
      <c r="Q18" s="743">
        <f t="shared" si="29"/>
        <v>403.60199999999998</v>
      </c>
      <c r="R18" s="743">
        <f t="shared" si="29"/>
        <v>454.666</v>
      </c>
      <c r="S18" s="743">
        <f t="shared" si="29"/>
        <v>505.73</v>
      </c>
      <c r="T18" s="743">
        <f t="shared" si="29"/>
        <v>554.83000000000004</v>
      </c>
      <c r="U18" s="743">
        <f t="shared" si="29"/>
        <v>592.14599999999996</v>
      </c>
      <c r="V18" s="743">
        <f t="shared" si="29"/>
        <v>616.69600000000003</v>
      </c>
      <c r="W18" s="743">
        <f t="shared" si="29"/>
        <v>631.42600000000004</v>
      </c>
      <c r="X18" s="743">
        <f t="shared" si="29"/>
        <v>637.31799999999998</v>
      </c>
      <c r="Y18" s="743">
        <f t="shared" si="29"/>
        <v>636.33600000000001</v>
      </c>
      <c r="Z18" s="743">
        <f t="shared" si="29"/>
        <v>627.49799999999993</v>
      </c>
      <c r="AA18" s="743">
        <f t="shared" si="29"/>
        <v>614.73199999999997</v>
      </c>
      <c r="AB18" s="743">
        <f t="shared" si="29"/>
        <v>598.03800000000001</v>
      </c>
      <c r="AC18" s="743">
        <f t="shared" si="29"/>
        <v>578.39800000000002</v>
      </c>
      <c r="AD18" s="743">
        <f t="shared" si="29"/>
        <v>555.81200000000001</v>
      </c>
      <c r="AE18" s="743">
        <f t="shared" si="29"/>
        <v>529.298</v>
      </c>
      <c r="AF18" s="743">
        <f t="shared" si="29"/>
        <v>491</v>
      </c>
      <c r="AG18" s="743">
        <f t="shared" si="29"/>
        <v>444.846</v>
      </c>
      <c r="AH18" s="743">
        <f t="shared" si="29"/>
        <v>398.69200000000001</v>
      </c>
      <c r="AI18" s="743">
        <f t="shared" si="29"/>
        <v>352.53800000000001</v>
      </c>
      <c r="AJ18" s="743">
        <f t="shared" si="29"/>
        <v>310.31200000000001</v>
      </c>
      <c r="AK18" s="743">
        <f t="shared" si="29"/>
        <v>275.94200000000001</v>
      </c>
      <c r="AL18" s="743">
        <f t="shared" si="29"/>
        <v>250.41</v>
      </c>
      <c r="AM18" s="778">
        <f t="shared" si="29"/>
        <v>247.464</v>
      </c>
      <c r="AN18" s="776">
        <f t="shared" si="29"/>
        <v>272.01400000000001</v>
      </c>
      <c r="AO18" s="1055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53">
        <f t="shared" si="14"/>
        <v>0.86206896551724133</v>
      </c>
      <c r="AT18" s="769">
        <f t="shared" si="15"/>
        <v>26.495428685381494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53">
        <f t="shared" si="19"/>
        <v>0.37931034482758619</v>
      </c>
      <c r="AY18" s="769">
        <f t="shared" si="20"/>
        <v>26.212231198878122</v>
      </c>
      <c r="AZ18" s="746">
        <f t="shared" si="26"/>
        <v>26.353829942129806</v>
      </c>
      <c r="BA18" s="643">
        <f t="shared" si="21"/>
        <v>0.92750925637834625</v>
      </c>
      <c r="BC18" s="11">
        <v>43104</v>
      </c>
      <c r="BD18" s="290">
        <f>[2]!FeuilCaduc*(1-Persistant)+Persistant</f>
        <v>0.60367031220166523</v>
      </c>
      <c r="BE18" s="291">
        <f>[2]!CroissVégét</f>
        <v>1.8511247801664469E-4</v>
      </c>
      <c r="BF18" s="816">
        <f>1+[2]!Salcycl*Ksac</f>
        <v>1.0004587890252081</v>
      </c>
      <c r="BH18" s="1053">
        <f t="shared" si="22"/>
        <v>2.4233377453216571E-3</v>
      </c>
      <c r="BI18" s="11">
        <v>44200</v>
      </c>
      <c r="BJ18" s="726">
        <v>5.168456182867131E-4</v>
      </c>
      <c r="BK18" s="726">
        <v>9.4878371555041029E-4</v>
      </c>
      <c r="BL18" s="726">
        <v>1.5402768216624609E-3</v>
      </c>
      <c r="BM18" s="726">
        <v>2.4256491773795752E-3</v>
      </c>
      <c r="BN18" s="726">
        <v>3.6729913266621401E-3</v>
      </c>
      <c r="BO18" s="727">
        <v>5.6750576495235771E-3</v>
      </c>
      <c r="BP18" s="726">
        <v>8.210880777889543E-3</v>
      </c>
      <c r="BQ18" s="726">
        <v>1.1247724483916074E-2</v>
      </c>
      <c r="BR18" s="726">
        <v>1.4565842438711014E-2</v>
      </c>
      <c r="BS18" s="726">
        <v>1.8719740609282387E-2</v>
      </c>
      <c r="BT18" s="726">
        <v>2.3600394518509371E-2</v>
      </c>
      <c r="BW18" s="1186">
        <f>'2018'!R\Max</f>
        <v>0</v>
      </c>
      <c r="BX18" s="1184">
        <f>'2019'!R\Max</f>
        <v>0.92750925637834625</v>
      </c>
      <c r="BY18" s="1184">
        <f>'2020'!R\Max</f>
        <v>0.26804500641810364</v>
      </c>
      <c r="BZ18" s="1184">
        <f>'2021'!R\Max</f>
        <v>0.84153335268951457</v>
      </c>
      <c r="CA18" s="1184">
        <f>'2022'!R\Max</f>
        <v>0.76074029851663227</v>
      </c>
      <c r="CB18" s="1184">
        <f>'2023'!R\Max</f>
        <v>0.76070635666960817</v>
      </c>
      <c r="CC18" s="1184">
        <f>'2024'!R\Max</f>
        <v>0.76067237295582368</v>
      </c>
      <c r="CD18" s="1184">
        <f>'2025'!R\Max</f>
        <v>0.76063170097452193</v>
      </c>
      <c r="CE18" s="1184">
        <f>'2026'!R\Max</f>
        <v>0.76081142921555978</v>
      </c>
      <c r="CF18" s="1185">
        <f>'2027'!R\Max</f>
        <v>0.76079472264137971</v>
      </c>
    </row>
    <row r="19" spans="1:84" s="6" customFormat="1" ht="11.25" x14ac:dyDescent="0.2">
      <c r="A19" s="11">
        <v>43105</v>
      </c>
      <c r="B19" s="380">
        <f>'2022'!Maxi_hp</f>
        <v>27.046839831733369</v>
      </c>
      <c r="C19" s="13">
        <f>'2022'!An_max</f>
        <v>2019</v>
      </c>
      <c r="D19" s="1062">
        <f t="shared" si="7"/>
        <v>1.0179718250670069</v>
      </c>
      <c r="E19" s="1057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53">
        <f t="shared" si="9"/>
        <v>0.8</v>
      </c>
      <c r="J19" s="746">
        <f t="shared" si="27"/>
        <v>26.569340295791626</v>
      </c>
      <c r="L19" s="755" t="s">
        <v>214</v>
      </c>
      <c r="M19" s="782">
        <f t="shared" ref="M19:AN19" si="30">N12</f>
        <v>43108</v>
      </c>
      <c r="N19" s="738">
        <f t="shared" si="30"/>
        <v>43122</v>
      </c>
      <c r="O19" s="738">
        <f t="shared" si="30"/>
        <v>43136</v>
      </c>
      <c r="P19" s="738">
        <f t="shared" si="30"/>
        <v>43150</v>
      </c>
      <c r="Q19" s="738">
        <f t="shared" si="30"/>
        <v>43164</v>
      </c>
      <c r="R19" s="738">
        <f t="shared" si="30"/>
        <v>43178</v>
      </c>
      <c r="S19" s="738">
        <f t="shared" si="30"/>
        <v>43192</v>
      </c>
      <c r="T19" s="738">
        <f t="shared" si="30"/>
        <v>43206</v>
      </c>
      <c r="U19" s="738">
        <f t="shared" si="30"/>
        <v>43220</v>
      </c>
      <c r="V19" s="738">
        <f t="shared" si="30"/>
        <v>43234</v>
      </c>
      <c r="W19" s="738">
        <f t="shared" si="30"/>
        <v>43248</v>
      </c>
      <c r="X19" s="738">
        <f t="shared" si="30"/>
        <v>43262</v>
      </c>
      <c r="Y19" s="738">
        <f t="shared" si="30"/>
        <v>43276</v>
      </c>
      <c r="Z19" s="738">
        <f t="shared" si="30"/>
        <v>43290</v>
      </c>
      <c r="AA19" s="738">
        <f t="shared" si="30"/>
        <v>43304</v>
      </c>
      <c r="AB19" s="738">
        <f t="shared" si="30"/>
        <v>43318</v>
      </c>
      <c r="AC19" s="738">
        <f t="shared" si="30"/>
        <v>43332</v>
      </c>
      <c r="AD19" s="738">
        <f t="shared" si="30"/>
        <v>43346</v>
      </c>
      <c r="AE19" s="738">
        <f t="shared" si="30"/>
        <v>43360</v>
      </c>
      <c r="AF19" s="738">
        <f t="shared" si="30"/>
        <v>43374</v>
      </c>
      <c r="AG19" s="738">
        <f t="shared" si="30"/>
        <v>43388</v>
      </c>
      <c r="AH19" s="738">
        <f t="shared" si="30"/>
        <v>43402</v>
      </c>
      <c r="AI19" s="738">
        <f t="shared" si="30"/>
        <v>43416</v>
      </c>
      <c r="AJ19" s="738">
        <f t="shared" si="30"/>
        <v>43430</v>
      </c>
      <c r="AK19" s="738">
        <f t="shared" si="30"/>
        <v>43444</v>
      </c>
      <c r="AL19" s="779">
        <f t="shared" si="30"/>
        <v>43458</v>
      </c>
      <c r="AM19" s="739">
        <f t="shared" si="30"/>
        <v>43473</v>
      </c>
      <c r="AN19" s="739">
        <f t="shared" si="30"/>
        <v>43487</v>
      </c>
      <c r="AO19" s="1055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53">
        <f t="shared" si="14"/>
        <v>0.89655172413793105</v>
      </c>
      <c r="AT19" s="769">
        <f t="shared" si="15"/>
        <v>26.662740697120796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53">
        <f t="shared" si="19"/>
        <v>0.41379310344827586</v>
      </c>
      <c r="AY19" s="769">
        <f t="shared" si="20"/>
        <v>26.419000962171062</v>
      </c>
      <c r="AZ19" s="746">
        <f t="shared" si="26"/>
        <v>26.540870829645929</v>
      </c>
      <c r="BA19" s="643">
        <f t="shared" si="21"/>
        <v>1.0179718250670069</v>
      </c>
      <c r="BC19" s="11">
        <v>43105</v>
      </c>
      <c r="BD19" s="290">
        <f>[2]!FeuilCaduc*(1-Persistant)+Persistant</f>
        <v>0.60339891408843827</v>
      </c>
      <c r="BE19" s="291">
        <f>[2]!CroissVégét</f>
        <v>2.5118354313997834E-4</v>
      </c>
      <c r="BF19" s="816">
        <f>1+[2]!Salcycl*Ksac</f>
        <v>1.0004248642610547</v>
      </c>
      <c r="BH19" s="1053">
        <f t="shared" si="22"/>
        <v>2.4210063282542041E-3</v>
      </c>
      <c r="BI19" s="11">
        <v>44201</v>
      </c>
      <c r="BJ19" s="726">
        <v>5.1634382728210442E-4</v>
      </c>
      <c r="BK19" s="726">
        <v>9.4595965802720923E-4</v>
      </c>
      <c r="BL19" s="726">
        <v>1.5375450793655059E-3</v>
      </c>
      <c r="BM19" s="726">
        <v>2.4233188081725179E-3</v>
      </c>
      <c r="BN19" s="726">
        <v>3.6717494853429722E-3</v>
      </c>
      <c r="BO19" s="727">
        <v>5.6716779234403658E-3</v>
      </c>
      <c r="BP19" s="726">
        <v>8.2052982770676151E-3</v>
      </c>
      <c r="BQ19" s="726">
        <v>1.1241731613131174E-2</v>
      </c>
      <c r="BR19" s="726">
        <v>1.4557656484305535E-2</v>
      </c>
      <c r="BS19" s="726">
        <v>1.8706580193032084E-2</v>
      </c>
      <c r="BT19" s="726">
        <v>2.3580117181366031E-2</v>
      </c>
      <c r="BW19" s="1186">
        <f>'2018'!R\Max</f>
        <v>0</v>
      </c>
      <c r="BX19" s="1184">
        <f>'2019'!R\Max</f>
        <v>1.0179718250670069</v>
      </c>
      <c r="BY19" s="1184">
        <f>'2020'!R\Max</f>
        <v>0.54454730801095907</v>
      </c>
      <c r="BZ19" s="1184">
        <f>'2021'!R\Max</f>
        <v>0.12840103590828195</v>
      </c>
      <c r="CA19" s="1184">
        <f>'2022'!R\Max</f>
        <v>0.60103544161242772</v>
      </c>
      <c r="CB19" s="1184">
        <f>'2023'!R\Max</f>
        <v>0.6009911281546283</v>
      </c>
      <c r="CC19" s="1184">
        <f>'2024'!R\Max</f>
        <v>0.600946763308701</v>
      </c>
      <c r="CD19" s="1184">
        <f>'2025'!R\Max</f>
        <v>0.60089363124247941</v>
      </c>
      <c r="CE19" s="1184">
        <f>'2026'!R\Max</f>
        <v>0.60112834226184009</v>
      </c>
      <c r="CF19" s="1185">
        <f>'2027'!R\Max</f>
        <v>0.60110648982271853</v>
      </c>
    </row>
    <row r="20" spans="1:84" s="6" customFormat="1" ht="11.25" x14ac:dyDescent="0.2">
      <c r="A20" s="11">
        <v>43106</v>
      </c>
      <c r="B20" s="380">
        <f>'2022'!Maxi_hp</f>
        <v>26.739364860323523</v>
      </c>
      <c r="C20" s="13">
        <f>'2022'!An_max</f>
        <v>2020</v>
      </c>
      <c r="D20" s="1062">
        <f t="shared" si="7"/>
        <v>0.99857582726667371</v>
      </c>
      <c r="E20" s="1057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53">
        <f t="shared" si="9"/>
        <v>0.8666666666666667</v>
      </c>
      <c r="J20" s="746">
        <f t="shared" si="27"/>
        <v>26.777500646611053</v>
      </c>
      <c r="L20" s="755" t="s">
        <v>215</v>
      </c>
      <c r="M20" s="783">
        <f>N13</f>
        <v>272.01400000000001</v>
      </c>
      <c r="N20" s="743">
        <f t="shared" ref="N20:AN20" si="31">O13</f>
        <v>308.34800000000001</v>
      </c>
      <c r="O20" s="743">
        <f t="shared" si="31"/>
        <v>355.48399999999998</v>
      </c>
      <c r="P20" s="743">
        <f t="shared" si="31"/>
        <v>403.60199999999998</v>
      </c>
      <c r="Q20" s="743">
        <f t="shared" si="31"/>
        <v>454.666</v>
      </c>
      <c r="R20" s="743">
        <f t="shared" si="31"/>
        <v>505.73</v>
      </c>
      <c r="S20" s="743">
        <f t="shared" si="31"/>
        <v>554.83000000000004</v>
      </c>
      <c r="T20" s="743">
        <f t="shared" si="31"/>
        <v>592.14599999999996</v>
      </c>
      <c r="U20" s="743">
        <f t="shared" si="31"/>
        <v>616.69600000000003</v>
      </c>
      <c r="V20" s="743">
        <f t="shared" si="31"/>
        <v>631.42600000000004</v>
      </c>
      <c r="W20" s="743">
        <f t="shared" si="31"/>
        <v>637.31799999999998</v>
      </c>
      <c r="X20" s="743">
        <f t="shared" si="31"/>
        <v>636.33600000000001</v>
      </c>
      <c r="Y20" s="743">
        <f t="shared" si="31"/>
        <v>627.49799999999993</v>
      </c>
      <c r="Z20" s="743">
        <f t="shared" si="31"/>
        <v>614.73199999999997</v>
      </c>
      <c r="AA20" s="743">
        <f t="shared" si="31"/>
        <v>598.03800000000001</v>
      </c>
      <c r="AB20" s="743">
        <f t="shared" si="31"/>
        <v>578.39800000000002</v>
      </c>
      <c r="AC20" s="743">
        <f t="shared" si="31"/>
        <v>555.81200000000001</v>
      </c>
      <c r="AD20" s="743">
        <f t="shared" si="31"/>
        <v>529.298</v>
      </c>
      <c r="AE20" s="743">
        <f t="shared" si="31"/>
        <v>491</v>
      </c>
      <c r="AF20" s="743">
        <f t="shared" si="31"/>
        <v>444.846</v>
      </c>
      <c r="AG20" s="743">
        <f t="shared" si="31"/>
        <v>398.69200000000001</v>
      </c>
      <c r="AH20" s="743">
        <f t="shared" si="31"/>
        <v>352.53800000000001</v>
      </c>
      <c r="AI20" s="743">
        <f t="shared" si="31"/>
        <v>310.31200000000001</v>
      </c>
      <c r="AJ20" s="743">
        <f t="shared" si="31"/>
        <v>275.94200000000001</v>
      </c>
      <c r="AK20" s="743">
        <f t="shared" si="31"/>
        <v>250.41</v>
      </c>
      <c r="AL20" s="778">
        <f t="shared" si="31"/>
        <v>247.464</v>
      </c>
      <c r="AM20" s="776">
        <f t="shared" si="31"/>
        <v>272.01400000000001</v>
      </c>
      <c r="AN20" s="776">
        <f t="shared" si="31"/>
        <v>308.34800000000001</v>
      </c>
      <c r="AO20" s="1055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53">
        <f t="shared" si="14"/>
        <v>0.93103448275862066</v>
      </c>
      <c r="AT20" s="769">
        <f>((1-AS20)*(INDEX(a.lg,AP20)*$A20*$A20+INDEX(b.lg,AP20)*$A20+INDEX(c.lg,AP20))+AS20*(INDEX(a.lg,AQ20)*$A20*$A20+INDEX(b.lg,AQ20)*$A20+INDEX(c.lg,AQ20)))/10</f>
        <v>26.83633011070819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53">
        <f t="shared" si="19"/>
        <v>0.44827586206896552</v>
      </c>
      <c r="AY20" s="769">
        <f t="shared" si="20"/>
        <v>26.635169492790407</v>
      </c>
      <c r="AZ20" s="746">
        <f t="shared" si="26"/>
        <v>26.7357498017493</v>
      </c>
      <c r="BA20" s="643">
        <f t="shared" si="21"/>
        <v>0.99857582726667371</v>
      </c>
      <c r="BC20" s="11">
        <v>43106</v>
      </c>
      <c r="BD20" s="290">
        <f>[2]!FeuilCaduc*(1-Persistant)+Persistant</f>
        <v>0.6031406226112801</v>
      </c>
      <c r="BE20" s="291">
        <f>[2]!CroissVégét</f>
        <v>3.2001713664140156E-4</v>
      </c>
      <c r="BF20" s="816">
        <f>1+[2]!Salcycl*Ksac</f>
        <v>1.00039257782641</v>
      </c>
      <c r="BH20" s="1053">
        <f t="shared" si="22"/>
        <v>2.416119162643544E-3</v>
      </c>
      <c r="BI20" s="11">
        <v>44202</v>
      </c>
      <c r="BJ20" s="726">
        <v>5.1588321303286909E-4</v>
      </c>
      <c r="BK20" s="726">
        <v>9.4224433393682574E-4</v>
      </c>
      <c r="BL20" s="726">
        <v>1.5332067639555632E-3</v>
      </c>
      <c r="BM20" s="726">
        <v>2.4184302059339709E-3</v>
      </c>
      <c r="BN20" s="726">
        <v>3.6669327370172536E-3</v>
      </c>
      <c r="BO20" s="727">
        <v>5.6636628341579127E-3</v>
      </c>
      <c r="BP20" s="726">
        <v>8.1945890392431317E-3</v>
      </c>
      <c r="BQ20" s="726">
        <v>1.1231486972610727E-2</v>
      </c>
      <c r="BR20" s="726">
        <v>1.454730154976103E-2</v>
      </c>
      <c r="BS20" s="726">
        <v>1.8692481969591848E-2</v>
      </c>
      <c r="BT20" s="726">
        <v>2.3558150862945534E-2</v>
      </c>
      <c r="BW20" s="1186">
        <f>'2018'!R\Max</f>
        <v>0</v>
      </c>
      <c r="BX20" s="1184">
        <f>'2019'!R\Max</f>
        <v>0.17648679125961181</v>
      </c>
      <c r="BY20" s="1184">
        <f>'2020'!R\Max</f>
        <v>0.99857582726667371</v>
      </c>
      <c r="BZ20" s="1184">
        <f>'2021'!R\Max</f>
        <v>0.27715316867781475</v>
      </c>
      <c r="CA20" s="1184">
        <f>'2022'!R\Max</f>
        <v>0.86015445761813725</v>
      </c>
      <c r="CB20" s="1184">
        <f>'2023'!R\Max</f>
        <v>0.86013243271160778</v>
      </c>
      <c r="CC20" s="1184">
        <f>'2024'!R\Max</f>
        <v>0.86011038046720434</v>
      </c>
      <c r="CD20" s="1184">
        <f>'2025'!R\Max</f>
        <v>0.8600839352749905</v>
      </c>
      <c r="CE20" s="1184">
        <f>'2026'!R\Max</f>
        <v>0.86020061898819467</v>
      </c>
      <c r="CF20" s="1185">
        <f>'2027'!R\Max</f>
        <v>0.86018974811895965</v>
      </c>
    </row>
    <row r="21" spans="1:84" s="6" customFormat="1" ht="11.25" x14ac:dyDescent="0.2">
      <c r="A21" s="11">
        <v>43107</v>
      </c>
      <c r="B21" s="380">
        <f>'2022'!Maxi_hp</f>
        <v>14.932480243717823</v>
      </c>
      <c r="C21" s="13">
        <f>'2022'!An_max</f>
        <v>2021</v>
      </c>
      <c r="D21" s="1062" t="str">
        <f t="shared" si="7"/>
        <v/>
      </c>
      <c r="E21" s="1057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53">
        <f t="shared" si="9"/>
        <v>0.93333333333333335</v>
      </c>
      <c r="J21" s="746">
        <f t="shared" si="27"/>
        <v>26.988595708608624</v>
      </c>
      <c r="L21" s="756" t="s">
        <v>216</v>
      </c>
      <c r="M21" s="740">
        <f>x.1m*x.1m-x.2m*x.2m</f>
        <v>-1206408</v>
      </c>
      <c r="N21" s="740">
        <f t="shared" ref="N21:AM21" si="32">x.1m*x.1m-x.2m*x.2m</f>
        <v>-1293015</v>
      </c>
      <c r="O21" s="740">
        <f t="shared" si="32"/>
        <v>-1207220</v>
      </c>
      <c r="P21" s="740">
        <f t="shared" si="32"/>
        <v>-1207612</v>
      </c>
      <c r="Q21" s="740">
        <f t="shared" si="32"/>
        <v>-1208004</v>
      </c>
      <c r="R21" s="740">
        <f t="shared" si="32"/>
        <v>-1208396</v>
      </c>
      <c r="S21" s="740">
        <f t="shared" si="32"/>
        <v>-1208788</v>
      </c>
      <c r="T21" s="740">
        <f t="shared" si="32"/>
        <v>-1209180</v>
      </c>
      <c r="U21" s="740">
        <f t="shared" si="32"/>
        <v>-1209572</v>
      </c>
      <c r="V21" s="740">
        <f t="shared" si="32"/>
        <v>-1209964</v>
      </c>
      <c r="W21" s="740">
        <f t="shared" si="32"/>
        <v>-1210356</v>
      </c>
      <c r="X21" s="740">
        <f t="shared" si="32"/>
        <v>-1210748</v>
      </c>
      <c r="Y21" s="740">
        <f t="shared" si="32"/>
        <v>-1211140</v>
      </c>
      <c r="Z21" s="740">
        <f t="shared" si="32"/>
        <v>-1211532</v>
      </c>
      <c r="AA21" s="740">
        <f t="shared" si="32"/>
        <v>-1211924</v>
      </c>
      <c r="AB21" s="740">
        <f t="shared" si="32"/>
        <v>-1212316</v>
      </c>
      <c r="AC21" s="740">
        <f t="shared" si="32"/>
        <v>-1212708</v>
      </c>
      <c r="AD21" s="740">
        <f t="shared" si="32"/>
        <v>-1213100</v>
      </c>
      <c r="AE21" s="740">
        <f t="shared" si="32"/>
        <v>-1213492</v>
      </c>
      <c r="AF21" s="740">
        <f t="shared" si="32"/>
        <v>-1213884</v>
      </c>
      <c r="AG21" s="740">
        <f t="shared" si="32"/>
        <v>-1214276</v>
      </c>
      <c r="AH21" s="740">
        <f t="shared" si="32"/>
        <v>-1214668</v>
      </c>
      <c r="AI21" s="740">
        <f t="shared" si="32"/>
        <v>-1215060</v>
      </c>
      <c r="AJ21" s="740">
        <f t="shared" si="32"/>
        <v>-1215452</v>
      </c>
      <c r="AK21" s="740">
        <f t="shared" si="32"/>
        <v>-1215844</v>
      </c>
      <c r="AL21" s="740">
        <f t="shared" si="32"/>
        <v>-1216236</v>
      </c>
      <c r="AM21" s="740">
        <f t="shared" si="32"/>
        <v>-1216628</v>
      </c>
      <c r="AN21" s="740">
        <f>x.1m*x.1m-x.2m*x.2m</f>
        <v>-1303965</v>
      </c>
      <c r="AO21" s="1055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53">
        <f t="shared" si="14"/>
        <v>0.96551724137931039</v>
      </c>
      <c r="AT21" s="769">
        <f t="shared" si="15"/>
        <v>27.015961643128559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53">
        <f t="shared" si="19"/>
        <v>0.48275862068965519</v>
      </c>
      <c r="AY21" s="769">
        <f t="shared" si="20"/>
        <v>26.860078335322179</v>
      </c>
      <c r="AZ21" s="746">
        <f t="shared" si="26"/>
        <v>26.938019989225367</v>
      </c>
      <c r="BA21" s="643">
        <f t="shared" si="21"/>
        <v>0.55328852249080784</v>
      </c>
      <c r="BC21" s="11">
        <v>43107</v>
      </c>
      <c r="BD21" s="290">
        <f>[2]!FeuilCaduc*(1-Persistant)+Persistant</f>
        <v>0.60289426432719972</v>
      </c>
      <c r="BE21" s="291">
        <f>[2]!CroissVégét</f>
        <v>3.9172835876776901E-4</v>
      </c>
      <c r="BF21" s="816">
        <f>1+[2]!Salcycl*Ksac</f>
        <v>1.0003617830409</v>
      </c>
      <c r="BH21" s="1053">
        <f t="shared" si="22"/>
        <v>2.4086664794527105E-3</v>
      </c>
      <c r="BI21" s="11">
        <v>44203</v>
      </c>
      <c r="BJ21" s="726">
        <v>5.1546252804782167E-4</v>
      </c>
      <c r="BK21" s="726">
        <v>9.3763410112663085E-4</v>
      </c>
      <c r="BL21" s="726">
        <v>1.5272557091380843E-3</v>
      </c>
      <c r="BM21" s="726">
        <v>2.4109735921967069E-3</v>
      </c>
      <c r="BN21" s="726">
        <v>3.6585266690492388E-3</v>
      </c>
      <c r="BO21" s="727">
        <v>5.6509913998590133E-3</v>
      </c>
      <c r="BP21" s="726">
        <v>8.1787249696166076E-3</v>
      </c>
      <c r="BQ21" s="726">
        <v>1.1216956004860655E-2</v>
      </c>
      <c r="BR21" s="726">
        <v>1.4534737647375954E-2</v>
      </c>
      <c r="BS21" s="726">
        <v>1.8677397221963595E-2</v>
      </c>
      <c r="BT21" s="726">
        <v>2.3534433473614547E-2</v>
      </c>
      <c r="BW21" s="1186">
        <f>'2018'!R\Max</f>
        <v>0</v>
      </c>
      <c r="BX21" s="1184">
        <f>'2019'!R\Max</f>
        <v>0.10553907647971467</v>
      </c>
      <c r="BY21" s="1184">
        <f>'2020'!R\Max</f>
        <v>0.27399451491949961</v>
      </c>
      <c r="BZ21" s="1184">
        <f>'2021'!R\Max</f>
        <v>0.55328852249080784</v>
      </c>
      <c r="CA21" s="1184">
        <f>'2022'!R\Max</f>
        <v>0.43638764093172078</v>
      </c>
      <c r="CB21" s="1184">
        <f>'2023'!R\Max</f>
        <v>0.43634303664290619</v>
      </c>
      <c r="CC21" s="1184">
        <f>'2024'!R\Max</f>
        <v>0.43629838447232372</v>
      </c>
      <c r="CD21" s="1184">
        <f>'2025'!R\Max</f>
        <v>0.43624475505006988</v>
      </c>
      <c r="CE21" s="1184">
        <f>'2026'!R\Max</f>
        <v>0.43648109825795967</v>
      </c>
      <c r="CF21" s="1185">
        <f>'2027'!R\Max</f>
        <v>0.43645906400587153</v>
      </c>
    </row>
    <row r="22" spans="1:84" s="6" customFormat="1" ht="11.25" x14ac:dyDescent="0.2">
      <c r="A22" s="11">
        <v>43108</v>
      </c>
      <c r="B22" s="380">
        <f>'2022'!Maxi_hp</f>
        <v>20.323342747491672</v>
      </c>
      <c r="C22" s="13">
        <f>'2022'!An_max</f>
        <v>2021</v>
      </c>
      <c r="D22" s="1062" t="str">
        <f t="shared" si="7"/>
        <v/>
      </c>
      <c r="E22" s="1057">
        <f>N$13/10</f>
        <v>27.2014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53">
        <f t="shared" si="9"/>
        <v>1</v>
      </c>
      <c r="J22" s="746">
        <f t="shared" si="27"/>
        <v>27.20139999985695</v>
      </c>
      <c r="L22" s="756" t="s">
        <v>217</v>
      </c>
      <c r="M22" s="740">
        <f t="shared" ref="M22:AM22" si="33">x.2m*x.2m-x.3m*x.3m</f>
        <v>-1293015</v>
      </c>
      <c r="N22" s="740">
        <f>x.2m*x.2m-x.3m*x.3m</f>
        <v>-1207220</v>
      </c>
      <c r="O22" s="740">
        <f t="shared" si="33"/>
        <v>-1207612</v>
      </c>
      <c r="P22" s="740">
        <f t="shared" si="33"/>
        <v>-1208004</v>
      </c>
      <c r="Q22" s="740">
        <f t="shared" si="33"/>
        <v>-1208396</v>
      </c>
      <c r="R22" s="740">
        <f t="shared" si="33"/>
        <v>-1208788</v>
      </c>
      <c r="S22" s="740">
        <f t="shared" si="33"/>
        <v>-1209180</v>
      </c>
      <c r="T22" s="740">
        <f t="shared" si="33"/>
        <v>-1209572</v>
      </c>
      <c r="U22" s="740">
        <f t="shared" si="33"/>
        <v>-1209964</v>
      </c>
      <c r="V22" s="740">
        <f t="shared" si="33"/>
        <v>-1210356</v>
      </c>
      <c r="W22" s="740">
        <f t="shared" si="33"/>
        <v>-1210748</v>
      </c>
      <c r="X22" s="740">
        <f t="shared" si="33"/>
        <v>-1211140</v>
      </c>
      <c r="Y22" s="740">
        <f t="shared" si="33"/>
        <v>-1211532</v>
      </c>
      <c r="Z22" s="740">
        <f t="shared" si="33"/>
        <v>-1211924</v>
      </c>
      <c r="AA22" s="740">
        <f t="shared" si="33"/>
        <v>-1212316</v>
      </c>
      <c r="AB22" s="740">
        <f t="shared" si="33"/>
        <v>-1212708</v>
      </c>
      <c r="AC22" s="740">
        <f t="shared" si="33"/>
        <v>-1213100</v>
      </c>
      <c r="AD22" s="740">
        <f t="shared" si="33"/>
        <v>-1213492</v>
      </c>
      <c r="AE22" s="740">
        <f t="shared" si="33"/>
        <v>-1213884</v>
      </c>
      <c r="AF22" s="740">
        <f t="shared" si="33"/>
        <v>-1214276</v>
      </c>
      <c r="AG22" s="740">
        <f t="shared" si="33"/>
        <v>-1214668</v>
      </c>
      <c r="AH22" s="740">
        <f t="shared" si="33"/>
        <v>-1215060</v>
      </c>
      <c r="AI22" s="740">
        <f t="shared" si="33"/>
        <v>-1215452</v>
      </c>
      <c r="AJ22" s="740">
        <f t="shared" si="33"/>
        <v>-1215844</v>
      </c>
      <c r="AK22" s="740">
        <f t="shared" si="33"/>
        <v>-1216236</v>
      </c>
      <c r="AL22" s="740">
        <f t="shared" si="33"/>
        <v>-1216628</v>
      </c>
      <c r="AM22" s="740">
        <f t="shared" si="33"/>
        <v>-1303965</v>
      </c>
      <c r="AN22" s="740">
        <f>x.2m*x.2m-x.3m*x.3m</f>
        <v>-1217440</v>
      </c>
      <c r="AO22" s="1055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53">
        <f t="shared" si="14"/>
        <v>1</v>
      </c>
      <c r="AT22" s="769">
        <f t="shared" si="15"/>
        <v>27.201400002837183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53">
        <f t="shared" si="19"/>
        <v>0.51724137931034486</v>
      </c>
      <c r="AY22" s="769">
        <f t="shared" si="20"/>
        <v>27.093069034686373</v>
      </c>
      <c r="AZ22" s="746">
        <f t="shared" si="26"/>
        <v>27.147234518761778</v>
      </c>
      <c r="BA22" s="643">
        <f t="shared" si="21"/>
        <v>0.7471432627584812</v>
      </c>
      <c r="BC22" s="11">
        <v>43108</v>
      </c>
      <c r="BD22" s="290">
        <f>[2]!FeuilCaduc*(1-Persistant)+Persistant</f>
        <v>0.60265887878487523</v>
      </c>
      <c r="BE22" s="291">
        <f>[2]!CroissVégét</f>
        <v>4.664370707620742E-4</v>
      </c>
      <c r="BF22" s="816">
        <f>1+[2]!Salcycl*Ksac</f>
        <v>1.0003323598481093</v>
      </c>
      <c r="BH22" s="1053">
        <f t="shared" si="22"/>
        <v>2.3986386483878142E-3</v>
      </c>
      <c r="BI22" s="11">
        <v>44204</v>
      </c>
      <c r="BJ22" s="726">
        <v>5.1508053075740082E-4</v>
      </c>
      <c r="BK22" s="726">
        <v>9.3212538675134342E-4</v>
      </c>
      <c r="BL22" s="726">
        <v>1.5196858487748831E-3</v>
      </c>
      <c r="BM22" s="726">
        <v>2.4009393273375784E-3</v>
      </c>
      <c r="BN22" s="726">
        <v>3.6465170437309739E-3</v>
      </c>
      <c r="BO22" s="727">
        <v>5.6336428879138027E-3</v>
      </c>
      <c r="BP22" s="726">
        <v>8.1576782770466476E-3</v>
      </c>
      <c r="BQ22" s="726">
        <v>1.1198104439455996E-2</v>
      </c>
      <c r="BR22" s="726">
        <v>1.451992503053082E-2</v>
      </c>
      <c r="BS22" s="726">
        <v>1.8661277494969573E-2</v>
      </c>
      <c r="BT22" s="726">
        <v>2.3508903311749634E-2</v>
      </c>
      <c r="BW22" s="1186">
        <f>'2018'!R\Max</f>
        <v>0</v>
      </c>
      <c r="BX22" s="1184">
        <f>'2019'!R\Max</f>
        <v>0.16396355509438559</v>
      </c>
      <c r="BY22" s="1184">
        <f>'2020'!R\Max</f>
        <v>0.48536723189441539</v>
      </c>
      <c r="BZ22" s="1184">
        <f>'2021'!R\Max</f>
        <v>0.7471432627584812</v>
      </c>
      <c r="CA22" s="1184">
        <f>'2022'!R\Max</f>
        <v>0.30374256016128504</v>
      </c>
      <c r="CB22" s="1184">
        <f>'2023'!R\Max</f>
        <v>0.30370457829084158</v>
      </c>
      <c r="CC22" s="1184">
        <f>'2024'!R\Max</f>
        <v>0.30366655790668429</v>
      </c>
      <c r="CD22" s="1184">
        <f>'2025'!R\Max</f>
        <v>0.30362079588090629</v>
      </c>
      <c r="CE22" s="1184">
        <f>'2026'!R\Max</f>
        <v>0.30382207247203907</v>
      </c>
      <c r="CF22" s="1185">
        <f>'2027'!R\Max</f>
        <v>0.30380331000741495</v>
      </c>
    </row>
    <row r="23" spans="1:84" s="6" customFormat="1" ht="11.25" x14ac:dyDescent="0.2">
      <c r="A23" s="11">
        <v>43109</v>
      </c>
      <c r="B23" s="380">
        <f>'2022'!Maxi_hp</f>
        <v>26.033603222307448</v>
      </c>
      <c r="C23" s="13">
        <f>'2022'!An_max</f>
        <v>2020</v>
      </c>
      <c r="D23" s="1062" t="str">
        <f t="shared" si="7"/>
        <v/>
      </c>
      <c r="E23" s="1057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53">
        <f t="shared" si="9"/>
        <v>0.9285714285714286</v>
      </c>
      <c r="J23" s="746">
        <f t="shared" si="27"/>
        <v>27.418466680869461</v>
      </c>
      <c r="L23" s="756" t="s">
        <v>218</v>
      </c>
      <c r="M23" s="740">
        <f t="shared" ref="M23:AM23" si="34">(y.1m-y.2m-b.m*(x.1m-x.2m))/D2x12</f>
        <v>6.3692939244642907E-2</v>
      </c>
      <c r="N23" s="740">
        <f>(y.1m-y.2m-b.m*(x.1m-x.2m))/D2x12</f>
        <v>3.3055829228233219E-2</v>
      </c>
      <c r="O23" s="740">
        <f t="shared" si="34"/>
        <v>2.7556122448981684E-2</v>
      </c>
      <c r="P23" s="740">
        <f t="shared" si="34"/>
        <v>2.5051020408170029E-3</v>
      </c>
      <c r="Q23" s="740">
        <f t="shared" si="34"/>
        <v>7.5153061224501015E-3</v>
      </c>
      <c r="R23" s="740">
        <f t="shared" si="34"/>
        <v>8.2732285543353424E-18</v>
      </c>
      <c r="S23" s="740">
        <f t="shared" si="34"/>
        <v>-5.0102040816319051E-3</v>
      </c>
      <c r="T23" s="740">
        <f t="shared" si="34"/>
        <v>-3.006122448979703E-2</v>
      </c>
      <c r="U23" s="740">
        <f t="shared" si="34"/>
        <v>-3.2566326530610458E-2</v>
      </c>
      <c r="V23" s="740">
        <f t="shared" si="34"/>
        <v>-2.5051020408166872E-2</v>
      </c>
      <c r="W23" s="740">
        <f t="shared" si="34"/>
        <v>-2.2545918367346412E-2</v>
      </c>
      <c r="X23" s="740">
        <f t="shared" si="34"/>
        <v>-1.7535714285710335E-2</v>
      </c>
      <c r="Y23" s="740">
        <f t="shared" si="34"/>
        <v>-2.0040816326535042E-2</v>
      </c>
      <c r="Z23" s="740">
        <f t="shared" si="34"/>
        <v>-1.0020408163265418E-2</v>
      </c>
      <c r="AA23" s="740">
        <f t="shared" si="34"/>
        <v>-1.0020408163262672E-2</v>
      </c>
      <c r="AB23" s="740">
        <f t="shared" si="34"/>
        <v>-7.5153061224491301E-3</v>
      </c>
      <c r="AC23" s="740">
        <f t="shared" si="34"/>
        <v>-7.5153061224473693E-3</v>
      </c>
      <c r="AD23" s="740">
        <f t="shared" si="34"/>
        <v>-1.0020408163268048E-2</v>
      </c>
      <c r="AE23" s="740">
        <f t="shared" si="34"/>
        <v>-3.0061224489803612E-2</v>
      </c>
      <c r="AF23" s="740">
        <f t="shared" si="34"/>
        <v>-2.0040816326532852E-2</v>
      </c>
      <c r="AG23" s="740">
        <f t="shared" si="34"/>
        <v>-5.3834492067642953E-18</v>
      </c>
      <c r="AH23" s="740">
        <f t="shared" si="34"/>
        <v>9.359498868959751E-20</v>
      </c>
      <c r="AI23" s="740">
        <f t="shared" si="34"/>
        <v>1.0020408163263781E-2</v>
      </c>
      <c r="AJ23" s="740">
        <f t="shared" si="34"/>
        <v>2.0040816326531763E-2</v>
      </c>
      <c r="AK23" s="740">
        <f t="shared" si="34"/>
        <v>2.2545918367342641E-2</v>
      </c>
      <c r="AL23" s="740">
        <f t="shared" si="34"/>
        <v>5.7617346938757093E-2</v>
      </c>
      <c r="AM23" s="740">
        <f t="shared" si="34"/>
        <v>6.369293924466686E-2</v>
      </c>
      <c r="AN23" s="740">
        <f>(y.1m-y.2m-b.m*(x.1m-x.2m))/D2x12</f>
        <v>3.3055829228244418E-2</v>
      </c>
      <c r="AO23" s="1055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53">
        <f t="shared" si="14"/>
        <v>0.9642857142857143</v>
      </c>
      <c r="AT23" s="769">
        <f t="shared" si="15"/>
        <v>27.396402969823349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53">
        <f t="shared" si="19"/>
        <v>0.55172413793103448</v>
      </c>
      <c r="AY23" s="769">
        <f t="shared" si="20"/>
        <v>27.333483139451211</v>
      </c>
      <c r="AZ23" s="746">
        <f t="shared" si="26"/>
        <v>27.36494305463728</v>
      </c>
      <c r="BA23" s="643">
        <f t="shared" si="21"/>
        <v>0.94949157899014591</v>
      </c>
      <c r="BC23" s="11">
        <v>43109</v>
      </c>
      <c r="BD23" s="290">
        <f>[2]!FeuilCaduc*(1-Persistant)+Persistant</f>
        <v>0.60243370588267942</v>
      </c>
      <c r="BE23" s="291">
        <f>[2]!CroissVégét</f>
        <v>5.4426808883230738E-4</v>
      </c>
      <c r="BF23" s="816">
        <f>1+[2]!Salcycl*Ksac</f>
        <v>1.000304213235335</v>
      </c>
      <c r="BH23" s="1053">
        <f t="shared" si="22"/>
        <v>2.3860262428220137E-3</v>
      </c>
      <c r="BI23" s="11">
        <v>44205</v>
      </c>
      <c r="BJ23" s="726">
        <v>5.1473598442569937E-4</v>
      </c>
      <c r="BK23" s="726">
        <v>9.2571470985947785E-4</v>
      </c>
      <c r="BL23" s="726">
        <v>1.5104912576642819E-3</v>
      </c>
      <c r="BM23" s="726">
        <v>2.3883179755646838E-3</v>
      </c>
      <c r="BN23" s="726">
        <v>3.6308898891307256E-3</v>
      </c>
      <c r="BO23" s="727">
        <v>5.6115969325868757E-3</v>
      </c>
      <c r="BP23" s="726">
        <v>8.1314216040894519E-3</v>
      </c>
      <c r="BQ23" s="726">
        <v>1.1174898400623868E-2</v>
      </c>
      <c r="BR23" s="726">
        <v>1.4502824247987862E-2</v>
      </c>
      <c r="BS23" s="726">
        <v>1.8644074617851971E-2</v>
      </c>
      <c r="BT23" s="726">
        <v>2.3481499105046131E-2</v>
      </c>
      <c r="BW23" s="1186">
        <f>'2018'!R\Max</f>
        <v>0</v>
      </c>
      <c r="BX23" s="1184">
        <f>'2019'!R\Max</f>
        <v>0.43382453258493081</v>
      </c>
      <c r="BY23" s="1184">
        <f>'2020'!R\Max</f>
        <v>0.94949157899014591</v>
      </c>
      <c r="BZ23" s="1184">
        <f>'2021'!R\Max</f>
        <v>0.23986970058724583</v>
      </c>
      <c r="CA23" s="1184">
        <f>'2022'!R\Max</f>
        <v>8.8953846335015394E-2</v>
      </c>
      <c r="CB23" s="1184">
        <f>'2023'!R\Max</f>
        <v>8.8942772779861928E-2</v>
      </c>
      <c r="CC23" s="1184">
        <f>'2024'!R\Max</f>
        <v>8.893168813116166E-2</v>
      </c>
      <c r="CD23" s="1184">
        <f>'2025'!R\Max</f>
        <v>8.8918310725262364E-2</v>
      </c>
      <c r="CE23" s="1184">
        <f>'2026'!R\Max</f>
        <v>8.8976996529951474E-2</v>
      </c>
      <c r="CF23" s="1185">
        <f>'2027'!R\Max</f>
        <v>8.8971530485705427E-2</v>
      </c>
    </row>
    <row r="24" spans="1:84" s="6" customFormat="1" ht="11.25" x14ac:dyDescent="0.2">
      <c r="A24" s="11">
        <v>43110</v>
      </c>
      <c r="B24" s="380">
        <f>'2022'!Maxi_hp</f>
        <v>13.230713123965954</v>
      </c>
      <c r="C24" s="13">
        <f>'2022'!An_max</f>
        <v>2019</v>
      </c>
      <c r="D24" s="1062" t="str">
        <f t="shared" si="7"/>
        <v/>
      </c>
      <c r="E24" s="1057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53">
        <f t="shared" si="9"/>
        <v>0.8571428571428571</v>
      </c>
      <c r="J24" s="746">
        <f t="shared" si="27"/>
        <v>27.643008766429766</v>
      </c>
      <c r="L24" s="756" t="s">
        <v>219</v>
      </c>
      <c r="M24" s="740">
        <f t="shared" ref="M24:AM24" si="35">(y.2m-y.3m-(y.1m-y.2m)*D2x23/D2x12)/(x.2m-x.3m)/(1-(x.2m+x.3m)/(x.1m+x.2m))</f>
        <v>-5488.7583891607965</v>
      </c>
      <c r="N24" s="740">
        <f>(y.2m-y.3m-(y.1m-y.2m)*D2x23/D2x12)/(x.2m-x.3m)/(1-(x.2m+x.3m)/(x.1m+x.2m))</f>
        <v>-2847.8088686362644</v>
      </c>
      <c r="O24" s="740">
        <f t="shared" si="35"/>
        <v>-2373.5691530614049</v>
      </c>
      <c r="P24" s="740">
        <f t="shared" si="35"/>
        <v>-212.7182346939359</v>
      </c>
      <c r="Q24" s="740">
        <f t="shared" si="35"/>
        <v>-645.02870408172942</v>
      </c>
      <c r="R24" s="740">
        <f t="shared" si="35"/>
        <v>3.6474285714278589</v>
      </c>
      <c r="S24" s="740">
        <f t="shared" si="35"/>
        <v>436.23846938769054</v>
      </c>
      <c r="T24" s="740">
        <f t="shared" si="35"/>
        <v>2599.8951020409122</v>
      </c>
      <c r="U24" s="740">
        <f t="shared" si="35"/>
        <v>2816.3309081631105</v>
      </c>
      <c r="V24" s="740">
        <f t="shared" si="35"/>
        <v>2166.8130612248015</v>
      </c>
      <c r="W24" s="740">
        <f t="shared" si="35"/>
        <v>1950.2369693877095</v>
      </c>
      <c r="X24" s="740">
        <f t="shared" si="35"/>
        <v>1516.9444999996581</v>
      </c>
      <c r="Y24" s="740">
        <f t="shared" si="35"/>
        <v>1733.6608775514035</v>
      </c>
      <c r="Z24" s="740">
        <f t="shared" si="35"/>
        <v>866.51479591837699</v>
      </c>
      <c r="AA24" s="740">
        <f t="shared" si="35"/>
        <v>866.51479591813938</v>
      </c>
      <c r="AB24" s="740">
        <f t="shared" si="35"/>
        <v>649.58798979593143</v>
      </c>
      <c r="AC24" s="740">
        <f t="shared" si="35"/>
        <v>649.58798979577898</v>
      </c>
      <c r="AD24" s="740">
        <f t="shared" si="35"/>
        <v>866.65508163289076</v>
      </c>
      <c r="AE24" s="740">
        <f t="shared" si="35"/>
        <v>2603.7529591843404</v>
      </c>
      <c r="AF24" s="740">
        <f t="shared" si="35"/>
        <v>1734.9234489797861</v>
      </c>
      <c r="AG24" s="740">
        <f t="shared" si="35"/>
        <v>-3.2967142857138185</v>
      </c>
      <c r="AH24" s="740">
        <f t="shared" si="35"/>
        <v>-3.2967142857142937</v>
      </c>
      <c r="AI24" s="740">
        <f t="shared" si="35"/>
        <v>-872.96793877537789</v>
      </c>
      <c r="AJ24" s="740">
        <f t="shared" si="35"/>
        <v>-1742.9197346939773</v>
      </c>
      <c r="AK24" s="740">
        <f t="shared" si="35"/>
        <v>-1960.4778265302389</v>
      </c>
      <c r="AL24" s="740">
        <f t="shared" si="35"/>
        <v>-5007.2731122432979</v>
      </c>
      <c r="AM24" s="740">
        <f t="shared" si="35"/>
        <v>-5535.2542348114675</v>
      </c>
      <c r="AN24" s="740">
        <f>(y.2m-y.3m-(y.1m-y.2m)*D2x23/D2x12)/(x.2m-x.3m)/(1-(x.2m+x.3m)/(x.1m+x.2m))</f>
        <v>-2871.9396239738489</v>
      </c>
      <c r="AO24" s="1055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53">
        <f t="shared" si="14"/>
        <v>0.9285714285714286</v>
      </c>
      <c r="AT24" s="769">
        <f t="shared" si="15"/>
        <v>27.60446790994278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53">
        <f t="shared" si="19"/>
        <v>0.58620689655172409</v>
      </c>
      <c r="AY24" s="769">
        <f t="shared" si="20"/>
        <v>27.580662197080152</v>
      </c>
      <c r="AZ24" s="746">
        <f t="shared" si="26"/>
        <v>27.592565053511464</v>
      </c>
      <c r="BA24" s="643">
        <f t="shared" si="21"/>
        <v>0.47862782361208095</v>
      </c>
      <c r="BC24" s="11">
        <v>43110</v>
      </c>
      <c r="BD24" s="290">
        <f>[2]!FeuilCaduc*(1-Persistant)+Persistant</f>
        <v>0.60221817195725846</v>
      </c>
      <c r="BE24" s="291">
        <f>[2]!CroissVégét</f>
        <v>6.2535138577142317E-4</v>
      </c>
      <c r="BF24" s="816">
        <f>1+[2]!Salcycl*Ksac</f>
        <v>1.0002772714946573</v>
      </c>
      <c r="BH24" s="1053">
        <f t="shared" si="22"/>
        <v>2.3704664616209089E-3</v>
      </c>
      <c r="BI24" s="1055">
        <v>44206</v>
      </c>
      <c r="BJ24" s="726">
        <v>5.1423954889435141E-4</v>
      </c>
      <c r="BK24" s="726">
        <v>9.1895298341914094E-4</v>
      </c>
      <c r="BL24" s="726">
        <v>1.5001608343607141E-3</v>
      </c>
      <c r="BM24" s="726">
        <v>2.3727445064003106E-3</v>
      </c>
      <c r="BN24" s="726">
        <v>3.6093354306875958E-3</v>
      </c>
      <c r="BO24" s="727">
        <v>5.5804836498446579E-3</v>
      </c>
      <c r="BP24" s="726">
        <v>8.0931277882552183E-3</v>
      </c>
      <c r="BQ24" s="726">
        <v>1.1141497201004921E-2</v>
      </c>
      <c r="BR24" s="726">
        <v>1.4479278275642604E-2</v>
      </c>
      <c r="BS24" s="726">
        <v>1.8624623119333435E-2</v>
      </c>
      <c r="BT24" s="726">
        <v>2.3451794800076826E-2</v>
      </c>
      <c r="BW24" s="1186">
        <f>'2018'!R\Max</f>
        <v>0</v>
      </c>
      <c r="BX24" s="1184">
        <f>'2019'!R\Max</f>
        <v>0.47862782361208095</v>
      </c>
      <c r="BY24" s="1184">
        <f>'2020'!R\Max</f>
        <v>0.34425662228984061</v>
      </c>
      <c r="BZ24" s="1184">
        <f>'2021'!R\Max</f>
        <v>0.21043074751734622</v>
      </c>
      <c r="CA24" s="1184">
        <f>'2022'!R\Max</f>
        <v>6.8490525871064106E-2</v>
      </c>
      <c r="CB24" s="1184">
        <f>'2023'!R\Max</f>
        <v>6.8482096046299429E-2</v>
      </c>
      <c r="CC24" s="1184">
        <f>'2024'!R\Max</f>
        <v>6.8473657862532622E-2</v>
      </c>
      <c r="CD24" s="1184">
        <f>'2025'!R\Max</f>
        <v>6.8463428829248774E-2</v>
      </c>
      <c r="CE24" s="1184">
        <f>'2026'!R\Max</f>
        <v>6.8508114272852833E-2</v>
      </c>
      <c r="CF24" s="1185">
        <f>'2027'!R\Max</f>
        <v>6.8503961443845338E-2</v>
      </c>
    </row>
    <row r="25" spans="1:84" s="6" customFormat="1" ht="11.25" x14ac:dyDescent="0.2">
      <c r="A25" s="11">
        <v>43111</v>
      </c>
      <c r="B25" s="380">
        <f>'2022'!Maxi_hp</f>
        <v>27.813177241518638</v>
      </c>
      <c r="C25" s="13">
        <f>'2022'!An_max</f>
        <v>2020</v>
      </c>
      <c r="D25" s="1062">
        <f t="shared" si="7"/>
        <v>0.99778964030270345</v>
      </c>
      <c r="E25" s="1057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53">
        <f t="shared" si="9"/>
        <v>0.7857142857142857</v>
      </c>
      <c r="J25" s="746">
        <f t="shared" si="27"/>
        <v>27.874790555132286</v>
      </c>
      <c r="L25" s="756" t="s">
        <v>220</v>
      </c>
      <c r="M25" s="740">
        <f t="shared" ref="M25:AM25" si="36">(y.1m+y.2m+y.3m-a.m*(x.3m*x.3m+x.2m*x.2m+x.1m*x.1m)-b.m*(x.3m+x.2m+x.1m))/3</f>
        <v>118249101.05645131</v>
      </c>
      <c r="N25" s="740">
        <f>(y.1m+y.2m+y.3m-a.m*(x.3m*x.3m+x.2m*x.2m+x.1m*x.1m)-b.m*(x.3m+x.2m+x.1m))/3</f>
        <v>61335980.375104912</v>
      </c>
      <c r="O25" s="740">
        <f t="shared" si="36"/>
        <v>51112557.976085521</v>
      </c>
      <c r="P25" s="740">
        <f t="shared" si="36"/>
        <v>4514889.5744502377</v>
      </c>
      <c r="Q25" s="740">
        <f t="shared" si="36"/>
        <v>13840474.619349025</v>
      </c>
      <c r="R25" s="740">
        <f t="shared" si="36"/>
        <v>-156982.94085712751</v>
      </c>
      <c r="S25" s="740">
        <f t="shared" si="36"/>
        <v>-9494676.6068965662</v>
      </c>
      <c r="T25" s="740">
        <f t="shared" si="36"/>
        <v>-56213431.219961233</v>
      </c>
      <c r="U25" s="740">
        <f t="shared" si="36"/>
        <v>-60888336.291547678</v>
      </c>
      <c r="V25" s="740">
        <f t="shared" si="36"/>
        <v>-46854529.299925096</v>
      </c>
      <c r="W25" s="740">
        <f t="shared" si="36"/>
        <v>-42173562.061754115</v>
      </c>
      <c r="X25" s="740">
        <f t="shared" si="36"/>
        <v>-32805562.472849742</v>
      </c>
      <c r="Y25" s="740">
        <f t="shared" si="36"/>
        <v>-37492595.805600114</v>
      </c>
      <c r="Z25" s="740">
        <f t="shared" si="36"/>
        <v>-18732324.393510412</v>
      </c>
      <c r="AA25" s="740">
        <f t="shared" si="36"/>
        <v>-18732324.393505272</v>
      </c>
      <c r="AB25" s="740">
        <f t="shared" si="36"/>
        <v>-14036184.553918652</v>
      </c>
      <c r="AC25" s="740">
        <f t="shared" si="36"/>
        <v>-14036184.553915352</v>
      </c>
      <c r="AD25" s="740">
        <f t="shared" si="36"/>
        <v>-18738400.308086779</v>
      </c>
      <c r="AE25" s="740">
        <f t="shared" si="36"/>
        <v>-56380441.783687912</v>
      </c>
      <c r="AF25" s="740">
        <f t="shared" si="36"/>
        <v>-37547259.396738909</v>
      </c>
      <c r="AG25" s="740">
        <f t="shared" si="36"/>
        <v>143436.53142856128</v>
      </c>
      <c r="AH25" s="740">
        <f t="shared" si="36"/>
        <v>143436.53142857159</v>
      </c>
      <c r="AI25" s="740">
        <f t="shared" si="36"/>
        <v>19013127.433793049</v>
      </c>
      <c r="AJ25" s="740">
        <f t="shared" si="36"/>
        <v>37894995.69730828</v>
      </c>
      <c r="AK25" s="740">
        <f t="shared" si="36"/>
        <v>42618508.085461281</v>
      </c>
      <c r="AL25" s="740">
        <f t="shared" si="36"/>
        <v>108790329.77972035</v>
      </c>
      <c r="AM25" s="740">
        <f t="shared" si="36"/>
        <v>120260983.36037107</v>
      </c>
      <c r="AN25" s="740">
        <f>(y.1m+y.2m+y.3m-a.m*(x.3m*x.3m+x.2m*x.2m+x.1m*x.1m)-b.m*(x.3m+x.2m+x.1m))/3</f>
        <v>62379834.475027271</v>
      </c>
      <c r="AO25" s="1055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53">
        <f t="shared" si="14"/>
        <v>0.8928571428571429</v>
      </c>
      <c r="AT25" s="769">
        <f>((1-AS25)*(INDEX(a.lg,AP25)*$A25*$A25+INDEX(b.lg,AP25)*$A25+INDEX(c.lg,AP25))+AS25*(INDEX(a.lg,AQ25)*$A25*$A25+INDEX(b.lg,AQ25)*$A25+INDEX(c.lg,AQ25)))/10</f>
        <v>27.824968903365413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53">
        <f t="shared" si="19"/>
        <v>0.62068965517241381</v>
      </c>
      <c r="AY25" s="769">
        <f t="shared" si="20"/>
        <v>27.83394774989835</v>
      </c>
      <c r="AZ25" s="746">
        <f t="shared" si="26"/>
        <v>27.82945832663188</v>
      </c>
      <c r="BA25" s="643">
        <f t="shared" si="21"/>
        <v>0.99778964030270345</v>
      </c>
      <c r="BC25" s="11">
        <v>43111</v>
      </c>
      <c r="BD25" s="290">
        <f>[2]!FeuilCaduc*(1-Persistant)+Persistant</f>
        <v>0.60201187478427232</v>
      </c>
      <c r="BE25" s="291">
        <f>[2]!CroissVégét</f>
        <v>7.0982230050345072E-4</v>
      </c>
      <c r="BF25" s="816">
        <f>1+[2]!Salcycl*Ksac</f>
        <v>1.0002514843480341</v>
      </c>
      <c r="BH25" s="1053">
        <f t="shared" si="22"/>
        <v>2.3525118939561099E-3</v>
      </c>
      <c r="BI25" s="11">
        <v>44207</v>
      </c>
      <c r="BJ25" s="726">
        <v>5.1325772117355375E-4</v>
      </c>
      <c r="BK25" s="726">
        <v>9.1240246718356309E-4</v>
      </c>
      <c r="BL25" s="726">
        <v>1.4894946489613448E-3</v>
      </c>
      <c r="BM25" s="726">
        <v>2.3547708612291166E-3</v>
      </c>
      <c r="BN25" s="726">
        <v>3.5818562087077299E-3</v>
      </c>
      <c r="BO25" s="727">
        <v>5.5394196960925693E-3</v>
      </c>
      <c r="BP25" s="726">
        <v>8.0414786484109182E-3</v>
      </c>
      <c r="BQ25" s="726">
        <v>1.1097042271096147E-2</v>
      </c>
      <c r="BR25" s="726">
        <v>1.4449216472635164E-2</v>
      </c>
      <c r="BS25" s="726">
        <v>1.8603562306804228E-2</v>
      </c>
      <c r="BT25" s="726">
        <v>2.3420644255595102E-2</v>
      </c>
      <c r="BW25" s="1186">
        <f>'2018'!R\Max</f>
        <v>0</v>
      </c>
      <c r="BX25" s="1184">
        <f>'2019'!R\Max</f>
        <v>0.90774683309718207</v>
      </c>
      <c r="BY25" s="1184">
        <f>'2020'!R\Max</f>
        <v>0.99778964030270345</v>
      </c>
      <c r="BZ25" s="1184">
        <f>'2021'!R\Max</f>
        <v>0.20059413086720806</v>
      </c>
      <c r="CA25" s="1184">
        <f>'2022'!R\Max</f>
        <v>0.97919583747879835</v>
      </c>
      <c r="CB25" s="1184">
        <f>'2023'!R\Max</f>
        <v>0.97919230160695381</v>
      </c>
      <c r="CC25" s="1184">
        <f>'2024'!R\Max</f>
        <v>0.979188761424579</v>
      </c>
      <c r="CD25" s="1184">
        <f>'2025'!R\Max</f>
        <v>0.97918444048597431</v>
      </c>
      <c r="CE25" s="1184">
        <f>'2026'!R\Max</f>
        <v>0.97920319093400865</v>
      </c>
      <c r="CF25" s="1185">
        <f>'2027'!R\Max</f>
        <v>0.97920145608642162</v>
      </c>
    </row>
    <row r="26" spans="1:84" s="6" customFormat="1" ht="11.25" x14ac:dyDescent="0.2">
      <c r="A26" s="11">
        <v>43112</v>
      </c>
      <c r="B26" s="380">
        <f>'2022'!Maxi_hp</f>
        <v>27.969146072299974</v>
      </c>
      <c r="C26" s="13">
        <f>'2022'!An_max</f>
        <v>2020</v>
      </c>
      <c r="D26" s="1062">
        <f t="shared" si="7"/>
        <v>0.99486261464518266</v>
      </c>
      <c r="E26" s="1057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53">
        <f t="shared" si="9"/>
        <v>0.7142857142857143</v>
      </c>
      <c r="J26" s="746">
        <f t="shared" si="27"/>
        <v>28.113576347700189</v>
      </c>
      <c r="L26" s="10"/>
      <c r="AO26" s="1055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53">
        <f t="shared" si="14"/>
        <v>0.8571428571428571</v>
      </c>
      <c r="AT26" s="769">
        <f>((1-AS26)*(INDEX(a.lg,AP26)*$A26*$A26+INDEX(b.lg,AP26)*$A26+INDEX(c.lg,AP26))+AS26*(INDEX(a.lg,AQ26)*$A26*$A26+INDEX(b.lg,AQ26)*$A26+INDEX(c.lg,AQ26)))/10</f>
        <v>28.057280030527284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53">
        <f t="shared" si="19"/>
        <v>0.65517241379310343</v>
      </c>
      <c r="AY26" s="769">
        <f t="shared" si="20"/>
        <v>28.092681348914731</v>
      </c>
      <c r="AZ26" s="746">
        <f t="shared" si="26"/>
        <v>28.074980689721009</v>
      </c>
      <c r="BA26" s="643">
        <f t="shared" si="21"/>
        <v>0.99486261464518266</v>
      </c>
      <c r="BC26" s="11">
        <v>43112</v>
      </c>
      <c r="BD26" s="290">
        <f>[2]!FeuilCaduc*(1-Persistant)+Persistant</f>
        <v>0.6018145676787835</v>
      </c>
      <c r="BE26" s="291">
        <f>[2]!CroissVégét</f>
        <v>7.9782175584567966E-4</v>
      </c>
      <c r="BF26" s="816">
        <f>1+[2]!Salcycl*Ksac</f>
        <v>1.0002268209598479</v>
      </c>
      <c r="BH26" s="1053">
        <f t="shared" si="22"/>
        <v>2.3321543908367479E-3</v>
      </c>
      <c r="BI26" s="11">
        <v>44208</v>
      </c>
      <c r="BJ26" s="726">
        <v>5.1178863408927913E-4</v>
      </c>
      <c r="BK26" s="726">
        <v>9.0606145740808677E-4</v>
      </c>
      <c r="BL26" s="726">
        <v>1.4784890376228947E-3</v>
      </c>
      <c r="BM26" s="726">
        <v>2.3343888793202557E-3</v>
      </c>
      <c r="BN26" s="726">
        <v>3.5484368721855914E-3</v>
      </c>
      <c r="BO26" s="727">
        <v>5.4883802434529871E-3</v>
      </c>
      <c r="BP26" s="726">
        <v>7.976439181125599E-3</v>
      </c>
      <c r="BQ26" s="726">
        <v>1.1041493603481684E-2</v>
      </c>
      <c r="BR26" s="726">
        <v>1.441259564406866E-2</v>
      </c>
      <c r="BS26" s="726">
        <v>1.8580844519664207E-2</v>
      </c>
      <c r="BT26" s="726">
        <v>2.3387988437643004E-2</v>
      </c>
      <c r="BW26" s="1186">
        <f>'2018'!R\Max</f>
        <v>0</v>
      </c>
      <c r="BX26" s="1184">
        <f>'2019'!R\Max</f>
        <v>0.34279406548845121</v>
      </c>
      <c r="BY26" s="1184">
        <f>'2020'!R\Max</f>
        <v>0.99486261464518266</v>
      </c>
      <c r="BZ26" s="1184">
        <f>'2021'!R\Max</f>
        <v>0.45110022135821626</v>
      </c>
      <c r="CA26" s="1184">
        <f>'2022'!R\Max</f>
        <v>0.82837685540656858</v>
      </c>
      <c r="CB26" s="1184">
        <f>'2023'!R\Max</f>
        <v>0.82835253411499865</v>
      </c>
      <c r="CC26" s="1184">
        <f>'2024'!R\Max</f>
        <v>0.82832818469135006</v>
      </c>
      <c r="CD26" s="1184">
        <f>'2025'!R\Max</f>
        <v>0.82829820742547222</v>
      </c>
      <c r="CE26" s="1184">
        <f>'2026'!R\Max</f>
        <v>0.82842724650909072</v>
      </c>
      <c r="CF26" s="1185">
        <f>'2027'!R\Max</f>
        <v>0.82841537235966134</v>
      </c>
    </row>
    <row r="27" spans="1:84" s="6" customFormat="1" ht="11.25" x14ac:dyDescent="0.2">
      <c r="A27" s="11">
        <v>43113</v>
      </c>
      <c r="B27" s="380">
        <f>'2022'!Maxi_hp</f>
        <v>16.029400800100351</v>
      </c>
      <c r="C27" s="13">
        <f>'2022'!An_max</f>
        <v>2020</v>
      </c>
      <c r="D27" s="1062" t="str">
        <f t="shared" si="7"/>
        <v/>
      </c>
      <c r="E27" s="1057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53">
        <f t="shared" si="9"/>
        <v>0.6428571428571429</v>
      </c>
      <c r="J27" s="746">
        <f t="shared" si="27"/>
        <v>28.359130439481568</v>
      </c>
      <c r="L27" s="10"/>
      <c r="M27" s="6" t="s">
        <v>229</v>
      </c>
      <c r="AC27" s="69"/>
      <c r="AE27" s="69"/>
      <c r="AG27" s="69"/>
      <c r="AI27" s="69"/>
      <c r="AK27" s="69"/>
      <c r="AM27" s="69"/>
      <c r="AO27" s="1055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53">
        <f t="shared" si="14"/>
        <v>0.8214285714285714</v>
      </c>
      <c r="AT27" s="769">
        <f>((1-AS27)*(INDEX(a.lg,AP27)*$A27*$A27+INDEX(b.lg,AP27)*$A27+INDEX(c.lg,AP27))+AS27*(INDEX(a.lg,AQ27)*$A27*$A27+INDEX(b.lg,AQ27)*$A27+INDEX(c.lg,AQ27)))/10</f>
        <v>28.300775374445532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53">
        <f t="shared" si="19"/>
        <v>0.68965517241379315</v>
      </c>
      <c r="AY27" s="769">
        <f t="shared" si="20"/>
        <v>28.356204538047315</v>
      </c>
      <c r="AZ27" s="746">
        <f t="shared" si="26"/>
        <v>28.328489956246422</v>
      </c>
      <c r="BA27" s="643">
        <f t="shared" si="21"/>
        <v>0.56522892457182772</v>
      </c>
      <c r="BC27" s="11">
        <v>43113</v>
      </c>
      <c r="BD27" s="290">
        <f>[2]!FeuilCaduc*(1-Persistant)+Persistant</f>
        <v>0.60162614288674821</v>
      </c>
      <c r="BE27" s="291">
        <f>[2]!CroissVégét</f>
        <v>8.8949648478391823E-4</v>
      </c>
      <c r="BF27" s="816">
        <f>1+[2]!Salcycl*Ksac</f>
        <v>1.0002032678608435</v>
      </c>
      <c r="BH27" s="1053">
        <f t="shared" si="22"/>
        <v>2.3093862459565109E-3</v>
      </c>
      <c r="BI27" s="11">
        <v>44209</v>
      </c>
      <c r="BJ27" s="726">
        <v>5.0983048352214904E-4</v>
      </c>
      <c r="BK27" s="726">
        <v>8.9992829642613909E-4</v>
      </c>
      <c r="BL27" s="726">
        <v>1.4671404839516251E-3</v>
      </c>
      <c r="BM27" s="726">
        <v>2.311590843400226E-3</v>
      </c>
      <c r="BN27" s="726">
        <v>3.5090629883120059E-3</v>
      </c>
      <c r="BO27" s="727">
        <v>5.4273419535569769E-3</v>
      </c>
      <c r="BP27" s="726">
        <v>7.8979763489189312E-3</v>
      </c>
      <c r="BQ27" s="726">
        <v>1.0974812847639431E-2</v>
      </c>
      <c r="BR27" s="726">
        <v>1.4369373632939038E-2</v>
      </c>
      <c r="BS27" s="726">
        <v>1.8556422533530667E-2</v>
      </c>
      <c r="BT27" s="726">
        <v>2.3353768846379134E-2</v>
      </c>
      <c r="BW27" s="1186">
        <f>'2018'!R\Max</f>
        <v>0</v>
      </c>
      <c r="BX27" s="1184">
        <f>'2019'!R\Max</f>
        <v>0.14408637583231149</v>
      </c>
      <c r="BY27" s="1184">
        <f>'2020'!R\Max</f>
        <v>0.56522892457182772</v>
      </c>
      <c r="BZ27" s="1184">
        <f>'2021'!R\Max</f>
        <v>0.35931515609241987</v>
      </c>
      <c r="CA27" s="1184">
        <f>'2022'!R\Max</f>
        <v>0.19773068563293011</v>
      </c>
      <c r="CB27" s="1184">
        <f>'2023'!R\Max</f>
        <v>0.19770738288981396</v>
      </c>
      <c r="CC27" s="1184">
        <f>'2024'!R\Max</f>
        <v>0.19768405755354074</v>
      </c>
      <c r="CD27" s="1184">
        <f>'2025'!R\Max</f>
        <v>0.1976550338417683</v>
      </c>
      <c r="CE27" s="1184">
        <f>'2026'!R\Max</f>
        <v>0.19777874758620803</v>
      </c>
      <c r="CF27" s="1185">
        <f>'2027'!R\Max</f>
        <v>0.19776744221439327</v>
      </c>
    </row>
    <row r="28" spans="1:84" s="6" customFormat="1" ht="11.25" x14ac:dyDescent="0.2">
      <c r="A28" s="11">
        <v>43114</v>
      </c>
      <c r="B28" s="380">
        <f>'2022'!Maxi_hp</f>
        <v>27.813666688911876</v>
      </c>
      <c r="C28" s="13">
        <f>'2022'!An_max</f>
        <v>2020</v>
      </c>
      <c r="D28" s="1062">
        <f t="shared" si="7"/>
        <v>0.97212455387113228</v>
      </c>
      <c r="E28" s="1057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53">
        <f t="shared" si="9"/>
        <v>0.5714285714285714</v>
      </c>
      <c r="J28" s="746">
        <f t="shared" si="27"/>
        <v>28.611217130720615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55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53">
        <f t="shared" si="14"/>
        <v>0.7857142857142857</v>
      </c>
      <c r="AT28" s="769">
        <f t="shared" si="15"/>
        <v>28.554829019201652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53">
        <f t="shared" si="19"/>
        <v>0.72413793103448276</v>
      </c>
      <c r="AY28" s="769">
        <f t="shared" si="20"/>
        <v>28.623858864245744</v>
      </c>
      <c r="AZ28" s="746">
        <f t="shared" si="26"/>
        <v>28.589343941723698</v>
      </c>
      <c r="BA28" s="643">
        <f t="shared" si="21"/>
        <v>0.97212455387113228</v>
      </c>
      <c r="BC28" s="11">
        <v>43114</v>
      </c>
      <c r="BD28" s="290">
        <f>[2]!FeuilCaduc*(1-Persistant)+Persistant</f>
        <v>0.60144661446112435</v>
      </c>
      <c r="BE28" s="291">
        <f>[2]!CroissVégét</f>
        <v>9.849992655628797E-4</v>
      </c>
      <c r="BF28" s="816">
        <f>1+[2]!Salcycl*Ksac</f>
        <v>1.0001808268076406</v>
      </c>
      <c r="BH28" s="1053">
        <f t="shared" si="22"/>
        <v>2.2842002553279234E-3</v>
      </c>
      <c r="BI28" s="11">
        <v>44210</v>
      </c>
      <c r="BJ28" s="726">
        <v>5.0738154054133836E-4</v>
      </c>
      <c r="BK28" s="726">
        <v>8.9400136678691004E-4</v>
      </c>
      <c r="BL28" s="726">
        <v>1.4554456267463836E-3</v>
      </c>
      <c r="BM28" s="726">
        <v>2.2863695394229702E-3</v>
      </c>
      <c r="BN28" s="726">
        <v>3.4637211912313024E-3</v>
      </c>
      <c r="BO28" s="727">
        <v>5.3562832276760862E-3</v>
      </c>
      <c r="BP28" s="726">
        <v>7.8060594158287106E-3</v>
      </c>
      <c r="BQ28" s="726">
        <v>1.0896963585982165E-2</v>
      </c>
      <c r="BR28" s="726">
        <v>1.4319509479814058E-2</v>
      </c>
      <c r="BS28" s="726">
        <v>1.8530249593756085E-2</v>
      </c>
      <c r="BT28" s="726">
        <v>2.3317927543420904E-2</v>
      </c>
      <c r="BW28" s="1186">
        <f>'2018'!R\Max</f>
        <v>0</v>
      </c>
      <c r="BX28" s="1184">
        <f>'2019'!R\Max</f>
        <v>0.19928263344208766</v>
      </c>
      <c r="BY28" s="1184">
        <f>'2020'!R\Max</f>
        <v>0.97212455387113228</v>
      </c>
      <c r="BZ28" s="1184">
        <f>'2021'!R\Max</f>
        <v>0.44768831128363806</v>
      </c>
      <c r="CA28" s="1184">
        <f>'2022'!R\Max</f>
        <v>0.9692988101766945</v>
      </c>
      <c r="CB28" s="1184">
        <f>'2023'!R\Max</f>
        <v>0.9692938876753171</v>
      </c>
      <c r="CC28" s="1184">
        <f>'2024'!R\Max</f>
        <v>0.96928895933361803</v>
      </c>
      <c r="CD28" s="1184">
        <f>'2025'!R\Max</f>
        <v>0.96928274510981305</v>
      </c>
      <c r="CE28" s="1184">
        <f>'2026'!R\Max</f>
        <v>0.96930890007654469</v>
      </c>
      <c r="CF28" s="1185">
        <f>'2027'!R\Max</f>
        <v>0.96930653327272787</v>
      </c>
    </row>
    <row r="29" spans="1:84" s="6" customFormat="1" ht="11.25" x14ac:dyDescent="0.2">
      <c r="A29" s="11">
        <v>43115</v>
      </c>
      <c r="B29" s="380">
        <f>'2022'!Maxi_hp</f>
        <v>29.472715702164702</v>
      </c>
      <c r="C29" s="13">
        <f>'2022'!An_max</f>
        <v>2022</v>
      </c>
      <c r="D29" s="1062">
        <f t="shared" si="7"/>
        <v>1.0208910053719742</v>
      </c>
      <c r="E29" s="1057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53">
        <f t="shared" si="9"/>
        <v>0.5</v>
      </c>
      <c r="J29" s="746">
        <f t="shared" si="27"/>
        <v>28.869600718468426</v>
      </c>
      <c r="L29" s="774">
        <f>AJ13</f>
        <v>310.31200000000001</v>
      </c>
      <c r="M29" s="774">
        <f>L13</f>
        <v>250.41</v>
      </c>
      <c r="N29" s="764">
        <f>N13</f>
        <v>272.01400000000001</v>
      </c>
      <c r="O29" s="764">
        <f>P13</f>
        <v>355.48399999999998</v>
      </c>
      <c r="P29" s="764">
        <f>R13</f>
        <v>454.666</v>
      </c>
      <c r="Q29" s="764">
        <f>T13</f>
        <v>554.83000000000004</v>
      </c>
      <c r="R29" s="764">
        <f>V13</f>
        <v>616.69600000000003</v>
      </c>
      <c r="S29" s="764">
        <f>X13</f>
        <v>637.31799999999998</v>
      </c>
      <c r="T29" s="764">
        <f>Z13</f>
        <v>627.49799999999993</v>
      </c>
      <c r="U29" s="764">
        <f>AB13</f>
        <v>598.03800000000001</v>
      </c>
      <c r="V29" s="764">
        <f>AD13</f>
        <v>555.81200000000001</v>
      </c>
      <c r="W29" s="764">
        <f>AF13</f>
        <v>491</v>
      </c>
      <c r="X29" s="764">
        <f>AH13</f>
        <v>398.69200000000001</v>
      </c>
      <c r="Y29" s="764">
        <f>AJ13</f>
        <v>310.31200000000001</v>
      </c>
      <c r="Z29" s="764">
        <f>AL13</f>
        <v>250.41</v>
      </c>
      <c r="AA29" s="772">
        <f>AN13</f>
        <v>272.01400000000001</v>
      </c>
      <c r="AB29" s="772">
        <f>P13</f>
        <v>355.48399999999998</v>
      </c>
      <c r="AO29" s="1055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53">
        <f t="shared" si="14"/>
        <v>0.75</v>
      </c>
      <c r="AT29" s="769">
        <f t="shared" si="15"/>
        <v>28.818815041705967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53">
        <f t="shared" si="19"/>
        <v>0.75862068965517238</v>
      </c>
      <c r="AY29" s="769">
        <f t="shared" si="20"/>
        <v>28.894985875024879</v>
      </c>
      <c r="AZ29" s="746">
        <f t="shared" si="26"/>
        <v>28.856900458365423</v>
      </c>
      <c r="BA29" s="643">
        <f t="shared" si="21"/>
        <v>1.0208910053719742</v>
      </c>
      <c r="BC29" s="11">
        <v>43115</v>
      </c>
      <c r="BD29" s="290">
        <f>[2]!FeuilCaduc*(1-Persistant)+Persistant</f>
        <v>0.60127610081626426</v>
      </c>
      <c r="BE29" s="291">
        <f>[2]!CroissVégét</f>
        <v>1.0844891659074879E-3</v>
      </c>
      <c r="BF29" s="816">
        <f>1+[2]!Salcycl*Ksac</f>
        <v>1.0001595126020331</v>
      </c>
      <c r="BH29" s="1053">
        <f t="shared" si="22"/>
        <v>2.2565897768776788E-3</v>
      </c>
      <c r="BI29" s="11">
        <v>44211</v>
      </c>
      <c r="BJ29" s="726">
        <v>5.0444016352980991E-4</v>
      </c>
      <c r="BK29" s="726">
        <v>8.8827908537777349E-4</v>
      </c>
      <c r="BL29" s="726">
        <v>1.4434012677168103E-3</v>
      </c>
      <c r="BM29" s="726">
        <v>2.2587183163010022E-3</v>
      </c>
      <c r="BN29" s="726">
        <v>3.4123993307394272E-3</v>
      </c>
      <c r="BO29" s="727">
        <v>5.2751844567628459E-3</v>
      </c>
      <c r="BP29" s="726">
        <v>7.7006602828452808E-3</v>
      </c>
      <c r="BQ29" s="726">
        <v>1.0807911609712619E-2</v>
      </c>
      <c r="BR29" s="726">
        <v>1.4262963582267394E-2</v>
      </c>
      <c r="BS29" s="726">
        <v>1.8502279448628707E-2</v>
      </c>
      <c r="BT29" s="726">
        <v>2.3280407178787918E-2</v>
      </c>
      <c r="BW29" s="1186">
        <f>'2018'!R\Max</f>
        <v>0</v>
      </c>
      <c r="BX29" s="1184">
        <f>'2019'!R\Max</f>
        <v>1.0068387652678221</v>
      </c>
      <c r="BY29" s="1184">
        <f>'2020'!R\Max</f>
        <v>0.81222054515572728</v>
      </c>
      <c r="BZ29" s="1184">
        <f>'2021'!R\Max</f>
        <v>0.68388588039517695</v>
      </c>
      <c r="CA29" s="1184">
        <f>'2022'!R\Max</f>
        <v>1.0208910053719742</v>
      </c>
      <c r="CB29" s="1184">
        <f>'2023'!R\Max</f>
        <v>1.020891005371974</v>
      </c>
      <c r="CC29" s="1184">
        <f>'2024'!R\Max</f>
        <v>1.0208910053719742</v>
      </c>
      <c r="CD29" s="1184">
        <f>'2025'!R\Max</f>
        <v>1.0208910053719744</v>
      </c>
      <c r="CE29" s="1184">
        <f>'2026'!R\Max</f>
        <v>1.0208910053719742</v>
      </c>
      <c r="CF29" s="1185">
        <f>'2027'!R\Max</f>
        <v>1.020891005371974</v>
      </c>
    </row>
    <row r="30" spans="1:84" s="6" customFormat="1" ht="11.25" x14ac:dyDescent="0.2">
      <c r="A30" s="11">
        <v>43116</v>
      </c>
      <c r="B30" s="380">
        <f>'2022'!Maxi_hp</f>
        <v>29.178076379468706</v>
      </c>
      <c r="C30" s="13">
        <f>'2022'!An_max</f>
        <v>2019</v>
      </c>
      <c r="D30" s="1062">
        <f t="shared" si="7"/>
        <v>1.0015113204419337</v>
      </c>
      <c r="E30" s="1057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53">
        <f t="shared" si="9"/>
        <v>0.42857142857142855</v>
      </c>
      <c r="J30" s="746">
        <f t="shared" si="27"/>
        <v>29.1340455009469</v>
      </c>
      <c r="L30" s="754" t="s">
        <v>210</v>
      </c>
      <c r="M30" s="784">
        <f t="shared" ref="M30:AA30" si="37">L28</f>
        <v>43051</v>
      </c>
      <c r="N30" s="785">
        <f t="shared" si="37"/>
        <v>43079</v>
      </c>
      <c r="O30" s="736">
        <f t="shared" si="37"/>
        <v>43108</v>
      </c>
      <c r="P30" s="736">
        <f t="shared" si="37"/>
        <v>43136</v>
      </c>
      <c r="Q30" s="736">
        <f t="shared" si="37"/>
        <v>43164</v>
      </c>
      <c r="R30" s="736">
        <f t="shared" si="37"/>
        <v>43192</v>
      </c>
      <c r="S30" s="736">
        <f t="shared" si="37"/>
        <v>43220</v>
      </c>
      <c r="T30" s="736">
        <f t="shared" si="37"/>
        <v>43248</v>
      </c>
      <c r="U30" s="736">
        <f t="shared" si="37"/>
        <v>43276</v>
      </c>
      <c r="V30" s="736">
        <f t="shared" si="37"/>
        <v>43304</v>
      </c>
      <c r="W30" s="736">
        <f t="shared" si="37"/>
        <v>43332</v>
      </c>
      <c r="X30" s="736">
        <f t="shared" si="37"/>
        <v>43360</v>
      </c>
      <c r="Y30" s="736">
        <f t="shared" si="37"/>
        <v>43388</v>
      </c>
      <c r="Z30" s="736">
        <f t="shared" si="37"/>
        <v>43416</v>
      </c>
      <c r="AA30" s="777">
        <f t="shared" si="37"/>
        <v>43444</v>
      </c>
      <c r="AO30" s="1055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53">
        <f t="shared" si="14"/>
        <v>0.7142857142857143</v>
      </c>
      <c r="AT30" s="769">
        <f t="shared" si="15"/>
        <v>29.092107526000056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53">
        <f t="shared" si="19"/>
        <v>0.7931034482758621</v>
      </c>
      <c r="AY30" s="769">
        <f t="shared" si="20"/>
        <v>29.168927116589298</v>
      </c>
      <c r="AZ30" s="746">
        <f t="shared" si="26"/>
        <v>29.130517321294676</v>
      </c>
      <c r="BA30" s="643">
        <f t="shared" si="21"/>
        <v>1.0015113204419337</v>
      </c>
      <c r="BC30" s="11">
        <v>43116</v>
      </c>
      <c r="BD30" s="290">
        <f>[2]!FeuilCaduc*(1-Persistant)+Persistant</f>
        <v>0.60111480715254595</v>
      </c>
      <c r="BE30" s="291">
        <f>[2]!CroissVégét</f>
        <v>1.1881317966940647E-3</v>
      </c>
      <c r="BF30" s="816">
        <f>1+[2]!Salcycl*Ksac</f>
        <v>1.0001393508940681</v>
      </c>
      <c r="BH30" s="1053">
        <f t="shared" si="22"/>
        <v>2.2268425425168701E-3</v>
      </c>
      <c r="BI30" s="11">
        <v>44212</v>
      </c>
      <c r="BJ30" s="726">
        <v>5.0104429178496053E-4</v>
      </c>
      <c r="BK30" s="726">
        <v>8.824293484010759E-4</v>
      </c>
      <c r="BL30" s="726">
        <v>1.4307244665554071E-3</v>
      </c>
      <c r="BM30" s="726">
        <v>2.2289263996929298E-3</v>
      </c>
      <c r="BN30" s="726">
        <v>3.3560794934367672E-3</v>
      </c>
      <c r="BO30" s="727">
        <v>5.1850138949949302E-3</v>
      </c>
      <c r="BP30" s="726">
        <v>7.5809806456274796E-3</v>
      </c>
      <c r="BQ30" s="726">
        <v>1.0702518521655499E-2</v>
      </c>
      <c r="BR30" s="726">
        <v>1.4191286673234728E-2</v>
      </c>
      <c r="BS30" s="726">
        <v>1.846424273232115E-2</v>
      </c>
      <c r="BT30" s="726">
        <v>2.3237641698820154E-2</v>
      </c>
      <c r="BW30" s="1186">
        <f>'2018'!R\Max</f>
        <v>0</v>
      </c>
      <c r="BX30" s="1184">
        <f>'2019'!R\Max</f>
        <v>1.0015113204419337</v>
      </c>
      <c r="BY30" s="1184">
        <f>'2020'!R\Max</f>
        <v>0.83279382637072163</v>
      </c>
      <c r="BZ30" s="1184">
        <f>'2021'!R\Max</f>
        <v>0.65966316504967104</v>
      </c>
      <c r="CA30" s="1184">
        <f>'2022'!R\Max</f>
        <v>0.99364153021511825</v>
      </c>
      <c r="CB30" s="1184">
        <f>'2023'!R\Max</f>
        <v>0.99364052697403538</v>
      </c>
      <c r="CC30" s="1184">
        <f>'2024'!R\Max</f>
        <v>0.99363952255291532</v>
      </c>
      <c r="CD30" s="1184">
        <f>'2025'!R\Max</f>
        <v>0.9936382148579378</v>
      </c>
      <c r="CE30" s="1184">
        <f>'2026'!R\Max</f>
        <v>0.99364355746615263</v>
      </c>
      <c r="CF30" s="1185">
        <f>'2027'!R\Max</f>
        <v>0.99364308529054313</v>
      </c>
    </row>
    <row r="31" spans="1:84" s="6" customFormat="1" ht="11.25" x14ac:dyDescent="0.2">
      <c r="A31" s="11">
        <v>43117</v>
      </c>
      <c r="B31" s="380">
        <f>'2022'!Maxi_hp</f>
        <v>14.816853446814875</v>
      </c>
      <c r="C31" s="13">
        <f>'2022'!An_max</f>
        <v>2022</v>
      </c>
      <c r="D31" s="1062" t="str">
        <f t="shared" si="7"/>
        <v/>
      </c>
      <c r="E31" s="1057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53">
        <f t="shared" si="9"/>
        <v>0.35714285714285715</v>
      </c>
      <c r="J31" s="746">
        <f t="shared" si="27"/>
        <v>29.404315777548721</v>
      </c>
      <c r="L31" s="755" t="s">
        <v>211</v>
      </c>
      <c r="M31" s="776">
        <f t="shared" ref="M31:AA31" si="38">L29</f>
        <v>310.31200000000001</v>
      </c>
      <c r="N31" s="780">
        <f t="shared" si="38"/>
        <v>250.41</v>
      </c>
      <c r="O31" s="742">
        <f t="shared" si="38"/>
        <v>272.01400000000001</v>
      </c>
      <c r="P31" s="742">
        <f t="shared" si="38"/>
        <v>355.48399999999998</v>
      </c>
      <c r="Q31" s="742">
        <f t="shared" si="38"/>
        <v>454.666</v>
      </c>
      <c r="R31" s="742">
        <f t="shared" si="38"/>
        <v>554.83000000000004</v>
      </c>
      <c r="S31" s="742">
        <f t="shared" si="38"/>
        <v>616.69600000000003</v>
      </c>
      <c r="T31" s="742">
        <f t="shared" si="38"/>
        <v>637.31799999999998</v>
      </c>
      <c r="U31" s="742">
        <f t="shared" si="38"/>
        <v>627.49799999999993</v>
      </c>
      <c r="V31" s="742">
        <f t="shared" si="38"/>
        <v>598.03800000000001</v>
      </c>
      <c r="W31" s="742">
        <f t="shared" si="38"/>
        <v>555.81200000000001</v>
      </c>
      <c r="X31" s="742">
        <f t="shared" si="38"/>
        <v>491</v>
      </c>
      <c r="Y31" s="742">
        <f t="shared" si="38"/>
        <v>398.69200000000001</v>
      </c>
      <c r="Z31" s="742">
        <f t="shared" si="38"/>
        <v>310.31200000000001</v>
      </c>
      <c r="AA31" s="778">
        <f t="shared" si="38"/>
        <v>250.41</v>
      </c>
      <c r="AO31" s="1055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53">
        <f t="shared" si="14"/>
        <v>0.6785714285714286</v>
      </c>
      <c r="AT31" s="769">
        <f t="shared" si="15"/>
        <v>29.374080553863728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53">
        <f t="shared" si="19"/>
        <v>0.82758620689655171</v>
      </c>
      <c r="AY31" s="769">
        <f t="shared" si="20"/>
        <v>29.445024133396561</v>
      </c>
      <c r="AZ31" s="746">
        <f t="shared" si="26"/>
        <v>29.409552343630146</v>
      </c>
      <c r="BA31" s="643">
        <f t="shared" si="21"/>
        <v>0.50390063686256858</v>
      </c>
      <c r="BC31" s="11">
        <v>43117</v>
      </c>
      <c r="BD31" s="290">
        <f>[2]!FeuilCaduc*(1-Persistant)+Persistant</f>
        <v>0.60096300793964963</v>
      </c>
      <c r="BE31" s="291">
        <f>[2]!CroissVégét</f>
        <v>1.2960995754023115E-3</v>
      </c>
      <c r="BF31" s="816">
        <f>1+[2]!Salcycl*Ksac</f>
        <v>1.0001203759924562</v>
      </c>
      <c r="BH31" s="1053">
        <f t="shared" si="22"/>
        <v>2.1969500951403943E-3</v>
      </c>
      <c r="BI31" s="11">
        <v>44213</v>
      </c>
      <c r="BJ31" s="726">
        <v>4.9748233263185104E-4</v>
      </c>
      <c r="BK31" s="726">
        <v>8.767748385120651E-4</v>
      </c>
      <c r="BL31" s="726">
        <v>1.4182132532072056E-3</v>
      </c>
      <c r="BM31" s="726">
        <v>2.1989884565409503E-3</v>
      </c>
      <c r="BN31" s="726">
        <v>3.298316336529333E-3</v>
      </c>
      <c r="BO31" s="727">
        <v>5.091258437511203E-3</v>
      </c>
      <c r="BP31" s="726">
        <v>7.453410725993358E-3</v>
      </c>
      <c r="BQ31" s="726">
        <v>1.058581193171463E-2</v>
      </c>
      <c r="BR31" s="726">
        <v>1.4106601468453241E-2</v>
      </c>
      <c r="BS31" s="726">
        <v>1.8416286921974404E-2</v>
      </c>
      <c r="BT31" s="726">
        <v>2.3190282248382044E-2</v>
      </c>
      <c r="BW31" s="1186">
        <f>'2018'!R\Max</f>
        <v>0</v>
      </c>
      <c r="BX31" s="1184">
        <f>'2019'!R\Max</f>
        <v>0.3627681022814187</v>
      </c>
      <c r="BY31" s="1184">
        <f>'2020'!R\Max</f>
        <v>0.16576968098754291</v>
      </c>
      <c r="BZ31" s="1184">
        <f>'2021'!R\Max</f>
        <v>0.30170494274568976</v>
      </c>
      <c r="CA31" s="1184">
        <f>'2022'!R\Max</f>
        <v>0.50390063686256858</v>
      </c>
      <c r="CB31" s="1184">
        <f>'2023'!R\Max</f>
        <v>0.50386187441179742</v>
      </c>
      <c r="CC31" s="1184">
        <f>'2024'!R\Max</f>
        <v>0.50382307280033911</v>
      </c>
      <c r="CD31" s="1184">
        <f>'2025'!R\Max</f>
        <v>0.50377166467966328</v>
      </c>
      <c r="CE31" s="1184">
        <f>'2026'!R\Max</f>
        <v>0.50397844335436348</v>
      </c>
      <c r="CF31" s="1185">
        <f>'2027'!R\Max</f>
        <v>0.50396038911727081</v>
      </c>
    </row>
    <row r="32" spans="1:84" s="6" customFormat="1" ht="11.25" x14ac:dyDescent="0.2">
      <c r="A32" s="11">
        <v>43118</v>
      </c>
      <c r="B32" s="380">
        <f>'2022'!Maxi_hp</f>
        <v>28.469265740450702</v>
      </c>
      <c r="C32" s="13">
        <f>'2022'!An_max</f>
        <v>2021</v>
      </c>
      <c r="D32" s="1062" t="str">
        <f t="shared" si="7"/>
        <v/>
      </c>
      <c r="E32" s="1057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53">
        <f t="shared" si="9"/>
        <v>0.2857142857142857</v>
      </c>
      <c r="J32" s="746">
        <f t="shared" si="27"/>
        <v>29.680175844686374</v>
      </c>
      <c r="L32" s="755" t="s">
        <v>212</v>
      </c>
      <c r="M32" s="787">
        <f t="shared" ref="M32:AA32" si="39">M28</f>
        <v>43079</v>
      </c>
      <c r="N32" s="737">
        <f t="shared" si="39"/>
        <v>43108</v>
      </c>
      <c r="O32" s="737">
        <f t="shared" si="39"/>
        <v>43136</v>
      </c>
      <c r="P32" s="737">
        <f t="shared" si="39"/>
        <v>43164</v>
      </c>
      <c r="Q32" s="737">
        <f t="shared" si="39"/>
        <v>43192</v>
      </c>
      <c r="R32" s="737">
        <f t="shared" si="39"/>
        <v>43220</v>
      </c>
      <c r="S32" s="737">
        <f t="shared" si="39"/>
        <v>43248</v>
      </c>
      <c r="T32" s="737">
        <f t="shared" si="39"/>
        <v>43276</v>
      </c>
      <c r="U32" s="737">
        <f t="shared" si="39"/>
        <v>43304</v>
      </c>
      <c r="V32" s="737">
        <f t="shared" si="39"/>
        <v>43332</v>
      </c>
      <c r="W32" s="737">
        <f t="shared" si="39"/>
        <v>43360</v>
      </c>
      <c r="X32" s="737">
        <f t="shared" si="39"/>
        <v>43388</v>
      </c>
      <c r="Y32" s="737">
        <f t="shared" si="39"/>
        <v>43416</v>
      </c>
      <c r="Z32" s="779">
        <f t="shared" si="39"/>
        <v>43444</v>
      </c>
      <c r="AA32" s="786">
        <f t="shared" si="39"/>
        <v>43473</v>
      </c>
      <c r="AO32" s="1055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53">
        <f t="shared" si="14"/>
        <v>0.6428571428571429</v>
      </c>
      <c r="AT32" s="769">
        <f t="shared" si="15"/>
        <v>29.664108206039025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53">
        <f t="shared" si="19"/>
        <v>0.86206896551724133</v>
      </c>
      <c r="AY32" s="769">
        <f t="shared" si="20"/>
        <v>29.722618474220404</v>
      </c>
      <c r="AZ32" s="746">
        <f t="shared" si="26"/>
        <v>29.693363340129714</v>
      </c>
      <c r="BA32" s="643">
        <f t="shared" si="21"/>
        <v>0.95920138375957564</v>
      </c>
      <c r="BC32" s="11">
        <v>43118</v>
      </c>
      <c r="BD32" s="290">
        <f>[2]!FeuilCaduc*(1-Persistant)+Persistant</f>
        <v>0.60082102964158302</v>
      </c>
      <c r="BE32" s="291">
        <f>[2]!CroissVégét</f>
        <v>1.4085719996856784E-3</v>
      </c>
      <c r="BF32" s="816">
        <f>1+[2]!Salcycl*Ksac</f>
        <v>1.0001026287051979</v>
      </c>
      <c r="BH32" s="1053">
        <f t="shared" si="22"/>
        <v>2.1669095938243164E-3</v>
      </c>
      <c r="BI32" s="11">
        <v>44214</v>
      </c>
      <c r="BJ32" s="726">
        <v>4.9375323215843884E-4</v>
      </c>
      <c r="BK32" s="726">
        <v>8.7131406750531578E-4</v>
      </c>
      <c r="BL32" s="726">
        <v>1.4058653978805884E-3</v>
      </c>
      <c r="BM32" s="726">
        <v>2.1689016443214755E-3</v>
      </c>
      <c r="BN32" s="726">
        <v>3.2391057061873217E-3</v>
      </c>
      <c r="BO32" s="727">
        <v>4.9939109079602546E-3</v>
      </c>
      <c r="BP32" s="726">
        <v>7.3179368206857621E-3</v>
      </c>
      <c r="BQ32" s="726">
        <v>1.0457766368971578E-2</v>
      </c>
      <c r="BR32" s="726">
        <v>1.4008869334169147E-2</v>
      </c>
      <c r="BS32" s="726">
        <v>1.8358362010433098E-2</v>
      </c>
      <c r="BT32" s="726">
        <v>2.3138271562484197E-2</v>
      </c>
      <c r="BW32" s="1186">
        <f>'2018'!R\Max</f>
        <v>0</v>
      </c>
      <c r="BX32" s="1184">
        <f>'2019'!R\Max</f>
        <v>0.51475090985968175</v>
      </c>
      <c r="BY32" s="1184">
        <f>'2020'!R\Max</f>
        <v>0.64710815682014799</v>
      </c>
      <c r="BZ32" s="1184">
        <f>'2021'!R\Max</f>
        <v>0.95920138375957564</v>
      </c>
      <c r="CA32" s="1184">
        <f>'2022'!R\Max</f>
        <v>0.13180194315499236</v>
      </c>
      <c r="CB32" s="1184">
        <f>'2023'!R\Max</f>
        <v>0.13178800100404908</v>
      </c>
      <c r="CC32" s="1184">
        <f>'2024'!R\Max</f>
        <v>0.13177404581871288</v>
      </c>
      <c r="CD32" s="1184">
        <f>'2025'!R\Max</f>
        <v>0.13175521062207918</v>
      </c>
      <c r="CE32" s="1184">
        <f>'2026'!R\Max</f>
        <v>0.13182974926487362</v>
      </c>
      <c r="CF32" s="1185">
        <f>'2027'!R\Max</f>
        <v>0.13182332296129876</v>
      </c>
    </row>
    <row r="33" spans="1:84" s="6" customFormat="1" ht="11.25" x14ac:dyDescent="0.2">
      <c r="A33" s="11">
        <v>43119</v>
      </c>
      <c r="B33" s="380">
        <f>'2022'!Maxi_hp</f>
        <v>30.474199442688686</v>
      </c>
      <c r="C33" s="13">
        <f>'2022'!An_max</f>
        <v>2021</v>
      </c>
      <c r="D33" s="1062">
        <f t="shared" si="7"/>
        <v>1.0171156758545088</v>
      </c>
      <c r="E33" s="1057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53">
        <f t="shared" si="9"/>
        <v>0.21428571428571427</v>
      </c>
      <c r="J33" s="746">
        <f t="shared" si="27"/>
        <v>29.961390003242663</v>
      </c>
      <c r="L33" s="755" t="s">
        <v>213</v>
      </c>
      <c r="M33" s="780">
        <f t="shared" ref="M33:AA33" si="40">M29</f>
        <v>250.41</v>
      </c>
      <c r="N33" s="743">
        <f t="shared" si="40"/>
        <v>272.01400000000001</v>
      </c>
      <c r="O33" s="743">
        <f t="shared" si="40"/>
        <v>355.48399999999998</v>
      </c>
      <c r="P33" s="743">
        <f t="shared" si="40"/>
        <v>454.666</v>
      </c>
      <c r="Q33" s="743">
        <f t="shared" si="40"/>
        <v>554.83000000000004</v>
      </c>
      <c r="R33" s="743">
        <f t="shared" si="40"/>
        <v>616.69600000000003</v>
      </c>
      <c r="S33" s="743">
        <f t="shared" si="40"/>
        <v>637.31799999999998</v>
      </c>
      <c r="T33" s="743">
        <f t="shared" si="40"/>
        <v>627.49799999999993</v>
      </c>
      <c r="U33" s="743">
        <f t="shared" si="40"/>
        <v>598.03800000000001</v>
      </c>
      <c r="V33" s="743">
        <f t="shared" si="40"/>
        <v>555.81200000000001</v>
      </c>
      <c r="W33" s="743">
        <f t="shared" si="40"/>
        <v>491</v>
      </c>
      <c r="X33" s="743">
        <f t="shared" si="40"/>
        <v>398.69200000000001</v>
      </c>
      <c r="Y33" s="743">
        <f t="shared" si="40"/>
        <v>310.31200000000001</v>
      </c>
      <c r="Z33" s="778">
        <f t="shared" si="40"/>
        <v>250.41</v>
      </c>
      <c r="AA33" s="776">
        <f t="shared" si="40"/>
        <v>272.01400000000001</v>
      </c>
      <c r="AO33" s="1055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53">
        <f t="shared" si="14"/>
        <v>0.6071428571428571</v>
      </c>
      <c r="AT33" s="769">
        <f t="shared" si="15"/>
        <v>29.961564566048661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53">
        <f t="shared" si="19"/>
        <v>0.89655172413793105</v>
      </c>
      <c r="AY33" s="769">
        <f t="shared" si="20"/>
        <v>30.001051685419576</v>
      </c>
      <c r="AZ33" s="746">
        <f t="shared" si="26"/>
        <v>29.981308125734117</v>
      </c>
      <c r="BA33" s="643">
        <f t="shared" si="21"/>
        <v>1.0171156758545088</v>
      </c>
      <c r="BC33" s="11">
        <v>43119</v>
      </c>
      <c r="BD33" s="290">
        <f>[2]!FeuilCaduc*(1-Persistant)+Persistant</f>
        <v>0.60068923385957229</v>
      </c>
      <c r="BE33" s="291">
        <f>[2]!CroissVégét</f>
        <v>1.5257359314074395E-3</v>
      </c>
      <c r="BF33" s="816">
        <f>1+[2]!Salcycl*Ksac</f>
        <v>1.0000861542324466</v>
      </c>
      <c r="BH33" s="1053">
        <f t="shared" si="22"/>
        <v>2.1367185194532904E-3</v>
      </c>
      <c r="BI33" s="11">
        <v>44215</v>
      </c>
      <c r="BJ33" s="726">
        <v>4.8985600351452308E-4</v>
      </c>
      <c r="BK33" s="726">
        <v>8.6604556268585588E-4</v>
      </c>
      <c r="BL33" s="726">
        <v>1.3936787592755222E-3</v>
      </c>
      <c r="BM33" s="726">
        <v>2.1386634429302184E-3</v>
      </c>
      <c r="BN33" s="726">
        <v>3.1784443030025054E-3</v>
      </c>
      <c r="BO33" s="727">
        <v>4.8929657630858818E-3</v>
      </c>
      <c r="BP33" s="726">
        <v>7.174548042378724E-3</v>
      </c>
      <c r="BQ33" s="726">
        <v>1.0318359736971086E-2</v>
      </c>
      <c r="BR33" s="726">
        <v>1.3898055014866755E-2</v>
      </c>
      <c r="BS33" s="726">
        <v>1.8290420377567021E-2</v>
      </c>
      <c r="BT33" s="726">
        <v>2.3081553690761262E-2</v>
      </c>
      <c r="BW33" s="1186">
        <f>'2018'!R\Max</f>
        <v>0</v>
      </c>
      <c r="BX33" s="1184">
        <f>'2019'!R\Max</f>
        <v>0.57143561428112322</v>
      </c>
      <c r="BY33" s="1184">
        <f>'2020'!R\Max</f>
        <v>0.96615898976648318</v>
      </c>
      <c r="BZ33" s="1184">
        <f>'2021'!R\Max</f>
        <v>1.0171156758545088</v>
      </c>
      <c r="CA33" s="1184">
        <f>'2022'!R\Max</f>
        <v>0.37770240000387884</v>
      </c>
      <c r="CB33" s="1184">
        <f>'2023'!R\Max</f>
        <v>0.37766786784171391</v>
      </c>
      <c r="CC33" s="1184">
        <f>'2024'!R\Max</f>
        <v>0.37763330313665983</v>
      </c>
      <c r="CD33" s="1184">
        <f>'2025'!R\Max</f>
        <v>0.37758572312704491</v>
      </c>
      <c r="CE33" s="1184">
        <f>'2026'!R\Max</f>
        <v>0.37777084575695213</v>
      </c>
      <c r="CF33" s="1185">
        <f>'2027'!R\Max</f>
        <v>0.37775509482564773</v>
      </c>
    </row>
    <row r="34" spans="1:84" s="6" customFormat="1" ht="11.25" x14ac:dyDescent="0.2">
      <c r="A34" s="11">
        <v>43120</v>
      </c>
      <c r="B34" s="380">
        <f>'2022'!Maxi_hp</f>
        <v>12.344744575403277</v>
      </c>
      <c r="C34" s="13">
        <f>'2022'!An_max</f>
        <v>2020</v>
      </c>
      <c r="D34" s="1062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53">
        <f t="shared" si="9"/>
        <v>0.14285714285714285</v>
      </c>
      <c r="J34" s="746">
        <f t="shared" si="27"/>
        <v>30.247722550162244</v>
      </c>
      <c r="L34" s="755" t="s">
        <v>214</v>
      </c>
      <c r="M34" s="782">
        <f t="shared" ref="M34:AA34" si="41">N28</f>
        <v>43108</v>
      </c>
      <c r="N34" s="738">
        <f t="shared" si="41"/>
        <v>43136</v>
      </c>
      <c r="O34" s="738">
        <f t="shared" si="41"/>
        <v>43164</v>
      </c>
      <c r="P34" s="738">
        <f t="shared" si="41"/>
        <v>43192</v>
      </c>
      <c r="Q34" s="738">
        <f t="shared" si="41"/>
        <v>43220</v>
      </c>
      <c r="R34" s="738">
        <f t="shared" si="41"/>
        <v>43248</v>
      </c>
      <c r="S34" s="738">
        <f t="shared" si="41"/>
        <v>43276</v>
      </c>
      <c r="T34" s="738">
        <f t="shared" si="41"/>
        <v>43304</v>
      </c>
      <c r="U34" s="738">
        <f t="shared" si="41"/>
        <v>43332</v>
      </c>
      <c r="V34" s="738">
        <f t="shared" si="41"/>
        <v>43360</v>
      </c>
      <c r="W34" s="738">
        <f t="shared" si="41"/>
        <v>43388</v>
      </c>
      <c r="X34" s="738">
        <f t="shared" si="41"/>
        <v>43416</v>
      </c>
      <c r="Y34" s="738">
        <f t="shared" si="41"/>
        <v>43444</v>
      </c>
      <c r="Z34" s="788">
        <f t="shared" si="41"/>
        <v>43473</v>
      </c>
      <c r="AA34" s="786">
        <f t="shared" si="41"/>
        <v>43501</v>
      </c>
      <c r="AO34" s="1055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53">
        <f t="shared" si="14"/>
        <v>0.5714285714285714</v>
      </c>
      <c r="AT34" s="769">
        <f t="shared" si="15"/>
        <v>30.265823715712344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53">
        <f t="shared" si="19"/>
        <v>0.93103448275862066</v>
      </c>
      <c r="AY34" s="769">
        <f t="shared" si="20"/>
        <v>30.279665311477309</v>
      </c>
      <c r="AZ34" s="746">
        <f t="shared" si="26"/>
        <v>30.272744513594827</v>
      </c>
      <c r="BA34" s="643">
        <f t="shared" si="21"/>
        <v>0.40812145624950735</v>
      </c>
      <c r="BC34" s="11">
        <v>43120</v>
      </c>
      <c r="BD34" s="290">
        <f>[2]!FeuilCaduc*(1-Persistant)+Persistant</f>
        <v>0.60056800106036667</v>
      </c>
      <c r="BE34" s="291">
        <f>[2]!CroissVégét</f>
        <v>1.6477858914927391E-3</v>
      </c>
      <c r="BF34" s="816">
        <f>1+[2]!Salcycl*Ksac</f>
        <v>1.0000710001325459</v>
      </c>
      <c r="BH34" s="1053">
        <f t="shared" si="22"/>
        <v>2.1063864254335829E-3</v>
      </c>
      <c r="BI34" s="11">
        <v>44216</v>
      </c>
      <c r="BJ34" s="726">
        <v>4.8579244038545995E-4</v>
      </c>
      <c r="BK34" s="726">
        <v>8.6097266356373022E-4</v>
      </c>
      <c r="BL34" s="726">
        <v>1.3816589858363026E-3</v>
      </c>
      <c r="BM34" s="726">
        <v>2.1082834159947736E-3</v>
      </c>
      <c r="BN34" s="726">
        <v>3.1163470978000174E-3</v>
      </c>
      <c r="BO34" s="727">
        <v>4.7884458877162518E-3</v>
      </c>
      <c r="BP34" s="726">
        <v>7.0232756872084983E-3</v>
      </c>
      <c r="BQ34" s="726">
        <v>1.0167630304771681E-2</v>
      </c>
      <c r="BR34" s="726">
        <v>1.3774203782227443E-2</v>
      </c>
      <c r="BS34" s="726">
        <v>1.8212518614566634E-2</v>
      </c>
      <c r="BT34" s="726">
        <v>2.3020202499720713E-2</v>
      </c>
      <c r="BW34" s="1186">
        <f>'2018'!R\Max</f>
        <v>0</v>
      </c>
      <c r="BX34" s="1184">
        <f>'2019'!R\Max</f>
        <v>0.26140000471272734</v>
      </c>
      <c r="BY34" s="1184">
        <f>'2020'!R\Max</f>
        <v>0.40812145624950735</v>
      </c>
      <c r="BZ34" s="1184">
        <f>'2021'!R\Max</f>
        <v>0.23175920527910882</v>
      </c>
      <c r="CA34" s="1184">
        <f>'2022'!R\Max</f>
        <v>0.23536410152400106</v>
      </c>
      <c r="CB34" s="1184">
        <f>'2023'!R\Max</f>
        <v>0.23534061874079121</v>
      </c>
      <c r="CC34" s="1184">
        <f>'2024'!R\Max</f>
        <v>0.23531711480431314</v>
      </c>
      <c r="CD34" s="1184">
        <f>'2025'!R\Max</f>
        <v>0.23528407949346103</v>
      </c>
      <c r="CE34" s="1184">
        <f>'2026'!R\Max</f>
        <v>0.23541037959078076</v>
      </c>
      <c r="CF34" s="1185">
        <f>'2027'!R\Max</f>
        <v>0.235399777680627</v>
      </c>
    </row>
    <row r="35" spans="1:84" s="6" customFormat="1" ht="11.25" x14ac:dyDescent="0.2">
      <c r="A35" s="11">
        <v>43121</v>
      </c>
      <c r="B35" s="380">
        <f>'2022'!Maxi_hp</f>
        <v>22.745493436016041</v>
      </c>
      <c r="C35" s="13">
        <f>'2022'!An_max</f>
        <v>2022</v>
      </c>
      <c r="D35" s="1062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53">
        <f t="shared" si="9"/>
        <v>7.1428571428571425E-2</v>
      </c>
      <c r="J35" s="746">
        <f t="shared" si="27"/>
        <v>30.538937782070469</v>
      </c>
      <c r="L35" s="755" t="s">
        <v>215</v>
      </c>
      <c r="M35" s="783">
        <f t="shared" ref="M35:AA35" si="42">N29</f>
        <v>272.01400000000001</v>
      </c>
      <c r="N35" s="743">
        <f t="shared" si="42"/>
        <v>355.48399999999998</v>
      </c>
      <c r="O35" s="743">
        <f t="shared" si="42"/>
        <v>454.666</v>
      </c>
      <c r="P35" s="743">
        <f t="shared" si="42"/>
        <v>554.83000000000004</v>
      </c>
      <c r="Q35" s="743">
        <f t="shared" si="42"/>
        <v>616.69600000000003</v>
      </c>
      <c r="R35" s="743">
        <f t="shared" si="42"/>
        <v>637.31799999999998</v>
      </c>
      <c r="S35" s="743">
        <f t="shared" si="42"/>
        <v>627.49799999999993</v>
      </c>
      <c r="T35" s="743">
        <f t="shared" si="42"/>
        <v>598.03800000000001</v>
      </c>
      <c r="U35" s="743">
        <f t="shared" si="42"/>
        <v>555.81200000000001</v>
      </c>
      <c r="V35" s="743">
        <f t="shared" si="42"/>
        <v>491</v>
      </c>
      <c r="W35" s="743">
        <f t="shared" si="42"/>
        <v>398.69200000000001</v>
      </c>
      <c r="X35" s="743">
        <f t="shared" si="42"/>
        <v>310.31200000000001</v>
      </c>
      <c r="Y35" s="743">
        <f t="shared" si="42"/>
        <v>250.41</v>
      </c>
      <c r="Z35" s="789">
        <f t="shared" si="42"/>
        <v>272.01400000000001</v>
      </c>
      <c r="AA35" s="776">
        <f t="shared" si="42"/>
        <v>355.48399999999998</v>
      </c>
      <c r="AO35" s="1055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53">
        <f t="shared" si="14"/>
        <v>0.5357142857142857</v>
      </c>
      <c r="AT35" s="769">
        <f t="shared" si="15"/>
        <v>30.576259733869563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53">
        <f t="shared" si="19"/>
        <v>0.96551724137931039</v>
      </c>
      <c r="AY35" s="769">
        <f t="shared" si="20"/>
        <v>30.557800900627832</v>
      </c>
      <c r="AZ35" s="746">
        <f t="shared" si="26"/>
        <v>30.567030317248697</v>
      </c>
      <c r="BA35" s="643">
        <f t="shared" si="21"/>
        <v>0.74480303140635129</v>
      </c>
      <c r="BC35" s="11">
        <v>43121</v>
      </c>
      <c r="BD35" s="290">
        <f>[2]!FeuilCaduc*(1-Persistant)+Persistant</f>
        <v>0.60045771504746426</v>
      </c>
      <c r="BE35" s="291">
        <f>[2]!CroissVégét</f>
        <v>1.7749243659651206E-3</v>
      </c>
      <c r="BF35" s="816">
        <f>1+[2]!Salcycl*Ksac</f>
        <v>1.000057214380933</v>
      </c>
      <c r="BH35" s="1053">
        <f t="shared" si="22"/>
        <v>2.0759277408244855E-3</v>
      </c>
      <c r="BI35" s="11">
        <v>44217</v>
      </c>
      <c r="BJ35" s="726">
        <v>4.8156553008673085E-4</v>
      </c>
      <c r="BK35" s="726">
        <v>8.5610076200668826E-4</v>
      </c>
      <c r="BL35" s="726">
        <v>1.3698149905655239E-3</v>
      </c>
      <c r="BM35" s="726">
        <v>2.0777760070128364E-3</v>
      </c>
      <c r="BN35" s="726">
        <v>3.0528362568856262E-3</v>
      </c>
      <c r="BO35" s="727">
        <v>4.6803853523256517E-3</v>
      </c>
      <c r="BP35" s="726">
        <v>6.8641679967954084E-3</v>
      </c>
      <c r="BQ35" s="726">
        <v>1.0005641865551591E-2</v>
      </c>
      <c r="BR35" s="726">
        <v>1.3637396229673991E-2</v>
      </c>
      <c r="BS35" s="726">
        <v>1.8124759881399919E-2</v>
      </c>
      <c r="BT35" s="726">
        <v>2.2954349731782672E-2</v>
      </c>
      <c r="BW35" s="1186">
        <f>'2018'!R\Max</f>
        <v>0</v>
      </c>
      <c r="BX35" s="1184">
        <f>'2019'!R\Max</f>
        <v>0.24382115055059117</v>
      </c>
      <c r="BY35" s="1184">
        <f>'2020'!R\Max</f>
        <v>0.11778898292036648</v>
      </c>
      <c r="BZ35" s="1184">
        <f>'2021'!R\Max</f>
        <v>0.44452067418846458</v>
      </c>
      <c r="CA35" s="1184">
        <f>'2022'!R\Max</f>
        <v>0.74480303140635129</v>
      </c>
      <c r="CB35" s="1184">
        <f>'2023'!R\Max</f>
        <v>0.7447768169066219</v>
      </c>
      <c r="CC35" s="1184">
        <f>'2024'!R\Max</f>
        <v>0.74475057614883122</v>
      </c>
      <c r="CD35" s="1184">
        <f>'2025'!R\Max</f>
        <v>0.74471286161418337</v>
      </c>
      <c r="CE35" s="1184">
        <f>'2026'!R\Max</f>
        <v>0.7448544046986082</v>
      </c>
      <c r="CF35" s="1185">
        <f>'2027'!R\Max</f>
        <v>0.74484269283756877</v>
      </c>
    </row>
    <row r="36" spans="1:84" s="6" customFormat="1" ht="11.25" x14ac:dyDescent="0.2">
      <c r="A36" s="11">
        <v>43122</v>
      </c>
      <c r="B36" s="380">
        <f>'2022'!Maxi_hp</f>
        <v>30.694958235093285</v>
      </c>
      <c r="C36" s="13">
        <f>'2022'!An_max</f>
        <v>2022</v>
      </c>
      <c r="D36" s="1062">
        <f t="shared" si="7"/>
        <v>0.99546480714479813</v>
      </c>
      <c r="E36" s="1057">
        <f>O$13/10</f>
        <v>30.834800000000001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53">
        <f t="shared" si="9"/>
        <v>0</v>
      </c>
      <c r="J36" s="746">
        <f t="shared" si="27"/>
        <v>30.834799999743701</v>
      </c>
      <c r="L36" s="756" t="s">
        <v>216</v>
      </c>
      <c r="M36" s="740">
        <f t="shared" ref="M36:AA36" si="43">x.1lg*x.1lg-x.2lg*x.2lg</f>
        <v>-2411640</v>
      </c>
      <c r="N36" s="740">
        <f t="shared" si="43"/>
        <v>-2499423</v>
      </c>
      <c r="O36" s="740">
        <f t="shared" si="43"/>
        <v>-2414832</v>
      </c>
      <c r="P36" s="740">
        <f t="shared" si="43"/>
        <v>-2416400</v>
      </c>
      <c r="Q36" s="740">
        <f t="shared" si="43"/>
        <v>-2417968</v>
      </c>
      <c r="R36" s="740">
        <f t="shared" si="43"/>
        <v>-2419536</v>
      </c>
      <c r="S36" s="740">
        <f t="shared" si="43"/>
        <v>-2421104</v>
      </c>
      <c r="T36" s="740">
        <f t="shared" si="43"/>
        <v>-2422672</v>
      </c>
      <c r="U36" s="740">
        <f t="shared" si="43"/>
        <v>-2424240</v>
      </c>
      <c r="V36" s="740">
        <f t="shared" si="43"/>
        <v>-2425808</v>
      </c>
      <c r="W36" s="740">
        <f t="shared" si="43"/>
        <v>-2427376</v>
      </c>
      <c r="X36" s="740">
        <f t="shared" si="43"/>
        <v>-2428944</v>
      </c>
      <c r="Y36" s="740">
        <f t="shared" si="43"/>
        <v>-2430512</v>
      </c>
      <c r="Z36" s="740">
        <f t="shared" si="43"/>
        <v>-2432080</v>
      </c>
      <c r="AA36" s="740">
        <f t="shared" si="43"/>
        <v>-2520593</v>
      </c>
      <c r="AO36" s="1055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53">
        <f t="shared" si="14"/>
        <v>0.5</v>
      </c>
      <c r="AT36" s="769">
        <f t="shared" si="15"/>
        <v>30.892246703244744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53">
        <f t="shared" si="19"/>
        <v>1</v>
      </c>
      <c r="AY36" s="769">
        <f t="shared" si="20"/>
        <v>30.834799999743701</v>
      </c>
      <c r="AZ36" s="746">
        <f t="shared" si="26"/>
        <v>30.863523351494223</v>
      </c>
      <c r="BA36" s="643">
        <f t="shared" si="21"/>
        <v>0.99546480714479813</v>
      </c>
      <c r="BC36" s="11">
        <v>43122</v>
      </c>
      <c r="BD36" s="290">
        <f>[2]!FeuilCaduc*(1-Persistant)+Persistant</f>
        <v>0.60035874832137592</v>
      </c>
      <c r="BE36" s="291">
        <f>[2]!CroissVégét</f>
        <v>1.9073621235293117E-3</v>
      </c>
      <c r="BF36" s="816">
        <f>1+[2]!Salcycl*Ksac</f>
        <v>1.0000448435401721</v>
      </c>
      <c r="BH36" s="1053">
        <f t="shared" si="22"/>
        <v>2.0453473937470197E-3</v>
      </c>
      <c r="BI36" s="11">
        <v>44218</v>
      </c>
      <c r="BJ36" s="726">
        <v>4.7717613005064473E-4</v>
      </c>
      <c r="BK36" s="726">
        <v>8.5143142691123026E-4</v>
      </c>
      <c r="BL36" s="726">
        <v>1.3581495215080231E-3</v>
      </c>
      <c r="BM36" s="726">
        <v>2.0471461498118267E-3</v>
      </c>
      <c r="BN36" s="726">
        <v>2.9879198476266927E-3</v>
      </c>
      <c r="BO36" s="727">
        <v>4.5687966546195408E-3</v>
      </c>
      <c r="BP36" s="726">
        <v>6.6972420160118984E-3</v>
      </c>
      <c r="BQ36" s="726">
        <v>9.8324139705064199E-3</v>
      </c>
      <c r="BR36" s="726">
        <v>1.3487653753860934E-2</v>
      </c>
      <c r="BS36" s="726">
        <v>1.8027169096053355E-2</v>
      </c>
      <c r="BT36" s="726">
        <v>2.2884027487171263E-2</v>
      </c>
      <c r="BW36" s="1186">
        <f>'2018'!R\Max</f>
        <v>0</v>
      </c>
      <c r="BX36" s="1184">
        <f>'2019'!R\Max</f>
        <v>0.3820349682239777</v>
      </c>
      <c r="BY36" s="1184">
        <f>'2020'!R\Max</f>
        <v>4.2205459470827288E-2</v>
      </c>
      <c r="BZ36" s="1184">
        <f>'2021'!R\Max</f>
        <v>0.20985541435284147</v>
      </c>
      <c r="CA36" s="1184">
        <f>'2022'!R\Max</f>
        <v>0.99546480714479813</v>
      </c>
      <c r="CB36" s="1184">
        <f>'2023'!R\Max</f>
        <v>0.99546420616090336</v>
      </c>
      <c r="CC36" s="1184">
        <f>'2024'!R\Max</f>
        <v>0.99546360455265237</v>
      </c>
      <c r="CD36" s="1184">
        <f>'2025'!R\Max</f>
        <v>0.99546271913212869</v>
      </c>
      <c r="CE36" s="1184">
        <f>'2026'!R\Max</f>
        <v>0.99546597888261523</v>
      </c>
      <c r="CF36" s="1185">
        <f>'2027'!R\Max</f>
        <v>0.9954657131304866</v>
      </c>
    </row>
    <row r="37" spans="1:84" s="6" customFormat="1" ht="11.25" x14ac:dyDescent="0.2">
      <c r="A37" s="11">
        <v>43123</v>
      </c>
      <c r="B37" s="380">
        <f>'2022'!Maxi_hp</f>
        <v>30.768234513818296</v>
      </c>
      <c r="C37" s="13">
        <f>'2022'!An_max</f>
        <v>2022</v>
      </c>
      <c r="D37" s="1062">
        <f t="shared" si="7"/>
        <v>0.98812529582591346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53">
        <f t="shared" si="9"/>
        <v>7.1428571428571425E-2</v>
      </c>
      <c r="J37" s="746">
        <f>((1-I37)*(INDEX(a.m,F37)*$A37*$A37+INDEX(b.m,F37)*$A37+INDEX(c.m,F37))+I37*(INDEX(a.m,G37)*$A37*$A37+INDEX(b.m,G37)*$A37+INDEX(c.m,G37)))/10</f>
        <v>31.137988920829127</v>
      </c>
      <c r="L37" s="756" t="s">
        <v>217</v>
      </c>
      <c r="M37" s="740">
        <f t="shared" ref="M37:AA37" si="44">x.2lg*x.2lg-x.3lg*x.3lg</f>
        <v>-2499423</v>
      </c>
      <c r="N37" s="740">
        <f t="shared" si="44"/>
        <v>-2414832</v>
      </c>
      <c r="O37" s="740">
        <f t="shared" si="44"/>
        <v>-2416400</v>
      </c>
      <c r="P37" s="740">
        <f t="shared" si="44"/>
        <v>-2417968</v>
      </c>
      <c r="Q37" s="740">
        <f t="shared" si="44"/>
        <v>-2419536</v>
      </c>
      <c r="R37" s="740">
        <f t="shared" si="44"/>
        <v>-2421104</v>
      </c>
      <c r="S37" s="740">
        <f t="shared" si="44"/>
        <v>-2422672</v>
      </c>
      <c r="T37" s="740">
        <f t="shared" si="44"/>
        <v>-2424240</v>
      </c>
      <c r="U37" s="740">
        <f t="shared" si="44"/>
        <v>-2425808</v>
      </c>
      <c r="V37" s="740">
        <f t="shared" si="44"/>
        <v>-2427376</v>
      </c>
      <c r="W37" s="740">
        <f t="shared" si="44"/>
        <v>-2428944</v>
      </c>
      <c r="X37" s="740">
        <f t="shared" si="44"/>
        <v>-2430512</v>
      </c>
      <c r="Y37" s="740">
        <f t="shared" si="44"/>
        <v>-2432080</v>
      </c>
      <c r="Z37" s="740">
        <f t="shared" si="44"/>
        <v>-2520593</v>
      </c>
      <c r="AA37" s="740">
        <f t="shared" si="44"/>
        <v>-2435272</v>
      </c>
      <c r="AO37" s="1055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53">
        <f t="shared" si="14"/>
        <v>0.4642857142857143</v>
      </c>
      <c r="AT37" s="769">
        <f t="shared" si="15"/>
        <v>31.213158707240858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53">
        <f t="shared" si="19"/>
        <v>0.9642857142857143</v>
      </c>
      <c r="AY37" s="769">
        <f t="shared" si="20"/>
        <v>31.115077130499827</v>
      </c>
      <c r="AZ37" s="746">
        <f t="shared" si="26"/>
        <v>31.164117918870343</v>
      </c>
      <c r="BA37" s="643">
        <f t="shared" si="21"/>
        <v>0.98812529582591346</v>
      </c>
      <c r="BC37" s="11">
        <v>43123</v>
      </c>
      <c r="BD37" s="290">
        <f>[2]!FeuilCaduc*(1-Persistant)+Persistant</f>
        <v>0.60027144846244596</v>
      </c>
      <c r="BE37" s="291">
        <f>[2]!CroissVégét</f>
        <v>2.045318545083899E-3</v>
      </c>
      <c r="BF37" s="816">
        <f>1+[2]!Salcycl*Ksac</f>
        <v>1.0000339310578057</v>
      </c>
      <c r="BH37" s="1053">
        <f t="shared" si="22"/>
        <v>2.0146501670739664E-3</v>
      </c>
      <c r="BI37" s="11">
        <v>44219</v>
      </c>
      <c r="BJ37" s="726">
        <v>4.7262509792610143E-4</v>
      </c>
      <c r="BK37" s="726">
        <v>8.4696616924832217E-4</v>
      </c>
      <c r="BL37" s="726">
        <v>1.3466652348093884E-3</v>
      </c>
      <c r="BM37" s="726">
        <v>2.016398632831283E-3</v>
      </c>
      <c r="BN37" s="726">
        <v>2.9216058081258777E-3</v>
      </c>
      <c r="BO37" s="727">
        <v>4.4536922403716119E-3</v>
      </c>
      <c r="BP37" s="726">
        <v>6.5225150958984901E-3</v>
      </c>
      <c r="BQ37" s="726">
        <v>9.6479669473680512E-3</v>
      </c>
      <c r="BR37" s="726">
        <v>1.3324998886253254E-2</v>
      </c>
      <c r="BS37" s="726">
        <v>1.7919772086704477E-2</v>
      </c>
      <c r="BT37" s="726">
        <v>2.2809268083637563E-2</v>
      </c>
      <c r="BW37" s="1186">
        <f>'2018'!R\Max</f>
        <v>0</v>
      </c>
      <c r="BX37" s="1184">
        <f>'2019'!R\Max</f>
        <v>0.34102158121469367</v>
      </c>
      <c r="BY37" s="1184">
        <f>'2020'!R\Max</f>
        <v>0.41395322592003864</v>
      </c>
      <c r="BZ37" s="1184">
        <f>'2021'!R\Max</f>
        <v>0.27183781793986378</v>
      </c>
      <c r="CA37" s="1184">
        <f>'2022'!R\Max</f>
        <v>0.98812529582591346</v>
      </c>
      <c r="CB37" s="1184">
        <f>'2023'!R\Max</f>
        <v>0.98812379257200678</v>
      </c>
      <c r="CC37" s="1184">
        <f>'2024'!R\Max</f>
        <v>0.98812228781273115</v>
      </c>
      <c r="CD37" s="1184">
        <f>'2025'!R\Max</f>
        <v>0.98812001645261593</v>
      </c>
      <c r="CE37" s="1184">
        <f>'2026'!R\Max</f>
        <v>0.98812821314122778</v>
      </c>
      <c r="CF37" s="1185">
        <f>'2027'!R\Max</f>
        <v>0.98812755511236439</v>
      </c>
    </row>
    <row r="38" spans="1:84" s="6" customFormat="1" ht="11.25" x14ac:dyDescent="0.2">
      <c r="A38" s="11">
        <v>43124</v>
      </c>
      <c r="B38" s="380">
        <f>'2022'!Maxi_hp</f>
        <v>31.46244680579083</v>
      </c>
      <c r="C38" s="13">
        <f>'2022'!An_max</f>
        <v>2022</v>
      </c>
      <c r="D38" s="1062">
        <f t="shared" si="7"/>
        <v>1.0003758637461395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53">
        <f t="shared" si="9"/>
        <v>0.14285714285714285</v>
      </c>
      <c r="J38" s="746">
        <f t="shared" si="27"/>
        <v>31.450625655813404</v>
      </c>
      <c r="L38" s="756" t="s">
        <v>218</v>
      </c>
      <c r="M38" s="740">
        <f t="shared" ref="M38:AA38" si="45">(y.1lg-y.2lg-b.lg*(x.1lg-x.2lg))/D2x12Lg</f>
        <v>5.0602151931548899E-2</v>
      </c>
      <c r="N38" s="740">
        <f t="shared" si="45"/>
        <v>3.9229928268951844E-2</v>
      </c>
      <c r="O38" s="740">
        <f t="shared" si="45"/>
        <v>1.0020408163263866E-2</v>
      </c>
      <c r="P38" s="740">
        <f t="shared" si="45"/>
        <v>6.2627551020410924E-4</v>
      </c>
      <c r="Q38" s="740">
        <f t="shared" si="45"/>
        <v>-2.4424744897962165E-2</v>
      </c>
      <c r="R38" s="740">
        <f t="shared" si="45"/>
        <v>-2.6303571428569643E-2</v>
      </c>
      <c r="S38" s="740">
        <f t="shared" si="45"/>
        <v>-1.9414540816326889E-2</v>
      </c>
      <c r="T38" s="740">
        <f t="shared" si="45"/>
        <v>-1.2525510204082135E-2</v>
      </c>
      <c r="U38" s="740">
        <f t="shared" si="45"/>
        <v>-8.1415816326541948E-3</v>
      </c>
      <c r="V38" s="740">
        <f t="shared" si="45"/>
        <v>-1.4404336734696006E-2</v>
      </c>
      <c r="W38" s="740">
        <f t="shared" si="45"/>
        <v>-1.7535714285714928E-2</v>
      </c>
      <c r="X38" s="740">
        <f t="shared" si="45"/>
        <v>2.5051020408167418E-3</v>
      </c>
      <c r="Y38" s="740">
        <f t="shared" si="45"/>
        <v>1.816198979591668E-2</v>
      </c>
      <c r="Z38" s="740">
        <f t="shared" si="45"/>
        <v>5.0602151931558169E-2</v>
      </c>
      <c r="AA38" s="740">
        <f t="shared" si="45"/>
        <v>3.9229928268944787E-2</v>
      </c>
      <c r="AO38" s="1055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53">
        <f t="shared" si="14"/>
        <v>0.42857142857142855</v>
      </c>
      <c r="AT38" s="769">
        <f t="shared" si="15"/>
        <v>31.538369826120988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53">
        <f t="shared" si="19"/>
        <v>0.9285714285714286</v>
      </c>
      <c r="AY38" s="769">
        <f t="shared" si="20"/>
        <v>31.403221973903214</v>
      </c>
      <c r="AZ38" s="746">
        <f t="shared" si="26"/>
        <v>31.470795900012099</v>
      </c>
      <c r="BA38" s="643">
        <f t="shared" si="21"/>
        <v>1.0003758637461395</v>
      </c>
      <c r="BC38" s="11">
        <v>43124</v>
      </c>
      <c r="BD38" s="290">
        <f>[2]!FeuilCaduc*(1-Persistant)+Persistant</f>
        <v>0.60019612565608527</v>
      </c>
      <c r="BE38" s="291">
        <f>[2]!CroissVégét</f>
        <v>2.1890219655428525E-3</v>
      </c>
      <c r="BF38" s="816">
        <f>1+[2]!Salcycl*Ksac</f>
        <v>1.0000245157070107</v>
      </c>
      <c r="BH38" s="1053">
        <f t="shared" si="22"/>
        <v>1.9840849651784967E-3</v>
      </c>
      <c r="BI38" s="11">
        <v>44220</v>
      </c>
      <c r="BJ38" s="726">
        <v>4.6843846084154874E-4</v>
      </c>
      <c r="BK38" s="726">
        <v>8.4287805372655167E-4</v>
      </c>
      <c r="BL38" s="726">
        <v>1.3353442541271128E-3</v>
      </c>
      <c r="BM38" s="726">
        <v>1.9857830587489689E-3</v>
      </c>
      <c r="BN38" s="726">
        <v>2.8551805250508541E-3</v>
      </c>
      <c r="BO38" s="727">
        <v>4.337774050753097E-3</v>
      </c>
      <c r="BP38" s="726">
        <v>6.3443103153847684E-3</v>
      </c>
      <c r="BQ38" s="726">
        <v>9.4530789510510419E-3</v>
      </c>
      <c r="BR38" s="726">
        <v>1.3145975851819168E-2</v>
      </c>
      <c r="BS38" s="726">
        <v>1.7795927379437096E-2</v>
      </c>
      <c r="BT38" s="726">
        <v>2.272650885633452E-2</v>
      </c>
      <c r="BW38" s="1186">
        <f>'2018'!R\Max</f>
        <v>0</v>
      </c>
      <c r="BX38" s="1184">
        <f>'2019'!R\Max</f>
        <v>0.35663519742131805</v>
      </c>
      <c r="BY38" s="1184">
        <f>'2020'!R\Max</f>
        <v>0.52343548540821705</v>
      </c>
      <c r="BZ38" s="1184">
        <f>'2021'!R\Max</f>
        <v>0.51190401311206102</v>
      </c>
      <c r="CA38" s="1184">
        <f>'2022'!R\Max</f>
        <v>1.0003758637461395</v>
      </c>
      <c r="CB38" s="1184">
        <f>'2023'!R\Max</f>
        <v>1.0003758637461395</v>
      </c>
      <c r="CC38" s="1184">
        <f>'2024'!R\Max</f>
        <v>1.0003758637461393</v>
      </c>
      <c r="CD38" s="1184">
        <f>'2025'!R\Max</f>
        <v>1.0003758637461393</v>
      </c>
      <c r="CE38" s="1184">
        <f>'2026'!R\Max</f>
        <v>1.0003758637461395</v>
      </c>
      <c r="CF38" s="1185">
        <f>'2027'!R\Max</f>
        <v>1.0003758637461395</v>
      </c>
    </row>
    <row r="39" spans="1:84" s="6" customFormat="1" ht="11.25" x14ac:dyDescent="0.2">
      <c r="A39" s="11">
        <v>43125</v>
      </c>
      <c r="B39" s="380">
        <f>'2022'!Maxi_hp</f>
        <v>29.965963471414504</v>
      </c>
      <c r="C39" s="13">
        <f>'2022'!An_max</f>
        <v>2022</v>
      </c>
      <c r="D39" s="1062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53">
        <f t="shared" si="9"/>
        <v>0.21428571428571427</v>
      </c>
      <c r="J39" s="746">
        <f t="shared" si="27"/>
        <v>31.771636589430273</v>
      </c>
      <c r="L39" s="756" t="s">
        <v>219</v>
      </c>
      <c r="M39" s="740">
        <f t="shared" ref="M39:AA39" si="46">(y.2lg-y.3lg-(y.1lg-y.2lg)*D2x23Lg/D2x12Lg)/(x.2lg-x.3lg)/(1-(x.2lg+x.3lg)/(x.1lg+x.2lg))</f>
        <v>-4360.5027030071642</v>
      </c>
      <c r="N39" s="740">
        <f t="shared" si="46"/>
        <v>-3380.3648621989109</v>
      </c>
      <c r="O39" s="740">
        <f t="shared" si="46"/>
        <v>-861.2190102039574</v>
      </c>
      <c r="P39" s="740">
        <f t="shared" si="46"/>
        <v>-50.50536224490034</v>
      </c>
      <c r="Q39" s="740">
        <f t="shared" si="46"/>
        <v>2112.8005561227064</v>
      </c>
      <c r="R39" s="740">
        <f t="shared" si="46"/>
        <v>2275.15371428556</v>
      </c>
      <c r="S39" s="740">
        <f t="shared" si="46"/>
        <v>1679.4730153061537</v>
      </c>
      <c r="T39" s="740">
        <f t="shared" si="46"/>
        <v>1083.4065306122884</v>
      </c>
      <c r="U39" s="740">
        <f t="shared" si="46"/>
        <v>703.84599489805737</v>
      </c>
      <c r="V39" s="740">
        <f t="shared" si="46"/>
        <v>1246.4260459185516</v>
      </c>
      <c r="W39" s="740">
        <f t="shared" si="46"/>
        <v>1517.8914285714843</v>
      </c>
      <c r="X39" s="740">
        <f t="shared" si="46"/>
        <v>-220.60930612248501</v>
      </c>
      <c r="Y39" s="740">
        <f t="shared" si="46"/>
        <v>-1579.6897908161798</v>
      </c>
      <c r="Z39" s="740">
        <f t="shared" si="46"/>
        <v>-4397.442273918</v>
      </c>
      <c r="AA39" s="740">
        <f t="shared" si="46"/>
        <v>-3409.0027098346322</v>
      </c>
      <c r="AO39" s="1055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53">
        <f t="shared" si="14"/>
        <v>0.39285714285714285</v>
      </c>
      <c r="AT39" s="769">
        <f t="shared" si="15"/>
        <v>31.867254142689386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53">
        <f t="shared" si="19"/>
        <v>0.8928571428571429</v>
      </c>
      <c r="AY39" s="769">
        <f t="shared" si="20"/>
        <v>31.698838819862743</v>
      </c>
      <c r="AZ39" s="746">
        <f t="shared" si="26"/>
        <v>31.783046481276067</v>
      </c>
      <c r="BA39" s="643">
        <f t="shared" si="21"/>
        <v>0.94316713547527875</v>
      </c>
      <c r="BC39" s="11">
        <v>43125</v>
      </c>
      <c r="BD39" s="290">
        <f>[2]!FeuilCaduc*(1-Persistant)+Persistant</f>
        <v>0.60013304146569446</v>
      </c>
      <c r="BE39" s="291">
        <f>[2]!CroissVégét</f>
        <v>2.3387100283593187E-3</v>
      </c>
      <c r="BF39" s="816">
        <f>1+[2]!Salcycl*Ksac</f>
        <v>1.0000166301832119</v>
      </c>
      <c r="BH39" s="1053">
        <f t="shared" si="22"/>
        <v>1.9540113447724808E-3</v>
      </c>
      <c r="BI39" s="11">
        <v>44221</v>
      </c>
      <c r="BJ39" s="726">
        <v>4.6480602597828523E-4</v>
      </c>
      <c r="BK39" s="726">
        <v>8.3861209983020538E-4</v>
      </c>
      <c r="BL39" s="726">
        <v>1.3236924999825766E-3</v>
      </c>
      <c r="BM39" s="726">
        <v>1.9556612186889034E-3</v>
      </c>
      <c r="BN39" s="726">
        <v>2.7909569610655616E-3</v>
      </c>
      <c r="BO39" s="727">
        <v>4.225421742906822E-3</v>
      </c>
      <c r="BP39" s="726">
        <v>6.1694730071794367E-3</v>
      </c>
      <c r="BQ39" s="726">
        <v>9.2536013994746254E-3</v>
      </c>
      <c r="BR39" s="726">
        <v>1.2954742034578914E-2</v>
      </c>
      <c r="BS39" s="726">
        <v>1.7656782677387607E-2</v>
      </c>
      <c r="BT39" s="726">
        <v>2.263614825428277E-2</v>
      </c>
      <c r="BW39" s="1186">
        <f>'2018'!R\Max</f>
        <v>0</v>
      </c>
      <c r="BX39" s="1184">
        <f>'2019'!R\Max</f>
        <v>0.1765605727805197</v>
      </c>
      <c r="BY39" s="1184">
        <f>'2020'!R\Max</f>
        <v>0.52392680560233207</v>
      </c>
      <c r="BZ39" s="1184">
        <f>'2021'!R\Max</f>
        <v>0.26435869735093437</v>
      </c>
      <c r="CA39" s="1184">
        <f>'2022'!R\Max</f>
        <v>0.94316713547527875</v>
      </c>
      <c r="CB39" s="1184">
        <f>'2023'!R\Max</f>
        <v>0.94316081221940751</v>
      </c>
      <c r="CC39" s="1184">
        <f>'2024'!R\Max</f>
        <v>0.94315448322014572</v>
      </c>
      <c r="CD39" s="1184">
        <f>'2025'!R\Max</f>
        <v>0.94314445135125491</v>
      </c>
      <c r="CE39" s="1184">
        <f>'2026'!R\Max</f>
        <v>0.9431793205711313</v>
      </c>
      <c r="CF39" s="1185">
        <f>'2027'!R\Max</f>
        <v>0.94317660253097102</v>
      </c>
    </row>
    <row r="40" spans="1:84" s="6" customFormat="1" ht="11.25" x14ac:dyDescent="0.2">
      <c r="A40" s="11">
        <v>43126</v>
      </c>
      <c r="B40" s="380">
        <f>'2022'!Maxi_hp</f>
        <v>31.037921449908918</v>
      </c>
      <c r="C40" s="13">
        <f>'2022'!An_max</f>
        <v>2022</v>
      </c>
      <c r="D40" s="1062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53">
        <f t="shared" si="9"/>
        <v>0.2857142857142857</v>
      </c>
      <c r="J40" s="746">
        <f t="shared" si="27"/>
        <v>32.099948104258097</v>
      </c>
      <c r="L40" s="756" t="s">
        <v>220</v>
      </c>
      <c r="M40" s="740">
        <f t="shared" ref="M40:AA40" si="47">(y.1lg+y.2lg+y.3lg-a.lg*(x.3lg*x.3lg+x.2lg*x.2lg+x.1lg*x.1lg)-b.lg*(x.3lg+x.2lg+x.1lg))/3</f>
        <v>93938860.603158578</v>
      </c>
      <c r="N40" s="740">
        <f t="shared" si="47"/>
        <v>72820077.972733349</v>
      </c>
      <c r="O40" s="740">
        <f t="shared" si="47"/>
        <v>18504779.982936095</v>
      </c>
      <c r="P40" s="740">
        <f t="shared" si="47"/>
        <v>1013634.869469439</v>
      </c>
      <c r="Q40" s="740">
        <f t="shared" si="47"/>
        <v>-45689971.692168832</v>
      </c>
      <c r="R40" s="740">
        <f t="shared" si="47"/>
        <v>-49197286.599710941</v>
      </c>
      <c r="S40" s="740">
        <f t="shared" si="47"/>
        <v>-36320458.280123129</v>
      </c>
      <c r="T40" s="740">
        <f t="shared" si="47"/>
        <v>-23426945.499960124</v>
      </c>
      <c r="U40" s="740">
        <f t="shared" si="47"/>
        <v>-15211358.563675595</v>
      </c>
      <c r="V40" s="740">
        <f t="shared" si="47"/>
        <v>-26963098.661228478</v>
      </c>
      <c r="W40" s="740">
        <f t="shared" si="47"/>
        <v>-32846567.285715494</v>
      </c>
      <c r="X40" s="740">
        <f t="shared" si="47"/>
        <v>4856294.2195926188</v>
      </c>
      <c r="Y40" s="740">
        <f t="shared" si="47"/>
        <v>34349696.749180488</v>
      </c>
      <c r="Z40" s="740">
        <f t="shared" si="47"/>
        <v>95537185.561464742</v>
      </c>
      <c r="AA40" s="740">
        <f t="shared" si="47"/>
        <v>74059137.554616228</v>
      </c>
      <c r="AB40" s="7"/>
      <c r="AC40" s="7"/>
      <c r="AD40" s="7"/>
      <c r="AE40" s="7"/>
      <c r="AF40" s="7"/>
      <c r="AH40" s="7"/>
      <c r="AI40" s="74"/>
      <c r="AO40" s="1055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53">
        <f t="shared" si="14"/>
        <v>0.35714285714285715</v>
      </c>
      <c r="AT40" s="769">
        <f t="shared" si="15"/>
        <v>32.199185738685934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53">
        <f t="shared" si="19"/>
        <v>0.8571428571428571</v>
      </c>
      <c r="AY40" s="769">
        <f t="shared" si="20"/>
        <v>32.001531953338002</v>
      </c>
      <c r="AZ40" s="746">
        <f t="shared" si="26"/>
        <v>32.100358846011972</v>
      </c>
      <c r="BA40" s="643">
        <f t="shared" si="21"/>
        <v>0.96691500400873542</v>
      </c>
      <c r="BC40" s="11">
        <v>43126</v>
      </c>
      <c r="BD40" s="290">
        <f>[2]!FeuilCaduc*(1-Persistant)+Persistant</f>
        <v>0.60008239894324023</v>
      </c>
      <c r="BE40" s="291">
        <f>[2]!CroissVégét</f>
        <v>2.4946300531446561E-3</v>
      </c>
      <c r="BF40" s="816">
        <f>1+[2]!Salcycl*Ksac</f>
        <v>1.000010299867905</v>
      </c>
      <c r="BH40" s="1053">
        <f t="shared" si="22"/>
        <v>1.9244337353076795E-3</v>
      </c>
      <c r="BI40" s="11">
        <v>44222</v>
      </c>
      <c r="BJ40" s="726">
        <v>4.6172873026986211E-4</v>
      </c>
      <c r="BK40" s="726">
        <v>8.3416958627499779E-4</v>
      </c>
      <c r="BL40" s="726">
        <v>1.3117122825856236E-3</v>
      </c>
      <c r="BM40" s="726">
        <v>1.9260375476500115E-3</v>
      </c>
      <c r="BN40" s="726">
        <v>2.7289430992347569E-3</v>
      </c>
      <c r="BO40" s="727">
        <v>4.1166483889409772E-3</v>
      </c>
      <c r="BP40" s="726">
        <v>5.998022500828413E-3</v>
      </c>
      <c r="BQ40" s="726">
        <v>9.0495571989428914E-3</v>
      </c>
      <c r="BR40" s="726">
        <v>1.2751322743824881E-2</v>
      </c>
      <c r="BS40" s="726">
        <v>1.7502365290777838E-2</v>
      </c>
      <c r="BT40" s="726">
        <v>2.2538218620604011E-2</v>
      </c>
      <c r="BW40" s="1186">
        <f>'2018'!R\Max</f>
        <v>0</v>
      </c>
      <c r="BX40" s="1184">
        <f>'2019'!R\Max</f>
        <v>0.50396565185733599</v>
      </c>
      <c r="BY40" s="1184">
        <f>'2020'!R\Max</f>
        <v>0.22929455619754616</v>
      </c>
      <c r="BZ40" s="1184">
        <f>'2021'!R\Max</f>
        <v>0.61142915654870511</v>
      </c>
      <c r="CA40" s="1184">
        <f>'2022'!R\Max</f>
        <v>0.96691500400873542</v>
      </c>
      <c r="CB40" s="1184">
        <f>'2023'!R\Max</f>
        <v>0.96691138946848965</v>
      </c>
      <c r="CC40" s="1184">
        <f>'2024'!R\Max</f>
        <v>0.96690777179421383</v>
      </c>
      <c r="CD40" s="1184">
        <f>'2025'!R\Max</f>
        <v>0.96690190900959549</v>
      </c>
      <c r="CE40" s="1184">
        <f>'2026'!R\Max</f>
        <v>0.96692195622603982</v>
      </c>
      <c r="CF40" s="1185">
        <f>'2027'!R\Max</f>
        <v>0.96692041307435583</v>
      </c>
    </row>
    <row r="41" spans="1:84" s="6" customFormat="1" ht="11.25" x14ac:dyDescent="0.2">
      <c r="A41" s="11">
        <v>43127</v>
      </c>
      <c r="B41" s="380">
        <f>'2022'!Maxi_hp</f>
        <v>28.920232617261767</v>
      </c>
      <c r="C41" s="13">
        <f>'2022'!An_max</f>
        <v>2022</v>
      </c>
      <c r="D41" s="1062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53">
        <f t="shared" si="9"/>
        <v>0.35714285714285715</v>
      </c>
      <c r="J41" s="746">
        <f t="shared" si="27"/>
        <v>32.434486589035281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55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53">
        <f t="shared" si="14"/>
        <v>0.32142857142857145</v>
      </c>
      <c r="AT41" s="769">
        <f t="shared" si="15"/>
        <v>32.533538694214073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53">
        <f t="shared" si="19"/>
        <v>0.8214285714285714</v>
      </c>
      <c r="AY41" s="769">
        <f t="shared" si="20"/>
        <v>32.310905661507107</v>
      </c>
      <c r="AZ41" s="746">
        <f t="shared" si="26"/>
        <v>32.42222217786059</v>
      </c>
      <c r="BA41" s="643">
        <f t="shared" si="21"/>
        <v>0.89165069833534738</v>
      </c>
      <c r="BC41" s="11">
        <v>43127</v>
      </c>
      <c r="BD41" s="290">
        <f>[2]!FeuilCaduc*(1-Persistant)+Persistant</f>
        <v>0.60004433415154113</v>
      </c>
      <c r="BE41" s="291">
        <f>[2]!CroissVégét</f>
        <v>2.6570394167881404E-3</v>
      </c>
      <c r="BF41" s="816">
        <f>1+[2]!Salcycl*Ksac</f>
        <v>1.0000055417689426</v>
      </c>
      <c r="BH41" s="1053">
        <f t="shared" si="22"/>
        <v>1.8953563527541197E-3</v>
      </c>
      <c r="BI41" s="11">
        <v>44223</v>
      </c>
      <c r="BJ41" s="726">
        <v>4.5920742693361666E-4</v>
      </c>
      <c r="BK41" s="726">
        <v>8.295517885820717E-4</v>
      </c>
      <c r="BL41" s="726">
        <v>1.2994058881914876E-3</v>
      </c>
      <c r="BM41" s="726">
        <v>1.8969162666533932E-3</v>
      </c>
      <c r="BN41" s="726">
        <v>2.6691463372340357E-3</v>
      </c>
      <c r="BO41" s="727">
        <v>4.0114660718184288E-3</v>
      </c>
      <c r="BP41" s="726">
        <v>5.8299768403307362E-3</v>
      </c>
      <c r="BQ41" s="726">
        <v>8.8409687590061108E-3</v>
      </c>
      <c r="BR41" s="726">
        <v>1.2535743705486994E-2</v>
      </c>
      <c r="BS41" s="726">
        <v>1.7332703552627473E-2</v>
      </c>
      <c r="BT41" s="726">
        <v>2.2432752661021974E-2</v>
      </c>
      <c r="BW41" s="1186">
        <f>'2018'!R\Max</f>
        <v>0</v>
      </c>
      <c r="BX41" s="1184">
        <f>'2019'!R\Max</f>
        <v>0.4619899847359612</v>
      </c>
      <c r="BY41" s="1184">
        <f>'2020'!R\Max</f>
        <v>0.35829593627643441</v>
      </c>
      <c r="BZ41" s="1184">
        <f>'2021'!R\Max</f>
        <v>0.18730010929157728</v>
      </c>
      <c r="CA41" s="1184">
        <f>'2022'!R\Max</f>
        <v>0.89165069833534738</v>
      </c>
      <c r="CB41" s="1184">
        <f>'2023'!R\Max</f>
        <v>0.89164025649277134</v>
      </c>
      <c r="CC41" s="1184">
        <f>'2024'!R\Max</f>
        <v>0.89162980629516664</v>
      </c>
      <c r="CD41" s="1184">
        <f>'2025'!R\Max</f>
        <v>0.89161251806492281</v>
      </c>
      <c r="CE41" s="1184">
        <f>'2026'!R\Max</f>
        <v>0.89167077053031218</v>
      </c>
      <c r="CF41" s="1185">
        <f>'2027'!R\Max</f>
        <v>0.89166633467873146</v>
      </c>
    </row>
    <row r="42" spans="1:84" s="6" customFormat="1" ht="11.25" x14ac:dyDescent="0.2">
      <c r="A42" s="11">
        <v>43128</v>
      </c>
      <c r="B42" s="380">
        <f>'2022'!Maxi_hp</f>
        <v>18.517028420857695</v>
      </c>
      <c r="C42" s="13">
        <f>'2022'!An_max</f>
        <v>2021</v>
      </c>
      <c r="D42" s="1062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53">
        <f t="shared" si="9"/>
        <v>0.42857142857142855</v>
      </c>
      <c r="J42" s="746">
        <f t="shared" si="27"/>
        <v>32.774178424996457</v>
      </c>
      <c r="M42" s="6" t="s">
        <v>230</v>
      </c>
      <c r="AC42" s="7"/>
      <c r="AD42" s="7"/>
      <c r="AE42" s="7"/>
      <c r="AF42" s="7"/>
      <c r="AH42" s="7"/>
      <c r="AI42" s="74"/>
      <c r="AO42" s="1055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53">
        <f t="shared" si="14"/>
        <v>0.2857142857142857</v>
      </c>
      <c r="AT42" s="769">
        <f t="shared" si="15"/>
        <v>32.869687092144574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53">
        <f t="shared" si="19"/>
        <v>0.7857142857142857</v>
      </c>
      <c r="AY42" s="769">
        <f t="shared" si="20"/>
        <v>32.626564231488324</v>
      </c>
      <c r="AZ42" s="746">
        <f t="shared" si="26"/>
        <v>32.748125661816445</v>
      </c>
      <c r="BA42" s="643">
        <f t="shared" si="21"/>
        <v>0.56498833260561576</v>
      </c>
      <c r="BC42" s="11">
        <v>43128</v>
      </c>
      <c r="BD42" s="290">
        <f>[2]!FeuilCaduc*(1-Persistant)+Persistant</f>
        <v>0.60001890915601352</v>
      </c>
      <c r="BE42" s="291">
        <f>[2]!CroissVégét</f>
        <v>2.826205948480045E-3</v>
      </c>
      <c r="BF42" s="816">
        <f>1+[2]!Salcycl*Ksac</f>
        <v>1.0000023636445017</v>
      </c>
      <c r="BH42" s="1053">
        <f t="shared" si="22"/>
        <v>1.8667832063131195E-3</v>
      </c>
      <c r="BI42" s="11">
        <v>44224</v>
      </c>
      <c r="BJ42" s="726">
        <v>4.5724289252688E-4</v>
      </c>
      <c r="BK42" s="726">
        <v>8.2475997707597687E-4</v>
      </c>
      <c r="BL42" s="726">
        <v>1.2867755753266435E-3</v>
      </c>
      <c r="BM42" s="726">
        <v>1.8683013894827971E-3</v>
      </c>
      <c r="BN42" s="726">
        <v>2.6115735157419859E-3</v>
      </c>
      <c r="BO42" s="727">
        <v>3.909885931286391E-3</v>
      </c>
      <c r="BP42" s="726">
        <v>5.665352828229565E-3</v>
      </c>
      <c r="BQ42" s="726">
        <v>8.6278579378884033E-3</v>
      </c>
      <c r="BR42" s="726">
        <v>1.2308030913171539E-2</v>
      </c>
      <c r="BS42" s="726">
        <v>1.7147826632221308E-2</v>
      </c>
      <c r="BT42" s="726">
        <v>2.2319783354735698E-2</v>
      </c>
      <c r="BW42" s="1186">
        <f>'2018'!R\Max</f>
        <v>0</v>
      </c>
      <c r="BX42" s="1184">
        <f>'2019'!R\Max</f>
        <v>0.46811616738851508</v>
      </c>
      <c r="BY42" s="1184">
        <f>'2020'!R\Max</f>
        <v>0.53777491509292719</v>
      </c>
      <c r="BZ42" s="1184">
        <f>'2021'!R\Max</f>
        <v>0.56498833260561576</v>
      </c>
      <c r="CA42" s="1184">
        <f>'2022'!R\Max</f>
        <v>0.14412296653231677</v>
      </c>
      <c r="CB42" s="1184">
        <f>'2023'!R\Max</f>
        <v>0.14411254951422575</v>
      </c>
      <c r="CC42" s="1184">
        <f>'2024'!R\Max</f>
        <v>0.14410212599282976</v>
      </c>
      <c r="CD42" s="1184">
        <f>'2025'!R\Max</f>
        <v>0.14408455255486646</v>
      </c>
      <c r="CE42" s="1184">
        <f>'2026'!R\Max</f>
        <v>0.14414301066980945</v>
      </c>
      <c r="CF42" s="1185">
        <f>'2027'!R\Max</f>
        <v>0.14413859730666115</v>
      </c>
    </row>
    <row r="43" spans="1:84" s="6" customFormat="1" ht="11.25" x14ac:dyDescent="0.2">
      <c r="A43" s="11">
        <v>43129</v>
      </c>
      <c r="B43" s="380">
        <f>'2022'!Maxi_hp</f>
        <v>20.355528257182332</v>
      </c>
      <c r="C43" s="13">
        <f>'2022'!An_max</f>
        <v>2020</v>
      </c>
      <c r="D43" s="1062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53">
        <f t="shared" si="9"/>
        <v>0.5</v>
      </c>
      <c r="J43" s="746">
        <f t="shared" si="27"/>
        <v>33.11794999972917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55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53">
        <f t="shared" si="14"/>
        <v>0.25</v>
      </c>
      <c r="AT43" s="769">
        <f t="shared" si="15"/>
        <v>33.207005013898012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53">
        <f t="shared" si="19"/>
        <v>0.75</v>
      </c>
      <c r="AY43" s="769">
        <f t="shared" si="20"/>
        <v>32.948111952701581</v>
      </c>
      <c r="AZ43" s="746">
        <f t="shared" si="26"/>
        <v>33.077558483299796</v>
      </c>
      <c r="BA43" s="643">
        <f t="shared" si="21"/>
        <v>0.61463732680763139</v>
      </c>
      <c r="BC43" s="11">
        <v>43129</v>
      </c>
      <c r="BD43" s="290">
        <f>[2]!FeuilCaduc*(1-Persistant)+Persistant</f>
        <v>0.60000610652707764</v>
      </c>
      <c r="BE43" s="291">
        <f>[2]!CroissVégét</f>
        <v>3.0024083390505912E-3</v>
      </c>
      <c r="BF43" s="816">
        <f>1+[2]!Salcycl*Ksac</f>
        <v>1.0000007633158847</v>
      </c>
      <c r="BH43" s="1053">
        <f t="shared" si="22"/>
        <v>1.8387181051717338E-3</v>
      </c>
      <c r="BI43" s="11">
        <v>44225</v>
      </c>
      <c r="BJ43" s="726">
        <v>4.5583583401314064E-4</v>
      </c>
      <c r="BK43" s="726">
        <v>8.197954149006297E-4</v>
      </c>
      <c r="BL43" s="726">
        <v>1.2738235710429086E-3</v>
      </c>
      <c r="BM43" s="726">
        <v>1.840196729466553E-3</v>
      </c>
      <c r="BN43" s="726">
        <v>2.5562309468910296E-3</v>
      </c>
      <c r="BO43" s="727">
        <v>3.8119182098945454E-3</v>
      </c>
      <c r="BP43" s="726">
        <v>5.5041660698320095E-3</v>
      </c>
      <c r="BQ43" s="726">
        <v>8.4102459881098685E-3</v>
      </c>
      <c r="BR43" s="726">
        <v>1.2068210479474253E-2</v>
      </c>
      <c r="BS43" s="726">
        <v>1.6947764348953467E-2</v>
      </c>
      <c r="BT43" s="726">
        <v>2.2199343865778518E-2</v>
      </c>
      <c r="BW43" s="1186">
        <f>'2018'!R\Max</f>
        <v>0</v>
      </c>
      <c r="BX43" s="1184">
        <f>'2019'!R\Max</f>
        <v>0.17663277160244062</v>
      </c>
      <c r="BY43" s="1184">
        <f>'2020'!R\Max</f>
        <v>0.61463732680763139</v>
      </c>
      <c r="BZ43" s="1184">
        <f>'2021'!R\Max</f>
        <v>0.48554591649233619</v>
      </c>
      <c r="CA43" s="1184">
        <f>'2022'!R\Max</f>
        <v>0.31278021592959032</v>
      </c>
      <c r="CB43" s="1184">
        <f>'2023'!R\Max</f>
        <v>0.31275904366863927</v>
      </c>
      <c r="CC43" s="1184">
        <f>'2024'!R\Max</f>
        <v>0.31273785922389447</v>
      </c>
      <c r="CD43" s="1184">
        <f>'2025'!R\Max</f>
        <v>0.31270151300135457</v>
      </c>
      <c r="CE43" s="1184">
        <f>'2026'!R\Max</f>
        <v>0.31282105104647023</v>
      </c>
      <c r="CF43" s="1185">
        <f>'2027'!R\Max</f>
        <v>0.31281208742811351</v>
      </c>
    </row>
    <row r="44" spans="1:84" s="6" customFormat="1" ht="11.25" x14ac:dyDescent="0.2">
      <c r="A44" s="11">
        <v>43130</v>
      </c>
      <c r="B44" s="380">
        <f>'2022'!Maxi_hp</f>
        <v>12.271638358981564</v>
      </c>
      <c r="C44" s="13">
        <f>'2022'!An_max</f>
        <v>2020</v>
      </c>
      <c r="D44" s="1062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53">
        <f t="shared" si="9"/>
        <v>0.5714285714285714</v>
      </c>
      <c r="J44" s="746">
        <f t="shared" si="27"/>
        <v>33.464727697095704</v>
      </c>
      <c r="L44" s="774">
        <f>AK13</f>
        <v>275.94200000000001</v>
      </c>
      <c r="M44" s="774">
        <f>M13</f>
        <v>247.464</v>
      </c>
      <c r="N44" s="764">
        <f>O13</f>
        <v>308.34800000000001</v>
      </c>
      <c r="O44" s="764">
        <f>Q13</f>
        <v>403.60199999999998</v>
      </c>
      <c r="P44" s="764">
        <f>S13</f>
        <v>505.73</v>
      </c>
      <c r="Q44" s="764">
        <f>U13</f>
        <v>592.14599999999996</v>
      </c>
      <c r="R44" s="764">
        <f>W13</f>
        <v>631.42600000000004</v>
      </c>
      <c r="S44" s="764">
        <f>Y13</f>
        <v>636.33600000000001</v>
      </c>
      <c r="T44" s="764">
        <f>AA13</f>
        <v>614.73199999999997</v>
      </c>
      <c r="U44" s="764">
        <f>AC13</f>
        <v>578.39800000000002</v>
      </c>
      <c r="V44" s="764">
        <f>AE13</f>
        <v>529.298</v>
      </c>
      <c r="W44" s="764">
        <f>AG13</f>
        <v>444.846</v>
      </c>
      <c r="X44" s="764">
        <f>AI13</f>
        <v>352.53800000000001</v>
      </c>
      <c r="Y44" s="764">
        <f>AK13</f>
        <v>275.94200000000001</v>
      </c>
      <c r="Z44" s="764">
        <f>AM13</f>
        <v>247.464</v>
      </c>
      <c r="AA44" s="772">
        <f>AO13</f>
        <v>308.34800000000001</v>
      </c>
      <c r="AB44" s="772">
        <f>Q13</f>
        <v>403.60199999999998</v>
      </c>
      <c r="AD44" s="7"/>
      <c r="AE44" s="7"/>
      <c r="AF44" s="7"/>
      <c r="AH44" s="7"/>
      <c r="AI44" s="74"/>
      <c r="AO44" s="1055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53">
        <f t="shared" si="14"/>
        <v>0.21428571428571427</v>
      </c>
      <c r="AT44" s="769">
        <f t="shared" si="15"/>
        <v>33.544866541107851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53">
        <f t="shared" si="19"/>
        <v>0.7142857142857143</v>
      </c>
      <c r="AY44" s="769">
        <f t="shared" si="20"/>
        <v>33.275153109271614</v>
      </c>
      <c r="AZ44" s="746">
        <f t="shared" si="26"/>
        <v>33.410009825189732</v>
      </c>
      <c r="BA44" s="643">
        <f t="shared" si="21"/>
        <v>0.36670366691932116</v>
      </c>
      <c r="BC44" s="11">
        <v>43130</v>
      </c>
      <c r="BD44" s="290">
        <f>[2]!FeuilCaduc*(1-Persistant)+Persistant</f>
        <v>0.60000582537781422</v>
      </c>
      <c r="BE44" s="291">
        <f>[2]!CroissVégét</f>
        <v>3.1859365650375344E-3</v>
      </c>
      <c r="BF44" s="816">
        <f>1+[2]!Salcycl*Ksac</f>
        <v>1.0000007281722267</v>
      </c>
      <c r="BH44" s="1053">
        <f t="shared" si="22"/>
        <v>1.8148703980913614E-3</v>
      </c>
      <c r="BI44" s="11">
        <v>44226</v>
      </c>
      <c r="BJ44" s="726">
        <v>4.5503061390630745E-4</v>
      </c>
      <c r="BK44" s="726">
        <v>8.1581939570507652E-4</v>
      </c>
      <c r="BL44" s="726">
        <v>1.2628963915964357E-3</v>
      </c>
      <c r="BM44" s="726">
        <v>1.8163152026111481E-3</v>
      </c>
      <c r="BN44" s="726">
        <v>2.5084821884308211E-3</v>
      </c>
      <c r="BO44" s="727">
        <v>3.7237930590898242E-3</v>
      </c>
      <c r="BP44" s="726">
        <v>5.3542332641064632E-3</v>
      </c>
      <c r="BQ44" s="726">
        <v>8.1978939979146549E-3</v>
      </c>
      <c r="BR44" s="726">
        <v>1.1825648193137797E-2</v>
      </c>
      <c r="BS44" s="726">
        <v>1.6737834945766566E-2</v>
      </c>
      <c r="BT44" s="726">
        <v>2.2069161698513393E-2</v>
      </c>
      <c r="BW44" s="1186">
        <f>'2018'!R\Max</f>
        <v>0</v>
      </c>
      <c r="BX44" s="1184">
        <f>'2019'!R\Max</f>
        <v>0.25298139636213829</v>
      </c>
      <c r="BY44" s="1184">
        <f>'2020'!R\Max</f>
        <v>0.36670366691932116</v>
      </c>
      <c r="BZ44" s="1184">
        <f>'2021'!R\Max</f>
        <v>0.27925805899691225</v>
      </c>
      <c r="CA44" s="1184">
        <f>'2022'!R\Max</f>
        <v>0.14724388530443536</v>
      </c>
      <c r="CB44" s="1184">
        <f>'2023'!R\Max</f>
        <v>0.14723420398793249</v>
      </c>
      <c r="CC44" s="1184">
        <f>'2024'!R\Max</f>
        <v>0.14722451764997824</v>
      </c>
      <c r="CD44" s="1184">
        <f>'2025'!R\Max</f>
        <v>0.1472076383261961</v>
      </c>
      <c r="CE44" s="1184">
        <f>'2026'!R\Max</f>
        <v>0.14726263676786441</v>
      </c>
      <c r="CF44" s="1185">
        <f>'2027'!R\Max</f>
        <v>0.14725852464935502</v>
      </c>
    </row>
    <row r="45" spans="1:84" s="6" customFormat="1" ht="11.25" x14ac:dyDescent="0.2">
      <c r="A45" s="11">
        <v>43131</v>
      </c>
      <c r="B45" s="380">
        <f>'2022'!Maxi_hp</f>
        <v>23.585730416186674</v>
      </c>
      <c r="C45" s="13">
        <f>'2022'!An_max</f>
        <v>2020</v>
      </c>
      <c r="D45" s="1062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53">
        <f t="shared" si="9"/>
        <v>0.6428571428571429</v>
      </c>
      <c r="J45" s="746">
        <f t="shared" si="27"/>
        <v>33.813437900665619</v>
      </c>
      <c r="L45" s="754" t="s">
        <v>210</v>
      </c>
      <c r="M45" s="784">
        <f t="shared" ref="M45:AA45" si="48">L43</f>
        <v>43065</v>
      </c>
      <c r="N45" s="785">
        <f t="shared" si="48"/>
        <v>43093</v>
      </c>
      <c r="O45" s="736">
        <f t="shared" si="48"/>
        <v>43122</v>
      </c>
      <c r="P45" s="736">
        <f t="shared" si="48"/>
        <v>43150</v>
      </c>
      <c r="Q45" s="736">
        <f t="shared" si="48"/>
        <v>43178</v>
      </c>
      <c r="R45" s="736">
        <f t="shared" si="48"/>
        <v>43206</v>
      </c>
      <c r="S45" s="736">
        <f t="shared" si="48"/>
        <v>43234</v>
      </c>
      <c r="T45" s="736">
        <f t="shared" si="48"/>
        <v>43262</v>
      </c>
      <c r="U45" s="736">
        <f t="shared" si="48"/>
        <v>43290</v>
      </c>
      <c r="V45" s="736">
        <f t="shared" si="48"/>
        <v>43318</v>
      </c>
      <c r="W45" s="736">
        <f t="shared" si="48"/>
        <v>43346</v>
      </c>
      <c r="X45" s="736">
        <f t="shared" si="48"/>
        <v>43374</v>
      </c>
      <c r="Y45" s="736">
        <f t="shared" si="48"/>
        <v>43402</v>
      </c>
      <c r="Z45" s="736">
        <f t="shared" si="48"/>
        <v>43430</v>
      </c>
      <c r="AA45" s="777">
        <f t="shared" si="48"/>
        <v>43458</v>
      </c>
      <c r="AD45" s="7"/>
      <c r="AE45" s="7"/>
      <c r="AF45" s="7"/>
      <c r="AH45" s="7"/>
      <c r="AI45" s="74"/>
      <c r="AO45" s="1055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53">
        <f t="shared" si="14"/>
        <v>0.17857142857142858</v>
      </c>
      <c r="AT45" s="769">
        <f t="shared" si="15"/>
        <v>33.882645755859883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53">
        <f t="shared" si="19"/>
        <v>0.6785714285714286</v>
      </c>
      <c r="AY45" s="769">
        <f t="shared" si="20"/>
        <v>33.607291988981885</v>
      </c>
      <c r="AZ45" s="746">
        <f t="shared" si="26"/>
        <v>33.744968872420884</v>
      </c>
      <c r="BA45" s="643">
        <f t="shared" si="21"/>
        <v>0.69752535916267744</v>
      </c>
      <c r="BC45" s="11">
        <v>43131</v>
      </c>
      <c r="BD45" s="290">
        <f>[2]!FeuilCaduc*(1-Persistant)+Persistant</f>
        <v>0.60001787894495195</v>
      </c>
      <c r="BE45" s="291">
        <f>[2]!CroissVégét</f>
        <v>3.3770923278976551E-3</v>
      </c>
      <c r="BF45" s="816">
        <f>1+[2]!Salcycl*Ksac</f>
        <v>1.000002234868119</v>
      </c>
      <c r="BH45" s="1053">
        <f t="shared" si="22"/>
        <v>1.794949014366471E-3</v>
      </c>
      <c r="BI45" s="11">
        <v>44227</v>
      </c>
      <c r="BJ45" s="726">
        <v>4.5478827102891987E-4</v>
      </c>
      <c r="BK45" s="726">
        <v>8.131641795928199E-4</v>
      </c>
      <c r="BL45" s="726">
        <v>1.2542764035529091E-3</v>
      </c>
      <c r="BM45" s="726">
        <v>1.7963642372259474E-3</v>
      </c>
      <c r="BN45" s="726">
        <v>2.4673376831015463E-3</v>
      </c>
      <c r="BO45" s="727">
        <v>3.6445313680201138E-3</v>
      </c>
      <c r="BP45" s="726">
        <v>5.2163416710075726E-3</v>
      </c>
      <c r="BQ45" s="726">
        <v>7.9959363233058217E-3</v>
      </c>
      <c r="BR45" s="726">
        <v>1.1588794464661984E-2</v>
      </c>
      <c r="BS45" s="726">
        <v>1.652630593094849E-2</v>
      </c>
      <c r="BT45" s="726">
        <v>2.1932785433387433E-2</v>
      </c>
      <c r="BW45" s="1186">
        <f>'2018'!R\Max</f>
        <v>0</v>
      </c>
      <c r="BX45" s="1184">
        <f>'2019'!R\Max</f>
        <v>0.22968584189890107</v>
      </c>
      <c r="BY45" s="1184">
        <f>'2020'!R\Max</f>
        <v>0.69752535916267744</v>
      </c>
      <c r="BZ45" s="1184">
        <f>'2021'!R\Max</f>
        <v>0.26486569137418714</v>
      </c>
      <c r="CA45" s="1184">
        <f>'2022'!R\Max</f>
        <v>0.29807894617882846</v>
      </c>
      <c r="CB45" s="1184">
        <f>'2023'!R\Max</f>
        <v>0.29806024574623541</v>
      </c>
      <c r="CC45" s="1184">
        <f>'2024'!R\Max</f>
        <v>0.29804153664796529</v>
      </c>
      <c r="CD45" s="1184">
        <f>'2025'!R\Max</f>
        <v>0.29800847794243551</v>
      </c>
      <c r="CE45" s="1184">
        <f>'2026'!R\Max</f>
        <v>0.29811534476307605</v>
      </c>
      <c r="CF45" s="1185">
        <f>'2027'!R\Max</f>
        <v>0.29810735823435075</v>
      </c>
    </row>
    <row r="46" spans="1:84" s="6" customFormat="1" ht="11.25" x14ac:dyDescent="0.2">
      <c r="A46" s="11">
        <v>43132</v>
      </c>
      <c r="B46" s="380">
        <f>'2022'!Maxi_hp</f>
        <v>27.944973498874095</v>
      </c>
      <c r="C46" s="13">
        <f>'2022'!An_max</f>
        <v>2019</v>
      </c>
      <c r="D46" s="1062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53">
        <f t="shared" si="9"/>
        <v>0.7142857142857143</v>
      </c>
      <c r="J46" s="746">
        <f t="shared" si="27"/>
        <v>34.163006996922192</v>
      </c>
      <c r="L46" s="755" t="s">
        <v>211</v>
      </c>
      <c r="M46" s="776">
        <f t="shared" ref="M46:AA46" si="49">L44</f>
        <v>275.94200000000001</v>
      </c>
      <c r="N46" s="780">
        <f t="shared" si="49"/>
        <v>247.464</v>
      </c>
      <c r="O46" s="742">
        <f t="shared" si="49"/>
        <v>308.34800000000001</v>
      </c>
      <c r="P46" s="742">
        <f t="shared" si="49"/>
        <v>403.60199999999998</v>
      </c>
      <c r="Q46" s="742">
        <f t="shared" si="49"/>
        <v>505.73</v>
      </c>
      <c r="R46" s="742">
        <f t="shared" si="49"/>
        <v>592.14599999999996</v>
      </c>
      <c r="S46" s="742">
        <f t="shared" si="49"/>
        <v>631.42600000000004</v>
      </c>
      <c r="T46" s="742">
        <f t="shared" si="49"/>
        <v>636.33600000000001</v>
      </c>
      <c r="U46" s="742">
        <f t="shared" si="49"/>
        <v>614.73199999999997</v>
      </c>
      <c r="V46" s="742">
        <f t="shared" si="49"/>
        <v>578.39800000000002</v>
      </c>
      <c r="W46" s="742">
        <f t="shared" si="49"/>
        <v>529.298</v>
      </c>
      <c r="X46" s="742">
        <f t="shared" si="49"/>
        <v>444.846</v>
      </c>
      <c r="Y46" s="742">
        <f t="shared" si="49"/>
        <v>352.53800000000001</v>
      </c>
      <c r="Z46" s="742">
        <f t="shared" si="49"/>
        <v>275.94200000000001</v>
      </c>
      <c r="AA46" s="778">
        <f t="shared" si="49"/>
        <v>247.464</v>
      </c>
      <c r="AD46" s="7"/>
      <c r="AE46" s="7"/>
      <c r="AF46" s="7"/>
      <c r="AH46" s="7"/>
      <c r="AI46" s="74"/>
      <c r="AO46" s="1055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53">
        <f t="shared" si="14"/>
        <v>0.14285714285714285</v>
      </c>
      <c r="AT46" s="769">
        <f t="shared" si="15"/>
        <v>34.219716739548105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53">
        <f t="shared" si="19"/>
        <v>0.6428571428571429</v>
      </c>
      <c r="AY46" s="769">
        <f t="shared" si="20"/>
        <v>33.944132880806663</v>
      </c>
      <c r="AZ46" s="746">
        <f t="shared" si="26"/>
        <v>34.081924810177384</v>
      </c>
      <c r="BA46" s="643">
        <f t="shared" si="21"/>
        <v>0.81798928008274296</v>
      </c>
      <c r="BC46" s="11">
        <v>43132</v>
      </c>
      <c r="BD46" s="290">
        <f>[2]!FeuilCaduc*(1-Persistant)+Persistant</f>
        <v>0.60004199370502986</v>
      </c>
      <c r="BE46" s="291">
        <f>[2]!CroissVégét</f>
        <v>3.5761895087786043E-3</v>
      </c>
      <c r="BF46" s="816">
        <f>1+[2]!Salcycl*Ksac</f>
        <v>1.0000052492131288</v>
      </c>
      <c r="BH46" s="1053">
        <f t="shared" si="22"/>
        <v>1.7789567040106581E-3</v>
      </c>
      <c r="BI46" s="11">
        <v>44228</v>
      </c>
      <c r="BJ46" s="726">
        <v>4.55109343874412E-4</v>
      </c>
      <c r="BK46" s="726">
        <v>8.1183079469850843E-4</v>
      </c>
      <c r="BL46" s="726">
        <v>1.2479653512132392E-3</v>
      </c>
      <c r="BM46" s="726">
        <v>1.780346585957022E-3</v>
      </c>
      <c r="BN46" s="726">
        <v>2.4328016663927718E-3</v>
      </c>
      <c r="BO46" s="727">
        <v>3.5741401775172166E-3</v>
      </c>
      <c r="BP46" s="726">
        <v>5.0905023686324226E-3</v>
      </c>
      <c r="BQ46" s="726">
        <v>7.8043901317863141E-3</v>
      </c>
      <c r="BR46" s="726">
        <v>1.1357672633971359E-2</v>
      </c>
      <c r="BS46" s="726">
        <v>1.6313206319824518E-2</v>
      </c>
      <c r="BT46" s="726">
        <v>2.1790248210605465E-2</v>
      </c>
      <c r="BW46" s="1186">
        <f>'2018'!R\Max</f>
        <v>0</v>
      </c>
      <c r="BX46" s="1184">
        <f>'2019'!R\Max</f>
        <v>0.81798928008274296</v>
      </c>
      <c r="BY46" s="1184">
        <f>'2020'!R\Max</f>
        <v>0.4341726635370276</v>
      </c>
      <c r="BZ46" s="1184">
        <f>'2021'!R\Max</f>
        <v>0.2394038383281927</v>
      </c>
      <c r="CA46" s="1184">
        <f>'2022'!R\Max</f>
        <v>0.4283636738327416</v>
      </c>
      <c r="CB46" s="1184">
        <f>'2023'!R\Max</f>
        <v>0.42834271782605288</v>
      </c>
      <c r="CC46" s="1184">
        <f>'2024'!R\Max</f>
        <v>0.42832175282513113</v>
      </c>
      <c r="CD46" s="1184">
        <f>'2025'!R\Max</f>
        <v>0.42828425711661833</v>
      </c>
      <c r="CE46" s="1184">
        <f>'2026'!R\Max</f>
        <v>0.42840469200391068</v>
      </c>
      <c r="CF46" s="1185">
        <f>'2027'!R\Max</f>
        <v>0.42839567189860994</v>
      </c>
    </row>
    <row r="47" spans="1:84" s="6" customFormat="1" ht="11.25" x14ac:dyDescent="0.2">
      <c r="A47" s="11">
        <v>43133</v>
      </c>
      <c r="B47" s="380">
        <f>'2022'!Maxi_hp</f>
        <v>29.540538398179784</v>
      </c>
      <c r="C47" s="13">
        <f>'2022'!An_max</f>
        <v>2020</v>
      </c>
      <c r="D47" s="1062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53">
        <f t="shared" si="9"/>
        <v>0.7857142857142857</v>
      </c>
      <c r="J47" s="746">
        <f t="shared" si="27"/>
        <v>34.512361370120196</v>
      </c>
      <c r="L47" s="755" t="s">
        <v>212</v>
      </c>
      <c r="M47" s="787">
        <f t="shared" ref="M47:AA47" si="50">M43</f>
        <v>43093</v>
      </c>
      <c r="N47" s="737">
        <f t="shared" si="50"/>
        <v>43122</v>
      </c>
      <c r="O47" s="737">
        <f t="shared" si="50"/>
        <v>43150</v>
      </c>
      <c r="P47" s="737">
        <f t="shared" si="50"/>
        <v>43178</v>
      </c>
      <c r="Q47" s="737">
        <f t="shared" si="50"/>
        <v>43206</v>
      </c>
      <c r="R47" s="737">
        <f t="shared" si="50"/>
        <v>43234</v>
      </c>
      <c r="S47" s="737">
        <f t="shared" si="50"/>
        <v>43262</v>
      </c>
      <c r="T47" s="737">
        <f t="shared" si="50"/>
        <v>43290</v>
      </c>
      <c r="U47" s="737">
        <f t="shared" si="50"/>
        <v>43318</v>
      </c>
      <c r="V47" s="737">
        <f t="shared" si="50"/>
        <v>43346</v>
      </c>
      <c r="W47" s="737">
        <f t="shared" si="50"/>
        <v>43374</v>
      </c>
      <c r="X47" s="737">
        <f t="shared" si="50"/>
        <v>43402</v>
      </c>
      <c r="Y47" s="737">
        <f t="shared" si="50"/>
        <v>43430</v>
      </c>
      <c r="Z47" s="779">
        <f t="shared" si="50"/>
        <v>43458</v>
      </c>
      <c r="AA47" s="786">
        <f t="shared" si="50"/>
        <v>43487</v>
      </c>
      <c r="AD47" s="7"/>
      <c r="AE47" s="7"/>
      <c r="AF47" s="7"/>
      <c r="AH47" s="7"/>
      <c r="AI47" s="74"/>
      <c r="AO47" s="1055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53">
        <f t="shared" si="14"/>
        <v>0.10714285714285714</v>
      </c>
      <c r="AT47" s="769">
        <f t="shared" si="15"/>
        <v>34.55545357467075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53">
        <f t="shared" si="19"/>
        <v>0.6071428571428571</v>
      </c>
      <c r="AY47" s="769">
        <f t="shared" si="20"/>
        <v>34.285280068950463</v>
      </c>
      <c r="AZ47" s="746">
        <f t="shared" si="26"/>
        <v>34.420366821810603</v>
      </c>
      <c r="BA47" s="643">
        <f t="shared" si="21"/>
        <v>0.85594080571244624</v>
      </c>
      <c r="BC47" s="11">
        <v>43133</v>
      </c>
      <c r="BD47" s="290">
        <f>[2]!FeuilCaduc*(1-Persistant)+Persistant</f>
        <v>0.60007781000177363</v>
      </c>
      <c r="BE47" s="291">
        <f>[2]!CroissVégét</f>
        <v>3.7835546392683654E-3</v>
      </c>
      <c r="BF47" s="816">
        <f>1+[2]!Salcycl*Ksac</f>
        <v>1.0000097262502217</v>
      </c>
      <c r="BH47" s="1053">
        <f t="shared" si="22"/>
        <v>1.7668958382078305E-3</v>
      </c>
      <c r="BI47" s="11">
        <v>44229</v>
      </c>
      <c r="BJ47" s="726">
        <v>4.5599432952785112E-4</v>
      </c>
      <c r="BK47" s="726">
        <v>8.1182016177250857E-4</v>
      </c>
      <c r="BL47" s="726">
        <v>1.2439647715316859E-3</v>
      </c>
      <c r="BM47" s="726">
        <v>1.7682646221718948E-3</v>
      </c>
      <c r="BN47" s="726">
        <v>2.4048776988741171E-3</v>
      </c>
      <c r="BO47" s="727">
        <v>3.5126255021455089E-3</v>
      </c>
      <c r="BP47" s="726">
        <v>4.9767248896119866E-3</v>
      </c>
      <c r="BQ47" s="726">
        <v>7.623270839296219E-3</v>
      </c>
      <c r="BR47" s="726">
        <v>1.1132304443438944E-2</v>
      </c>
      <c r="BS47" s="726">
        <v>1.6098564169610974E-2</v>
      </c>
      <c r="BT47" s="726">
        <v>2.1641582908448604E-2</v>
      </c>
      <c r="BW47" s="1186">
        <f>'2018'!R\Max</f>
        <v>0</v>
      </c>
      <c r="BX47" s="1184">
        <f>'2019'!R\Max</f>
        <v>9.9583836136544562E-2</v>
      </c>
      <c r="BY47" s="1184">
        <f>'2020'!R\Max</f>
        <v>0.85594080571244624</v>
      </c>
      <c r="BZ47" s="1184">
        <f>'2021'!R\Max</f>
        <v>0.85379400102113912</v>
      </c>
      <c r="CA47" s="1184">
        <f>'2022'!R\Max</f>
        <v>0.17034874017523327</v>
      </c>
      <c r="CB47" s="1184">
        <f>'2023'!R\Max</f>
        <v>0.17033898506796019</v>
      </c>
      <c r="CC47" s="1184">
        <f>'2024'!R\Max</f>
        <v>0.17032922654415658</v>
      </c>
      <c r="CD47" s="1184">
        <f>'2025'!R\Max</f>
        <v>0.17031159810979132</v>
      </c>
      <c r="CE47" s="1184">
        <f>'2026'!R\Max</f>
        <v>0.17036795760765655</v>
      </c>
      <c r="CF47" s="1185">
        <f>'2027'!R\Max</f>
        <v>0.17036371445045295</v>
      </c>
    </row>
    <row r="48" spans="1:84" s="6" customFormat="1" ht="11.25" x14ac:dyDescent="0.2">
      <c r="A48" s="11">
        <v>43134</v>
      </c>
      <c r="B48" s="380">
        <f>'2022'!Maxi_hp</f>
        <v>27.40840746637317</v>
      </c>
      <c r="C48" s="13">
        <f>'2022'!An_max</f>
        <v>2020</v>
      </c>
      <c r="D48" s="1062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53">
        <f t="shared" si="9"/>
        <v>0.8571428571428571</v>
      </c>
      <c r="J48" s="746">
        <f t="shared" si="27"/>
        <v>34.860427405259436</v>
      </c>
      <c r="L48" s="755" t="s">
        <v>213</v>
      </c>
      <c r="M48" s="780">
        <f t="shared" ref="M48:AA48" si="51">M44</f>
        <v>247.464</v>
      </c>
      <c r="N48" s="743">
        <f t="shared" si="51"/>
        <v>308.34800000000001</v>
      </c>
      <c r="O48" s="743">
        <f t="shared" si="51"/>
        <v>403.60199999999998</v>
      </c>
      <c r="P48" s="743">
        <f t="shared" si="51"/>
        <v>505.73</v>
      </c>
      <c r="Q48" s="743">
        <f t="shared" si="51"/>
        <v>592.14599999999996</v>
      </c>
      <c r="R48" s="743">
        <f t="shared" si="51"/>
        <v>631.42600000000004</v>
      </c>
      <c r="S48" s="743">
        <f t="shared" si="51"/>
        <v>636.33600000000001</v>
      </c>
      <c r="T48" s="743">
        <f t="shared" si="51"/>
        <v>614.73199999999997</v>
      </c>
      <c r="U48" s="743">
        <f t="shared" si="51"/>
        <v>578.39800000000002</v>
      </c>
      <c r="V48" s="743">
        <f t="shared" si="51"/>
        <v>529.298</v>
      </c>
      <c r="W48" s="743">
        <f t="shared" si="51"/>
        <v>444.846</v>
      </c>
      <c r="X48" s="743">
        <f t="shared" si="51"/>
        <v>352.53800000000001</v>
      </c>
      <c r="Y48" s="743">
        <f t="shared" si="51"/>
        <v>275.94200000000001</v>
      </c>
      <c r="Z48" s="778">
        <f t="shared" si="51"/>
        <v>247.464</v>
      </c>
      <c r="AA48" s="776">
        <f t="shared" si="51"/>
        <v>308.34800000000001</v>
      </c>
      <c r="AD48" s="7"/>
      <c r="AE48" s="7"/>
      <c r="AF48" s="7"/>
      <c r="AH48" s="7"/>
      <c r="AI48" s="74"/>
      <c r="AO48" s="1055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53">
        <f t="shared" si="14"/>
        <v>7.1428571428571425E-2</v>
      </c>
      <c r="AT48" s="769">
        <f t="shared" si="15"/>
        <v>34.889230341357845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53">
        <f t="shared" si="19"/>
        <v>0.5714285714285714</v>
      </c>
      <c r="AY48" s="769">
        <f t="shared" si="20"/>
        <v>34.630337841928544</v>
      </c>
      <c r="AZ48" s="746">
        <f t="shared" si="26"/>
        <v>34.759784091643198</v>
      </c>
      <c r="BA48" s="643">
        <f t="shared" si="21"/>
        <v>0.78623268578279193</v>
      </c>
      <c r="BC48" s="11">
        <v>43134</v>
      </c>
      <c r="BD48" s="290">
        <f>[2]!FeuilCaduc*(1-Persistant)+Persistant</f>
        <v>0.60012488414550325</v>
      </c>
      <c r="BE48" s="291">
        <f>[2]!CroissVégét</f>
        <v>3.9995273885343324E-3</v>
      </c>
      <c r="BF48" s="816">
        <f>1+[2]!Salcycl*Ksac</f>
        <v>1.0000156105181879</v>
      </c>
      <c r="BH48" s="1053">
        <f t="shared" si="22"/>
        <v>1.7587684586891804E-3</v>
      </c>
      <c r="BI48" s="11">
        <v>44230</v>
      </c>
      <c r="BJ48" s="726">
        <v>4.5744369077805718E-4</v>
      </c>
      <c r="BK48" s="726">
        <v>8.1313311082692702E-4</v>
      </c>
      <c r="BL48" s="726">
        <v>1.2422760231647098E-3</v>
      </c>
      <c r="BM48" s="726">
        <v>1.7601203893897219E-3</v>
      </c>
      <c r="BN48" s="726">
        <v>2.3835687491559972E-3</v>
      </c>
      <c r="BO48" s="727">
        <v>3.459992441591786E-3</v>
      </c>
      <c r="BP48" s="726">
        <v>4.8750173724736012E-3</v>
      </c>
      <c r="BQ48" s="726">
        <v>7.4525922414337593E-3</v>
      </c>
      <c r="BR48" s="726">
        <v>1.0912710111118763E-2</v>
      </c>
      <c r="BS48" s="726">
        <v>1.5882406562114048E-2</v>
      </c>
      <c r="BT48" s="726">
        <v>2.1486822069453435E-2</v>
      </c>
      <c r="BW48" s="1186">
        <f>'2018'!R\Max</f>
        <v>0</v>
      </c>
      <c r="BX48" s="1184">
        <f>'2019'!R\Max</f>
        <v>0.39824836934609198</v>
      </c>
      <c r="BY48" s="1184">
        <f>'2020'!R\Max</f>
        <v>0.78623268578279193</v>
      </c>
      <c r="BZ48" s="1184">
        <f>'2021'!R\Max</f>
        <v>0.66716987122581539</v>
      </c>
      <c r="CA48" s="1184">
        <f>'2022'!R\Max</f>
        <v>0.31790492969692002</v>
      </c>
      <c r="CB48" s="1184">
        <f>'2023'!R\Max</f>
        <v>0.31788795485061733</v>
      </c>
      <c r="CC48" s="1184">
        <f>'2024'!R\Max</f>
        <v>0.31787097498958095</v>
      </c>
      <c r="CD48" s="1184">
        <f>'2025'!R\Max</f>
        <v>0.3178400618248266</v>
      </c>
      <c r="CE48" s="1184">
        <f>'2026'!R\Max</f>
        <v>0.31793861138876489</v>
      </c>
      <c r="CF48" s="1185">
        <f>'2027'!R\Max</f>
        <v>0.31793113027008879</v>
      </c>
    </row>
    <row r="49" spans="1:84" s="6" customFormat="1" ht="11.25" x14ac:dyDescent="0.2">
      <c r="A49" s="11">
        <v>43135</v>
      </c>
      <c r="B49" s="380">
        <f>'2022'!Maxi_hp</f>
        <v>27.911356460515268</v>
      </c>
      <c r="C49" s="13">
        <f>'2022'!An_max</f>
        <v>2019</v>
      </c>
      <c r="D49" s="1062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53">
        <f t="shared" si="9"/>
        <v>0.9285714285714286</v>
      </c>
      <c r="J49" s="746">
        <f t="shared" si="27"/>
        <v>35.206131486814201</v>
      </c>
      <c r="L49" s="755" t="s">
        <v>214</v>
      </c>
      <c r="M49" s="782">
        <f t="shared" ref="M49:AA49" si="52">N43</f>
        <v>43122</v>
      </c>
      <c r="N49" s="738">
        <f t="shared" si="52"/>
        <v>43150</v>
      </c>
      <c r="O49" s="738">
        <f t="shared" si="52"/>
        <v>43178</v>
      </c>
      <c r="P49" s="738">
        <f t="shared" si="52"/>
        <v>43206</v>
      </c>
      <c r="Q49" s="738">
        <f t="shared" si="52"/>
        <v>43234</v>
      </c>
      <c r="R49" s="738">
        <f t="shared" si="52"/>
        <v>43262</v>
      </c>
      <c r="S49" s="738">
        <f t="shared" si="52"/>
        <v>43290</v>
      </c>
      <c r="T49" s="738">
        <f t="shared" si="52"/>
        <v>43318</v>
      </c>
      <c r="U49" s="738">
        <f t="shared" si="52"/>
        <v>43346</v>
      </c>
      <c r="V49" s="738">
        <f t="shared" si="52"/>
        <v>43374</v>
      </c>
      <c r="W49" s="738">
        <f t="shared" si="52"/>
        <v>43402</v>
      </c>
      <c r="X49" s="738">
        <f t="shared" si="52"/>
        <v>43430</v>
      </c>
      <c r="Y49" s="738">
        <f t="shared" si="52"/>
        <v>43458</v>
      </c>
      <c r="Z49" s="788">
        <f t="shared" si="52"/>
        <v>43487</v>
      </c>
      <c r="AA49" s="786">
        <f t="shared" si="52"/>
        <v>43515</v>
      </c>
      <c r="AD49" s="7"/>
      <c r="AE49" s="7"/>
      <c r="AF49" s="7"/>
      <c r="AH49" s="7"/>
      <c r="AI49" s="74"/>
      <c r="AO49" s="1055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53">
        <f t="shared" si="14"/>
        <v>3.5714285714285712E-2</v>
      </c>
      <c r="AT49" s="769">
        <f t="shared" si="15"/>
        <v>35.220421122533402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53">
        <f t="shared" si="19"/>
        <v>0.5357142857142857</v>
      </c>
      <c r="AY49" s="769">
        <f t="shared" si="20"/>
        <v>34.978910487328122</v>
      </c>
      <c r="AZ49" s="746">
        <f t="shared" si="26"/>
        <v>35.099665804930765</v>
      </c>
      <c r="BA49" s="643">
        <f t="shared" si="21"/>
        <v>0.79279816559706218</v>
      </c>
      <c r="BC49" s="11">
        <v>43135</v>
      </c>
      <c r="BD49" s="290">
        <f>[2]!FeuilCaduc*(1-Persistant)+Persistant</f>
        <v>0.60018269193090101</v>
      </c>
      <c r="BE49" s="291">
        <f>[2]!CroissVégét</f>
        <v>4.2244610672662677E-3</v>
      </c>
      <c r="BF49" s="816">
        <f>1+[2]!Salcycl*Ksac</f>
        <v>1.0000228364913626</v>
      </c>
      <c r="BH49" s="1053">
        <f t="shared" si="22"/>
        <v>1.7545763271181454E-3</v>
      </c>
      <c r="BI49" s="11">
        <v>44231</v>
      </c>
      <c r="BJ49" s="726">
        <v>4.5945786323178085E-4</v>
      </c>
      <c r="BK49" s="726">
        <v>8.1577039778529814E-4</v>
      </c>
      <c r="BL49" s="726">
        <v>1.2429003155254624E-3</v>
      </c>
      <c r="BM49" s="726">
        <v>1.7559156507194686E-3</v>
      </c>
      <c r="BN49" s="726">
        <v>2.3688772768612637E-3</v>
      </c>
      <c r="BO49" s="727">
        <v>3.4162452920711277E-3</v>
      </c>
      <c r="BP49" s="726">
        <v>4.7853867130262344E-3</v>
      </c>
      <c r="BQ49" s="726">
        <v>7.2923666447113344E-3</v>
      </c>
      <c r="BR49" s="726">
        <v>1.0698908404029501E-2</v>
      </c>
      <c r="BS49" s="726">
        <v>1.5664759586502462E-2</v>
      </c>
      <c r="BT49" s="726">
        <v>2.1325997826690007E-2</v>
      </c>
      <c r="BW49" s="1186">
        <f>'2018'!R\Max</f>
        <v>0</v>
      </c>
      <c r="BX49" s="1184">
        <f>'2019'!R\Max</f>
        <v>0.79279816559706218</v>
      </c>
      <c r="BY49" s="1184">
        <f>'2020'!R\Max</f>
        <v>0.51421351645412339</v>
      </c>
      <c r="BZ49" s="1184">
        <f>'2021'!R\Max</f>
        <v>0.48302464417439533</v>
      </c>
      <c r="CA49" s="1184">
        <f>'2022'!R\Max</f>
        <v>0.31172085452598347</v>
      </c>
      <c r="CB49" s="1184">
        <f>'2023'!R\Max</f>
        <v>0.31170476072842301</v>
      </c>
      <c r="CC49" s="1184">
        <f>'2024'!R\Max</f>
        <v>0.31168866312855065</v>
      </c>
      <c r="CD49" s="1184">
        <f>'2025'!R\Max</f>
        <v>0.31165920073490344</v>
      </c>
      <c r="CE49" s="1184">
        <f>'2026'!R\Max</f>
        <v>0.31175304505855705</v>
      </c>
      <c r="CF49" s="1185">
        <f>'2027'!R\Max</f>
        <v>0.31174583823988117</v>
      </c>
    </row>
    <row r="50" spans="1:84" s="6" customFormat="1" ht="11.25" x14ac:dyDescent="0.2">
      <c r="A50" s="11">
        <v>43136</v>
      </c>
      <c r="B50" s="380">
        <f>'2022'!Maxi_hp</f>
        <v>35.533389786711119</v>
      </c>
      <c r="C50" s="13">
        <f>'2022'!An_max</f>
        <v>2020</v>
      </c>
      <c r="D50" s="1062">
        <f t="shared" si="7"/>
        <v>0.99957775277613303</v>
      </c>
      <c r="E50" s="1057">
        <f>P$13/10</f>
        <v>35.548400000000001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53">
        <f t="shared" si="9"/>
        <v>1</v>
      </c>
      <c r="J50" s="746">
        <f t="shared" si="27"/>
        <v>35.548399999924001</v>
      </c>
      <c r="L50" s="755" t="s">
        <v>215</v>
      </c>
      <c r="M50" s="783">
        <f t="shared" ref="M50:AA50" si="53">N44</f>
        <v>308.34800000000001</v>
      </c>
      <c r="N50" s="743">
        <f t="shared" si="53"/>
        <v>403.60199999999998</v>
      </c>
      <c r="O50" s="743">
        <f t="shared" si="53"/>
        <v>505.73</v>
      </c>
      <c r="P50" s="743">
        <f t="shared" si="53"/>
        <v>592.14599999999996</v>
      </c>
      <c r="Q50" s="743">
        <f t="shared" si="53"/>
        <v>631.42600000000004</v>
      </c>
      <c r="R50" s="743">
        <f t="shared" si="53"/>
        <v>636.33600000000001</v>
      </c>
      <c r="S50" s="743">
        <f t="shared" si="53"/>
        <v>614.73199999999997</v>
      </c>
      <c r="T50" s="743">
        <f t="shared" si="53"/>
        <v>578.39800000000002</v>
      </c>
      <c r="U50" s="743">
        <f t="shared" si="53"/>
        <v>529.298</v>
      </c>
      <c r="V50" s="743">
        <f t="shared" si="53"/>
        <v>444.846</v>
      </c>
      <c r="W50" s="743">
        <f t="shared" si="53"/>
        <v>352.53800000000001</v>
      </c>
      <c r="X50" s="743">
        <f t="shared" si="53"/>
        <v>275.94200000000001</v>
      </c>
      <c r="Y50" s="743">
        <f t="shared" si="53"/>
        <v>247.464</v>
      </c>
      <c r="Z50" s="789">
        <f t="shared" si="53"/>
        <v>308.34800000000001</v>
      </c>
      <c r="AA50" s="776">
        <f t="shared" si="53"/>
        <v>403.60199999999998</v>
      </c>
      <c r="AD50" s="7"/>
      <c r="AE50" s="7"/>
      <c r="AF50" s="7"/>
      <c r="AH50" s="7"/>
      <c r="AI50" s="74"/>
      <c r="AO50" s="1055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53">
        <f t="shared" si="14"/>
        <v>0</v>
      </c>
      <c r="AT50" s="769">
        <f t="shared" si="15"/>
        <v>35.54839999973774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53">
        <f t="shared" si="19"/>
        <v>0.5</v>
      </c>
      <c r="AY50" s="769">
        <f t="shared" si="20"/>
        <v>35.330602291226384</v>
      </c>
      <c r="AZ50" s="746">
        <f t="shared" si="26"/>
        <v>35.439501145482062</v>
      </c>
      <c r="BA50" s="643">
        <f t="shared" si="21"/>
        <v>0.99957775277613303</v>
      </c>
      <c r="BC50" s="11">
        <v>43136</v>
      </c>
      <c r="BD50" s="290">
        <f>[2]!FeuilCaduc*(1-Persistant)+Persistant</f>
        <v>0.60025063350584451</v>
      </c>
      <c r="BE50" s="291">
        <f>[2]!CroissVégét</f>
        <v>4.4587231488279668E-3</v>
      </c>
      <c r="BF50" s="816">
        <f>1+[2]!Salcycl*Ksac</f>
        <v>1.0000313291882306</v>
      </c>
      <c r="BH50" s="1053">
        <f t="shared" si="22"/>
        <v>1.7543209744738176E-3</v>
      </c>
      <c r="BI50" s="11">
        <v>44232</v>
      </c>
      <c r="BJ50" s="726">
        <v>4.6203726242752805E-4</v>
      </c>
      <c r="BK50" s="726">
        <v>8.1973272113162218E-4</v>
      </c>
      <c r="BL50" s="726">
        <v>1.2458387378372245E-3</v>
      </c>
      <c r="BM50" s="726">
        <v>1.7556519382965327E-3</v>
      </c>
      <c r="BN50" s="726">
        <v>2.3608053155946026E-3</v>
      </c>
      <c r="BO50" s="727">
        <v>3.3813876577291832E-3</v>
      </c>
      <c r="BP50" s="726">
        <v>4.7078387157403097E-3</v>
      </c>
      <c r="BQ50" s="726">
        <v>7.1426049978031043E-3</v>
      </c>
      <c r="BR50" s="726">
        <v>1.0490916711426363E-2</v>
      </c>
      <c r="BS50" s="726">
        <v>1.5445648322064335E-2</v>
      </c>
      <c r="BT50" s="726">
        <v>2.115914183002035E-2</v>
      </c>
      <c r="BW50" s="1186">
        <f>'2018'!R\Max</f>
        <v>0</v>
      </c>
      <c r="BX50" s="1184">
        <f>'2019'!R\Max</f>
        <v>0.11078401028311217</v>
      </c>
      <c r="BY50" s="1184">
        <f>'2020'!R\Max</f>
        <v>0.99957775277613303</v>
      </c>
      <c r="BZ50" s="1184">
        <f>'2021'!R\Max</f>
        <v>0.41012121670384977</v>
      </c>
      <c r="CA50" s="1184">
        <f>'2022'!R\Max</f>
        <v>0.2987179368976387</v>
      </c>
      <c r="CB50" s="1184">
        <f>'2023'!R\Max</f>
        <v>0.29870288383774984</v>
      </c>
      <c r="CC50" s="1184">
        <f>'2024'!R\Max</f>
        <v>0.29868782812797917</v>
      </c>
      <c r="CD50" s="1184">
        <f>'2025'!R\Max</f>
        <v>0.29866020223652501</v>
      </c>
      <c r="CE50" s="1184">
        <f>'2026'!R\Max</f>
        <v>0.2987483132605665</v>
      </c>
      <c r="CF50" s="1185">
        <f>'2027'!R\Max</f>
        <v>0.29874144454606683</v>
      </c>
    </row>
    <row r="51" spans="1:84" s="6" customFormat="1" ht="11.25" x14ac:dyDescent="0.2">
      <c r="A51" s="11">
        <v>43137</v>
      </c>
      <c r="B51" s="380">
        <f>'2022'!Maxi_hp</f>
        <v>37.103452774243969</v>
      </c>
      <c r="C51" s="13">
        <f>'2022'!An_max</f>
        <v>2020</v>
      </c>
      <c r="D51" s="1062">
        <f t="shared" si="7"/>
        <v>1.0338570507586877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53">
        <f t="shared" si="9"/>
        <v>0.9285714285714286</v>
      </c>
      <c r="J51" s="746">
        <f t="shared" si="27"/>
        <v>35.888378134110411</v>
      </c>
      <c r="L51" s="756" t="s">
        <v>216</v>
      </c>
      <c r="M51" s="740">
        <f t="shared" ref="M51:AA51" si="54">x.1ld*x.1ld-x.2ld*x.2ld</f>
        <v>-2412424</v>
      </c>
      <c r="N51" s="740">
        <f t="shared" si="54"/>
        <v>-2500235</v>
      </c>
      <c r="O51" s="740">
        <f t="shared" si="54"/>
        <v>-2415616</v>
      </c>
      <c r="P51" s="740">
        <f t="shared" si="54"/>
        <v>-2417184</v>
      </c>
      <c r="Q51" s="740">
        <f t="shared" si="54"/>
        <v>-2418752</v>
      </c>
      <c r="R51" s="740">
        <f t="shared" si="54"/>
        <v>-2420320</v>
      </c>
      <c r="S51" s="740">
        <f t="shared" si="54"/>
        <v>-2421888</v>
      </c>
      <c r="T51" s="740">
        <f t="shared" si="54"/>
        <v>-2423456</v>
      </c>
      <c r="U51" s="740">
        <f t="shared" si="54"/>
        <v>-2425024</v>
      </c>
      <c r="V51" s="740">
        <f t="shared" si="54"/>
        <v>-2426592</v>
      </c>
      <c r="W51" s="740">
        <f t="shared" si="54"/>
        <v>-2428160</v>
      </c>
      <c r="X51" s="740">
        <f t="shared" si="54"/>
        <v>-2429728</v>
      </c>
      <c r="Y51" s="740">
        <f t="shared" si="54"/>
        <v>-2431296</v>
      </c>
      <c r="Z51" s="740">
        <f t="shared" si="54"/>
        <v>-2432864</v>
      </c>
      <c r="AA51" s="740">
        <f t="shared" si="54"/>
        <v>-2521405</v>
      </c>
      <c r="AC51" s="7"/>
      <c r="AD51" s="7"/>
      <c r="AE51" s="7"/>
      <c r="AF51" s="7"/>
      <c r="AH51" s="7"/>
      <c r="AI51" s="74"/>
      <c r="AO51" s="1055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53">
        <f t="shared" si="14"/>
        <v>3.5714285714285712E-2</v>
      </c>
      <c r="AT51" s="769">
        <f t="shared" si="15"/>
        <v>35.876472189248723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53">
        <f t="shared" si="19"/>
        <v>0.4642857142857143</v>
      </c>
      <c r="AY51" s="769">
        <f t="shared" si="20"/>
        <v>35.685017540951129</v>
      </c>
      <c r="AZ51" s="746">
        <f t="shared" si="26"/>
        <v>35.780744865099926</v>
      </c>
      <c r="BA51" s="643">
        <f t="shared" si="21"/>
        <v>1.0338570507586877</v>
      </c>
      <c r="BC51" s="11">
        <v>43137</v>
      </c>
      <c r="BD51" s="290">
        <f>[2]!FeuilCaduc*(1-Persistant)+Persistant</f>
        <v>0.60032803951137059</v>
      </c>
      <c r="BE51" s="291">
        <f>[2]!CroissVégét</f>
        <v>4.7026958080162657E-3</v>
      </c>
      <c r="BF51" s="816">
        <f>1+[2]!Salcycl*Ksac</f>
        <v>1.0000410049389212</v>
      </c>
      <c r="BH51" s="1053">
        <f t="shared" si="22"/>
        <v>1.7580037504307921E-3</v>
      </c>
      <c r="BI51" s="11">
        <v>44233</v>
      </c>
      <c r="BJ51" s="726">
        <v>4.6518229094846147E-4</v>
      </c>
      <c r="BK51" s="726">
        <v>8.2502073855776582E-4</v>
      </c>
      <c r="BL51" s="726">
        <v>1.2510922881843411E-3</v>
      </c>
      <c r="BM51" s="726">
        <v>1.7593306027158047E-3</v>
      </c>
      <c r="BN51" s="726">
        <v>2.3593545559070844E-3</v>
      </c>
      <c r="BO51" s="727">
        <v>3.3554225620373492E-3</v>
      </c>
      <c r="BP51" s="726">
        <v>4.6423782451174471E-3</v>
      </c>
      <c r="BQ51" s="726">
        <v>7.0033170227768986E-3</v>
      </c>
      <c r="BR51" s="726">
        <v>1.0288751118049751E-2</v>
      </c>
      <c r="BS51" s="726">
        <v>1.5225096820930536E-2</v>
      </c>
      <c r="BT51" s="726">
        <v>2.0986285172312085E-2</v>
      </c>
      <c r="BW51" s="1186">
        <f>'2018'!R\Max</f>
        <v>0</v>
      </c>
      <c r="BX51" s="1184">
        <f>'2019'!R\Max</f>
        <v>0.30723971944864864</v>
      </c>
      <c r="BY51" s="1184">
        <f>'2020'!R\Max</f>
        <v>1.0338570507586877</v>
      </c>
      <c r="BZ51" s="1184">
        <f>'2021'!R\Max</f>
        <v>0.29356161084271681</v>
      </c>
      <c r="CA51" s="1184">
        <f>'2022'!R\Max</f>
        <v>0.67704448316844978</v>
      </c>
      <c r="CB51" s="1184">
        <f>'2023'!R\Max</f>
        <v>0.67702935337836578</v>
      </c>
      <c r="CC51" s="1184">
        <f>'2024'!R\Max</f>
        <v>0.6770142210224932</v>
      </c>
      <c r="CD51" s="1184">
        <f>'2025'!R\Max</f>
        <v>0.67698646500626547</v>
      </c>
      <c r="CE51" s="1184">
        <f>'2026'!R\Max</f>
        <v>0.67707530857719056</v>
      </c>
      <c r="CF51" s="1185">
        <f>'2027'!R\Max</f>
        <v>0.67706825455771646</v>
      </c>
    </row>
    <row r="52" spans="1:84" s="6" customFormat="1" ht="11.25" x14ac:dyDescent="0.2">
      <c r="A52" s="11">
        <v>43138</v>
      </c>
      <c r="B52" s="380">
        <f>'2022'!Maxi_hp</f>
        <v>25.358898167859724</v>
      </c>
      <c r="C52" s="13">
        <f>'2022'!An_max</f>
        <v>2020</v>
      </c>
      <c r="D52" s="1062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53">
        <f t="shared" si="9"/>
        <v>0.8571428571428571</v>
      </c>
      <c r="J52" s="746">
        <f t="shared" si="27"/>
        <v>36.22806997086321</v>
      </c>
      <c r="L52" s="756" t="s">
        <v>217</v>
      </c>
      <c r="M52" s="740">
        <f t="shared" ref="M52:AA52" si="55">x.2ld*x.2ld-x.3ld*x.3ld</f>
        <v>-2500235</v>
      </c>
      <c r="N52" s="740">
        <f t="shared" si="55"/>
        <v>-2415616</v>
      </c>
      <c r="O52" s="740">
        <f t="shared" si="55"/>
        <v>-2417184</v>
      </c>
      <c r="P52" s="740">
        <f t="shared" si="55"/>
        <v>-2418752</v>
      </c>
      <c r="Q52" s="740">
        <f t="shared" si="55"/>
        <v>-2420320</v>
      </c>
      <c r="R52" s="740">
        <f t="shared" si="55"/>
        <v>-2421888</v>
      </c>
      <c r="S52" s="740">
        <f t="shared" si="55"/>
        <v>-2423456</v>
      </c>
      <c r="T52" s="740">
        <f t="shared" si="55"/>
        <v>-2425024</v>
      </c>
      <c r="U52" s="740">
        <f t="shared" si="55"/>
        <v>-2426592</v>
      </c>
      <c r="V52" s="740">
        <f t="shared" si="55"/>
        <v>-2428160</v>
      </c>
      <c r="W52" s="740">
        <f t="shared" si="55"/>
        <v>-2429728</v>
      </c>
      <c r="X52" s="740">
        <f t="shared" si="55"/>
        <v>-2431296</v>
      </c>
      <c r="Y52" s="740">
        <f t="shared" si="55"/>
        <v>-2432864</v>
      </c>
      <c r="Z52" s="740">
        <f t="shared" si="55"/>
        <v>-2521405</v>
      </c>
      <c r="AA52" s="740">
        <f t="shared" si="55"/>
        <v>-2436056</v>
      </c>
      <c r="AC52" s="7"/>
      <c r="AD52" s="7"/>
      <c r="AE52" s="7"/>
      <c r="AF52" s="7"/>
      <c r="AH52" s="7"/>
      <c r="AI52" s="74"/>
      <c r="AO52" s="1055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53">
        <f t="shared" si="14"/>
        <v>7.1428571428571425E-2</v>
      </c>
      <c r="AT52" s="769">
        <f t="shared" si="15"/>
        <v>36.208225983836122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53">
        <f t="shared" si="19"/>
        <v>0.42857142857142855</v>
      </c>
      <c r="AY52" s="769">
        <f t="shared" si="20"/>
        <v>36.041760524734855</v>
      </c>
      <c r="AZ52" s="746">
        <f t="shared" si="26"/>
        <v>36.124993254285485</v>
      </c>
      <c r="BA52" s="643">
        <f t="shared" si="21"/>
        <v>0.6999792754141988</v>
      </c>
      <c r="BC52" s="11">
        <v>43138</v>
      </c>
      <c r="BD52" s="290">
        <f>[2]!FeuilCaduc*(1-Persistant)+Persistant</f>
        <v>0.60041417840130806</v>
      </c>
      <c r="BE52" s="291">
        <f>[2]!CroissVégét</f>
        <v>4.9567764778191995E-3</v>
      </c>
      <c r="BF52" s="816">
        <f>1+[2]!Salcycl*Ksac</f>
        <v>1.0000517723001634</v>
      </c>
      <c r="BH52" s="1053">
        <f t="shared" si="22"/>
        <v>1.7687365080557545E-3</v>
      </c>
      <c r="BI52" s="11">
        <v>44234</v>
      </c>
      <c r="BJ52" s="726">
        <v>4.6708099316541718E-4</v>
      </c>
      <c r="BK52" s="726">
        <v>8.3101469767937189E-4</v>
      </c>
      <c r="BL52" s="726">
        <v>1.2597033347848774E-3</v>
      </c>
      <c r="BM52" s="726">
        <v>1.7700689139676438E-3</v>
      </c>
      <c r="BN52" s="726">
        <v>2.36995335051586E-3</v>
      </c>
      <c r="BO52" s="727">
        <v>3.3463088147022649E-3</v>
      </c>
      <c r="BP52" s="726">
        <v>4.6000021322034354E-3</v>
      </c>
      <c r="BQ52" s="726">
        <v>6.8890569885262576E-3</v>
      </c>
      <c r="BR52" s="726">
        <v>1.0109804213004076E-2</v>
      </c>
      <c r="BS52" s="726">
        <v>1.501877355631618E-2</v>
      </c>
      <c r="BT52" s="726">
        <v>2.0816809090191127E-2</v>
      </c>
      <c r="BW52" s="1186">
        <f>'2018'!R\Max</f>
        <v>0</v>
      </c>
      <c r="BX52" s="1184">
        <f>'2019'!R\Max</f>
        <v>0.20249872283504589</v>
      </c>
      <c r="BY52" s="1184">
        <f>'2020'!R\Max</f>
        <v>0.6999792754141988</v>
      </c>
      <c r="BZ52" s="1184">
        <f>'2021'!R\Max</f>
        <v>0.54909619998691073</v>
      </c>
      <c r="CA52" s="1184">
        <f>'2022'!R\Max</f>
        <v>0.28780052342651685</v>
      </c>
      <c r="CB52" s="1184">
        <f>'2023'!R\Max</f>
        <v>0.28778706802392751</v>
      </c>
      <c r="CC52" s="1184">
        <f>'2024'!R\Max</f>
        <v>0.28777361183184197</v>
      </c>
      <c r="CD52" s="1184">
        <f>'2025'!R\Max</f>
        <v>0.28774904580599925</v>
      </c>
      <c r="CE52" s="1184">
        <f>'2026'!R\Max</f>
        <v>0.28782824175854871</v>
      </c>
      <c r="CF52" s="1185">
        <f>'2027'!R\Max</f>
        <v>0.28782180305452532</v>
      </c>
    </row>
    <row r="53" spans="1:84" s="6" customFormat="1" ht="11.25" x14ac:dyDescent="0.2">
      <c r="A53" s="11">
        <v>43139</v>
      </c>
      <c r="B53" s="380">
        <f>'2022'!Maxi_hp</f>
        <v>36.552695320269571</v>
      </c>
      <c r="C53" s="13">
        <f>'2022'!An_max</f>
        <v>2022</v>
      </c>
      <c r="D53" s="1062">
        <f t="shared" si="7"/>
        <v>0.99958994093194287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53">
        <f t="shared" si="9"/>
        <v>0.7857142857142857</v>
      </c>
      <c r="J53" s="746">
        <f t="shared" si="27"/>
        <v>36.567690233247617</v>
      </c>
      <c r="L53" s="756" t="s">
        <v>218</v>
      </c>
      <c r="M53" s="740">
        <f t="shared" ref="M53:AA53" si="56">(y.1ld-y.2ld-b.ld*(x.1ld-x.2ld))/D2x12Ld</f>
        <v>5.4675784288303879E-2</v>
      </c>
      <c r="N53" s="740">
        <f t="shared" si="56"/>
        <v>2.2850531501163944E-2</v>
      </c>
      <c r="O53" s="740">
        <f t="shared" si="56"/>
        <v>4.3839285714281275E-3</v>
      </c>
      <c r="P53" s="740">
        <f t="shared" si="56"/>
        <v>-1.002040816326682E-2</v>
      </c>
      <c r="Q53" s="740">
        <f t="shared" si="56"/>
        <v>-3.0061224489797068E-2</v>
      </c>
      <c r="R53" s="740">
        <f t="shared" si="56"/>
        <v>-2.1919642857144733E-2</v>
      </c>
      <c r="S53" s="740">
        <f t="shared" si="56"/>
        <v>-1.6909438775508077E-2</v>
      </c>
      <c r="T53" s="740">
        <f t="shared" si="56"/>
        <v>-9.3941326530627388E-3</v>
      </c>
      <c r="U53" s="740">
        <f t="shared" si="56"/>
        <v>-8.1415816326539294E-3</v>
      </c>
      <c r="V53" s="740">
        <f t="shared" si="56"/>
        <v>-2.2545918367345246E-2</v>
      </c>
      <c r="W53" s="740">
        <f t="shared" si="56"/>
        <v>-5.0102040816325036E-3</v>
      </c>
      <c r="X53" s="740">
        <f t="shared" si="56"/>
        <v>1.0020408163264671E-2</v>
      </c>
      <c r="Y53" s="740">
        <f t="shared" si="56"/>
        <v>3.0687499999997484E-2</v>
      </c>
      <c r="Z53" s="740">
        <f t="shared" si="56"/>
        <v>5.4675784288299903E-2</v>
      </c>
      <c r="AA53" s="740">
        <f t="shared" si="56"/>
        <v>2.2850531501169283E-2</v>
      </c>
      <c r="AC53" s="7"/>
      <c r="AD53" s="7"/>
      <c r="AE53" s="7"/>
      <c r="AF53" s="7"/>
      <c r="AH53" s="7"/>
      <c r="AI53" s="74"/>
      <c r="AO53" s="1055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53">
        <f t="shared" si="14"/>
        <v>0.10714285714285714</v>
      </c>
      <c r="AT53" s="769">
        <f t="shared" si="15"/>
        <v>36.54346008101254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53">
        <f t="shared" si="19"/>
        <v>0.39285714285714285</v>
      </c>
      <c r="AY53" s="769">
        <f t="shared" si="20"/>
        <v>36.400435527799914</v>
      </c>
      <c r="AZ53" s="746">
        <f t="shared" si="26"/>
        <v>36.471947804406227</v>
      </c>
      <c r="BA53" s="643">
        <f t="shared" si="21"/>
        <v>0.99958994093194287</v>
      </c>
      <c r="BC53" s="11">
        <v>43139</v>
      </c>
      <c r="BD53" s="290">
        <f>[2]!FeuilCaduc*(1-Persistant)+Persistant</f>
        <v>0.60050826483977415</v>
      </c>
      <c r="BE53" s="291">
        <f>[2]!CroissVégét</f>
        <v>5.2213784245517241E-3</v>
      </c>
      <c r="BF53" s="816">
        <f>1+[2]!Salcycl*Ksac</f>
        <v>1.0000635331049719</v>
      </c>
      <c r="BH53" s="1053">
        <f t="shared" si="22"/>
        <v>1.7862753996817475E-3</v>
      </c>
      <c r="BI53" s="11">
        <v>44235</v>
      </c>
      <c r="BJ53" s="726">
        <v>4.672092518120557E-4</v>
      </c>
      <c r="BK53" s="726">
        <v>8.3754383725754568E-4</v>
      </c>
      <c r="BL53" s="726">
        <v>1.2716929477455377E-3</v>
      </c>
      <c r="BM53" s="726">
        <v>1.7876223309567932E-3</v>
      </c>
      <c r="BN53" s="726">
        <v>2.3913234158855672E-3</v>
      </c>
      <c r="BO53" s="727">
        <v>3.3513579324283092E-3</v>
      </c>
      <c r="BP53" s="726">
        <v>4.5764070040390618E-3</v>
      </c>
      <c r="BQ53" s="726">
        <v>6.799071887076946E-3</v>
      </c>
      <c r="BR53" s="726">
        <v>9.9575632443233662E-3</v>
      </c>
      <c r="BS53" s="726">
        <v>1.4833362142345853E-2</v>
      </c>
      <c r="BT53" s="726">
        <v>2.065433479083954E-2</v>
      </c>
      <c r="BW53" s="1186">
        <f>'2018'!R\Max</f>
        <v>0</v>
      </c>
      <c r="BX53" s="1184">
        <f>'2019'!R\Max</f>
        <v>0.85293480600708205</v>
      </c>
      <c r="BY53" s="1184">
        <f>'2020'!R\Max</f>
        <v>0.81877388564221665</v>
      </c>
      <c r="BZ53" s="1184">
        <f>'2021'!R\Max</f>
        <v>0.13666249888676851</v>
      </c>
      <c r="CA53" s="1184">
        <f>'2022'!R\Max</f>
        <v>0.99958994093194287</v>
      </c>
      <c r="CB53" s="1184">
        <f>'2023'!R\Max</f>
        <v>0.9995899144240048</v>
      </c>
      <c r="CC53" s="1184">
        <f>'2024'!R\Max</f>
        <v>0.99958988791366399</v>
      </c>
      <c r="CD53" s="1184">
        <f>'2025'!R\Max</f>
        <v>0.99958983980858485</v>
      </c>
      <c r="CE53" s="1184">
        <f>'2026'!R\Max</f>
        <v>0.99958999618708788</v>
      </c>
      <c r="CF53" s="1185">
        <f>'2027'!R\Max</f>
        <v>0.9995899831268048</v>
      </c>
    </row>
    <row r="54" spans="1:84" s="6" customFormat="1" ht="11.25" x14ac:dyDescent="0.2">
      <c r="A54" s="11">
        <v>43140</v>
      </c>
      <c r="B54" s="380">
        <f>'2022'!Maxi_hp</f>
        <v>36.795972708739512</v>
      </c>
      <c r="C54" s="13">
        <f>'2022'!An_max</f>
        <v>2022</v>
      </c>
      <c r="D54" s="1062">
        <f t="shared" si="7"/>
        <v>0.99697944657186344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53">
        <f t="shared" si="9"/>
        <v>0.7142857142857143</v>
      </c>
      <c r="J54" s="746">
        <f t="shared" si="27"/>
        <v>36.9074536443688</v>
      </c>
      <c r="L54" s="756" t="s">
        <v>219</v>
      </c>
      <c r="M54" s="740">
        <f t="shared" ref="M54:AA54" si="57">(y.2ld-y.3ld-(y.1ld-y.2ld)*D2x23Ld/D2x12Ld)/(x.2ld-x.3ld)/(1-(x.2ld+x.3ld)/(x.1ld+x.2ld))</f>
        <v>-4711.7732941402573</v>
      </c>
      <c r="N54" s="740">
        <f t="shared" si="57"/>
        <v>-1967.9591250969875</v>
      </c>
      <c r="O54" s="740">
        <f t="shared" si="57"/>
        <v>-374.80835714281881</v>
      </c>
      <c r="P54" s="740">
        <f t="shared" si="57"/>
        <v>868.68922448992657</v>
      </c>
      <c r="Q54" s="740">
        <f t="shared" si="57"/>
        <v>2599.8951020409154</v>
      </c>
      <c r="R54" s="740">
        <f t="shared" si="57"/>
        <v>1896.1367857144478</v>
      </c>
      <c r="S54" s="740">
        <f t="shared" si="57"/>
        <v>1462.774173469204</v>
      </c>
      <c r="T54" s="740">
        <f t="shared" si="57"/>
        <v>812.30939795931477</v>
      </c>
      <c r="U54" s="740">
        <f t="shared" si="57"/>
        <v>703.82845918374869</v>
      </c>
      <c r="V54" s="740">
        <f t="shared" si="57"/>
        <v>1952.165897959037</v>
      </c>
      <c r="W54" s="740">
        <f t="shared" si="57"/>
        <v>431.4687551020279</v>
      </c>
      <c r="X54" s="740">
        <f t="shared" si="57"/>
        <v>-872.82765306116937</v>
      </c>
      <c r="Y54" s="740">
        <f t="shared" si="57"/>
        <v>-2667.3925714283532</v>
      </c>
      <c r="Z54" s="740">
        <f t="shared" si="57"/>
        <v>-4751.686616670374</v>
      </c>
      <c r="AA54" s="740">
        <f t="shared" si="57"/>
        <v>-1984.6400130933014</v>
      </c>
      <c r="AC54" s="7"/>
      <c r="AD54" s="7"/>
      <c r="AE54" s="7"/>
      <c r="AF54" s="7"/>
      <c r="AH54" s="7"/>
      <c r="AI54" s="74"/>
      <c r="AO54" s="1055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53">
        <f t="shared" si="14"/>
        <v>0.14285714285714285</v>
      </c>
      <c r="AT54" s="769">
        <f t="shared" si="15"/>
        <v>36.881973177612032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53">
        <f t="shared" si="19"/>
        <v>0.35714285714285715</v>
      </c>
      <c r="AY54" s="769">
        <f t="shared" si="20"/>
        <v>36.760646838142669</v>
      </c>
      <c r="AZ54" s="746">
        <f t="shared" si="26"/>
        <v>36.821310007877351</v>
      </c>
      <c r="BA54" s="643">
        <f t="shared" si="21"/>
        <v>0.99697944657186344</v>
      </c>
      <c r="BC54" s="11">
        <v>43140</v>
      </c>
      <c r="BD54" s="290">
        <f>[2]!FeuilCaduc*(1-Persistant)+Persistant</f>
        <v>0.6006094690656828</v>
      </c>
      <c r="BE54" s="291">
        <f>[2]!CroissVégét</f>
        <v>5.4969313417339892E-3</v>
      </c>
      <c r="BF54" s="816">
        <f>1+[2]!Salcycl*Ksac</f>
        <v>1.0000761836332104</v>
      </c>
      <c r="BH54" s="1053">
        <f t="shared" si="22"/>
        <v>1.8106207480026828E-3</v>
      </c>
      <c r="BI54" s="11">
        <v>44236</v>
      </c>
      <c r="BJ54" s="726">
        <v>4.6556810398556861E-4</v>
      </c>
      <c r="BK54" s="726">
        <v>8.4460900622519068E-4</v>
      </c>
      <c r="BL54" s="726">
        <v>1.2870617380625002E-3</v>
      </c>
      <c r="BM54" s="726">
        <v>1.8119911756225269E-3</v>
      </c>
      <c r="BN54" s="726">
        <v>2.4234647771019177E-3</v>
      </c>
      <c r="BO54" s="727">
        <v>3.3705704180711418E-3</v>
      </c>
      <c r="BP54" s="726">
        <v>4.5715939702276869E-3</v>
      </c>
      <c r="BQ54" s="726">
        <v>6.7333648018912716E-3</v>
      </c>
      <c r="BR54" s="726">
        <v>9.8320351870097092E-3</v>
      </c>
      <c r="BS54" s="726">
        <v>1.4668877436463687E-2</v>
      </c>
      <c r="BT54" s="726">
        <v>2.0498887764914771E-2</v>
      </c>
      <c r="BW54" s="1186">
        <f>'2018'!R\Max</f>
        <v>0</v>
      </c>
      <c r="BX54" s="1184">
        <f>'2019'!R\Max</f>
        <v>0.80759383102324678</v>
      </c>
      <c r="BY54" s="1184">
        <f>'2020'!R\Max</f>
        <v>0.81343635222447408</v>
      </c>
      <c r="BZ54" s="1184">
        <f>'2021'!R\Max</f>
        <v>0.3636819670983984</v>
      </c>
      <c r="CA54" s="1184">
        <f>'2022'!R\Max</f>
        <v>0.99697944657186344</v>
      </c>
      <c r="CB54" s="1184">
        <f>'2023'!R\Max</f>
        <v>0.99697925736620174</v>
      </c>
      <c r="CC54" s="1184">
        <f>'2024'!R\Max</f>
        <v>0.99697906810239678</v>
      </c>
      <c r="CD54" s="1184">
        <f>'2025'!R\Max</f>
        <v>0.99697872747187588</v>
      </c>
      <c r="CE54" s="1184">
        <f>'2026'!R\Max</f>
        <v>0.99697984609527457</v>
      </c>
      <c r="CF54" s="1185">
        <f>'2027'!R\Max</f>
        <v>0.99697974978543547</v>
      </c>
    </row>
    <row r="55" spans="1:84" s="6" customFormat="1" ht="11.25" x14ac:dyDescent="0.2">
      <c r="A55" s="11">
        <v>43141</v>
      </c>
      <c r="B55" s="380">
        <f>'2022'!Maxi_hp</f>
        <v>34.208705851140202</v>
      </c>
      <c r="C55" s="13">
        <f>'2022'!An_max</f>
        <v>2022</v>
      </c>
      <c r="D55" s="1062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53">
        <f t="shared" si="9"/>
        <v>0.6428571428571429</v>
      </c>
      <c r="J55" s="746">
        <f t="shared" si="27"/>
        <v>37.247574927085751</v>
      </c>
      <c r="L55" s="756" t="s">
        <v>220</v>
      </c>
      <c r="M55" s="740">
        <f t="shared" ref="M55:AA55" si="58">(y.1ld+y.2ld+y.3ld-a.ld*(x.3ld*x.3ld+x.2ld*x.2ld+x.1ld*x.1ld)-b.ld*(x.3ld+x.2ld+x.1ld))/3</f>
        <v>101511399.06571609</v>
      </c>
      <c r="N55" s="740">
        <f t="shared" si="58"/>
        <v>42371921.110959083</v>
      </c>
      <c r="O55" s="740">
        <f t="shared" si="58"/>
        <v>8010848.967177745</v>
      </c>
      <c r="P55" s="740">
        <f t="shared" si="58"/>
        <v>-18826313.016370166</v>
      </c>
      <c r="Q55" s="740">
        <f t="shared" si="58"/>
        <v>-56213431.219961315</v>
      </c>
      <c r="R55" s="740">
        <f t="shared" si="58"/>
        <v>-41005215.599896356</v>
      </c>
      <c r="S55" s="740">
        <f t="shared" si="58"/>
        <v>-31634183.454705212</v>
      </c>
      <c r="T55" s="740">
        <f t="shared" si="58"/>
        <v>-17559428.115222227</v>
      </c>
      <c r="U55" s="740">
        <f t="shared" si="58"/>
        <v>-15210599.074353671</v>
      </c>
      <c r="V55" s="740">
        <f t="shared" si="58"/>
        <v>-42257075.199609071</v>
      </c>
      <c r="W55" s="740">
        <f t="shared" si="58"/>
        <v>-9288364.579469109</v>
      </c>
      <c r="X55" s="740">
        <f t="shared" si="58"/>
        <v>19007038.753223293</v>
      </c>
      <c r="Y55" s="740">
        <f t="shared" si="58"/>
        <v>57963449.950388134</v>
      </c>
      <c r="Z55" s="740">
        <f t="shared" si="58"/>
        <v>103238480.49943157</v>
      </c>
      <c r="AA55" s="740">
        <f t="shared" si="58"/>
        <v>43093270.453688823</v>
      </c>
      <c r="AB55" s="7"/>
      <c r="AC55" s="7"/>
      <c r="AD55" s="7"/>
      <c r="AE55" s="7"/>
      <c r="AF55" s="7"/>
      <c r="AH55" s="7"/>
      <c r="AI55" s="74"/>
      <c r="AO55" s="1055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53">
        <f t="shared" si="14"/>
        <v>0.17857142857142858</v>
      </c>
      <c r="AT55" s="769">
        <f t="shared" si="15"/>
        <v>37.223563971118082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53">
        <f t="shared" si="19"/>
        <v>0.32142857142857145</v>
      </c>
      <c r="AY55" s="769">
        <f t="shared" si="20"/>
        <v>37.12199874301109</v>
      </c>
      <c r="AZ55" s="746">
        <f t="shared" si="26"/>
        <v>37.172781357064586</v>
      </c>
      <c r="BA55" s="643">
        <f t="shared" si="21"/>
        <v>0.91841431067943868</v>
      </c>
      <c r="BC55" s="11">
        <v>43141</v>
      </c>
      <c r="BD55" s="290">
        <f>[2]!FeuilCaduc*(1-Persistant)+Persistant</f>
        <v>0.60071692710570546</v>
      </c>
      <c r="BE55" s="291">
        <f>[2]!CroissVégét</f>
        <v>5.7838819630590035E-3</v>
      </c>
      <c r="BF55" s="816">
        <f>1+[2]!Salcycl*Ksac</f>
        <v>1.0000896158882131</v>
      </c>
      <c r="BH55" s="1053">
        <f t="shared" si="22"/>
        <v>1.841772891043453E-3</v>
      </c>
      <c r="BI55" s="11">
        <v>44237</v>
      </c>
      <c r="BJ55" s="726">
        <v>4.6215860661572619E-4</v>
      </c>
      <c r="BK55" s="726">
        <v>8.5221108074758902E-4</v>
      </c>
      <c r="BL55" s="726">
        <v>1.305810340912063E-3</v>
      </c>
      <c r="BM55" s="726">
        <v>1.8431757852119366E-3</v>
      </c>
      <c r="BN55" s="726">
        <v>2.4663774514035721E-3</v>
      </c>
      <c r="BO55" s="727">
        <v>3.4039466489766109E-3</v>
      </c>
      <c r="BP55" s="726">
        <v>4.5855638225051586E-3</v>
      </c>
      <c r="BQ55" s="726">
        <v>6.6919381084241886E-3</v>
      </c>
      <c r="BR55" s="726">
        <v>9.7332259718439489E-3</v>
      </c>
      <c r="BS55" s="726">
        <v>1.4525333150116651E-2</v>
      </c>
      <c r="BT55" s="726">
        <v>2.0350492623405117E-2</v>
      </c>
      <c r="BW55" s="1186">
        <f>'2018'!R\Max</f>
        <v>0</v>
      </c>
      <c r="BX55" s="1184">
        <f>'2019'!R\Max</f>
        <v>0.25266352897127858</v>
      </c>
      <c r="BY55" s="1184">
        <f>'2020'!R\Max</f>
        <v>0.25150056119223074</v>
      </c>
      <c r="BZ55" s="1184">
        <f>'2021'!R\Max</f>
        <v>0.41821005134829847</v>
      </c>
      <c r="CA55" s="1184">
        <f>'2022'!R\Max</f>
        <v>0.91841431067943868</v>
      </c>
      <c r="CB55" s="1184">
        <f>'2023'!R\Max</f>
        <v>0.91840972049326475</v>
      </c>
      <c r="CC55" s="1184">
        <f>'2024'!R\Max</f>
        <v>0.91840512794165974</v>
      </c>
      <c r="CD55" s="1184">
        <f>'2025'!R\Max</f>
        <v>0.91839694390135473</v>
      </c>
      <c r="CE55" s="1184">
        <f>'2026'!R\Max</f>
        <v>0.9184241369309889</v>
      </c>
      <c r="CF55" s="1185">
        <f>'2027'!R\Max</f>
        <v>0.91842171643767567</v>
      </c>
    </row>
    <row r="56" spans="1:84" s="6" customFormat="1" ht="11.25" x14ac:dyDescent="0.2">
      <c r="A56" s="11">
        <v>43142</v>
      </c>
      <c r="B56" s="380">
        <f>'2022'!Maxi_hp</f>
        <v>30.625815125737557</v>
      </c>
      <c r="C56" s="13">
        <f>'2022'!An_max</f>
        <v>2021</v>
      </c>
      <c r="D56" s="1062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53">
        <f t="shared" si="9"/>
        <v>0.5714285714285714</v>
      </c>
      <c r="J56" s="746">
        <f t="shared" si="27"/>
        <v>37.588268804630005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55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53">
        <f t="shared" si="14"/>
        <v>0.21428571428571427</v>
      </c>
      <c r="AT56" s="769">
        <f t="shared" si="15"/>
        <v>37.568031158678266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53">
        <f t="shared" si="19"/>
        <v>0.2857142857142857</v>
      </c>
      <c r="AY56" s="769">
        <f t="shared" si="20"/>
        <v>37.484095529373732</v>
      </c>
      <c r="AZ56" s="746">
        <f t="shared" si="26"/>
        <v>37.526063344025999</v>
      </c>
      <c r="BA56" s="643">
        <f t="shared" si="21"/>
        <v>0.81477056804396286</v>
      </c>
      <c r="BC56" s="11">
        <v>43142</v>
      </c>
      <c r="BD56" s="290">
        <f>[2]!FeuilCaduc*(1-Persistant)+Persistant</f>
        <v>0.60082975171083119</v>
      </c>
      <c r="BE56" s="291">
        <f>[2]!CroissVégét</f>
        <v>6.0826946947814143E-3</v>
      </c>
      <c r="BF56" s="816">
        <f>1+[2]!Salcycl*Ksac</f>
        <v>1.000103718963854</v>
      </c>
      <c r="BH56" s="1053">
        <f t="shared" si="22"/>
        <v>1.8797322674015515E-3</v>
      </c>
      <c r="BI56" s="11">
        <v>44238</v>
      </c>
      <c r="BJ56" s="726">
        <v>4.5698181434716579E-4</v>
      </c>
      <c r="BK56" s="726">
        <v>8.6035097097021402E-4</v>
      </c>
      <c r="BL56" s="726">
        <v>1.3279394579904121E-3</v>
      </c>
      <c r="BM56" s="726">
        <v>1.8811765976338489E-3</v>
      </c>
      <c r="BN56" s="726">
        <v>2.5200615830493537E-3</v>
      </c>
      <c r="BO56" s="727">
        <v>3.4514870542767962E-3</v>
      </c>
      <c r="BP56" s="726">
        <v>4.6183172697912035E-3</v>
      </c>
      <c r="BQ56" s="726">
        <v>6.6747937778544059E-3</v>
      </c>
      <c r="BR56" s="726">
        <v>9.6611408195462906E-3</v>
      </c>
      <c r="BS56" s="726">
        <v>1.4402742110627155E-2</v>
      </c>
      <c r="BT56" s="726">
        <v>2.0209173185878903E-2</v>
      </c>
      <c r="BW56" s="1186">
        <f>'2018'!R\Max</f>
        <v>0</v>
      </c>
      <c r="BX56" s="1184">
        <f>'2019'!R\Max</f>
        <v>0.57467473561134674</v>
      </c>
      <c r="BY56" s="1184">
        <f>'2020'!R\Max</f>
        <v>0.25065365086807512</v>
      </c>
      <c r="BZ56" s="1184">
        <f>'2021'!R\Max</f>
        <v>0.81477056804396286</v>
      </c>
      <c r="CA56" s="1184">
        <f>'2022'!R\Max</f>
        <v>0.50805675296767039</v>
      </c>
      <c r="CB56" s="1184">
        <f>'2023'!R\Max</f>
        <v>0.50804176813483182</v>
      </c>
      <c r="CC56" s="1184">
        <f>'2024'!R\Max</f>
        <v>0.50802677309768529</v>
      </c>
      <c r="CD56" s="1184">
        <f>'2025'!R\Max</f>
        <v>0.50800036155309569</v>
      </c>
      <c r="CE56" s="1184">
        <f>'2026'!R\Max</f>
        <v>0.50808929570926586</v>
      </c>
      <c r="CF56" s="1185">
        <f>'2027'!R\Max</f>
        <v>0.50808109142061453</v>
      </c>
    </row>
    <row r="57" spans="1:84" s="6" customFormat="1" ht="11.25" x14ac:dyDescent="0.2">
      <c r="A57" s="11">
        <v>43143</v>
      </c>
      <c r="B57" s="380">
        <f>'2022'!Maxi_hp</f>
        <v>38.463815462769276</v>
      </c>
      <c r="C57" s="13">
        <f>'2022'!An_max</f>
        <v>2019</v>
      </c>
      <c r="D57" s="1062">
        <f t="shared" si="7"/>
        <v>1.0140803844706845</v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53">
        <f t="shared" si="9"/>
        <v>0.5</v>
      </c>
      <c r="J57" s="746">
        <f t="shared" si="27"/>
        <v>37.929749999893829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55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53">
        <f t="shared" si="14"/>
        <v>0.25</v>
      </c>
      <c r="AT57" s="769">
        <f t="shared" si="15"/>
        <v>37.915173437140766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53">
        <f t="shared" si="19"/>
        <v>0.25</v>
      </c>
      <c r="AY57" s="769">
        <f t="shared" si="20"/>
        <v>37.84654148416594</v>
      </c>
      <c r="AZ57" s="746">
        <f t="shared" si="26"/>
        <v>37.880857460653353</v>
      </c>
      <c r="BA57" s="643">
        <f t="shared" si="21"/>
        <v>1.0140803844706845</v>
      </c>
      <c r="BC57" s="11">
        <v>43143</v>
      </c>
      <c r="BD57" s="290">
        <f>[2]!FeuilCaduc*(1-Persistant)+Persistant</f>
        <v>0.60094704388681452</v>
      </c>
      <c r="BE57" s="291">
        <f>[2]!CroissVégét</f>
        <v>6.3938522678270975E-3</v>
      </c>
      <c r="BF57" s="816">
        <f>1+[2]!Salcycl*Ksac</f>
        <v>1.0001183804858518</v>
      </c>
      <c r="BH57" s="1053">
        <f t="shared" si="22"/>
        <v>1.9244995014766179E-3</v>
      </c>
      <c r="BI57" s="11">
        <v>44239</v>
      </c>
      <c r="BJ57" s="726">
        <v>4.5003875741841107E-4</v>
      </c>
      <c r="BK57" s="726">
        <v>8.6902962776081046E-4</v>
      </c>
      <c r="BL57" s="726">
        <v>1.3534498998447576E-3</v>
      </c>
      <c r="BM57" s="726">
        <v>1.9259942368006584E-3</v>
      </c>
      <c r="BN57" s="726">
        <v>2.5845175781693108E-3</v>
      </c>
      <c r="BO57" s="727">
        <v>3.5131922921631826E-3</v>
      </c>
      <c r="BP57" s="726">
        <v>4.6698551732092834E-3</v>
      </c>
      <c r="BQ57" s="726">
        <v>6.6819336807681833E-3</v>
      </c>
      <c r="BR57" s="726">
        <v>9.6157845748672983E-3</v>
      </c>
      <c r="BS57" s="726">
        <v>1.4301116522961827E-2</v>
      </c>
      <c r="BT57" s="726">
        <v>2.0074952568589377E-2</v>
      </c>
      <c r="BW57" s="1186">
        <f>'2018'!R\Max</f>
        <v>0</v>
      </c>
      <c r="BX57" s="1184">
        <f>'2019'!R\Max</f>
        <v>1.0140803844706845</v>
      </c>
      <c r="BY57" s="1184">
        <f>'2020'!R\Max</f>
        <v>0.57468875033088762</v>
      </c>
      <c r="BZ57" s="1184">
        <f>'2021'!R\Max</f>
        <v>0.14962766347558676</v>
      </c>
      <c r="CA57" s="1184">
        <f>'2022'!R\Max</f>
        <v>0.76501578974062401</v>
      </c>
      <c r="CB57" s="1184">
        <f>'2023'!R\Max</f>
        <v>0.76500519972660763</v>
      </c>
      <c r="CC57" s="1184">
        <f>'2024'!R\Max</f>
        <v>0.76499459995616559</v>
      </c>
      <c r="CD57" s="1184">
        <f>'2025'!R\Max</f>
        <v>0.7649761756530068</v>
      </c>
      <c r="CE57" s="1184">
        <f>'2026'!R\Max</f>
        <v>0.76503912883471659</v>
      </c>
      <c r="CF57" s="1185">
        <f>'2027'!R\Max</f>
        <v>0.76503310041696215</v>
      </c>
    </row>
    <row r="58" spans="1:84" s="6" customFormat="1" ht="11.25" x14ac:dyDescent="0.2">
      <c r="A58" s="11">
        <v>43144</v>
      </c>
      <c r="B58" s="380">
        <f>'2022'!Maxi_hp</f>
        <v>39.79279391744533</v>
      </c>
      <c r="C58" s="13">
        <f>'2022'!An_max</f>
        <v>2019</v>
      </c>
      <c r="D58" s="1062">
        <f t="shared" si="7"/>
        <v>1.0397301268521317</v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53">
        <f t="shared" si="9"/>
        <v>0.42857142857142855</v>
      </c>
      <c r="J58" s="746">
        <f t="shared" si="27"/>
        <v>38.272233236062206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55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53">
        <f t="shared" si="14"/>
        <v>0.2857142857142857</v>
      </c>
      <c r="AT58" s="769">
        <f t="shared" si="15"/>
        <v>38.264789504248519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53">
        <f t="shared" si="19"/>
        <v>0.21428571428571427</v>
      </c>
      <c r="AY58" s="769">
        <f t="shared" si="20"/>
        <v>38.208940894336301</v>
      </c>
      <c r="AZ58" s="746">
        <f t="shared" si="26"/>
        <v>38.23686519929241</v>
      </c>
      <c r="BA58" s="643">
        <f t="shared" si="21"/>
        <v>1.0397301268521317</v>
      </c>
      <c r="BC58" s="11">
        <v>43144</v>
      </c>
      <c r="BD58" s="290">
        <f>[2]!FeuilCaduc*(1-Persistant)+Persistant</f>
        <v>0.60106790488540773</v>
      </c>
      <c r="BE58" s="291">
        <f>[2]!CroissVégét</f>
        <v>6.7178564099054624E-3</v>
      </c>
      <c r="BF58" s="816">
        <f>1+[2]!Salcycl*Ksac</f>
        <v>1.000133488110676</v>
      </c>
      <c r="BH58" s="1053">
        <f t="shared" si="22"/>
        <v>1.9678497000111261E-3</v>
      </c>
      <c r="BI58" s="11">
        <v>44240</v>
      </c>
      <c r="BJ58" s="726">
        <v>4.4059066479977283E-4</v>
      </c>
      <c r="BK58" s="726">
        <v>8.7530880255637595E-4</v>
      </c>
      <c r="BL58" s="726">
        <v>1.3769154161894866E-3</v>
      </c>
      <c r="BM58" s="726">
        <v>1.9693964839431885E-3</v>
      </c>
      <c r="BN58" s="726">
        <v>2.6485732295405246E-3</v>
      </c>
      <c r="BO58" s="727">
        <v>3.5840313322894621E-3</v>
      </c>
      <c r="BP58" s="726">
        <v>4.7431670905754685E-3</v>
      </c>
      <c r="BQ58" s="726">
        <v>6.7266575417611035E-3</v>
      </c>
      <c r="BR58" s="726">
        <v>9.6159261741281324E-3</v>
      </c>
      <c r="BS58" s="726">
        <v>1.4245333420091259E-2</v>
      </c>
      <c r="BT58" s="726">
        <v>1.9979259995137531E-2</v>
      </c>
      <c r="BW58" s="1186">
        <f>'2018'!R\Max</f>
        <v>0</v>
      </c>
      <c r="BX58" s="1184">
        <f>'2019'!R\Max</f>
        <v>1.0397301268521317</v>
      </c>
      <c r="BY58" s="1184">
        <f>'2020'!R\Max</f>
        <v>0.48078180158261574</v>
      </c>
      <c r="BZ58" s="1184">
        <f>'2021'!R\Max</f>
        <v>0.20548507102310248</v>
      </c>
      <c r="CA58" s="1184">
        <f>'2022'!R\Max</f>
        <v>0.89633024459869148</v>
      </c>
      <c r="CB58" s="1184">
        <f>'2023'!R\Max</f>
        <v>0.89632480681292326</v>
      </c>
      <c r="CC58" s="1184">
        <f>'2024'!R\Max</f>
        <v>0.89631936286333613</v>
      </c>
      <c r="CD58" s="1184">
        <f>'2025'!R\Max</f>
        <v>0.89631005629987248</v>
      </c>
      <c r="CE58" s="1184">
        <f>'2026'!R\Max</f>
        <v>0.89634236893571184</v>
      </c>
      <c r="CF58" s="1185">
        <f>'2027'!R\Max</f>
        <v>0.89633918329544959</v>
      </c>
    </row>
    <row r="59" spans="1:84" s="6" customFormat="1" ht="11.25" x14ac:dyDescent="0.2">
      <c r="A59" s="11">
        <v>43145</v>
      </c>
      <c r="B59" s="380">
        <f>'2022'!Maxi_hp</f>
        <v>40.073233720515397</v>
      </c>
      <c r="C59" s="13">
        <f>'2022'!An_max</f>
        <v>2019</v>
      </c>
      <c r="D59" s="1062">
        <f t="shared" si="7"/>
        <v>1.0377383210046889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53">
        <f t="shared" si="9"/>
        <v>0.35714285714285715</v>
      </c>
      <c r="J59" s="746">
        <f t="shared" si="27"/>
        <v>38.615933236153793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55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53">
        <f t="shared" si="14"/>
        <v>0.32142857142857145</v>
      </c>
      <c r="AT59" s="769">
        <f t="shared" si="15"/>
        <v>38.616678056591113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53">
        <f t="shared" si="19"/>
        <v>0.17857142857142858</v>
      </c>
      <c r="AY59" s="769">
        <f t="shared" si="20"/>
        <v>38.570898047575199</v>
      </c>
      <c r="AZ59" s="746">
        <f t="shared" si="26"/>
        <v>38.593788052083156</v>
      </c>
      <c r="BA59" s="643">
        <f t="shared" si="21"/>
        <v>1.0377383210046889</v>
      </c>
      <c r="BC59" s="11">
        <v>43145</v>
      </c>
      <c r="BD59" s="290">
        <f>[2]!FeuilCaduc*(1-Persistant)+Persistant</f>
        <v>0.60119144852134865</v>
      </c>
      <c r="BE59" s="291">
        <f>[2]!CroissVégét</f>
        <v>7.0552285378688686E-3</v>
      </c>
      <c r="BF59" s="816">
        <f>1+[2]!Salcycl*Ksac</f>
        <v>1.0001489310651686</v>
      </c>
      <c r="BH59" s="1053">
        <f t="shared" si="22"/>
        <v>2.0060843085971483E-3</v>
      </c>
      <c r="BI59" s="11">
        <v>44241</v>
      </c>
      <c r="BJ59" s="726">
        <v>4.2859495869458988E-4</v>
      </c>
      <c r="BK59" s="726">
        <v>8.7803145153993135E-4</v>
      </c>
      <c r="BL59" s="726">
        <v>1.3959966412009554E-3</v>
      </c>
      <c r="BM59" s="726">
        <v>2.0076812269464697E-3</v>
      </c>
      <c r="BN59" s="726">
        <v>2.7068805208021857E-3</v>
      </c>
      <c r="BO59" s="727">
        <v>3.6577928910394714E-3</v>
      </c>
      <c r="BP59" s="726">
        <v>4.8304602170698326E-3</v>
      </c>
      <c r="BQ59" s="726">
        <v>6.7992345857746019E-3</v>
      </c>
      <c r="BR59" s="726">
        <v>9.6522363998109029E-3</v>
      </c>
      <c r="BS59" s="726">
        <v>1.4230116199968643E-2</v>
      </c>
      <c r="BT59" s="726">
        <v>1.9924413154620704E-2</v>
      </c>
      <c r="BW59" s="1186">
        <f>'2018'!R\Max</f>
        <v>0</v>
      </c>
      <c r="BX59" s="1184">
        <f>'2019'!R\Max</f>
        <v>1.0377383210046889</v>
      </c>
      <c r="BY59" s="1184">
        <f>'2020'!R\Max</f>
        <v>0.74861315945057394</v>
      </c>
      <c r="BZ59" s="1184">
        <f>'2021'!R\Max</f>
        <v>0.93898901677532365</v>
      </c>
      <c r="CA59" s="1184">
        <f>'2022'!R\Max</f>
        <v>0.43509536235030083</v>
      </c>
      <c r="CB59" s="1184">
        <f>'2023'!R\Max</f>
        <v>0.43508093796640418</v>
      </c>
      <c r="CC59" s="1184">
        <f>'2024'!R\Max</f>
        <v>0.43506649540441678</v>
      </c>
      <c r="CD59" s="1184">
        <f>'2025'!R\Max</f>
        <v>0.43504227761393466</v>
      </c>
      <c r="CE59" s="1184">
        <f>'2026'!R\Max</f>
        <v>0.43512779588523404</v>
      </c>
      <c r="CF59" s="1185">
        <f>'2027'!R\Max</f>
        <v>0.43511919572486191</v>
      </c>
    </row>
    <row r="60" spans="1:84" s="6" customFormat="1" ht="11.25" x14ac:dyDescent="0.2">
      <c r="A60" s="11">
        <v>43146</v>
      </c>
      <c r="B60" s="380">
        <f>'2022'!Maxi_hp</f>
        <v>40.326165520091415</v>
      </c>
      <c r="C60" s="13">
        <f>'2022'!An_max</f>
        <v>2019</v>
      </c>
      <c r="D60" s="1062">
        <f t="shared" si="7"/>
        <v>1.035037563951998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53">
        <f t="shared" si="9"/>
        <v>0.2857142857142857</v>
      </c>
      <c r="J60" s="746">
        <f t="shared" si="27"/>
        <v>38.961064723213873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55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53">
        <f t="shared" si="14"/>
        <v>0.35714285714285715</v>
      </c>
      <c r="AT60" s="769">
        <f t="shared" si="15"/>
        <v>38.970637791345197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53">
        <f t="shared" si="19"/>
        <v>0.14285714285714285</v>
      </c>
      <c r="AY60" s="769">
        <f t="shared" si="20"/>
        <v>38.932017230402145</v>
      </c>
      <c r="AZ60" s="746">
        <f t="shared" si="26"/>
        <v>38.951327510873668</v>
      </c>
      <c r="BA60" s="643">
        <f t="shared" si="21"/>
        <v>1.035037563951998</v>
      </c>
      <c r="BC60" s="11">
        <v>43146</v>
      </c>
      <c r="BD60" s="290">
        <f>[2]!FeuilCaduc*(1-Persistant)+Persistant</f>
        <v>0.60131681367960876</v>
      </c>
      <c r="BE60" s="291">
        <f>[2]!CroissVégét</f>
        <v>7.4065104705297478E-3</v>
      </c>
      <c r="BF60" s="816">
        <f>1+[2]!Salcycl*Ksac</f>
        <v>1.000164601709951</v>
      </c>
      <c r="BH60" s="1053">
        <f t="shared" si="22"/>
        <v>2.039207582256234E-3</v>
      </c>
      <c r="BI60" s="11">
        <v>44242</v>
      </c>
      <c r="BJ60" s="726">
        <v>4.1405262848878449E-4</v>
      </c>
      <c r="BK60" s="726">
        <v>8.771995665901762E-4</v>
      </c>
      <c r="BL60" s="726">
        <v>1.4106966335188887E-3</v>
      </c>
      <c r="BM60" s="726">
        <v>2.0408527239636079E-3</v>
      </c>
      <c r="BN60" s="726">
        <v>2.7594450056576906E-3</v>
      </c>
      <c r="BO60" s="727">
        <v>3.734481836283218E-3</v>
      </c>
      <c r="BP60" s="726">
        <v>4.9317384130516534E-3</v>
      </c>
      <c r="BQ60" s="726">
        <v>6.8996676100154799E-3</v>
      </c>
      <c r="BR60" s="726">
        <v>9.7247191421206605E-3</v>
      </c>
      <c r="BS60" s="726">
        <v>1.4255472745917581E-2</v>
      </c>
      <c r="BT60" s="726">
        <v>1.9910426471559169E-2</v>
      </c>
      <c r="BW60" s="1186">
        <f>'2018'!R\Max</f>
        <v>0</v>
      </c>
      <c r="BX60" s="1184">
        <f>'2019'!R\Max</f>
        <v>1.035037563951998</v>
      </c>
      <c r="BY60" s="1184">
        <f>'2020'!R\Max</f>
        <v>0.9742190276535927</v>
      </c>
      <c r="BZ60" s="1184">
        <f>'2021'!R\Max</f>
        <v>0.90285978824839375</v>
      </c>
      <c r="CA60" s="1184">
        <f>'2022'!R\Max</f>
        <v>0.54224110611295995</v>
      </c>
      <c r="CB60" s="1184">
        <f>'2023'!R\Max</f>
        <v>0.54222636233109744</v>
      </c>
      <c r="CC60" s="1184">
        <f>'2024'!R\Max</f>
        <v>0.54221159739469005</v>
      </c>
      <c r="CD60" s="1184">
        <f>'2025'!R\Max</f>
        <v>0.54218736143758273</v>
      </c>
      <c r="CE60" s="1184">
        <f>'2026'!R\Max</f>
        <v>0.54227442333375053</v>
      </c>
      <c r="CF60" s="1185">
        <f>'2027'!R\Max</f>
        <v>0.54226557475607196</v>
      </c>
    </row>
    <row r="61" spans="1:84" s="6" customFormat="1" ht="11.25" x14ac:dyDescent="0.2">
      <c r="A61" s="11">
        <v>43147</v>
      </c>
      <c r="B61" s="380">
        <f>'2022'!Maxi_hp</f>
        <v>40.772992464506032</v>
      </c>
      <c r="C61" s="13">
        <f>'2022'!An_max</f>
        <v>2019</v>
      </c>
      <c r="D61" s="1062">
        <f t="shared" si="7"/>
        <v>1.0372737335473354</v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53">
        <f t="shared" si="9"/>
        <v>0.21428571428571427</v>
      </c>
      <c r="J61" s="746">
        <f t="shared" si="27"/>
        <v>39.307842419828688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55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53">
        <f t="shared" si="14"/>
        <v>0.39285714285714285</v>
      </c>
      <c r="AT61" s="769">
        <f t="shared" si="15"/>
        <v>39.326467405937727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53">
        <f t="shared" si="19"/>
        <v>0.10714285714285714</v>
      </c>
      <c r="AY61" s="769">
        <f t="shared" si="20"/>
        <v>39.291902729799041</v>
      </c>
      <c r="AZ61" s="746">
        <f t="shared" si="26"/>
        <v>39.309185067868384</v>
      </c>
      <c r="BA61" s="643">
        <f t="shared" si="21"/>
        <v>1.0372737335473354</v>
      </c>
      <c r="BC61" s="11">
        <v>43147</v>
      </c>
      <c r="BD61" s="290">
        <f>[2]!FeuilCaduc*(1-Persistant)+Persistant</f>
        <v>0.60144317687837145</v>
      </c>
      <c r="BE61" s="291">
        <f>[2]!CroissVégét</f>
        <v>7.7722651621059055E-3</v>
      </c>
      <c r="BF61" s="816">
        <f>1+[2]!Salcycl*Ksac</f>
        <v>1.0001803971097964</v>
      </c>
      <c r="BH61" s="1053">
        <f t="shared" si="22"/>
        <v>2.067223792658755E-3</v>
      </c>
      <c r="BI61" s="11">
        <v>44243</v>
      </c>
      <c r="BJ61" s="726">
        <v>3.9696451617788394E-4</v>
      </c>
      <c r="BK61" s="726">
        <v>8.7281503146155156E-4</v>
      </c>
      <c r="BL61" s="726">
        <v>1.4210183973760518E-3</v>
      </c>
      <c r="BM61" s="726">
        <v>2.0689152499825223E-3</v>
      </c>
      <c r="BN61" s="726">
        <v>2.8062723335252901E-3</v>
      </c>
      <c r="BO61" s="727">
        <v>3.8141035067302195E-3</v>
      </c>
      <c r="BP61" s="726">
        <v>5.0470064571748107E-3</v>
      </c>
      <c r="BQ61" s="726">
        <v>7.0279607325951969E-3</v>
      </c>
      <c r="BR61" s="726">
        <v>9.8333797164103804E-3</v>
      </c>
      <c r="BS61" s="726">
        <v>1.432141226022577E-2</v>
      </c>
      <c r="BT61" s="726">
        <v>1.9937315501930699E-2</v>
      </c>
      <c r="BW61" s="1186">
        <f>'2018'!R\Max</f>
        <v>0</v>
      </c>
      <c r="BX61" s="1184">
        <f>'2019'!R\Max</f>
        <v>1.0372737335473354</v>
      </c>
      <c r="BY61" s="1184">
        <f>'2020'!R\Max</f>
        <v>0.5762128228724418</v>
      </c>
      <c r="BZ61" s="1184">
        <f>'2021'!R\Max</f>
        <v>0.81211776657779966</v>
      </c>
      <c r="CA61" s="1184">
        <f>'2022'!R\Max</f>
        <v>0.28155342973140118</v>
      </c>
      <c r="CB61" s="1184">
        <f>'2023'!R\Max</f>
        <v>0.28154147775168276</v>
      </c>
      <c r="CC61" s="1184">
        <f>'2024'!R\Max</f>
        <v>0.28152950728033621</v>
      </c>
      <c r="CD61" s="1184">
        <f>'2025'!R\Max</f>
        <v>0.28151030355849077</v>
      </c>
      <c r="CE61" s="1184">
        <f>'2026'!R\Max</f>
        <v>0.28158048747533249</v>
      </c>
      <c r="CF61" s="1185">
        <f>'2027'!R\Max</f>
        <v>0.28157333940507723</v>
      </c>
    </row>
    <row r="62" spans="1:84" s="6" customFormat="1" ht="11.25" x14ac:dyDescent="0.2">
      <c r="A62" s="11">
        <v>43148</v>
      </c>
      <c r="B62" s="380">
        <f>'2022'!Maxi_hp</f>
        <v>41.216821259374889</v>
      </c>
      <c r="C62" s="13">
        <f>'2022'!An_max</f>
        <v>2019</v>
      </c>
      <c r="D62" s="1062">
        <f t="shared" si="7"/>
        <v>1.0393464111920436</v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53">
        <f t="shared" si="9"/>
        <v>0.14285714285714285</v>
      </c>
      <c r="J62" s="746">
        <f t="shared" si="27"/>
        <v>39.656481049569059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55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53">
        <f t="shared" si="14"/>
        <v>0.42857142857142855</v>
      </c>
      <c r="AT62" s="769">
        <f t="shared" si="15"/>
        <v>39.683965597476345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53">
        <f t="shared" si="19"/>
        <v>7.1428571428571425E-2</v>
      </c>
      <c r="AY62" s="769">
        <f t="shared" si="20"/>
        <v>39.650158833399686</v>
      </c>
      <c r="AZ62" s="746">
        <f t="shared" si="26"/>
        <v>39.667062215438015</v>
      </c>
      <c r="BA62" s="643">
        <f t="shared" si="21"/>
        <v>1.0393464111920436</v>
      </c>
      <c r="BC62" s="11">
        <v>43148</v>
      </c>
      <c r="BD62" s="290">
        <f>[2]!FeuilCaduc*(1-Persistant)+Persistant</f>
        <v>0.6015697647555619</v>
      </c>
      <c r="BE62" s="291">
        <f>[2]!CroissVégét</f>
        <v>8.1530774564185747E-3</v>
      </c>
      <c r="BF62" s="816">
        <f>1+[2]!Salcycl*Ksac</f>
        <v>1.0001962205944452</v>
      </c>
      <c r="BH62" s="1053">
        <f t="shared" si="22"/>
        <v>2.0901371641097086E-3</v>
      </c>
      <c r="BI62" s="11">
        <v>44244</v>
      </c>
      <c r="BJ62" s="726">
        <v>3.7733128444611814E-4</v>
      </c>
      <c r="BK62" s="726">
        <v>8.648795772511613E-4</v>
      </c>
      <c r="BL62" s="726">
        <v>1.426964827720114E-3</v>
      </c>
      <c r="BM62" s="726">
        <v>2.0918730327878329E-3</v>
      </c>
      <c r="BN62" s="726">
        <v>2.8473681776186987E-3</v>
      </c>
      <c r="BO62" s="727">
        <v>3.8966637484961022E-3</v>
      </c>
      <c r="BP62" s="726">
        <v>5.1762702213041765E-3</v>
      </c>
      <c r="BQ62" s="726">
        <v>7.1841197409029979E-3</v>
      </c>
      <c r="BR62" s="726">
        <v>9.9782253154010181E-3</v>
      </c>
      <c r="BS62" s="726">
        <v>1.4427945771078868E-2</v>
      </c>
      <c r="BT62" s="726">
        <v>2.0005097443276377E-2</v>
      </c>
      <c r="BW62" s="1186">
        <f>'2018'!R\Max</f>
        <v>0</v>
      </c>
      <c r="BX62" s="1184">
        <f>'2019'!R\Max</f>
        <v>1.0393464111920436</v>
      </c>
      <c r="BY62" s="1184">
        <f>'2020'!R\Max</f>
        <v>0.14578403454291278</v>
      </c>
      <c r="BZ62" s="1184">
        <f>'2021'!R\Max</f>
        <v>0.90094503896136513</v>
      </c>
      <c r="CA62" s="1184">
        <f>'2022'!R\Max</f>
        <v>0.30196006062129221</v>
      </c>
      <c r="CB62" s="1184">
        <f>'2023'!R\Max</f>
        <v>0.30194690858087703</v>
      </c>
      <c r="CC62" s="1184">
        <f>'2024'!R\Max</f>
        <v>0.30193373460030654</v>
      </c>
      <c r="CD62" s="1184">
        <f>'2025'!R\Max</f>
        <v>0.30191309752661472</v>
      </c>
      <c r="CE62" s="1184">
        <f>'2026'!R\Max</f>
        <v>0.30198979931671188</v>
      </c>
      <c r="CF62" s="1185">
        <f>'2027'!R\Max</f>
        <v>0.30198203419768288</v>
      </c>
    </row>
    <row r="63" spans="1:84" s="6" customFormat="1" ht="11.25" x14ac:dyDescent="0.2">
      <c r="A63" s="11">
        <v>43149</v>
      </c>
      <c r="B63" s="380">
        <f>'2022'!Maxi_hp</f>
        <v>40.739227562492772</v>
      </c>
      <c r="C63" s="13">
        <f>'2022'!An_max</f>
        <v>2019</v>
      </c>
      <c r="D63" s="1062">
        <f t="shared" si="7"/>
        <v>1.0182975142583373</v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53">
        <f t="shared" si="9"/>
        <v>7.1428571428571425E-2</v>
      </c>
      <c r="J63" s="746">
        <f t="shared" si="27"/>
        <v>40.007195335407076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55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53">
        <f t="shared" si="14"/>
        <v>0.4642857142857143</v>
      </c>
      <c r="AT63" s="769">
        <f t="shared" si="15"/>
        <v>40.042931062942287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53">
        <f t="shared" si="19"/>
        <v>3.5714285714285712E-2</v>
      </c>
      <c r="AY63" s="769">
        <f t="shared" si="20"/>
        <v>40.006389827640461</v>
      </c>
      <c r="AZ63" s="746">
        <f t="shared" si="26"/>
        <v>40.024660445291374</v>
      </c>
      <c r="BA63" s="643">
        <f t="shared" si="21"/>
        <v>1.0182975142583373</v>
      </c>
      <c r="BC63" s="11">
        <v>43149</v>
      </c>
      <c r="BD63" s="290">
        <f>[2]!FeuilCaduc*(1-Persistant)+Persistant</f>
        <v>0.60169586635044547</v>
      </c>
      <c r="BE63" s="291">
        <f>[2]!CroissVégét</f>
        <v>8.5495548619151183E-3</v>
      </c>
      <c r="BF63" s="816">
        <f>1+[2]!Salcycl*Ksac</f>
        <v>1.0002119832938057</v>
      </c>
      <c r="BH63" s="1053">
        <f t="shared" si="22"/>
        <v>2.107951809508026E-3</v>
      </c>
      <c r="BI63" s="11">
        <v>44245</v>
      </c>
      <c r="BJ63" s="726">
        <v>3.5515338474003836E-4</v>
      </c>
      <c r="BK63" s="726">
        <v>8.533947378542323E-4</v>
      </c>
      <c r="BL63" s="726">
        <v>1.4285386553171532E-3</v>
      </c>
      <c r="BM63" s="726">
        <v>2.1097301888962348E-3</v>
      </c>
      <c r="BN63" s="726">
        <v>2.882738162991894E-3</v>
      </c>
      <c r="BO63" s="727">
        <v>3.9821689516207548E-3</v>
      </c>
      <c r="BP63" s="726">
        <v>5.3195368453680331E-3</v>
      </c>
      <c r="BQ63" s="726">
        <v>7.3681524398893101E-3</v>
      </c>
      <c r="BR63" s="726">
        <v>1.0159265461274668E-2</v>
      </c>
      <c r="BS63" s="726">
        <v>1.457508663930809E-2</v>
      </c>
      <c r="BT63" s="726">
        <v>2.0113791644546051E-2</v>
      </c>
      <c r="BW63" s="1186">
        <f>'2018'!R\Max</f>
        <v>0</v>
      </c>
      <c r="BX63" s="1184">
        <f>'2019'!R\Max</f>
        <v>1.0182975142583373</v>
      </c>
      <c r="BY63" s="1184">
        <f>'2020'!R\Max</f>
        <v>0.76160919193516274</v>
      </c>
      <c r="BZ63" s="1184">
        <f>'2021'!R\Max</f>
        <v>0.3888644373519608</v>
      </c>
      <c r="CA63" s="1184">
        <f>'2022'!R\Max</f>
        <v>0.76236405711898181</v>
      </c>
      <c r="CB63" s="1184">
        <f>'2023'!R\Max</f>
        <v>0.7623523434412609</v>
      </c>
      <c r="CC63" s="1184">
        <f>'2024'!R\Max</f>
        <v>0.7623406083336709</v>
      </c>
      <c r="CD63" s="1184">
        <f>'2025'!R\Max</f>
        <v>0.76232266257831582</v>
      </c>
      <c r="CE63" s="1184">
        <f>'2026'!R\Max</f>
        <v>0.76239043924853267</v>
      </c>
      <c r="CF63" s="1185">
        <f>'2027'!R\Max</f>
        <v>0.7623836696582893</v>
      </c>
    </row>
    <row r="64" spans="1:84" s="6" customFormat="1" ht="11.25" x14ac:dyDescent="0.2">
      <c r="A64" s="11">
        <v>43150</v>
      </c>
      <c r="B64" s="380">
        <f>'2022'!Maxi_hp</f>
        <v>38.479174675338513</v>
      </c>
      <c r="C64" s="13">
        <f>'2022'!An_max</f>
        <v>2021</v>
      </c>
      <c r="D64" s="1062" t="str">
        <f t="shared" si="7"/>
        <v/>
      </c>
      <c r="E64" s="1057">
        <f>Q$13/10</f>
        <v>40.360199999999999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53">
        <f t="shared" si="9"/>
        <v>0</v>
      </c>
      <c r="J64" s="746">
        <f t="shared" si="27"/>
        <v>40.36019999999553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55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53">
        <f t="shared" si="14"/>
        <v>0.5</v>
      </c>
      <c r="AT64" s="769">
        <f t="shared" si="15"/>
        <v>40.403162499697643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53">
        <f t="shared" si="19"/>
        <v>0</v>
      </c>
      <c r="AY64" s="769">
        <f t="shared" si="20"/>
        <v>40.360200000181791</v>
      </c>
      <c r="AZ64" s="746">
        <f t="shared" si="26"/>
        <v>40.381681249939717</v>
      </c>
      <c r="BA64" s="643">
        <f t="shared" si="21"/>
        <v>0.95339405343241046</v>
      </c>
      <c r="BC64" s="11">
        <v>43150</v>
      </c>
      <c r="BD64" s="290">
        <f>[2]!FeuilCaduc*(1-Persistant)+Persistant</f>
        <v>0.60182084505675992</v>
      </c>
      <c r="BE64" s="291">
        <f>[2]!CroissVégét</f>
        <v>8.9623283475330478E-3</v>
      </c>
      <c r="BF64" s="816">
        <f>1+[2]!Salcycl*Ksac</f>
        <v>1.0002276056320949</v>
      </c>
      <c r="BH64" s="1053">
        <f t="shared" si="22"/>
        <v>2.12067166632437E-3</v>
      </c>
      <c r="BI64" s="11">
        <v>44246</v>
      </c>
      <c r="BJ64" s="726">
        <v>3.3043102534583172E-4</v>
      </c>
      <c r="BK64" s="726">
        <v>8.3836180542747421E-4</v>
      </c>
      <c r="BL64" s="726">
        <v>1.4257423918679136E-3</v>
      </c>
      <c r="BM64" s="726">
        <v>2.1224906595103759E-3</v>
      </c>
      <c r="BN64" s="726">
        <v>2.9123877946089513E-3</v>
      </c>
      <c r="BO64" s="727">
        <v>4.0706260866204512E-3</v>
      </c>
      <c r="BP64" s="726">
        <v>5.4768149122554378E-3</v>
      </c>
      <c r="BQ64" s="726">
        <v>7.5800690004120081E-3</v>
      </c>
      <c r="BR64" s="726">
        <v>1.0376512457856236E-2</v>
      </c>
      <c r="BS64" s="726">
        <v>1.4762851065267174E-2</v>
      </c>
      <c r="BT64" s="726">
        <v>2.026342011612418E-2</v>
      </c>
      <c r="BW64" s="1186">
        <f>'2018'!R\Max</f>
        <v>0</v>
      </c>
      <c r="BX64" s="1184">
        <f>'2019'!R\Max</f>
        <v>0.75487968478954237</v>
      </c>
      <c r="BY64" s="1184">
        <f>'2020'!R\Max</f>
        <v>0.67021127090334598</v>
      </c>
      <c r="BZ64" s="1184">
        <f>'2021'!R\Max</f>
        <v>0.95339405343241046</v>
      </c>
      <c r="CA64" s="1184">
        <f>'2022'!R\Max</f>
        <v>0.54768287024034323</v>
      </c>
      <c r="CB64" s="1184">
        <f>'2023'!R\Max</f>
        <v>0.54766617264493667</v>
      </c>
      <c r="CC64" s="1184">
        <f>'2024'!R\Max</f>
        <v>0.54764944353344491</v>
      </c>
      <c r="CD64" s="1184">
        <f>'2025'!R\Max</f>
        <v>0.54762446685624433</v>
      </c>
      <c r="CE64" s="1184">
        <f>'2026'!R\Max</f>
        <v>0.54772025055205686</v>
      </c>
      <c r="CF64" s="1185">
        <f>'2027'!R\Max</f>
        <v>0.54771087179722189</v>
      </c>
    </row>
    <row r="65" spans="1:84" s="6" customFormat="1" ht="11.25" x14ac:dyDescent="0.2">
      <c r="A65" s="11">
        <v>43151</v>
      </c>
      <c r="B65" s="380">
        <f>'2022'!Maxi_hp</f>
        <v>40.655100676030095</v>
      </c>
      <c r="C65" s="13">
        <f>'2022'!An_max</f>
        <v>2020</v>
      </c>
      <c r="D65" s="1062">
        <f t="shared" si="7"/>
        <v>0.99850745835548305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53">
        <f t="shared" si="9"/>
        <v>7.1428571428571425E-2</v>
      </c>
      <c r="J65" s="746">
        <f t="shared" si="27"/>
        <v>40.715870808805008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55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53">
        <f t="shared" si="14"/>
        <v>0.5357142857142857</v>
      </c>
      <c r="AT65" s="769">
        <f t="shared" si="15"/>
        <v>40.76445860488748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53">
        <f t="shared" si="19"/>
        <v>3.5714285714285712E-2</v>
      </c>
      <c r="AY65" s="769">
        <f t="shared" si="20"/>
        <v>40.714495239722808</v>
      </c>
      <c r="AZ65" s="746">
        <f t="shared" si="26"/>
        <v>40.739476922305144</v>
      </c>
      <c r="BA65" s="643">
        <f t="shared" si="21"/>
        <v>0.99850745835548305</v>
      </c>
      <c r="BC65" s="11">
        <v>43151</v>
      </c>
      <c r="BD65" s="290">
        <f>[2]!FeuilCaduc*(1-Persistant)+Persistant</f>
        <v>0.60194415012999103</v>
      </c>
      <c r="BE65" s="291">
        <f>[2]!CroissVégét</f>
        <v>9.3920531593536197E-3</v>
      </c>
      <c r="BF65" s="816">
        <f>1+[2]!Salcycl*Ksac</f>
        <v>1.0002430187662488</v>
      </c>
      <c r="BH65" s="1053">
        <f t="shared" si="22"/>
        <v>2.1283004325661926E-3</v>
      </c>
      <c r="BI65" s="11">
        <v>44247</v>
      </c>
      <c r="BJ65" s="726">
        <v>3.0316413946431545E-4</v>
      </c>
      <c r="BK65" s="726">
        <v>8.1978178584716328E-4</v>
      </c>
      <c r="BL65" s="726">
        <v>1.418578275115376E-3</v>
      </c>
      <c r="BM65" s="726">
        <v>2.1301581464599844E-3</v>
      </c>
      <c r="BN65" s="726">
        <v>2.9363223853965453E-3</v>
      </c>
      <c r="BO65" s="727">
        <v>4.1620427410162288E-3</v>
      </c>
      <c r="BP65" s="726">
        <v>5.6481146226819885E-3</v>
      </c>
      <c r="BQ65" s="726">
        <v>7.8198823075387308E-3</v>
      </c>
      <c r="BR65" s="726">
        <v>1.0629981842733928E-2</v>
      </c>
      <c r="BS65" s="726">
        <v>1.4991258595620897E-2</v>
      </c>
      <c r="BT65" s="726">
        <v>2.0454008039733091E-2</v>
      </c>
      <c r="BW65" s="1186">
        <f>'2018'!R\Max</f>
        <v>0</v>
      </c>
      <c r="BX65" s="1184">
        <f>'2019'!R\Max</f>
        <v>0.99766316791412424</v>
      </c>
      <c r="BY65" s="1184">
        <f>'2020'!R\Max</f>
        <v>0.99850745835548305</v>
      </c>
      <c r="BZ65" s="1184">
        <f>'2021'!R\Max</f>
        <v>0.78561998185006765</v>
      </c>
      <c r="CA65" s="1184">
        <f>'2022'!R\Max</f>
        <v>0.51787774467152914</v>
      </c>
      <c r="CB65" s="1184">
        <f>'2023'!R\Max</f>
        <v>0.51786011105294116</v>
      </c>
      <c r="CC65" s="1184">
        <f>'2024'!R\Max</f>
        <v>0.51784244296322191</v>
      </c>
      <c r="CD65" s="1184">
        <f>'2025'!R\Max</f>
        <v>0.51781667115809837</v>
      </c>
      <c r="CE65" s="1184">
        <f>'2026'!R\Max</f>
        <v>0.5179169089396769</v>
      </c>
      <c r="CF65" s="1185">
        <f>'2027'!R\Max</f>
        <v>0.51790734377599479</v>
      </c>
    </row>
    <row r="66" spans="1:84" s="6" customFormat="1" ht="11.25" x14ac:dyDescent="0.2">
      <c r="A66" s="11">
        <v>43152</v>
      </c>
      <c r="B66" s="380">
        <f>'2022'!Maxi_hp</f>
        <v>38.737384022485628</v>
      </c>
      <c r="C66" s="13">
        <f>'2022'!An_max</f>
        <v>2019</v>
      </c>
      <c r="D66" s="1062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53">
        <f t="shared" si="9"/>
        <v>0.14285714285714285</v>
      </c>
      <c r="J66" s="746">
        <f t="shared" si="27"/>
        <v>41.074225655948979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55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53">
        <f t="shared" si="14"/>
        <v>0.5714285714285714</v>
      </c>
      <c r="AT66" s="769">
        <f t="shared" si="15"/>
        <v>41.126618075630226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53">
        <f t="shared" si="19"/>
        <v>7.1428571428571425E-2</v>
      </c>
      <c r="AY66" s="769">
        <f t="shared" si="20"/>
        <v>41.07223946804713</v>
      </c>
      <c r="AZ66" s="746">
        <f t="shared" si="26"/>
        <v>41.099428771838674</v>
      </c>
      <c r="BA66" s="643">
        <f t="shared" si="21"/>
        <v>0.94310686090499929</v>
      </c>
      <c r="BC66" s="11">
        <v>43152</v>
      </c>
      <c r="BD66" s="290">
        <f>[2]!FeuilCaduc*(1-Persistant)+Persistant</f>
        <v>0.60206532763862897</v>
      </c>
      <c r="BE66" s="291">
        <f>[2]!CroissVégét</f>
        <v>9.8394096579268626E-3</v>
      </c>
      <c r="BF66" s="816">
        <f>1+[2]!Salcycl*Ksac</f>
        <v>1.0002581659548286</v>
      </c>
      <c r="BH66" s="1053">
        <f t="shared" si="22"/>
        <v>2.1212861947049648E-3</v>
      </c>
      <c r="BI66" s="11">
        <v>44248</v>
      </c>
      <c r="BJ66" s="726">
        <v>2.7476405242099949E-4</v>
      </c>
      <c r="BK66" s="726">
        <v>7.9612303721142712E-4</v>
      </c>
      <c r="BL66" s="726">
        <v>1.4019222389216191E-3</v>
      </c>
      <c r="BM66" s="726">
        <v>2.1231691462252501E-3</v>
      </c>
      <c r="BN66" s="726">
        <v>2.9400314608549311E-3</v>
      </c>
      <c r="BO66" s="727">
        <v>4.237018246624185E-3</v>
      </c>
      <c r="BP66" s="726">
        <v>5.8105334034149157E-3</v>
      </c>
      <c r="BQ66" s="726">
        <v>8.0758303325446749E-3</v>
      </c>
      <c r="BR66" s="726">
        <v>1.0920998410974693E-2</v>
      </c>
      <c r="BS66" s="726">
        <v>1.5277596744478967E-2</v>
      </c>
      <c r="BT66" s="726">
        <v>2.0708174852902574E-2</v>
      </c>
      <c r="BW66" s="1186">
        <f>'2018'!R\Max</f>
        <v>0</v>
      </c>
      <c r="BX66" s="1184">
        <f>'2019'!R\Max</f>
        <v>0.94310686090499929</v>
      </c>
      <c r="BY66" s="1184">
        <f>'2020'!R\Max</f>
        <v>0.34388384830858509</v>
      </c>
      <c r="BZ66" s="1184">
        <f>'2021'!R\Max</f>
        <v>0.34563848486809196</v>
      </c>
      <c r="CA66" s="1184">
        <f>'2022'!R\Max</f>
        <v>0.56755897831069735</v>
      </c>
      <c r="CB66" s="1184">
        <f>'2023'!R\Max</f>
        <v>0.56754078085078297</v>
      </c>
      <c r="CC66" s="1184">
        <f>'2024'!R\Max</f>
        <v>0.56752254572812222</v>
      </c>
      <c r="CD66" s="1184">
        <f>'2025'!R\Max</f>
        <v>0.56749634560887741</v>
      </c>
      <c r="CE66" s="1184">
        <f>'2026'!R\Max</f>
        <v>0.56759893409420725</v>
      </c>
      <c r="CF66" s="1185">
        <f>'2027'!R\Max</f>
        <v>0.56758948812082233</v>
      </c>
    </row>
    <row r="67" spans="1:84" s="6" customFormat="1" ht="11.25" x14ac:dyDescent="0.2">
      <c r="A67" s="11">
        <v>43153</v>
      </c>
      <c r="B67" s="380">
        <f>'2022'!Maxi_hp</f>
        <v>40.196901311599696</v>
      </c>
      <c r="C67" s="13">
        <f>'2022'!An_max</f>
        <v>2019</v>
      </c>
      <c r="D67" s="1062">
        <f t="shared" si="7"/>
        <v>0.97012084314958424</v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53">
        <f t="shared" si="9"/>
        <v>0.21428571428571427</v>
      </c>
      <c r="J67" s="746">
        <f t="shared" si="27"/>
        <v>41.43494245634065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55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53">
        <f t="shared" si="14"/>
        <v>0.6071428571428571</v>
      </c>
      <c r="AT67" s="769">
        <f t="shared" si="15"/>
        <v>41.48943960896203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53">
        <f t="shared" si="19"/>
        <v>0.10714285714285714</v>
      </c>
      <c r="AY67" s="769">
        <f t="shared" si="20"/>
        <v>41.433124020645792</v>
      </c>
      <c r="AZ67" s="746">
        <f t="shared" si="26"/>
        <v>41.461281814803911</v>
      </c>
      <c r="BA67" s="643">
        <f t="shared" si="21"/>
        <v>0.97012084314958424</v>
      </c>
      <c r="BC67" s="11">
        <v>43153</v>
      </c>
      <c r="BD67" s="290">
        <f>[2]!FeuilCaduc*(1-Persistant)+Persistant</f>
        <v>0.60218403075745885</v>
      </c>
      <c r="BE67" s="291">
        <f>[2]!CroissVégét</f>
        <v>1.0305104176065441E-2</v>
      </c>
      <c r="BF67" s="816">
        <f>1+[2]!Salcycl*Ksac</f>
        <v>1.0002730038446823</v>
      </c>
      <c r="BH67" s="1053">
        <f t="shared" si="22"/>
        <v>2.0965128733085683E-3</v>
      </c>
      <c r="BI67" s="11">
        <v>44249</v>
      </c>
      <c r="BJ67" s="726">
        <v>2.4703930545943748E-4</v>
      </c>
      <c r="BK67" s="726">
        <v>7.6800144641491006E-4</v>
      </c>
      <c r="BL67" s="726">
        <v>1.374727859528877E-3</v>
      </c>
      <c r="BM67" s="726">
        <v>2.0984021620032395E-3</v>
      </c>
      <c r="BN67" s="726">
        <v>2.9180820781467961E-3</v>
      </c>
      <c r="BO67" s="727">
        <v>4.2875894733050519E-3</v>
      </c>
      <c r="BP67" s="726">
        <v>5.9530704257977256E-3</v>
      </c>
      <c r="BQ67" s="726">
        <v>8.3333549546646055E-3</v>
      </c>
      <c r="BR67" s="726">
        <v>1.1232162593527724E-2</v>
      </c>
      <c r="BS67" s="726">
        <v>1.5606176767032326E-2</v>
      </c>
      <c r="BT67" s="726">
        <v>2.1016496006584159E-2</v>
      </c>
      <c r="BW67" s="1186">
        <f>'2018'!R\Max</f>
        <v>0</v>
      </c>
      <c r="BX67" s="1184">
        <f>'2019'!R\Max</f>
        <v>0.97012084314958424</v>
      </c>
      <c r="BY67" s="1184">
        <f>'2020'!R\Max</f>
        <v>0.94699792158059981</v>
      </c>
      <c r="BZ67" s="1184">
        <f>'2021'!R\Max</f>
        <v>0.21875453977648843</v>
      </c>
      <c r="CA67" s="1184">
        <f>'2022'!R\Max</f>
        <v>0.86971973464946917</v>
      </c>
      <c r="CB67" s="1184">
        <f>'2023'!R\Max</f>
        <v>0.86971091808427436</v>
      </c>
      <c r="CC67" s="1184">
        <f>'2024'!R\Max</f>
        <v>0.8697020815016463</v>
      </c>
      <c r="CD67" s="1184">
        <f>'2025'!R\Max</f>
        <v>0.86968947850000533</v>
      </c>
      <c r="CE67" s="1184">
        <f>'2026'!R\Max</f>
        <v>0.86973881026861033</v>
      </c>
      <c r="CF67" s="1185">
        <f>'2027'!R\Max</f>
        <v>0.86973447205484256</v>
      </c>
    </row>
    <row r="68" spans="1:84" s="6" customFormat="1" ht="11.25" x14ac:dyDescent="0.2">
      <c r="A68" s="11">
        <v>43154</v>
      </c>
      <c r="B68" s="380">
        <f>'2022'!Maxi_hp</f>
        <v>40.899659056750139</v>
      </c>
      <c r="C68" s="13">
        <f>'2022'!An_max</f>
        <v>2020</v>
      </c>
      <c r="D68" s="1062">
        <f t="shared" si="7"/>
        <v>0.97851460516985611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53">
        <f t="shared" si="9"/>
        <v>0.2857142857142857</v>
      </c>
      <c r="J68" s="746">
        <f t="shared" si="27"/>
        <v>41.797699125452034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55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53">
        <f t="shared" si="14"/>
        <v>0.6428571428571429</v>
      </c>
      <c r="AT68" s="769">
        <f t="shared" si="15"/>
        <v>41.852721902188406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53">
        <f t="shared" si="19"/>
        <v>0.14285714285714285</v>
      </c>
      <c r="AY68" s="769">
        <f t="shared" si="20"/>
        <v>41.796840233302547</v>
      </c>
      <c r="AZ68" s="746">
        <f t="shared" si="26"/>
        <v>41.824781067745477</v>
      </c>
      <c r="BA68" s="643">
        <f t="shared" si="21"/>
        <v>0.97851460516985611</v>
      </c>
      <c r="BC68" s="11">
        <v>43154</v>
      </c>
      <c r="BD68" s="290">
        <f>[2]!FeuilCaduc*(1-Persistant)+Persistant</f>
        <v>0.60230002931003135</v>
      </c>
      <c r="BE68" s="291">
        <f>[2]!CroissVégét</f>
        <v>1.0789869896821172E-2</v>
      </c>
      <c r="BF68" s="816">
        <f>1+[2]!Salcycl*Ksac</f>
        <v>1.000287503663754</v>
      </c>
      <c r="BH68" s="1053">
        <f t="shared" si="22"/>
        <v>2.05396935055931E-3</v>
      </c>
      <c r="BI68" s="11">
        <v>44250</v>
      </c>
      <c r="BJ68" s="726">
        <v>2.1998799681433121E-4</v>
      </c>
      <c r="BK68" s="726">
        <v>7.3541248897719008E-4</v>
      </c>
      <c r="BL68" s="726">
        <v>1.3369875891346326E-3</v>
      </c>
      <c r="BM68" s="726">
        <v>2.0558460666316647E-3</v>
      </c>
      <c r="BN68" s="726">
        <v>2.8704590473338162E-3</v>
      </c>
      <c r="BO68" s="727">
        <v>4.3137353759873445E-3</v>
      </c>
      <c r="BP68" s="726">
        <v>6.0756975077682568E-3</v>
      </c>
      <c r="BQ68" s="726">
        <v>8.5924169895658046E-3</v>
      </c>
      <c r="BR68" s="726">
        <v>1.1563420281839277E-2</v>
      </c>
      <c r="BS68" s="726">
        <v>1.5976920925646284E-2</v>
      </c>
      <c r="BT68" s="726">
        <v>2.1378864164012509E-2</v>
      </c>
      <c r="BW68" s="1186">
        <f>'2018'!R\Max</f>
        <v>0</v>
      </c>
      <c r="BX68" s="1184">
        <f>'2019'!R\Max</f>
        <v>0.97662117062973619</v>
      </c>
      <c r="BY68" s="1184">
        <f>'2020'!R\Max</f>
        <v>0.97851460516985611</v>
      </c>
      <c r="BZ68" s="1184">
        <f>'2021'!R\Max</f>
        <v>0.74385443455552769</v>
      </c>
      <c r="CA68" s="1184">
        <f>'2022'!R\Max</f>
        <v>0.89216574875681398</v>
      </c>
      <c r="CB68" s="1184">
        <f>'2023'!R\Max</f>
        <v>0.89215789637869314</v>
      </c>
      <c r="CC68" s="1184">
        <f>'2024'!R\Max</f>
        <v>0.89215002451132441</v>
      </c>
      <c r="CD68" s="1184">
        <f>'2025'!R\Max</f>
        <v>0.89213880607029461</v>
      </c>
      <c r="CE68" s="1184">
        <f>'2026'!R\Max</f>
        <v>0.89218244582780826</v>
      </c>
      <c r="CF68" s="1185">
        <f>'2027'!R\Max</f>
        <v>0.89217881625599704</v>
      </c>
    </row>
    <row r="69" spans="1:84" s="6" customFormat="1" ht="11.25" x14ac:dyDescent="0.2">
      <c r="A69" s="11">
        <v>43155</v>
      </c>
      <c r="B69" s="380">
        <f>'2022'!Maxi_hp</f>
        <v>41.03378848015074</v>
      </c>
      <c r="C69" s="13">
        <f>'2022'!An_max</f>
        <v>2019</v>
      </c>
      <c r="D69" s="1062">
        <f t="shared" si="7"/>
        <v>0.97323702734677231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53">
        <f t="shared" si="9"/>
        <v>0.35714285714285715</v>
      </c>
      <c r="J69" s="746">
        <f t="shared" si="27"/>
        <v>42.162173578636427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55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53">
        <f t="shared" si="14"/>
        <v>0.6785714285714286</v>
      </c>
      <c r="AT69" s="769">
        <f t="shared" si="15"/>
        <v>42.216263652454451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53">
        <f t="shared" si="19"/>
        <v>0.17857142857142858</v>
      </c>
      <c r="AY69" s="769">
        <f t="shared" si="20"/>
        <v>42.163079441481798</v>
      </c>
      <c r="AZ69" s="746">
        <f t="shared" si="26"/>
        <v>42.189671546968128</v>
      </c>
      <c r="BA69" s="643">
        <f t="shared" si="21"/>
        <v>0.97323702734677231</v>
      </c>
      <c r="BC69" s="11">
        <v>43155</v>
      </c>
      <c r="BD69" s="290">
        <f>[2]!FeuilCaduc*(1-Persistant)+Persistant</f>
        <v>0.60241321847730278</v>
      </c>
      <c r="BE69" s="291">
        <f>[2]!CroissVégét</f>
        <v>1.1294467751257744E-2</v>
      </c>
      <c r="BF69" s="816">
        <f>1+[2]!Salcycl*Ksac</f>
        <v>1.0003016523096628</v>
      </c>
      <c r="BH69" s="1053">
        <f t="shared" si="22"/>
        <v>1.9936547611529502E-3</v>
      </c>
      <c r="BI69" s="11">
        <v>44251</v>
      </c>
      <c r="BJ69" s="726">
        <v>1.9360978091172295E-4</v>
      </c>
      <c r="BK69" s="726">
        <v>6.9835566148105895E-4</v>
      </c>
      <c r="BL69" s="726">
        <v>1.2887007536630424E-3</v>
      </c>
      <c r="BM69" s="726">
        <v>1.9954999943057406E-3</v>
      </c>
      <c r="BN69" s="726">
        <v>2.7971612836717947E-3</v>
      </c>
      <c r="BO69" s="727">
        <v>4.3154550058461466E-3</v>
      </c>
      <c r="BP69" s="726">
        <v>6.1784138773059334E-3</v>
      </c>
      <c r="BQ69" s="726">
        <v>8.8530156580649017E-3</v>
      </c>
      <c r="BR69" s="726">
        <v>1.1914769968024191E-2</v>
      </c>
      <c r="BS69" s="726">
        <v>1.6389826086301688E-2</v>
      </c>
      <c r="BT69" s="726">
        <v>2.1795273919261209E-2</v>
      </c>
      <c r="BW69" s="1186">
        <f>'2018'!R\Max</f>
        <v>0</v>
      </c>
      <c r="BX69" s="1184">
        <f>'2019'!R\Max</f>
        <v>0.97323702734677231</v>
      </c>
      <c r="BY69" s="1184">
        <f>'2020'!R\Max</f>
        <v>0.93116871118482358</v>
      </c>
      <c r="BZ69" s="1184">
        <f>'2021'!R\Max</f>
        <v>0.93633162538754855</v>
      </c>
      <c r="CA69" s="1184">
        <f>'2022'!R\Max</f>
        <v>0.54375865379067134</v>
      </c>
      <c r="CB69" s="1184">
        <f>'2023'!R\Max</f>
        <v>0.54373742593121421</v>
      </c>
      <c r="CC69" s="1184">
        <f>'2024'!R\Max</f>
        <v>0.54371614102459642</v>
      </c>
      <c r="CD69" s="1184">
        <f>'2025'!R\Max</f>
        <v>0.54368566191315659</v>
      </c>
      <c r="CE69" s="1184">
        <f>'2026'!R\Max</f>
        <v>0.54380291659405855</v>
      </c>
      <c r="CF69" s="1185">
        <f>'2027'!R\Max</f>
        <v>0.54379378280653612</v>
      </c>
    </row>
    <row r="70" spans="1:84" s="6" customFormat="1" ht="11.25" x14ac:dyDescent="0.2">
      <c r="A70" s="11">
        <v>43156</v>
      </c>
      <c r="B70" s="380">
        <f>'2022'!Maxi_hp</f>
        <v>42.028165575806206</v>
      </c>
      <c r="C70" s="13">
        <f>'2022'!An_max</f>
        <v>2019</v>
      </c>
      <c r="D70" s="1062">
        <f t="shared" si="7"/>
        <v>0.98824591699595865</v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53">
        <f t="shared" si="9"/>
        <v>0.42857142857142855</v>
      </c>
      <c r="J70" s="746">
        <f t="shared" si="27"/>
        <v>42.528043731829634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55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53">
        <f t="shared" si="14"/>
        <v>0.7142857142857143</v>
      </c>
      <c r="AT70" s="769">
        <f t="shared" si="15"/>
        <v>42.579863556748855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53">
        <f t="shared" si="19"/>
        <v>0.21428571428571427</v>
      </c>
      <c r="AY70" s="769">
        <f t="shared" si="20"/>
        <v>42.531532981206794</v>
      </c>
      <c r="AZ70" s="746">
        <f t="shared" si="26"/>
        <v>42.555698268977821</v>
      </c>
      <c r="BA70" s="643">
        <f t="shared" si="21"/>
        <v>0.98824591699595865</v>
      </c>
      <c r="BC70" s="11">
        <v>43156</v>
      </c>
      <c r="BD70" s="290">
        <f>[2]!FeuilCaduc*(1-Persistant)+Persistant</f>
        <v>0.60252362659990943</v>
      </c>
      <c r="BE70" s="291">
        <f>[2]!CroissVégét</f>
        <v>1.1819687335529849E-2</v>
      </c>
      <c r="BF70" s="816">
        <f>1+[2]!Salcycl*Ksac</f>
        <v>1.0003154533249887</v>
      </c>
      <c r="BH70" s="1053">
        <f t="shared" si="22"/>
        <v>1.915568009482892E-3</v>
      </c>
      <c r="BI70" s="11">
        <v>44252</v>
      </c>
      <c r="BJ70" s="726">
        <v>1.679043632966664E-4</v>
      </c>
      <c r="BK70" s="726">
        <v>6.5683043499165658E-4</v>
      </c>
      <c r="BL70" s="726">
        <v>1.2298665608392394E-3</v>
      </c>
      <c r="BM70" s="726">
        <v>1.9173628486248938E-3</v>
      </c>
      <c r="BN70" s="726">
        <v>2.6981873492110159E-3</v>
      </c>
      <c r="BO70" s="727">
        <v>4.2927469722082133E-3</v>
      </c>
      <c r="BP70" s="726">
        <v>6.261218252165985E-3</v>
      </c>
      <c r="BQ70" s="726">
        <v>9.1151498225135099E-3</v>
      </c>
      <c r="BR70" s="726">
        <v>1.2286209984817751E-2</v>
      </c>
      <c r="BS70" s="726">
        <v>1.6844889260964783E-2</v>
      </c>
      <c r="BT70" s="726">
        <v>2.2265720220460417E-2</v>
      </c>
      <c r="BW70" s="1186">
        <f>'2018'!R\Max</f>
        <v>0</v>
      </c>
      <c r="BX70" s="1184">
        <f>'2019'!R\Max</f>
        <v>0.98824591699595865</v>
      </c>
      <c r="BY70" s="1184">
        <f>'2020'!R\Max</f>
        <v>0.4167490324190129</v>
      </c>
      <c r="BZ70" s="1184">
        <f>'2021'!R\Max</f>
        <v>0.83878870890003354</v>
      </c>
      <c r="CA70" s="1184">
        <f>'2022'!R\Max</f>
        <v>0.78526439776649859</v>
      </c>
      <c r="CB70" s="1184">
        <f>'2023'!R\Max</f>
        <v>0.78524927996121452</v>
      </c>
      <c r="CC70" s="1184">
        <f>'2024'!R\Max</f>
        <v>0.7852341159702324</v>
      </c>
      <c r="CD70" s="1184">
        <f>'2025'!R\Max</f>
        <v>0.78521219360448302</v>
      </c>
      <c r="CE70" s="1184">
        <f>'2026'!R\Max</f>
        <v>0.78529524261771599</v>
      </c>
      <c r="CF70" s="1185">
        <f>'2027'!R\Max</f>
        <v>0.78528924712907344</v>
      </c>
    </row>
    <row r="71" spans="1:84" s="6" customFormat="1" ht="11.25" x14ac:dyDescent="0.2">
      <c r="A71" s="11">
        <v>43157</v>
      </c>
      <c r="B71" s="380">
        <f>'2022'!Maxi_hp</f>
        <v>43.012867213846995</v>
      </c>
      <c r="C71" s="13">
        <f>'2022'!An_max</f>
        <v>2022</v>
      </c>
      <c r="D71" s="1062">
        <f t="shared" si="7"/>
        <v>1.0027480999671898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53">
        <f t="shared" si="9"/>
        <v>0.5</v>
      </c>
      <c r="J71" s="746">
        <f t="shared" si="27"/>
        <v>42.894987500105344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55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53">
        <f t="shared" si="14"/>
        <v>0.75</v>
      </c>
      <c r="AT71" s="769">
        <f t="shared" si="15"/>
        <v>42.943320312318974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53">
        <f t="shared" si="19"/>
        <v>0.25</v>
      </c>
      <c r="AY71" s="769">
        <f t="shared" si="20"/>
        <v>42.901892187539488</v>
      </c>
      <c r="AZ71" s="746">
        <f t="shared" si="26"/>
        <v>42.922606249929231</v>
      </c>
      <c r="BA71" s="643">
        <f t="shared" si="21"/>
        <v>1.0027480999671898</v>
      </c>
      <c r="BC71" s="11">
        <v>43157</v>
      </c>
      <c r="BD71" s="290">
        <f>[2]!FeuilCaduc*(1-Persistant)+Persistant</f>
        <v>0.60263142201250741</v>
      </c>
      <c r="BE71" s="291">
        <f>[2]!CroissVégét</f>
        <v>1.236634784666045E-2</v>
      </c>
      <c r="BF71" s="816">
        <f>1+[2]!Salcycl*Ksac</f>
        <v>1.0003289277515635</v>
      </c>
      <c r="BH71" s="1053">
        <f t="shared" si="22"/>
        <v>1.8197078354090818E-3</v>
      </c>
      <c r="BI71" s="11">
        <v>44253</v>
      </c>
      <c r="BJ71" s="726">
        <v>1.4287149814608708E-4</v>
      </c>
      <c r="BK71" s="726">
        <v>6.1083627159450266E-4</v>
      </c>
      <c r="BL71" s="726">
        <v>1.1604841392226738E-3</v>
      </c>
      <c r="BM71" s="726">
        <v>1.8214333684316397E-3</v>
      </c>
      <c r="BN71" s="726">
        <v>2.5735355478144046E-3</v>
      </c>
      <c r="BO71" s="727">
        <v>4.2456095329639039E-3</v>
      </c>
      <c r="BP71" s="726">
        <v>6.3241089136006623E-3</v>
      </c>
      <c r="BQ71" s="726">
        <v>9.3788179811937298E-3</v>
      </c>
      <c r="BR71" s="726">
        <v>1.2677738431351343E-2</v>
      </c>
      <c r="BS71" s="726">
        <v>1.7342107451759702E-2</v>
      </c>
      <c r="BT71" s="726">
        <v>2.2790198170071052E-2</v>
      </c>
      <c r="BW71" s="1186">
        <f>'2018'!R\Max</f>
        <v>0</v>
      </c>
      <c r="BX71" s="1184">
        <f>'2019'!R\Max</f>
        <v>0.8919757836955996</v>
      </c>
      <c r="BY71" s="1184">
        <f>'2020'!R\Max</f>
        <v>0.44068646606510392</v>
      </c>
      <c r="BZ71" s="1184">
        <f>'2021'!R\Max</f>
        <v>0.20367514227628247</v>
      </c>
      <c r="CA71" s="1184">
        <f>'2022'!R\Max</f>
        <v>1.0027480999671898</v>
      </c>
      <c r="CB71" s="1184">
        <f>'2023'!R\Max</f>
        <v>1.0027480999671898</v>
      </c>
      <c r="CC71" s="1184">
        <f>'2024'!R\Max</f>
        <v>1.0027480999671898</v>
      </c>
      <c r="CD71" s="1184">
        <f>'2025'!R\Max</f>
        <v>1.0027480999671896</v>
      </c>
      <c r="CE71" s="1184">
        <f>'2026'!R\Max</f>
        <v>1.0027480999671898</v>
      </c>
      <c r="CF71" s="1185">
        <f>'2027'!R\Max</f>
        <v>1.0027480999671898</v>
      </c>
    </row>
    <row r="72" spans="1:84" s="6" customFormat="1" ht="11.25" x14ac:dyDescent="0.2">
      <c r="A72" s="11">
        <v>43158</v>
      </c>
      <c r="B72" s="380">
        <f>'2022'!Maxi_hp</f>
        <v>42.246597609719124</v>
      </c>
      <c r="C72" s="13">
        <f>'2022'!An_max</f>
        <v>2019</v>
      </c>
      <c r="D72" s="1062">
        <f t="shared" si="7"/>
        <v>0.9765135880799426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53">
        <f t="shared" si="9"/>
        <v>0.5714285714285714</v>
      </c>
      <c r="J72" s="746">
        <f t="shared" si="27"/>
        <v>43.262682798696083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55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53">
        <f t="shared" si="14"/>
        <v>0.7857142857142857</v>
      </c>
      <c r="AT72" s="769">
        <f t="shared" si="15"/>
        <v>43.306432616511927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53">
        <f t="shared" si="19"/>
        <v>0.2857142857142857</v>
      </c>
      <c r="AY72" s="769">
        <f t="shared" si="20"/>
        <v>43.273848396699343</v>
      </c>
      <c r="AZ72" s="746">
        <f t="shared" si="26"/>
        <v>43.290140506605638</v>
      </c>
      <c r="BA72" s="643">
        <f t="shared" si="21"/>
        <v>0.9765135880799426</v>
      </c>
      <c r="BC72" s="11">
        <v>43158</v>
      </c>
      <c r="BD72" s="290">
        <f>[2]!FeuilCaduc*(1-Persistant)+Persistant</f>
        <v>0.6027369188599403</v>
      </c>
      <c r="BE72" s="291">
        <f>[2]!CroissVégét</f>
        <v>1.2935299036280712E-2</v>
      </c>
      <c r="BF72" s="816">
        <f>1+[2]!Salcycl*Ksac</f>
        <v>1.0003421148574925</v>
      </c>
      <c r="BH72" s="1053">
        <f t="shared" si="22"/>
        <v>1.7118441802061585E-3</v>
      </c>
      <c r="BI72" s="11">
        <v>44254</v>
      </c>
      <c r="BJ72" s="726">
        <v>1.1938881444866482E-4</v>
      </c>
      <c r="BK72" s="726">
        <v>5.6267465612795165E-4</v>
      </c>
      <c r="BL72" s="726">
        <v>1.0844734700398676E-3</v>
      </c>
      <c r="BM72" s="726">
        <v>1.7134863373131316E-3</v>
      </c>
      <c r="BN72" s="726">
        <v>2.4309925229201927E-3</v>
      </c>
      <c r="BO72" s="727">
        <v>4.168530412938568E-3</v>
      </c>
      <c r="BP72" s="726">
        <v>6.3455203089565898E-3</v>
      </c>
      <c r="BQ72" s="726">
        <v>9.6054201138076022E-3</v>
      </c>
      <c r="BR72" s="726">
        <v>1.305189491476942E-2</v>
      </c>
      <c r="BS72" s="726">
        <v>1.7852055824794672E-2</v>
      </c>
      <c r="BT72" s="726">
        <v>2.3352296305104488E-2</v>
      </c>
      <c r="BW72" s="1186">
        <f>'2018'!R\Max</f>
        <v>0</v>
      </c>
      <c r="BX72" s="1184">
        <f>'2019'!R\Max</f>
        <v>0.9765135880799426</v>
      </c>
      <c r="BY72" s="1184">
        <f>'2020'!R\Max</f>
        <v>0.18834727732215412</v>
      </c>
      <c r="BZ72" s="1184">
        <f>'2021'!R\Max</f>
        <v>0.96119475529804632</v>
      </c>
      <c r="CA72" s="1184">
        <f>'2022'!R\Max</f>
        <v>0.69288237019004317</v>
      </c>
      <c r="CB72" s="1184">
        <f>'2023'!R\Max</f>
        <v>0.69286162227663994</v>
      </c>
      <c r="CC72" s="1184">
        <f>'2024'!R\Max</f>
        <v>0.69284079316057812</v>
      </c>
      <c r="CD72" s="1184">
        <f>'2025'!R\Max</f>
        <v>0.69280971915606471</v>
      </c>
      <c r="CE72" s="1184">
        <f>'2026'!R\Max</f>
        <v>0.69292277228583499</v>
      </c>
      <c r="CF72" s="1185">
        <f>'2027'!R\Max</f>
        <v>0.69291593525235373</v>
      </c>
    </row>
    <row r="73" spans="1:84" s="6" customFormat="1" ht="11.25" x14ac:dyDescent="0.2">
      <c r="A73" s="11">
        <v>43159</v>
      </c>
      <c r="B73" s="380">
        <f>'2022'!Maxi_hp</f>
        <v>37.045168016322464</v>
      </c>
      <c r="C73" s="13">
        <f>'2022'!An_max</f>
        <v>2022</v>
      </c>
      <c r="D73" s="1062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53">
        <f t="shared" si="9"/>
        <v>0.6428571428571429</v>
      </c>
      <c r="J73" s="746">
        <f t="shared" si="27"/>
        <v>43.630807543661128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55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53">
        <f t="shared" si="14"/>
        <v>0.8214285714285714</v>
      </c>
      <c r="AT73" s="769">
        <f t="shared" si="15"/>
        <v>43.668999166264044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53">
        <f t="shared" si="19"/>
        <v>0.32142857142857145</v>
      </c>
      <c r="AY73" s="769">
        <f t="shared" si="20"/>
        <v>43.647092943824831</v>
      </c>
      <c r="AZ73" s="746">
        <f t="shared" si="26"/>
        <v>43.658046055044437</v>
      </c>
      <c r="BA73" s="643">
        <f t="shared" si="21"/>
        <v>0.84905987539312799</v>
      </c>
      <c r="BC73" s="11">
        <v>43159</v>
      </c>
      <c r="BD73" s="290">
        <f>[2]!FeuilCaduc*(1-Persistant)+Persistant</f>
        <v>0.60284058185655764</v>
      </c>
      <c r="BE73" s="291">
        <f>[2]!CroissVégét</f>
        <v>1.352742218145603E-2</v>
      </c>
      <c r="BF73" s="816">
        <f>1+[2]!Salcycl*Ksac</f>
        <v>1.0003550727320698</v>
      </c>
      <c r="BH73" s="1053">
        <f t="shared" si="22"/>
        <v>1.6001979872036155E-3</v>
      </c>
      <c r="BI73" s="11">
        <v>44255</v>
      </c>
      <c r="BJ73" s="726">
        <v>9.8195606055514169E-5</v>
      </c>
      <c r="BK73" s="726">
        <v>5.1528309904650587E-4</v>
      </c>
      <c r="BL73" s="726">
        <v>1.0072585759082521E-3</v>
      </c>
      <c r="BM73" s="726">
        <v>1.6017500196024582E-3</v>
      </c>
      <c r="BN73" s="726">
        <v>2.2817246655415422E-3</v>
      </c>
      <c r="BO73" s="727">
        <v>4.0665372768546237E-3</v>
      </c>
      <c r="BP73" s="726">
        <v>6.3224627032178304E-3</v>
      </c>
      <c r="BQ73" s="726">
        <v>9.7816614401528921E-3</v>
      </c>
      <c r="BR73" s="726">
        <v>1.3389920202373114E-2</v>
      </c>
      <c r="BS73" s="726">
        <v>1.8349875955199029E-2</v>
      </c>
      <c r="BT73" s="726">
        <v>2.3920615989977075E-2</v>
      </c>
      <c r="BW73" s="1186">
        <f>'2018'!R\Max</f>
        <v>0</v>
      </c>
      <c r="BX73" s="1184">
        <f>'2019'!R\Max</f>
        <v>0.76122121666009168</v>
      </c>
      <c r="BY73" s="1184">
        <f>'2020'!R\Max</f>
        <v>0.42294885503780455</v>
      </c>
      <c r="BZ73" s="1184">
        <f>'2021'!R\Max</f>
        <v>0.77923862053094783</v>
      </c>
      <c r="CA73" s="1184">
        <f>'2022'!R\Max</f>
        <v>0.84905987539312799</v>
      </c>
      <c r="CB73" s="1184">
        <f>'2023'!R\Max</f>
        <v>0.84904703366407919</v>
      </c>
      <c r="CC73" s="1184">
        <f>'2024'!R\Max</f>
        <v>0.84903413362596192</v>
      </c>
      <c r="CD73" s="1184">
        <f>'2025'!R\Max</f>
        <v>0.84901443740890914</v>
      </c>
      <c r="CE73" s="1184">
        <f>'2026'!R\Max</f>
        <v>0.84908433004777228</v>
      </c>
      <c r="CF73" s="1185">
        <f>'2027'!R\Max</f>
        <v>0.84908046029006023</v>
      </c>
    </row>
    <row r="74" spans="1:84" s="6" customFormat="1" ht="11.25" x14ac:dyDescent="0.2">
      <c r="A74" s="11">
        <v>43160</v>
      </c>
      <c r="B74" s="380">
        <f>'2022'!Maxi_hp</f>
        <v>43.00792316495</v>
      </c>
      <c r="C74" s="13">
        <f>'2022'!An_max</f>
        <v>2022</v>
      </c>
      <c r="D74" s="1062">
        <f t="shared" si="7"/>
        <v>0.97747413368377245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53">
        <f t="shared" si="9"/>
        <v>0.7142857142857143</v>
      </c>
      <c r="J74" s="746">
        <f t="shared" si="27"/>
        <v>43.999039650151715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55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53">
        <f t="shared" si="14"/>
        <v>0.8571428571428571</v>
      </c>
      <c r="AT74" s="769">
        <f t="shared" si="15"/>
        <v>44.030818658811043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53">
        <f t="shared" si="19"/>
        <v>0.35714285714285715</v>
      </c>
      <c r="AY74" s="769">
        <f t="shared" si="20"/>
        <v>44.021317164739592</v>
      </c>
      <c r="AZ74" s="746">
        <f t="shared" si="26"/>
        <v>44.026067911775314</v>
      </c>
      <c r="BA74" s="643">
        <f t="shared" si="21"/>
        <v>0.97747413368377245</v>
      </c>
      <c r="BC74" s="11">
        <v>43160</v>
      </c>
      <c r="BD74" s="290">
        <f>[2]!FeuilCaduc*(1-Persistant)+Persistant</f>
        <v>0.60294302996164917</v>
      </c>
      <c r="BE74" s="291">
        <f>[2]!CroissVégét</f>
        <v>1.4143631071573595E-2</v>
      </c>
      <c r="BF74" s="816">
        <f>1+[2]!Salcycl*Ksac</f>
        <v>1.0003678787452062</v>
      </c>
      <c r="BH74" s="1053">
        <f t="shared" si="22"/>
        <v>1.4847681804309697E-3</v>
      </c>
      <c r="BI74" s="11">
        <v>44256</v>
      </c>
      <c r="BJ74" s="726">
        <v>7.9291791488076329E-5</v>
      </c>
      <c r="BK74" s="726">
        <v>4.6866124118739004E-4</v>
      </c>
      <c r="BL74" s="726">
        <v>9.2883877140372841E-4</v>
      </c>
      <c r="BM74" s="726">
        <v>1.4862233383068728E-3</v>
      </c>
      <c r="BN74" s="726">
        <v>2.1257304585822808E-3</v>
      </c>
      <c r="BO74" s="727">
        <v>3.9396278447597034E-3</v>
      </c>
      <c r="BP74" s="726">
        <v>6.2549329786154729E-3</v>
      </c>
      <c r="BQ74" s="726">
        <v>9.9075382299763683E-3</v>
      </c>
      <c r="BR74" s="726">
        <v>1.3691810065919593E-2</v>
      </c>
      <c r="BS74" s="726">
        <v>1.8835562760824709E-2</v>
      </c>
      <c r="BT74" s="726">
        <v>2.4495150634809421E-2</v>
      </c>
      <c r="BW74" s="1186">
        <f>'2018'!R\Max</f>
        <v>0</v>
      </c>
      <c r="BX74" s="1184">
        <f>'2019'!R\Max</f>
        <v>0.34832962984528909</v>
      </c>
      <c r="BY74" s="1184">
        <f>'2020'!R\Max</f>
        <v>0.37438225551780974</v>
      </c>
      <c r="BZ74" s="1184">
        <f>'2021'!R\Max</f>
        <v>0.88164190718094981</v>
      </c>
      <c r="CA74" s="1184">
        <f>'2022'!R\Max</f>
        <v>0.97747413368377245</v>
      </c>
      <c r="CB74" s="1184">
        <f>'2023'!R\Max</f>
        <v>0.97747188783635719</v>
      </c>
      <c r="CC74" s="1184">
        <f>'2024'!R\Max</f>
        <v>0.97746963010353405</v>
      </c>
      <c r="CD74" s="1184">
        <f>'2025'!R\Max</f>
        <v>0.97746608595062012</v>
      </c>
      <c r="CE74" s="1184">
        <f>'2026'!R\Max</f>
        <v>0.97747831764541671</v>
      </c>
      <c r="CF74" s="1185">
        <f>'2027'!R\Max</f>
        <v>0.97747769751384694</v>
      </c>
    </row>
    <row r="75" spans="1:84" s="6" customFormat="1" ht="11.25" x14ac:dyDescent="0.2">
      <c r="A75" s="11">
        <v>43161</v>
      </c>
      <c r="B75" s="380">
        <f>'2022'!Maxi_hp</f>
        <v>29.154269715170336</v>
      </c>
      <c r="C75" s="13">
        <f>'2022'!An_max</f>
        <v>2020</v>
      </c>
      <c r="D75" s="1062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53">
        <f t="shared" si="9"/>
        <v>0.7857142857142857</v>
      </c>
      <c r="J75" s="746">
        <f t="shared" si="27"/>
        <v>44.367057033557749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55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53">
        <f t="shared" si="14"/>
        <v>0.8928571428571429</v>
      </c>
      <c r="AT75" s="769">
        <f t="shared" si="15"/>
        <v>44.391689791396075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53">
        <f t="shared" si="19"/>
        <v>0.39285714285714285</v>
      </c>
      <c r="AY75" s="769">
        <f t="shared" si="20"/>
        <v>44.396212395224055</v>
      </c>
      <c r="AZ75" s="746">
        <f t="shared" si="26"/>
        <v>44.393951093310065</v>
      </c>
      <c r="BA75" s="643">
        <f t="shared" si="21"/>
        <v>0.65711524866567161</v>
      </c>
      <c r="BC75" s="11">
        <v>43161</v>
      </c>
      <c r="BD75" s="290">
        <f>[2]!FeuilCaduc*(1-Persistant)+Persistant</f>
        <v>0.60304503895556516</v>
      </c>
      <c r="BE75" s="291">
        <f>[2]!CroissVégét</f>
        <v>1.47848730100967E-2</v>
      </c>
      <c r="BF75" s="816">
        <f>1+[2]!Salcycl*Ksac</f>
        <v>1.0003806298694458</v>
      </c>
      <c r="BH75" s="1053">
        <f t="shared" si="22"/>
        <v>1.3655538287298222E-3</v>
      </c>
      <c r="BI75" s="11">
        <v>44257</v>
      </c>
      <c r="BJ75" s="726">
        <v>6.2677332986549287E-5</v>
      </c>
      <c r="BK75" s="726">
        <v>4.2280879767785773E-4</v>
      </c>
      <c r="BL75" s="726">
        <v>8.4921347887341534E-4</v>
      </c>
      <c r="BM75" s="726">
        <v>1.3669053613426674E-3</v>
      </c>
      <c r="BN75" s="726">
        <v>1.9630085695563782E-3</v>
      </c>
      <c r="BO75" s="727">
        <v>3.7877998531931126E-3</v>
      </c>
      <c r="BP75" s="726">
        <v>6.1429278115289372E-3</v>
      </c>
      <c r="BQ75" s="726">
        <v>9.9830462204389056E-3</v>
      </c>
      <c r="BR75" s="726">
        <v>1.3957559581948911E-2</v>
      </c>
      <c r="BS75" s="726">
        <v>1.9309110357361235E-2</v>
      </c>
      <c r="BT75" s="726">
        <v>2.5075892842254425E-2</v>
      </c>
      <c r="BW75" s="1186">
        <f>'2018'!R\Max</f>
        <v>0</v>
      </c>
      <c r="BX75" s="1184">
        <f>'2019'!R\Max</f>
        <v>0.50865845989258918</v>
      </c>
      <c r="BY75" s="1184">
        <f>'2020'!R\Max</f>
        <v>0.65711524866567161</v>
      </c>
      <c r="BZ75" s="1184">
        <f>'2021'!R\Max</f>
        <v>0.41101182141177844</v>
      </c>
      <c r="CA75" s="1184">
        <f>'2022'!R\Max</f>
        <v>0.26693060107860378</v>
      </c>
      <c r="CB75" s="1184">
        <f>'2023'!R\Max</f>
        <v>0.26691137241517709</v>
      </c>
      <c r="CC75" s="1184">
        <f>'2024'!R\Max</f>
        <v>0.26689202781191529</v>
      </c>
      <c r="CD75" s="1184">
        <f>'2025'!R\Max</f>
        <v>0.26686067480447373</v>
      </c>
      <c r="CE75" s="1184">
        <f>'2026'!R\Max</f>
        <v>0.26696564595271094</v>
      </c>
      <c r="CF75" s="1185">
        <f>'2027'!R\Max</f>
        <v>0.26696077901207715</v>
      </c>
    </row>
    <row r="76" spans="1:84" s="6" customFormat="1" ht="11.25" x14ac:dyDescent="0.2">
      <c r="A76" s="11">
        <v>43162</v>
      </c>
      <c r="B76" s="380">
        <f>'2022'!Maxi_hp</f>
        <v>39.010447727103518</v>
      </c>
      <c r="C76" s="13">
        <f>'2022'!An_max</f>
        <v>2019</v>
      </c>
      <c r="D76" s="1062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53">
        <f t="shared" si="9"/>
        <v>0.8571428571428571</v>
      </c>
      <c r="J76" s="746">
        <f t="shared" si="27"/>
        <v>44.734537609299878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55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53">
        <f t="shared" si="14"/>
        <v>0.9285714285714286</v>
      </c>
      <c r="AT76" s="769">
        <f t="shared" si="15"/>
        <v>44.751411260951343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53">
        <f t="shared" si="19"/>
        <v>0.42857142857142855</v>
      </c>
      <c r="AY76" s="769">
        <f t="shared" si="20"/>
        <v>44.771469970898963</v>
      </c>
      <c r="AZ76" s="746">
        <f t="shared" si="26"/>
        <v>44.761440615925153</v>
      </c>
      <c r="BA76" s="643">
        <f t="shared" si="21"/>
        <v>0.87204316422829464</v>
      </c>
      <c r="BC76" s="11">
        <v>43162</v>
      </c>
      <c r="BD76" s="290">
        <f>[2]!FeuilCaduc*(1-Persistant)+Persistant</f>
        <v>0.60314754291252048</v>
      </c>
      <c r="BE76" s="291">
        <f>[2]!CroissVégét</f>
        <v>1.5452129829812465E-2</v>
      </c>
      <c r="BF76" s="816">
        <f>1+[2]!Salcycl*Ksac</f>
        <v>1.0003934428640651</v>
      </c>
      <c r="BH76" s="1053">
        <f t="shared" si="22"/>
        <v>1.2425541597533023E-3</v>
      </c>
      <c r="BI76" s="11">
        <v>44258</v>
      </c>
      <c r="BJ76" s="726">
        <v>4.8352228039582213E-5</v>
      </c>
      <c r="BK76" s="726">
        <v>3.777255550876734E-4</v>
      </c>
      <c r="BL76" s="726">
        <v>7.6838223289406966E-4</v>
      </c>
      <c r="BM76" s="726">
        <v>1.2437953155595921E-3</v>
      </c>
      <c r="BN76" s="726">
        <v>1.7935578754754071E-3</v>
      </c>
      <c r="BO76" s="727">
        <v>3.6110511473777507E-3</v>
      </c>
      <c r="BP76" s="726">
        <v>5.9864438370388707E-3</v>
      </c>
      <c r="BQ76" s="726">
        <v>1.0008180802490845E-2</v>
      </c>
      <c r="BR76" s="726">
        <v>1.4187163265539779E-2</v>
      </c>
      <c r="BS76" s="726">
        <v>1.9770512103321411E-2</v>
      </c>
      <c r="BT76" s="726">
        <v>2.5662834384628335E-2</v>
      </c>
      <c r="BW76" s="1186">
        <f>'2018'!R\Max</f>
        <v>0</v>
      </c>
      <c r="BX76" s="1184">
        <f>'2019'!R\Max</f>
        <v>0.87204316422829464</v>
      </c>
      <c r="BY76" s="1184">
        <f>'2020'!R\Max</f>
        <v>0.52848643245988758</v>
      </c>
      <c r="BZ76" s="1184">
        <f>'2021'!R\Max</f>
        <v>0.36026348532773672</v>
      </c>
      <c r="CA76" s="1184">
        <f>'2022'!R\Max</f>
        <v>0.85338637521788829</v>
      </c>
      <c r="CB76" s="1184">
        <f>'2023'!R\Max</f>
        <v>0.85337349328391565</v>
      </c>
      <c r="CC76" s="1184">
        <f>'2024'!R\Max</f>
        <v>0.85336051853177319</v>
      </c>
      <c r="CD76" s="1184">
        <f>'2025'!R\Max</f>
        <v>0.85333870249746069</v>
      </c>
      <c r="CE76" s="1184">
        <f>'2026'!R\Max</f>
        <v>0.85340931607811188</v>
      </c>
      <c r="CF76" s="1185">
        <f>'2027'!R\Max</f>
        <v>0.85340633540979594</v>
      </c>
    </row>
    <row r="77" spans="1:84" s="6" customFormat="1" ht="11.25" x14ac:dyDescent="0.2">
      <c r="A77" s="11">
        <v>43163</v>
      </c>
      <c r="B77" s="380">
        <f>'2022'!Maxi_hp</f>
        <v>30.286197485540761</v>
      </c>
      <c r="C77" s="13">
        <f>'2022'!An_max</f>
        <v>2021</v>
      </c>
      <c r="D77" s="1062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53">
        <f t="shared" si="9"/>
        <v>0.9285714285714286</v>
      </c>
      <c r="J77" s="746">
        <f t="shared" si="27"/>
        <v>45.101159292996456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55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53">
        <f t="shared" si="14"/>
        <v>0.9642857142857143</v>
      </c>
      <c r="AT77" s="769">
        <f t="shared" si="15"/>
        <v>45.109781764781552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53">
        <f t="shared" si="19"/>
        <v>0.4642857142857143</v>
      </c>
      <c r="AY77" s="769">
        <f t="shared" si="20"/>
        <v>45.146781227122325</v>
      </c>
      <c r="AZ77" s="746">
        <f t="shared" si="26"/>
        <v>45.128281495951938</v>
      </c>
      <c r="BA77" s="643">
        <f t="shared" si="21"/>
        <v>0.67151705100945736</v>
      </c>
      <c r="BC77" s="11">
        <v>43163</v>
      </c>
      <c r="BD77" s="290">
        <f>[2]!FeuilCaduc*(1-Persistant)+Persistant</f>
        <v>0.60325163457719966</v>
      </c>
      <c r="BE77" s="291">
        <f>[2]!CroissVégét</f>
        <v>1.6146418920009037E-2</v>
      </c>
      <c r="BF77" s="816">
        <f>1+[2]!Salcycl*Ksac</f>
        <v>1.00040645432215</v>
      </c>
      <c r="BH77" s="1053">
        <f t="shared" si="22"/>
        <v>1.115768573963572E-3</v>
      </c>
      <c r="BI77" s="11">
        <v>44259</v>
      </c>
      <c r="BJ77" s="726">
        <v>3.6316500913890271E-5</v>
      </c>
      <c r="BK77" s="726">
        <v>3.3341136858100218E-4</v>
      </c>
      <c r="BL77" s="726">
        <v>6.8634468472929212E-4</v>
      </c>
      <c r="BM77" s="726">
        <v>1.1168926007633301E-3</v>
      </c>
      <c r="BN77" s="726">
        <v>1.6173774877332122E-3</v>
      </c>
      <c r="BO77" s="727">
        <v>3.4093797734065213E-3</v>
      </c>
      <c r="BP77" s="726">
        <v>5.7854778134709493E-3</v>
      </c>
      <c r="BQ77" s="726">
        <v>9.9829372072323449E-3</v>
      </c>
      <c r="BR77" s="726">
        <v>1.4380615204044159E-2</v>
      </c>
      <c r="BS77" s="726">
        <v>2.0219760644997736E-2</v>
      </c>
      <c r="BT77" s="726">
        <v>2.6255966181003679E-2</v>
      </c>
      <c r="BW77" s="1186">
        <f>'2018'!R\Max</f>
        <v>0</v>
      </c>
      <c r="BX77" s="1184">
        <f>'2019'!R\Max</f>
        <v>0.29989365499570175</v>
      </c>
      <c r="BY77" s="1184">
        <f>'2020'!R\Max</f>
        <v>0.12324253520907597</v>
      </c>
      <c r="BZ77" s="1184">
        <f>'2021'!R\Max</f>
        <v>0.67151705100945736</v>
      </c>
      <c r="CA77" s="1184">
        <f>'2022'!R\Max</f>
        <v>9.7355148842814099E-2</v>
      </c>
      <c r="CB77" s="1184">
        <f>'2023'!R\Max</f>
        <v>9.7348186156449176E-2</v>
      </c>
      <c r="CC77" s="1184">
        <f>'2024'!R\Max</f>
        <v>9.7341165166570695E-2</v>
      </c>
      <c r="CD77" s="1184">
        <f>'2025'!R\Max</f>
        <v>9.7328865340218659E-2</v>
      </c>
      <c r="CE77" s="1184">
        <f>'2026'!R\Max</f>
        <v>9.7367250969852728E-2</v>
      </c>
      <c r="CF77" s="1185">
        <f>'2027'!R\Max</f>
        <v>9.7365784397666064E-2</v>
      </c>
    </row>
    <row r="78" spans="1:84" s="6" customFormat="1" ht="11.25" x14ac:dyDescent="0.2">
      <c r="A78" s="11">
        <v>43164</v>
      </c>
      <c r="B78" s="380">
        <f>'2022'!Maxi_hp</f>
        <v>44.531611979407565</v>
      </c>
      <c r="C78" s="13">
        <f>'2022'!An_max</f>
        <v>2019</v>
      </c>
      <c r="D78" s="1062">
        <f t="shared" si="7"/>
        <v>0.97943571719470912</v>
      </c>
      <c r="E78" s="1057">
        <f>R$13/10</f>
        <v>45.4666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53">
        <f t="shared" si="9"/>
        <v>1</v>
      </c>
      <c r="J78" s="746">
        <f t="shared" si="27"/>
        <v>45.466600000002657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55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53">
        <f t="shared" si="14"/>
        <v>1</v>
      </c>
      <c r="AT78" s="769">
        <f t="shared" si="15"/>
        <v>45.466599999961907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53">
        <f t="shared" si="19"/>
        <v>0.5</v>
      </c>
      <c r="AY78" s="769">
        <f t="shared" si="20"/>
        <v>45.521837500203404</v>
      </c>
      <c r="AZ78" s="746">
        <f t="shared" si="26"/>
        <v>45.494218750082652</v>
      </c>
      <c r="BA78" s="643">
        <f t="shared" si="21"/>
        <v>0.97943571719470912</v>
      </c>
      <c r="BC78" s="11">
        <v>43164</v>
      </c>
      <c r="BD78" s="290">
        <f>[2]!FeuilCaduc*(1-Persistant)+Persistant</f>
        <v>0.60335856466298265</v>
      </c>
      <c r="BE78" s="291">
        <f>[2]!CroissVégét</f>
        <v>1.6868794263800321E-2</v>
      </c>
      <c r="BF78" s="816">
        <f>1+[2]!Salcycl*Ksac</f>
        <v>1.0004198205828729</v>
      </c>
      <c r="BH78" s="1053">
        <f t="shared" si="22"/>
        <v>9.8519665863317342E-4</v>
      </c>
      <c r="BI78" s="11">
        <v>44260</v>
      </c>
      <c r="BJ78" s="726">
        <v>2.6570194184029043E-5</v>
      </c>
      <c r="BK78" s="726">
        <v>2.8986615906947629E-4</v>
      </c>
      <c r="BL78" s="726">
        <v>6.0310060678912217E-4</v>
      </c>
      <c r="BM78" s="726">
        <v>9.8619680374182196E-4</v>
      </c>
      <c r="BN78" s="726">
        <v>1.4344667769961245E-3</v>
      </c>
      <c r="BO78" s="727">
        <v>3.1827840704397054E-3</v>
      </c>
      <c r="BP78" s="726">
        <v>5.5400267869577767E-3</v>
      </c>
      <c r="BQ78" s="726">
        <v>9.9073106923037411E-3</v>
      </c>
      <c r="BR78" s="726">
        <v>1.453790919086422E-2</v>
      </c>
      <c r="BS78" s="726">
        <v>2.0656847961477685E-2</v>
      </c>
      <c r="BT78" s="726">
        <v>2.6855278274378641E-2</v>
      </c>
      <c r="BW78" s="1186">
        <f>'2018'!R\Max</f>
        <v>0</v>
      </c>
      <c r="BX78" s="1184">
        <f>'2019'!R\Max</f>
        <v>0.97943571719470912</v>
      </c>
      <c r="BY78" s="1184">
        <f>'2020'!R\Max</f>
        <v>0.20295996054484486</v>
      </c>
      <c r="BZ78" s="1184">
        <f>'2021'!R\Max</f>
        <v>0.81076449612453538</v>
      </c>
      <c r="CA78" s="1184">
        <f>'2022'!R\Max</f>
        <v>0.31973400597030865</v>
      </c>
      <c r="CB78" s="1184">
        <f>'2023'!R\Max</f>
        <v>0.31971213475348492</v>
      </c>
      <c r="CC78" s="1184">
        <f>'2024'!R\Max</f>
        <v>0.3196900462440187</v>
      </c>
      <c r="CD78" s="1184">
        <f>'2025'!R\Max</f>
        <v>0.31964952485944897</v>
      </c>
      <c r="CE78" s="1184">
        <f>'2026'!R\Max</f>
        <v>0.31977102195232399</v>
      </c>
      <c r="CF78" s="1185">
        <f>'2027'!R\Max</f>
        <v>0.31976686280149086</v>
      </c>
    </row>
    <row r="79" spans="1:84" s="6" customFormat="1" ht="11.25" x14ac:dyDescent="0.2">
      <c r="A79" s="11">
        <v>43165</v>
      </c>
      <c r="B79" s="380">
        <f>'2022'!Maxi_hp</f>
        <v>23.382336400970807</v>
      </c>
      <c r="C79" s="13">
        <f>'2022'!An_max</f>
        <v>2019</v>
      </c>
      <c r="D79" s="1062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53">
        <f t="shared" ref="I79:I142" si="62">($A79-H79)/(INDEX(x.2m,G79)-H79)</f>
        <v>0.9285714285714286</v>
      </c>
      <c r="J79" s="746">
        <f t="shared" ref="J79:J142" si="63">((1-I79)*(INDEX(a.m,F79)*$A79*$A79+INDEX(b.m,F79)*$A79+INDEX(c.m,F79))+I79*(INDEX(a.m,G79)*$A79*$A79+INDEX(b.m,G79)*$A79+INDEX(c.m,G79)))/10</f>
        <v>45.831808090382921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55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53">
        <f t="shared" ref="AS79:AS142" si="67">($A79-AR79)/(INDEX(x.2lg,AQ79)-AR79)</f>
        <v>0.9642857142857143</v>
      </c>
      <c r="AT79" s="769">
        <f t="shared" ref="AT79:AT142" si="68">((1-AS79)*(INDEX(a.lg,AP79)*$A79*$A79+INDEX(b.lg,AP79)*$A79+INDEX(c.lg,AP79))+AS79*(INDEX(a.lg,AQ79)*$A79*$A79+INDEX(b.lg,AQ79)*$A79+INDEX(c.lg,AQ79)))/10</f>
        <v>45.8250532616117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53">
        <f t="shared" ref="AX79:AX142" si="72">($A79-AW79)/(INDEX(x.2ld,AV79)-AW79)</f>
        <v>0.5357142857142857</v>
      </c>
      <c r="AY79" s="769">
        <f t="shared" ref="AY79:AY142" si="73">((1-AX79)*(INDEX(a.ld,AU79)*$A79*$A79+INDEX(b.ld,AU79)*$A79+INDEX(c.ld,AU79))+AX79*(INDEX(a.ld,AV79)*$A79*$A79+INDEX(b.ld,AV79)*$A79+INDEX(c.ld,AV79)))/10</f>
        <v>45.896330125004589</v>
      </c>
      <c r="AZ79" s="746">
        <f t="shared" si="26"/>
        <v>45.860691693308141</v>
      </c>
      <c r="BA79" s="643">
        <f t="shared" ref="BA79:BA142" si="74">+B79/J79</f>
        <v>0.51017704461625246</v>
      </c>
      <c r="BC79" s="11">
        <v>43165</v>
      </c>
      <c r="BD79" s="290">
        <f>[2]!FeuilCaduc*(1-Persistant)+Persistant</f>
        <v>0.60346974009977061</v>
      </c>
      <c r="BE79" s="291">
        <f>[2]!CroissVégét</f>
        <v>1.7620347483596571E-2</v>
      </c>
      <c r="BF79" s="816">
        <f>1+[2]!Salcycl*Ksac</f>
        <v>1.0004337175124713</v>
      </c>
      <c r="BH79" s="1053">
        <f t="shared" ref="BH79:BH142" si="75">INDEX($BJ79:$BT79,,$BH$10)*(1-Ratini)+INDEX($BJ79:$BT79,,$BH$10+1)*Ratini</f>
        <v>8.5083820184154437E-4</v>
      </c>
      <c r="BI79" s="11">
        <v>44261</v>
      </c>
      <c r="BJ79" s="726">
        <v>1.9113360261981808E-5</v>
      </c>
      <c r="BK79" s="726">
        <v>2.470899103637935E-4</v>
      </c>
      <c r="BL79" s="726">
        <v>5.1864989708663939E-4</v>
      </c>
      <c r="BM79" s="726">
        <v>8.5170771228675155E-4</v>
      </c>
      <c r="BN79" s="726">
        <v>1.244825398086182E-3</v>
      </c>
      <c r="BO79" s="727">
        <v>2.9312627628882057E-3</v>
      </c>
      <c r="BP79" s="726">
        <v>5.2500882559771882E-3</v>
      </c>
      <c r="BQ79" s="726">
        <v>9.7812967282360896E-3</v>
      </c>
      <c r="BR79" s="726">
        <v>1.4659038859172588E-2</v>
      </c>
      <c r="BS79" s="726">
        <v>2.108176540957974E-2</v>
      </c>
      <c r="BT79" s="726">
        <v>2.7460759808743591E-2</v>
      </c>
      <c r="BW79" s="1186">
        <f>'2018'!R\Max</f>
        <v>0</v>
      </c>
      <c r="BX79" s="1184">
        <f>'2019'!R\Max</f>
        <v>0.51017704461625246</v>
      </c>
      <c r="BY79" s="1184">
        <f>'2020'!R\Max</f>
        <v>0.24865697709494544</v>
      </c>
      <c r="BZ79" s="1184">
        <f>'2021'!R\Max</f>
        <v>0.2528464798422157</v>
      </c>
      <c r="CA79" s="1184">
        <f>'2022'!R\Max</f>
        <v>0.37901406016736156</v>
      </c>
      <c r="CB79" s="1184">
        <f>'2023'!R\Max</f>
        <v>0.37899096015305117</v>
      </c>
      <c r="CC79" s="1184">
        <f>'2024'!R\Max</f>
        <v>0.37896758652555779</v>
      </c>
      <c r="CD79" s="1184">
        <f>'2025'!R\Max</f>
        <v>0.37892244512815049</v>
      </c>
      <c r="CE79" s="1184">
        <f>'2026'!R\Max</f>
        <v>0.3790520095714261</v>
      </c>
      <c r="CF79" s="1185">
        <f>'2027'!R\Max</f>
        <v>0.37904809347933921</v>
      </c>
    </row>
    <row r="80" spans="1:84" s="6" customFormat="1" ht="11.25" x14ac:dyDescent="0.2">
      <c r="A80" s="11">
        <v>43166</v>
      </c>
      <c r="B80" s="380">
        <f>'2022'!Maxi_hp</f>
        <v>42.685529835046331</v>
      </c>
      <c r="C80" s="13">
        <f>'2022'!An_max</f>
        <v>2019</v>
      </c>
      <c r="D80" s="1062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53">
        <f t="shared" si="62"/>
        <v>0.8571428571428571</v>
      </c>
      <c r="J80" s="746">
        <f t="shared" si="63"/>
        <v>46.197803498553448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55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53">
        <f t="shared" si="67"/>
        <v>0.9285714285714286</v>
      </c>
      <c r="AT80" s="769">
        <f t="shared" si="68"/>
        <v>46.188105174840061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53">
        <f t="shared" si="72"/>
        <v>0.5714285714285714</v>
      </c>
      <c r="AY80" s="769">
        <f t="shared" si="73"/>
        <v>46.269950437465951</v>
      </c>
      <c r="AZ80" s="746">
        <f t="shared" ref="AZ80:AZ143" si="77">(AY80+AT80)/2</f>
        <v>46.229027806153006</v>
      </c>
      <c r="BA80" s="643">
        <f t="shared" si="74"/>
        <v>0.92397314596099589</v>
      </c>
      <c r="BC80" s="11">
        <v>43166</v>
      </c>
      <c r="BD80" s="290">
        <f>[2]!FeuilCaduc*(1-Persistant)+Persistant</f>
        <v>0.60358672126890556</v>
      </c>
      <c r="BE80" s="291">
        <f>[2]!CroissVégét</f>
        <v>1.8402208892467707E-2</v>
      </c>
      <c r="BF80" s="816">
        <f>1+[2]!Salcycl*Ksac</f>
        <v>1.0004483401586133</v>
      </c>
      <c r="BH80" s="1053">
        <f t="shared" si="75"/>
        <v>7.1959426530503689E-4</v>
      </c>
      <c r="BI80" s="11">
        <v>44262</v>
      </c>
      <c r="BJ80" s="726">
        <v>1.3945122670253917E-5</v>
      </c>
      <c r="BK80" s="726">
        <v>2.0696809985340221E-4</v>
      </c>
      <c r="BL80" s="726">
        <v>4.3714052312805854E-4</v>
      </c>
      <c r="BM80" s="726">
        <v>7.2033359440120098E-4</v>
      </c>
      <c r="BN80" s="726">
        <v>1.0583658704735213E-3</v>
      </c>
      <c r="BO80" s="727">
        <v>2.6672464631004294E-3</v>
      </c>
      <c r="BP80" s="726">
        <v>4.927611098981266E-3</v>
      </c>
      <c r="BQ80" s="726">
        <v>9.5901131014501217E-3</v>
      </c>
      <c r="BR80" s="726">
        <v>1.4701562235846078E-2</v>
      </c>
      <c r="BS80" s="726">
        <v>2.1432372167444449E-2</v>
      </c>
      <c r="BT80" s="726">
        <v>2.8021983499392264E-2</v>
      </c>
      <c r="BW80" s="1186">
        <f>'2018'!R\Max</f>
        <v>0</v>
      </c>
      <c r="BX80" s="1184">
        <f>'2019'!R\Max</f>
        <v>0.92397314596099589</v>
      </c>
      <c r="BY80" s="1184">
        <f>'2020'!R\Max</f>
        <v>0.47560300567763752</v>
      </c>
      <c r="BZ80" s="1184">
        <f>'2021'!R\Max</f>
        <v>0.24655996437655556</v>
      </c>
      <c r="CA80" s="1184">
        <f>'2022'!R\Max</f>
        <v>0.87839909522697535</v>
      </c>
      <c r="CB80" s="1184">
        <f>'2023'!R\Max</f>
        <v>0.87838895465534095</v>
      </c>
      <c r="CC80" s="1184">
        <f>'2024'!R\Max</f>
        <v>0.87837867091186983</v>
      </c>
      <c r="CD80" s="1184">
        <f>'2025'!R\Max</f>
        <v>0.87835774789138765</v>
      </c>
      <c r="CE80" s="1184">
        <f>'2026'!R\Max</f>
        <v>0.87841523458306425</v>
      </c>
      <c r="CF80" s="1185">
        <f>'2027'!R\Max</f>
        <v>0.87841371842003413</v>
      </c>
    </row>
    <row r="81" spans="1:84" s="6" customFormat="1" ht="11.25" x14ac:dyDescent="0.2">
      <c r="A81" s="11">
        <v>43167</v>
      </c>
      <c r="B81" s="380">
        <f>'2022'!Maxi_hp</f>
        <v>35.07193791062771</v>
      </c>
      <c r="C81" s="13">
        <f>'2022'!An_max</f>
        <v>2022</v>
      </c>
      <c r="D81" s="1062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53">
        <f t="shared" si="62"/>
        <v>0.7857142857142857</v>
      </c>
      <c r="J81" s="746">
        <f t="shared" si="63"/>
        <v>46.564371501429044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55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53">
        <f t="shared" si="67"/>
        <v>0.8928571428571429</v>
      </c>
      <c r="AT81" s="769">
        <f t="shared" si="68"/>
        <v>46.55521893213195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53">
        <f t="shared" si="72"/>
        <v>0.6071428571428571</v>
      </c>
      <c r="AY81" s="769">
        <f t="shared" si="73"/>
        <v>46.642389773131747</v>
      </c>
      <c r="AZ81" s="746">
        <f t="shared" si="77"/>
        <v>46.598804352631845</v>
      </c>
      <c r="BA81" s="643">
        <f t="shared" si="74"/>
        <v>0.75319255430198095</v>
      </c>
      <c r="BC81" s="11">
        <v>43167</v>
      </c>
      <c r="BD81" s="290">
        <f>[2]!FeuilCaduc*(1-Persistant)+Persistant</f>
        <v>0.6037112182714589</v>
      </c>
      <c r="BE81" s="291">
        <f>[2]!CroissVégét</f>
        <v>1.9215548548887868E-2</v>
      </c>
      <c r="BF81" s="816">
        <f>1+[2]!Salcycl*Ksac</f>
        <v>1.0004639022839323</v>
      </c>
      <c r="BH81" s="1053">
        <f t="shared" si="75"/>
        <v>6.0102086477989251E-4</v>
      </c>
      <c r="BI81" s="11">
        <v>44263</v>
      </c>
      <c r="BJ81" s="726">
        <v>9.6537681694003703E-6</v>
      </c>
      <c r="BK81" s="726">
        <v>1.7103322919690756E-4</v>
      </c>
      <c r="BL81" s="726">
        <v>3.6369888208358746E-4</v>
      </c>
      <c r="BM81" s="726">
        <v>6.0164206046883751E-4</v>
      </c>
      <c r="BN81" s="726">
        <v>8.8960473318003622E-4</v>
      </c>
      <c r="BO81" s="727">
        <v>2.4101448038567081E-3</v>
      </c>
      <c r="BP81" s="726">
        <v>4.5955098779201543E-3</v>
      </c>
      <c r="BQ81" s="726">
        <v>9.345534612336991E-3</v>
      </c>
      <c r="BR81" s="726">
        <v>1.4664167009571877E-2</v>
      </c>
      <c r="BS81" s="726">
        <v>2.1691393042754942E-2</v>
      </c>
      <c r="BT81" s="726">
        <v>2.8516344604427941E-2</v>
      </c>
      <c r="BW81" s="1186">
        <f>'2018'!R\Max</f>
        <v>0</v>
      </c>
      <c r="BX81" s="1184">
        <f>'2019'!R\Max</f>
        <v>0.4779316643483702</v>
      </c>
      <c r="BY81" s="1184">
        <f>'2020'!R\Max</f>
        <v>0.63744715335241209</v>
      </c>
      <c r="BZ81" s="1184">
        <f>'2021'!R\Max</f>
        <v>0.53849090178160441</v>
      </c>
      <c r="CA81" s="1184">
        <f>'2022'!R\Max</f>
        <v>0.75319255430198095</v>
      </c>
      <c r="CB81" s="1184">
        <f>'2023'!R\Max</f>
        <v>0.75317562291521012</v>
      </c>
      <c r="CC81" s="1184">
        <f>'2024'!R\Max</f>
        <v>0.75315841204992018</v>
      </c>
      <c r="CD81" s="1184">
        <f>'2025'!R\Max</f>
        <v>0.75312160273398243</v>
      </c>
      <c r="CE81" s="1184">
        <f>'2026'!R\Max</f>
        <v>0.75321866094573886</v>
      </c>
      <c r="CF81" s="1185">
        <f>'2027'!R\Max</f>
        <v>0.75321643028319252</v>
      </c>
    </row>
    <row r="82" spans="1:84" s="6" customFormat="1" ht="11.25" x14ac:dyDescent="0.2">
      <c r="A82" s="11">
        <v>43168</v>
      </c>
      <c r="B82" s="380">
        <f>'2022'!Maxi_hp</f>
        <v>44.010087492548095</v>
      </c>
      <c r="C82" s="13">
        <f>'2022'!An_max</f>
        <v>2021</v>
      </c>
      <c r="D82" s="1062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53">
        <f t="shared" si="62"/>
        <v>0.7142857142857143</v>
      </c>
      <c r="J82" s="746">
        <f t="shared" si="63"/>
        <v>46.931297376086249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55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53">
        <f t="shared" si="67"/>
        <v>0.8571428571428571</v>
      </c>
      <c r="AT82" s="769">
        <f t="shared" si="68"/>
        <v>46.92585772578272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53">
        <f t="shared" si="72"/>
        <v>0.6428571428571429</v>
      </c>
      <c r="AY82" s="769">
        <f t="shared" si="73"/>
        <v>47.013339467945379</v>
      </c>
      <c r="AZ82" s="746">
        <f t="shared" si="77"/>
        <v>46.969598596864046</v>
      </c>
      <c r="BA82" s="643">
        <f t="shared" si="74"/>
        <v>0.93775561199323143</v>
      </c>
      <c r="BC82" s="11">
        <v>43168</v>
      </c>
      <c r="BD82" s="290">
        <f>[2]!FeuilCaduc*(1-Persistant)+Persistant</f>
        <v>0.60384508628411104</v>
      </c>
      <c r="BE82" s="291">
        <f>[2]!CroissVégét</f>
        <v>2.0061577312061717E-2</v>
      </c>
      <c r="BF82" s="816">
        <f>1+[2]!Salcycl*Ksac</f>
        <v>1.0004806357855138</v>
      </c>
      <c r="BH82" s="1053">
        <f t="shared" si="75"/>
        <v>4.9511849322666189E-4</v>
      </c>
      <c r="BI82" s="11">
        <v>44264</v>
      </c>
      <c r="BJ82" s="726">
        <v>6.2393228401994648E-6</v>
      </c>
      <c r="BK82" s="726">
        <v>1.3928545502434178E-4</v>
      </c>
      <c r="BL82" s="726">
        <v>2.9832528442686628E-4</v>
      </c>
      <c r="BM82" s="726">
        <v>4.9563360392787547E-4</v>
      </c>
      <c r="BN82" s="726">
        <v>7.3854267215368592E-4</v>
      </c>
      <c r="BO82" s="727">
        <v>2.1599582595483832E-3</v>
      </c>
      <c r="BP82" s="726">
        <v>4.2537844902617939E-3</v>
      </c>
      <c r="BQ82" s="726">
        <v>9.0475585635559075E-3</v>
      </c>
      <c r="BR82" s="726">
        <v>1.4546847226301732E-2</v>
      </c>
      <c r="BS82" s="726">
        <v>2.1858817873940131E-2</v>
      </c>
      <c r="BT82" s="726">
        <v>2.8943829466770696E-2</v>
      </c>
      <c r="BW82" s="1186">
        <f>'2018'!R\Max</f>
        <v>0</v>
      </c>
      <c r="BX82" s="1184">
        <f>'2019'!R\Max</f>
        <v>0.44071959947023759</v>
      </c>
      <c r="BY82" s="1184">
        <f>'2020'!R\Max</f>
        <v>0.74950257160296352</v>
      </c>
      <c r="BZ82" s="1184">
        <f>'2021'!R\Max</f>
        <v>0.93775561199323143</v>
      </c>
      <c r="CA82" s="1184">
        <f>'2022'!R\Max</f>
        <v>0.66686195340258991</v>
      </c>
      <c r="CB82" s="1184">
        <f>'2023'!R\Max</f>
        <v>0.66684271424088659</v>
      </c>
      <c r="CC82" s="1184">
        <f>'2024'!R\Max</f>
        <v>0.66682310568087433</v>
      </c>
      <c r="CD82" s="1184">
        <f>'2025'!R\Max</f>
        <v>0.66677905054034525</v>
      </c>
      <c r="CE82" s="1184">
        <f>'2026'!R\Max</f>
        <v>0.6668906684391781</v>
      </c>
      <c r="CF82" s="1185">
        <f>'2027'!R\Max</f>
        <v>0.666888436739006</v>
      </c>
    </row>
    <row r="83" spans="1:84" s="6" customFormat="1" ht="11.25" x14ac:dyDescent="0.2">
      <c r="A83" s="11">
        <v>43169</v>
      </c>
      <c r="B83" s="380">
        <f>'2022'!Maxi_hp</f>
        <v>43.468612982947825</v>
      </c>
      <c r="C83" s="13">
        <f>'2022'!An_max</f>
        <v>2021</v>
      </c>
      <c r="D83" s="1062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53">
        <f t="shared" si="62"/>
        <v>0.6428571428571429</v>
      </c>
      <c r="J83" s="746">
        <f t="shared" si="63"/>
        <v>47.298366399422228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55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53">
        <f t="shared" si="67"/>
        <v>0.8214285714285714</v>
      </c>
      <c r="AT83" s="769">
        <f t="shared" si="68"/>
        <v>47.299484748410336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53">
        <f t="shared" si="72"/>
        <v>0.6785714285714286</v>
      </c>
      <c r="AY83" s="769">
        <f t="shared" si="73"/>
        <v>47.382490857251526</v>
      </c>
      <c r="AZ83" s="746">
        <f t="shared" si="77"/>
        <v>47.340987802830931</v>
      </c>
      <c r="BA83" s="643">
        <f t="shared" si="74"/>
        <v>0.91902990086099068</v>
      </c>
      <c r="BC83" s="11">
        <v>43169</v>
      </c>
      <c r="BD83" s="290">
        <f>[2]!FeuilCaduc*(1-Persistant)+Persistant</f>
        <v>0.60399032006389874</v>
      </c>
      <c r="BE83" s="291">
        <f>[2]!CroissVégét</f>
        <v>2.0941547894735235E-2</v>
      </c>
      <c r="BF83" s="816">
        <f>1+[2]!Salcycl*Ksac</f>
        <v>1.0004987900079874</v>
      </c>
      <c r="BH83" s="1053">
        <f t="shared" si="75"/>
        <v>4.0188766242398288E-4</v>
      </c>
      <c r="BI83" s="11">
        <v>44265</v>
      </c>
      <c r="BJ83" s="726">
        <v>3.7018082737708399E-6</v>
      </c>
      <c r="BK83" s="726">
        <v>1.1172493537951041E-4</v>
      </c>
      <c r="BL83" s="726">
        <v>2.4102004956899818E-4</v>
      </c>
      <c r="BM83" s="726">
        <v>4.0230873706047904E-4</v>
      </c>
      <c r="BN83" s="726">
        <v>6.0518040426748567E-4</v>
      </c>
      <c r="BO83" s="727">
        <v>1.9166875994854153E-3</v>
      </c>
      <c r="BP83" s="726">
        <v>3.9024354437755459E-3</v>
      </c>
      <c r="BQ83" s="726">
        <v>8.6961832795598732E-3</v>
      </c>
      <c r="BR83" s="726">
        <v>1.4349597975016741E-2</v>
      </c>
      <c r="BS83" s="726">
        <v>2.1934637247995405E-2</v>
      </c>
      <c r="BT83" s="726">
        <v>2.9304424523989497E-2</v>
      </c>
      <c r="BW83" s="1186">
        <f>'2018'!R\Max</f>
        <v>0</v>
      </c>
      <c r="BX83" s="1184">
        <f>'2019'!R\Max</f>
        <v>0.31024302159024342</v>
      </c>
      <c r="BY83" s="1184">
        <f>'2020'!R\Max</f>
        <v>0.58589608538087146</v>
      </c>
      <c r="BZ83" s="1184">
        <f>'2021'!R\Max</f>
        <v>0.91902990086099068</v>
      </c>
      <c r="CA83" s="1184">
        <f>'2022'!R\Max</f>
        <v>0.57484799836649769</v>
      </c>
      <c r="CB83" s="1184">
        <f>'2023'!R\Max</f>
        <v>0.57482807690682824</v>
      </c>
      <c r="CC83" s="1184">
        <f>'2024'!R\Max</f>
        <v>0.57480771170595724</v>
      </c>
      <c r="CD83" s="1184">
        <f>'2025'!R\Max</f>
        <v>0.57475961388975327</v>
      </c>
      <c r="CE83" s="1184">
        <f>'2026'!R\Max</f>
        <v>0.57487672958639213</v>
      </c>
      <c r="CF83" s="1185">
        <f>'2027'!R\Max</f>
        <v>0.57487469450562223</v>
      </c>
    </row>
    <row r="84" spans="1:84" s="6" customFormat="1" ht="11.25" x14ac:dyDescent="0.2">
      <c r="A84" s="11">
        <v>43170</v>
      </c>
      <c r="B84" s="380">
        <f>'2022'!Maxi_hp</f>
        <v>34.137173352401021</v>
      </c>
      <c r="C84" s="13">
        <f>'2022'!An_max</f>
        <v>2021</v>
      </c>
      <c r="D84" s="1062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53">
        <f t="shared" si="62"/>
        <v>0.5714285714285714</v>
      </c>
      <c r="J84" s="746">
        <f t="shared" si="63"/>
        <v>47.665363848393987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55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53">
        <f t="shared" si="67"/>
        <v>0.7857142857142857</v>
      </c>
      <c r="AT84" s="769">
        <f t="shared" si="68"/>
        <v>47.675563192256959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53">
        <f t="shared" si="72"/>
        <v>0.7142857142857143</v>
      </c>
      <c r="AY84" s="769">
        <f t="shared" si="73"/>
        <v>47.749535277006878</v>
      </c>
      <c r="AZ84" s="746">
        <f t="shared" si="77"/>
        <v>47.712549234631922</v>
      </c>
      <c r="BA84" s="643">
        <f t="shared" si="74"/>
        <v>0.71618405056088164</v>
      </c>
      <c r="BC84" s="11">
        <v>43170</v>
      </c>
      <c r="BD84" s="290">
        <f>[2]!FeuilCaduc*(1-Persistant)+Persistant</f>
        <v>0.60414904766919597</v>
      </c>
      <c r="BE84" s="291">
        <f>[2]!CroissVégét</f>
        <v>2.1856755910064932E-2</v>
      </c>
      <c r="BF84" s="816">
        <f>1+[2]!Salcycl*Ksac</f>
        <v>1.0005186309586496</v>
      </c>
      <c r="BH84" s="1053">
        <f t="shared" si="75"/>
        <v>3.2132885608503154E-4</v>
      </c>
      <c r="BI84" s="11">
        <v>44266</v>
      </c>
      <c r="BJ84" s="726">
        <v>2.0412383273551459E-6</v>
      </c>
      <c r="BK84" s="726">
        <v>8.8351814227829455E-5</v>
      </c>
      <c r="BL84" s="726">
        <v>1.9178347600654649E-4</v>
      </c>
      <c r="BM84" s="726">
        <v>3.2166794406463298E-4</v>
      </c>
      <c r="BN84" s="726">
        <v>4.8951861183131563E-4</v>
      </c>
      <c r="BO84" s="727">
        <v>1.6803338622853252E-3</v>
      </c>
      <c r="BP84" s="726">
        <v>3.5414638920828962E-3</v>
      </c>
      <c r="BQ84" s="726">
        <v>8.2914083040345112E-3</v>
      </c>
      <c r="BR84" s="726">
        <v>1.4072415683248756E-2</v>
      </c>
      <c r="BS84" s="726">
        <v>2.19188428391138E-2</v>
      </c>
      <c r="BT84" s="726">
        <v>2.9598116555417692E-2</v>
      </c>
      <c r="BW84" s="1186">
        <f>'2018'!R\Max</f>
        <v>0</v>
      </c>
      <c r="BX84" s="1184">
        <f>'2019'!R\Max</f>
        <v>0.60704947257575315</v>
      </c>
      <c r="BY84" s="1184">
        <f>'2020'!R\Max</f>
        <v>0.70578884997729874</v>
      </c>
      <c r="BZ84" s="1184">
        <f>'2021'!R\Max</f>
        <v>0.71618405056088164</v>
      </c>
      <c r="CA84" s="1184">
        <f>'2022'!R\Max</f>
        <v>0.36197513275000687</v>
      </c>
      <c r="CB84" s="1184">
        <f>'2023'!R\Max</f>
        <v>0.36195762057250092</v>
      </c>
      <c r="CC84" s="1184">
        <f>'2024'!R\Max</f>
        <v>0.36193965606456591</v>
      </c>
      <c r="CD84" s="1184">
        <f>'2025'!R\Max</f>
        <v>0.36189496060547338</v>
      </c>
      <c r="CE84" s="1184">
        <f>'2026'!R\Max</f>
        <v>0.36199946562047219</v>
      </c>
      <c r="CF84" s="1185">
        <f>'2027'!R\Max</f>
        <v>0.36199788626832202</v>
      </c>
    </row>
    <row r="85" spans="1:84" s="6" customFormat="1" ht="11.25" x14ac:dyDescent="0.2">
      <c r="A85" s="11">
        <v>43171</v>
      </c>
      <c r="B85" s="380">
        <f>'2022'!Maxi_hp</f>
        <v>42.294025676295831</v>
      </c>
      <c r="C85" s="13">
        <f>'2022'!An_max</f>
        <v>2019</v>
      </c>
      <c r="D85" s="1062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53">
        <f t="shared" si="62"/>
        <v>0.5</v>
      </c>
      <c r="J85" s="746">
        <f t="shared" si="63"/>
        <v>48.032075000049375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55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53">
        <f t="shared" si="67"/>
        <v>0.75</v>
      </c>
      <c r="AT85" s="769">
        <f t="shared" si="68"/>
        <v>48.053556249910613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53">
        <f t="shared" si="72"/>
        <v>0.75</v>
      </c>
      <c r="AY85" s="769">
        <f t="shared" si="73"/>
        <v>48.114164062240164</v>
      </c>
      <c r="AZ85" s="746">
        <f t="shared" si="77"/>
        <v>48.083860156075389</v>
      </c>
      <c r="BA85" s="643">
        <f t="shared" si="74"/>
        <v>0.8805371343264341</v>
      </c>
      <c r="BC85" s="11">
        <v>43171</v>
      </c>
      <c r="BD85" s="290">
        <f>[2]!FeuilCaduc*(1-Persistant)+Persistant</f>
        <v>0.60432352346937124</v>
      </c>
      <c r="BE85" s="291">
        <f>[2]!CroissVégét</f>
        <v>2.2808540908775418E-2</v>
      </c>
      <c r="BF85" s="816">
        <f>1+[2]!Salcycl*Ksac</f>
        <v>1.0005404404336715</v>
      </c>
      <c r="BH85" s="1053">
        <f t="shared" si="75"/>
        <v>2.5344248297683885E-4</v>
      </c>
      <c r="BI85" s="11">
        <v>44267</v>
      </c>
      <c r="BJ85" s="726">
        <v>1.2576158801408745E-6</v>
      </c>
      <c r="BK85" s="726">
        <v>6.9166205964977869E-5</v>
      </c>
      <c r="BL85" s="726">
        <v>1.5061581147126797E-4</v>
      </c>
      <c r="BM85" s="726">
        <v>2.5371163412888178E-4</v>
      </c>
      <c r="BN85" s="726">
        <v>3.9155787710796916E-4</v>
      </c>
      <c r="BO85" s="727">
        <v>1.4508983302735374E-3</v>
      </c>
      <c r="BP85" s="726">
        <v>3.1708716702298265E-3</v>
      </c>
      <c r="BQ85" s="726">
        <v>7.8332345973806845E-3</v>
      </c>
      <c r="BR85" s="726">
        <v>1.3715298412670369E-2</v>
      </c>
      <c r="BS85" s="726">
        <v>2.1811427747418247E-2</v>
      </c>
      <c r="BT85" s="726">
        <v>2.9824892929401329E-2</v>
      </c>
      <c r="BW85" s="1186">
        <f>'2018'!R\Max</f>
        <v>0</v>
      </c>
      <c r="BX85" s="1184">
        <f>'2019'!R\Max</f>
        <v>0.8805371343264341</v>
      </c>
      <c r="BY85" s="1184">
        <f>'2020'!R\Max</f>
        <v>0.85132636277244667</v>
      </c>
      <c r="BZ85" s="1184">
        <f>'2021'!R\Max</f>
        <v>0.68803876019193699</v>
      </c>
      <c r="CA85" s="1184">
        <f>'2022'!R\Max</f>
        <v>0.3337872646422636</v>
      </c>
      <c r="CB85" s="1184">
        <f>'2023'!R\Max</f>
        <v>0.33377179625522935</v>
      </c>
      <c r="CC85" s="1184">
        <f>'2024'!R\Max</f>
        <v>0.33375586242429739</v>
      </c>
      <c r="CD85" s="1184">
        <f>'2025'!R\Max</f>
        <v>0.33371393141796157</v>
      </c>
      <c r="CE85" s="1184">
        <f>'2026'!R\Max</f>
        <v>0.33380787054439431</v>
      </c>
      <c r="CF85" s="1185">
        <f>'2027'!R\Max</f>
        <v>0.33380663085014101</v>
      </c>
    </row>
    <row r="86" spans="1:84" s="6" customFormat="1" ht="11.25" x14ac:dyDescent="0.2">
      <c r="A86" s="11">
        <v>43172</v>
      </c>
      <c r="B86" s="380">
        <f>'2022'!Maxi_hp</f>
        <v>41.647039184319176</v>
      </c>
      <c r="C86" s="13">
        <f>'2022'!An_max</f>
        <v>2021</v>
      </c>
      <c r="D86" s="1062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53">
        <f t="shared" si="62"/>
        <v>0.42857142857142855</v>
      </c>
      <c r="J86" s="746">
        <f t="shared" si="63"/>
        <v>48.398285131276602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55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53">
        <f t="shared" si="67"/>
        <v>0.7142857142857143</v>
      </c>
      <c r="AT86" s="769">
        <f t="shared" si="68"/>
        <v>48.432927113620096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53">
        <f t="shared" si="72"/>
        <v>0.7857142857142857</v>
      </c>
      <c r="AY86" s="769">
        <f t="shared" si="73"/>
        <v>48.476068549224046</v>
      </c>
      <c r="AZ86" s="746">
        <f t="shared" si="77"/>
        <v>48.454497831422074</v>
      </c>
      <c r="BA86" s="643">
        <f t="shared" si="74"/>
        <v>0.86050650495890102</v>
      </c>
      <c r="BC86" s="11">
        <v>43172</v>
      </c>
      <c r="BD86" s="290">
        <f>[2]!FeuilCaduc*(1-Persistant)+Persistant</f>
        <v>0.60451612051959969</v>
      </c>
      <c r="BE86" s="291">
        <f>[2]!CroissVégét</f>
        <v>2.3798287402466985E-2</v>
      </c>
      <c r="BF86" s="816">
        <f>1+[2]!Salcycl*Ksac</f>
        <v>1.00056451506495</v>
      </c>
      <c r="BH86" s="1053">
        <f t="shared" si="75"/>
        <v>1.9821082280916747E-4</v>
      </c>
      <c r="BI86" s="11">
        <v>44268</v>
      </c>
      <c r="BJ86" s="726">
        <v>1.3422706816784258E-6</v>
      </c>
      <c r="BK86" s="726">
        <v>5.4159521017829996E-5</v>
      </c>
      <c r="BL86" s="726">
        <v>1.1750856417175466E-4</v>
      </c>
      <c r="BM86" s="726">
        <v>1.9842206280718246E-4</v>
      </c>
      <c r="BN86" s="726">
        <v>3.112146877476572E-4</v>
      </c>
      <c r="BO86" s="727">
        <v>1.2357681542513137E-3</v>
      </c>
      <c r="BP86" s="726">
        <v>2.8056027199255436E-3</v>
      </c>
      <c r="BQ86" s="726">
        <v>7.3400522912859568E-3</v>
      </c>
      <c r="BR86" s="726">
        <v>1.3279750435583434E-2</v>
      </c>
      <c r="BS86" s="726">
        <v>2.1583892002701031E-2</v>
      </c>
      <c r="BT86" s="726">
        <v>2.9917374943486522E-2</v>
      </c>
      <c r="BW86" s="1186">
        <f>'2018'!R\Max</f>
        <v>0</v>
      </c>
      <c r="BX86" s="1184">
        <f>'2019'!R\Max</f>
        <v>0.5823989039699996</v>
      </c>
      <c r="BY86" s="1184">
        <f>'2020'!R\Max</f>
        <v>0.34312360039868256</v>
      </c>
      <c r="BZ86" s="1184">
        <f>'2021'!R\Max</f>
        <v>0.86050650495890102</v>
      </c>
      <c r="CA86" s="1184">
        <f>'2022'!R\Max</f>
        <v>0.22487471022836769</v>
      </c>
      <c r="CB86" s="1184">
        <f>'2023'!R\Max</f>
        <v>0.22486478865492343</v>
      </c>
      <c r="CC86" s="1184">
        <f>'2024'!R\Max</f>
        <v>0.22485451902739509</v>
      </c>
      <c r="CD86" s="1184">
        <f>'2025'!R\Max</f>
        <v>0.22482586067355634</v>
      </c>
      <c r="CE86" s="1184">
        <f>'2026'!R\Max</f>
        <v>0.22488731639880588</v>
      </c>
      <c r="CF86" s="1185">
        <f>'2027'!R\Max</f>
        <v>0.22488660353368189</v>
      </c>
    </row>
    <row r="87" spans="1:84" s="6" customFormat="1" ht="11.25" x14ac:dyDescent="0.2">
      <c r="A87" s="11">
        <v>43173</v>
      </c>
      <c r="B87" s="380">
        <f>'2022'!Maxi_hp</f>
        <v>41.178376020580401</v>
      </c>
      <c r="C87" s="13">
        <f>'2022'!An_max</f>
        <v>2020</v>
      </c>
      <c r="D87" s="1062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53">
        <f t="shared" si="62"/>
        <v>0.35714285714285715</v>
      </c>
      <c r="J87" s="746">
        <f t="shared" si="63"/>
        <v>48.763779518911697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55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53">
        <f t="shared" si="67"/>
        <v>0.6785714285714286</v>
      </c>
      <c r="AT87" s="769">
        <f t="shared" si="68"/>
        <v>48.813138975975122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53">
        <f t="shared" si="72"/>
        <v>0.8214285714285714</v>
      </c>
      <c r="AY87" s="769">
        <f t="shared" si="73"/>
        <v>48.834940074151383</v>
      </c>
      <c r="AZ87" s="746">
        <f t="shared" si="77"/>
        <v>48.824039525063256</v>
      </c>
      <c r="BA87" s="643">
        <f t="shared" si="74"/>
        <v>0.84444594793171224</v>
      </c>
      <c r="BC87" s="11">
        <v>43173</v>
      </c>
      <c r="BD87" s="290">
        <f>[2]!FeuilCaduc*(1-Persistant)+Persistant</f>
        <v>0.60472932238026522</v>
      </c>
      <c r="BE87" s="291">
        <f>[2]!CroissVégét</f>
        <v>2.4827425868542252E-2</v>
      </c>
      <c r="BF87" s="816">
        <f>1+[2]!Salcycl*Ksac</f>
        <v>1.0005911652975332</v>
      </c>
      <c r="BH87" s="1053">
        <f t="shared" si="75"/>
        <v>1.4986258728789256E-4</v>
      </c>
      <c r="BI87" s="11">
        <v>44269</v>
      </c>
      <c r="BJ87" s="726">
        <v>1.4173293295093285E-6</v>
      </c>
      <c r="BK87" s="726">
        <v>4.1029710617371279E-5</v>
      </c>
      <c r="BL87" s="726">
        <v>8.8540825559242485E-5</v>
      </c>
      <c r="BM87" s="726">
        <v>1.5002309839432933E-4</v>
      </c>
      <c r="BN87" s="726">
        <v>2.4070058571678193E-4</v>
      </c>
      <c r="BO87" s="727">
        <v>1.0404550902061557E-3</v>
      </c>
      <c r="BP87" s="726">
        <v>2.4672235874050861E-3</v>
      </c>
      <c r="BQ87" s="726">
        <v>6.8504638623203213E-3</v>
      </c>
      <c r="BR87" s="726">
        <v>1.2803232784582487E-2</v>
      </c>
      <c r="BS87" s="726">
        <v>2.1265655990267102E-2</v>
      </c>
      <c r="BT87" s="726">
        <v>2.9891961549226732E-2</v>
      </c>
      <c r="BW87" s="1186">
        <f>'2018'!R\Max</f>
        <v>0</v>
      </c>
      <c r="BX87" s="1184">
        <f>'2019'!R\Max</f>
        <v>0.51881307780750174</v>
      </c>
      <c r="BY87" s="1184">
        <f>'2020'!R\Max</f>
        <v>0.84444594793171224</v>
      </c>
      <c r="BZ87" s="1184">
        <f>'2021'!R\Max</f>
        <v>0.57371805267008202</v>
      </c>
      <c r="CA87" s="1184">
        <f>'2022'!R\Max</f>
        <v>0.32165676088725209</v>
      </c>
      <c r="CB87" s="1184">
        <f>'2023'!R\Max</f>
        <v>0.32164435131421504</v>
      </c>
      <c r="CC87" s="1184">
        <f>'2024'!R\Max</f>
        <v>0.32163143757402074</v>
      </c>
      <c r="CD87" s="1184">
        <f>'2025'!R\Max</f>
        <v>0.32159331327215157</v>
      </c>
      <c r="CE87" s="1184">
        <f>'2026'!R\Max</f>
        <v>0.32167172879441464</v>
      </c>
      <c r="CF87" s="1185">
        <f>'2027'!R\Max</f>
        <v>0.32167094011407915</v>
      </c>
    </row>
    <row r="88" spans="1:84" s="6" customFormat="1" ht="11.25" x14ac:dyDescent="0.2">
      <c r="A88" s="11">
        <v>43174</v>
      </c>
      <c r="B88" s="380">
        <f>'2022'!Maxi_hp</f>
        <v>31.428093358036886</v>
      </c>
      <c r="C88" s="13">
        <f>'2022'!An_max</f>
        <v>2020</v>
      </c>
      <c r="D88" s="1062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53">
        <f t="shared" si="62"/>
        <v>0.2857142857142857</v>
      </c>
      <c r="J88" s="746">
        <f t="shared" si="63"/>
        <v>49.128343440133278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55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53">
        <f t="shared" si="67"/>
        <v>0.6428571428571429</v>
      </c>
      <c r="AT88" s="769">
        <f t="shared" si="68"/>
        <v>49.193655029221148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53">
        <f t="shared" si="72"/>
        <v>0.8571428571428571</v>
      </c>
      <c r="AY88" s="769">
        <f t="shared" si="73"/>
        <v>49.190469970926642</v>
      </c>
      <c r="AZ88" s="746">
        <f t="shared" si="77"/>
        <v>49.192062500073895</v>
      </c>
      <c r="BA88" s="643">
        <f t="shared" si="74"/>
        <v>0.63971408676407893</v>
      </c>
      <c r="BC88" s="11">
        <v>43174</v>
      </c>
      <c r="BD88" s="290">
        <f>[2]!FeuilCaduc*(1-Persistant)+Persistant</f>
        <v>0.60496571446227188</v>
      </c>
      <c r="BE88" s="291">
        <f>[2]!CroissVégét</f>
        <v>2.5897433731805454E-2</v>
      </c>
      <c r="BF88" s="816">
        <f>1+[2]!Salcycl*Ksac</f>
        <v>1.0006207143077839</v>
      </c>
      <c r="BH88" s="1053">
        <f t="shared" si="75"/>
        <v>1.0839799545450368E-4</v>
      </c>
      <c r="BI88" s="11">
        <v>44270</v>
      </c>
      <c r="BJ88" s="726">
        <v>1.4827908262822237E-6</v>
      </c>
      <c r="BK88" s="726">
        <v>2.9776833803868659E-5</v>
      </c>
      <c r="BL88" s="726">
        <v>6.3712726683155615E-5</v>
      </c>
      <c r="BM88" s="726">
        <v>1.0851496016213311E-4</v>
      </c>
      <c r="BN88" s="726">
        <v>1.8001589121744615E-4</v>
      </c>
      <c r="BO88" s="727">
        <v>8.6496020158167584E-4</v>
      </c>
      <c r="BP88" s="726">
        <v>2.1557361854061662E-3</v>
      </c>
      <c r="BQ88" s="726">
        <v>6.3644723643544489E-3</v>
      </c>
      <c r="BR88" s="726">
        <v>1.2285748050506487E-2</v>
      </c>
      <c r="BS88" s="726">
        <v>2.0856719424876064E-2</v>
      </c>
      <c r="BT88" s="726">
        <v>2.9748646988321487E-2</v>
      </c>
      <c r="BW88" s="1186">
        <f>'2018'!R\Max</f>
        <v>0</v>
      </c>
      <c r="BX88" s="1184">
        <f>'2019'!R\Max</f>
        <v>0.27147328937227377</v>
      </c>
      <c r="BY88" s="1184">
        <f>'2020'!R\Max</f>
        <v>0.63971408676407893</v>
      </c>
      <c r="BZ88" s="1184">
        <f>'2021'!R\Max</f>
        <v>0.3969904484902419</v>
      </c>
      <c r="CA88" s="1184">
        <f>'2022'!R\Max</f>
        <v>0.31982325348042734</v>
      </c>
      <c r="CB88" s="1184">
        <f>'2023'!R\Max</f>
        <v>0.31981213931710217</v>
      </c>
      <c r="CC88" s="1184">
        <f>'2024'!R\Max</f>
        <v>0.31980050566802104</v>
      </c>
      <c r="CD88" s="1184">
        <f>'2025'!R\Max</f>
        <v>0.31976426631813232</v>
      </c>
      <c r="CE88" s="1184">
        <f>'2026'!R\Max</f>
        <v>0.31983591229807351</v>
      </c>
      <c r="CF88" s="1185">
        <f>'2027'!R\Max</f>
        <v>0.31983529664482291</v>
      </c>
    </row>
    <row r="89" spans="1:84" s="6" customFormat="1" ht="11.25" x14ac:dyDescent="0.2">
      <c r="A89" s="11">
        <v>43175</v>
      </c>
      <c r="B89" s="380">
        <f>'2022'!Maxi_hp</f>
        <v>50.491533478793343</v>
      </c>
      <c r="C89" s="13">
        <f>'2022'!An_max</f>
        <v>2020</v>
      </c>
      <c r="D89" s="1062">
        <f t="shared" si="59"/>
        <v>1.0202007619618298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53">
        <f t="shared" si="62"/>
        <v>0.21428571428571427</v>
      </c>
      <c r="J89" s="746">
        <f t="shared" si="63"/>
        <v>49.491762172083583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55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53">
        <f t="shared" si="67"/>
        <v>0.6071428571428571</v>
      </c>
      <c r="AT89" s="769">
        <f t="shared" si="68"/>
        <v>49.573938465723344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53">
        <f t="shared" si="72"/>
        <v>0.8928571428571429</v>
      </c>
      <c r="AY89" s="769">
        <f t="shared" si="73"/>
        <v>49.542349576660698</v>
      </c>
      <c r="AZ89" s="746">
        <f t="shared" si="77"/>
        <v>49.558144021192021</v>
      </c>
      <c r="BA89" s="643">
        <f t="shared" si="74"/>
        <v>1.0202007619618298</v>
      </c>
      <c r="BC89" s="11">
        <v>43175</v>
      </c>
      <c r="BD89" s="290">
        <f>[2]!FeuilCaduc*(1-Persistant)+Persistant</f>
        <v>0.60522797498038727</v>
      </c>
      <c r="BE89" s="291">
        <f>[2]!CroissVégét</f>
        <v>2.7009836317349309E-2</v>
      </c>
      <c r="BF89" s="816">
        <f>1+[2]!Salcycl*Ksac</f>
        <v>1.0006534968725485</v>
      </c>
      <c r="BH89" s="1053">
        <f t="shared" si="75"/>
        <v>7.3817161142885658E-5</v>
      </c>
      <c r="BI89" s="11">
        <v>44271</v>
      </c>
      <c r="BJ89" s="726">
        <v>1.5386543097878977E-6</v>
      </c>
      <c r="BK89" s="726">
        <v>2.0400920852446888E-5</v>
      </c>
      <c r="BL89" s="726">
        <v>4.3024335164756531E-5</v>
      </c>
      <c r="BM89" s="726">
        <v>7.3897762065441269E-5</v>
      </c>
      <c r="BN89" s="726">
        <v>1.2916077640375521E-4</v>
      </c>
      <c r="BO89" s="727">
        <v>7.0928433193698812E-4</v>
      </c>
      <c r="BP89" s="726">
        <v>1.8711422367753928E-3</v>
      </c>
      <c r="BQ89" s="726">
        <v>5.8820814829078794E-3</v>
      </c>
      <c r="BR89" s="726">
        <v>1.1727300580144352E-2</v>
      </c>
      <c r="BS89" s="726">
        <v>2.0357084818966826E-2</v>
      </c>
      <c r="BT89" s="726">
        <v>2.948742856400224E-2</v>
      </c>
      <c r="BW89" s="1186">
        <f>'2018'!R\Max</f>
        <v>0</v>
      </c>
      <c r="BX89" s="1184">
        <f>'2019'!R\Max</f>
        <v>0.97894597362577496</v>
      </c>
      <c r="BY89" s="1184">
        <f>'2020'!R\Max</f>
        <v>1.0202007619618298</v>
      </c>
      <c r="BZ89" s="1184">
        <f>'2021'!R\Max</f>
        <v>0.66935641934766599</v>
      </c>
      <c r="CA89" s="1184">
        <f>'2022'!R\Max</f>
        <v>0.28617217325143546</v>
      </c>
      <c r="CB89" s="1184">
        <f>'2023'!R\Max</f>
        <v>0.28616302444506675</v>
      </c>
      <c r="CC89" s="1184">
        <f>'2024'!R\Max</f>
        <v>0.28615338684648139</v>
      </c>
      <c r="CD89" s="1184">
        <f>'2025'!R\Max</f>
        <v>0.28612180354669348</v>
      </c>
      <c r="CE89" s="1184">
        <f>'2026'!R\Max</f>
        <v>0.28618195613135483</v>
      </c>
      <c r="CF89" s="1185">
        <f>'2027'!R\Max</f>
        <v>0.28618152097434002</v>
      </c>
    </row>
    <row r="90" spans="1:84" s="6" customFormat="1" ht="11.25" x14ac:dyDescent="0.2">
      <c r="A90" s="11">
        <v>43176</v>
      </c>
      <c r="B90" s="380">
        <f>'2022'!Maxi_hp</f>
        <v>27.136616542417517</v>
      </c>
      <c r="C90" s="13">
        <f>'2022'!An_max</f>
        <v>2021</v>
      </c>
      <c r="D90" s="1062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53">
        <f t="shared" si="62"/>
        <v>0.14285714285714285</v>
      </c>
      <c r="J90" s="746">
        <f t="shared" si="63"/>
        <v>49.853820991318209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55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53">
        <f t="shared" si="67"/>
        <v>0.5714285714285714</v>
      </c>
      <c r="AT90" s="769">
        <f t="shared" si="68"/>
        <v>49.953452477863586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53">
        <f t="shared" si="72"/>
        <v>0.9285714285714286</v>
      </c>
      <c r="AY90" s="769">
        <f t="shared" si="73"/>
        <v>49.890270226069596</v>
      </c>
      <c r="AZ90" s="746">
        <f t="shared" si="77"/>
        <v>49.921861351966591</v>
      </c>
      <c r="BA90" s="643">
        <f t="shared" si="74"/>
        <v>0.54432370483986015</v>
      </c>
      <c r="BC90" s="11">
        <v>43176</v>
      </c>
      <c r="BD90" s="290">
        <f>[2]!FeuilCaduc*(1-Persistant)+Persistant</f>
        <v>0.60551886559649126</v>
      </c>
      <c r="BE90" s="291">
        <f>[2]!CroissVégét</f>
        <v>2.8166207768877807E-2</v>
      </c>
      <c r="BF90" s="816">
        <f>1+[2]!Salcycl*Ksac</f>
        <v>1.0006898581995614</v>
      </c>
      <c r="BH90" s="1053">
        <f t="shared" si="75"/>
        <v>4.6120067516137753E-5</v>
      </c>
      <c r="BI90" s="11">
        <v>44272</v>
      </c>
      <c r="BJ90" s="726">
        <v>1.5849190884364819E-6</v>
      </c>
      <c r="BK90" s="726">
        <v>1.2901966330143547E-5</v>
      </c>
      <c r="BL90" s="726">
        <v>2.6475639884277712E-5</v>
      </c>
      <c r="BM90" s="726">
        <v>4.6171487252388315E-5</v>
      </c>
      <c r="BN90" s="726">
        <v>8.813522902181148E-5</v>
      </c>
      <c r="BO90" s="727">
        <v>5.7342803163579214E-4</v>
      </c>
      <c r="BP90" s="726">
        <v>1.6134431749850876E-3</v>
      </c>
      <c r="BQ90" s="726">
        <v>5.4032955218046306E-3</v>
      </c>
      <c r="BR90" s="726">
        <v>1.1127896627676069E-2</v>
      </c>
      <c r="BS90" s="726">
        <v>1.976675781795716E-2</v>
      </c>
      <c r="BT90" s="726">
        <v>2.9108307076809392E-2</v>
      </c>
      <c r="BW90" s="1186">
        <f>'2018'!R\Max</f>
        <v>0</v>
      </c>
      <c r="BX90" s="1184">
        <f>'2019'!R\Max</f>
        <v>0.34381456656011083</v>
      </c>
      <c r="BY90" s="1184">
        <f>'2020'!R\Max</f>
        <v>0.19230851327882062</v>
      </c>
      <c r="BZ90" s="1184">
        <f>'2021'!R\Max</f>
        <v>0.54432370483986015</v>
      </c>
      <c r="CA90" s="1184">
        <f>'2022'!R\Max</f>
        <v>0.23701911520036806</v>
      </c>
      <c r="CB90" s="1184">
        <f>'2023'!R\Max</f>
        <v>0.23701237849560022</v>
      </c>
      <c r="CC90" s="1184">
        <f>'2024'!R\Max</f>
        <v>0.23700523311201976</v>
      </c>
      <c r="CD90" s="1184">
        <f>'2025'!R\Max</f>
        <v>0.23698068431911273</v>
      </c>
      <c r="CE90" s="1184">
        <f>'2026'!R\Max</f>
        <v>0.23702583591239371</v>
      </c>
      <c r="CF90" s="1185">
        <f>'2027'!R\Max</f>
        <v>0.23702556409198697</v>
      </c>
    </row>
    <row r="91" spans="1:84" s="6" customFormat="1" ht="11.25" x14ac:dyDescent="0.2">
      <c r="A91" s="11">
        <v>43177</v>
      </c>
      <c r="B91" s="380">
        <f>'2022'!Maxi_hp</f>
        <v>35.441978382349127</v>
      </c>
      <c r="C91" s="13">
        <f>'2022'!An_max</f>
        <v>2019</v>
      </c>
      <c r="D91" s="1062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53">
        <f t="shared" si="62"/>
        <v>7.1428571428571425E-2</v>
      </c>
      <c r="J91" s="746">
        <f t="shared" si="63"/>
        <v>50.214305175098083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55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53">
        <f t="shared" si="67"/>
        <v>0.5357142857142857</v>
      </c>
      <c r="AT91" s="769">
        <f t="shared" si="68"/>
        <v>50.331660258332178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53">
        <f t="shared" si="72"/>
        <v>0.9642857142857143</v>
      </c>
      <c r="AY91" s="769">
        <f t="shared" si="73"/>
        <v>50.233923255063459</v>
      </c>
      <c r="AZ91" s="746">
        <f t="shared" si="77"/>
        <v>50.282791756697819</v>
      </c>
      <c r="BA91" s="643">
        <f t="shared" si="74"/>
        <v>0.70581437418604887</v>
      </c>
      <c r="BC91" s="11">
        <v>43177</v>
      </c>
      <c r="BD91" s="290">
        <f>[2]!FeuilCaduc*(1-Persistant)+Persistant</f>
        <v>0.60584122183331646</v>
      </c>
      <c r="BE91" s="291">
        <f>[2]!CroissVégét</f>
        <v>2.9368171926128662E-2</v>
      </c>
      <c r="BF91" s="816">
        <f>1+[2]!Salcycl*Ksac</f>
        <v>1.0007301527291645</v>
      </c>
      <c r="BH91" s="1053">
        <f t="shared" si="75"/>
        <v>2.5306541603052484E-5</v>
      </c>
      <c r="BI91" s="11">
        <v>44273</v>
      </c>
      <c r="BJ91" s="726">
        <v>1.6215846767300462E-6</v>
      </c>
      <c r="BK91" s="726">
        <v>7.2799221528707874E-6</v>
      </c>
      <c r="BL91" s="726">
        <v>1.4066535667852694E-5</v>
      </c>
      <c r="BM91" s="726">
        <v>2.5335962574305691E-5</v>
      </c>
      <c r="BN91" s="726">
        <v>5.6939016049144115E-5</v>
      </c>
      <c r="BO91" s="727">
        <v>4.573914845327777E-4</v>
      </c>
      <c r="BP91" s="726">
        <v>1.3826400446434045E-3</v>
      </c>
      <c r="BQ91" s="726">
        <v>4.9281193898092308E-3</v>
      </c>
      <c r="BR91" s="726">
        <v>1.0487544506075966E-2</v>
      </c>
      <c r="BS91" s="726">
        <v>1.9085747535478845E-2</v>
      </c>
      <c r="BT91" s="726">
        <v>2.8611287260277132E-2</v>
      </c>
      <c r="BW91" s="1186">
        <f>'2018'!R\Max</f>
        <v>0</v>
      </c>
      <c r="BX91" s="1184">
        <f>'2019'!R\Max</f>
        <v>0.70581437418604887</v>
      </c>
      <c r="BY91" s="1184">
        <f>'2020'!R\Max</f>
        <v>0.28237422475232615</v>
      </c>
      <c r="BZ91" s="1184">
        <f>'2021'!R\Max</f>
        <v>0.49460285721784353</v>
      </c>
      <c r="CA91" s="1184">
        <f>'2022'!R\Max</f>
        <v>0.31376947305988118</v>
      </c>
      <c r="CB91" s="1184">
        <f>'2023'!R\Max</f>
        <v>0.31376174694609427</v>
      </c>
      <c r="CC91" s="1184">
        <f>'2024'!R\Max</f>
        <v>0.31375349251849494</v>
      </c>
      <c r="CD91" s="1184">
        <f>'2025'!R\Max</f>
        <v>0.3137238865591927</v>
      </c>
      <c r="CE91" s="1184">
        <f>'2026'!R\Max</f>
        <v>0.31377661812771007</v>
      </c>
      <c r="CF91" s="1185">
        <f>'2027'!R\Max</f>
        <v>0.31377635423273326</v>
      </c>
    </row>
    <row r="92" spans="1:84" s="6" customFormat="1" ht="11.25" x14ac:dyDescent="0.2">
      <c r="A92" s="11">
        <v>43178</v>
      </c>
      <c r="B92" s="380">
        <f>'2022'!Maxi_hp</f>
        <v>46.110957889709681</v>
      </c>
      <c r="C92" s="13">
        <f>'2022'!An_max</f>
        <v>2020</v>
      </c>
      <c r="D92" s="1062" t="str">
        <f t="shared" si="59"/>
        <v/>
      </c>
      <c r="E92" s="1057">
        <f>S$13/10</f>
        <v>50.573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53">
        <f t="shared" si="62"/>
        <v>0</v>
      </c>
      <c r="J92" s="746">
        <f t="shared" si="63"/>
        <v>50.572999999672177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55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53">
        <f t="shared" si="67"/>
        <v>0.5</v>
      </c>
      <c r="AT92" s="769">
        <f t="shared" si="68"/>
        <v>50.70802499965648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53">
        <f t="shared" si="72"/>
        <v>1</v>
      </c>
      <c r="AY92" s="769">
        <f t="shared" si="73"/>
        <v>50.572999999672177</v>
      </c>
      <c r="AZ92" s="746">
        <f t="shared" si="77"/>
        <v>50.640512499664325</v>
      </c>
      <c r="BA92" s="643">
        <f t="shared" si="74"/>
        <v>0.91177027050023884</v>
      </c>
      <c r="BC92" s="11">
        <v>43178</v>
      </c>
      <c r="BD92" s="290">
        <f>[2]!FeuilCaduc*(1-Persistant)+Persistant</f>
        <v>0.60619794333700627</v>
      </c>
      <c r="BE92" s="291">
        <f>[2]!CroissVégét</f>
        <v>3.0617403154541836E-2</v>
      </c>
      <c r="BF92" s="816">
        <f>1+[2]!Salcycl*Ksac</f>
        <v>1.0007747429171259</v>
      </c>
      <c r="BH92" s="1053">
        <f t="shared" si="75"/>
        <v>1.1376228834847654E-5</v>
      </c>
      <c r="BI92" s="11">
        <v>44274</v>
      </c>
      <c r="BJ92" s="726">
        <v>1.6486508307401742E-6</v>
      </c>
      <c r="BK92" s="726">
        <v>3.5346906424468268E-6</v>
      </c>
      <c r="BL92" s="726">
        <v>5.7968079745951385E-6</v>
      </c>
      <c r="BM92" s="726">
        <v>1.1390833095885007E-5</v>
      </c>
      <c r="BN92" s="726">
        <v>3.5571647334576156E-5</v>
      </c>
      <c r="BO92" s="727">
        <v>3.6117443466236163E-4</v>
      </c>
      <c r="BP92" s="726">
        <v>1.1787334020105795E-3</v>
      </c>
      <c r="BQ92" s="726">
        <v>4.4565585872817625E-3</v>
      </c>
      <c r="BR92" s="726">
        <v>9.8062547385537862E-3</v>
      </c>
      <c r="BS92" s="726">
        <v>1.8314066888678666E-2</v>
      </c>
      <c r="BT92" s="726">
        <v>2.7996378216713812E-2</v>
      </c>
      <c r="BW92" s="1186">
        <f>'2018'!R\Max</f>
        <v>0</v>
      </c>
      <c r="BX92" s="1184">
        <f>'2019'!R\Max</f>
        <v>0.25714271321775428</v>
      </c>
      <c r="BY92" s="1184">
        <f>'2020'!R\Max</f>
        <v>0.91177027050023884</v>
      </c>
      <c r="BZ92" s="1184">
        <f>'2021'!R\Max</f>
        <v>0.19283464491182695</v>
      </c>
      <c r="CA92" s="1184">
        <f>'2022'!R\Max</f>
        <v>0.63230672938185362</v>
      </c>
      <c r="CB92" s="1184">
        <f>'2023'!R\Max</f>
        <v>0.63229940582441568</v>
      </c>
      <c r="CC92" s="1184">
        <f>'2024'!R\Max</f>
        <v>0.6322915224217921</v>
      </c>
      <c r="CD92" s="1184">
        <f>'2025'!R\Max</f>
        <v>0.63226215800675045</v>
      </c>
      <c r="CE92" s="1184">
        <f>'2026'!R\Max</f>
        <v>0.63231297056990321</v>
      </c>
      <c r="CF92" s="1185">
        <f>'2027'!R\Max</f>
        <v>0.63231275396825037</v>
      </c>
    </row>
    <row r="93" spans="1:84" s="6" customFormat="1" ht="11.25" x14ac:dyDescent="0.2">
      <c r="A93" s="11">
        <v>43179</v>
      </c>
      <c r="B93" s="380">
        <f>'2022'!Maxi_hp</f>
        <v>51.145293953169229</v>
      </c>
      <c r="C93" s="13">
        <f>'2022'!An_max</f>
        <v>2019</v>
      </c>
      <c r="D93" s="1062">
        <f t="shared" si="59"/>
        <v>1.004176901029336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53">
        <f t="shared" si="62"/>
        <v>7.1428571428571425E-2</v>
      </c>
      <c r="J93" s="746">
        <f t="shared" si="63"/>
        <v>50.932553717121479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55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53">
        <f t="shared" si="67"/>
        <v>0.4642857142857143</v>
      </c>
      <c r="AT93" s="769">
        <f t="shared" si="68"/>
        <v>51.082009894271529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53">
        <f t="shared" si="72"/>
        <v>0.9642857142857143</v>
      </c>
      <c r="AY93" s="769">
        <f t="shared" si="73"/>
        <v>50.910616180620018</v>
      </c>
      <c r="AZ93" s="746">
        <f t="shared" si="77"/>
        <v>50.996313037445773</v>
      </c>
      <c r="BA93" s="643">
        <f t="shared" si="74"/>
        <v>1.004176901029336</v>
      </c>
      <c r="BC93" s="11">
        <v>43179</v>
      </c>
      <c r="BD93" s="290">
        <f>[2]!FeuilCaduc*(1-Persistant)+Persistant</f>
        <v>0.60659198406361292</v>
      </c>
      <c r="BE93" s="291">
        <f>[2]!CroissVégét</f>
        <v>3.1915627119784788E-2</v>
      </c>
      <c r="BF93" s="816">
        <f>1+[2]!Salcycl*Ksac</f>
        <v>1.0008239980079516</v>
      </c>
      <c r="BH93" s="1053">
        <f t="shared" si="75"/>
        <v>4.3285677254419836E-6</v>
      </c>
      <c r="BI93" s="11">
        <v>44275</v>
      </c>
      <c r="BJ93" s="726">
        <v>1.666117638897085E-6</v>
      </c>
      <c r="BK93" s="726">
        <v>1.6661176388970848E-6</v>
      </c>
      <c r="BL93" s="726">
        <v>1.6661176388970848E-6</v>
      </c>
      <c r="BM93" s="726">
        <v>4.3355367491160753E-6</v>
      </c>
      <c r="BN93" s="726">
        <v>2.4032340035675831E-5</v>
      </c>
      <c r="BO93" s="727">
        <v>2.8477612238033968E-4</v>
      </c>
      <c r="BP93" s="726">
        <v>1.0017232487679912E-3</v>
      </c>
      <c r="BQ93" s="726">
        <v>3.9886193252412312E-3</v>
      </c>
      <c r="BR93" s="726">
        <v>9.0840405115584204E-3</v>
      </c>
      <c r="BS93" s="726">
        <v>1.7451733512869202E-2</v>
      </c>
      <c r="BT93" s="726">
        <v>2.7263594758064839E-2</v>
      </c>
      <c r="BW93" s="1186">
        <f>'2018'!R\Max</f>
        <v>0</v>
      </c>
      <c r="BX93" s="1184">
        <f>'2019'!R\Max</f>
        <v>1.004176901029336</v>
      </c>
      <c r="BY93" s="1184">
        <f>'2020'!R\Max</f>
        <v>0.92709936879726096</v>
      </c>
      <c r="BZ93" s="1184">
        <f>'2021'!R\Max</f>
        <v>0.91901066910850049</v>
      </c>
      <c r="CA93" s="1184">
        <f>'2022'!R\Max</f>
        <v>0.64851776467520528</v>
      </c>
      <c r="CB93" s="1184">
        <f>'2023'!R\Max</f>
        <v>0.64851150854148898</v>
      </c>
      <c r="CC93" s="1184">
        <f>'2024'!R\Max</f>
        <v>0.64850472353802413</v>
      </c>
      <c r="CD93" s="1184">
        <f>'2025'!R\Max</f>
        <v>0.64847865783280256</v>
      </c>
      <c r="CE93" s="1184">
        <f>'2026'!R\Max</f>
        <v>0.64852265800795716</v>
      </c>
      <c r="CF93" s="1185">
        <f>'2027'!R\Max</f>
        <v>0.64852248613636387</v>
      </c>
    </row>
    <row r="94" spans="1:84" s="6" customFormat="1" ht="11.25" x14ac:dyDescent="0.2">
      <c r="A94" s="11">
        <v>43180</v>
      </c>
      <c r="B94" s="380">
        <f>'2022'!Maxi_hp</f>
        <v>51.378117175877115</v>
      </c>
      <c r="C94" s="13">
        <f>'2022'!An_max</f>
        <v>2019</v>
      </c>
      <c r="D94" s="1062">
        <f t="shared" si="59"/>
        <v>1.0016195560048196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53">
        <f t="shared" si="62"/>
        <v>0.14285714285714285</v>
      </c>
      <c r="J94" s="746">
        <f t="shared" si="63"/>
        <v>51.295041982616702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55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53">
        <f t="shared" si="67"/>
        <v>0.42857142857142855</v>
      </c>
      <c r="AT94" s="769">
        <f t="shared" si="68"/>
        <v>51.45307813420326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53">
        <f t="shared" si="72"/>
        <v>0.9285714285714286</v>
      </c>
      <c r="AY94" s="769">
        <f t="shared" si="73"/>
        <v>51.249806997020336</v>
      </c>
      <c r="AZ94" s="746">
        <f t="shared" si="77"/>
        <v>51.351442565611798</v>
      </c>
      <c r="BA94" s="643">
        <f t="shared" si="74"/>
        <v>1.0016195560048196</v>
      </c>
      <c r="BC94" s="11">
        <v>43180</v>
      </c>
      <c r="BD94" s="290">
        <f>[2]!FeuilCaduc*(1-Persistant)+Persistant</f>
        <v>0.60702634246059539</v>
      </c>
      <c r="BE94" s="291">
        <f>[2]!CroissVégét</f>
        <v>3.3264621499185201E-2</v>
      </c>
      <c r="BF94" s="816">
        <f>1+[2]!Salcycl*Ksac</f>
        <v>1.0008782928075743</v>
      </c>
      <c r="BH94" s="1053">
        <f t="shared" si="75"/>
        <v>4.1900288191430488E-6</v>
      </c>
      <c r="BI94" s="11">
        <v>44276</v>
      </c>
      <c r="BJ94" s="726">
        <v>1.6811100995464042E-6</v>
      </c>
      <c r="BK94" s="726">
        <v>1.6852636426629632E-6</v>
      </c>
      <c r="BL94" s="726">
        <v>1.6897136166300948E-6</v>
      </c>
      <c r="BM94" s="726">
        <v>4.1965734510695077E-6</v>
      </c>
      <c r="BN94" s="726">
        <v>2.2424907533884537E-5</v>
      </c>
      <c r="BO94" s="727">
        <v>2.2869456751976866E-4</v>
      </c>
      <c r="BP94" s="726">
        <v>8.5357166994261019E-4</v>
      </c>
      <c r="BQ94" s="726">
        <v>3.5395260135431521E-3</v>
      </c>
      <c r="BR94" s="726">
        <v>8.345402910934701E-3</v>
      </c>
      <c r="BS94" s="726">
        <v>1.6513303480639306E-2</v>
      </c>
      <c r="BT94" s="726">
        <v>2.6387538700014684E-2</v>
      </c>
      <c r="BW94" s="1186">
        <f>'2018'!R\Max</f>
        <v>0</v>
      </c>
      <c r="BX94" s="1184">
        <f>'2019'!R\Max</f>
        <v>1.0016195560048196</v>
      </c>
      <c r="BY94" s="1184">
        <f>'2020'!R\Max</f>
        <v>0.99883769618487517</v>
      </c>
      <c r="BZ94" s="1184">
        <f>'2021'!R\Max</f>
        <v>0.83655866566462744</v>
      </c>
      <c r="CA94" s="1184">
        <f>'2022'!R\Max</f>
        <v>0.93897236955465402</v>
      </c>
      <c r="CB94" s="1184">
        <f>'2023'!R\Max</f>
        <v>0.93897100748232698</v>
      </c>
      <c r="CC94" s="1184">
        <f>'2024'!R\Max</f>
        <v>0.93896951937919215</v>
      </c>
      <c r="CD94" s="1184">
        <f>'2025'!R\Max</f>
        <v>0.93896366401992071</v>
      </c>
      <c r="CE94" s="1184">
        <f>'2026'!R\Max</f>
        <v>0.93897334756019335</v>
      </c>
      <c r="CF94" s="1185">
        <f>'2027'!R\Max</f>
        <v>0.93897330782853772</v>
      </c>
    </row>
    <row r="95" spans="1:84" s="6" customFormat="1" ht="11.25" x14ac:dyDescent="0.2">
      <c r="A95" s="11">
        <v>43181</v>
      </c>
      <c r="B95" s="380">
        <f>'2022'!Maxi_hp</f>
        <v>50.23936086110939</v>
      </c>
      <c r="C95" s="13">
        <f>'2022'!An_max</f>
        <v>2019</v>
      </c>
      <c r="D95" s="1062">
        <f t="shared" si="59"/>
        <v>0.972511671398544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53">
        <f t="shared" si="62"/>
        <v>0.21428571428571427</v>
      </c>
      <c r="J95" s="746">
        <f t="shared" si="63"/>
        <v>51.659391181250768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55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53">
        <f t="shared" si="67"/>
        <v>0.39285714285714285</v>
      </c>
      <c r="AT95" s="769">
        <f t="shared" si="68"/>
        <v>51.820692910922148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53">
        <f t="shared" si="72"/>
        <v>0.8928571428571429</v>
      </c>
      <c r="AY95" s="769">
        <f t="shared" si="73"/>
        <v>51.590143003367949</v>
      </c>
      <c r="AZ95" s="746">
        <f t="shared" si="77"/>
        <v>51.705417957145045</v>
      </c>
      <c r="BA95" s="643">
        <f t="shared" si="74"/>
        <v>0.972511671398544</v>
      </c>
      <c r="BC95" s="11">
        <v>43181</v>
      </c>
      <c r="BD95" s="290">
        <f>[2]!FeuilCaduc*(1-Persistant)+Persistant</f>
        <v>0.60750405170952115</v>
      </c>
      <c r="BE95" s="291">
        <f>[2]!CroissVégét</f>
        <v>3.4666216621534622E-2</v>
      </c>
      <c r="BF95" s="816">
        <f>1+[2]!Salcycl*Ksac</f>
        <v>1.0009380064636901</v>
      </c>
      <c r="BH95" s="1053">
        <f t="shared" si="75"/>
        <v>4.0607477971071221E-6</v>
      </c>
      <c r="BI95" s="11">
        <v>44277</v>
      </c>
      <c r="BJ95" s="726">
        <v>1.6945624203001024E-6</v>
      </c>
      <c r="BK95" s="726">
        <v>1.7070224641846702E-6</v>
      </c>
      <c r="BL95" s="726">
        <v>1.7203717588373697E-6</v>
      </c>
      <c r="BM95" s="726">
        <v>4.0668737846324488E-6</v>
      </c>
      <c r="BN95" s="726">
        <v>2.0838554578192277E-5</v>
      </c>
      <c r="BO95" s="727">
        <v>1.8050021777103392E-4</v>
      </c>
      <c r="BP95" s="726">
        <v>7.2233035621217963E-4</v>
      </c>
      <c r="BQ95" s="726">
        <v>3.124060103891586E-3</v>
      </c>
      <c r="BR95" s="726">
        <v>7.6327899583428548E-3</v>
      </c>
      <c r="BS95" s="726">
        <v>1.5560943256457979E-2</v>
      </c>
      <c r="BT95" s="726">
        <v>2.5418696359691961E-2</v>
      </c>
      <c r="BW95" s="1186">
        <f>'2018'!R\Max</f>
        <v>0</v>
      </c>
      <c r="BX95" s="1184">
        <f>'2019'!R\Max</f>
        <v>0.972511671398544</v>
      </c>
      <c r="BY95" s="1184">
        <f>'2020'!R\Max</f>
        <v>0.97147791109915516</v>
      </c>
      <c r="BZ95" s="1184">
        <f>'2021'!R\Max</f>
        <v>0.7956253600662373</v>
      </c>
      <c r="CA95" s="1184">
        <f>'2022'!R\Max</f>
        <v>0.87738921993061436</v>
      </c>
      <c r="CB95" s="1184">
        <f>'2023'!R\Max</f>
        <v>0.87738701661875718</v>
      </c>
      <c r="CC95" s="1184">
        <f>'2024'!R\Max</f>
        <v>0.87738459055810014</v>
      </c>
      <c r="CD95" s="1184">
        <f>'2025'!R\Max</f>
        <v>0.87737482322132609</v>
      </c>
      <c r="CE95" s="1184">
        <f>'2026'!R\Max</f>
        <v>0.87739065288321738</v>
      </c>
      <c r="CF95" s="1185">
        <f>'2027'!R\Max</f>
        <v>0.87739058468425846</v>
      </c>
    </row>
    <row r="96" spans="1:84" s="6" customFormat="1" ht="11.25" x14ac:dyDescent="0.2">
      <c r="A96" s="11">
        <v>43182</v>
      </c>
      <c r="B96" s="380">
        <f>'2022'!Maxi_hp</f>
        <v>52.010873192692713</v>
      </c>
      <c r="C96" s="13">
        <f>'2022'!An_max</f>
        <v>2022</v>
      </c>
      <c r="D96" s="1062">
        <f t="shared" si="59"/>
        <v>0.99973753717377523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53">
        <f t="shared" si="62"/>
        <v>0.2857142857142857</v>
      </c>
      <c r="J96" s="746">
        <f t="shared" si="63"/>
        <v>52.02452769726515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55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53">
        <f t="shared" si="67"/>
        <v>0.35714285714285715</v>
      </c>
      <c r="AT96" s="769">
        <f t="shared" si="68"/>
        <v>52.1843174190751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53">
        <f t="shared" si="72"/>
        <v>0.8571428571428571</v>
      </c>
      <c r="AY96" s="769">
        <f t="shared" si="73"/>
        <v>51.931194752454758</v>
      </c>
      <c r="AZ96" s="746">
        <f t="shared" si="77"/>
        <v>52.057756085764929</v>
      </c>
      <c r="BA96" s="643">
        <f t="shared" si="74"/>
        <v>0.99973753717377523</v>
      </c>
      <c r="BC96" s="11">
        <v>43182</v>
      </c>
      <c r="BD96" s="290">
        <f>[2]!FeuilCaduc*(1-Persistant)+Persistant</f>
        <v>0.60802817009061338</v>
      </c>
      <c r="BE96" s="291">
        <f>[2]!CroissVégét</f>
        <v>3.6122296026123907E-2</v>
      </c>
      <c r="BF96" s="816">
        <f>1+[2]!Salcycl*Ksac</f>
        <v>1.0010035212613266</v>
      </c>
      <c r="BH96" s="1053">
        <f t="shared" si="75"/>
        <v>3.9407221146989747E-6</v>
      </c>
      <c r="BI96" s="11">
        <v>44278</v>
      </c>
      <c r="BJ96" s="726">
        <v>1.7064742691412928E-6</v>
      </c>
      <c r="BK96" s="726">
        <v>1.7313931766420043E-6</v>
      </c>
      <c r="BL96" s="726">
        <v>1.7580905014453605E-6</v>
      </c>
      <c r="BM96" s="726">
        <v>3.9464352026030286E-6</v>
      </c>
      <c r="BN96" s="726">
        <v>1.9273272302340076E-5</v>
      </c>
      <c r="BO96" s="727">
        <v>1.4019192502361417E-4</v>
      </c>
      <c r="BP96" s="726">
        <v>6.0799675244183125E-4</v>
      </c>
      <c r="BQ96" s="726">
        <v>2.7422160512367813E-3</v>
      </c>
      <c r="BR96" s="726">
        <v>6.9461958858432187E-3</v>
      </c>
      <c r="BS96" s="726">
        <v>1.4594650295814856E-2</v>
      </c>
      <c r="BT96" s="726">
        <v>2.4357073182458177E-2</v>
      </c>
      <c r="BW96" s="1186">
        <f>'2018'!R\Max</f>
        <v>0</v>
      </c>
      <c r="BX96" s="1184">
        <f>'2019'!R\Max</f>
        <v>0.90913001424998974</v>
      </c>
      <c r="BY96" s="1184">
        <f>'2020'!R\Max</f>
        <v>0.84223294312109465</v>
      </c>
      <c r="BZ96" s="1184">
        <f>'2021'!R\Max</f>
        <v>0.99072843904429142</v>
      </c>
      <c r="CA96" s="1184">
        <f>'2022'!R\Max</f>
        <v>0.99973753717377523</v>
      </c>
      <c r="CB96" s="1184">
        <f>'2023'!R\Max</f>
        <v>0.99973753256245113</v>
      </c>
      <c r="CC96" s="1184">
        <f>'2024'!R\Max</f>
        <v>0.99973752744341626</v>
      </c>
      <c r="CD96" s="1184">
        <f>'2025'!R\Max</f>
        <v>0.99973750640361725</v>
      </c>
      <c r="CE96" s="1184">
        <f>'2026'!R\Max</f>
        <v>0.99973753985405889</v>
      </c>
      <c r="CF96" s="1185">
        <f>'2027'!R\Max</f>
        <v>0.99973753970298063</v>
      </c>
    </row>
    <row r="97" spans="1:84" s="6" customFormat="1" ht="11.25" x14ac:dyDescent="0.2">
      <c r="A97" s="11">
        <v>43183</v>
      </c>
      <c r="B97" s="380">
        <f>'2022'!Maxi_hp</f>
        <v>51.495753799818651</v>
      </c>
      <c r="C97" s="13">
        <f>'2022'!An_max</f>
        <v>2019</v>
      </c>
      <c r="D97" s="1062">
        <f t="shared" si="59"/>
        <v>0.98294264692534905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53">
        <f t="shared" si="62"/>
        <v>0.35714285714285715</v>
      </c>
      <c r="J97" s="746">
        <f t="shared" si="63"/>
        <v>52.389377916298272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55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53">
        <f t="shared" si="67"/>
        <v>0.32142857142857145</v>
      </c>
      <c r="AT97" s="769">
        <f t="shared" si="68"/>
        <v>52.543414849764261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53">
        <f t="shared" si="72"/>
        <v>0.8214285714285714</v>
      </c>
      <c r="AY97" s="769">
        <f t="shared" si="73"/>
        <v>52.2725327987756</v>
      </c>
      <c r="AZ97" s="746">
        <f t="shared" si="77"/>
        <v>52.407973824269931</v>
      </c>
      <c r="BA97" s="643">
        <f t="shared" si="74"/>
        <v>0.98294264692534905</v>
      </c>
      <c r="BC97" s="11">
        <v>43183</v>
      </c>
      <c r="BD97" s="290">
        <f>[2]!FeuilCaduc*(1-Persistant)+Persistant</f>
        <v>0.6086017715236085</v>
      </c>
      <c r="BE97" s="291">
        <f>[2]!CroissVégét</f>
        <v>3.7634796931243539E-2</v>
      </c>
      <c r="BF97" s="816">
        <f>1+[2]!Salcycl*Ksac</f>
        <v>1.001075221440451</v>
      </c>
      <c r="BH97" s="1053">
        <f t="shared" si="75"/>
        <v>3.8299493659845545E-6</v>
      </c>
      <c r="BI97" s="11">
        <v>44279</v>
      </c>
      <c r="BJ97" s="726">
        <v>1.7168453011597309E-6</v>
      </c>
      <c r="BK97" s="726">
        <v>1.7583748176778756E-6</v>
      </c>
      <c r="BL97" s="726">
        <v>1.8028682205840655E-6</v>
      </c>
      <c r="BM97" s="726">
        <v>3.8352552970001223E-6</v>
      </c>
      <c r="BN97" s="726">
        <v>1.7729053811023985E-5</v>
      </c>
      <c r="BO97" s="727">
        <v>1.0776858013849646E-4</v>
      </c>
      <c r="BP97" s="726">
        <v>5.1056842280455947E-4</v>
      </c>
      <c r="BQ97" s="726">
        <v>2.3939887456681085E-3</v>
      </c>
      <c r="BR97" s="726">
        <v>6.2856157631566659E-3</v>
      </c>
      <c r="BS97" s="726">
        <v>1.3614423314069908E-2</v>
      </c>
      <c r="BT97" s="726">
        <v>2.3202676121875664E-2</v>
      </c>
      <c r="BW97" s="1186">
        <f>'2018'!R\Max</f>
        <v>0</v>
      </c>
      <c r="BX97" s="1184">
        <f>'2019'!R\Max</f>
        <v>0.98294264692534905</v>
      </c>
      <c r="BY97" s="1184">
        <f>'2020'!R\Max</f>
        <v>0.67715164216323331</v>
      </c>
      <c r="BZ97" s="1184">
        <f>'2021'!R\Max</f>
        <v>0.96499045972890629</v>
      </c>
      <c r="CA97" s="1184">
        <f>'2022'!R\Max</f>
        <v>0.97159814239015585</v>
      </c>
      <c r="CB97" s="1184">
        <f>'2023'!R\Max</f>
        <v>0.97159772733776961</v>
      </c>
      <c r="CC97" s="1184">
        <f>'2024'!R\Max</f>
        <v>0.97159726282503933</v>
      </c>
      <c r="CD97" s="1184">
        <f>'2025'!R\Max</f>
        <v>0.97159532195884801</v>
      </c>
      <c r="CE97" s="1184">
        <f>'2026'!R\Max</f>
        <v>0.97159835596457267</v>
      </c>
      <c r="CF97" s="1185">
        <f>'2027'!R\Max</f>
        <v>0.97159834164843495</v>
      </c>
    </row>
    <row r="98" spans="1:84" s="6" customFormat="1" ht="11.25" x14ac:dyDescent="0.2">
      <c r="A98" s="11">
        <v>43184</v>
      </c>
      <c r="B98" s="380">
        <f>'2022'!Maxi_hp</f>
        <v>48.049790210842104</v>
      </c>
      <c r="C98" s="13">
        <f>'2022'!An_max</f>
        <v>2020</v>
      </c>
      <c r="D98" s="1062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53">
        <f t="shared" si="62"/>
        <v>0.42857142857142855</v>
      </c>
      <c r="J98" s="746">
        <f t="shared" si="63"/>
        <v>52.752868222445251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55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53">
        <f t="shared" si="67"/>
        <v>0.2857142857142857</v>
      </c>
      <c r="AT98" s="769">
        <f t="shared" si="68"/>
        <v>52.897448395887785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53">
        <f t="shared" si="72"/>
        <v>0.7857142857142857</v>
      </c>
      <c r="AY98" s="769">
        <f t="shared" si="73"/>
        <v>52.613727696692308</v>
      </c>
      <c r="AZ98" s="746">
        <f t="shared" si="77"/>
        <v>52.755588046290043</v>
      </c>
      <c r="BA98" s="643">
        <f t="shared" si="74"/>
        <v>0.91084697059937147</v>
      </c>
      <c r="BC98" s="11">
        <v>43184</v>
      </c>
      <c r="BD98" s="290">
        <f>[2]!FeuilCaduc*(1-Persistant)+Persistant</f>
        <v>0.60922793633269923</v>
      </c>
      <c r="BE98" s="291">
        <f>[2]!CroissVégét</f>
        <v>3.9205710601738018E-2</v>
      </c>
      <c r="BF98" s="816">
        <f>1+[2]!Salcycl*Ksac</f>
        <v>1.0011534920415874</v>
      </c>
      <c r="BH98" s="1053">
        <f t="shared" si="75"/>
        <v>3.7284272541107188E-6</v>
      </c>
      <c r="BI98" s="11">
        <v>44280</v>
      </c>
      <c r="BJ98" s="726">
        <v>1.7256751634794188E-6</v>
      </c>
      <c r="BK98" s="726">
        <v>1.7879663810205444E-6</v>
      </c>
      <c r="BL98" s="726">
        <v>1.8547032099543346E-6</v>
      </c>
      <c r="BM98" s="726">
        <v>3.7333317694248017E-6</v>
      </c>
      <c r="BN98" s="726">
        <v>1.6205894112829434E-5</v>
      </c>
      <c r="BO98" s="727">
        <v>8.3229087698054248E-5</v>
      </c>
      <c r="BP98" s="726">
        <v>4.30042996652715E-4</v>
      </c>
      <c r="BQ98" s="726">
        <v>2.0793734048200753E-3</v>
      </c>
      <c r="BR98" s="726">
        <v>5.6510454145088677E-3</v>
      </c>
      <c r="BS98" s="726">
        <v>1.262026233134598E-2</v>
      </c>
      <c r="BT98" s="726">
        <v>2.1955513937188378E-2</v>
      </c>
      <c r="BW98" s="1186">
        <f>'2018'!R\Max</f>
        <v>0</v>
      </c>
      <c r="BX98" s="1184">
        <f>'2019'!R\Max</f>
        <v>0.84944742399307016</v>
      </c>
      <c r="BY98" s="1184">
        <f>'2020'!R\Max</f>
        <v>0.91084697059937147</v>
      </c>
      <c r="BZ98" s="1184">
        <f>'2021'!R\Max</f>
        <v>0.68247905930818442</v>
      </c>
      <c r="CA98" s="1184">
        <f>'2022'!R\Max</f>
        <v>0.84527771401104812</v>
      </c>
      <c r="CB98" s="1184">
        <f>'2023'!R\Max</f>
        <v>0.84527603028631415</v>
      </c>
      <c r="CC98" s="1184">
        <f>'2024'!R\Max</f>
        <v>0.84527413163900167</v>
      </c>
      <c r="CD98" s="1184">
        <f>'2025'!R\Max</f>
        <v>0.84526612395964262</v>
      </c>
      <c r="CE98" s="1184">
        <f>'2026'!R\Max</f>
        <v>0.84527848351637325</v>
      </c>
      <c r="CF98" s="1185">
        <f>'2027'!R\Max</f>
        <v>0.84527842296492384</v>
      </c>
    </row>
    <row r="99" spans="1:84" s="6" customFormat="1" ht="11.25" x14ac:dyDescent="0.2">
      <c r="A99" s="11">
        <v>43185</v>
      </c>
      <c r="B99" s="380">
        <f>'2022'!Maxi_hp</f>
        <v>54.932815887950575</v>
      </c>
      <c r="C99" s="13">
        <f>'2022'!An_max</f>
        <v>2019</v>
      </c>
      <c r="D99" s="1062">
        <f t="shared" si="59"/>
        <v>1.0342450852064793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53">
        <f t="shared" si="62"/>
        <v>0.5</v>
      </c>
      <c r="J99" s="746">
        <f t="shared" si="63"/>
        <v>53.113925000652671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55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53">
        <f t="shared" si="67"/>
        <v>0.25</v>
      </c>
      <c r="AT99" s="769">
        <f t="shared" si="68"/>
        <v>53.24588124934526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53">
        <f t="shared" si="72"/>
        <v>0.75</v>
      </c>
      <c r="AY99" s="769">
        <f t="shared" si="73"/>
        <v>52.95434999996796</v>
      </c>
      <c r="AZ99" s="746">
        <f t="shared" si="77"/>
        <v>53.10011562465661</v>
      </c>
      <c r="BA99" s="643">
        <f t="shared" si="74"/>
        <v>1.0342450852064793</v>
      </c>
      <c r="BC99" s="11">
        <v>43185</v>
      </c>
      <c r="BD99" s="290">
        <f>[2]!FeuilCaduc*(1-Persistant)+Persistant</f>
        <v>0.60990974227623396</v>
      </c>
      <c r="BE99" s="291">
        <f>[2]!CroissVégét</f>
        <v>4.0837082604545251E-2</v>
      </c>
      <c r="BF99" s="816">
        <f>1+[2]!Salcycl*Ksac</f>
        <v>1.0012387177845292</v>
      </c>
      <c r="BH99" s="1053">
        <f t="shared" si="75"/>
        <v>3.6361535616976261E-6</v>
      </c>
      <c r="BI99" s="11">
        <v>44281</v>
      </c>
      <c r="BJ99" s="726">
        <v>1.7329635001919499E-6</v>
      </c>
      <c r="BK99" s="726">
        <v>1.8201668081117938E-6</v>
      </c>
      <c r="BL99" s="726">
        <v>1.9135936582012947E-6</v>
      </c>
      <c r="BM99" s="726">
        <v>3.6406624014344441E-6</v>
      </c>
      <c r="BN99" s="726">
        <v>1.4703790053222371E-5</v>
      </c>
      <c r="BO99" s="727">
        <v>6.6572340756271994E-5</v>
      </c>
      <c r="BP99" s="726">
        <v>3.6641811439113467E-4</v>
      </c>
      <c r="BQ99" s="726">
        <v>1.7983654662859444E-3</v>
      </c>
      <c r="BR99" s="726">
        <v>5.0424813354946058E-3</v>
      </c>
      <c r="BS99" s="726">
        <v>1.1612168717465173E-2</v>
      </c>
      <c r="BT99" s="726">
        <v>2.0615597490878036E-2</v>
      </c>
      <c r="BW99" s="1186">
        <f>'2018'!R\Max</f>
        <v>0</v>
      </c>
      <c r="BX99" s="1184">
        <f>'2019'!R\Max</f>
        <v>1.0342450852064793</v>
      </c>
      <c r="BY99" s="1184">
        <f>'2020'!R\Max</f>
        <v>1.0175847347261391</v>
      </c>
      <c r="BZ99" s="1184">
        <f>'2021'!R\Max</f>
        <v>0.77866082580785578</v>
      </c>
      <c r="CA99" s="1184">
        <f>'2022'!R\Max</f>
        <v>0.94492602344939947</v>
      </c>
      <c r="CB99" s="1184">
        <f>'2023'!R\Max</f>
        <v>0.9449254474954808</v>
      </c>
      <c r="CC99" s="1184">
        <f>'2024'!R\Max</f>
        <v>0.9449247940844544</v>
      </c>
      <c r="CD99" s="1184">
        <f>'2025'!R\Max</f>
        <v>0.94492204339353647</v>
      </c>
      <c r="CE99" s="1184">
        <f>'2026'!R\Max</f>
        <v>0.94492626477697861</v>
      </c>
      <c r="CF99" s="1185">
        <f>'2027'!R\Max</f>
        <v>0.94492624352682153</v>
      </c>
    </row>
    <row r="100" spans="1:84" s="6" customFormat="1" ht="11.25" x14ac:dyDescent="0.2">
      <c r="A100" s="11">
        <v>43186</v>
      </c>
      <c r="B100" s="380">
        <f>'2022'!Maxi_hp</f>
        <v>54.175577399192605</v>
      </c>
      <c r="C100" s="13">
        <f>'2022'!An_max</f>
        <v>2019</v>
      </c>
      <c r="D100" s="1062">
        <f t="shared" si="59"/>
        <v>1.0131678201809107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53">
        <f t="shared" si="62"/>
        <v>0.5714285714285714</v>
      </c>
      <c r="J100" s="746">
        <f t="shared" si="63"/>
        <v>53.471474636372719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55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53">
        <f t="shared" si="67"/>
        <v>0.21428571428571427</v>
      </c>
      <c r="AT100" s="769">
        <f t="shared" si="68"/>
        <v>53.588176603123841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53">
        <f t="shared" si="72"/>
        <v>0.7142857142857143</v>
      </c>
      <c r="AY100" s="769">
        <f t="shared" si="73"/>
        <v>53.293970262418895</v>
      </c>
      <c r="AZ100" s="746">
        <f t="shared" si="77"/>
        <v>53.441073432771368</v>
      </c>
      <c r="BA100" s="643">
        <f t="shared" si="74"/>
        <v>1.0131678201809107</v>
      </c>
      <c r="BC100" s="11">
        <v>43186</v>
      </c>
      <c r="BD100" s="290">
        <f>[2]!FeuilCaduc*(1-Persistant)+Persistant</f>
        <v>0.61065025587443977</v>
      </c>
      <c r="BE100" s="291">
        <f>[2]!CroissVégét</f>
        <v>4.2531012940474407E-2</v>
      </c>
      <c r="BF100" s="816">
        <f>1+[2]!Salcycl*Ksac</f>
        <v>1.001331281984305</v>
      </c>
      <c r="BH100" s="1053">
        <f t="shared" si="75"/>
        <v>3.8995820333186109E-6</v>
      </c>
      <c r="BI100" s="11">
        <v>44282</v>
      </c>
      <c r="BJ100" s="726">
        <v>1.7838589452193703E-6</v>
      </c>
      <c r="BK100" s="726">
        <v>2.0335050255492805E-6</v>
      </c>
      <c r="BL100" s="726">
        <v>2.2560064984632734E-6</v>
      </c>
      <c r="BM100" s="726">
        <v>3.9038841296735626E-6</v>
      </c>
      <c r="BN100" s="726">
        <v>1.368104429730332E-5</v>
      </c>
      <c r="BO100" s="727">
        <v>5.8559772887954333E-5</v>
      </c>
      <c r="BP100" s="726">
        <v>3.2192009332147696E-4</v>
      </c>
      <c r="BQ100" s="726">
        <v>1.5578740961287472E-3</v>
      </c>
      <c r="BR100" s="726">
        <v>4.4785696892150123E-3</v>
      </c>
      <c r="BS100" s="726">
        <v>1.0624432769601006E-2</v>
      </c>
      <c r="BT100" s="726">
        <v>1.9234681531476439E-2</v>
      </c>
      <c r="BW100" s="1186">
        <f>'2018'!R\Max</f>
        <v>0</v>
      </c>
      <c r="BX100" s="1184">
        <f>'2019'!R\Max</f>
        <v>1.0131678201809107</v>
      </c>
      <c r="BY100" s="1184">
        <f>'2020'!R\Max</f>
        <v>0.53524030740524231</v>
      </c>
      <c r="BZ100" s="1184">
        <f>'2021'!R\Max</f>
        <v>0.87562245103390401</v>
      </c>
      <c r="CA100" s="1184">
        <f>'2022'!R\Max</f>
        <v>0.91432772491054737</v>
      </c>
      <c r="CB100" s="1184">
        <f>'2023'!R\Max</f>
        <v>0.91432696764070354</v>
      </c>
      <c r="CC100" s="1184">
        <f>'2024'!R\Max</f>
        <v>0.91432610602204256</v>
      </c>
      <c r="CD100" s="1184">
        <f>'2025'!R\Max</f>
        <v>0.91432255197491341</v>
      </c>
      <c r="CE100" s="1184">
        <f>'2026'!R\Max</f>
        <v>0.91432803972023702</v>
      </c>
      <c r="CF100" s="1185">
        <f>'2027'!R\Max</f>
        <v>0.91432801160715749</v>
      </c>
    </row>
    <row r="101" spans="1:84" s="6" customFormat="1" ht="11.25" x14ac:dyDescent="0.2">
      <c r="A101" s="11">
        <v>43187</v>
      </c>
      <c r="B101" s="380">
        <f>'2022'!Maxi_hp</f>
        <v>52.923988977147388</v>
      </c>
      <c r="C101" s="13">
        <f>'2022'!An_max</f>
        <v>2019</v>
      </c>
      <c r="D101" s="1062">
        <f t="shared" si="59"/>
        <v>0.98327052770116996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53">
        <f t="shared" si="62"/>
        <v>0.6428571428571429</v>
      </c>
      <c r="J101" s="746">
        <f t="shared" si="63"/>
        <v>53.824443513913344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55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53">
        <f t="shared" si="67"/>
        <v>0.17857142857142858</v>
      </c>
      <c r="AT101" s="769">
        <f t="shared" si="68"/>
        <v>53.923797649066543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53">
        <f t="shared" si="72"/>
        <v>0.6785714285714286</v>
      </c>
      <c r="AY101" s="769">
        <f t="shared" si="73"/>
        <v>53.632159038034402</v>
      </c>
      <c r="AZ101" s="746">
        <f t="shared" si="77"/>
        <v>53.777978343550473</v>
      </c>
      <c r="BA101" s="643">
        <f t="shared" si="74"/>
        <v>0.98327052770116996</v>
      </c>
      <c r="BC101" s="11">
        <v>43187</v>
      </c>
      <c r="BD101" s="290">
        <f>[2]!FeuilCaduc*(1-Persistant)+Persistant</f>
        <v>0.6114525240608456</v>
      </c>
      <c r="BE101" s="291">
        <f>[2]!CroissVégét</f>
        <v>4.4289656039802887E-2</v>
      </c>
      <c r="BF101" s="816">
        <f>1+[2]!Salcycl*Ksac</f>
        <v>1.0014315655076058</v>
      </c>
      <c r="BH101" s="1053">
        <f t="shared" si="75"/>
        <v>4.5366508840290577E-6</v>
      </c>
      <c r="BI101" s="11">
        <v>44283</v>
      </c>
      <c r="BJ101" s="726">
        <v>1.8870075995178436E-6</v>
      </c>
      <c r="BK101" s="726">
        <v>2.4366046637209328E-6</v>
      </c>
      <c r="BL101" s="726">
        <v>2.890548577958284E-6</v>
      </c>
      <c r="BM101" s="726">
        <v>4.5409595942651518E-6</v>
      </c>
      <c r="BN101" s="726">
        <v>1.3221462123763641E-5</v>
      </c>
      <c r="BO101" s="727">
        <v>5.1808786560946152E-5</v>
      </c>
      <c r="BP101" s="726">
        <v>2.8161354790775649E-4</v>
      </c>
      <c r="BQ101" s="726">
        <v>1.3395170810359483E-3</v>
      </c>
      <c r="BR101" s="726">
        <v>3.9578016519555411E-3</v>
      </c>
      <c r="BS101" s="726">
        <v>9.6855310590476529E-3</v>
      </c>
      <c r="BT101" s="726">
        <v>1.7880100564771073E-2</v>
      </c>
      <c r="BW101" s="1186">
        <f>'2018'!R\Max</f>
        <v>0</v>
      </c>
      <c r="BX101" s="1184">
        <f>'2019'!R\Max</f>
        <v>0.98327052770116996</v>
      </c>
      <c r="BY101" s="1184">
        <f>'2020'!R\Max</f>
        <v>0.92962681514530721</v>
      </c>
      <c r="BZ101" s="1184">
        <f>'2021'!R\Max</f>
        <v>0.96105908205079571</v>
      </c>
      <c r="CA101" s="1184">
        <f>'2022'!R\Max</f>
        <v>0.71123636871823726</v>
      </c>
      <c r="CB101" s="1184">
        <f>'2023'!R\Max</f>
        <v>0.71123464532163283</v>
      </c>
      <c r="CC101" s="1184">
        <f>'2024'!R\Max</f>
        <v>0.71123267929288336</v>
      </c>
      <c r="CD101" s="1184">
        <f>'2025'!R\Max</f>
        <v>0.71122474544087888</v>
      </c>
      <c r="CE101" s="1184">
        <f>'2026'!R\Max</f>
        <v>0.71123708061571056</v>
      </c>
      <c r="CF101" s="1185">
        <f>'2027'!R\Max</f>
        <v>0.71123701551759766</v>
      </c>
    </row>
    <row r="102" spans="1:84" s="6" customFormat="1" ht="11.25" x14ac:dyDescent="0.2">
      <c r="A102" s="11">
        <v>43188</v>
      </c>
      <c r="B102" s="380">
        <f>'2022'!Maxi_hp</f>
        <v>54.418783965233558</v>
      </c>
      <c r="C102" s="13">
        <f>'2022'!An_max</f>
        <v>2021</v>
      </c>
      <c r="D102" s="1062">
        <f t="shared" si="59"/>
        <v>1.0045600504075045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53">
        <f t="shared" si="62"/>
        <v>0.7142857142857143</v>
      </c>
      <c r="J102" s="746">
        <f t="shared" si="63"/>
        <v>54.171758018008305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55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53">
        <f t="shared" si="67"/>
        <v>0.14285714285714285</v>
      </c>
      <c r="AT102" s="769">
        <f t="shared" si="68"/>
        <v>54.25220757891325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53">
        <f t="shared" si="72"/>
        <v>0.6428571428571429</v>
      </c>
      <c r="AY102" s="769">
        <f t="shared" si="73"/>
        <v>53.968486880537661</v>
      </c>
      <c r="AZ102" s="746">
        <f t="shared" si="77"/>
        <v>54.110347229725456</v>
      </c>
      <c r="BA102" s="643">
        <f t="shared" si="74"/>
        <v>1.0045600504075045</v>
      </c>
      <c r="BC102" s="11">
        <v>43188</v>
      </c>
      <c r="BD102" s="290">
        <f>[2]!FeuilCaduc*(1-Persistant)+Persistant</f>
        <v>0.61231956617540229</v>
      </c>
      <c r="BE102" s="291">
        <f>[2]!CroissVégét</f>
        <v>4.6115220608575654E-2</v>
      </c>
      <c r="BF102" s="816">
        <f>1+[2]!Salcycl*Ksac</f>
        <v>1.0015399457719254</v>
      </c>
      <c r="BH102" s="1053">
        <f t="shared" si="75"/>
        <v>5.54729395648196E-6</v>
      </c>
      <c r="BI102" s="11">
        <v>44284</v>
      </c>
      <c r="BJ102" s="726">
        <v>2.0423997207430079E-6</v>
      </c>
      <c r="BK102" s="726">
        <v>3.029431581962472E-6</v>
      </c>
      <c r="BL102" s="726">
        <v>3.8171675272874458E-6</v>
      </c>
      <c r="BM102" s="726">
        <v>5.5518226017719368E-6</v>
      </c>
      <c r="BN102" s="726">
        <v>1.3324950667797769E-5</v>
      </c>
      <c r="BO102" s="727">
        <v>4.6319202480449808E-5</v>
      </c>
      <c r="BP102" s="726">
        <v>2.4549795936359357E-4</v>
      </c>
      <c r="BQ102" s="726">
        <v>1.1432917633176303E-3</v>
      </c>
      <c r="BR102" s="726">
        <v>3.4801722073885179E-3</v>
      </c>
      <c r="BS102" s="726">
        <v>8.7954584266492653E-3</v>
      </c>
      <c r="BT102" s="726">
        <v>1.6551853061424131E-2</v>
      </c>
      <c r="BW102" s="1186">
        <f>'2018'!R\Max</f>
        <v>0</v>
      </c>
      <c r="BX102" s="1184">
        <f>'2019'!R\Max</f>
        <v>1.0035988550938348</v>
      </c>
      <c r="BY102" s="1184">
        <f>'2020'!R\Max</f>
        <v>0.94111145586112877</v>
      </c>
      <c r="BZ102" s="1184">
        <f>'2021'!R\Max</f>
        <v>1.0045600504075045</v>
      </c>
      <c r="CA102" s="1184">
        <f>'2022'!R\Max</f>
        <v>0.55662664308560272</v>
      </c>
      <c r="CB102" s="1184">
        <f>'2023'!R\Max</f>
        <v>0.556624857142617</v>
      </c>
      <c r="CC102" s="1184">
        <f>'2024'!R\Max</f>
        <v>0.55662281503191768</v>
      </c>
      <c r="CD102" s="1184">
        <f>'2025'!R\Max</f>
        <v>0.5566147648172195</v>
      </c>
      <c r="CE102" s="1184">
        <f>'2026'!R\Max</f>
        <v>0.55662737813592467</v>
      </c>
      <c r="CF102" s="1185">
        <f>'2027'!R\Max</f>
        <v>0.55662730843814301</v>
      </c>
    </row>
    <row r="103" spans="1:84" s="6" customFormat="1" ht="11.25" x14ac:dyDescent="0.2">
      <c r="A103" s="11">
        <v>43189</v>
      </c>
      <c r="B103" s="380">
        <f>'2022'!Maxi_hp</f>
        <v>55.483183570295765</v>
      </c>
      <c r="C103" s="13">
        <f>'2022'!An_max</f>
        <v>2019</v>
      </c>
      <c r="D103" s="1062">
        <f t="shared" si="59"/>
        <v>1.0178095263278013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53">
        <f t="shared" si="62"/>
        <v>0.7857142857142857</v>
      </c>
      <c r="J103" s="746">
        <f t="shared" si="63"/>
        <v>54.512344535107594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55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53">
        <f t="shared" si="67"/>
        <v>0.10714285714285714</v>
      </c>
      <c r="AT103" s="769">
        <f t="shared" si="68"/>
        <v>54.572869586964124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53">
        <f t="shared" si="72"/>
        <v>0.6071428571428571</v>
      </c>
      <c r="AY103" s="769">
        <f t="shared" si="73"/>
        <v>54.302524344290475</v>
      </c>
      <c r="AZ103" s="746">
        <f t="shared" si="77"/>
        <v>54.437696965627296</v>
      </c>
      <c r="BA103" s="643">
        <f t="shared" si="74"/>
        <v>1.0178095263278013</v>
      </c>
      <c r="BC103" s="11">
        <v>43189</v>
      </c>
      <c r="BD103" s="290">
        <f>[2]!FeuilCaduc*(1-Persistant)+Persistant</f>
        <v>0.61325436630966779</v>
      </c>
      <c r="BE103" s="291">
        <f>[2]!CroissVégét</f>
        <v>4.8009969311812332E-2</v>
      </c>
      <c r="BF103" s="816">
        <f>1+[2]!Salcycl*Ksac</f>
        <v>1.0016567957887086</v>
      </c>
      <c r="BH103" s="1053">
        <f t="shared" si="75"/>
        <v>6.9314388857919044E-6</v>
      </c>
      <c r="BI103" s="11">
        <v>44285</v>
      </c>
      <c r="BJ103" s="726">
        <v>2.2500246802738655E-6</v>
      </c>
      <c r="BK103" s="726">
        <v>3.811948384881769E-6</v>
      </c>
      <c r="BL103" s="726">
        <v>5.0358059486780805E-6</v>
      </c>
      <c r="BM103" s="726">
        <v>6.9364007481317458E-6</v>
      </c>
      <c r="BN103" s="726">
        <v>1.3991409529674783E-5</v>
      </c>
      <c r="BO103" s="727">
        <v>4.2090831811886757E-5</v>
      </c>
      <c r="BP103" s="726">
        <v>2.135728001372422E-4</v>
      </c>
      <c r="BQ103" s="726">
        <v>9.6919544607577826E-4</v>
      </c>
      <c r="BR103" s="726">
        <v>3.0456763847338583E-3</v>
      </c>
      <c r="BS103" s="726">
        <v>7.9542102127103959E-3</v>
      </c>
      <c r="BT103" s="726">
        <v>1.5249938848705255E-2</v>
      </c>
      <c r="BW103" s="1186">
        <f>'2018'!R\Max</f>
        <v>0</v>
      </c>
      <c r="BX103" s="1184">
        <f>'2019'!R\Max</f>
        <v>1.0178095263278013</v>
      </c>
      <c r="BY103" s="1184">
        <f>'2020'!R\Max</f>
        <v>0.57451722215108225</v>
      </c>
      <c r="BZ103" s="1184">
        <f>'2021'!R\Max</f>
        <v>0.93296777481809634</v>
      </c>
      <c r="CA103" s="1184">
        <f>'2022'!R\Max</f>
        <v>0.15557108225992797</v>
      </c>
      <c r="CB103" s="1184">
        <f>'2023'!R\Max</f>
        <v>0.1555704069915306</v>
      </c>
      <c r="CC103" s="1184">
        <f>'2024'!R\Max</f>
        <v>0.15556963330071691</v>
      </c>
      <c r="CD103" s="1184">
        <f>'2025'!R\Max</f>
        <v>0.15556665778032774</v>
      </c>
      <c r="CE103" s="1184">
        <f>'2026'!R\Max</f>
        <v>0.15557136043651876</v>
      </c>
      <c r="CF103" s="1185">
        <f>'2027'!R\Max</f>
        <v>0.15557133265502945</v>
      </c>
    </row>
    <row r="104" spans="1:84" s="6" customFormat="1" ht="11.25" x14ac:dyDescent="0.2">
      <c r="A104" s="11">
        <v>43190</v>
      </c>
      <c r="B104" s="380">
        <f>'2022'!Maxi_hp</f>
        <v>49.250450204262727</v>
      </c>
      <c r="C104" s="13">
        <f>'2022'!An_max</f>
        <v>2021</v>
      </c>
      <c r="D104" s="1062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53">
        <f t="shared" si="62"/>
        <v>0.8571428571428571</v>
      </c>
      <c r="J104" s="746">
        <f t="shared" si="63"/>
        <v>54.845129448494745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55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53">
        <f t="shared" si="67"/>
        <v>7.1428571428571425E-2</v>
      </c>
      <c r="AT104" s="769">
        <f t="shared" si="68"/>
        <v>54.885246865072986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53">
        <f t="shared" si="72"/>
        <v>0.5714285714285714</v>
      </c>
      <c r="AY104" s="769">
        <f t="shared" si="73"/>
        <v>54.633841982483865</v>
      </c>
      <c r="AZ104" s="746">
        <f t="shared" si="77"/>
        <v>54.759544423778422</v>
      </c>
      <c r="BA104" s="643">
        <f t="shared" si="74"/>
        <v>0.8979913202778379</v>
      </c>
      <c r="BC104" s="11">
        <v>43190</v>
      </c>
      <c r="BD104" s="290">
        <f>[2]!FeuilCaduc*(1-Persistant)+Persistant</f>
        <v>0.6142598660069285</v>
      </c>
      <c r="BE104" s="291">
        <f>[2]!CroissVégét</f>
        <v>4.9976218279140845E-2</v>
      </c>
      <c r="BF104" s="816">
        <f>1+[2]!Salcycl*Ksac</f>
        <v>1.0017824832508662</v>
      </c>
      <c r="BH104" s="1053">
        <f t="shared" si="75"/>
        <v>8.6890059020998666E-6</v>
      </c>
      <c r="BI104" s="11">
        <v>44286</v>
      </c>
      <c r="BJ104" s="726">
        <v>2.5098707957407201E-6</v>
      </c>
      <c r="BK104" s="726">
        <v>4.7841138141879473E-6</v>
      </c>
      <c r="BL104" s="726">
        <v>6.5464004797321052E-6</v>
      </c>
      <c r="BM104" s="726">
        <v>8.6946142205386529E-6</v>
      </c>
      <c r="BN104" s="726">
        <v>1.5220728970359282E-5</v>
      </c>
      <c r="BO104" s="727">
        <v>3.9123472140562139E-5</v>
      </c>
      <c r="BP104" s="726">
        <v>1.8583752049331078E-4</v>
      </c>
      <c r="BQ104" s="726">
        <v>8.1722532234769583E-4</v>
      </c>
      <c r="BR104" s="726">
        <v>2.6543091206714248E-3</v>
      </c>
      <c r="BS104" s="726">
        <v>7.1617821007807546E-3</v>
      </c>
      <c r="BT104" s="726">
        <v>1.3974359026457739E-2</v>
      </c>
      <c r="BW104" s="1186">
        <f>'2018'!R\Max</f>
        <v>0</v>
      </c>
      <c r="BX104" s="1184">
        <f>'2019'!R\Max</f>
        <v>0.8636647967149037</v>
      </c>
      <c r="BY104" s="1184">
        <f>'2020'!R\Max</f>
        <v>0.3381805949830497</v>
      </c>
      <c r="BZ104" s="1184">
        <f>'2021'!R\Max</f>
        <v>0.8979913202778379</v>
      </c>
      <c r="CA104" s="1184">
        <f>'2022'!R\Max</f>
        <v>0.56354069238860038</v>
      </c>
      <c r="CB104" s="1184">
        <f>'2023'!R\Max</f>
        <v>0.56353939329556813</v>
      </c>
      <c r="CC104" s="1184">
        <f>'2024'!R\Max</f>
        <v>0.56353790213269361</v>
      </c>
      <c r="CD104" s="1184">
        <f>'2025'!R\Max</f>
        <v>0.56354128949693427</v>
      </c>
      <c r="CE104" s="1184">
        <f>'2026'!R\Max</f>
        <v>0.56354123191340566</v>
      </c>
      <c r="CF104" s="1185">
        <f>'2027'!R\Max</f>
        <v>0.56354117412746607</v>
      </c>
    </row>
    <row r="105" spans="1:84" s="6" customFormat="1" ht="11.25" x14ac:dyDescent="0.2">
      <c r="A105" s="11">
        <v>43191</v>
      </c>
      <c r="B105" s="380">
        <f>'2022'!Maxi_hp</f>
        <v>50.405835504746996</v>
      </c>
      <c r="C105" s="13">
        <f>'2022'!An_max</f>
        <v>2021</v>
      </c>
      <c r="D105" s="1062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53">
        <f t="shared" si="62"/>
        <v>0.9285714285714286</v>
      </c>
      <c r="J105" s="746">
        <f t="shared" si="63"/>
        <v>55.169039141692757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55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53">
        <f t="shared" si="67"/>
        <v>3.5714285714285712E-2</v>
      </c>
      <c r="AT105" s="769">
        <f t="shared" si="68"/>
        <v>55.18880260498387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53">
        <f t="shared" si="72"/>
        <v>0.5357142857142857</v>
      </c>
      <c r="AY105" s="769">
        <f t="shared" si="73"/>
        <v>54.962010349812246</v>
      </c>
      <c r="AZ105" s="746">
        <f t="shared" si="77"/>
        <v>55.075406477398062</v>
      </c>
      <c r="BA105" s="643">
        <f t="shared" si="74"/>
        <v>0.91366165314729808</v>
      </c>
      <c r="BC105" s="11">
        <v>43191</v>
      </c>
      <c r="BD105" s="290">
        <f>[2]!FeuilCaduc*(1-Persistant)+Persistant</f>
        <v>0.61533895731289323</v>
      </c>
      <c r="BE105" s="291">
        <f>[2]!CroissVégét</f>
        <v>5.201633641771132E-2</v>
      </c>
      <c r="BF105" s="816">
        <f>1+[2]!Salcycl*Ksac</f>
        <v>1.0019173696641117</v>
      </c>
      <c r="BH105" s="1053">
        <f t="shared" si="75"/>
        <v>1.0819906633120425E-5</v>
      </c>
      <c r="BI105" s="11">
        <v>44287</v>
      </c>
      <c r="BJ105" s="726">
        <v>2.8219251635479807E-6</v>
      </c>
      <c r="BK105" s="726">
        <v>5.9458821405108203E-6</v>
      </c>
      <c r="BL105" s="726">
        <v>8.3488808571613108E-6</v>
      </c>
      <c r="BM105" s="726">
        <v>1.0826374599306524E-5</v>
      </c>
      <c r="BN105" s="726">
        <v>1.7012788107099975E-5</v>
      </c>
      <c r="BO105" s="727">
        <v>3.7416903431241162E-5</v>
      </c>
      <c r="BP105" s="726">
        <v>1.6229153509405826E-4</v>
      </c>
      <c r="BQ105" s="726">
        <v>6.8737840424751891E-4</v>
      </c>
      <c r="BR105" s="726">
        <v>2.3060651212473918E-3</v>
      </c>
      <c r="BS105" s="726">
        <v>6.4181699614241847E-3</v>
      </c>
      <c r="BT105" s="726">
        <v>1.2725115883034335E-2</v>
      </c>
      <c r="BW105" s="1186">
        <f>'2018'!R\Max</f>
        <v>0</v>
      </c>
      <c r="BX105" s="1184">
        <f>'2019'!R\Max</f>
        <v>0.73715034037342542</v>
      </c>
      <c r="BY105" s="1184">
        <f>'2020'!R\Max</f>
        <v>0.8213741418812629</v>
      </c>
      <c r="BZ105" s="1184">
        <f>'2021'!R\Max</f>
        <v>0.91366165314729808</v>
      </c>
      <c r="CA105" s="1184">
        <f>'2022'!R\Max</f>
        <v>0.61314012310856392</v>
      </c>
      <c r="CB105" s="1184">
        <f>'2023'!R\Max</f>
        <v>0.61313906118801509</v>
      </c>
      <c r="CC105" s="1184">
        <f>'2024'!R\Max</f>
        <v>0.61313784000673732</v>
      </c>
      <c r="CD105" s="1184">
        <f>'2025'!R\Max</f>
        <v>0.61314062511253997</v>
      </c>
      <c r="CE105" s="1184">
        <f>'2026'!R\Max</f>
        <v>0.61314057260441679</v>
      </c>
      <c r="CF105" s="1185">
        <f>'2027'!R\Max</f>
        <v>0.61314051999594865</v>
      </c>
    </row>
    <row r="106" spans="1:84" s="6" customFormat="1" ht="11.25" x14ac:dyDescent="0.2">
      <c r="A106" s="11">
        <v>43192</v>
      </c>
      <c r="B106" s="380">
        <f>'2022'!Maxi_hp</f>
        <v>45.758995612636852</v>
      </c>
      <c r="C106" s="13">
        <f>'2022'!An_max</f>
        <v>2021</v>
      </c>
      <c r="D106" s="1062" t="str">
        <f t="shared" si="59"/>
        <v/>
      </c>
      <c r="E106" s="1057">
        <f>T$13/10</f>
        <v>55.483000000000004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53">
        <f t="shared" si="62"/>
        <v>1</v>
      </c>
      <c r="J106" s="746">
        <f t="shared" si="63"/>
        <v>55.483000002056357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55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53">
        <f t="shared" si="67"/>
        <v>0</v>
      </c>
      <c r="AT106" s="769">
        <f t="shared" si="68"/>
        <v>55.482999999076128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53">
        <f t="shared" si="72"/>
        <v>0.5</v>
      </c>
      <c r="AY106" s="769">
        <f t="shared" si="73"/>
        <v>55.286600000411269</v>
      </c>
      <c r="AZ106" s="746">
        <f t="shared" si="77"/>
        <v>55.384799999743699</v>
      </c>
      <c r="BA106" s="643">
        <f t="shared" si="74"/>
        <v>0.82473903017033856</v>
      </c>
      <c r="BC106" s="11">
        <v>43192</v>
      </c>
      <c r="BD106" s="290">
        <f>[2]!FeuilCaduc*(1-Persistant)+Persistant</f>
        <v>0.61649447616572062</v>
      </c>
      <c r="BE106" s="291">
        <f>[2]!CroissVégét</f>
        <v>5.4132744516590045E-2</v>
      </c>
      <c r="BF106" s="816">
        <f>1+[2]!Salcycl*Ksac</f>
        <v>1.002061809520715</v>
      </c>
      <c r="BH106" s="1053">
        <f t="shared" si="75"/>
        <v>1.3324042906717133E-5</v>
      </c>
      <c r="BI106" s="11">
        <v>44288</v>
      </c>
      <c r="BJ106" s="726">
        <v>3.1861734914057933E-6</v>
      </c>
      <c r="BK106" s="726">
        <v>7.2972025552359286E-6</v>
      </c>
      <c r="BL106" s="726">
        <v>1.0443168980543469E-5</v>
      </c>
      <c r="BM106" s="726">
        <v>1.3331583659760745E-5</v>
      </c>
      <c r="BN106" s="726">
        <v>1.9367453109071533E-5</v>
      </c>
      <c r="BO106" s="727">
        <v>3.6970883987875101E-5</v>
      </c>
      <c r="BP106" s="726">
        <v>1.4293420958143153E-4</v>
      </c>
      <c r="BQ106" s="726">
        <v>5.7965145211103008E-4</v>
      </c>
      <c r="BR106" s="726">
        <v>2.0009387237912585E-3</v>
      </c>
      <c r="BS106" s="726">
        <v>5.7233696960161395E-3</v>
      </c>
      <c r="BT106" s="726">
        <v>1.1502212811288522E-2</v>
      </c>
      <c r="BW106" s="1186">
        <f>'2018'!R\Max</f>
        <v>0</v>
      </c>
      <c r="BX106" s="1184">
        <f>'2019'!R\Max</f>
        <v>0.28110276222134556</v>
      </c>
      <c r="BY106" s="1184">
        <f>'2020'!R\Max</f>
        <v>0.77648733838680328</v>
      </c>
      <c r="BZ106" s="1184">
        <f>'2021'!R\Max</f>
        <v>0.82473903017033856</v>
      </c>
      <c r="CA106" s="1184">
        <f>'2022'!R\Max</f>
        <v>0.41566633826013211</v>
      </c>
      <c r="CB106" s="1184">
        <f>'2023'!R\Max</f>
        <v>0.41566541904847887</v>
      </c>
      <c r="CC106" s="1184">
        <f>'2024'!R\Max</f>
        <v>0.41566435950065361</v>
      </c>
      <c r="CD106" s="1184">
        <f>'2025'!R\Max</f>
        <v>0.41566679337876317</v>
      </c>
      <c r="CE106" s="1184">
        <f>'2026'!R\Max</f>
        <v>0.41566674104786477</v>
      </c>
      <c r="CF106" s="1185">
        <f>'2027'!R\Max</f>
        <v>0.41566668868788936</v>
      </c>
    </row>
    <row r="107" spans="1:84" s="6" customFormat="1" ht="11.25" x14ac:dyDescent="0.2">
      <c r="A107" s="11">
        <v>43193</v>
      </c>
      <c r="B107" s="380">
        <f>'2022'!Maxi_hp</f>
        <v>53.35954700357199</v>
      </c>
      <c r="C107" s="13">
        <f>'2022'!An_max</f>
        <v>2021</v>
      </c>
      <c r="D107" s="1062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53">
        <f t="shared" si="62"/>
        <v>0.9285714285714286</v>
      </c>
      <c r="J107" s="746">
        <f t="shared" si="63"/>
        <v>55.788855067214797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55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53">
        <f t="shared" si="67"/>
        <v>3.5714285714285712E-2</v>
      </c>
      <c r="AT107" s="769">
        <f t="shared" si="68"/>
        <v>55.770077983130307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53">
        <f t="shared" si="72"/>
        <v>0.4642857142857143</v>
      </c>
      <c r="AY107" s="769">
        <f t="shared" si="73"/>
        <v>55.607181486753483</v>
      </c>
      <c r="AZ107" s="746">
        <f t="shared" si="77"/>
        <v>55.688629734941898</v>
      </c>
      <c r="BA107" s="643">
        <f t="shared" si="74"/>
        <v>0.9564553160175816</v>
      </c>
      <c r="BC107" s="11">
        <v>43193</v>
      </c>
      <c r="BD107" s="290">
        <f>[2]!FeuilCaduc*(1-Persistant)+Persistant</f>
        <v>0.61772919610771782</v>
      </c>
      <c r="BE107" s="291">
        <f>[2]!CroissVégét</f>
        <v>5.6327914126217182E-2</v>
      </c>
      <c r="BF107" s="816">
        <f>1+[2]!Salcycl*Ksac</f>
        <v>1.0022161495134647</v>
      </c>
      <c r="BH107" s="1053">
        <f t="shared" si="75"/>
        <v>1.6201305553465413E-5</v>
      </c>
      <c r="BI107" s="11">
        <v>44289</v>
      </c>
      <c r="BJ107" s="726">
        <v>3.6025999308565536E-6</v>
      </c>
      <c r="BK107" s="726">
        <v>8.8380185623326562E-6</v>
      </c>
      <c r="BL107" s="726">
        <v>1.2829177976070068E-5</v>
      </c>
      <c r="BM107" s="726">
        <v>1.6210132174117451E-5</v>
      </c>
      <c r="BN107" s="726">
        <v>2.22845753929844E-5</v>
      </c>
      <c r="BO107" s="727">
        <v>3.7785146413211313E-5</v>
      </c>
      <c r="BP107" s="726">
        <v>1.2776484715847563E-4</v>
      </c>
      <c r="BQ107" s="726">
        <v>4.9404090363756642E-4</v>
      </c>
      <c r="BR107" s="726">
        <v>1.7389237588238498E-3</v>
      </c>
      <c r="BS107" s="726">
        <v>5.0773770805180342E-3</v>
      </c>
      <c r="BT107" s="726">
        <v>1.030565422452181E-2</v>
      </c>
      <c r="BW107" s="1186">
        <f>'2018'!R\Max</f>
        <v>0</v>
      </c>
      <c r="BX107" s="1184">
        <f>'2019'!R\Max</f>
        <v>0.28644532235085796</v>
      </c>
      <c r="BY107" s="1184">
        <f>'2020'!R\Max</f>
        <v>0.512557427236639</v>
      </c>
      <c r="BZ107" s="1184">
        <f>'2021'!R\Max</f>
        <v>0.9564553160175816</v>
      </c>
      <c r="CA107" s="1184">
        <f>'2022'!R\Max</f>
        <v>0.4478922472851723</v>
      </c>
      <c r="CB107" s="1184">
        <f>'2023'!R\Max</f>
        <v>0.4478914553720737</v>
      </c>
      <c r="CC107" s="1184">
        <f>'2024'!R\Max</f>
        <v>0.44789053918505067</v>
      </c>
      <c r="CD107" s="1184">
        <f>'2025'!R\Max</f>
        <v>0.44789266746018941</v>
      </c>
      <c r="CE107" s="1184">
        <f>'2026'!R\Max</f>
        <v>0.44789261399894681</v>
      </c>
      <c r="CF107" s="1185">
        <f>'2027'!R\Max</f>
        <v>0.44789256044395603</v>
      </c>
    </row>
    <row r="108" spans="1:84" s="6" customFormat="1" ht="11.25" x14ac:dyDescent="0.2">
      <c r="A108" s="11">
        <v>43194</v>
      </c>
      <c r="B108" s="380">
        <f>'2022'!Maxi_hp</f>
        <v>56.536713073450201</v>
      </c>
      <c r="C108" s="13">
        <f>'2022'!An_max</f>
        <v>2020</v>
      </c>
      <c r="D108" s="1062">
        <f t="shared" si="59"/>
        <v>1.00798054514934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53">
        <f t="shared" si="62"/>
        <v>0.8571428571428571</v>
      </c>
      <c r="J108" s="746">
        <f t="shared" si="63"/>
        <v>56.089091545982022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55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53">
        <f t="shared" si="67"/>
        <v>7.1428571428571425E-2</v>
      </c>
      <c r="AT108" s="769">
        <f t="shared" si="68"/>
        <v>56.052606522611214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53">
        <f t="shared" si="72"/>
        <v>0.42857142857142855</v>
      </c>
      <c r="AY108" s="769">
        <f t="shared" si="73"/>
        <v>55.923325364291671</v>
      </c>
      <c r="AZ108" s="746">
        <f t="shared" si="77"/>
        <v>55.987965943451442</v>
      </c>
      <c r="BA108" s="643">
        <f t="shared" si="74"/>
        <v>1.00798054514934</v>
      </c>
      <c r="BC108" s="11">
        <v>43194</v>
      </c>
      <c r="BD108" s="290">
        <f>[2]!FeuilCaduc*(1-Persistant)+Persistant</f>
        <v>0.6190458222951799</v>
      </c>
      <c r="BE108" s="291">
        <f>[2]!CroissVégét</f>
        <v>5.8604366195922526E-2</v>
      </c>
      <c r="BF108" s="816">
        <f>1+[2]!Salcycl*Ksac</f>
        <v>1.0023807277868975</v>
      </c>
      <c r="BH108" s="1053">
        <f t="shared" si="75"/>
        <v>2.0397145009507367E-5</v>
      </c>
      <c r="BI108" s="11">
        <v>44290</v>
      </c>
      <c r="BJ108" s="726">
        <v>4.0475639076281305E-6</v>
      </c>
      <c r="BK108" s="726">
        <v>1.0939560548612132E-5</v>
      </c>
      <c r="BL108" s="726">
        <v>1.6196822198825576E-5</v>
      </c>
      <c r="BM108" s="726">
        <v>2.0408139450024545E-5</v>
      </c>
      <c r="BN108" s="726">
        <v>2.6925553544207701E-5</v>
      </c>
      <c r="BO108" s="727">
        <v>4.1318004235136161E-5</v>
      </c>
      <c r="BP108" s="726">
        <v>1.1914664540108039E-4</v>
      </c>
      <c r="BQ108" s="726">
        <v>4.3544690262205081E-4</v>
      </c>
      <c r="BR108" s="726">
        <v>1.5308267629097483E-3</v>
      </c>
      <c r="BS108" s="726">
        <v>4.5074347677844058E-3</v>
      </c>
      <c r="BT108" s="726">
        <v>9.1886034005128122E-3</v>
      </c>
      <c r="BW108" s="1186">
        <f>'2018'!R\Max</f>
        <v>0</v>
      </c>
      <c r="BX108" s="1184">
        <f>'2019'!R\Max</f>
        <v>0.72618725930877093</v>
      </c>
      <c r="BY108" s="1184">
        <f>'2020'!R\Max</f>
        <v>1.00798054514934</v>
      </c>
      <c r="BZ108" s="1184">
        <f>'2021'!R\Max</f>
        <v>0.95410468673874793</v>
      </c>
      <c r="CA108" s="1184">
        <f>'2022'!R\Max</f>
        <v>0.93697065683747849</v>
      </c>
      <c r="CB108" s="1184">
        <f>'2023'!R\Max</f>
        <v>0.93697049378099617</v>
      </c>
      <c r="CC108" s="1184">
        <f>'2024'!R\Max</f>
        <v>0.9369703040533206</v>
      </c>
      <c r="CD108" s="1184">
        <f>'2025'!R\Max</f>
        <v>0.93697075311032518</v>
      </c>
      <c r="CE108" s="1184">
        <f>'2026'!R\Max</f>
        <v>0.93697073945593412</v>
      </c>
      <c r="CF108" s="1185">
        <f>'2027'!R\Max</f>
        <v>0.93697072574533702</v>
      </c>
    </row>
    <row r="109" spans="1:84" s="6" customFormat="1" ht="11.25" x14ac:dyDescent="0.2">
      <c r="A109" s="11">
        <v>43195</v>
      </c>
      <c r="B109" s="380">
        <f>'2022'!Maxi_hp</f>
        <v>58.623693621493487</v>
      </c>
      <c r="C109" s="13">
        <f>'2022'!An_max</f>
        <v>2020</v>
      </c>
      <c r="D109" s="1062">
        <f t="shared" si="59"/>
        <v>1.0397294862542357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53">
        <f t="shared" si="62"/>
        <v>0.7857142857142857</v>
      </c>
      <c r="J109" s="746">
        <f t="shared" si="63"/>
        <v>56.383602077780026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55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53">
        <f t="shared" si="67"/>
        <v>0.10714285714285714</v>
      </c>
      <c r="AT109" s="769">
        <f t="shared" si="68"/>
        <v>56.33054535758815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53">
        <f t="shared" si="72"/>
        <v>0.39285714285714285</v>
      </c>
      <c r="AY109" s="769">
        <f t="shared" si="73"/>
        <v>56.23460218709495</v>
      </c>
      <c r="AZ109" s="746">
        <f t="shared" si="77"/>
        <v>56.28257377234155</v>
      </c>
      <c r="BA109" s="643">
        <f t="shared" si="74"/>
        <v>1.0397294862542357</v>
      </c>
      <c r="BC109" s="11">
        <v>43195</v>
      </c>
      <c r="BD109" s="290">
        <f>[2]!FeuilCaduc*(1-Persistant)+Persistant</f>
        <v>0.62044698577760438</v>
      </c>
      <c r="BE109" s="291">
        <f>[2]!CroissVégét</f>
        <v>6.0964669451959982E-2</v>
      </c>
      <c r="BF109" s="816">
        <f>1+[2]!Salcycl*Ksac</f>
        <v>1.0025558732222006</v>
      </c>
      <c r="BH109" s="1053">
        <f t="shared" si="75"/>
        <v>2.5883971358557922E-5</v>
      </c>
      <c r="BI109" s="11">
        <v>44291</v>
      </c>
      <c r="BJ109" s="726">
        <v>4.5139399882024306E-6</v>
      </c>
      <c r="BK109" s="726">
        <v>1.3590406506443399E-5</v>
      </c>
      <c r="BL109" s="726">
        <v>2.0530118216752669E-5</v>
      </c>
      <c r="BM109" s="726">
        <v>2.5897985190960421E-5</v>
      </c>
      <c r="BN109" s="726">
        <v>3.318517416544353E-5</v>
      </c>
      <c r="BO109" s="727">
        <v>4.7070729046521112E-5</v>
      </c>
      <c r="BP109" s="726">
        <v>1.1512043464372332E-4</v>
      </c>
      <c r="BQ109" s="726">
        <v>3.886733909455405E-4</v>
      </c>
      <c r="BR109" s="726">
        <v>1.352206176897438E-3</v>
      </c>
      <c r="BS109" s="726">
        <v>3.999074201681275E-3</v>
      </c>
      <c r="BT109" s="726">
        <v>8.1765518372754302E-3</v>
      </c>
      <c r="BW109" s="1186">
        <f>'2018'!R\Max</f>
        <v>0</v>
      </c>
      <c r="BX109" s="1184">
        <f>'2019'!R\Max</f>
        <v>0.93794388993105027</v>
      </c>
      <c r="BY109" s="1184">
        <f>'2020'!R\Max</f>
        <v>1.0397294862542357</v>
      </c>
      <c r="BZ109" s="1184">
        <f>'2021'!R\Max</f>
        <v>0.91364494332677071</v>
      </c>
      <c r="CA109" s="1184">
        <f>'2022'!R\Max</f>
        <v>0.99080733875368621</v>
      </c>
      <c r="CB109" s="1184">
        <f>'2023'!R\Max</f>
        <v>0.99080731683098811</v>
      </c>
      <c r="CC109" s="1184">
        <f>'2024'!R\Max</f>
        <v>0.99080729121781119</v>
      </c>
      <c r="CD109" s="1184">
        <f>'2025'!R\Max</f>
        <v>0.99080735360403871</v>
      </c>
      <c r="CE109" s="1184">
        <f>'2026'!R\Max</f>
        <v>0.99080735125642738</v>
      </c>
      <c r="CF109" s="1185">
        <f>'2027'!R\Max</f>
        <v>0.99080734889655719</v>
      </c>
    </row>
    <row r="110" spans="1:84" s="6" customFormat="1" ht="11.25" x14ac:dyDescent="0.2">
      <c r="A110" s="11">
        <v>43196</v>
      </c>
      <c r="B110" s="380">
        <f>'2022'!Maxi_hp</f>
        <v>59.354429100482541</v>
      </c>
      <c r="C110" s="13">
        <f>'2022'!An_max</f>
        <v>2020</v>
      </c>
      <c r="D110" s="1062">
        <f t="shared" si="59"/>
        <v>1.0473273676681727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53">
        <f t="shared" si="62"/>
        <v>0.7142857142857143</v>
      </c>
      <c r="J110" s="746">
        <f t="shared" si="63"/>
        <v>56.67227930139218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55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53">
        <f t="shared" si="67"/>
        <v>0.14285714285714285</v>
      </c>
      <c r="AT110" s="769">
        <f t="shared" si="68"/>
        <v>56.603854226853173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53">
        <f t="shared" si="72"/>
        <v>0.35714285714285715</v>
      </c>
      <c r="AY110" s="769">
        <f t="shared" si="73"/>
        <v>56.540582507449599</v>
      </c>
      <c r="AZ110" s="746">
        <f t="shared" si="77"/>
        <v>56.572218367151386</v>
      </c>
      <c r="BA110" s="643">
        <f t="shared" si="74"/>
        <v>1.0473273676681727</v>
      </c>
      <c r="BC110" s="11">
        <v>43196</v>
      </c>
      <c r="BD110" s="290">
        <f>[2]!FeuilCaduc*(1-Persistant)+Persistant</f>
        <v>0.621935238012983</v>
      </c>
      <c r="BE110" s="291">
        <f>[2]!CroissVégét</f>
        <v>6.3411438498040387E-2</v>
      </c>
      <c r="BF110" s="816">
        <f>1+[2]!Salcycl*Ksac</f>
        <v>1.0027419047516228</v>
      </c>
      <c r="BH110" s="1053">
        <f t="shared" si="75"/>
        <v>3.266138366889569E-5</v>
      </c>
      <c r="BI110" s="11">
        <v>44292</v>
      </c>
      <c r="BJ110" s="726">
        <v>5.0017149538311124E-6</v>
      </c>
      <c r="BK110" s="726">
        <v>1.6790380587539592E-5</v>
      </c>
      <c r="BL110" s="726">
        <v>2.5828762552076544E-5</v>
      </c>
      <c r="BM110" s="726">
        <v>3.2679268210115769E-5</v>
      </c>
      <c r="BN110" s="726">
        <v>4.1062942999756346E-5</v>
      </c>
      <c r="BO110" s="727">
        <v>5.504268211054456E-5</v>
      </c>
      <c r="BP110" s="726">
        <v>1.1568511062408146E-4</v>
      </c>
      <c r="BQ110" s="726">
        <v>3.5371800549560743E-4</v>
      </c>
      <c r="BR110" s="726">
        <v>1.2030568512318384E-3</v>
      </c>
      <c r="BS110" s="726">
        <v>3.552286135569582E-3</v>
      </c>
      <c r="BT110" s="726">
        <v>7.2694853624011421E-3</v>
      </c>
      <c r="BW110" s="1186">
        <f>'2018'!R\Max</f>
        <v>0</v>
      </c>
      <c r="BX110" s="1184">
        <f>'2019'!R\Max</f>
        <v>0.35500211464416287</v>
      </c>
      <c r="BY110" s="1184">
        <f>'2020'!R\Max</f>
        <v>1.0473273676681727</v>
      </c>
      <c r="BZ110" s="1184">
        <f>'2021'!R\Max</f>
        <v>0.60176669259078885</v>
      </c>
      <c r="CA110" s="1184">
        <f>'2022'!R\Max</f>
        <v>0.21596960692520559</v>
      </c>
      <c r="CB110" s="1184">
        <f>'2023'!R\Max</f>
        <v>0.21596928353513917</v>
      </c>
      <c r="CC110" s="1184">
        <f>'2024'!R\Max</f>
        <v>0.21596890509951266</v>
      </c>
      <c r="CD110" s="1184">
        <f>'2025'!R\Max</f>
        <v>0.21596986389227668</v>
      </c>
      <c r="CE110" s="1184">
        <f>'2026'!R\Max</f>
        <v>0.21596981918435171</v>
      </c>
      <c r="CF110" s="1185">
        <f>'2027'!R\Max</f>
        <v>0.21596977423131566</v>
      </c>
    </row>
    <row r="111" spans="1:84" s="6" customFormat="1" ht="11.25" x14ac:dyDescent="0.2">
      <c r="A111" s="11">
        <v>43197</v>
      </c>
      <c r="B111" s="380">
        <f>'2022'!Maxi_hp</f>
        <v>56.351753523847592</v>
      </c>
      <c r="C111" s="13">
        <f>'2022'!An_max</f>
        <v>2021</v>
      </c>
      <c r="D111" s="1062">
        <f t="shared" si="59"/>
        <v>0.98940809127295182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53">
        <f t="shared" si="62"/>
        <v>0.6428571428571429</v>
      </c>
      <c r="J111" s="746">
        <f t="shared" si="63"/>
        <v>56.955015853313469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55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53">
        <f t="shared" si="67"/>
        <v>0.17857142857142858</v>
      </c>
      <c r="AT111" s="769">
        <f t="shared" si="68"/>
        <v>56.87249287063522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53">
        <f t="shared" si="72"/>
        <v>0.32142857142857145</v>
      </c>
      <c r="AY111" s="769">
        <f t="shared" si="73"/>
        <v>56.840836880582252</v>
      </c>
      <c r="AZ111" s="746">
        <f t="shared" si="77"/>
        <v>56.856664875608736</v>
      </c>
      <c r="BA111" s="643">
        <f t="shared" si="74"/>
        <v>0.98940809127295182</v>
      </c>
      <c r="BC111" s="11">
        <v>43197</v>
      </c>
      <c r="BD111" s="290">
        <f>[2]!FeuilCaduc*(1-Persistant)+Persistant</f>
        <v>0.62351304558212872</v>
      </c>
      <c r="BE111" s="291">
        <f>[2]!CroissVégét</f>
        <v>6.5947331619938404E-2</v>
      </c>
      <c r="BF111" s="816">
        <f>1+[2]!Salcycl*Ksac</f>
        <v>1.0029391306977662</v>
      </c>
      <c r="BH111" s="1053">
        <f t="shared" si="75"/>
        <v>4.0728935445133024E-5</v>
      </c>
      <c r="BI111" s="11">
        <v>44293</v>
      </c>
      <c r="BJ111" s="726">
        <v>5.5108743459666878E-6</v>
      </c>
      <c r="BK111" s="726">
        <v>2.0539287149031594E-5</v>
      </c>
      <c r="BL111" s="726">
        <v>3.2092417350397396E-5</v>
      </c>
      <c r="BM111" s="726">
        <v>4.075154172773269E-5</v>
      </c>
      <c r="BN111" s="726">
        <v>5.0558309459829994E-5</v>
      </c>
      <c r="BO111" s="727">
        <v>6.5233151081045329E-5</v>
      </c>
      <c r="BP111" s="726">
        <v>1.2083943730465275E-4</v>
      </c>
      <c r="BQ111" s="726">
        <v>3.3057809078561844E-4</v>
      </c>
      <c r="BR111" s="726">
        <v>1.0833729869495696E-3</v>
      </c>
      <c r="BS111" s="726">
        <v>3.1670601397723133E-3</v>
      </c>
      <c r="BT111" s="726">
        <v>6.4673879729924373E-3</v>
      </c>
      <c r="BW111" s="1186">
        <f>'2018'!R\Max</f>
        <v>0</v>
      </c>
      <c r="BX111" s="1184">
        <f>'2019'!R\Max</f>
        <v>0.62391553287999479</v>
      </c>
      <c r="BY111" s="1184">
        <f>'2020'!R\Max</f>
        <v>0.57096622261074004</v>
      </c>
      <c r="BZ111" s="1184">
        <f>'2021'!R\Max</f>
        <v>0.98940809127295182</v>
      </c>
      <c r="CA111" s="1184">
        <f>'2022'!R\Max</f>
        <v>0.73465859287701896</v>
      </c>
      <c r="CB111" s="1184">
        <f>'2023'!R\Max</f>
        <v>0.73465821144851085</v>
      </c>
      <c r="CC111" s="1184">
        <f>'2024'!R\Max</f>
        <v>0.73465776581684061</v>
      </c>
      <c r="CD111" s="1184">
        <f>'2025'!R\Max</f>
        <v>0.73465895117645463</v>
      </c>
      <c r="CE111" s="1184">
        <f>'2026'!R\Max</f>
        <v>0.73465888390758194</v>
      </c>
      <c r="CF111" s="1185">
        <f>'2027'!R\Max</f>
        <v>0.73465881627974161</v>
      </c>
    </row>
    <row r="112" spans="1:84" s="6" customFormat="1" ht="11.25" x14ac:dyDescent="0.2">
      <c r="A112" s="11">
        <v>43198</v>
      </c>
      <c r="B112" s="380">
        <f>'2022'!Maxi_hp</f>
        <v>55.793489046232402</v>
      </c>
      <c r="C112" s="13">
        <f>'2022'!An_max</f>
        <v>2021</v>
      </c>
      <c r="D112" s="1062">
        <f t="shared" si="59"/>
        <v>0.97487030407730002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53">
        <f t="shared" si="62"/>
        <v>0.5714285714285714</v>
      </c>
      <c r="J112" s="746">
        <f t="shared" si="63"/>
        <v>57.231704374296328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55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53">
        <f t="shared" si="67"/>
        <v>0.21428571428571427</v>
      </c>
      <c r="AT112" s="769">
        <f t="shared" si="68"/>
        <v>57.136421027513485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53">
        <f t="shared" si="72"/>
        <v>0.2857142857142857</v>
      </c>
      <c r="AY112" s="769">
        <f t="shared" si="73"/>
        <v>57.134935860016512</v>
      </c>
      <c r="AZ112" s="746">
        <f t="shared" si="77"/>
        <v>57.135678443765002</v>
      </c>
      <c r="BA112" s="643">
        <f t="shared" si="74"/>
        <v>0.97487030407730002</v>
      </c>
      <c r="BC112" s="11">
        <v>43198</v>
      </c>
      <c r="BD112" s="290">
        <f>[2]!FeuilCaduc*(1-Persistant)+Persistant</f>
        <v>0.6251827850620636</v>
      </c>
      <c r="BE112" s="291">
        <f>[2]!CroissVégét</f>
        <v>6.8575048275425571E-2</v>
      </c>
      <c r="BF112" s="816">
        <f>1+[2]!Salcycl*Ksac</f>
        <v>1.003147848132758</v>
      </c>
      <c r="BH112" s="1053">
        <f t="shared" si="75"/>
        <v>5.0086130486757651E-5</v>
      </c>
      <c r="BI112" s="11">
        <v>44294</v>
      </c>
      <c r="BJ112" s="726">
        <v>6.0414023973517596E-6</v>
      </c>
      <c r="BK112" s="726">
        <v>2.4836908991133968E-5</v>
      </c>
      <c r="BL112" s="726">
        <v>3.9320707282776932E-5</v>
      </c>
      <c r="BM112" s="726">
        <v>5.0114309226914807E-5</v>
      </c>
      <c r="BN112" s="726">
        <v>6.1670661435695641E-5</v>
      </c>
      <c r="BO112" s="727">
        <v>7.7641342883025816E-5</v>
      </c>
      <c r="BP112" s="726">
        <v>1.305820321531268E-4</v>
      </c>
      <c r="BQ112" s="726">
        <v>3.1925066108124344E-4</v>
      </c>
      <c r="BR112" s="726">
        <v>9.9314804126201584E-4</v>
      </c>
      <c r="BS112" s="726">
        <v>2.8433844043758722E-3</v>
      </c>
      <c r="BT112" s="726">
        <v>5.7702414994908651E-3</v>
      </c>
      <c r="BW112" s="1186">
        <f>'2018'!R\Max</f>
        <v>0</v>
      </c>
      <c r="BX112" s="1184">
        <f>'2019'!R\Max</f>
        <v>0.64334925003087928</v>
      </c>
      <c r="BY112" s="1184">
        <f>'2020'!R\Max</f>
        <v>0.68425465617967618</v>
      </c>
      <c r="BZ112" s="1184">
        <f>'2021'!R\Max</f>
        <v>0.97487030407730002</v>
      </c>
      <c r="CA112" s="1184">
        <f>'2022'!R\Max</f>
        <v>0.60228234447679652</v>
      </c>
      <c r="CB112" s="1184">
        <f>'2023'!R\Max</f>
        <v>0.60228189921038355</v>
      </c>
      <c r="CC112" s="1184">
        <f>'2024'!R\Max</f>
        <v>0.6022813816222341</v>
      </c>
      <c r="CD112" s="1184">
        <f>'2025'!R\Max</f>
        <v>0.60228283442636465</v>
      </c>
      <c r="CE112" s="1184">
        <f>'2026'!R\Max</f>
        <v>0.60228273722991821</v>
      </c>
      <c r="CF112" s="1185">
        <f>'2027'!R\Max</f>
        <v>0.6022826395367894</v>
      </c>
    </row>
    <row r="113" spans="1:84" s="6" customFormat="1" ht="11.25" x14ac:dyDescent="0.2">
      <c r="A113" s="11">
        <v>43199</v>
      </c>
      <c r="B113" s="380">
        <f>'2022'!Maxi_hp</f>
        <v>41.648731192226585</v>
      </c>
      <c r="C113" s="13">
        <f>'2022'!An_max</f>
        <v>2019</v>
      </c>
      <c r="D113" s="1062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53">
        <f t="shared" si="62"/>
        <v>0.5</v>
      </c>
      <c r="J113" s="746">
        <f t="shared" si="63"/>
        <v>57.502237500250338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55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53">
        <f t="shared" si="67"/>
        <v>0.25</v>
      </c>
      <c r="AT113" s="769">
        <f t="shared" si="68"/>
        <v>57.39559843689203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53">
        <f t="shared" si="72"/>
        <v>0.25</v>
      </c>
      <c r="AY113" s="769">
        <f t="shared" si="73"/>
        <v>57.422450000327082</v>
      </c>
      <c r="AZ113" s="746">
        <f t="shared" si="77"/>
        <v>57.409024218609559</v>
      </c>
      <c r="BA113" s="643">
        <f t="shared" si="74"/>
        <v>0.72429757523862037</v>
      </c>
      <c r="BC113" s="11">
        <v>43199</v>
      </c>
      <c r="BD113" s="290">
        <f>[2]!FeuilCaduc*(1-Persistant)+Persistant</f>
        <v>0.62694673801645262</v>
      </c>
      <c r="BE113" s="291">
        <f>[2]!CroissVégét</f>
        <v>7.1297326250557638E-2</v>
      </c>
      <c r="BF113" s="816">
        <f>1+[2]!Salcycl*Ksac</f>
        <v>1.0033683422520565</v>
      </c>
      <c r="BH113" s="1053">
        <f t="shared" si="75"/>
        <v>6.0732418746434961E-5</v>
      </c>
      <c r="BI113" s="11">
        <v>44295</v>
      </c>
      <c r="BJ113" s="726">
        <v>6.5932819630674204E-6</v>
      </c>
      <c r="BK113" s="726">
        <v>2.9683005594685692E-5</v>
      </c>
      <c r="BL113" s="726">
        <v>4.7513216447634966E-5</v>
      </c>
      <c r="BM113" s="726">
        <v>6.0767020309197964E-5</v>
      </c>
      <c r="BN113" s="726">
        <v>7.4399320102154124E-5</v>
      </c>
      <c r="BO113" s="727">
        <v>9.2266376592726391E-5</v>
      </c>
      <c r="BP113" s="726">
        <v>1.4491135142173463E-4</v>
      </c>
      <c r="BQ113" s="726">
        <v>3.1973236252357077E-4</v>
      </c>
      <c r="BR113" s="726">
        <v>9.3237463312661009E-4</v>
      </c>
      <c r="BS113" s="726">
        <v>2.5812455419965958E-3</v>
      </c>
      <c r="BT113" s="726">
        <v>5.178025269433853E-3</v>
      </c>
      <c r="BW113" s="1186">
        <f>'2018'!R\Max</f>
        <v>0</v>
      </c>
      <c r="BX113" s="1184">
        <f>'2019'!R\Max</f>
        <v>0.72429757523862037</v>
      </c>
      <c r="BY113" s="1184">
        <f>'2020'!R\Max</f>
        <v>0.72371566754061956</v>
      </c>
      <c r="BZ113" s="1184">
        <f>'2021'!R\Max</f>
        <v>0.60125360601150013</v>
      </c>
      <c r="CA113" s="1184">
        <f>'2022'!R\Max</f>
        <v>0.66751921901800881</v>
      </c>
      <c r="CB113" s="1184">
        <f>'2023'!R\Max</f>
        <v>0.66751880955162213</v>
      </c>
      <c r="CC113" s="1184">
        <f>'2024'!R\Max</f>
        <v>0.66751833729537968</v>
      </c>
      <c r="CD113" s="1184">
        <f>'2025'!R\Max</f>
        <v>0.6675197343623982</v>
      </c>
      <c r="CE113" s="1184">
        <f>'2026'!R\Max</f>
        <v>0.66751962833221756</v>
      </c>
      <c r="CF113" s="1185">
        <f>'2027'!R\Max</f>
        <v>0.66751952177172635</v>
      </c>
    </row>
    <row r="114" spans="1:84" s="6" customFormat="1" ht="11.25" x14ac:dyDescent="0.2">
      <c r="A114" s="11">
        <v>43200</v>
      </c>
      <c r="B114" s="380">
        <f>'2022'!Maxi_hp</f>
        <v>58.06042842516851</v>
      </c>
      <c r="C114" s="13">
        <f>'2022'!An_max</f>
        <v>2020</v>
      </c>
      <c r="D114" s="1062">
        <f t="shared" si="59"/>
        <v>1.0050880789581171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53">
        <f t="shared" si="62"/>
        <v>0.42857142857142855</v>
      </c>
      <c r="J114" s="746">
        <f t="shared" si="63"/>
        <v>57.766507871981176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55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53">
        <f t="shared" si="67"/>
        <v>0.2857142857142857</v>
      </c>
      <c r="AT114" s="769">
        <f t="shared" si="68"/>
        <v>57.649984839558599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53">
        <f t="shared" si="72"/>
        <v>0.21428571428571427</v>
      </c>
      <c r="AY114" s="769">
        <f t="shared" si="73"/>
        <v>57.702949854571912</v>
      </c>
      <c r="AZ114" s="746">
        <f t="shared" si="77"/>
        <v>57.676467347065255</v>
      </c>
      <c r="BA114" s="643">
        <f t="shared" si="74"/>
        <v>1.0050880789581171</v>
      </c>
      <c r="BC114" s="11">
        <v>43200</v>
      </c>
      <c r="BD114" s="290">
        <f>[2]!FeuilCaduc*(1-Persistant)+Persistant</f>
        <v>0.62880708605991731</v>
      </c>
      <c r="BE114" s="291">
        <f>[2]!CroissVégét</f>
        <v>7.4116938463242688E-2</v>
      </c>
      <c r="BF114" s="816">
        <f>1+[2]!Salcycl*Ksac</f>
        <v>1.0036008857574896</v>
      </c>
      <c r="BH114" s="1053">
        <f t="shared" si="75"/>
        <v>7.5076284256615802E-5</v>
      </c>
      <c r="BI114" s="11">
        <v>44296</v>
      </c>
      <c r="BJ114" s="726">
        <v>7.6420002695410464E-6</v>
      </c>
      <c r="BK114" s="726">
        <v>3.5968938327322023E-5</v>
      </c>
      <c r="BL114" s="726">
        <v>5.8193131883234493E-5</v>
      </c>
      <c r="BM114" s="726">
        <v>7.5120476292056399E-5</v>
      </c>
      <c r="BN114" s="726">
        <v>9.1833610384741882E-5</v>
      </c>
      <c r="BO114" s="727">
        <v>1.1288182681323765E-4</v>
      </c>
      <c r="BP114" s="726">
        <v>1.6829955863213307E-4</v>
      </c>
      <c r="BQ114" s="726">
        <v>3.3755292122852703E-4</v>
      </c>
      <c r="BR114" s="726">
        <v>9.0861876121252816E-4</v>
      </c>
      <c r="BS114" s="726">
        <v>2.3931337080136212E-3</v>
      </c>
      <c r="BT114" s="726">
        <v>4.7107295136195231E-3</v>
      </c>
      <c r="BW114" s="1186">
        <f>'2018'!R\Max</f>
        <v>0</v>
      </c>
      <c r="BX114" s="1184">
        <f>'2019'!R\Max</f>
        <v>0.65569896987642307</v>
      </c>
      <c r="BY114" s="1184">
        <f>'2020'!R\Max</f>
        <v>1.0050880789581171</v>
      </c>
      <c r="BZ114" s="1184">
        <f>'2021'!R\Max</f>
        <v>0.62120290592197935</v>
      </c>
      <c r="CA114" s="1184">
        <f>'2022'!R\Max</f>
        <v>1.0006587548321233</v>
      </c>
      <c r="CB114" s="1184">
        <f>'2023'!R\Max</f>
        <v>1.0006587548321231</v>
      </c>
      <c r="CC114" s="1184">
        <f>'2024'!R\Max</f>
        <v>1.0006587548321233</v>
      </c>
      <c r="CD114" s="1184">
        <f>'2025'!R\Max</f>
        <v>1.0006587548321233</v>
      </c>
      <c r="CE114" s="1184">
        <f>'2026'!R\Max</f>
        <v>1.0006587548321231</v>
      </c>
      <c r="CF114" s="1185">
        <f>'2027'!R\Max</f>
        <v>1.0006587548321233</v>
      </c>
    </row>
    <row r="115" spans="1:84" s="6" customFormat="1" ht="11.25" x14ac:dyDescent="0.2">
      <c r="A115" s="11">
        <v>43201</v>
      </c>
      <c r="B115" s="380">
        <f>'2022'!Maxi_hp</f>
        <v>59.123099904366789</v>
      </c>
      <c r="C115" s="13">
        <f>'2022'!An_max</f>
        <v>2020</v>
      </c>
      <c r="D115" s="1062">
        <f t="shared" si="59"/>
        <v>1.0189349932726561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53">
        <f t="shared" si="62"/>
        <v>0.35714285714285715</v>
      </c>
      <c r="J115" s="746">
        <f t="shared" si="63"/>
        <v>58.024408126835304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55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53">
        <f t="shared" si="67"/>
        <v>0.32142857142857145</v>
      </c>
      <c r="AT115" s="769">
        <f t="shared" si="68"/>
        <v>57.899539973719847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53">
        <f t="shared" si="72"/>
        <v>0.17857142857142858</v>
      </c>
      <c r="AY115" s="769">
        <f t="shared" si="73"/>
        <v>57.976005976287908</v>
      </c>
      <c r="AZ115" s="746">
        <f t="shared" si="77"/>
        <v>57.937772975003881</v>
      </c>
      <c r="BA115" s="643">
        <f t="shared" si="74"/>
        <v>1.0189349932726561</v>
      </c>
      <c r="BC115" s="11">
        <v>43201</v>
      </c>
      <c r="BD115" s="290">
        <f>[2]!FeuilCaduc*(1-Persistant)+Persistant</f>
        <v>0.63076590595284798</v>
      </c>
      <c r="BE115" s="291">
        <f>[2]!CroissVégét</f>
        <v>7.7036689395036897E-2</v>
      </c>
      <c r="BF115" s="816">
        <f>1+[2]!Salcycl*Ksac</f>
        <v>1.0038457382441059</v>
      </c>
      <c r="BH115" s="1053">
        <f t="shared" si="75"/>
        <v>9.2770181170930493E-5</v>
      </c>
      <c r="BI115" s="11">
        <v>44297</v>
      </c>
      <c r="BJ115" s="726">
        <v>9.1422775369802208E-6</v>
      </c>
      <c r="BK115" s="726">
        <v>4.3515789593516221E-5</v>
      </c>
      <c r="BL115" s="726">
        <v>7.108328158769985E-5</v>
      </c>
      <c r="BM115" s="726">
        <v>9.2826947123981397E-5</v>
      </c>
      <c r="BN115" s="726">
        <v>1.1351387864268714E-4</v>
      </c>
      <c r="BO115" s="727">
        <v>1.387236438018392E-4</v>
      </c>
      <c r="BP115" s="726">
        <v>1.9851714288816381E-4</v>
      </c>
      <c r="BQ115" s="726">
        <v>3.6580088136153194E-4</v>
      </c>
      <c r="BR115" s="726">
        <v>9.0324171944003169E-4</v>
      </c>
      <c r="BS115" s="726">
        <v>2.244780973433141E-3</v>
      </c>
      <c r="BT115" s="726">
        <v>4.3166411028406904E-3</v>
      </c>
      <c r="BW115" s="1186">
        <f>'2018'!R\Max</f>
        <v>0</v>
      </c>
      <c r="BX115" s="1184">
        <f>'2019'!R\Max</f>
        <v>0.1783376537256009</v>
      </c>
      <c r="BY115" s="1184">
        <f>'2020'!R\Max</f>
        <v>1.0189349932726561</v>
      </c>
      <c r="BZ115" s="1184">
        <f>'2021'!R\Max</f>
        <v>0.15238338795105238</v>
      </c>
      <c r="CA115" s="1184">
        <f>'2022'!R\Max</f>
        <v>0.83663553331576745</v>
      </c>
      <c r="CB115" s="1184">
        <f>'2023'!R\Max</f>
        <v>0.83663524776005849</v>
      </c>
      <c r="CC115" s="1184">
        <f>'2024'!R\Max</f>
        <v>0.83663492533831185</v>
      </c>
      <c r="CD115" s="1184">
        <f>'2025'!R\Max</f>
        <v>0.83663599004156708</v>
      </c>
      <c r="CE115" s="1184">
        <f>'2026'!R\Max</f>
        <v>0.83663589124745119</v>
      </c>
      <c r="CF115" s="1185">
        <f>'2027'!R\Max</f>
        <v>0.83663579198154903</v>
      </c>
    </row>
    <row r="116" spans="1:84" s="6" customFormat="1" ht="11.25" x14ac:dyDescent="0.2">
      <c r="A116" s="11">
        <v>43202</v>
      </c>
      <c r="B116" s="380">
        <f>'2022'!Maxi_hp</f>
        <v>58.323508945597986</v>
      </c>
      <c r="C116" s="13">
        <f>'2022'!An_max</f>
        <v>2019</v>
      </c>
      <c r="D116" s="1062">
        <f t="shared" si="59"/>
        <v>1.0008181443489743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53">
        <f t="shared" si="62"/>
        <v>0.2857142857142857</v>
      </c>
      <c r="J116" s="746">
        <f t="shared" si="63"/>
        <v>58.275830903862207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55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53">
        <f t="shared" si="67"/>
        <v>0.35714285714285715</v>
      </c>
      <c r="AT116" s="769">
        <f t="shared" si="68"/>
        <v>58.144223579125743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53">
        <f t="shared" si="72"/>
        <v>0.14285714285714285</v>
      </c>
      <c r="AY116" s="769">
        <f t="shared" si="73"/>
        <v>58.241188922311586</v>
      </c>
      <c r="AZ116" s="746">
        <f t="shared" si="77"/>
        <v>58.192706250718665</v>
      </c>
      <c r="BA116" s="643">
        <f t="shared" si="74"/>
        <v>1.0008181443489743</v>
      </c>
      <c r="BC116" s="11">
        <v>43202</v>
      </c>
      <c r="BD116" s="290">
        <f>[2]!FeuilCaduc*(1-Persistant)+Persistant</f>
        <v>0.63282516468404204</v>
      </c>
      <c r="BE116" s="291">
        <f>[2]!CroissVégét</f>
        <v>8.0059411132293548E-2</v>
      </c>
      <c r="BF116" s="816">
        <f>1+[2]!Salcycl*Ksac</f>
        <v>1.0041031455855052</v>
      </c>
      <c r="BH116" s="1053">
        <f t="shared" si="75"/>
        <v>1.1381256709678793E-4</v>
      </c>
      <c r="BI116" s="11">
        <v>44298</v>
      </c>
      <c r="BJ116" s="726">
        <v>1.1093924479742412E-5</v>
      </c>
      <c r="BK116" s="726">
        <v>5.232295848549159E-5</v>
      </c>
      <c r="BL116" s="726">
        <v>8.6182620639445567E-5</v>
      </c>
      <c r="BM116" s="726">
        <v>1.1388488911024021E-4</v>
      </c>
      <c r="BN116" s="726">
        <v>1.394381860734719E-4</v>
      </c>
      <c r="BO116" s="727">
        <v>1.697894581397132E-4</v>
      </c>
      <c r="BP116" s="726">
        <v>2.355610727412304E-4</v>
      </c>
      <c r="BQ116" s="726">
        <v>4.0447194830137709E-4</v>
      </c>
      <c r="BR116" s="726">
        <v>9.1623694684911708E-4</v>
      </c>
      <c r="BS116" s="726">
        <v>2.1361757582060766E-3</v>
      </c>
      <c r="BT116" s="726">
        <v>3.995741050607785E-3</v>
      </c>
      <c r="BW116" s="1186">
        <f>'2018'!R\Max</f>
        <v>0</v>
      </c>
      <c r="BX116" s="1184">
        <f>'2019'!R\Max</f>
        <v>1.0008181443489743</v>
      </c>
      <c r="BY116" s="1184">
        <f>'2020'!R\Max</f>
        <v>0.99556632301904624</v>
      </c>
      <c r="BZ116" s="1184">
        <f>'2021'!R\Max</f>
        <v>0.77696793618721172</v>
      </c>
      <c r="CA116" s="1184">
        <f>'2022'!R\Max</f>
        <v>0.67562158918017146</v>
      </c>
      <c r="CB116" s="1184">
        <f>'2023'!R\Max</f>
        <v>0.67562108605653093</v>
      </c>
      <c r="CC116" s="1184">
        <f>'2024'!R\Max</f>
        <v>0.67562052388766092</v>
      </c>
      <c r="CD116" s="1184">
        <f>'2025'!R\Max</f>
        <v>0.67562247726113822</v>
      </c>
      <c r="CE116" s="1184">
        <f>'2026'!R\Max</f>
        <v>0.67562228179046391</v>
      </c>
      <c r="CF116" s="1185">
        <f>'2027'!R\Max</f>
        <v>0.67562208540718405</v>
      </c>
    </row>
    <row r="117" spans="1:84" s="6" customFormat="1" ht="11.25" x14ac:dyDescent="0.2">
      <c r="A117" s="11">
        <v>43203</v>
      </c>
      <c r="B117" s="380">
        <f>'2022'!Maxi_hp</f>
        <v>59.034851740298983</v>
      </c>
      <c r="C117" s="13">
        <f>'2022'!An_max</f>
        <v>2019</v>
      </c>
      <c r="D117" s="1062">
        <f t="shared" si="59"/>
        <v>1.0087863469294964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53">
        <f t="shared" si="62"/>
        <v>0.21428571428571427</v>
      </c>
      <c r="J117" s="746">
        <f t="shared" si="63"/>
        <v>58.520668841313032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55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53">
        <f t="shared" si="67"/>
        <v>0.39285714285714285</v>
      </c>
      <c r="AT117" s="769">
        <f t="shared" si="68"/>
        <v>58.383995394754628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53">
        <f t="shared" si="72"/>
        <v>0.10714285714285714</v>
      </c>
      <c r="AY117" s="769">
        <f t="shared" si="73"/>
        <v>58.498069242254971</v>
      </c>
      <c r="AZ117" s="746">
        <f t="shared" si="77"/>
        <v>58.441032318504796</v>
      </c>
      <c r="BA117" s="643">
        <f t="shared" si="74"/>
        <v>1.0087863469294964</v>
      </c>
      <c r="BC117" s="11">
        <v>43203</v>
      </c>
      <c r="BD117" s="290">
        <f>[2]!FeuilCaduc*(1-Persistant)+Persistant</f>
        <v>0.63498671450013544</v>
      </c>
      <c r="BE117" s="291">
        <f>[2]!CroissVégét</f>
        <v>8.3187958998136649E-2</v>
      </c>
      <c r="BF117" s="816">
        <f>1+[2]!Salcycl*Ksac</f>
        <v>1.0043733393125169</v>
      </c>
      <c r="BH117" s="1053">
        <f t="shared" si="75"/>
        <v>1.3820173811007535E-4</v>
      </c>
      <c r="BI117" s="11">
        <v>44299</v>
      </c>
      <c r="BJ117" s="726">
        <v>1.3496731183530714E-5</v>
      </c>
      <c r="BK117" s="726">
        <v>6.2389782146873623E-5</v>
      </c>
      <c r="BL117" s="726">
        <v>1.0348999596825286E-4</v>
      </c>
      <c r="BM117" s="726">
        <v>1.3829259688484744E-4</v>
      </c>
      <c r="BN117" s="726">
        <v>1.6960439010768648E-4</v>
      </c>
      <c r="BO117" s="727">
        <v>2.0607665068321003E-4</v>
      </c>
      <c r="BP117" s="726">
        <v>2.7942799500366763E-4</v>
      </c>
      <c r="BQ117" s="726">
        <v>4.5356135927091798E-4</v>
      </c>
      <c r="BR117" s="726">
        <v>9.4759712850512039E-4</v>
      </c>
      <c r="BS117" s="726">
        <v>2.0673050277434974E-3</v>
      </c>
      <c r="BT117" s="726">
        <v>3.7480078484091722E-3</v>
      </c>
      <c r="BW117" s="1186">
        <f>'2018'!R\Max</f>
        <v>0</v>
      </c>
      <c r="BX117" s="1184">
        <f>'2019'!R\Max</f>
        <v>1.0087863469294964</v>
      </c>
      <c r="BY117" s="1184">
        <f>'2020'!R\Max</f>
        <v>0.77992141655036573</v>
      </c>
      <c r="BZ117" s="1184">
        <f>'2021'!R\Max</f>
        <v>0.88954904994929129</v>
      </c>
      <c r="CA117" s="1184">
        <f>'2022'!R\Max</f>
        <v>0.13492028407044807</v>
      </c>
      <c r="CB117" s="1184">
        <f>'2023'!R\Max</f>
        <v>0.13492004245503622</v>
      </c>
      <c r="CC117" s="1184">
        <f>'2024'!R\Max</f>
        <v>0.13491977495731725</v>
      </c>
      <c r="CD117" s="1184">
        <f>'2025'!R\Max</f>
        <v>0.13492074657549713</v>
      </c>
      <c r="CE117" s="1184">
        <f>'2026'!R\Max</f>
        <v>0.13492064343612206</v>
      </c>
      <c r="CF117" s="1185">
        <f>'2027'!R\Max</f>
        <v>0.13492053982096347</v>
      </c>
    </row>
    <row r="118" spans="1:84" s="6" customFormat="1" ht="11.25" x14ac:dyDescent="0.2">
      <c r="A118" s="11">
        <v>43204</v>
      </c>
      <c r="B118" s="380">
        <f>'2022'!Maxi_hp</f>
        <v>57.514245582008527</v>
      </c>
      <c r="C118" s="13">
        <f>'2022'!An_max</f>
        <v>2021</v>
      </c>
      <c r="D118" s="1062">
        <f t="shared" si="59"/>
        <v>0.97881902478863814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53">
        <f t="shared" si="62"/>
        <v>0.14285714285714285</v>
      </c>
      <c r="J118" s="746">
        <f t="shared" si="63"/>
        <v>58.758814577013254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55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53">
        <f t="shared" si="67"/>
        <v>0.42857142857142855</v>
      </c>
      <c r="AT118" s="769">
        <f t="shared" si="68"/>
        <v>58.618815160436291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53">
        <f t="shared" si="72"/>
        <v>7.1428571428571425E-2</v>
      </c>
      <c r="AY118" s="769">
        <f t="shared" si="73"/>
        <v>58.746217493154106</v>
      </c>
      <c r="AZ118" s="746">
        <f t="shared" si="77"/>
        <v>58.682516326795195</v>
      </c>
      <c r="BA118" s="643">
        <f t="shared" si="74"/>
        <v>0.97881902478863814</v>
      </c>
      <c r="BC118" s="11">
        <v>43204</v>
      </c>
      <c r="BD118" s="290">
        <f>[2]!FeuilCaduc*(1-Persistant)+Persistant</f>
        <v>0.63725228784333743</v>
      </c>
      <c r="BE118" s="291">
        <f>[2]!CroissVégét</f>
        <v>8.6425206757263798E-2</v>
      </c>
      <c r="BF118" s="816">
        <f>1+[2]!Salcycl*Ksac</f>
        <v>1.0046565359804172</v>
      </c>
      <c r="BH118" s="1053">
        <f t="shared" si="75"/>
        <v>1.659358179945931E-4</v>
      </c>
      <c r="BI118" s="11">
        <v>44300</v>
      </c>
      <c r="BJ118" s="726">
        <v>1.6350465655686381E-5</v>
      </c>
      <c r="BK118" s="726">
        <v>7.3715531721621331E-5</v>
      </c>
      <c r="BL118" s="726">
        <v>1.2300413925464925E-4</v>
      </c>
      <c r="BM118" s="726">
        <v>1.6604819264041997E-4</v>
      </c>
      <c r="BN118" s="726">
        <v>2.0401013077127165E-4</v>
      </c>
      <c r="BO118" s="727">
        <v>2.4758233577778989E-4</v>
      </c>
      <c r="BP118" s="726">
        <v>3.3011421281613256E-4</v>
      </c>
      <c r="BQ118" s="726">
        <v>5.1306384986021098E-4</v>
      </c>
      <c r="BR118" s="726">
        <v>9.9731413652542509E-4</v>
      </c>
      <c r="BS118" s="726">
        <v>2.0381541654277669E-3</v>
      </c>
      <c r="BT118" s="726">
        <v>3.5734172310500785E-3</v>
      </c>
      <c r="BW118" s="1186">
        <f>'2018'!R\Max</f>
        <v>0</v>
      </c>
      <c r="BX118" s="1184">
        <f>'2019'!R\Max</f>
        <v>0.5253252989817877</v>
      </c>
      <c r="BY118" s="1184">
        <f>'2020'!R\Max</f>
        <v>0.30374433403742185</v>
      </c>
      <c r="BZ118" s="1184">
        <f>'2021'!R\Max</f>
        <v>0.97881902478863814</v>
      </c>
      <c r="CA118" s="1184">
        <f>'2022'!R\Max</f>
        <v>0.72642737971296556</v>
      </c>
      <c r="CB118" s="1184">
        <f>'2023'!R\Max</f>
        <v>0.72642680795673231</v>
      </c>
      <c r="CC118" s="1184">
        <f>'2024'!R\Max</f>
        <v>0.72642617970891532</v>
      </c>
      <c r="CD118" s="1184">
        <f>'2025'!R\Max</f>
        <v>0.72642854761317111</v>
      </c>
      <c r="CE118" s="1184">
        <f>'2026'!R\Max</f>
        <v>0.72642828462567621</v>
      </c>
      <c r="CF118" s="1185">
        <f>'2027'!R\Max</f>
        <v>0.72642802042420074</v>
      </c>
    </row>
    <row r="119" spans="1:84" s="6" customFormat="1" ht="11.25" x14ac:dyDescent="0.2">
      <c r="A119" s="11">
        <v>43205</v>
      </c>
      <c r="B119" s="380">
        <f>'2022'!Maxi_hp</f>
        <v>58.00017289991299</v>
      </c>
      <c r="C119" s="13">
        <f>'2022'!An_max</f>
        <v>2021</v>
      </c>
      <c r="D119" s="1062">
        <f t="shared" si="59"/>
        <v>0.98321774619540236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53">
        <f t="shared" si="62"/>
        <v>7.1428571428571425E-2</v>
      </c>
      <c r="J119" s="746">
        <f t="shared" si="63"/>
        <v>58.990160749586565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55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53">
        <f t="shared" si="67"/>
        <v>0.4642857142857143</v>
      </c>
      <c r="AT119" s="769">
        <f t="shared" si="68"/>
        <v>58.848642616186815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53">
        <f t="shared" si="72"/>
        <v>3.5714285714285712E-2</v>
      </c>
      <c r="AY119" s="769">
        <f t="shared" si="73"/>
        <v>58.985204227707754</v>
      </c>
      <c r="AZ119" s="746">
        <f t="shared" si="77"/>
        <v>58.916923421947288</v>
      </c>
      <c r="BA119" s="643">
        <f t="shared" si="74"/>
        <v>0.98321774619540236</v>
      </c>
      <c r="BC119" s="11">
        <v>43205</v>
      </c>
      <c r="BD119" s="290">
        <f>[2]!FeuilCaduc*(1-Persistant)+Persistant</f>
        <v>0.63962349216240544</v>
      </c>
      <c r="BE119" s="291">
        <f>[2]!CroissVégét</f>
        <v>8.9774041376326802E-2</v>
      </c>
      <c r="BF119" s="816">
        <f>1+[2]!Salcycl*Ksac</f>
        <v>1.0049529365203007</v>
      </c>
      <c r="BH119" s="1053">
        <f t="shared" si="75"/>
        <v>1.9701274748437208E-4</v>
      </c>
      <c r="BI119" s="11">
        <v>44301</v>
      </c>
      <c r="BJ119" s="726">
        <v>1.9654872375762173E-5</v>
      </c>
      <c r="BK119" s="726">
        <v>8.6299408304273538E-5</v>
      </c>
      <c r="BL119" s="726">
        <v>1.4472365983146098E-4</v>
      </c>
      <c r="BM119" s="726">
        <v>1.9714961536091609E-4</v>
      </c>
      <c r="BN119" s="726">
        <v>2.4265281705129424E-4</v>
      </c>
      <c r="BO119" s="727">
        <v>2.9430334447626277E-4</v>
      </c>
      <c r="BP119" s="726">
        <v>3.8761566372089769E-4</v>
      </c>
      <c r="BQ119" s="726">
        <v>5.8297362055953483E-4</v>
      </c>
      <c r="BR119" s="726">
        <v>1.0653789711278108E-3</v>
      </c>
      <c r="BS119" s="726">
        <v>2.0487068451727633E-3</v>
      </c>
      <c r="BT119" s="726">
        <v>3.4719419420821637E-3</v>
      </c>
      <c r="BW119" s="1186">
        <f>'2018'!R\Max</f>
        <v>0</v>
      </c>
      <c r="BX119" s="1184">
        <f>'2019'!R\Max</f>
        <v>0.7070622070412097</v>
      </c>
      <c r="BY119" s="1184">
        <f>'2020'!R\Max</f>
        <v>0.94412565913711877</v>
      </c>
      <c r="BZ119" s="1184">
        <f>'2021'!R\Max</f>
        <v>0.98321774619540236</v>
      </c>
      <c r="CA119" s="1184">
        <f>'2022'!R\Max</f>
        <v>0.82930004080272202</v>
      </c>
      <c r="CB119" s="1184">
        <f>'2023'!R\Max</f>
        <v>0.82929958042394125</v>
      </c>
      <c r="CC119" s="1184">
        <f>'2024'!R\Max</f>
        <v>0.8292990774743596</v>
      </c>
      <c r="CD119" s="1184">
        <f>'2025'!R\Max</f>
        <v>0.82930103062363014</v>
      </c>
      <c r="CE119" s="1184">
        <f>'2026'!R\Max</f>
        <v>0.82930080612449486</v>
      </c>
      <c r="CF119" s="1185">
        <f>'2027'!R\Max</f>
        <v>0.82930058057631817</v>
      </c>
    </row>
    <row r="120" spans="1:84" s="6" customFormat="1" ht="11.25" x14ac:dyDescent="0.2">
      <c r="A120" s="11">
        <v>43206</v>
      </c>
      <c r="B120" s="380">
        <f>'2022'!Maxi_hp</f>
        <v>52.848516926149152</v>
      </c>
      <c r="C120" s="13">
        <f>'2022'!An_max</f>
        <v>2020</v>
      </c>
      <c r="D120" s="1062" t="str">
        <f t="shared" si="59"/>
        <v/>
      </c>
      <c r="E120" s="1057">
        <f>U$13/10</f>
        <v>59.214599999999997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53">
        <f t="shared" si="62"/>
        <v>0</v>
      </c>
      <c r="J120" s="746">
        <f t="shared" si="63"/>
        <v>59.214599998295306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55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53">
        <f t="shared" si="67"/>
        <v>0.5</v>
      </c>
      <c r="AT120" s="769">
        <f t="shared" si="68"/>
        <v>59.073437500372528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53">
        <f t="shared" si="72"/>
        <v>0</v>
      </c>
      <c r="AY120" s="769">
        <f t="shared" si="73"/>
        <v>59.21459999978542</v>
      </c>
      <c r="AZ120" s="746">
        <f t="shared" si="77"/>
        <v>59.14401875007897</v>
      </c>
      <c r="BA120" s="643">
        <f t="shared" si="74"/>
        <v>0.8924913269306991</v>
      </c>
      <c r="BC120" s="11">
        <v>43206</v>
      </c>
      <c r="BD120" s="290">
        <f>[2]!FeuilCaduc*(1-Persistant)+Persistant</f>
        <v>0.64210180456604782</v>
      </c>
      <c r="BE120" s="291">
        <f>[2]!CroissVégét</f>
        <v>9.3237357323611589E-2</v>
      </c>
      <c r="BF120" s="816">
        <f>1+[2]!Salcycl*Ksac</f>
        <v>1.005262725570756</v>
      </c>
      <c r="BH120" s="1053">
        <f t="shared" si="75"/>
        <v>2.3143027350338809E-4</v>
      </c>
      <c r="BI120" s="11">
        <v>44302</v>
      </c>
      <c r="BJ120" s="726">
        <v>2.3409670845842434E-5</v>
      </c>
      <c r="BK120" s="726">
        <v>1.0014053888900463E-4</v>
      </c>
      <c r="BL120" s="726">
        <v>1.6864703758339987E-4</v>
      </c>
      <c r="BM120" s="726">
        <v>2.3159461005177023E-4</v>
      </c>
      <c r="BN120" s="726">
        <v>2.8552961325853241E-4</v>
      </c>
      <c r="BO120" s="727">
        <v>3.4623620775314708E-4</v>
      </c>
      <c r="BP120" s="726">
        <v>4.5192789772979949E-4</v>
      </c>
      <c r="BQ120" s="726">
        <v>6.6328430328340402E-4</v>
      </c>
      <c r="BR120" s="726">
        <v>1.1517817016588939E-3</v>
      </c>
      <c r="BS120" s="726">
        <v>2.0989449039386298E-3</v>
      </c>
      <c r="BT120" s="726">
        <v>3.4435514991488186E-3</v>
      </c>
      <c r="BW120" s="1186">
        <f>'2018'!R\Max</f>
        <v>0</v>
      </c>
      <c r="BX120" s="1184">
        <f>'2019'!R\Max</f>
        <v>0.64026752678479582</v>
      </c>
      <c r="BY120" s="1184">
        <f>'2020'!R\Max</f>
        <v>0.8924913269306991</v>
      </c>
      <c r="BZ120" s="1184">
        <f>'2021'!R\Max</f>
        <v>0.87051781637408954</v>
      </c>
      <c r="CA120" s="1184">
        <f>'2022'!R\Max</f>
        <v>0.79726945736949117</v>
      </c>
      <c r="CB120" s="1184">
        <f>'2023'!R\Max</f>
        <v>0.79726886194472424</v>
      </c>
      <c r="CC120" s="1184">
        <f>'2024'!R\Max</f>
        <v>0.79726821412450599</v>
      </c>
      <c r="CD120" s="1184">
        <f>'2025'!R\Max</f>
        <v>0.79727078989994804</v>
      </c>
      <c r="CE120" s="1184">
        <f>'2026'!R\Max</f>
        <v>0.79727048605444584</v>
      </c>
      <c r="CF120" s="1185">
        <f>'2027'!R\Max</f>
        <v>0.79727018075723899</v>
      </c>
    </row>
    <row r="121" spans="1:84" s="6" customFormat="1" ht="11.25" x14ac:dyDescent="0.2">
      <c r="A121" s="11">
        <v>43207</v>
      </c>
      <c r="B121" s="380">
        <f>'2022'!Maxi_hp</f>
        <v>57.669742711750253</v>
      </c>
      <c r="C121" s="13">
        <f>'2022'!An_max</f>
        <v>2022</v>
      </c>
      <c r="D121" s="1062">
        <f t="shared" si="59"/>
        <v>0.97035494690915869</v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53">
        <f t="shared" si="62"/>
        <v>7.1428571428571425E-2</v>
      </c>
      <c r="J121" s="746">
        <f t="shared" si="63"/>
        <v>59.431595516098398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55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53">
        <f t="shared" si="67"/>
        <v>0.5357142857142857</v>
      </c>
      <c r="AT121" s="769">
        <f t="shared" si="68"/>
        <v>59.293159553195757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53">
        <f t="shared" si="72"/>
        <v>3.5714285714285712E-2</v>
      </c>
      <c r="AY121" s="769">
        <f t="shared" si="73"/>
        <v>59.435265939682722</v>
      </c>
      <c r="AZ121" s="746">
        <f t="shared" si="77"/>
        <v>59.364212746439236</v>
      </c>
      <c r="BA121" s="643">
        <f t="shared" si="74"/>
        <v>0.97035494690915869</v>
      </c>
      <c r="BC121" s="11">
        <v>43207</v>
      </c>
      <c r="BD121" s="290">
        <f>[2]!FeuilCaduc*(1-Persistant)+Persistant</f>
        <v>0.64468856629298599</v>
      </c>
      <c r="BE121" s="291">
        <f>[2]!CroissVégét</f>
        <v>9.6818050392965163E-2</v>
      </c>
      <c r="BF121" s="816">
        <f>1+[2]!Salcycl*Ksac</f>
        <v>1.0055860707866233</v>
      </c>
      <c r="BH121" s="1053">
        <f t="shared" si="75"/>
        <v>2.6918593840693974E-4</v>
      </c>
      <c r="BI121" s="11">
        <v>44303</v>
      </c>
      <c r="BJ121" s="726">
        <v>2.7614554141027607E-5</v>
      </c>
      <c r="BK121" s="726">
        <v>1.1523797231942882E-4</v>
      </c>
      <c r="BL121" s="726">
        <v>1.9477261584789331E-4</v>
      </c>
      <c r="BM121" s="726">
        <v>2.6938071697169203E-4</v>
      </c>
      <c r="BN121" s="726">
        <v>3.3263742539210467E-4</v>
      </c>
      <c r="BO121" s="727">
        <v>4.0337713972151247E-4</v>
      </c>
      <c r="BP121" s="726">
        <v>5.230460553955627E-4</v>
      </c>
      <c r="BQ121" s="726">
        <v>7.5398892790009111E-4</v>
      </c>
      <c r="BR121" s="726">
        <v>1.2565114076341644E-3</v>
      </c>
      <c r="BS121" s="726">
        <v>2.1888482142720734E-3</v>
      </c>
      <c r="BT121" s="726">
        <v>3.488211959377048E-3</v>
      </c>
      <c r="BW121" s="1186">
        <f>'2018'!R\Max</f>
        <v>0</v>
      </c>
      <c r="BX121" s="1184">
        <f>'2019'!R\Max</f>
        <v>0.66581008481899939</v>
      </c>
      <c r="BY121" s="1184">
        <f>'2020'!R\Max</f>
        <v>0.80375581507986638</v>
      </c>
      <c r="BZ121" s="1184">
        <f>'2021'!R\Max</f>
        <v>0.88395744705780865</v>
      </c>
      <c r="CA121" s="1184">
        <f>'2022'!R\Max</f>
        <v>0.97035494690915869</v>
      </c>
      <c r="CB121" s="1184">
        <f>'2023'!R\Max</f>
        <v>0.97035482688073327</v>
      </c>
      <c r="CC121" s="1184">
        <f>'2024'!R\Max</f>
        <v>0.97035469662870655</v>
      </c>
      <c r="CD121" s="1184">
        <f>'2025'!R\Max</f>
        <v>0.9703552240580342</v>
      </c>
      <c r="CE121" s="1184">
        <f>'2026'!R\Max</f>
        <v>0.97035516061219329</v>
      </c>
      <c r="CF121" s="1185">
        <f>'2027'!R\Max</f>
        <v>0.97035509685378796</v>
      </c>
    </row>
    <row r="122" spans="1:84" s="6" customFormat="1" ht="11.25" x14ac:dyDescent="0.2">
      <c r="A122" s="11">
        <v>43208</v>
      </c>
      <c r="B122" s="380">
        <f>'2022'!Maxi_hp</f>
        <v>42.565319321773202</v>
      </c>
      <c r="C122" s="13">
        <f>'2022'!An_max</f>
        <v>2021</v>
      </c>
      <c r="D122" s="1062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53">
        <f t="shared" si="62"/>
        <v>0.14285714285714285</v>
      </c>
      <c r="J122" s="746">
        <f t="shared" si="63"/>
        <v>59.640896791964771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55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53">
        <f t="shared" si="67"/>
        <v>0.5714285714285714</v>
      </c>
      <c r="AT122" s="769">
        <f t="shared" si="68"/>
        <v>59.507768513049406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53">
        <f t="shared" si="72"/>
        <v>7.1428571428571425E-2</v>
      </c>
      <c r="AY122" s="769">
        <f t="shared" si="73"/>
        <v>59.648465779743027</v>
      </c>
      <c r="AZ122" s="746">
        <f t="shared" si="77"/>
        <v>59.578117146396217</v>
      </c>
      <c r="BA122" s="643">
        <f t="shared" si="74"/>
        <v>0.71369348234729924</v>
      </c>
      <c r="BC122" s="11">
        <v>43208</v>
      </c>
      <c r="BD122" s="290">
        <f>[2]!FeuilCaduc*(1-Persistant)+Persistant</f>
        <v>0.64738497697865482</v>
      </c>
      <c r="BE122" s="291">
        <f>[2]!CroissVégét</f>
        <v>0.10051901103841099</v>
      </c>
      <c r="BF122" s="816">
        <f>1+[2]!Salcycl*Ksac</f>
        <v>1.0059231221223319</v>
      </c>
      <c r="BH122" s="1053">
        <f t="shared" si="75"/>
        <v>3.1349983815975722E-4</v>
      </c>
      <c r="BI122" s="11">
        <v>44304</v>
      </c>
      <c r="BJ122" s="726">
        <v>3.3813515510734106E-5</v>
      </c>
      <c r="BK122" s="726">
        <v>1.3345041089376228E-4</v>
      </c>
      <c r="BL122" s="726">
        <v>2.2549660861179025E-4</v>
      </c>
      <c r="BM122" s="726">
        <v>3.1373018861523272E-4</v>
      </c>
      <c r="BN122" s="726">
        <v>3.8832813938572341E-4</v>
      </c>
      <c r="BO122" s="727">
        <v>4.7127788481955414E-4</v>
      </c>
      <c r="BP122" s="726">
        <v>6.0758798404916727E-4</v>
      </c>
      <c r="BQ122" s="726">
        <v>8.6247810190995559E-4</v>
      </c>
      <c r="BR122" s="726">
        <v>1.3879742328483328E-3</v>
      </c>
      <c r="BS122" s="726">
        <v>2.3281940594158993E-3</v>
      </c>
      <c r="BT122" s="726">
        <v>3.6175260366554658E-3</v>
      </c>
      <c r="BW122" s="1186">
        <f>'2018'!R\Max</f>
        <v>0</v>
      </c>
      <c r="BX122" s="1184">
        <f>'2019'!R\Max</f>
        <v>0.50422495091981923</v>
      </c>
      <c r="BY122" s="1184">
        <f>'2020'!R\Max</f>
        <v>0.60026615015503526</v>
      </c>
      <c r="BZ122" s="1184">
        <f>'2021'!R\Max</f>
        <v>0.71369348234729924</v>
      </c>
      <c r="CA122" s="1184">
        <f>'2022'!R\Max</f>
        <v>0.66891524370422628</v>
      </c>
      <c r="CB122" s="1184">
        <f>'2023'!R\Max</f>
        <v>0.66891419042400568</v>
      </c>
      <c r="CC122" s="1184">
        <f>'2024'!R\Max</f>
        <v>0.66891304982130162</v>
      </c>
      <c r="CD122" s="1184">
        <f>'2025'!R\Max</f>
        <v>0.66891775270981946</v>
      </c>
      <c r="CE122" s="1184">
        <f>'2026'!R\Max</f>
        <v>0.66891717629011671</v>
      </c>
      <c r="CF122" s="1185">
        <f>'2027'!R\Max</f>
        <v>0.6689165969445251</v>
      </c>
    </row>
    <row r="123" spans="1:84" s="6" customFormat="1" ht="11.25" x14ac:dyDescent="0.2">
      <c r="A123" s="11">
        <v>43209</v>
      </c>
      <c r="B123" s="380">
        <f>'2022'!Maxi_hp</f>
        <v>57.730407119667383</v>
      </c>
      <c r="C123" s="13">
        <f>'2022'!An_max</f>
        <v>2021</v>
      </c>
      <c r="D123" s="1062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53">
        <f t="shared" si="62"/>
        <v>0.21428571428571427</v>
      </c>
      <c r="J123" s="746">
        <f t="shared" si="63"/>
        <v>59.842825910608688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55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53">
        <f t="shared" si="67"/>
        <v>0.6071428571428571</v>
      </c>
      <c r="AT123" s="769">
        <f t="shared" si="68"/>
        <v>59.71722412104053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53">
        <f t="shared" si="72"/>
        <v>0.10714285714285714</v>
      </c>
      <c r="AY123" s="769">
        <f t="shared" si="73"/>
        <v>59.854373983905795</v>
      </c>
      <c r="AZ123" s="746">
        <f t="shared" si="77"/>
        <v>59.785799052473166</v>
      </c>
      <c r="BA123" s="643">
        <f t="shared" si="74"/>
        <v>0.96470055083801076</v>
      </c>
      <c r="BC123" s="11">
        <v>43209</v>
      </c>
      <c r="BD123" s="290">
        <f>[2]!FeuilCaduc*(1-Persistant)+Persistant</f>
        <v>0.65019208870491529</v>
      </c>
      <c r="BE123" s="291">
        <f>[2]!CroissVégét</f>
        <v>0.1043431172076847</v>
      </c>
      <c r="BF123" s="816">
        <f>1+[2]!Salcycl*Ksac</f>
        <v>1.0062740110881143</v>
      </c>
      <c r="BH123" s="1053">
        <f t="shared" si="75"/>
        <v>3.6342354715588557E-4</v>
      </c>
      <c r="BI123" s="11">
        <v>44305</v>
      </c>
      <c r="BJ123" s="726">
        <v>4.2028940095031604E-5</v>
      </c>
      <c r="BK123" s="726">
        <v>1.5440514045001597E-4</v>
      </c>
      <c r="BL123" s="726">
        <v>2.6012706205652796E-4</v>
      </c>
      <c r="BM123" s="726">
        <v>3.6369392805569886E-4</v>
      </c>
      <c r="BN123" s="726">
        <v>4.5143638273152805E-4</v>
      </c>
      <c r="BO123" s="727">
        <v>5.4847511831742041E-4</v>
      </c>
      <c r="BP123" s="726">
        <v>7.0318485251610581E-4</v>
      </c>
      <c r="BQ123" s="726">
        <v>9.8384468901374232E-4</v>
      </c>
      <c r="BR123" s="726">
        <v>1.5353595385048516E-3</v>
      </c>
      <c r="BS123" s="726">
        <v>2.4897567560814259E-3</v>
      </c>
      <c r="BT123" s="726">
        <v>3.7783878270406346E-3</v>
      </c>
      <c r="BW123" s="1186">
        <f>'2018'!R\Max</f>
        <v>0</v>
      </c>
      <c r="BX123" s="1184">
        <f>'2019'!R\Max</f>
        <v>0.90122911790777005</v>
      </c>
      <c r="BY123" s="1184">
        <f>'2020'!R\Max</f>
        <v>0.77751493836256491</v>
      </c>
      <c r="BZ123" s="1184">
        <f>'2021'!R\Max</f>
        <v>0.96470055083801076</v>
      </c>
      <c r="CA123" s="1184">
        <f>'2022'!R\Max</f>
        <v>0.1593818770657108</v>
      </c>
      <c r="CB123" s="1184">
        <f>'2023'!R\Max</f>
        <v>0.15938127426645521</v>
      </c>
      <c r="CC123" s="1184">
        <f>'2024'!R\Max</f>
        <v>0.1593806228244076</v>
      </c>
      <c r="CD123" s="1184">
        <f>'2025'!R\Max</f>
        <v>0.15938335994933422</v>
      </c>
      <c r="CE123" s="1184">
        <f>'2026'!R\Max</f>
        <v>0.15938301807629926</v>
      </c>
      <c r="CF123" s="1185">
        <f>'2027'!R\Max</f>
        <v>0.15938267442315948</v>
      </c>
    </row>
    <row r="124" spans="1:84" s="6" customFormat="1" ht="11.25" x14ac:dyDescent="0.2">
      <c r="A124" s="11">
        <v>43210</v>
      </c>
      <c r="B124" s="380">
        <f>'2022'!Maxi_hp</f>
        <v>54.953153725787914</v>
      </c>
      <c r="C124" s="13">
        <f>'2022'!An_max</f>
        <v>2019</v>
      </c>
      <c r="D124" s="1062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53">
        <f t="shared" si="62"/>
        <v>0.2857142857142857</v>
      </c>
      <c r="J124" s="746">
        <f t="shared" si="63"/>
        <v>60.037704955892899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55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53">
        <f t="shared" si="67"/>
        <v>0.6428571428571429</v>
      </c>
      <c r="AT124" s="769">
        <f t="shared" si="68"/>
        <v>59.921486114604136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53">
        <f t="shared" si="72"/>
        <v>0.14285714285714285</v>
      </c>
      <c r="AY124" s="769">
        <f t="shared" si="73"/>
        <v>60.053165015258955</v>
      </c>
      <c r="AZ124" s="746">
        <f t="shared" si="77"/>
        <v>59.987325564931545</v>
      </c>
      <c r="BA124" s="643">
        <f t="shared" si="74"/>
        <v>0.91531069960385092</v>
      </c>
      <c r="BC124" s="11">
        <v>43210</v>
      </c>
      <c r="BD124" s="290">
        <f>[2]!FeuilCaduc*(1-Persistant)+Persistant</f>
        <v>0.65311079982610099</v>
      </c>
      <c r="BE124" s="291">
        <f>[2]!CroissVégét</f>
        <v>0.10829322666502313</v>
      </c>
      <c r="BF124" s="816">
        <f>1+[2]!Salcycl*Ksac</f>
        <v>1.0066388499782626</v>
      </c>
      <c r="BH124" s="1053">
        <f t="shared" si="75"/>
        <v>4.1895255106964786E-4</v>
      </c>
      <c r="BI124" s="11">
        <v>44306</v>
      </c>
      <c r="BJ124" s="726">
        <v>5.2259503497856427E-5</v>
      </c>
      <c r="BK124" s="726">
        <v>1.7810005727431319E-4</v>
      </c>
      <c r="BL124" s="726">
        <v>2.9866083395985865E-4</v>
      </c>
      <c r="BM124" s="726">
        <v>4.1926741737590155E-4</v>
      </c>
      <c r="BN124" s="726">
        <v>5.2195627627568697E-4</v>
      </c>
      <c r="BO124" s="727">
        <v>6.3496152996891572E-4</v>
      </c>
      <c r="BP124" s="726">
        <v>8.0982784595308032E-4</v>
      </c>
      <c r="BQ124" s="726">
        <v>1.1180780899505247E-3</v>
      </c>
      <c r="BR124" s="726">
        <v>1.6986541875243257E-3</v>
      </c>
      <c r="BS124" s="726">
        <v>2.6735190775947154E-3</v>
      </c>
      <c r="BT124" s="726">
        <v>3.9707746835009102E-3</v>
      </c>
      <c r="BW124" s="1186">
        <f>'2018'!R\Max</f>
        <v>0</v>
      </c>
      <c r="BX124" s="1184">
        <f>'2019'!R\Max</f>
        <v>0.91531069960385092</v>
      </c>
      <c r="BY124" s="1184">
        <f>'2020'!R\Max</f>
        <v>0.31417550813520001</v>
      </c>
      <c r="BZ124" s="1184">
        <f>'2021'!R\Max</f>
        <v>0.70227170123163429</v>
      </c>
      <c r="CA124" s="1184">
        <f>'2022'!R\Max</f>
        <v>0.18181176812835251</v>
      </c>
      <c r="CB124" s="1184">
        <f>'2023'!R\Max</f>
        <v>0.18181098995175002</v>
      </c>
      <c r="CC124" s="1184">
        <f>'2024'!R\Max</f>
        <v>0.18181015059483069</v>
      </c>
      <c r="CD124" s="1184">
        <f>'2025'!R\Max</f>
        <v>0.18181374380337251</v>
      </c>
      <c r="CE124" s="1184">
        <f>'2026'!R\Max</f>
        <v>0.18181328682532688</v>
      </c>
      <c r="CF124" s="1185">
        <f>'2027'!R\Max</f>
        <v>0.1818128274097158</v>
      </c>
    </row>
    <row r="125" spans="1:84" s="6" customFormat="1" ht="11.25" x14ac:dyDescent="0.2">
      <c r="A125" s="11">
        <v>43211</v>
      </c>
      <c r="B125" s="380">
        <f>'2022'!Maxi_hp</f>
        <v>55.659407422413302</v>
      </c>
      <c r="C125" s="13">
        <f>'2022'!An_max</f>
        <v>2021</v>
      </c>
      <c r="D125" s="1062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53">
        <f t="shared" si="62"/>
        <v>0.35714285714285715</v>
      </c>
      <c r="J125" s="746">
        <f t="shared" si="63"/>
        <v>60.225856012318808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55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53">
        <f t="shared" si="67"/>
        <v>0.6785714285714286</v>
      </c>
      <c r="AT125" s="769">
        <f t="shared" si="68"/>
        <v>60.120514235273006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53">
        <f t="shared" si="72"/>
        <v>0.17857142857142858</v>
      </c>
      <c r="AY125" s="769">
        <f t="shared" si="73"/>
        <v>60.245013333936889</v>
      </c>
      <c r="AZ125" s="746">
        <f t="shared" si="77"/>
        <v>60.182763784604944</v>
      </c>
      <c r="BA125" s="643">
        <f t="shared" si="74"/>
        <v>0.92417793797781023</v>
      </c>
      <c r="BC125" s="11">
        <v>43211</v>
      </c>
      <c r="BD125" s="290">
        <f>[2]!FeuilCaduc*(1-Persistant)+Persistant</f>
        <v>0.65614184857212821</v>
      </c>
      <c r="BE125" s="291">
        <f>[2]!CroissVégét</f>
        <v>0.11237216879596926</v>
      </c>
      <c r="BF125" s="816">
        <f>1+[2]!Salcycl*Ksac</f>
        <v>1.007017731071516</v>
      </c>
      <c r="BH125" s="1053">
        <f t="shared" si="75"/>
        <v>4.800833186513241E-4</v>
      </c>
      <c r="BI125" s="11">
        <v>44307</v>
      </c>
      <c r="BJ125" s="726">
        <v>6.4503939676869196E-5</v>
      </c>
      <c r="BK125" s="726">
        <v>2.0453345686620582E-4</v>
      </c>
      <c r="BL125" s="726">
        <v>3.4109548616649164E-4</v>
      </c>
      <c r="BM125" s="726">
        <v>4.804471224649214E-4</v>
      </c>
      <c r="BN125" s="726">
        <v>5.998831451298354E-4</v>
      </c>
      <c r="BO125" s="727">
        <v>7.3073126121359598E-4</v>
      </c>
      <c r="BP125" s="726">
        <v>9.2751003758150756E-4</v>
      </c>
      <c r="BQ125" s="726">
        <v>1.265170417796206E-3</v>
      </c>
      <c r="BR125" s="726">
        <v>1.8778492926816749E-3</v>
      </c>
      <c r="BS125" s="726">
        <v>2.8794705228292264E-3</v>
      </c>
      <c r="BT125" s="726">
        <v>4.1946738998992405E-3</v>
      </c>
      <c r="BW125" s="1186">
        <f>'2018'!R\Max</f>
        <v>0</v>
      </c>
      <c r="BX125" s="1184">
        <f>'2019'!R\Max</f>
        <v>0.32019051399989856</v>
      </c>
      <c r="BY125" s="1184">
        <f>'2020'!R\Max</f>
        <v>0.26944378506114897</v>
      </c>
      <c r="BZ125" s="1184">
        <f>'2021'!R\Max</f>
        <v>0.92417793797781023</v>
      </c>
      <c r="CA125" s="1184">
        <f>'2022'!R\Max</f>
        <v>0.16754923660875537</v>
      </c>
      <c r="CB125" s="1184">
        <f>'2023'!R\Max</f>
        <v>0.16754842840013667</v>
      </c>
      <c r="CC125" s="1184">
        <f>'2024'!R\Max</f>
        <v>0.16754755819159012</v>
      </c>
      <c r="CD125" s="1184">
        <f>'2025'!R\Max</f>
        <v>0.16755135109301297</v>
      </c>
      <c r="CE125" s="1184">
        <f>'2026'!R\Max</f>
        <v>0.16755086054609181</v>
      </c>
      <c r="CF125" s="1185">
        <f>'2027'!R\Max</f>
        <v>0.16755036731931638</v>
      </c>
    </row>
    <row r="126" spans="1:84" s="6" customFormat="1" ht="11.25" x14ac:dyDescent="0.2">
      <c r="A126" s="11">
        <v>43212</v>
      </c>
      <c r="B126" s="380">
        <f>'2022'!Maxi_hp</f>
        <v>61.619887493232405</v>
      </c>
      <c r="C126" s="13">
        <f>'2022'!An_max</f>
        <v>2021</v>
      </c>
      <c r="D126" s="1062">
        <f t="shared" si="59"/>
        <v>1.0200684401257454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53">
        <f t="shared" si="62"/>
        <v>0.42857142857142855</v>
      </c>
      <c r="J126" s="746">
        <f t="shared" si="63"/>
        <v>60.407601166090799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55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53">
        <f t="shared" si="67"/>
        <v>0.7142857142857143</v>
      </c>
      <c r="AT126" s="769">
        <f t="shared" si="68"/>
        <v>60.31426822223834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53">
        <f t="shared" si="72"/>
        <v>0.21428571428571427</v>
      </c>
      <c r="AY126" s="769">
        <f t="shared" si="73"/>
        <v>60.430093403692752</v>
      </c>
      <c r="AZ126" s="746">
        <f t="shared" si="77"/>
        <v>60.372180812965546</v>
      </c>
      <c r="BA126" s="643">
        <f t="shared" si="74"/>
        <v>1.0200684401257454</v>
      </c>
      <c r="BC126" s="11">
        <v>43212</v>
      </c>
      <c r="BD126" s="290">
        <f>[2]!FeuilCaduc*(1-Persistant)+Persistant</f>
        <v>0.65928580643717583</v>
      </c>
      <c r="BE126" s="291">
        <f>[2]!CroissVégét</f>
        <v>0.11658273588973417</v>
      </c>
      <c r="BF126" s="816">
        <f>1+[2]!Salcycl*Ksac</f>
        <v>1.007410725804647</v>
      </c>
      <c r="BH126" s="1053">
        <f t="shared" si="75"/>
        <v>5.468127152776413E-4</v>
      </c>
      <c r="BI126" s="11">
        <v>44308</v>
      </c>
      <c r="BJ126" s="726">
        <v>7.8761018746603391E-5</v>
      </c>
      <c r="BK126" s="726">
        <v>2.3370379145378338E-4</v>
      </c>
      <c r="BL126" s="726">
        <v>3.8742885582597388E-4</v>
      </c>
      <c r="BM126" s="726">
        <v>5.4722990615584783E-4</v>
      </c>
      <c r="BN126" s="726">
        <v>6.8521280690604397E-4</v>
      </c>
      <c r="BO126" s="727">
        <v>8.3577904999688666E-4</v>
      </c>
      <c r="BP126" s="726">
        <v>1.0562252526411218E-3</v>
      </c>
      <c r="BQ126" s="726">
        <v>1.4251147762560526E-3</v>
      </c>
      <c r="BR126" s="726">
        <v>2.0729371863917202E-3</v>
      </c>
      <c r="BS126" s="726">
        <v>3.1076018628066462E-3</v>
      </c>
      <c r="BT126" s="726">
        <v>4.4500738875876663E-3</v>
      </c>
      <c r="BW126" s="1186">
        <f>'2018'!R\Max</f>
        <v>0</v>
      </c>
      <c r="BX126" s="1184">
        <f>'2019'!R\Max</f>
        <v>0.57012650267356069</v>
      </c>
      <c r="BY126" s="1184">
        <f>'2020'!R\Max</f>
        <v>0.26685529449809792</v>
      </c>
      <c r="BZ126" s="1184">
        <f>'2021'!R\Max</f>
        <v>1.0200684401257454</v>
      </c>
      <c r="CA126" s="1184">
        <f>'2022'!R\Max</f>
        <v>0.48891619470501163</v>
      </c>
      <c r="CB126" s="1184">
        <f>'2023'!R\Max</f>
        <v>0.48891426229171187</v>
      </c>
      <c r="CC126" s="1184">
        <f>'2024'!R\Max</f>
        <v>0.48891218496523214</v>
      </c>
      <c r="CD126" s="1184">
        <f>'2025'!R\Max</f>
        <v>0.48892139442072602</v>
      </c>
      <c r="CE126" s="1184">
        <f>'2026'!R\Max</f>
        <v>0.48892018488412625</v>
      </c>
      <c r="CF126" s="1185">
        <f>'2027'!R\Max</f>
        <v>0.48891896857432604</v>
      </c>
    </row>
    <row r="127" spans="1:84" s="6" customFormat="1" ht="11.25" x14ac:dyDescent="0.2">
      <c r="A127" s="11">
        <v>43213</v>
      </c>
      <c r="B127" s="380">
        <f>'2022'!Maxi_hp</f>
        <v>61.960154457717145</v>
      </c>
      <c r="C127" s="13">
        <f>'2022'!An_max</f>
        <v>2021</v>
      </c>
      <c r="D127" s="1062">
        <f t="shared" si="59"/>
        <v>1.022727266599557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53">
        <f t="shared" si="62"/>
        <v>0.5</v>
      </c>
      <c r="J127" s="746">
        <f t="shared" si="63"/>
        <v>60.583262499421835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55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53">
        <f t="shared" si="67"/>
        <v>0.75</v>
      </c>
      <c r="AT127" s="769">
        <f t="shared" si="68"/>
        <v>60.502707813121376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53">
        <f t="shared" si="72"/>
        <v>0.25</v>
      </c>
      <c r="AY127" s="769">
        <f t="shared" si="73"/>
        <v>60.608579687215389</v>
      </c>
      <c r="AZ127" s="746">
        <f t="shared" si="77"/>
        <v>60.555643750168386</v>
      </c>
      <c r="BA127" s="643">
        <f t="shared" si="74"/>
        <v>1.022727266599557</v>
      </c>
      <c r="BC127" s="11">
        <v>43213</v>
      </c>
      <c r="BD127" s="290">
        <f>[2]!FeuilCaduc*(1-Persistant)+Persistant</f>
        <v>0.66254307137046731</v>
      </c>
      <c r="BE127" s="291">
        <f>[2]!CroissVégét</f>
        <v>0.12092767389780094</v>
      </c>
      <c r="BF127" s="816">
        <f>1+[2]!Salcycl*Ksac</f>
        <v>1.0078178839213083</v>
      </c>
      <c r="BH127" s="1053">
        <f t="shared" si="75"/>
        <v>6.1913638467249368E-4</v>
      </c>
      <c r="BI127" s="11">
        <v>44309</v>
      </c>
      <c r="BJ127" s="726">
        <v>9.5029329539806794E-5</v>
      </c>
      <c r="BK127" s="726">
        <v>2.6560898452567525E-4</v>
      </c>
      <c r="BL127" s="726">
        <v>4.3765790965395919E-4</v>
      </c>
      <c r="BM127" s="726">
        <v>6.1961140870961417E-4</v>
      </c>
      <c r="BN127" s="726">
        <v>7.7793954831295803E-4</v>
      </c>
      <c r="BO127" s="727">
        <v>9.5009776594963478E-4</v>
      </c>
      <c r="BP127" s="726">
        <v>1.1959649479400265E-3</v>
      </c>
      <c r="BQ127" s="726">
        <v>1.5979010378974776E-3</v>
      </c>
      <c r="BR127" s="726">
        <v>2.2839053112336475E-3</v>
      </c>
      <c r="BS127" s="726">
        <v>3.3578961072131116E-3</v>
      </c>
      <c r="BT127" s="726">
        <v>4.736951413965889E-3</v>
      </c>
      <c r="BW127" s="1186">
        <f>'2018'!R\Max</f>
        <v>0</v>
      </c>
      <c r="BX127" s="1184">
        <f>'2019'!R\Max</f>
        <v>0.60216248230224378</v>
      </c>
      <c r="BY127" s="1184">
        <f>'2020'!R\Max</f>
        <v>0.17257041843439869</v>
      </c>
      <c r="BZ127" s="1184">
        <f>'2021'!R\Max</f>
        <v>1.022727266599557</v>
      </c>
      <c r="CA127" s="1184">
        <f>'2022'!R\Max</f>
        <v>0.16869698307714207</v>
      </c>
      <c r="CB127" s="1184">
        <f>'2023'!R\Max</f>
        <v>0.16869596246867388</v>
      </c>
      <c r="CC127" s="1184">
        <f>'2024'!R\Max</f>
        <v>0.16869486690038149</v>
      </c>
      <c r="CD127" s="1184">
        <f>'2025'!R\Max</f>
        <v>0.16869980170288401</v>
      </c>
      <c r="CE127" s="1184">
        <f>'2026'!R\Max</f>
        <v>0.16869914447389264</v>
      </c>
      <c r="CF127" s="1185">
        <f>'2027'!R\Max</f>
        <v>0.16869848347139221</v>
      </c>
    </row>
    <row r="128" spans="1:84" s="6" customFormat="1" ht="11.25" x14ac:dyDescent="0.2">
      <c r="A128" s="11">
        <v>43214</v>
      </c>
      <c r="B128" s="380">
        <f>'2022'!Maxi_hp</f>
        <v>59.446721075347604</v>
      </c>
      <c r="C128" s="13">
        <f>'2022'!An_max</f>
        <v>2021</v>
      </c>
      <c r="D128" s="1062">
        <f t="shared" si="59"/>
        <v>0.97849591726534979</v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53">
        <f t="shared" si="62"/>
        <v>0.5714285714285714</v>
      </c>
      <c r="J128" s="746">
        <f t="shared" si="63"/>
        <v>60.753162099527458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55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53">
        <f t="shared" si="67"/>
        <v>0.7857142857142857</v>
      </c>
      <c r="AT128" s="769">
        <f t="shared" si="68"/>
        <v>60.68579274857683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53">
        <f t="shared" si="72"/>
        <v>0.2857142857142857</v>
      </c>
      <c r="AY128" s="769">
        <f t="shared" si="73"/>
        <v>60.780646647832228</v>
      </c>
      <c r="AZ128" s="746">
        <f t="shared" si="77"/>
        <v>60.733219698204529</v>
      </c>
      <c r="BA128" s="643">
        <f t="shared" si="74"/>
        <v>0.97849591726534979</v>
      </c>
      <c r="BC128" s="11">
        <v>43214</v>
      </c>
      <c r="BD128" s="290">
        <f>[2]!FeuilCaduc*(1-Persistant)+Persistant</f>
        <v>0.66591386079386361</v>
      </c>
      <c r="BE128" s="291">
        <f>[2]!CroissVégét</f>
        <v>0.12540967267096395</v>
      </c>
      <c r="BF128" s="816">
        <f>1+[2]!Salcycl*Ksac</f>
        <v>1.0082392325992329</v>
      </c>
      <c r="BH128" s="1053">
        <f t="shared" si="75"/>
        <v>6.9894493373864137E-4</v>
      </c>
      <c r="BI128" s="11">
        <v>44310</v>
      </c>
      <c r="BJ128" s="726">
        <v>1.1251550906886317E-4</v>
      </c>
      <c r="BK128" s="726">
        <v>3.0041111235207685E-4</v>
      </c>
      <c r="BL128" s="726">
        <v>4.9270293113400651E-4</v>
      </c>
      <c r="BM128" s="726">
        <v>6.9948477687260563E-4</v>
      </c>
      <c r="BN128" s="726">
        <v>8.8168947590824733E-4</v>
      </c>
      <c r="BO128" s="727">
        <v>1.0791253482950293E-3</v>
      </c>
      <c r="BP128" s="726">
        <v>1.3533469596132286E-3</v>
      </c>
      <c r="BQ128" s="726">
        <v>1.7909715684181571E-3</v>
      </c>
      <c r="BR128" s="726">
        <v>2.518504117822307E-3</v>
      </c>
      <c r="BS128" s="726">
        <v>3.6380779882486023E-3</v>
      </c>
      <c r="BT128" s="726">
        <v>5.0627934240726064E-3</v>
      </c>
      <c r="BW128" s="1186">
        <f>'2018'!R\Max</f>
        <v>0</v>
      </c>
      <c r="BX128" s="1184">
        <f>'2019'!R\Max</f>
        <v>0.88505208344268738</v>
      </c>
      <c r="BY128" s="1184">
        <f>'2020'!R\Max</f>
        <v>0.27757149494167005</v>
      </c>
      <c r="BZ128" s="1184">
        <f>'2021'!R\Max</f>
        <v>0.97849591726534979</v>
      </c>
      <c r="CA128" s="1184">
        <f>'2022'!R\Max</f>
        <v>0.53384026014660491</v>
      </c>
      <c r="CB128" s="1184">
        <f>'2023'!R\Max</f>
        <v>0.53383785585478072</v>
      </c>
      <c r="CC128" s="1184">
        <f>'2024'!R\Max</f>
        <v>0.53383527936229691</v>
      </c>
      <c r="CD128" s="1184">
        <f>'2025'!R\Max</f>
        <v>0.53384709403621733</v>
      </c>
      <c r="CE128" s="1184">
        <f>'2026'!R\Max</f>
        <v>0.53384549654246904</v>
      </c>
      <c r="CF128" s="1185">
        <f>'2027'!R\Max</f>
        <v>0.53384388966776741</v>
      </c>
    </row>
    <row r="129" spans="1:84" s="6" customFormat="1" ht="11.25" x14ac:dyDescent="0.2">
      <c r="A129" s="11">
        <v>43215</v>
      </c>
      <c r="B129" s="380">
        <f>'2022'!Maxi_hp</f>
        <v>54.184367462537033</v>
      </c>
      <c r="C129" s="13">
        <f>'2022'!An_max</f>
        <v>2020</v>
      </c>
      <c r="D129" s="1062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53">
        <f t="shared" si="62"/>
        <v>0.6428571428571429</v>
      </c>
      <c r="J129" s="746">
        <f t="shared" si="63"/>
        <v>60.917622048407793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55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53">
        <f t="shared" si="67"/>
        <v>0.8214285714285714</v>
      </c>
      <c r="AT129" s="769">
        <f t="shared" si="68"/>
        <v>60.863482767875709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53">
        <f t="shared" si="72"/>
        <v>0.32142857142857145</v>
      </c>
      <c r="AY129" s="769">
        <f t="shared" si="73"/>
        <v>60.946468745491337</v>
      </c>
      <c r="AZ129" s="746">
        <f t="shared" si="77"/>
        <v>60.904975756683527</v>
      </c>
      <c r="BA129" s="643">
        <f t="shared" si="74"/>
        <v>0.8894695104723519</v>
      </c>
      <c r="BC129" s="11">
        <v>43215</v>
      </c>
      <c r="BD129" s="290">
        <f>[2]!FeuilCaduc*(1-Persistant)+Persistant</f>
        <v>0.66939820447918286</v>
      </c>
      <c r="BE129" s="291">
        <f>[2]!CroissVégét</f>
        <v>0.13003135568089563</v>
      </c>
      <c r="BF129" s="816">
        <f>1+[2]!Salcycl*Ksac</f>
        <v>1.0086747755598979</v>
      </c>
      <c r="BH129" s="1053">
        <f t="shared" si="75"/>
        <v>7.8382933075405554E-4</v>
      </c>
      <c r="BI129" s="11">
        <v>44311</v>
      </c>
      <c r="BJ129" s="726">
        <v>1.3074420651929724E-4</v>
      </c>
      <c r="BK129" s="726">
        <v>3.37218404969899E-4</v>
      </c>
      <c r="BL129" s="726">
        <v>5.5104018254119433E-4</v>
      </c>
      <c r="BM129" s="726">
        <v>7.8443866164561496E-4</v>
      </c>
      <c r="BN129" s="726">
        <v>9.9337168335711054E-4</v>
      </c>
      <c r="BO129" s="727">
        <v>1.2190854185580484E-3</v>
      </c>
      <c r="BP129" s="726">
        <v>1.5238950259221875E-3</v>
      </c>
      <c r="BQ129" s="726">
        <v>1.9987908994512503E-3</v>
      </c>
      <c r="BR129" s="726">
        <v>2.7691595875098136E-3</v>
      </c>
      <c r="BS129" s="726">
        <v>3.9356500672306687E-3</v>
      </c>
      <c r="BT129" s="726">
        <v>5.4076062946357513E-3</v>
      </c>
      <c r="BW129" s="1186">
        <f>'2018'!R\Max</f>
        <v>0</v>
      </c>
      <c r="BX129" s="1184">
        <f>'2019'!R\Max</f>
        <v>0.61331097047111527</v>
      </c>
      <c r="BY129" s="1184">
        <f>'2020'!R\Max</f>
        <v>0.8894695104723519</v>
      </c>
      <c r="BZ129" s="1184">
        <f>'2021'!R\Max</f>
        <v>0.47246398228604819</v>
      </c>
      <c r="CA129" s="1184">
        <f>'2022'!R\Max</f>
        <v>0.81938516453635213</v>
      </c>
      <c r="CB129" s="1184">
        <f>'2023'!R\Max</f>
        <v>0.81938357121204008</v>
      </c>
      <c r="CC129" s="1184">
        <f>'2024'!R\Max</f>
        <v>0.81938186690175274</v>
      </c>
      <c r="CD129" s="1184">
        <f>'2025'!R\Max</f>
        <v>0.81938982560496165</v>
      </c>
      <c r="CE129" s="1184">
        <f>'2026'!R\Max</f>
        <v>0.81938873349179242</v>
      </c>
      <c r="CF129" s="1185">
        <f>'2027'!R\Max</f>
        <v>0.81938763480620203</v>
      </c>
    </row>
    <row r="130" spans="1:84" s="6" customFormat="1" ht="11.25" x14ac:dyDescent="0.2">
      <c r="A130" s="11">
        <v>43216</v>
      </c>
      <c r="B130" s="380">
        <f>'2022'!Maxi_hp</f>
        <v>58.114308236973073</v>
      </c>
      <c r="C130" s="13">
        <f>'2022'!An_max</f>
        <v>2022</v>
      </c>
      <c r="D130" s="1062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53">
        <f t="shared" si="62"/>
        <v>0.7142857142857143</v>
      </c>
      <c r="J130" s="746">
        <f t="shared" si="63"/>
        <v>61.076964431681802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55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53">
        <f t="shared" si="67"/>
        <v>0.8571428571428571</v>
      </c>
      <c r="AT130" s="769">
        <f t="shared" si="68"/>
        <v>61.035737609969729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53">
        <f t="shared" si="72"/>
        <v>0.35714285714285715</v>
      </c>
      <c r="AY130" s="769">
        <f t="shared" si="73"/>
        <v>61.106220444717579</v>
      </c>
      <c r="AZ130" s="746">
        <f t="shared" si="77"/>
        <v>61.070979027343654</v>
      </c>
      <c r="BA130" s="643">
        <f t="shared" si="74"/>
        <v>0.95149306743915485</v>
      </c>
      <c r="BC130" s="11">
        <v>43216</v>
      </c>
      <c r="BD130" s="290">
        <f>[2]!FeuilCaduc*(1-Persistant)+Persistant</f>
        <v>0.67299593732628415</v>
      </c>
      <c r="BE130" s="291">
        <f>[2]!CroissVégét</f>
        <v>0.13479526923661356</v>
      </c>
      <c r="BF130" s="816">
        <f>1+[2]!Salcycl*Ksac</f>
        <v>1.0091244921657856</v>
      </c>
      <c r="BH130" s="1053">
        <f t="shared" si="75"/>
        <v>8.7378485202197376E-4</v>
      </c>
      <c r="BI130" s="11">
        <v>44312</v>
      </c>
      <c r="BJ130" s="726">
        <v>1.4971463884694313E-4</v>
      </c>
      <c r="BK130" s="726">
        <v>3.7602894029978908E-4</v>
      </c>
      <c r="BL130" s="726">
        <v>6.1266654053987067E-4</v>
      </c>
      <c r="BM130" s="726">
        <v>8.7446833514289834E-4</v>
      </c>
      <c r="BN130" s="726">
        <v>1.1129791598956794E-3</v>
      </c>
      <c r="BO130" s="727">
        <v>1.3699685605278113E-3</v>
      </c>
      <c r="BP130" s="726">
        <v>1.7075977639962221E-3</v>
      </c>
      <c r="BQ130" s="726">
        <v>2.2213459589458138E-3</v>
      </c>
      <c r="BR130" s="726">
        <v>3.0358569842036396E-3</v>
      </c>
      <c r="BS130" s="726">
        <v>4.2505957763115379E-3</v>
      </c>
      <c r="BT130" s="726">
        <v>5.7713713938501018E-3</v>
      </c>
      <c r="BW130" s="1186">
        <f>'2018'!R\Max</f>
        <v>0</v>
      </c>
      <c r="BX130" s="1184">
        <f>'2019'!R\Max</f>
        <v>0.50381029964953372</v>
      </c>
      <c r="BY130" s="1184">
        <f>'2020'!R\Max</f>
        <v>0.79942221407178138</v>
      </c>
      <c r="BZ130" s="1184">
        <f>'2021'!R\Max</f>
        <v>0.13415386968225393</v>
      </c>
      <c r="CA130" s="1184">
        <f>'2022'!R\Max</f>
        <v>0.95149306743915485</v>
      </c>
      <c r="CB130" s="1184">
        <f>'2023'!R\Max</f>
        <v>0.95149251551600289</v>
      </c>
      <c r="CC130" s="1184">
        <f>'2024'!R\Max</f>
        <v>0.95149192627902912</v>
      </c>
      <c r="CD130" s="1184">
        <f>'2025'!R\Max</f>
        <v>0.95149472785785139</v>
      </c>
      <c r="CE130" s="1184">
        <f>'2026'!R\Max</f>
        <v>0.95149433798288474</v>
      </c>
      <c r="CF130" s="1185">
        <f>'2027'!R\Max</f>
        <v>0.95149394569931001</v>
      </c>
    </row>
    <row r="131" spans="1:84" s="6" customFormat="1" ht="11.25" x14ac:dyDescent="0.2">
      <c r="A131" s="11">
        <v>43217</v>
      </c>
      <c r="B131" s="380">
        <f>'2022'!Maxi_hp</f>
        <v>43.779467103843352</v>
      </c>
      <c r="C131" s="13">
        <f>'2022'!An_max</f>
        <v>2022</v>
      </c>
      <c r="D131" s="1062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53">
        <f t="shared" si="62"/>
        <v>0.7857142857142857</v>
      </c>
      <c r="J131" s="746">
        <f t="shared" si="63"/>
        <v>61.231511333584784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55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53">
        <f t="shared" si="67"/>
        <v>0.8928571428571429</v>
      </c>
      <c r="AT131" s="769">
        <f t="shared" si="68"/>
        <v>61.202517015433742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53">
        <f t="shared" si="72"/>
        <v>0.39285714285714285</v>
      </c>
      <c r="AY131" s="769">
        <f t="shared" si="73"/>
        <v>61.260076206736265</v>
      </c>
      <c r="AZ131" s="746">
        <f t="shared" si="77"/>
        <v>61.231296611085</v>
      </c>
      <c r="BA131" s="643">
        <f t="shared" si="74"/>
        <v>0.71498263149730257</v>
      </c>
      <c r="BC131" s="11">
        <v>43217</v>
      </c>
      <c r="BD131" s="290">
        <f>[2]!FeuilCaduc*(1-Persistant)+Persistant</f>
        <v>0.67670669209087531</v>
      </c>
      <c r="BE131" s="291">
        <f>[2]!CroissVégét</f>
        <v>0.13970387121088346</v>
      </c>
      <c r="BF131" s="816">
        <f>1+[2]!Salcycl*Ksac</f>
        <v>1.0095883365113594</v>
      </c>
      <c r="BH131" s="1053">
        <f t="shared" si="75"/>
        <v>9.6880653986642111E-4</v>
      </c>
      <c r="BI131" s="11">
        <v>44313</v>
      </c>
      <c r="BJ131" s="726">
        <v>1.6942598361628449E-4</v>
      </c>
      <c r="BK131" s="726">
        <v>4.1684070091509845E-4</v>
      </c>
      <c r="BL131" s="726">
        <v>6.7757872710712155E-4</v>
      </c>
      <c r="BM131" s="726">
        <v>9.6956883529195049E-4</v>
      </c>
      <c r="BN131" s="726">
        <v>1.2405045478034071E-3</v>
      </c>
      <c r="BO131" s="727">
        <v>1.5317648922542476E-3</v>
      </c>
      <c r="BP131" s="726">
        <v>1.9044432282836912E-3</v>
      </c>
      <c r="BQ131" s="726">
        <v>2.4586230295421496E-3</v>
      </c>
      <c r="BR131" s="726">
        <v>3.3185808474087588E-3</v>
      </c>
      <c r="BS131" s="726">
        <v>4.5828977395866678E-3</v>
      </c>
      <c r="BT131" s="726">
        <v>6.1540691900952007E-3</v>
      </c>
      <c r="BW131" s="1186">
        <f>'2018'!R\Max</f>
        <v>0</v>
      </c>
      <c r="BX131" s="1184">
        <f>'2019'!R\Max</f>
        <v>0.49701769991741207</v>
      </c>
      <c r="BY131" s="1184">
        <f>'2020'!R\Max</f>
        <v>0.39917465575710198</v>
      </c>
      <c r="BZ131" s="1184">
        <f>'2021'!R\Max</f>
        <v>0.34922307575727807</v>
      </c>
      <c r="CA131" s="1184">
        <f>'2022'!R\Max</f>
        <v>0.71498263149730257</v>
      </c>
      <c r="CB131" s="1184">
        <f>'2023'!R\Max</f>
        <v>0.71497993363044865</v>
      </c>
      <c r="CC131" s="1184">
        <f>'2024'!R\Max</f>
        <v>0.71497705903391839</v>
      </c>
      <c r="CD131" s="1184">
        <f>'2025'!R\Max</f>
        <v>0.71499096800049133</v>
      </c>
      <c r="CE131" s="1184">
        <f>'2026'!R\Max</f>
        <v>0.71498900673123289</v>
      </c>
      <c r="CF131" s="1185">
        <f>'2027'!R\Max</f>
        <v>0.71498703301301036</v>
      </c>
    </row>
    <row r="132" spans="1:84" s="6" customFormat="1" ht="11.25" x14ac:dyDescent="0.2">
      <c r="A132" s="11">
        <v>43218</v>
      </c>
      <c r="B132" s="380">
        <f>'2022'!Maxi_hp</f>
        <v>46.870510731346037</v>
      </c>
      <c r="C132" s="13">
        <f>'2022'!An_max</f>
        <v>2019</v>
      </c>
      <c r="D132" s="1062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53">
        <f t="shared" si="62"/>
        <v>0.8571428571428571</v>
      </c>
      <c r="J132" s="746">
        <f t="shared" si="63"/>
        <v>61.381584838990662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55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53">
        <f t="shared" si="67"/>
        <v>0.9285714285714286</v>
      </c>
      <c r="AT132" s="769">
        <f t="shared" si="68"/>
        <v>61.363780722501019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53">
        <f t="shared" si="72"/>
        <v>0.42857142857142855</v>
      </c>
      <c r="AY132" s="769">
        <f t="shared" si="73"/>
        <v>61.408210496285122</v>
      </c>
      <c r="AZ132" s="746">
        <f t="shared" si="77"/>
        <v>61.385995609393071</v>
      </c>
      <c r="BA132" s="643">
        <f t="shared" si="74"/>
        <v>0.76359238449596145</v>
      </c>
      <c r="BC132" s="11">
        <v>43218</v>
      </c>
      <c r="BD132" s="290">
        <f>[2]!FeuilCaduc*(1-Persistant)+Persistant</f>
        <v>0.68052989211860793</v>
      </c>
      <c r="BE132" s="291">
        <f>[2]!CroissVégét</f>
        <v>0.14475951929663808</v>
      </c>
      <c r="BF132" s="816">
        <f>1+[2]!Salcycl*Ksac</f>
        <v>1.0100662365148261</v>
      </c>
      <c r="BH132" s="1053">
        <f t="shared" si="75"/>
        <v>1.068889191456074E-3</v>
      </c>
      <c r="BI132" s="11">
        <v>44314</v>
      </c>
      <c r="BJ132" s="726">
        <v>1.8987737736018365E-4</v>
      </c>
      <c r="BK132" s="726">
        <v>4.5965156962376335E-4</v>
      </c>
      <c r="BL132" s="726">
        <v>7.4577330228069812E-4</v>
      </c>
      <c r="BM132" s="726">
        <v>1.0697349546470981E-3</v>
      </c>
      <c r="BN132" s="726">
        <v>1.3759401249575935E-3</v>
      </c>
      <c r="BO132" s="727">
        <v>1.7044640420175857E-3</v>
      </c>
      <c r="BP132" s="726">
        <v>2.1144188816098921E-3</v>
      </c>
      <c r="BQ132" s="726">
        <v>2.7106077161340551E-3</v>
      </c>
      <c r="BR132" s="726">
        <v>3.6173149568889725E-3</v>
      </c>
      <c r="BS132" s="726">
        <v>4.932537734793848E-3</v>
      </c>
      <c r="BT132" s="726">
        <v>6.5556792101306187E-3</v>
      </c>
      <c r="BW132" s="1186">
        <f>'2018'!R\Max</f>
        <v>0</v>
      </c>
      <c r="BX132" s="1184">
        <f>'2019'!R\Max</f>
        <v>0.76359238449596145</v>
      </c>
      <c r="BY132" s="1184">
        <f>'2020'!R\Max</f>
        <v>0.38314251584144093</v>
      </c>
      <c r="BZ132" s="1184">
        <f>'2021'!R\Max</f>
        <v>0.30575183627881741</v>
      </c>
      <c r="CA132" s="1184">
        <f>'2022'!R\Max</f>
        <v>0.35504549501158</v>
      </c>
      <c r="CB132" s="1184">
        <f>'2023'!R\Max</f>
        <v>0.35504214958735558</v>
      </c>
      <c r="CC132" s="1184">
        <f>'2024'!R\Max</f>
        <v>0.35503859209454813</v>
      </c>
      <c r="CD132" s="1184">
        <f>'2025'!R\Max</f>
        <v>0.35505609737001625</v>
      </c>
      <c r="CE132" s="1184">
        <f>'2026'!R\Max</f>
        <v>0.35505359860511743</v>
      </c>
      <c r="CF132" s="1185">
        <f>'2027'!R\Max</f>
        <v>0.3550510835252827</v>
      </c>
    </row>
    <row r="133" spans="1:84" s="6" customFormat="1" ht="11.25" x14ac:dyDescent="0.2">
      <c r="A133" s="11">
        <v>43219</v>
      </c>
      <c r="B133" s="380">
        <f>'2022'!Maxi_hp</f>
        <v>52.731591737433121</v>
      </c>
      <c r="C133" s="13">
        <f>'2022'!An_max</f>
        <v>2019</v>
      </c>
      <c r="D133" s="1062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53">
        <f t="shared" si="62"/>
        <v>0.9285714285714286</v>
      </c>
      <c r="J133" s="746">
        <f t="shared" si="63"/>
        <v>61.527507033305504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55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53">
        <f t="shared" si="67"/>
        <v>0.9642857142857143</v>
      </c>
      <c r="AT133" s="769">
        <f t="shared" si="68"/>
        <v>61.51948847118765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53">
        <f t="shared" si="72"/>
        <v>0.4642857142857143</v>
      </c>
      <c r="AY133" s="769">
        <f t="shared" si="73"/>
        <v>61.550797772780058</v>
      </c>
      <c r="AZ133" s="746">
        <f t="shared" si="77"/>
        <v>61.53514312198385</v>
      </c>
      <c r="BA133" s="643">
        <f t="shared" si="74"/>
        <v>0.85704092819637467</v>
      </c>
      <c r="BC133" s="11">
        <v>43219</v>
      </c>
      <c r="BD133" s="290">
        <f>[2]!FeuilCaduc*(1-Persistant)+Persistant</f>
        <v>0.68446474414919523</v>
      </c>
      <c r="BE133" s="291">
        <f>[2]!CroissVégét</f>
        <v>0.14996445881890225</v>
      </c>
      <c r="BF133" s="816">
        <f>1+[2]!Salcycl*Ksac</f>
        <v>1.0105580930186495</v>
      </c>
      <c r="BH133" s="1053">
        <f t="shared" si="75"/>
        <v>1.1740273476204836E-3</v>
      </c>
      <c r="BI133" s="11">
        <v>44315</v>
      </c>
      <c r="BJ133" s="726">
        <v>2.1106791393834913E-4</v>
      </c>
      <c r="BK133" s="726">
        <v>5.0445932504689626E-4</v>
      </c>
      <c r="BL133" s="726">
        <v>8.1724665690156308E-4</v>
      </c>
      <c r="BM133" s="726">
        <v>1.1749612291954451E-3</v>
      </c>
      <c r="BN133" s="726">
        <v>1.5192777873782413E-3</v>
      </c>
      <c r="BO133" s="727">
        <v>1.888055124285978E-3</v>
      </c>
      <c r="BP133" s="726">
        <v>2.3375115662201181E-3</v>
      </c>
      <c r="BQ133" s="726">
        <v>2.9772849134115484E-3</v>
      </c>
      <c r="BR133" s="726">
        <v>3.9320422973010477E-3</v>
      </c>
      <c r="BS133" s="726">
        <v>5.2994966549734703E-3</v>
      </c>
      <c r="BT133" s="726">
        <v>6.9761799972376595E-3</v>
      </c>
      <c r="BW133" s="1186">
        <f>'2018'!R\Max</f>
        <v>0</v>
      </c>
      <c r="BX133" s="1184">
        <f>'2019'!R\Max</f>
        <v>0.85704092819637467</v>
      </c>
      <c r="BY133" s="1184">
        <f>'2020'!R\Max</f>
        <v>0.53737211348428948</v>
      </c>
      <c r="BZ133" s="1184">
        <f>'2021'!R\Max</f>
        <v>0.45462464152595206</v>
      </c>
      <c r="CA133" s="1184">
        <f>'2022'!R\Max</f>
        <v>0.71286475427687568</v>
      </c>
      <c r="CB133" s="1184">
        <f>'2023'!R\Max</f>
        <v>0.71286146455191945</v>
      </c>
      <c r="CC133" s="1184">
        <f>'2024'!R\Max</f>
        <v>0.7128579731541832</v>
      </c>
      <c r="CD133" s="1184">
        <f>'2025'!R\Max</f>
        <v>0.712875430066787</v>
      </c>
      <c r="CE133" s="1184">
        <f>'2026'!R\Max</f>
        <v>0.71287291000894071</v>
      </c>
      <c r="CF133" s="1185">
        <f>'2027'!R\Max</f>
        <v>0.71287037295927091</v>
      </c>
    </row>
    <row r="134" spans="1:84" s="6" customFormat="1" ht="11.25" x14ac:dyDescent="0.2">
      <c r="A134" s="11">
        <v>43220</v>
      </c>
      <c r="B134" s="380">
        <f>'2022'!Maxi_hp</f>
        <v>62.081683557920357</v>
      </c>
      <c r="C134" s="13">
        <f>'2022'!An_max</f>
        <v>2019</v>
      </c>
      <c r="D134" s="1062">
        <f t="shared" si="59"/>
        <v>1.0066821182063173</v>
      </c>
      <c r="E134" s="1057">
        <f>V$13/10</f>
        <v>61.669600000000003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53">
        <f t="shared" si="62"/>
        <v>1</v>
      </c>
      <c r="J134" s="746">
        <f t="shared" si="63"/>
        <v>61.669600000977518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55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53">
        <f t="shared" si="67"/>
        <v>1</v>
      </c>
      <c r="AT134" s="769">
        <f t="shared" si="68"/>
        <v>61.669600000232457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53">
        <f t="shared" si="72"/>
        <v>0.5</v>
      </c>
      <c r="AY134" s="769">
        <f t="shared" si="73"/>
        <v>61.688012500479815</v>
      </c>
      <c r="AZ134" s="746">
        <f t="shared" si="77"/>
        <v>61.678806250356132</v>
      </c>
      <c r="BA134" s="643">
        <f t="shared" si="74"/>
        <v>1.0066821182063173</v>
      </c>
      <c r="BC134" s="11">
        <v>43220</v>
      </c>
      <c r="BD134" s="290">
        <f>[2]!FeuilCaduc*(1-Persistant)+Persistant</f>
        <v>0.68851023126092314</v>
      </c>
      <c r="BE134" s="291">
        <f>[2]!CroissVégét</f>
        <v>0.1553208101334605</v>
      </c>
      <c r="BF134" s="816">
        <f>1+[2]!Salcycl*Ksac</f>
        <v>1.0110637789076153</v>
      </c>
      <c r="BH134" s="1053">
        <f t="shared" si="75"/>
        <v>1.28421528166829E-3</v>
      </c>
      <c r="BI134" s="11">
        <v>44316</v>
      </c>
      <c r="BJ134" s="726">
        <v>2.3299664289612454E-4</v>
      </c>
      <c r="BK134" s="726">
        <v>5.5126163719823498E-4</v>
      </c>
      <c r="BL134" s="726">
        <v>8.919950053578444E-4</v>
      </c>
      <c r="BM134" s="726">
        <v>1.2852419271648123E-3</v>
      </c>
      <c r="BN134" s="726">
        <v>1.6705090317754242E-3</v>
      </c>
      <c r="BO134" s="727">
        <v>2.0825267156762053E-3</v>
      </c>
      <c r="BP134" s="726">
        <v>2.5737074748265667E-3</v>
      </c>
      <c r="BQ134" s="726">
        <v>3.2586387734086929E-3</v>
      </c>
      <c r="BR134" s="726">
        <v>4.2627450228360344E-3</v>
      </c>
      <c r="BS134" s="726">
        <v>5.6837544701391785E-3</v>
      </c>
      <c r="BT134" s="726">
        <v>7.4155490693754754E-3</v>
      </c>
      <c r="BW134" s="1186">
        <f>'2018'!R\Max</f>
        <v>0</v>
      </c>
      <c r="BX134" s="1184">
        <f>'2019'!R\Max</f>
        <v>1.0066821182063173</v>
      </c>
      <c r="BY134" s="1184">
        <f>'2020'!R\Max</f>
        <v>0.88309632360674206</v>
      </c>
      <c r="BZ134" s="1184">
        <f>'2021'!R\Max</f>
        <v>0.27579751115836959</v>
      </c>
      <c r="CA134" s="1184">
        <f>'2022'!R\Max</f>
        <v>0.7560805423351058</v>
      </c>
      <c r="CB134" s="1184">
        <f>'2023'!R\Max</f>
        <v>0.75607729151126679</v>
      </c>
      <c r="CC134" s="1184">
        <f>'2024'!R\Max</f>
        <v>0.75607384815670631</v>
      </c>
      <c r="CD134" s="1184">
        <f>'2025'!R\Max</f>
        <v>0.75609132808523194</v>
      </c>
      <c r="CE134" s="1184">
        <f>'2026'!R\Max</f>
        <v>0.75608877837928501</v>
      </c>
      <c r="CF134" s="1185">
        <f>'2027'!R\Max</f>
        <v>0.75608621091549466</v>
      </c>
    </row>
    <row r="135" spans="1:84" s="6" customFormat="1" ht="11.25" x14ac:dyDescent="0.2">
      <c r="A135" s="11">
        <v>43221</v>
      </c>
      <c r="B135" s="380">
        <f>'2022'!Maxi_hp</f>
        <v>57.93362071879104</v>
      </c>
      <c r="C135" s="13">
        <f>'2022'!An_max</f>
        <v>2019</v>
      </c>
      <c r="D135" s="1062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53">
        <f t="shared" si="62"/>
        <v>0.9285714285714286</v>
      </c>
      <c r="J135" s="746">
        <f t="shared" si="63"/>
        <v>61.807147996234036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55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53">
        <f t="shared" si="67"/>
        <v>0.9642857142857143</v>
      </c>
      <c r="AT135" s="769">
        <f t="shared" si="68"/>
        <v>61.813605343869753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53">
        <f t="shared" si="72"/>
        <v>0.5357142857142857</v>
      </c>
      <c r="AY135" s="769">
        <f t="shared" si="73"/>
        <v>61.820029141035455</v>
      </c>
      <c r="AZ135" s="746">
        <f t="shared" si="77"/>
        <v>61.816817242452601</v>
      </c>
      <c r="BA135" s="643">
        <f t="shared" si="74"/>
        <v>0.93732881385047873</v>
      </c>
      <c r="BC135" s="11">
        <v>43221</v>
      </c>
      <c r="BD135" s="290">
        <f>[2]!FeuilCaduc*(1-Persistant)+Persistant</f>
        <v>0.69266510603190956</v>
      </c>
      <c r="BE135" s="291">
        <f>[2]!CroissVégét</f>
        <v>0.16083055564958049</v>
      </c>
      <c r="BF135" s="816">
        <f>1+[2]!Salcycl*Ksac</f>
        <v>1.0115831382539886</v>
      </c>
      <c r="BH135" s="1053">
        <f t="shared" si="75"/>
        <v>1.3994469882031881E-3</v>
      </c>
      <c r="BI135" s="11">
        <v>44317</v>
      </c>
      <c r="BJ135" s="726">
        <v>2.5566256782286846E-4</v>
      </c>
      <c r="BK135" s="726">
        <v>6.0005606306262865E-4</v>
      </c>
      <c r="BL135" s="726">
        <v>9.7001437832722843E-4</v>
      </c>
      <c r="BM135" s="726">
        <v>1.400571037829424E-3</v>
      </c>
      <c r="BN135" s="726">
        <v>1.8296249380937103E-3</v>
      </c>
      <c r="BO135" s="727">
        <v>2.2878668309106883E-3</v>
      </c>
      <c r="BP135" s="726">
        <v>2.8229921216507063E-3</v>
      </c>
      <c r="BQ135" s="726">
        <v>3.554652673045707E-3</v>
      </c>
      <c r="BR135" s="726">
        <v>4.609404421853181E-3</v>
      </c>
      <c r="BS135" s="726">
        <v>6.0852901889387424E-3</v>
      </c>
      <c r="BT135" s="726">
        <v>7.8737628773245839E-3</v>
      </c>
      <c r="BW135" s="1186">
        <f>'2018'!R\Max</f>
        <v>0</v>
      </c>
      <c r="BX135" s="1184">
        <f>'2019'!R\Max</f>
        <v>0.93732881385047873</v>
      </c>
      <c r="BY135" s="1184">
        <f>'2020'!R\Max</f>
        <v>0.7309039770294341</v>
      </c>
      <c r="BZ135" s="1184">
        <f>'2021'!R\Max</f>
        <v>0.32595375548872063</v>
      </c>
      <c r="CA135" s="1184">
        <f>'2022'!R\Max</f>
        <v>0.81772059032772904</v>
      </c>
      <c r="CB135" s="1184">
        <f>'2023'!R\Max</f>
        <v>0.81771771701421658</v>
      </c>
      <c r="CC135" s="1184">
        <f>'2024'!R\Max</f>
        <v>0.81771467942792608</v>
      </c>
      <c r="CD135" s="1184">
        <f>'2025'!R\Max</f>
        <v>0.81773032219221542</v>
      </c>
      <c r="CE135" s="1184">
        <f>'2026'!R\Max</f>
        <v>0.81772801858106714</v>
      </c>
      <c r="CF135" s="1185">
        <f>'2027'!R\Max</f>
        <v>0.81772569837877507</v>
      </c>
    </row>
    <row r="136" spans="1:84" s="6" customFormat="1" ht="11.25" x14ac:dyDescent="0.2">
      <c r="A136" s="11">
        <v>43222</v>
      </c>
      <c r="B136" s="380">
        <f>'2022'!Maxi_hp</f>
        <v>50.847443819946974</v>
      </c>
      <c r="C136" s="13">
        <f>'2022'!An_max</f>
        <v>2021</v>
      </c>
      <c r="D136" s="1062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53">
        <f t="shared" si="62"/>
        <v>0.8571428571428571</v>
      </c>
      <c r="J136" s="746">
        <f t="shared" si="63"/>
        <v>61.939292128703428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55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53">
        <f t="shared" si="67"/>
        <v>0.9285714285714286</v>
      </c>
      <c r="AT136" s="769">
        <f t="shared" si="68"/>
        <v>61.951119788629661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53">
        <f t="shared" si="72"/>
        <v>0.5714285714285714</v>
      </c>
      <c r="AY136" s="769">
        <f t="shared" si="73"/>
        <v>61.94702215748174</v>
      </c>
      <c r="AZ136" s="746">
        <f t="shared" si="77"/>
        <v>61.949070973055697</v>
      </c>
      <c r="BA136" s="643">
        <f t="shared" si="74"/>
        <v>0.82092387679037815</v>
      </c>
      <c r="BC136" s="11">
        <v>43222</v>
      </c>
      <c r="BD136" s="290">
        <f>[2]!FeuilCaduc*(1-Persistant)+Persistant</f>
        <v>0.69692788399970962</v>
      </c>
      <c r="BE136" s="291">
        <f>[2]!CroissVégét</f>
        <v>0.16649552652045066</v>
      </c>
      <c r="BF136" s="816">
        <f>1+[2]!Salcycl*Ksac</f>
        <v>1.0121159854999637</v>
      </c>
      <c r="BH136" s="1053">
        <f t="shared" si="75"/>
        <v>1.5130653886670847E-3</v>
      </c>
      <c r="BI136" s="11">
        <v>44318</v>
      </c>
      <c r="BJ136" s="726">
        <v>2.7601402411384074E-4</v>
      </c>
      <c r="BK136" s="726">
        <v>6.4661182805500267E-4</v>
      </c>
      <c r="BL136" s="726">
        <v>1.045744245763838E-3</v>
      </c>
      <c r="BM136" s="726">
        <v>1.5142886123905097E-3</v>
      </c>
      <c r="BN136" s="726">
        <v>1.9915641077244478E-3</v>
      </c>
      <c r="BO136" s="727">
        <v>2.5019483273032738E-3</v>
      </c>
      <c r="BP136" s="726">
        <v>3.0877947702777895E-3</v>
      </c>
      <c r="BQ136" s="726">
        <v>3.8701797052593523E-3</v>
      </c>
      <c r="BR136" s="726">
        <v>4.9784602300209221E-3</v>
      </c>
      <c r="BS136" s="726">
        <v>6.510574539760474E-3</v>
      </c>
      <c r="BT136" s="726">
        <v>8.3572056394580069E-3</v>
      </c>
      <c r="BW136" s="1186">
        <f>'2018'!R\Max</f>
        <v>0</v>
      </c>
      <c r="BX136" s="1184">
        <f>'2019'!R\Max</f>
        <v>0.55950315985059007</v>
      </c>
      <c r="BY136" s="1184">
        <f>'2020'!R\Max</f>
        <v>0.34598545513881696</v>
      </c>
      <c r="BZ136" s="1184">
        <f>'2021'!R\Max</f>
        <v>0.82092387679037815</v>
      </c>
      <c r="CA136" s="1184">
        <f>'2022'!R\Max</f>
        <v>0.524596343973183</v>
      </c>
      <c r="CB136" s="1184">
        <f>'2023'!R\Max</f>
        <v>0.52459105960979113</v>
      </c>
      <c r="CC136" s="1184">
        <f>'2024'!R\Max</f>
        <v>0.52458548928887627</v>
      </c>
      <c r="CD136" s="1184">
        <f>'2025'!R\Max</f>
        <v>0.52461453415367298</v>
      </c>
      <c r="CE136" s="1184">
        <f>'2026'!R\Max</f>
        <v>0.52461022925035783</v>
      </c>
      <c r="CF136" s="1185">
        <f>'2027'!R\Max</f>
        <v>0.52460589107620892</v>
      </c>
    </row>
    <row r="137" spans="1:84" s="6" customFormat="1" ht="11.25" x14ac:dyDescent="0.2">
      <c r="A137" s="11">
        <v>43223</v>
      </c>
      <c r="B137" s="380">
        <f>'2022'!Maxi_hp</f>
        <v>60.514631083164147</v>
      </c>
      <c r="C137" s="13">
        <f>'2022'!An_max</f>
        <v>2021</v>
      </c>
      <c r="D137" s="1062">
        <f t="shared" si="59"/>
        <v>0.97500233327622288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53">
        <f t="shared" si="62"/>
        <v>0.7857142857142857</v>
      </c>
      <c r="J137" s="746">
        <f t="shared" si="63"/>
        <v>62.066139759708719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55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53">
        <f t="shared" si="67"/>
        <v>0.8928571428571429</v>
      </c>
      <c r="AT137" s="769">
        <f t="shared" si="68"/>
        <v>62.082290958001145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53">
        <f t="shared" si="72"/>
        <v>0.6071428571428571</v>
      </c>
      <c r="AY137" s="769">
        <f t="shared" si="73"/>
        <v>62.069166012134929</v>
      </c>
      <c r="AZ137" s="746">
        <f t="shared" si="77"/>
        <v>62.075728485068041</v>
      </c>
      <c r="BA137" s="643">
        <f t="shared" si="74"/>
        <v>0.97500233327622288</v>
      </c>
      <c r="BC137" s="11">
        <v>43223</v>
      </c>
      <c r="BD137" s="290">
        <f>[2]!FeuilCaduc*(1-Persistant)+Persistant</f>
        <v>0.70129683750527161</v>
      </c>
      <c r="BE137" s="291">
        <f>[2]!CroissVégét</f>
        <v>0.1723173890515782</v>
      </c>
      <c r="BF137" s="816">
        <f>1+[2]!Salcycl*Ksac</f>
        <v>1.012662104688159</v>
      </c>
      <c r="BH137" s="1053">
        <f t="shared" si="75"/>
        <v>1.6218569659398989E-3</v>
      </c>
      <c r="BI137" s="11">
        <v>44319</v>
      </c>
      <c r="BJ137" s="726">
        <v>2.9251307784010778E-4</v>
      </c>
      <c r="BK137" s="726">
        <v>6.8907596564282865E-4</v>
      </c>
      <c r="BL137" s="726">
        <v>1.1167945037662116E-3</v>
      </c>
      <c r="BM137" s="726">
        <v>1.6231789784251552E-3</v>
      </c>
      <c r="BN137" s="726">
        <v>2.1519798134335788E-3</v>
      </c>
      <c r="BO137" s="727">
        <v>2.7192221475950532E-3</v>
      </c>
      <c r="BP137" s="726">
        <v>3.3614962865327852E-3</v>
      </c>
      <c r="BQ137" s="726">
        <v>4.1978239743098288E-3</v>
      </c>
      <c r="BR137" s="726">
        <v>5.3614964917322316E-3</v>
      </c>
      <c r="BS137" s="726">
        <v>6.9498122290268353E-3</v>
      </c>
      <c r="BT137" s="726">
        <v>8.8542445718068855E-3</v>
      </c>
      <c r="BW137" s="1186">
        <f>'2018'!R\Max</f>
        <v>0</v>
      </c>
      <c r="BX137" s="1184">
        <f>'2019'!R\Max</f>
        <v>0.33081565924233197</v>
      </c>
      <c r="BY137" s="1184">
        <f>'2020'!R\Max</f>
        <v>0.61456700198859615</v>
      </c>
      <c r="BZ137" s="1184">
        <f>'2021'!R\Max</f>
        <v>0.97500233327622288</v>
      </c>
      <c r="CA137" s="1184">
        <f>'2022'!R\Max</f>
        <v>0.62385286352662606</v>
      </c>
      <c r="CB137" s="1184">
        <f>'2023'!R\Max</f>
        <v>0.62384738946438956</v>
      </c>
      <c r="CC137" s="1184">
        <f>'2024'!R\Max</f>
        <v>0.62384163895343037</v>
      </c>
      <c r="CD137" s="1184">
        <f>'2025'!R\Max</f>
        <v>0.6238719327372233</v>
      </c>
      <c r="CE137" s="1184">
        <f>'2026'!R\Max</f>
        <v>0.62386742604409129</v>
      </c>
      <c r="CF137" s="1185">
        <f>'2027'!R\Max</f>
        <v>0.62386288092385977</v>
      </c>
    </row>
    <row r="138" spans="1:84" s="6" customFormat="1" ht="11.25" x14ac:dyDescent="0.2">
      <c r="A138" s="11">
        <v>43224</v>
      </c>
      <c r="B138" s="380">
        <f>'2022'!Maxi_hp</f>
        <v>57.253924122877009</v>
      </c>
      <c r="C138" s="13">
        <f>'2022'!An_max</f>
        <v>2020</v>
      </c>
      <c r="D138" s="1062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53">
        <f t="shared" si="62"/>
        <v>0.7142857142857143</v>
      </c>
      <c r="J138" s="746">
        <f t="shared" si="63"/>
        <v>62.187798250785896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55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53">
        <f t="shared" si="67"/>
        <v>0.8571428571428571</v>
      </c>
      <c r="AT138" s="769">
        <f t="shared" si="68"/>
        <v>62.207266473983012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53">
        <f t="shared" si="72"/>
        <v>0.6428571428571429</v>
      </c>
      <c r="AY138" s="769">
        <f t="shared" si="73"/>
        <v>62.186635167471003</v>
      </c>
      <c r="AZ138" s="746">
        <f t="shared" si="77"/>
        <v>62.196950820727011</v>
      </c>
      <c r="BA138" s="643">
        <f t="shared" si="74"/>
        <v>0.92066170106212863</v>
      </c>
      <c r="BC138" s="11">
        <v>43224</v>
      </c>
      <c r="BD138" s="290">
        <f>[2]!FeuilCaduc*(1-Persistant)+Persistant</f>
        <v>0.70576999001073237</v>
      </c>
      <c r="BE138" s="291">
        <f>[2]!CroissVégét</f>
        <v>0.17829763088415901</v>
      </c>
      <c r="BF138" s="816">
        <f>1+[2]!Salcycl*Ksac</f>
        <v>1.0132212487513415</v>
      </c>
      <c r="BH138" s="1053">
        <f t="shared" si="75"/>
        <v>1.7258228883430375E-3</v>
      </c>
      <c r="BI138" s="11">
        <v>44320</v>
      </c>
      <c r="BJ138" s="726">
        <v>3.0516234267755467E-4</v>
      </c>
      <c r="BK138" s="726">
        <v>7.2745065030687924E-4</v>
      </c>
      <c r="BL138" s="726">
        <v>1.1831670999018034E-3</v>
      </c>
      <c r="BM138" s="726">
        <v>1.7272433022150727E-3</v>
      </c>
      <c r="BN138" s="726">
        <v>2.3108694459703567E-3</v>
      </c>
      <c r="BO138" s="727">
        <v>2.9396806807396991E-3</v>
      </c>
      <c r="BP138" s="726">
        <v>3.6440832722076395E-3</v>
      </c>
      <c r="BQ138" s="726">
        <v>4.5375682528880105E-3</v>
      </c>
      <c r="BR138" s="726">
        <v>5.7584931082644009E-3</v>
      </c>
      <c r="BS138" s="726">
        <v>7.4029816548555772E-3</v>
      </c>
      <c r="BT138" s="726">
        <v>9.364856722546595E-3</v>
      </c>
      <c r="BW138" s="1186">
        <f>'2018'!R\Max</f>
        <v>0</v>
      </c>
      <c r="BX138" s="1184">
        <f>'2019'!R\Max</f>
        <v>0.56848052473980559</v>
      </c>
      <c r="BY138" s="1184">
        <f>'2020'!R\Max</f>
        <v>0.92066170106212863</v>
      </c>
      <c r="BZ138" s="1184">
        <f>'2021'!R\Max</f>
        <v>0.86412605292034184</v>
      </c>
      <c r="CA138" s="1184">
        <f>'2022'!R\Max</f>
        <v>0.34540709249491375</v>
      </c>
      <c r="CB138" s="1184">
        <f>'2023'!R\Max</f>
        <v>0.34540128240873352</v>
      </c>
      <c r="CC138" s="1184">
        <f>'2024'!R\Max</f>
        <v>0.34539520238003557</v>
      </c>
      <c r="CD138" s="1184">
        <f>'2025'!R\Max</f>
        <v>0.34542750634918534</v>
      </c>
      <c r="CE138" s="1184">
        <f>'2026'!R\Max</f>
        <v>0.34542269249736313</v>
      </c>
      <c r="CF138" s="1185">
        <f>'2027'!R\Max</f>
        <v>0.34541783275748189</v>
      </c>
    </row>
    <row r="139" spans="1:84" s="6" customFormat="1" ht="11.25" x14ac:dyDescent="0.2">
      <c r="A139" s="11">
        <v>43225</v>
      </c>
      <c r="B139" s="380">
        <f>'2022'!Maxi_hp</f>
        <v>60.369568048217943</v>
      </c>
      <c r="C139" s="13">
        <f>'2022'!An_max</f>
        <v>2020</v>
      </c>
      <c r="D139" s="1062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53">
        <f t="shared" si="62"/>
        <v>0.6428571428571429</v>
      </c>
      <c r="J139" s="746">
        <f t="shared" si="63"/>
        <v>62.304374963204779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55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53">
        <f t="shared" si="67"/>
        <v>0.8214285714285714</v>
      </c>
      <c r="AT139" s="769">
        <f t="shared" si="68"/>
        <v>62.326193955993006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53">
        <f t="shared" si="72"/>
        <v>0.6785714285714286</v>
      </c>
      <c r="AY139" s="769">
        <f t="shared" si="73"/>
        <v>62.299604086737546</v>
      </c>
      <c r="AZ139" s="746">
        <f t="shared" si="77"/>
        <v>62.312899021365276</v>
      </c>
      <c r="BA139" s="643">
        <f t="shared" si="74"/>
        <v>0.96894588997755804</v>
      </c>
      <c r="BC139" s="11">
        <v>43225</v>
      </c>
      <c r="BD139" s="290">
        <f>[2]!FeuilCaduc*(1-Persistant)+Persistant</f>
        <v>0.71034511098304465</v>
      </c>
      <c r="BE139" s="291">
        <f>[2]!CroissVégét</f>
        <v>0.1844375470173118</v>
      </c>
      <c r="BF139" s="816">
        <f>1+[2]!Salcycl*Ksac</f>
        <v>1.0137931388728807</v>
      </c>
      <c r="BH139" s="1053">
        <f t="shared" si="75"/>
        <v>1.8249644273261466E-3</v>
      </c>
      <c r="BI139" s="11">
        <v>44321</v>
      </c>
      <c r="BJ139" s="726">
        <v>3.1396457825021379E-4</v>
      </c>
      <c r="BK139" s="726">
        <v>7.6173818895939791E-4</v>
      </c>
      <c r="BL139" s="726">
        <v>1.2448641128512906E-3</v>
      </c>
      <c r="BM139" s="726">
        <v>1.8264828530969634E-3</v>
      </c>
      <c r="BN139" s="726">
        <v>2.4682303146310483E-3</v>
      </c>
      <c r="BO139" s="727">
        <v>3.1633159859456583E-3</v>
      </c>
      <c r="BP139" s="726">
        <v>3.9355417100223611E-3</v>
      </c>
      <c r="BQ139" s="726">
        <v>4.8893945113420052E-3</v>
      </c>
      <c r="BR139" s="726">
        <v>6.1694290504130112E-3</v>
      </c>
      <c r="BS139" s="726">
        <v>7.8700602347529201E-3</v>
      </c>
      <c r="BT139" s="726">
        <v>9.8890181212973379E-3</v>
      </c>
      <c r="BW139" s="1186">
        <f>'2018'!R\Max</f>
        <v>0</v>
      </c>
      <c r="BX139" s="1184">
        <f>'2019'!R\Max</f>
        <v>0.8265258926107194</v>
      </c>
      <c r="BY139" s="1184">
        <f>'2020'!R\Max</f>
        <v>0.96894588997755804</v>
      </c>
      <c r="BZ139" s="1184">
        <f>'2021'!R\Max</f>
        <v>0.57919392669537872</v>
      </c>
      <c r="CA139" s="1184">
        <f>'2022'!R\Max</f>
        <v>0.72273494586121245</v>
      </c>
      <c r="CB139" s="1184">
        <f>'2023'!R\Max</f>
        <v>0.72272927463675507</v>
      </c>
      <c r="CC139" s="1184">
        <f>'2024'!R\Max</f>
        <v>0.72272336421820871</v>
      </c>
      <c r="CD139" s="1184">
        <f>'2025'!R\Max</f>
        <v>0.72275498744250399</v>
      </c>
      <c r="CE139" s="1184">
        <f>'2026'!R\Max</f>
        <v>0.72275027485825716</v>
      </c>
      <c r="CF139" s="1185">
        <f>'2027'!R\Max</f>
        <v>0.72274551155796052</v>
      </c>
    </row>
    <row r="140" spans="1:84" s="6" customFormat="1" ht="11.25" x14ac:dyDescent="0.2">
      <c r="A140" s="11">
        <v>43226</v>
      </c>
      <c r="B140" s="380">
        <f>'2022'!Maxi_hp</f>
        <v>64.189889106761925</v>
      </c>
      <c r="C140" s="13">
        <f>'2022'!An_max</f>
        <v>2019</v>
      </c>
      <c r="D140" s="1062">
        <f t="shared" si="59"/>
        <v>1.0284207974433459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53">
        <f t="shared" si="62"/>
        <v>0.5714285714285714</v>
      </c>
      <c r="J140" s="746">
        <f t="shared" si="63"/>
        <v>62.415977259831763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55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53">
        <f t="shared" si="67"/>
        <v>0.7857142857142857</v>
      </c>
      <c r="AT140" s="769">
        <f t="shared" si="68"/>
        <v>62.439221028611065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53">
        <f t="shared" si="72"/>
        <v>0.7142857142857143</v>
      </c>
      <c r="AY140" s="769">
        <f t="shared" si="73"/>
        <v>62.408247230627708</v>
      </c>
      <c r="AZ140" s="746">
        <f t="shared" si="77"/>
        <v>62.42373412961939</v>
      </c>
      <c r="BA140" s="643">
        <f t="shared" si="74"/>
        <v>1.0284207974433459</v>
      </c>
      <c r="BC140" s="11">
        <v>43226</v>
      </c>
      <c r="BD140" s="290">
        <f>[2]!FeuilCaduc*(1-Persistant)+Persistant</f>
        <v>0.71501971143686638</v>
      </c>
      <c r="BE140" s="291">
        <f>[2]!CroissVégét</f>
        <v>0.19073822573999455</v>
      </c>
      <c r="BF140" s="816">
        <f>1+[2]!Salcycl*Ksac</f>
        <v>1.0143774639296084</v>
      </c>
      <c r="BH140" s="1053">
        <f t="shared" si="75"/>
        <v>1.9192829679057131E-3</v>
      </c>
      <c r="BI140" s="11">
        <v>44322</v>
      </c>
      <c r="BJ140" s="726">
        <v>3.1892269854652354E-4</v>
      </c>
      <c r="BK140" s="726">
        <v>7.9194102985270408E-4</v>
      </c>
      <c r="BL140" s="726">
        <v>1.3018877625701566E-3</v>
      </c>
      <c r="BM140" s="726">
        <v>1.9208990139018421E-3</v>
      </c>
      <c r="BN140" s="726">
        <v>2.624059650402342E-3</v>
      </c>
      <c r="BO140" s="727">
        <v>3.3901197854251555E-3</v>
      </c>
      <c r="BP140" s="726">
        <v>4.2358569438098763E-3</v>
      </c>
      <c r="BQ140" s="726">
        <v>5.2532838907483111E-3</v>
      </c>
      <c r="BR140" s="726">
        <v>6.5942823274133229E-3</v>
      </c>
      <c r="BS140" s="726">
        <v>8.3510243745211696E-3</v>
      </c>
      <c r="BT140" s="726">
        <v>1.0426703748736896E-2</v>
      </c>
      <c r="BW140" s="1186">
        <f>'2018'!R\Max</f>
        <v>0</v>
      </c>
      <c r="BX140" s="1184">
        <f>'2019'!R\Max</f>
        <v>1.0284207974433459</v>
      </c>
      <c r="BY140" s="1184">
        <f>'2020'!R\Max</f>
        <v>0.84168437706137011</v>
      </c>
      <c r="BZ140" s="1184">
        <f>'2021'!R\Max</f>
        <v>0.59702466909085317</v>
      </c>
      <c r="CA140" s="1184">
        <f>'2022'!R\Max</f>
        <v>0.66004858669533972</v>
      </c>
      <c r="CB140" s="1184">
        <f>'2023'!R\Max</f>
        <v>0.66004159858889988</v>
      </c>
      <c r="CC140" s="1184">
        <f>'2024'!R\Max</f>
        <v>0.66003434713862763</v>
      </c>
      <c r="CD140" s="1184">
        <f>'2025'!R\Max</f>
        <v>0.66007337392588872</v>
      </c>
      <c r="CE140" s="1184">
        <f>'2026'!R\Max</f>
        <v>0.6600675643653916</v>
      </c>
      <c r="CF140" s="1185">
        <f>'2027'!R\Max</f>
        <v>0.66006168425700085</v>
      </c>
    </row>
    <row r="141" spans="1:84" s="6" customFormat="1" ht="11.25" x14ac:dyDescent="0.2">
      <c r="A141" s="11">
        <v>43227</v>
      </c>
      <c r="B141" s="380">
        <f>'2022'!Maxi_hp</f>
        <v>60.114108347336412</v>
      </c>
      <c r="C141" s="13">
        <f>'2022'!An_max</f>
        <v>2020</v>
      </c>
      <c r="D141" s="1062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53">
        <f t="shared" si="62"/>
        <v>0.5</v>
      </c>
      <c r="J141" s="746">
        <f t="shared" si="63"/>
        <v>62.52271250076592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55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53">
        <f t="shared" si="67"/>
        <v>0.75</v>
      </c>
      <c r="AT141" s="769">
        <f t="shared" si="68"/>
        <v>62.546495313011107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53">
        <f t="shared" si="72"/>
        <v>0.75</v>
      </c>
      <c r="AY141" s="769">
        <f t="shared" si="73"/>
        <v>62.512739062868057</v>
      </c>
      <c r="AZ141" s="746">
        <f t="shared" si="77"/>
        <v>62.529617187939579</v>
      </c>
      <c r="BA141" s="643">
        <f t="shared" si="74"/>
        <v>0.96147633304617097</v>
      </c>
      <c r="BC141" s="11">
        <v>43227</v>
      </c>
      <c r="BD141" s="290">
        <f>[2]!FeuilCaduc*(1-Persistant)+Persistant</f>
        <v>0.71979104023048723</v>
      </c>
      <c r="BE141" s="291">
        <f>[2]!CroissVégét</f>
        <v>0.19720053455029921</v>
      </c>
      <c r="BF141" s="816">
        <f>1+[2]!Salcycl*Ksac</f>
        <v>1.0149738800288108</v>
      </c>
      <c r="BH141" s="1053">
        <f t="shared" si="75"/>
        <v>2.0087800190803206E-3</v>
      </c>
      <c r="BI141" s="11">
        <v>44323</v>
      </c>
      <c r="BJ141" s="726">
        <v>3.2003978033142143E-4</v>
      </c>
      <c r="BK141" s="726">
        <v>8.1806177147792064E-4</v>
      </c>
      <c r="BL141" s="726">
        <v>1.3542404204342404E-3</v>
      </c>
      <c r="BM141" s="726">
        <v>2.0104932913710006E-3</v>
      </c>
      <c r="BN141" s="726">
        <v>2.7783546090736403E-3</v>
      </c>
      <c r="BO141" s="727">
        <v>3.6200834571037269E-3</v>
      </c>
      <c r="BP141" s="726">
        <v>4.5450136586520388E-3</v>
      </c>
      <c r="BQ141" s="726">
        <v>5.629216675922072E-3</v>
      </c>
      <c r="BR141" s="726">
        <v>7.0330299557841147E-3</v>
      </c>
      <c r="BS141" s="726">
        <v>8.8458494370662073E-3</v>
      </c>
      <c r="BT141" s="726">
        <v>1.0977887506086277E-2</v>
      </c>
      <c r="BW141" s="1186">
        <f>'2018'!R\Max</f>
        <v>0</v>
      </c>
      <c r="BX141" s="1184">
        <f>'2019'!R\Max</f>
        <v>0.77992466949105155</v>
      </c>
      <c r="BY141" s="1184">
        <f>'2020'!R\Max</f>
        <v>0.96147633304617097</v>
      </c>
      <c r="BZ141" s="1184">
        <f>'2021'!R\Max</f>
        <v>0.45328263660295509</v>
      </c>
      <c r="CA141" s="1184">
        <f>'2022'!R\Max</f>
        <v>0.89609161900610756</v>
      </c>
      <c r="CB141" s="1184">
        <f>'2023'!R\Max</f>
        <v>0.89608843190595733</v>
      </c>
      <c r="CC141" s="1184">
        <f>'2024'!R\Max</f>
        <v>0.89608513930808442</v>
      </c>
      <c r="CD141" s="1184">
        <f>'2025'!R\Max</f>
        <v>0.89610294665463919</v>
      </c>
      <c r="CE141" s="1184">
        <f>'2026'!R\Max</f>
        <v>0.89610030117123929</v>
      </c>
      <c r="CF141" s="1185">
        <f>'2027'!R\Max</f>
        <v>0.89609761945769495</v>
      </c>
    </row>
    <row r="142" spans="1:84" s="6" customFormat="1" ht="11.25" x14ac:dyDescent="0.2">
      <c r="A142" s="11">
        <v>43228</v>
      </c>
      <c r="B142" s="380">
        <f>'2022'!Maxi_hp</f>
        <v>60.745186891784464</v>
      </c>
      <c r="C142" s="13">
        <f>'2022'!An_max</f>
        <v>2021</v>
      </c>
      <c r="D142" s="1062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53">
        <f t="shared" si="62"/>
        <v>0.42857142857142855</v>
      </c>
      <c r="J142" s="746">
        <f t="shared" si="63"/>
        <v>62.624688046744879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55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53">
        <f t="shared" si="67"/>
        <v>0.7142857142857143</v>
      </c>
      <c r="AT142" s="769">
        <f t="shared" si="68"/>
        <v>62.648164432282968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53">
        <f t="shared" si="72"/>
        <v>0.7857142857142857</v>
      </c>
      <c r="AY142" s="769">
        <f t="shared" si="73"/>
        <v>62.613254045748285</v>
      </c>
      <c r="AZ142" s="746">
        <f t="shared" si="77"/>
        <v>62.63070923901563</v>
      </c>
      <c r="BA142" s="643">
        <f t="shared" si="74"/>
        <v>0.96998785601043636</v>
      </c>
      <c r="BC142" s="11">
        <v>43228</v>
      </c>
      <c r="BD142" s="290">
        <f>[2]!FeuilCaduc*(1-Persistant)+Persistant</f>
        <v>0.72465608120776859</v>
      </c>
      <c r="BE142" s="291">
        <f>[2]!CroissVégét</f>
        <v>0.2038251061465651</v>
      </c>
      <c r="BF142" s="816">
        <f>1+[2]!Salcycl*Ksac</f>
        <v>1.0155820101509712</v>
      </c>
      <c r="BH142" s="1053">
        <f t="shared" si="75"/>
        <v>2.0825074242082058E-3</v>
      </c>
      <c r="BI142" s="11">
        <v>44324</v>
      </c>
      <c r="BJ142" s="726">
        <v>3.1731975635128595E-4</v>
      </c>
      <c r="BK142" s="726">
        <v>8.3683545387115428E-4</v>
      </c>
      <c r="BL142" s="726">
        <v>1.3952755510078534E-3</v>
      </c>
      <c r="BM142" s="726">
        <v>2.0843062692713029E-3</v>
      </c>
      <c r="BN142" s="726">
        <v>2.9153454170921362E-3</v>
      </c>
      <c r="BO142" s="727">
        <v>3.8331062110456612E-3</v>
      </c>
      <c r="BP142" s="726">
        <v>4.8404325631444117E-3</v>
      </c>
      <c r="BQ142" s="726">
        <v>6.0025242994067949E-3</v>
      </c>
      <c r="BR142" s="726">
        <v>7.4796574838024189E-3</v>
      </c>
      <c r="BS142" s="726">
        <v>9.3573617121400256E-3</v>
      </c>
      <c r="BT142" s="726">
        <v>1.1544785002247218E-2</v>
      </c>
      <c r="BW142" s="1186">
        <f>'2018'!R\Max</f>
        <v>0</v>
      </c>
      <c r="BX142" s="1184">
        <f>'2019'!R\Max</f>
        <v>0.53299834547074454</v>
      </c>
      <c r="BY142" s="1184">
        <f>'2020'!R\Max</f>
        <v>0.8756370617139978</v>
      </c>
      <c r="BZ142" s="1184">
        <f>'2021'!R\Max</f>
        <v>0.96998785601043636</v>
      </c>
      <c r="CA142" s="1184">
        <f>'2022'!R\Max</f>
        <v>0.85148581336298812</v>
      </c>
      <c r="CB142" s="1184">
        <f>'2023'!R\Max</f>
        <v>0.85148107509935389</v>
      </c>
      <c r="CC142" s="1184">
        <f>'2024'!R\Max</f>
        <v>0.85147619205080916</v>
      </c>
      <c r="CD142" s="1184">
        <f>'2025'!R\Max</f>
        <v>0.85150262384517772</v>
      </c>
      <c r="CE142" s="1184">
        <f>'2026'!R\Max</f>
        <v>0.85149871538893473</v>
      </c>
      <c r="CF142" s="1185">
        <f>'2027'!R\Max</f>
        <v>0.85149474617719545</v>
      </c>
    </row>
    <row r="143" spans="1:84" s="6" customFormat="1" ht="11.25" x14ac:dyDescent="0.2">
      <c r="A143" s="11">
        <v>43229</v>
      </c>
      <c r="B143" s="380">
        <f>'2022'!Maxi_hp</f>
        <v>55.806669798350285</v>
      </c>
      <c r="C143" s="13">
        <f>'2022'!An_max</f>
        <v>2022</v>
      </c>
      <c r="D143" s="1062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53">
        <f t="shared" ref="I143:I206" si="81">($A143-H143)/(INDEX(x.2m,G143)-H143)</f>
        <v>0.35714285714285715</v>
      </c>
      <c r="J143" s="746">
        <f t="shared" ref="J143:J206" si="82">((1-I143)*(INDEX(a.m,F143)*$A143*$A143+INDEX(b.m,F143)*$A143+INDEX(c.m,F143))+I143*(INDEX(a.m,G143)*$A143*$A143+INDEX(b.m,G143)*$A143+INDEX(c.m,G143)))/10</f>
        <v>62.722011260315774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55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53">
        <f t="shared" ref="AS143:AS206" si="86">($A143-AR143)/(INDEX(x.2lg,AQ143)-AR143)</f>
        <v>0.6785714285714286</v>
      </c>
      <c r="AT143" s="769">
        <f t="shared" ref="AT143:AT206" si="87">((1-AS143)*(INDEX(a.lg,AP143)*$A143*$A143+INDEX(b.lg,AP143)*$A143+INDEX(c.lg,AP143))+AS143*(INDEX(a.lg,AQ143)*$A143*$A143+INDEX(b.lg,AQ143)*$A143+INDEX(c.lg,AQ143)))/10</f>
        <v>62.74437600765377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53">
        <f t="shared" ref="AX143:AX206" si="91">($A143-AW143)/(INDEX(x.2ld,AV143)-AW143)</f>
        <v>0.8214285714285714</v>
      </c>
      <c r="AY143" s="769">
        <f t="shared" ref="AY143:AY206" si="92">((1-AX143)*(INDEX(a.ld,AU143)*$A143*$A143+INDEX(b.ld,AU143)*$A143+INDEX(c.ld,AU143))+AX143*(INDEX(a.ld,AV143)*$A143*$A143+INDEX(b.ld,AV143)*$A143+INDEX(c.ld,AV143)))/10</f>
        <v>62.709966641451636</v>
      </c>
      <c r="AZ143" s="746">
        <f t="shared" si="77"/>
        <v>62.7271713245527</v>
      </c>
      <c r="BA143" s="643">
        <f t="shared" ref="BA143:BA206" si="93">+B143/J143</f>
        <v>0.88974617804801126</v>
      </c>
      <c r="BC143" s="11">
        <v>43229</v>
      </c>
      <c r="BD143" s="290">
        <f>[2]!FeuilCaduc*(1-Persistant)+Persistant</f>
        <v>0.72961155127710708</v>
      </c>
      <c r="BE143" s="291">
        <f>[2]!CroissVégét</f>
        <v>0.21061232458125589</v>
      </c>
      <c r="BF143" s="816">
        <f>1+[2]!Salcycl*Ksac</f>
        <v>1.0162014439096383</v>
      </c>
      <c r="BH143" s="1053">
        <f t="shared" ref="BH143:BH206" si="94">INDEX($BJ143:$BT143,,$BH$10)*(1-Ratini)+INDEX($BJ143:$BT143,,$BH$10+1)*Ratini</f>
        <v>2.1385891529243119E-3</v>
      </c>
      <c r="BI143" s="11">
        <v>44325</v>
      </c>
      <c r="BJ143" s="726">
        <v>3.1155489339430089E-4</v>
      </c>
      <c r="BK143" s="726">
        <v>8.4810438616327163E-4</v>
      </c>
      <c r="BL143" s="726">
        <v>1.4240820601151742E-3</v>
      </c>
      <c r="BM143" s="726">
        <v>2.140459391495265E-3</v>
      </c>
      <c r="BN143" s="726">
        <v>3.0314254561523684E-3</v>
      </c>
      <c r="BO143" s="727">
        <v>4.0237727123791436E-3</v>
      </c>
      <c r="BP143" s="726">
        <v>5.1155163992494083E-3</v>
      </c>
      <c r="BQ143" s="726">
        <v>6.3657743923936951E-3</v>
      </c>
      <c r="BR143" s="726">
        <v>7.9264115922161125E-3</v>
      </c>
      <c r="BS143" s="726">
        <v>9.8778189980244513E-3</v>
      </c>
      <c r="BT143" s="726">
        <v>1.2119883440281387E-2</v>
      </c>
      <c r="BW143" s="1186">
        <f>'2018'!R\Max</f>
        <v>0</v>
      </c>
      <c r="BX143" s="1184">
        <f>'2019'!R\Max</f>
        <v>0.77649621361744703</v>
      </c>
      <c r="BY143" s="1184">
        <f>'2020'!R\Max</f>
        <v>0.88032770015576745</v>
      </c>
      <c r="BZ143" s="1184">
        <f>'2021'!R\Max</f>
        <v>0.3550072467717596</v>
      </c>
      <c r="CA143" s="1184">
        <f>'2022'!R\Max</f>
        <v>0.88974617804801126</v>
      </c>
      <c r="CB143" s="1184">
        <f>'2023'!R\Max</f>
        <v>0.88974217332009864</v>
      </c>
      <c r="CC143" s="1184">
        <f>'2024'!R\Max</f>
        <v>0.889738048964268</v>
      </c>
      <c r="CD143" s="1184">
        <f>'2025'!R\Max</f>
        <v>0.88976030782799687</v>
      </c>
      <c r="CE143" s="1184">
        <f>'2026'!R\Max</f>
        <v>0.88975704016112778</v>
      </c>
      <c r="CF143" s="1185">
        <f>'2027'!R\Max</f>
        <v>0.88975371457606311</v>
      </c>
    </row>
    <row r="144" spans="1:84" s="6" customFormat="1" ht="11.25" x14ac:dyDescent="0.2">
      <c r="A144" s="11">
        <v>43230</v>
      </c>
      <c r="B144" s="380">
        <f>'2022'!Maxi_hp</f>
        <v>55.455663117094851</v>
      </c>
      <c r="C144" s="13">
        <f>'2022'!An_max</f>
        <v>2022</v>
      </c>
      <c r="D144" s="1062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53">
        <f t="shared" si="81"/>
        <v>0.2857142857142857</v>
      </c>
      <c r="J144" s="746">
        <f t="shared" si="82"/>
        <v>62.814789504770715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55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53">
        <f t="shared" si="86"/>
        <v>0.6428571428571429</v>
      </c>
      <c r="AT144" s="769">
        <f t="shared" si="87"/>
        <v>62.835277661308645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53">
        <f t="shared" si="91"/>
        <v>0.8571428571428571</v>
      </c>
      <c r="AY144" s="769">
        <f t="shared" si="92"/>
        <v>62.803051312587094</v>
      </c>
      <c r="AZ144" s="746">
        <f t="shared" ref="AZ144:AZ207" si="96">(AY144+AT144)/2</f>
        <v>62.819164486947869</v>
      </c>
      <c r="BA144" s="643">
        <f t="shared" si="93"/>
        <v>0.88284404921683379</v>
      </c>
      <c r="BC144" s="11">
        <v>43230</v>
      </c>
      <c r="BD144" s="290">
        <f>[2]!FeuilCaduc*(1-Persistant)+Persistant</f>
        <v>0.7346538995152907</v>
      </c>
      <c r="BE144" s="291">
        <f>[2]!CroissVégét</f>
        <v>0.21756231167469237</v>
      </c>
      <c r="BF144" s="816">
        <f>1+[2]!Salcycl*Ksac</f>
        <v>1.0168317374394114</v>
      </c>
      <c r="BH144" s="1053">
        <f t="shared" si="94"/>
        <v>2.1770395420495779E-3</v>
      </c>
      <c r="BI144" s="11">
        <v>44326</v>
      </c>
      <c r="BJ144" s="726">
        <v>3.0274806123315958E-4</v>
      </c>
      <c r="BK144" s="726">
        <v>8.5187499185442278E-4</v>
      </c>
      <c r="BL144" s="726">
        <v>1.4406701460032356E-3</v>
      </c>
      <c r="BM144" s="726">
        <v>2.1789670056966367E-3</v>
      </c>
      <c r="BN144" s="726">
        <v>3.1266103705051796E-3</v>
      </c>
      <c r="BO144" s="727">
        <v>4.1920978548613055E-3</v>
      </c>
      <c r="BP144" s="726">
        <v>5.3702758555031578E-3</v>
      </c>
      <c r="BQ144" s="726">
        <v>6.7189657156103318E-3</v>
      </c>
      <c r="BR144" s="726">
        <v>8.3732792425532682E-3</v>
      </c>
      <c r="BS144" s="726">
        <v>1.040719786403691E-2</v>
      </c>
      <c r="BT144" s="726">
        <v>1.2703158194941838E-2</v>
      </c>
      <c r="BW144" s="1186">
        <f>'2018'!R\Max</f>
        <v>0</v>
      </c>
      <c r="BX144" s="1184">
        <f>'2019'!R\Max</f>
        <v>0.63435178026426531</v>
      </c>
      <c r="BY144" s="1184">
        <f>'2020'!R\Max</f>
        <v>0.81518856752258229</v>
      </c>
      <c r="BZ144" s="1184">
        <f>'2021'!R\Max</f>
        <v>0.71050422376027467</v>
      </c>
      <c r="CA144" s="1184">
        <f>'2022'!R\Max</f>
        <v>0.88284404921683379</v>
      </c>
      <c r="CB144" s="1184">
        <f>'2023'!R\Max</f>
        <v>0.88283946775877764</v>
      </c>
      <c r="CC144" s="1184">
        <f>'2024'!R\Max</f>
        <v>0.88283474526070194</v>
      </c>
      <c r="CD144" s="1184">
        <f>'2025'!R\Max</f>
        <v>0.88286007837572922</v>
      </c>
      <c r="CE144" s="1184">
        <f>'2026'!R\Max</f>
        <v>0.88285639405803029</v>
      </c>
      <c r="CF144" s="1185">
        <f>'2027'!R\Max</f>
        <v>0.88285263519327273</v>
      </c>
    </row>
    <row r="145" spans="1:84" s="6" customFormat="1" ht="11.25" x14ac:dyDescent="0.2">
      <c r="A145" s="11">
        <v>43231</v>
      </c>
      <c r="B145" s="380">
        <f>'2022'!Maxi_hp</f>
        <v>59.868864727425738</v>
      </c>
      <c r="C145" s="13">
        <f>'2022'!An_max</f>
        <v>2022</v>
      </c>
      <c r="D145" s="1062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53">
        <f t="shared" si="81"/>
        <v>0.21428571428571427</v>
      </c>
      <c r="J145" s="746">
        <f t="shared" si="82"/>
        <v>62.90313013808003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55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53">
        <f t="shared" si="86"/>
        <v>0.6071428571428571</v>
      </c>
      <c r="AT145" s="769">
        <f t="shared" si="87"/>
        <v>62.921017014794053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53">
        <f t="shared" si="91"/>
        <v>0.8928571428571429</v>
      </c>
      <c r="AY145" s="769">
        <f t="shared" si="92"/>
        <v>62.892682521923312</v>
      </c>
      <c r="AZ145" s="746">
        <f t="shared" si="96"/>
        <v>62.906849768358683</v>
      </c>
      <c r="BA145" s="643">
        <f t="shared" si="93"/>
        <v>0.95176288677536858</v>
      </c>
      <c r="BC145" s="11">
        <v>43231</v>
      </c>
      <c r="BD145" s="290">
        <f>[2]!FeuilCaduc*(1-Persistant)+Persistant</f>
        <v>0.73977930737980246</v>
      </c>
      <c r="BE145" s="291">
        <f>[2]!CroissVégét</f>
        <v>0.22467491379142088</v>
      </c>
      <c r="BF145" s="816">
        <f>1+[2]!Salcycl*Ksac</f>
        <v>1.0174724134224753</v>
      </c>
      <c r="BH145" s="1053">
        <f t="shared" si="94"/>
        <v>2.1978737536625186E-3</v>
      </c>
      <c r="BI145" s="11">
        <v>44327</v>
      </c>
      <c r="BJ145" s="726">
        <v>2.9090228609246889E-4</v>
      </c>
      <c r="BK145" s="726">
        <v>8.4815405688719889E-4</v>
      </c>
      <c r="BL145" s="726">
        <v>1.4450505879961277E-3</v>
      </c>
      <c r="BM145" s="726">
        <v>2.1998442854258924E-3</v>
      </c>
      <c r="BN145" s="726">
        <v>3.2009167370045796E-3</v>
      </c>
      <c r="BO145" s="727">
        <v>4.3380974683999221E-3</v>
      </c>
      <c r="BP145" s="726">
        <v>5.6047223787452421E-3</v>
      </c>
      <c r="BQ145" s="726">
        <v>7.0620971961192812E-3</v>
      </c>
      <c r="BR145" s="726">
        <v>8.8202469793780026E-3</v>
      </c>
      <c r="BS145" s="726">
        <v>1.0945473955783352E-2</v>
      </c>
      <c r="BT145" s="726">
        <v>1.3294583703197195E-2</v>
      </c>
      <c r="BW145" s="1186">
        <f>'2018'!R\Max</f>
        <v>0</v>
      </c>
      <c r="BX145" s="1184">
        <f>'2019'!R\Max</f>
        <v>0.61787558303869228</v>
      </c>
      <c r="BY145" s="1184">
        <f>'2020'!R\Max</f>
        <v>0.19601355717920926</v>
      </c>
      <c r="BZ145" s="1184">
        <f>'2021'!R\Max</f>
        <v>0.59421875114314204</v>
      </c>
      <c r="CA145" s="1184">
        <f>'2022'!R\Max</f>
        <v>0.95176288677536858</v>
      </c>
      <c r="CB145" s="1184">
        <f>'2023'!R\Max</f>
        <v>0.95176068832874205</v>
      </c>
      <c r="CC145" s="1184">
        <f>'2024'!R\Max</f>
        <v>0.9517584170817367</v>
      </c>
      <c r="CD145" s="1184">
        <f>'2025'!R\Max</f>
        <v>0.95177049631621313</v>
      </c>
      <c r="CE145" s="1184">
        <f>'2026'!R\Max</f>
        <v>0.95176875916859194</v>
      </c>
      <c r="CF145" s="1185">
        <f>'2027'!R\Max</f>
        <v>0.95176698190403752</v>
      </c>
    </row>
    <row r="146" spans="1:84" s="6" customFormat="1" ht="11.25" x14ac:dyDescent="0.2">
      <c r="A146" s="11">
        <v>43232</v>
      </c>
      <c r="B146" s="380">
        <f>'2022'!Maxi_hp</f>
        <v>59.238727729135654</v>
      </c>
      <c r="C146" s="13">
        <f>'2022'!An_max</f>
        <v>2019</v>
      </c>
      <c r="D146" s="1062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53">
        <f t="shared" si="81"/>
        <v>0.14285714285714285</v>
      </c>
      <c r="J146" s="746">
        <f t="shared" si="82"/>
        <v>62.987140524706675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55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53">
        <f t="shared" si="86"/>
        <v>0.5714285714285714</v>
      </c>
      <c r="AT146" s="769">
        <f t="shared" si="87"/>
        <v>63.00174169167876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53">
        <f t="shared" si="91"/>
        <v>0.9285714285714286</v>
      </c>
      <c r="AY146" s="769">
        <f t="shared" si="92"/>
        <v>62.979034731164575</v>
      </c>
      <c r="AZ146" s="746">
        <f t="shared" si="96"/>
        <v>62.990388211421667</v>
      </c>
      <c r="BA146" s="643">
        <f t="shared" si="93"/>
        <v>0.94048923694034492</v>
      </c>
      <c r="BC146" s="11">
        <v>43232</v>
      </c>
      <c r="BD146" s="290">
        <f>[2]!FeuilCaduc*(1-Persistant)+Persistant</f>
        <v>0.74498369010764909</v>
      </c>
      <c r="BE146" s="291">
        <f>[2]!CroissVégét</f>
        <v>0.23194968908707836</v>
      </c>
      <c r="BF146" s="816">
        <f>1+[2]!Salcycl*Ksac</f>
        <v>1.0181229612634561</v>
      </c>
      <c r="BH146" s="1053">
        <f t="shared" si="94"/>
        <v>2.2011078136717011E-3</v>
      </c>
      <c r="BI146" s="11">
        <v>44328</v>
      </c>
      <c r="BJ146" s="726">
        <v>2.7602075732631568E-4</v>
      </c>
      <c r="BK146" s="726">
        <v>8.3694874606971448E-4</v>
      </c>
      <c r="BL146" s="726">
        <v>1.4372347732408261E-3</v>
      </c>
      <c r="BM146" s="726">
        <v>2.2031072687336631E-3</v>
      </c>
      <c r="BN146" s="726">
        <v>3.2543621107388701E-3</v>
      </c>
      <c r="BO146" s="727">
        <v>4.4617883677300248E-3</v>
      </c>
      <c r="BP146" s="726">
        <v>5.8188682182209505E-3</v>
      </c>
      <c r="BQ146" s="726">
        <v>7.3951679487261274E-3</v>
      </c>
      <c r="BR146" s="726">
        <v>9.2673009292063915E-3</v>
      </c>
      <c r="BS146" s="726">
        <v>1.1492621974579393E-2</v>
      </c>
      <c r="BT146" s="726">
        <v>1.3894133445150086E-2</v>
      </c>
      <c r="BW146" s="1186">
        <f>'2018'!R\Max</f>
        <v>0</v>
      </c>
      <c r="BX146" s="1184">
        <f>'2019'!R\Max</f>
        <v>0.94048923694034492</v>
      </c>
      <c r="BY146" s="1184">
        <f>'2020'!R\Max</f>
        <v>0.14839072110413035</v>
      </c>
      <c r="BZ146" s="1184">
        <f>'2021'!R\Max</f>
        <v>0.71162279509687398</v>
      </c>
      <c r="CA146" s="1184">
        <f>'2022'!R\Max</f>
        <v>0.6930936183104458</v>
      </c>
      <c r="CB146" s="1184">
        <f>'2023'!R\Max</f>
        <v>0.69308264283834609</v>
      </c>
      <c r="CC146" s="1184">
        <f>'2024'!R\Max</f>
        <v>0.69307126491867932</v>
      </c>
      <c r="CD146" s="1184">
        <f>'2025'!R\Max</f>
        <v>0.69313113509694124</v>
      </c>
      <c r="CE146" s="1184">
        <f>'2026'!R\Max</f>
        <v>0.6931226342224619</v>
      </c>
      <c r="CF146" s="1185">
        <f>'2027'!R\Max</f>
        <v>0.69311390985644783</v>
      </c>
    </row>
    <row r="147" spans="1:84" s="6" customFormat="1" ht="11.25" x14ac:dyDescent="0.2">
      <c r="A147" s="11">
        <v>43233</v>
      </c>
      <c r="B147" s="380">
        <f>'2022'!Maxi_hp</f>
        <v>65.408960512497771</v>
      </c>
      <c r="C147" s="13">
        <f>'2022'!An_max</f>
        <v>2019</v>
      </c>
      <c r="D147" s="1062">
        <f t="shared" si="78"/>
        <v>1.0371356677957262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53">
        <f t="shared" si="81"/>
        <v>7.1428571428571425E-2</v>
      </c>
      <c r="J147" s="746">
        <f t="shared" si="82"/>
        <v>63.06692802448358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55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53">
        <f t="shared" si="86"/>
        <v>0.5357142857142857</v>
      </c>
      <c r="AT147" s="769">
        <f t="shared" si="87"/>
        <v>63.077599312205393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53">
        <f t="shared" si="91"/>
        <v>0.9642857142857143</v>
      </c>
      <c r="AY147" s="769">
        <f t="shared" si="92"/>
        <v>63.062282402121596</v>
      </c>
      <c r="AZ147" s="746">
        <f t="shared" si="96"/>
        <v>63.069940857163495</v>
      </c>
      <c r="BA147" s="643">
        <f t="shared" si="93"/>
        <v>1.0371356677957262</v>
      </c>
      <c r="BC147" s="11">
        <v>43233</v>
      </c>
      <c r="BD147" s="290">
        <f>[2]!FeuilCaduc*(1-Persistant)+Persistant</f>
        <v>0.75026269937219203</v>
      </c>
      <c r="BE147" s="291">
        <f>[2]!CroissVégét</f>
        <v>0.23938589533798257</v>
      </c>
      <c r="BF147" s="816">
        <f>1+[2]!Salcycl*Ksac</f>
        <v>1.018782837421524</v>
      </c>
      <c r="BH147" s="1053">
        <f t="shared" si="94"/>
        <v>2.1867586504080486E-3</v>
      </c>
      <c r="BI147" s="11">
        <v>44329</v>
      </c>
      <c r="BJ147" s="726">
        <v>2.5810683409907824E-4</v>
      </c>
      <c r="BK147" s="726">
        <v>8.1826661950683429E-4</v>
      </c>
      <c r="BL147" s="726">
        <v>1.417234723466437E-3</v>
      </c>
      <c r="BM147" s="726">
        <v>2.1887728967940139E-3</v>
      </c>
      <c r="BN147" s="726">
        <v>3.2869650706888343E-3</v>
      </c>
      <c r="BO147" s="727">
        <v>4.5631884011253657E-3</v>
      </c>
      <c r="BP147" s="726">
        <v>6.0127264697267977E-3</v>
      </c>
      <c r="BQ147" s="726">
        <v>7.71817729744027E-3</v>
      </c>
      <c r="BR147" s="726">
        <v>9.7144267994878509E-3</v>
      </c>
      <c r="BS147" s="726">
        <v>1.2048615656953593E-2</v>
      </c>
      <c r="BT147" s="726">
        <v>1.4501779925058038E-2</v>
      </c>
      <c r="BW147" s="1186">
        <f>'2018'!R\Max</f>
        <v>0</v>
      </c>
      <c r="BX147" s="1184">
        <f>'2019'!R\Max</f>
        <v>1.0371356677957262</v>
      </c>
      <c r="BY147" s="1184">
        <f>'2020'!R\Max</f>
        <v>0.33936744502305377</v>
      </c>
      <c r="BZ147" s="1184">
        <f>'2021'!R\Max</f>
        <v>0.77453670829174415</v>
      </c>
      <c r="CA147" s="1184">
        <f>'2022'!R\Max</f>
        <v>0.70418852499574558</v>
      </c>
      <c r="CB147" s="1184">
        <f>'2023'!R\Max</f>
        <v>0.7041769778874839</v>
      </c>
      <c r="CC147" s="1184">
        <f>'2024'!R\Max</f>
        <v>0.70416495285934533</v>
      </c>
      <c r="CD147" s="1184">
        <f>'2025'!R\Max</f>
        <v>0.70422744325407127</v>
      </c>
      <c r="CE147" s="1184">
        <f>'2026'!R\Max</f>
        <v>0.70421869635739121</v>
      </c>
      <c r="CF147" s="1185">
        <f>'2027'!R\Max</f>
        <v>0.70420968797445249</v>
      </c>
    </row>
    <row r="148" spans="1:84" s="6" customFormat="1" ht="11.25" x14ac:dyDescent="0.2">
      <c r="A148" s="11">
        <v>43234</v>
      </c>
      <c r="B148" s="380">
        <f>'2022'!Maxi_hp</f>
        <v>63.832836981428784</v>
      </c>
      <c r="C148" s="13">
        <f>'2022'!An_max</f>
        <v>2019</v>
      </c>
      <c r="D148" s="1062">
        <f t="shared" si="78"/>
        <v>1.0109313994161151</v>
      </c>
      <c r="E148" s="1057">
        <f>W$13/10</f>
        <v>63.142600000000002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53">
        <f t="shared" si="81"/>
        <v>0</v>
      </c>
      <c r="J148" s="746">
        <f t="shared" si="82"/>
        <v>63.142600000649693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55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53">
        <f t="shared" si="86"/>
        <v>0.5</v>
      </c>
      <c r="AT148" s="769">
        <f t="shared" si="87"/>
        <v>63.148737499862911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53">
        <f t="shared" si="91"/>
        <v>1</v>
      </c>
      <c r="AY148" s="769">
        <f t="shared" si="92"/>
        <v>63.142599999159572</v>
      </c>
      <c r="AZ148" s="746">
        <f t="shared" si="96"/>
        <v>63.145668749511245</v>
      </c>
      <c r="BA148" s="643">
        <f t="shared" si="93"/>
        <v>1.0109313994161151</v>
      </c>
      <c r="BC148" s="11">
        <v>43234</v>
      </c>
      <c r="BD148" s="290">
        <f>[2]!FeuilCaduc*(1-Persistant)+Persistant</f>
        <v>0.75561172726176895</v>
      </c>
      <c r="BE148" s="291">
        <f>[2]!CroissVégét</f>
        <v>0.24698247846918731</v>
      </c>
      <c r="BF148" s="816">
        <f>1+[2]!Salcycl*Ksac</f>
        <v>1.0194514659077212</v>
      </c>
      <c r="BH148" s="1053">
        <f t="shared" si="94"/>
        <v>2.1548441332314193E-3</v>
      </c>
      <c r="BI148" s="11">
        <v>44330</v>
      </c>
      <c r="BJ148" s="726">
        <v>2.3716405206793535E-4</v>
      </c>
      <c r="BK148" s="726">
        <v>7.9211564903676013E-4</v>
      </c>
      <c r="BL148" s="726">
        <v>1.385063121752717E-3</v>
      </c>
      <c r="BM148" s="726">
        <v>2.1568590525420095E-3</v>
      </c>
      <c r="BN148" s="726">
        <v>3.2987452654072691E-3</v>
      </c>
      <c r="BO148" s="727">
        <v>4.6423164991393337E-3</v>
      </c>
      <c r="BP148" s="726">
        <v>6.1863111197945856E-3</v>
      </c>
      <c r="BQ148" s="726">
        <v>8.0311247969847965E-3</v>
      </c>
      <c r="BR148" s="726">
        <v>1.0161609877647882E-2</v>
      </c>
      <c r="BS148" s="726">
        <v>1.2613427754226561E-2</v>
      </c>
      <c r="BT148" s="726">
        <v>1.5117494652445636E-2</v>
      </c>
      <c r="BW148" s="1186">
        <f>'2018'!R\Max</f>
        <v>0</v>
      </c>
      <c r="BX148" s="1184">
        <f>'2019'!R\Max</f>
        <v>1.0109313994161151</v>
      </c>
      <c r="BY148" s="1184">
        <f>'2020'!R\Max</f>
        <v>0.51664341277229364</v>
      </c>
      <c r="BZ148" s="1184">
        <f>'2021'!R\Max</f>
        <v>0.72445786217643415</v>
      </c>
      <c r="CA148" s="1184">
        <f>'2022'!R\Max</f>
        <v>0.85107759629861512</v>
      </c>
      <c r="CB148" s="1184">
        <f>'2023'!R\Max</f>
        <v>0.85107006819520048</v>
      </c>
      <c r="CC148" s="1184">
        <f>'2024'!R\Max</f>
        <v>0.85106218497070818</v>
      </c>
      <c r="CD148" s="1184">
        <f>'2025'!R\Max</f>
        <v>0.85110258184635235</v>
      </c>
      <c r="CE148" s="1184">
        <f>'2026'!R\Max</f>
        <v>0.85109701557278372</v>
      </c>
      <c r="CF148" s="1185">
        <f>'2027'!R\Max</f>
        <v>0.85109126046477135</v>
      </c>
    </row>
    <row r="149" spans="1:84" s="6" customFormat="1" ht="11.25" x14ac:dyDescent="0.2">
      <c r="A149" s="11">
        <v>43235</v>
      </c>
      <c r="B149" s="380">
        <f>'2022'!Maxi_hp</f>
        <v>64.337487236928794</v>
      </c>
      <c r="C149" s="13">
        <f>'2022'!An_max</f>
        <v>2019</v>
      </c>
      <c r="D149" s="1062">
        <f t="shared" si="78"/>
        <v>1.0177803242356294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53">
        <f t="shared" si="81"/>
        <v>7.1428571428571425E-2</v>
      </c>
      <c r="J149" s="746">
        <f t="shared" si="82"/>
        <v>63.213530174350105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55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53">
        <f t="shared" si="86"/>
        <v>0.4642857142857143</v>
      </c>
      <c r="AT149" s="769">
        <f t="shared" si="87"/>
        <v>63.21530387641063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53">
        <f t="shared" si="91"/>
        <v>0.9642857142857143</v>
      </c>
      <c r="AY149" s="769">
        <f t="shared" si="92"/>
        <v>63.218835622950323</v>
      </c>
      <c r="AZ149" s="746">
        <f t="shared" si="96"/>
        <v>63.217069749680476</v>
      </c>
      <c r="BA149" s="643">
        <f t="shared" si="93"/>
        <v>1.0177803242356294</v>
      </c>
      <c r="BC149" s="11">
        <v>43235</v>
      </c>
      <c r="BD149" s="290">
        <f>[2]!FeuilCaduc*(1-Persistant)+Persistant</f>
        <v>0.76102591163517674</v>
      </c>
      <c r="BE149" s="291">
        <f>[2]!CroissVégét</f>
        <v>0.25473806189926657</v>
      </c>
      <c r="BF149" s="816">
        <f>1+[2]!Salcycl*Ksac</f>
        <v>1.0201282389543971</v>
      </c>
      <c r="BH149" s="1053">
        <f t="shared" si="94"/>
        <v>2.10538311112553E-3</v>
      </c>
      <c r="BI149" s="11">
        <v>44331</v>
      </c>
      <c r="BJ149" s="726">
        <v>2.1319613006364022E-4</v>
      </c>
      <c r="BK149" s="726">
        <v>7.58504234662959E-4</v>
      </c>
      <c r="BL149" s="726">
        <v>1.3407333392907942E-3</v>
      </c>
      <c r="BM149" s="726">
        <v>2.1073845992996129E-3</v>
      </c>
      <c r="BN149" s="726">
        <v>3.2897234586821865E-3</v>
      </c>
      <c r="BO149" s="727">
        <v>4.6991927233244876E-3</v>
      </c>
      <c r="BP149" s="726">
        <v>6.3396370898486489E-3</v>
      </c>
      <c r="BQ149" s="726">
        <v>8.3340102542735339E-3</v>
      </c>
      <c r="BR149" s="726">
        <v>1.0608835030090455E-2</v>
      </c>
      <c r="BS149" s="726">
        <v>1.3187030012040066E-2</v>
      </c>
      <c r="BT149" s="726">
        <v>1.5741248123155117E-2</v>
      </c>
      <c r="BW149" s="1186">
        <f>'2018'!R\Max</f>
        <v>0</v>
      </c>
      <c r="BX149" s="1184">
        <f>'2019'!R\Max</f>
        <v>1.0177803242356294</v>
      </c>
      <c r="BY149" s="1184">
        <f>'2020'!R\Max</f>
        <v>0.33831429870908908</v>
      </c>
      <c r="BZ149" s="1184">
        <f>'2021'!R\Max</f>
        <v>0.34761013472946956</v>
      </c>
      <c r="CA149" s="1184">
        <f>'2022'!R\Max</f>
        <v>0.8995112323490676</v>
      </c>
      <c r="CB149" s="1184">
        <f>'2023'!R\Max</f>
        <v>0.89950549364817944</v>
      </c>
      <c r="CC149" s="1184">
        <f>'2024'!R\Max</f>
        <v>0.89949944554025663</v>
      </c>
      <c r="CD149" s="1184">
        <f>'2025'!R\Max</f>
        <v>0.89952996951998443</v>
      </c>
      <c r="CE149" s="1184">
        <f>'2026'!R\Max</f>
        <v>0.89952583446326384</v>
      </c>
      <c r="CF149" s="1185">
        <f>'2027'!R\Max</f>
        <v>0.89952154066066903</v>
      </c>
    </row>
    <row r="150" spans="1:84" s="6" customFormat="1" ht="11.25" x14ac:dyDescent="0.2">
      <c r="A150" s="11">
        <v>43236</v>
      </c>
      <c r="B150" s="380">
        <f>'2022'!Maxi_hp</f>
        <v>55.759884023555387</v>
      </c>
      <c r="C150" s="13">
        <f>'2022'!An_max</f>
        <v>2019</v>
      </c>
      <c r="D150" s="1062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53">
        <f t="shared" si="81"/>
        <v>0.14285714285714285</v>
      </c>
      <c r="J150" s="746">
        <f t="shared" si="82"/>
        <v>63.279163848076543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55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53">
        <f t="shared" si="86"/>
        <v>0.42857142857142855</v>
      </c>
      <c r="AT150" s="769">
        <f t="shared" si="87"/>
        <v>63.277446064991615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53">
        <f t="shared" si="91"/>
        <v>0.9285714285714286</v>
      </c>
      <c r="AY150" s="769">
        <f t="shared" si="92"/>
        <v>63.289792638378493</v>
      </c>
      <c r="AZ150" s="746">
        <f t="shared" si="96"/>
        <v>63.283619351685054</v>
      </c>
      <c r="BA150" s="643">
        <f t="shared" si="93"/>
        <v>0.88117289535345666</v>
      </c>
      <c r="BC150" s="11">
        <v>43236</v>
      </c>
      <c r="BD150" s="290">
        <f>[2]!FeuilCaduc*(1-Persistant)+Persistant</f>
        <v>0.76650014289941526</v>
      </c>
      <c r="BE150" s="291">
        <f>[2]!CroissVégét</f>
        <v>0.2626509368215188</v>
      </c>
      <c r="BF150" s="816">
        <f>1+[2]!Salcycl*Ksac</f>
        <v>1.020812517862427</v>
      </c>
      <c r="BH150" s="1053">
        <f t="shared" si="94"/>
        <v>2.0398505136093857E-3</v>
      </c>
      <c r="BI150" s="11">
        <v>44332</v>
      </c>
      <c r="BJ150" s="726">
        <v>1.878918863240703E-4</v>
      </c>
      <c r="BK150" s="726">
        <v>7.1923688362094057E-4</v>
      </c>
      <c r="BL150" s="726">
        <v>1.2862949801116664E-3</v>
      </c>
      <c r="BM150" s="726">
        <v>2.0418229623622199E-3</v>
      </c>
      <c r="BN150" s="726">
        <v>3.25492044357355E-3</v>
      </c>
      <c r="BO150" s="727">
        <v>4.7196400795009074E-3</v>
      </c>
      <c r="BP150" s="726">
        <v>6.4463305565397406E-3</v>
      </c>
      <c r="BQ150" s="726">
        <v>8.5929727721860017E-3</v>
      </c>
      <c r="BR150" s="726">
        <v>1.1016838571333844E-2</v>
      </c>
      <c r="BS150" s="726">
        <v>1.3743618911980662E-2</v>
      </c>
      <c r="BT150" s="726">
        <v>1.6376670350868521E-2</v>
      </c>
      <c r="BW150" s="1186">
        <f>'2018'!R\Max</f>
        <v>0</v>
      </c>
      <c r="BX150" s="1184">
        <f>'2019'!R\Max</f>
        <v>0.88117289535345666</v>
      </c>
      <c r="BY150" s="1184">
        <f>'2020'!R\Max</f>
        <v>0.26431423582926028</v>
      </c>
      <c r="BZ150" s="1184">
        <f>'2021'!R\Max</f>
        <v>0.22440228652848745</v>
      </c>
      <c r="CA150" s="1184">
        <f>'2022'!R\Max</f>
        <v>0.85662720841654139</v>
      </c>
      <c r="CB150" s="1184">
        <f>'2023'!R\Max</f>
        <v>0.85661895061318727</v>
      </c>
      <c r="CC150" s="1184">
        <f>'2024'!R\Max</f>
        <v>0.8566101751135784</v>
      </c>
      <c r="CD150" s="1184">
        <f>'2025'!R\Max</f>
        <v>0.85665373950819013</v>
      </c>
      <c r="CE150" s="1184">
        <f>'2026'!R\Max</f>
        <v>0.85664793939524952</v>
      </c>
      <c r="CF150" s="1185">
        <f>'2027'!R\Max</f>
        <v>0.85664188937750774</v>
      </c>
    </row>
    <row r="151" spans="1:84" s="6" customFormat="1" ht="11.25" x14ac:dyDescent="0.2">
      <c r="A151" s="11">
        <v>43237</v>
      </c>
      <c r="B151" s="380">
        <f>'2022'!Maxi_hp</f>
        <v>59.143869986274652</v>
      </c>
      <c r="C151" s="13">
        <f>'2022'!An_max</f>
        <v>2021</v>
      </c>
      <c r="D151" s="1062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53">
        <f t="shared" si="81"/>
        <v>0.21428571428571427</v>
      </c>
      <c r="J151" s="746">
        <f t="shared" si="82"/>
        <v>63.33971574380994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55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53">
        <f t="shared" si="86"/>
        <v>0.39285714285714285</v>
      </c>
      <c r="AT151" s="769">
        <f t="shared" si="87"/>
        <v>63.335311685236448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53">
        <f t="shared" si="91"/>
        <v>0.8928571428571429</v>
      </c>
      <c r="AY151" s="769">
        <f t="shared" si="92"/>
        <v>63.355578407631924</v>
      </c>
      <c r="AZ151" s="746">
        <f t="shared" si="96"/>
        <v>63.345445046434186</v>
      </c>
      <c r="BA151" s="643">
        <f t="shared" si="93"/>
        <v>0.93375647951269281</v>
      </c>
      <c r="BC151" s="11">
        <v>43237</v>
      </c>
      <c r="BD151" s="290">
        <f>[2]!FeuilCaduc*(1-Persistant)+Persistant</f>
        <v>0.77202907224453754</v>
      </c>
      <c r="BE151" s="291">
        <f>[2]!CroissVégét</f>
        <v>0.27071905354146641</v>
      </c>
      <c r="BF151" s="816">
        <f>1+[2]!Salcycl*Ksac</f>
        <v>1.0215036340305672</v>
      </c>
      <c r="BH151" s="1053">
        <f t="shared" si="94"/>
        <v>1.9648848380424554E-3</v>
      </c>
      <c r="BI151" s="11">
        <v>44333</v>
      </c>
      <c r="BJ151" s="726">
        <v>1.6428965543458223E-4</v>
      </c>
      <c r="BK151" s="726">
        <v>6.7852901145760763E-4</v>
      </c>
      <c r="BL151" s="726">
        <v>1.2272905632081709E-3</v>
      </c>
      <c r="BM151" s="726">
        <v>1.9668155078376081E-3</v>
      </c>
      <c r="BN151" s="726">
        <v>3.1993931203623438E-3</v>
      </c>
      <c r="BO151" s="727">
        <v>4.7058017398069387E-3</v>
      </c>
      <c r="BP151" s="726">
        <v>6.5040056259299045E-3</v>
      </c>
      <c r="BQ151" s="726">
        <v>8.8032038573290956E-3</v>
      </c>
      <c r="BR151" s="726">
        <v>1.1379220499302956E-2</v>
      </c>
      <c r="BS151" s="726">
        <v>1.4276731552228965E-2</v>
      </c>
      <c r="BT151" s="726">
        <v>1.7017347109126831E-2</v>
      </c>
      <c r="BW151" s="1186">
        <f>'2018'!R\Max</f>
        <v>0</v>
      </c>
      <c r="BX151" s="1184">
        <f>'2019'!R\Max</f>
        <v>0.11961380749021008</v>
      </c>
      <c r="BY151" s="1184">
        <f>'2020'!R\Max</f>
        <v>0.57101611457008816</v>
      </c>
      <c r="BZ151" s="1184">
        <f>'2021'!R\Max</f>
        <v>0.93375647951269281</v>
      </c>
      <c r="CA151" s="1184">
        <f>'2022'!R\Max</f>
        <v>0.91145371264614827</v>
      </c>
      <c r="CB151" s="1184">
        <f>'2023'!R\Max</f>
        <v>0.91144802614489884</v>
      </c>
      <c r="CC151" s="1184">
        <f>'2024'!R\Max</f>
        <v>0.91144191846977751</v>
      </c>
      <c r="CD151" s="1184">
        <f>'2025'!R\Max</f>
        <v>0.91147170222683815</v>
      </c>
      <c r="CE151" s="1184">
        <f>'2026'!R\Max</f>
        <v>0.91146780553382423</v>
      </c>
      <c r="CF151" s="1185">
        <f>'2027'!R\Max</f>
        <v>0.91146372201842996</v>
      </c>
    </row>
    <row r="152" spans="1:84" s="6" customFormat="1" ht="11.25" x14ac:dyDescent="0.2">
      <c r="A152" s="11">
        <v>43238</v>
      </c>
      <c r="B152" s="380">
        <f>'2022'!Maxi_hp</f>
        <v>63.972000087795209</v>
      </c>
      <c r="C152" s="13">
        <f>'2022'!An_max</f>
        <v>2020</v>
      </c>
      <c r="D152" s="1062">
        <f t="shared" si="78"/>
        <v>1.0090952892418232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53">
        <f t="shared" si="81"/>
        <v>0.2857142857142857</v>
      </c>
      <c r="J152" s="746">
        <f t="shared" si="82"/>
        <v>63.395400582892556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55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53">
        <f t="shared" si="86"/>
        <v>0.35714285714285715</v>
      </c>
      <c r="AT152" s="769">
        <f t="shared" si="87"/>
        <v>63.389048360926765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53">
        <f t="shared" si="91"/>
        <v>0.8571428571428571</v>
      </c>
      <c r="AY152" s="769">
        <f t="shared" si="92"/>
        <v>63.416300291568042</v>
      </c>
      <c r="AZ152" s="746">
        <f t="shared" si="96"/>
        <v>63.402674326247407</v>
      </c>
      <c r="BA152" s="643">
        <f t="shared" si="93"/>
        <v>1.0090952892418232</v>
      </c>
      <c r="BC152" s="11">
        <v>43238</v>
      </c>
      <c r="BD152" s="290">
        <f>[2]!FeuilCaduc*(1-Persistant)+Persistant</f>
        <v>0.77760712135912158</v>
      </c>
      <c r="BE152" s="291">
        <f>[2]!CroissVégét</f>
        <v>0.27894001398938062</v>
      </c>
      <c r="BF152" s="816">
        <f>1+[2]!Salcycl*Ksac</f>
        <v>1.0222008901698902</v>
      </c>
      <c r="BH152" s="1053">
        <f t="shared" si="94"/>
        <v>1.8804986232625076E-3</v>
      </c>
      <c r="BI152" s="11">
        <v>44334</v>
      </c>
      <c r="BJ152" s="726">
        <v>1.4238817786618423E-4</v>
      </c>
      <c r="BK152" s="726">
        <v>6.363833306783028E-4</v>
      </c>
      <c r="BL152" s="726">
        <v>1.1637267815996491E-3</v>
      </c>
      <c r="BM152" s="726">
        <v>1.88237478986511E-3</v>
      </c>
      <c r="BN152" s="726">
        <v>3.1231659888157114E-3</v>
      </c>
      <c r="BO152" s="727">
        <v>4.6577160063255496E-3</v>
      </c>
      <c r="BP152" s="726">
        <v>6.5127147580104228E-3</v>
      </c>
      <c r="BQ152" s="726">
        <v>8.9647504467386709E-3</v>
      </c>
      <c r="BR152" s="726">
        <v>1.1696018960234929E-2</v>
      </c>
      <c r="BS152" s="726">
        <v>1.478637497914987E-2</v>
      </c>
      <c r="BT152" s="726">
        <v>1.7663248807455668E-2</v>
      </c>
      <c r="BW152" s="1186">
        <f>'2018'!R\Max</f>
        <v>0</v>
      </c>
      <c r="BX152" s="1184">
        <f>'2019'!R\Max</f>
        <v>0.6223204716260774</v>
      </c>
      <c r="BY152" s="1184">
        <f>'2020'!R\Max</f>
        <v>1.0090952892418232</v>
      </c>
      <c r="BZ152" s="1184">
        <f>'2021'!R\Max</f>
        <v>0.59512751833417332</v>
      </c>
      <c r="CA152" s="1184">
        <f>'2022'!R\Max</f>
        <v>0.8761176566544836</v>
      </c>
      <c r="CB152" s="1184">
        <f>'2023'!R\Max</f>
        <v>0.87610971772058133</v>
      </c>
      <c r="CC152" s="1184">
        <f>'2024'!R\Max</f>
        <v>0.87610107863113773</v>
      </c>
      <c r="CD152" s="1184">
        <f>'2025'!R\Max</f>
        <v>0.87614239280394557</v>
      </c>
      <c r="CE152" s="1184">
        <f>'2026'!R\Max</f>
        <v>0.87613708399444012</v>
      </c>
      <c r="CF152" s="1185">
        <f>'2027'!R\Max</f>
        <v>0.87613149364732767</v>
      </c>
    </row>
    <row r="153" spans="1:84" s="6" customFormat="1" ht="11.25" x14ac:dyDescent="0.2">
      <c r="A153" s="11">
        <v>43239</v>
      </c>
      <c r="B153" s="380">
        <f>'2022'!Maxi_hp</f>
        <v>63.050548226982031</v>
      </c>
      <c r="C153" s="13">
        <f>'2022'!An_max</f>
        <v>2020</v>
      </c>
      <c r="D153" s="1062">
        <f t="shared" si="78"/>
        <v>0.99376032907858713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53">
        <f t="shared" si="81"/>
        <v>0.35714285714285715</v>
      </c>
      <c r="J153" s="746">
        <f t="shared" si="82"/>
        <v>63.446433090604842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55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53">
        <f t="shared" si="86"/>
        <v>0.32142857142857145</v>
      </c>
      <c r="AT153" s="769">
        <f t="shared" si="87"/>
        <v>63.4388037125713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53">
        <f t="shared" si="91"/>
        <v>0.8214285714285714</v>
      </c>
      <c r="AY153" s="769">
        <f t="shared" si="92"/>
        <v>63.472065652427922</v>
      </c>
      <c r="AZ153" s="746">
        <f t="shared" si="96"/>
        <v>63.455434682499614</v>
      </c>
      <c r="BA153" s="643">
        <f t="shared" si="93"/>
        <v>0.99376032907858713</v>
      </c>
      <c r="BC153" s="11">
        <v>43239</v>
      </c>
      <c r="BD153" s="290">
        <f>[2]!FeuilCaduc*(1-Persistant)+Persistant</f>
        <v>0.78322849363786029</v>
      </c>
      <c r="BE153" s="291">
        <f>[2]!CroissVégét</f>
        <v>0.28731106552397356</v>
      </c>
      <c r="BF153" s="816">
        <f>1+[2]!Salcycl*Ksac</f>
        <v>1.0229035617047326</v>
      </c>
      <c r="BH153" s="1053">
        <f t="shared" si="94"/>
        <v>1.7867050455156156E-3</v>
      </c>
      <c r="BI153" s="11">
        <v>44335</v>
      </c>
      <c r="BJ153" s="726">
        <v>1.2218611292292783E-4</v>
      </c>
      <c r="BK153" s="726">
        <v>5.9280267782467087E-4</v>
      </c>
      <c r="BL153" s="726">
        <v>1.0956106575864813E-3</v>
      </c>
      <c r="BM153" s="726">
        <v>1.7885140007988902E-3</v>
      </c>
      <c r="BN153" s="726">
        <v>3.0262648491835653E-3</v>
      </c>
      <c r="BO153" s="727">
        <v>4.5754232610270024E-3</v>
      </c>
      <c r="BP153" s="726">
        <v>6.472513314979042E-3</v>
      </c>
      <c r="BQ153" s="726">
        <v>9.077662219060827E-3</v>
      </c>
      <c r="BR153" s="726">
        <v>1.1967274510934107E-2</v>
      </c>
      <c r="BS153" s="726">
        <v>1.5272557151007775E-2</v>
      </c>
      <c r="BT153" s="726">
        <v>1.8314344929277793E-2</v>
      </c>
      <c r="BW153" s="1186">
        <f>'2018'!R\Max</f>
        <v>0</v>
      </c>
      <c r="BX153" s="1184">
        <f>'2019'!R\Max</f>
        <v>0.44218831681123399</v>
      </c>
      <c r="BY153" s="1184">
        <f>'2020'!R\Max</f>
        <v>0.99376032907858713</v>
      </c>
      <c r="BZ153" s="1184">
        <f>'2021'!R\Max</f>
        <v>0.72869334521771734</v>
      </c>
      <c r="CA153" s="1184">
        <f>'2022'!R\Max</f>
        <v>0.9240753680111643</v>
      </c>
      <c r="CB153" s="1184">
        <f>'2023'!R\Max</f>
        <v>0.92407008591550099</v>
      </c>
      <c r="CC153" s="1184">
        <f>'2024'!R\Max</f>
        <v>0.9240642471158671</v>
      </c>
      <c r="CD153" s="1184">
        <f>'2025'!R\Max</f>
        <v>0.92409157427159638</v>
      </c>
      <c r="CE153" s="1184">
        <f>'2026'!R\Max</f>
        <v>0.92408812903364212</v>
      </c>
      <c r="CF153" s="1185">
        <f>'2027'!R\Max</f>
        <v>0.92408448237163232</v>
      </c>
    </row>
    <row r="154" spans="1:84" s="6" customFormat="1" ht="11.25" x14ac:dyDescent="0.2">
      <c r="A154" s="11">
        <v>43240</v>
      </c>
      <c r="B154" s="380">
        <f>'2022'!Maxi_hp</f>
        <v>62.803447200223168</v>
      </c>
      <c r="C154" s="13">
        <f>'2022'!An_max</f>
        <v>2021</v>
      </c>
      <c r="D154" s="1062">
        <f t="shared" si="78"/>
        <v>0.98913926756968695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53">
        <f t="shared" si="81"/>
        <v>0.42857142857142855</v>
      </c>
      <c r="J154" s="746">
        <f t="shared" si="82"/>
        <v>63.493027988395511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55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53">
        <f t="shared" si="86"/>
        <v>0.2857142857142857</v>
      </c>
      <c r="AT154" s="769">
        <f t="shared" si="87"/>
        <v>63.484725364510496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53">
        <f t="shared" si="91"/>
        <v>0.7857142857142857</v>
      </c>
      <c r="AY154" s="769">
        <f t="shared" si="92"/>
        <v>63.522981851654393</v>
      </c>
      <c r="AZ154" s="746">
        <f t="shared" si="96"/>
        <v>63.503853608082444</v>
      </c>
      <c r="BA154" s="643">
        <f t="shared" si="93"/>
        <v>0.98913926756968695</v>
      </c>
      <c r="BC154" s="11">
        <v>43240</v>
      </c>
      <c r="BD154" s="290">
        <f>[2]!FeuilCaduc*(1-Persistant)+Persistant</f>
        <v>0.78888718688019166</v>
      </c>
      <c r="BE154" s="291">
        <f>[2]!CroissVégét</f>
        <v>0.29582909613929492</v>
      </c>
      <c r="BF154" s="816">
        <f>1+[2]!Salcycl*Ksac</f>
        <v>1.0236108983600241</v>
      </c>
      <c r="BH154" s="1053">
        <f t="shared" si="94"/>
        <v>1.6835179393260755E-3</v>
      </c>
      <c r="BI154" s="11">
        <v>44336</v>
      </c>
      <c r="BJ154" s="726">
        <v>1.0368203503670122E-4</v>
      </c>
      <c r="BK154" s="726">
        <v>5.4779001670918963E-4</v>
      </c>
      <c r="BL154" s="726">
        <v>1.022949552888951E-3</v>
      </c>
      <c r="BM154" s="726">
        <v>1.6852469921059573E-3</v>
      </c>
      <c r="BN154" s="726">
        <v>2.908716847872968E-3</v>
      </c>
      <c r="BO154" s="727">
        <v>4.4589660412056031E-3</v>
      </c>
      <c r="BP154" s="726">
        <v>6.3834596689683609E-3</v>
      </c>
      <c r="BQ154" s="726">
        <v>9.1419917014119809E-3</v>
      </c>
      <c r="BR154" s="726">
        <v>1.2193030218556899E-2</v>
      </c>
      <c r="BS154" s="726">
        <v>1.5735286988783306E-2</v>
      </c>
      <c r="BT154" s="726">
        <v>1.897060401937874E-2</v>
      </c>
      <c r="BW154" s="1186">
        <f>'2018'!R\Max</f>
        <v>0</v>
      </c>
      <c r="BX154" s="1184">
        <f>'2019'!R\Max</f>
        <v>0.84800887686564974</v>
      </c>
      <c r="BY154" s="1184">
        <f>'2020'!R\Max</f>
        <v>0.97149106948272634</v>
      </c>
      <c r="BZ154" s="1184">
        <f>'2021'!R\Max</f>
        <v>0.98913926756968695</v>
      </c>
      <c r="CA154" s="1184">
        <f>'2022'!R\Max</f>
        <v>0.83664197364368298</v>
      </c>
      <c r="CB154" s="1184">
        <f>'2023'!R\Max</f>
        <v>0.83663146781794606</v>
      </c>
      <c r="CC154" s="1184">
        <f>'2024'!R\Max</f>
        <v>0.83661963781534521</v>
      </c>
      <c r="CD154" s="1184">
        <f>'2025'!R\Max</f>
        <v>0.83667369780119083</v>
      </c>
      <c r="CE154" s="1184">
        <f>'2026'!R\Max</f>
        <v>0.83666702063403364</v>
      </c>
      <c r="CF154" s="1185">
        <f>'2027'!R\Max</f>
        <v>0.83665991393570949</v>
      </c>
    </row>
    <row r="155" spans="1:84" s="6" customFormat="1" ht="11.25" x14ac:dyDescent="0.2">
      <c r="A155" s="11">
        <v>43241</v>
      </c>
      <c r="B155" s="380">
        <f>'2022'!Maxi_hp</f>
        <v>61.178268574854386</v>
      </c>
      <c r="C155" s="13">
        <f>'2022'!An_max</f>
        <v>2020</v>
      </c>
      <c r="D155" s="1062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53">
        <f t="shared" si="81"/>
        <v>0.5</v>
      </c>
      <c r="J155" s="746">
        <f t="shared" si="82"/>
        <v>63.535400000028311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55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53">
        <f t="shared" si="86"/>
        <v>0.25</v>
      </c>
      <c r="AT155" s="769">
        <f t="shared" si="87"/>
        <v>63.526960937120023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53">
        <f t="shared" si="91"/>
        <v>0.75</v>
      </c>
      <c r="AY155" s="769">
        <f t="shared" si="92"/>
        <v>63.569156250357629</v>
      </c>
      <c r="AZ155" s="746">
        <f t="shared" si="96"/>
        <v>63.54805859373883</v>
      </c>
      <c r="BA155" s="643">
        <f t="shared" si="93"/>
        <v>0.9629005023156717</v>
      </c>
      <c r="BC155" s="11">
        <v>43241</v>
      </c>
      <c r="BD155" s="290">
        <f>[2]!FeuilCaduc*(1-Persistant)+Persistant</f>
        <v>0.79457700746586535</v>
      </c>
      <c r="BE155" s="291">
        <f>[2]!CroissVégét</f>
        <v>0.30449063118118064</v>
      </c>
      <c r="BF155" s="816">
        <f>1+[2]!Salcycl*Ksac</f>
        <v>1.0243221259332331</v>
      </c>
      <c r="BH155" s="1053">
        <f t="shared" si="94"/>
        <v>1.5709518182624096E-3</v>
      </c>
      <c r="BI155" s="11">
        <v>44337</v>
      </c>
      <c r="BJ155" s="726">
        <v>8.6874430054453551E-5</v>
      </c>
      <c r="BK155" s="726">
        <v>5.013484416147981E-4</v>
      </c>
      <c r="BL155" s="726">
        <v>9.4575117872202393E-4</v>
      </c>
      <c r="BM155" s="726">
        <v>1.5725882951601487E-3</v>
      </c>
      <c r="BN155" s="726">
        <v>2.7705505229485895E-3</v>
      </c>
      <c r="BO155" s="727">
        <v>4.3083891146557191E-3</v>
      </c>
      <c r="BP155" s="726">
        <v>6.2456153094080325E-3</v>
      </c>
      <c r="BQ155" s="726">
        <v>9.1577943757313995E-3</v>
      </c>
      <c r="BR155" s="726">
        <v>1.2373331759731968E-2</v>
      </c>
      <c r="BS155" s="726">
        <v>1.6174574426146931E-2</v>
      </c>
      <c r="BT155" s="726">
        <v>1.9631993670364029E-2</v>
      </c>
      <c r="BW155" s="1186">
        <f>'2018'!R\Max</f>
        <v>0</v>
      </c>
      <c r="BX155" s="1184">
        <f>'2019'!R\Max</f>
        <v>0.81726598808176065</v>
      </c>
      <c r="BY155" s="1184">
        <f>'2020'!R\Max</f>
        <v>0.9629005023156717</v>
      </c>
      <c r="BZ155" s="1184">
        <f>'2021'!R\Max</f>
        <v>0.64923314247650399</v>
      </c>
      <c r="CA155" s="1184">
        <f>'2022'!R\Max</f>
        <v>0.83477564546387772</v>
      </c>
      <c r="CB155" s="1184">
        <f>'2023'!R\Max</f>
        <v>0.83476490336414133</v>
      </c>
      <c r="CC155" s="1184">
        <f>'2024'!R\Max</f>
        <v>0.83475254225111362</v>
      </c>
      <c r="CD155" s="1184">
        <f>'2025'!R\Max</f>
        <v>0.83480753950274533</v>
      </c>
      <c r="CE155" s="1184">
        <f>'2026'!R\Max</f>
        <v>0.83480089843915239</v>
      </c>
      <c r="CF155" s="1185">
        <f>'2027'!R\Max</f>
        <v>0.83479378729135878</v>
      </c>
    </row>
    <row r="156" spans="1:84" s="6" customFormat="1" ht="11.25" x14ac:dyDescent="0.2">
      <c r="A156" s="11">
        <v>43242</v>
      </c>
      <c r="B156" s="380">
        <f>'2022'!Maxi_hp</f>
        <v>62.875998222350205</v>
      </c>
      <c r="C156" s="13">
        <f>'2022'!An_max</f>
        <v>2019</v>
      </c>
      <c r="D156" s="1062">
        <f t="shared" si="78"/>
        <v>0.98902431468688479</v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53">
        <f t="shared" si="81"/>
        <v>0.5714285714285714</v>
      </c>
      <c r="J156" s="746">
        <f t="shared" si="82"/>
        <v>63.573763848521878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55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53">
        <f t="shared" si="86"/>
        <v>0.21428571428571427</v>
      </c>
      <c r="AT156" s="769">
        <f t="shared" si="87"/>
        <v>63.565658053968626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53">
        <f t="shared" si="91"/>
        <v>0.7142857142857143</v>
      </c>
      <c r="AY156" s="769">
        <f t="shared" si="92"/>
        <v>63.610696210286449</v>
      </c>
      <c r="AZ156" s="746">
        <f t="shared" si="96"/>
        <v>63.588177132127541</v>
      </c>
      <c r="BA156" s="643">
        <f t="shared" si="93"/>
        <v>0.98902431468688479</v>
      </c>
      <c r="BC156" s="11">
        <v>43242</v>
      </c>
      <c r="BD156" s="290">
        <f>[2]!FeuilCaduc*(1-Persistant)+Persistant</f>
        <v>0.80029158597999939</v>
      </c>
      <c r="BE156" s="291">
        <f>[2]!CroissVégét</f>
        <v>0.3132918316722918</v>
      </c>
      <c r="BF156" s="816">
        <f>1+[2]!Salcycl*Ksac</f>
        <v>1.0250364482474998</v>
      </c>
      <c r="BH156" s="1053">
        <f t="shared" si="94"/>
        <v>1.4553319780046309E-3</v>
      </c>
      <c r="BI156" s="11">
        <v>44338</v>
      </c>
      <c r="BJ156" s="726">
        <v>7.2180526891287738E-5</v>
      </c>
      <c r="BK156" s="726">
        <v>4.5549526809846058E-4</v>
      </c>
      <c r="BL156" s="726">
        <v>8.6792029103874573E-4</v>
      </c>
      <c r="BM156" s="726">
        <v>1.4568695414592817E-3</v>
      </c>
      <c r="BN156" s="726">
        <v>2.6201727786756596E-3</v>
      </c>
      <c r="BO156" s="727">
        <v>4.1330998216847189E-3</v>
      </c>
      <c r="BP156" s="726">
        <v>6.0673843171314898E-3</v>
      </c>
      <c r="BQ156" s="726">
        <v>9.1122098404426768E-3</v>
      </c>
      <c r="BR156" s="726">
        <v>1.2473243219951536E-2</v>
      </c>
      <c r="BS156" s="726">
        <v>1.653365385234239E-2</v>
      </c>
      <c r="BT156" s="726">
        <v>2.0239295991248869E-2</v>
      </c>
      <c r="BW156" s="1186">
        <f>'2018'!R\Max</f>
        <v>0</v>
      </c>
      <c r="BX156" s="1184">
        <f>'2019'!R\Max</f>
        <v>0.98902431468688479</v>
      </c>
      <c r="BY156" s="1184">
        <f>'2020'!R\Max</f>
        <v>0.88514224347639803</v>
      </c>
      <c r="BZ156" s="1184">
        <f>'2021'!R\Max</f>
        <v>0.49418943507296242</v>
      </c>
      <c r="CA156" s="1184">
        <f>'2022'!R\Max</f>
        <v>0.6314505669068009</v>
      </c>
      <c r="CB156" s="1184">
        <f>'2023'!R\Max</f>
        <v>0.63143235047540502</v>
      </c>
      <c r="CC156" s="1184">
        <f>'2024'!R\Max</f>
        <v>0.6314109108268513</v>
      </c>
      <c r="CD156" s="1184">
        <f>'2025'!R\Max</f>
        <v>0.63150375350987231</v>
      </c>
      <c r="CE156" s="1184">
        <f>'2026'!R\Max</f>
        <v>0.6314927996901869</v>
      </c>
      <c r="CF156" s="1185">
        <f>'2027'!R\Max</f>
        <v>0.63148099581546324</v>
      </c>
    </row>
    <row r="157" spans="1:84" s="6" customFormat="1" ht="11.25" x14ac:dyDescent="0.2">
      <c r="A157" s="11">
        <v>43243</v>
      </c>
      <c r="B157" s="380">
        <f>'2022'!Maxi_hp</f>
        <v>58.76828057791041</v>
      </c>
      <c r="C157" s="13">
        <f>'2022'!An_max</f>
        <v>2020</v>
      </c>
      <c r="D157" s="1062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53">
        <f t="shared" si="81"/>
        <v>0.6428571428571429</v>
      </c>
      <c r="J157" s="746">
        <f t="shared" si="82"/>
        <v>63.608334256628794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55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53">
        <f t="shared" si="86"/>
        <v>0.17857142857142858</v>
      </c>
      <c r="AT157" s="769">
        <f t="shared" si="87"/>
        <v>63.600964335644882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53">
        <f t="shared" si="91"/>
        <v>0.6785714285714286</v>
      </c>
      <c r="AY157" s="769">
        <f t="shared" si="92"/>
        <v>63.64770909320297</v>
      </c>
      <c r="AZ157" s="746">
        <f t="shared" si="96"/>
        <v>63.624336714423926</v>
      </c>
      <c r="BA157" s="643">
        <f t="shared" si="93"/>
        <v>0.92390849822931831</v>
      </c>
      <c r="BC157" s="11">
        <v>43243</v>
      </c>
      <c r="BD157" s="290">
        <f>[2]!FeuilCaduc*(1-Persistant)+Persistant</f>
        <v>0.80602439424666517</v>
      </c>
      <c r="BE157" s="291">
        <f>[2]!CroissVégét</f>
        <v>0.3222284943358365</v>
      </c>
      <c r="BF157" s="816">
        <f>1+[2]!Salcycl*Ksac</f>
        <v>1.0257530492808331</v>
      </c>
      <c r="BH157" s="1053">
        <f t="shared" si="94"/>
        <v>1.3475474399799374E-3</v>
      </c>
      <c r="BI157" s="11">
        <v>44339</v>
      </c>
      <c r="BJ157" s="726">
        <v>5.9597056337938775E-5</v>
      </c>
      <c r="BK157" s="726">
        <v>4.1347844866545754E-4</v>
      </c>
      <c r="BL157" s="726">
        <v>7.9606785202164802E-4</v>
      </c>
      <c r="BM157" s="726">
        <v>1.3489909503479559E-3</v>
      </c>
      <c r="BN157" s="726">
        <v>2.473269480641885E-3</v>
      </c>
      <c r="BO157" s="727">
        <v>3.9530934763603205E-3</v>
      </c>
      <c r="BP157" s="726">
        <v>5.8712291356933857E-3</v>
      </c>
      <c r="BQ157" s="726">
        <v>9.0198338656209305E-3</v>
      </c>
      <c r="BR157" s="726">
        <v>1.2498750701410273E-2</v>
      </c>
      <c r="BS157" s="726">
        <v>1.6809684299288759E-2</v>
      </c>
      <c r="BT157" s="726">
        <v>2.0790210641703073E-2</v>
      </c>
      <c r="BW157" s="1186">
        <f>'2018'!R\Max</f>
        <v>0</v>
      </c>
      <c r="BX157" s="1184">
        <f>'2019'!R\Max</f>
        <v>0.85650985841939808</v>
      </c>
      <c r="BY157" s="1184">
        <f>'2020'!R\Max</f>
        <v>0.92390849822931831</v>
      </c>
      <c r="BZ157" s="1184">
        <f>'2021'!R\Max</f>
        <v>0.6329749575555208</v>
      </c>
      <c r="CA157" s="1184">
        <f>'2022'!R\Max</f>
        <v>0.32904843693160218</v>
      </c>
      <c r="CB157" s="1184">
        <f>'2023'!R\Max</f>
        <v>0.32903118685361887</v>
      </c>
      <c r="CC157" s="1184">
        <f>'2024'!R\Max</f>
        <v>0.32901042874705849</v>
      </c>
      <c r="CD157" s="1184">
        <f>'2025'!R\Max</f>
        <v>0.3290980431512317</v>
      </c>
      <c r="CE157" s="1184">
        <f>'2026'!R\Max</f>
        <v>0.3290879324896725</v>
      </c>
      <c r="CF157" s="1185">
        <f>'2027'!R\Max</f>
        <v>0.32907696798639563</v>
      </c>
    </row>
    <row r="158" spans="1:84" s="6" customFormat="1" ht="11.25" x14ac:dyDescent="0.2">
      <c r="A158" s="11">
        <v>43244</v>
      </c>
      <c r="B158" s="380">
        <f>'2022'!Maxi_hp</f>
        <v>30.554357090064354</v>
      </c>
      <c r="C158" s="13">
        <f>'2022'!An_max</f>
        <v>2021</v>
      </c>
      <c r="D158" s="1062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53">
        <f t="shared" si="81"/>
        <v>0.7142857142857143</v>
      </c>
      <c r="J158" s="746">
        <f t="shared" si="82"/>
        <v>63.639325947953125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55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53">
        <f t="shared" si="86"/>
        <v>0.14285714285714285</v>
      </c>
      <c r="AT158" s="769">
        <f t="shared" si="87"/>
        <v>63.633027405717556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53">
        <f t="shared" si="91"/>
        <v>0.6428571428571429</v>
      </c>
      <c r="AY158" s="769">
        <f t="shared" si="92"/>
        <v>63.680302259405813</v>
      </c>
      <c r="AZ158" s="746">
        <f t="shared" si="96"/>
        <v>63.656664832561688</v>
      </c>
      <c r="BA158" s="643">
        <f t="shared" si="93"/>
        <v>0.48011754736454892</v>
      </c>
      <c r="BC158" s="11">
        <v>43244</v>
      </c>
      <c r="BD158" s="290">
        <f>[2]!FeuilCaduc*(1-Persistant)+Persistant</f>
        <v>0.81176876371646534</v>
      </c>
      <c r="BE158" s="291">
        <f>[2]!CroissVégét</f>
        <v>0.33129605339749552</v>
      </c>
      <c r="BF158" s="816">
        <f>1+[2]!Salcycl*Ksac</f>
        <v>1.0264710954645582</v>
      </c>
      <c r="BH158" s="1053">
        <f t="shared" si="94"/>
        <v>1.2475872433983244E-3</v>
      </c>
      <c r="BI158" s="11">
        <v>44340</v>
      </c>
      <c r="BJ158" s="726">
        <v>4.9121584288742531E-5</v>
      </c>
      <c r="BK158" s="726">
        <v>3.7529318218339718E-4</v>
      </c>
      <c r="BL158" s="726">
        <v>7.3018601740887487E-4</v>
      </c>
      <c r="BM158" s="726">
        <v>1.2489415528785836E-3</v>
      </c>
      <c r="BN158" s="726">
        <v>2.3298324200254558E-3</v>
      </c>
      <c r="BO158" s="727">
        <v>3.7683677910559359E-3</v>
      </c>
      <c r="BP158" s="726">
        <v>5.657157162104149E-3</v>
      </c>
      <c r="BQ158" s="726">
        <v>8.8806922021184044E-3</v>
      </c>
      <c r="BR158" s="726">
        <v>1.2449894263560659E-2</v>
      </c>
      <c r="BS158" s="726">
        <v>1.7002683158902996E-2</v>
      </c>
      <c r="BT158" s="726">
        <v>2.1284684811870874E-2</v>
      </c>
      <c r="BW158" s="1186">
        <f>'2018'!R\Max</f>
        <v>0</v>
      </c>
      <c r="BX158" s="1184">
        <f>'2019'!R\Max</f>
        <v>0.20401580989727588</v>
      </c>
      <c r="BY158" s="1184">
        <f>'2020'!R\Max</f>
        <v>0.293367629334575</v>
      </c>
      <c r="BZ158" s="1184">
        <f>'2021'!R\Max</f>
        <v>0.48011754736454892</v>
      </c>
      <c r="CA158" s="1184">
        <f>'2022'!R\Max</f>
        <v>0.28519627991500257</v>
      </c>
      <c r="CB158" s="1184">
        <f>'2023'!R\Max</f>
        <v>0.28518081715109755</v>
      </c>
      <c r="CC158" s="1184">
        <f>'2024'!R\Max</f>
        <v>0.28516179136921876</v>
      </c>
      <c r="CD158" s="1184">
        <f>'2025'!R\Max</f>
        <v>0.28524012985384717</v>
      </c>
      <c r="CE158" s="1184">
        <f>'2026'!R\Max</f>
        <v>0.28523128103219347</v>
      </c>
      <c r="CF158" s="1185">
        <f>'2027'!R\Max</f>
        <v>0.28522162382467919</v>
      </c>
    </row>
    <row r="159" spans="1:84" s="6" customFormat="1" ht="11.25" x14ac:dyDescent="0.2">
      <c r="A159" s="11">
        <v>43245</v>
      </c>
      <c r="B159" s="380">
        <f>'2022'!Maxi_hp</f>
        <v>59.691953884707942</v>
      </c>
      <c r="C159" s="13">
        <f>'2022'!An_max</f>
        <v>2020</v>
      </c>
      <c r="D159" s="1062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53">
        <f t="shared" si="81"/>
        <v>0.7857142857142857</v>
      </c>
      <c r="J159" s="746">
        <f t="shared" si="82"/>
        <v>63.666953644608817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55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53">
        <f t="shared" si="86"/>
        <v>0.10714285714285714</v>
      </c>
      <c r="AT159" s="769">
        <f t="shared" si="87"/>
        <v>63.661994884775154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53">
        <f t="shared" si="91"/>
        <v>0.6071428571428571</v>
      </c>
      <c r="AY159" s="769">
        <f t="shared" si="92"/>
        <v>63.708583072000849</v>
      </c>
      <c r="AZ159" s="746">
        <f t="shared" si="96"/>
        <v>63.685288978388002</v>
      </c>
      <c r="BA159" s="643">
        <f t="shared" si="93"/>
        <v>0.93756573022027312</v>
      </c>
      <c r="BC159" s="11">
        <v>43245</v>
      </c>
      <c r="BD159" s="290">
        <f>[2]!FeuilCaduc*(1-Persistant)+Persistant</f>
        <v>0.81751790514011213</v>
      </c>
      <c r="BE159" s="291">
        <f>[2]!CroissVégét</f>
        <v>0.34048958423292969</v>
      </c>
      <c r="BF159" s="816">
        <f>1+[2]!Salcycl*Ksac</f>
        <v>1.0271897381425139</v>
      </c>
      <c r="BH159" s="1053">
        <f t="shared" si="94"/>
        <v>1.1554483391178285E-3</v>
      </c>
      <c r="BI159" s="11">
        <v>44341</v>
      </c>
      <c r="BJ159" s="726">
        <v>4.0751869435697757E-5</v>
      </c>
      <c r="BK159" s="726">
        <v>3.4093698516105323E-4</v>
      </c>
      <c r="BL159" s="726">
        <v>6.7027151144773156E-4</v>
      </c>
      <c r="BM159" s="726">
        <v>1.1567183005023597E-3</v>
      </c>
      <c r="BN159" s="726">
        <v>2.1898688627517526E-3</v>
      </c>
      <c r="BO159" s="727">
        <v>3.5789460636883466E-3</v>
      </c>
      <c r="BP159" s="726">
        <v>5.425214611474099E-3</v>
      </c>
      <c r="BQ159" s="726">
        <v>8.6948711130040626E-3</v>
      </c>
      <c r="BR159" s="726">
        <v>1.2326797916123731E-2</v>
      </c>
      <c r="BS159" s="726">
        <v>1.7112777063250609E-2</v>
      </c>
      <c r="BT159" s="726">
        <v>2.1722793862131207E-2</v>
      </c>
      <c r="BW159" s="1186">
        <f>'2018'!R\Max</f>
        <v>0</v>
      </c>
      <c r="BX159" s="1184">
        <f>'2019'!R\Max</f>
        <v>0.41112093103731046</v>
      </c>
      <c r="BY159" s="1184">
        <f>'2020'!R\Max</f>
        <v>0.93756573022027312</v>
      </c>
      <c r="BZ159" s="1184">
        <f>'2021'!R\Max</f>
        <v>0.8140642209583826</v>
      </c>
      <c r="CA159" s="1184">
        <f>'2022'!R\Max</f>
        <v>0.66875718399033335</v>
      </c>
      <c r="CB159" s="1184">
        <f>'2023'!R\Max</f>
        <v>0.66874030179903921</v>
      </c>
      <c r="CC159" s="1184">
        <f>'2024'!R\Max</f>
        <v>0.66871905462356895</v>
      </c>
      <c r="CD159" s="1184">
        <f>'2025'!R\Max</f>
        <v>0.66880444129603256</v>
      </c>
      <c r="CE159" s="1184">
        <f>'2026'!R\Max</f>
        <v>0.66879499582012525</v>
      </c>
      <c r="CF159" s="1185">
        <f>'2027'!R\Max</f>
        <v>0.66878462165583985</v>
      </c>
    </row>
    <row r="160" spans="1:84" s="6" customFormat="1" ht="11.25" x14ac:dyDescent="0.2">
      <c r="A160" s="11">
        <v>43246</v>
      </c>
      <c r="B160" s="380">
        <f>'2022'!Maxi_hp</f>
        <v>61.991403277896538</v>
      </c>
      <c r="C160" s="13">
        <f>'2022'!An_max</f>
        <v>2020</v>
      </c>
      <c r="D160" s="1062">
        <f t="shared" si="78"/>
        <v>0.97330835974249041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53">
        <f t="shared" si="81"/>
        <v>0.8571428571428571</v>
      </c>
      <c r="J160" s="746">
        <f t="shared" si="82"/>
        <v>63.691432070199923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55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53">
        <f t="shared" si="86"/>
        <v>7.1428571428571425E-2</v>
      </c>
      <c r="AT160" s="769">
        <f t="shared" si="87"/>
        <v>63.688014394204536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53">
        <f t="shared" si="91"/>
        <v>0.5714285714285714</v>
      </c>
      <c r="AY160" s="769">
        <f t="shared" si="92"/>
        <v>63.732658892284554</v>
      </c>
      <c r="AZ160" s="746">
        <f t="shared" si="96"/>
        <v>63.710336643244545</v>
      </c>
      <c r="BA160" s="643">
        <f t="shared" si="93"/>
        <v>0.97330835974249041</v>
      </c>
      <c r="BC160" s="11">
        <v>43246</v>
      </c>
      <c r="BD160" s="290">
        <f>[2]!FeuilCaduc*(1-Persistant)+Persistant</f>
        <v>0.82326492944677909</v>
      </c>
      <c r="BE160" s="291">
        <f>[2]!CroissVégét</f>
        <v>0.34980380891459434</v>
      </c>
      <c r="BF160" s="816">
        <f>1+[2]!Salcycl*Ksac</f>
        <v>1.0279081161808474</v>
      </c>
      <c r="BH160" s="1053">
        <f t="shared" si="94"/>
        <v>1.0711262348430325E-3</v>
      </c>
      <c r="BI160" s="11">
        <v>44342</v>
      </c>
      <c r="BJ160" s="726">
        <v>3.4485368378942211E-5</v>
      </c>
      <c r="BK160" s="726">
        <v>3.1040672412895368E-4</v>
      </c>
      <c r="BL160" s="726">
        <v>6.1632001192714011E-4</v>
      </c>
      <c r="BM160" s="726">
        <v>1.0723167004786675E-3</v>
      </c>
      <c r="BN160" s="726">
        <v>2.0533849128995256E-3</v>
      </c>
      <c r="BO160" s="727">
        <v>3.3848511714378079E-3</v>
      </c>
      <c r="BP160" s="726">
        <v>5.175448669207534E-3</v>
      </c>
      <c r="BQ160" s="726">
        <v>8.4624616052608147E-3</v>
      </c>
      <c r="BR160" s="726">
        <v>1.2129594120787289E-2</v>
      </c>
      <c r="BS160" s="726">
        <v>1.7140103385968119E-2</v>
      </c>
      <c r="BT160" s="726">
        <v>2.2104622368692307E-2</v>
      </c>
      <c r="BW160" s="1186">
        <f>'2018'!R\Max</f>
        <v>0</v>
      </c>
      <c r="BX160" s="1184">
        <f>'2019'!R\Max</f>
        <v>0.41070703869743586</v>
      </c>
      <c r="BY160" s="1184">
        <f>'2020'!R\Max</f>
        <v>0.97330835974249041</v>
      </c>
      <c r="BZ160" s="1184">
        <f>'2021'!R\Max</f>
        <v>0.87555351242356394</v>
      </c>
      <c r="CA160" s="1184">
        <f>'2022'!R\Max</f>
        <v>0.40536628376552758</v>
      </c>
      <c r="CB160" s="1184">
        <f>'2023'!R\Max</f>
        <v>0.40534834967311906</v>
      </c>
      <c r="CC160" s="1184">
        <f>'2024'!R\Max</f>
        <v>0.40532525069770126</v>
      </c>
      <c r="CD160" s="1184">
        <f>'2025'!R\Max</f>
        <v>0.40541589055957994</v>
      </c>
      <c r="CE160" s="1184">
        <f>'2026'!R\Max</f>
        <v>0.40540606493308229</v>
      </c>
      <c r="CF160" s="1185">
        <f>'2027'!R\Max</f>
        <v>0.40539520534239598</v>
      </c>
    </row>
    <row r="161" spans="1:84" s="6" customFormat="1" ht="11.25" x14ac:dyDescent="0.2">
      <c r="A161" s="11">
        <v>43247</v>
      </c>
      <c r="B161" s="380">
        <f>'2022'!Maxi_hp</f>
        <v>62.096546618278133</v>
      </c>
      <c r="C161" s="13">
        <f>'2022'!An_max</f>
        <v>2021</v>
      </c>
      <c r="D161" s="1062">
        <f t="shared" si="78"/>
        <v>0.9746295114056136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53">
        <f t="shared" si="81"/>
        <v>0.9285714285714286</v>
      </c>
      <c r="J161" s="746">
        <f t="shared" si="82"/>
        <v>63.712975947878192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55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53">
        <f t="shared" si="86"/>
        <v>3.5714285714285712E-2</v>
      </c>
      <c r="AT161" s="769">
        <f t="shared" si="87"/>
        <v>63.711233558984738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53">
        <f t="shared" si="91"/>
        <v>0.5357142857142857</v>
      </c>
      <c r="AY161" s="769">
        <f t="shared" si="92"/>
        <v>63.752637080901437</v>
      </c>
      <c r="AZ161" s="746">
        <f t="shared" si="96"/>
        <v>63.731935319943091</v>
      </c>
      <c r="BA161" s="643">
        <f t="shared" si="93"/>
        <v>0.9746295114056136</v>
      </c>
      <c r="BC161" s="11">
        <v>43247</v>
      </c>
      <c r="BD161" s="290">
        <f>[2]!FeuilCaduc*(1-Persistant)+Persistant</f>
        <v>0.82900286973316695</v>
      </c>
      <c r="BE161" s="291">
        <f>[2]!CroissVégét</f>
        <v>0.35923310369654604</v>
      </c>
      <c r="BF161" s="816">
        <f>1+[2]!Salcycl*Ksac</f>
        <v>1.0286253587166458</v>
      </c>
      <c r="BH161" s="1053">
        <f t="shared" si="94"/>
        <v>9.9461509935366323E-4</v>
      </c>
      <c r="BI161" s="11">
        <v>44343</v>
      </c>
      <c r="BJ161" s="726">
        <v>3.0319263826959986E-5</v>
      </c>
      <c r="BK161" s="726">
        <v>2.8369866674469459E-4</v>
      </c>
      <c r="BL161" s="726">
        <v>5.6832622977676084E-4</v>
      </c>
      <c r="BM161" s="726">
        <v>9.9573092016814416E-4</v>
      </c>
      <c r="BN161" s="726">
        <v>1.9203855581685042E-3</v>
      </c>
      <c r="BO161" s="727">
        <v>3.1861055061715082E-3</v>
      </c>
      <c r="BP161" s="726">
        <v>4.9079072493343756E-3</v>
      </c>
      <c r="BQ161" s="726">
        <v>8.1835588024322323E-3</v>
      </c>
      <c r="BR161" s="726">
        <v>1.1858422795245977E-2</v>
      </c>
      <c r="BS161" s="726">
        <v>1.7084809134055825E-2</v>
      </c>
      <c r="BT161" s="726">
        <v>2.2430263377350126E-2</v>
      </c>
      <c r="BW161" s="1186">
        <f>'2018'!R\Max</f>
        <v>0</v>
      </c>
      <c r="BX161" s="1184">
        <f>'2019'!R\Max</f>
        <v>0.48233583022421855</v>
      </c>
      <c r="BY161" s="1184">
        <f>'2020'!R\Max</f>
        <v>0.97342980811661217</v>
      </c>
      <c r="BZ161" s="1184">
        <f>'2021'!R\Max</f>
        <v>0.9746295114056136</v>
      </c>
      <c r="CA161" s="1184">
        <f>'2022'!R\Max</f>
        <v>0.75391090940848016</v>
      </c>
      <c r="CB161" s="1184">
        <f>'2023'!R\Max</f>
        <v>0.7538975478055272</v>
      </c>
      <c r="CC161" s="1184">
        <f>'2024'!R\Max</f>
        <v>0.75387991611253824</v>
      </c>
      <c r="CD161" s="1184">
        <f>'2025'!R\Max</f>
        <v>0.75394744917304168</v>
      </c>
      <c r="CE161" s="1184">
        <f>'2026'!R\Max</f>
        <v>0.75394027501834759</v>
      </c>
      <c r="CF161" s="1185">
        <f>'2027'!R\Max</f>
        <v>0.75393229601849676</v>
      </c>
    </row>
    <row r="162" spans="1:84" s="6" customFormat="1" ht="11.25" x14ac:dyDescent="0.2">
      <c r="A162" s="11">
        <v>43248</v>
      </c>
      <c r="B162" s="380">
        <f>'2022'!Maxi_hp</f>
        <v>61.293375317013549</v>
      </c>
      <c r="C162" s="13">
        <f>'2022'!An_max</f>
        <v>2020</v>
      </c>
      <c r="D162" s="1062" t="str">
        <f t="shared" si="78"/>
        <v/>
      </c>
      <c r="E162" s="1057">
        <f>X$13/10</f>
        <v>63.7318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53">
        <f t="shared" si="81"/>
        <v>1</v>
      </c>
      <c r="J162" s="746">
        <f t="shared" si="82"/>
        <v>63.731799999997023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55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53">
        <f t="shared" si="86"/>
        <v>0</v>
      </c>
      <c r="AT162" s="769">
        <f t="shared" si="87"/>
        <v>63.731799999624492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53">
        <f t="shared" si="91"/>
        <v>0.5</v>
      </c>
      <c r="AY162" s="769">
        <f t="shared" si="92"/>
        <v>63.768624999932946</v>
      </c>
      <c r="AZ162" s="746">
        <f t="shared" si="96"/>
        <v>63.750212499778719</v>
      </c>
      <c r="BA162" s="643">
        <f t="shared" si="93"/>
        <v>0.9617392779902092</v>
      </c>
      <c r="BC162" s="11">
        <v>43248</v>
      </c>
      <c r="BD162" s="290">
        <f>[2]!FeuilCaduc*(1-Persistant)+Persistant</f>
        <v>0.83472470425689438</v>
      </c>
      <c r="BE162" s="291">
        <f>[2]!CroissVégét</f>
        <v>0.3687715084596308</v>
      </c>
      <c r="BF162" s="816">
        <f>1+[2]!Salcycl*Ksac</f>
        <v>1.0293405880321118</v>
      </c>
      <c r="BH162" s="1053">
        <f t="shared" si="94"/>
        <v>9.2590786677222388E-4</v>
      </c>
      <c r="BI162" s="11">
        <v>44344</v>
      </c>
      <c r="BJ162" s="726">
        <v>2.8250492798163495E-5</v>
      </c>
      <c r="BK162" s="726">
        <v>2.6080853290977063E-4</v>
      </c>
      <c r="BL162" s="726">
        <v>5.2628398868875988E-4</v>
      </c>
      <c r="BM162" s="726">
        <v>9.2695389136482397E-4</v>
      </c>
      <c r="BN162" s="726">
        <v>1.7908747154210139E-3</v>
      </c>
      <c r="BO162" s="727">
        <v>2.9827309099879819E-3</v>
      </c>
      <c r="BP162" s="726">
        <v>4.6226387530252031E-3</v>
      </c>
      <c r="BQ162" s="726">
        <v>7.8582613175632535E-3</v>
      </c>
      <c r="BR162" s="726">
        <v>1.151343031765824E-2</v>
      </c>
      <c r="BS162" s="726">
        <v>1.6947049840249331E-2</v>
      </c>
      <c r="BT162" s="726">
        <v>2.2699817657981475E-2</v>
      </c>
      <c r="BW162" s="1186">
        <f>'2018'!R\Max</f>
        <v>0</v>
      </c>
      <c r="BX162" s="1184">
        <f>'2019'!R\Max</f>
        <v>0.45435345322905729</v>
      </c>
      <c r="BY162" s="1184">
        <f>'2020'!R\Max</f>
        <v>0.9617392779902092</v>
      </c>
      <c r="BZ162" s="1184">
        <f>'2021'!R\Max</f>
        <v>0.87524102051660746</v>
      </c>
      <c r="CA162" s="1184">
        <f>'2022'!R\Max</f>
        <v>0.90825225925391717</v>
      </c>
      <c r="CB162" s="1184">
        <f>'2023'!R\Max</f>
        <v>0.90824650557673614</v>
      </c>
      <c r="CC162" s="1184">
        <f>'2024'!R\Max</f>
        <v>0.9082387157539068</v>
      </c>
      <c r="CD162" s="1184">
        <f>'2025'!R\Max</f>
        <v>0.90826782364625025</v>
      </c>
      <c r="CE162" s="1184">
        <f>'2026'!R\Max</f>
        <v>0.90826479329712362</v>
      </c>
      <c r="CF162" s="1185">
        <f>'2027'!R\Max</f>
        <v>0.90826140208868344</v>
      </c>
    </row>
    <row r="163" spans="1:84" s="6" customFormat="1" ht="11.25" x14ac:dyDescent="0.2">
      <c r="A163" s="11">
        <v>43249</v>
      </c>
      <c r="B163" s="380">
        <f>'2022'!Maxi_hp</f>
        <v>62.395871267870142</v>
      </c>
      <c r="C163" s="13">
        <f>'2022'!An_max</f>
        <v>2022</v>
      </c>
      <c r="D163" s="1062">
        <f t="shared" si="78"/>
        <v>0.97879231630549479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53">
        <f t="shared" si="81"/>
        <v>0.9285714285714286</v>
      </c>
      <c r="J163" s="746">
        <f t="shared" si="82"/>
        <v>63.747814759505651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55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53">
        <f t="shared" si="86"/>
        <v>3.5714285714285712E-2</v>
      </c>
      <c r="AT163" s="769">
        <f t="shared" si="87"/>
        <v>63.748483532281327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53">
        <f t="shared" si="91"/>
        <v>0.4642857142857143</v>
      </c>
      <c r="AY163" s="769">
        <f t="shared" si="92"/>
        <v>63.780730010861795</v>
      </c>
      <c r="AZ163" s="746">
        <f t="shared" si="96"/>
        <v>63.764606771571565</v>
      </c>
      <c r="BA163" s="643">
        <f t="shared" si="93"/>
        <v>0.97879231630549479</v>
      </c>
      <c r="BC163" s="11">
        <v>43249</v>
      </c>
      <c r="BD163" s="290">
        <f>[2]!FeuilCaduc*(1-Persistant)+Persistant</f>
        <v>0.84042338031617936</v>
      </c>
      <c r="BE163" s="291">
        <f>[2]!CroissVégét</f>
        <v>0.37841273812207477</v>
      </c>
      <c r="BF163" s="816">
        <f>1+[2]!Salcycl*Ksac</f>
        <v>1.0300529225395225</v>
      </c>
      <c r="BH163" s="1053">
        <f t="shared" si="94"/>
        <v>8.6499634080347088E-4</v>
      </c>
      <c r="BI163" s="11">
        <v>44345</v>
      </c>
      <c r="BJ163" s="726">
        <v>2.8275774821479525E-5</v>
      </c>
      <c r="BK163" s="726">
        <v>2.4173154587807659E-4</v>
      </c>
      <c r="BL163" s="726">
        <v>4.901863047232232E-4</v>
      </c>
      <c r="BM163" s="726">
        <v>8.6597741460009555E-4</v>
      </c>
      <c r="BN163" s="726">
        <v>1.6648552761702527E-3</v>
      </c>
      <c r="BO163" s="727">
        <v>2.7747486106744264E-3</v>
      </c>
      <c r="BP163" s="726">
        <v>4.3196918269744356E-3</v>
      </c>
      <c r="BQ163" s="726">
        <v>7.4866706259303674E-3</v>
      </c>
      <c r="BR163" s="726">
        <v>1.109476853080551E-2</v>
      </c>
      <c r="BS163" s="726">
        <v>1.6726988454979632E-2</v>
      </c>
      <c r="BT163" s="726">
        <v>2.2913392958517419E-2</v>
      </c>
      <c r="BW163" s="1186">
        <f>'2018'!R\Max</f>
        <v>0</v>
      </c>
      <c r="BX163" s="1184">
        <f>'2019'!R\Max</f>
        <v>0.60877269230218334</v>
      </c>
      <c r="BY163" s="1184">
        <f>'2020'!R\Max</f>
        <v>0.96269077269053571</v>
      </c>
      <c r="BZ163" s="1184">
        <f>'2021'!R\Max</f>
        <v>0.59615753006728878</v>
      </c>
      <c r="CA163" s="1184">
        <f>'2022'!R\Max</f>
        <v>0.97879231630549479</v>
      </c>
      <c r="CB163" s="1184">
        <f>'2023'!R\Max</f>
        <v>0.97879095716230435</v>
      </c>
      <c r="CC163" s="1184">
        <f>'2024'!R\Max</f>
        <v>0.97878906528854526</v>
      </c>
      <c r="CD163" s="1184">
        <f>'2025'!R\Max</f>
        <v>0.97879595420686527</v>
      </c>
      <c r="CE163" s="1184">
        <f>'2026'!R\Max</f>
        <v>0.97879525158701541</v>
      </c>
      <c r="CF163" s="1185">
        <f>'2027'!R\Max</f>
        <v>0.97879446051608177</v>
      </c>
    </row>
    <row r="164" spans="1:84" s="6" customFormat="1" ht="11.25" x14ac:dyDescent="0.2">
      <c r="A164" s="11">
        <v>43250</v>
      </c>
      <c r="B164" s="380">
        <f>'2022'!Maxi_hp</f>
        <v>57.223999787813696</v>
      </c>
      <c r="C164" s="13">
        <f>'2022'!An_max</f>
        <v>2019</v>
      </c>
      <c r="D164" s="1062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53">
        <f t="shared" si="81"/>
        <v>0.8571428571428571</v>
      </c>
      <c r="J164" s="746">
        <f t="shared" si="82"/>
        <v>63.760716035110612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55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53">
        <f t="shared" si="86"/>
        <v>7.1428571428571425E-2</v>
      </c>
      <c r="AT164" s="769">
        <f t="shared" si="87"/>
        <v>63.760053972075035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53">
        <f t="shared" si="91"/>
        <v>0.42857142857142855</v>
      </c>
      <c r="AY164" s="769">
        <f t="shared" si="92"/>
        <v>63.789059476022203</v>
      </c>
      <c r="AZ164" s="746">
        <f t="shared" si="96"/>
        <v>63.774556724048622</v>
      </c>
      <c r="BA164" s="643">
        <f t="shared" si="93"/>
        <v>0.89748050753229636</v>
      </c>
      <c r="BC164" s="11">
        <v>43250</v>
      </c>
      <c r="BD164" s="290">
        <f>[2]!FeuilCaduc*(1-Persistant)+Persistant</f>
        <v>0.84609183888690254</v>
      </c>
      <c r="BE164" s="291">
        <f>[2]!CroissVégét</f>
        <v>0.38815019600224987</v>
      </c>
      <c r="BF164" s="816">
        <f>1+[2]!Salcycl*Ksac</f>
        <v>1.0307614798608629</v>
      </c>
      <c r="BH164" s="1053">
        <f t="shared" si="94"/>
        <v>8.1238960755895644E-4</v>
      </c>
      <c r="BI164" s="11">
        <v>44346</v>
      </c>
      <c r="BJ164" s="726">
        <v>3.0164143932672673E-5</v>
      </c>
      <c r="BK164" s="726">
        <v>2.2648150972445476E-4</v>
      </c>
      <c r="BL164" s="726">
        <v>4.60099771098934E-4</v>
      </c>
      <c r="BM164" s="726">
        <v>8.1331173422072528E-4</v>
      </c>
      <c r="BN164" s="726">
        <v>1.5463124195182292E-3</v>
      </c>
      <c r="BO164" s="727">
        <v>2.5708473893600466E-3</v>
      </c>
      <c r="BP164" s="726">
        <v>4.0135195570540037E-3</v>
      </c>
      <c r="BQ164" s="726">
        <v>7.0859112590084365E-3</v>
      </c>
      <c r="BR164" s="726">
        <v>1.0620370924502003E-2</v>
      </c>
      <c r="BS164" s="726">
        <v>1.641047395123392E-2</v>
      </c>
      <c r="BT164" s="726">
        <v>2.2993528708768609E-2</v>
      </c>
      <c r="BW164" s="1186">
        <f>'2018'!R\Max</f>
        <v>0</v>
      </c>
      <c r="BX164" s="1184">
        <f>'2019'!R\Max</f>
        <v>0.89748050753229636</v>
      </c>
      <c r="BY164" s="1184">
        <f>'2020'!R\Max</f>
        <v>0.89415864072429718</v>
      </c>
      <c r="BZ164" s="1184">
        <f>'2021'!R\Max</f>
        <v>0.88968381378900729</v>
      </c>
      <c r="CA164" s="1184">
        <f>'2022'!R\Max</f>
        <v>0.83341125041992647</v>
      </c>
      <c r="CB164" s="1184">
        <f>'2023'!R\Max</f>
        <v>0.83340270632972169</v>
      </c>
      <c r="CC164" s="1184">
        <f>'2024'!R\Max</f>
        <v>0.83339046529482874</v>
      </c>
      <c r="CD164" s="1184">
        <f>'2025'!R\Max</f>
        <v>0.83343389177277671</v>
      </c>
      <c r="CE164" s="1184">
        <f>'2026'!R\Max</f>
        <v>0.83342955147053754</v>
      </c>
      <c r="CF164" s="1185">
        <f>'2027'!R\Max</f>
        <v>0.8334246362324822</v>
      </c>
    </row>
    <row r="165" spans="1:84" s="6" customFormat="1" ht="11.25" x14ac:dyDescent="0.2">
      <c r="A165" s="11">
        <v>43251</v>
      </c>
      <c r="B165" s="380">
        <f>'2022'!Maxi_hp</f>
        <v>63.126585406149495</v>
      </c>
      <c r="C165" s="13">
        <f>'2022'!An_max</f>
        <v>2019</v>
      </c>
      <c r="D165" s="1062">
        <f t="shared" si="78"/>
        <v>0.98990423308055853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53">
        <f t="shared" si="81"/>
        <v>0.7857142857142857</v>
      </c>
      <c r="J165" s="746">
        <f t="shared" si="82"/>
        <v>63.77039646522276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55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53">
        <f t="shared" si="86"/>
        <v>0.10714285714285714</v>
      </c>
      <c r="AT165" s="769">
        <f t="shared" si="87"/>
        <v>63.766658942494544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53">
        <f t="shared" si="91"/>
        <v>0.39285714285714285</v>
      </c>
      <c r="AY165" s="769">
        <f t="shared" si="92"/>
        <v>63.793720754954435</v>
      </c>
      <c r="AZ165" s="746">
        <f t="shared" si="96"/>
        <v>63.78018984872449</v>
      </c>
      <c r="BA165" s="643">
        <f t="shared" si="93"/>
        <v>0.98990423308055853</v>
      </c>
      <c r="BC165" s="11">
        <v>43251</v>
      </c>
      <c r="BD165" s="290">
        <f>[2]!FeuilCaduc*(1-Persistant)+Persistant</f>
        <v>0.85172303987820552</v>
      </c>
      <c r="BE165" s="291">
        <f>[2]!CroissVégét</f>
        <v>0.3979769891015032</v>
      </c>
      <c r="BF165" s="816">
        <f>1+[2]!Salcycl*Ksac</f>
        <v>1.0314653799847757</v>
      </c>
      <c r="BH165" s="1053">
        <f t="shared" si="94"/>
        <v>7.6663190881796277E-4</v>
      </c>
      <c r="BI165" s="11">
        <v>44347</v>
      </c>
      <c r="BJ165" s="726">
        <v>3.2239452418793164E-5</v>
      </c>
      <c r="BK165" s="726">
        <v>2.1326989378481616E-4</v>
      </c>
      <c r="BL165" s="726">
        <v>4.3399486855735044E-4</v>
      </c>
      <c r="BM165" s="726">
        <v>7.6750259383856511E-4</v>
      </c>
      <c r="BN165" s="726">
        <v>1.4402056685903521E-3</v>
      </c>
      <c r="BO165" s="727">
        <v>2.385129016588999E-3</v>
      </c>
      <c r="BP165" s="726">
        <v>3.7303469661966893E-3</v>
      </c>
      <c r="BQ165" s="726">
        <v>6.6896786272229542E-3</v>
      </c>
      <c r="BR165" s="726">
        <v>1.0129334854061318E-2</v>
      </c>
      <c r="BS165" s="726">
        <v>1.6023296676770618E-2</v>
      </c>
      <c r="BT165" s="726">
        <v>2.2936845940089778E-2</v>
      </c>
      <c r="BW165" s="1186">
        <f>'2018'!R\Max</f>
        <v>0</v>
      </c>
      <c r="BX165" s="1184">
        <f>'2019'!R\Max</f>
        <v>0.98990423308055853</v>
      </c>
      <c r="BY165" s="1184">
        <f>'2020'!R\Max</f>
        <v>0.98601948304343046</v>
      </c>
      <c r="BZ165" s="1184">
        <f>'2021'!R\Max</f>
        <v>0.97009334979556072</v>
      </c>
      <c r="CA165" s="1184">
        <f>'2022'!R\Max</f>
        <v>0.88503849640380305</v>
      </c>
      <c r="CB165" s="1184">
        <f>'2023'!R\Max</f>
        <v>0.88503261997201743</v>
      </c>
      <c r="CC165" s="1184">
        <f>'2024'!R\Max</f>
        <v>0.88502397347610096</v>
      </c>
      <c r="CD165" s="1184">
        <f>'2025'!R\Max</f>
        <v>0.88505392804685534</v>
      </c>
      <c r="CE165" s="1184">
        <f>'2026'!R\Max</f>
        <v>0.88505098999104559</v>
      </c>
      <c r="CF165" s="1185">
        <f>'2027'!R\Max</f>
        <v>0.88504764427317939</v>
      </c>
    </row>
    <row r="166" spans="1:84" s="6" customFormat="1" ht="11.25" x14ac:dyDescent="0.2">
      <c r="A166" s="11">
        <v>43252</v>
      </c>
      <c r="B166" s="380">
        <f>'2022'!Maxi_hp</f>
        <v>64.729267905613341</v>
      </c>
      <c r="C166" s="13">
        <f>'2022'!An_max</f>
        <v>2019</v>
      </c>
      <c r="D166" s="1062">
        <f t="shared" si="78"/>
        <v>1.0149352112957413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53">
        <f t="shared" si="81"/>
        <v>0.7142857142857143</v>
      </c>
      <c r="J166" s="746">
        <f t="shared" si="82"/>
        <v>63.776748688199689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55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53">
        <f t="shared" si="86"/>
        <v>0.14285714285714285</v>
      </c>
      <c r="AT166" s="769">
        <f t="shared" si="87"/>
        <v>63.768446065006515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53">
        <f t="shared" si="91"/>
        <v>0.35714285714285715</v>
      </c>
      <c r="AY166" s="769">
        <f t="shared" si="92"/>
        <v>63.794821210524859</v>
      </c>
      <c r="AZ166" s="746">
        <f t="shared" si="96"/>
        <v>63.781633637765687</v>
      </c>
      <c r="BA166" s="643">
        <f t="shared" si="93"/>
        <v>1.0149352112957413</v>
      </c>
      <c r="BC166" s="11">
        <v>43252</v>
      </c>
      <c r="BD166" s="290">
        <f>[2]!FeuilCaduc*(1-Persistant)+Persistant</f>
        <v>0.85730998785886836</v>
      </c>
      <c r="BE166" s="291">
        <f>[2]!CroissVégét</f>
        <v>0.4078859452556679</v>
      </c>
      <c r="BF166" s="816">
        <f>1+[2]!Salcycl*Ksac</f>
        <v>1.0321637484823585</v>
      </c>
      <c r="BH166" s="1053">
        <f t="shared" si="94"/>
        <v>7.2771392183261898E-4</v>
      </c>
      <c r="BI166" s="11">
        <v>44348</v>
      </c>
      <c r="BJ166" s="726">
        <v>3.4501339170577698E-5</v>
      </c>
      <c r="BK166" s="726">
        <v>2.0209388907355426E-4</v>
      </c>
      <c r="BL166" s="726">
        <v>4.1186614400733258E-4</v>
      </c>
      <c r="BM166" s="726">
        <v>7.2854066057682963E-4</v>
      </c>
      <c r="BN166" s="726">
        <v>1.3465189997064668E-3</v>
      </c>
      <c r="BO166" s="727">
        <v>2.2175715464708683E-3</v>
      </c>
      <c r="BP166" s="726">
        <v>3.4701489901655313E-3</v>
      </c>
      <c r="BQ166" s="726">
        <v>6.2979880213308382E-3</v>
      </c>
      <c r="BR166" s="726">
        <v>9.6217206417664805E-3</v>
      </c>
      <c r="BS166" s="726">
        <v>1.5565615490516922E-2</v>
      </c>
      <c r="BT166" s="726">
        <v>2.2743616350184643E-2</v>
      </c>
      <c r="BW166" s="1186">
        <f>'2018'!R\Max</f>
        <v>0</v>
      </c>
      <c r="BX166" s="1184">
        <f>'2019'!R\Max</f>
        <v>1.0149352112957413</v>
      </c>
      <c r="BY166" s="1184">
        <f>'2020'!R\Max</f>
        <v>0.98246639098033817</v>
      </c>
      <c r="BZ166" s="1184">
        <f>'2021'!R\Max</f>
        <v>0.62079552107577585</v>
      </c>
      <c r="CA166" s="1184">
        <f>'2022'!R\Max</f>
        <v>0.92463156342695008</v>
      </c>
      <c r="CB166" s="1184">
        <f>'2023'!R\Max</f>
        <v>0.92462779149747432</v>
      </c>
      <c r="CC166" s="1184">
        <f>'2024'!R\Max</f>
        <v>0.92462210899511132</v>
      </c>
      <c r="CD166" s="1184">
        <f>'2025'!R\Max</f>
        <v>0.92464139265808021</v>
      </c>
      <c r="CE166" s="1184">
        <f>'2026'!R\Max</f>
        <v>0.92463953207846383</v>
      </c>
      <c r="CF166" s="1185">
        <f>'2027'!R\Max</f>
        <v>0.92463740269420991</v>
      </c>
    </row>
    <row r="167" spans="1:84" s="6" customFormat="1" ht="11.25" x14ac:dyDescent="0.2">
      <c r="A167" s="11">
        <v>43253</v>
      </c>
      <c r="B167" s="380">
        <f>'2022'!Maxi_hp</f>
        <v>63.739845271535835</v>
      </c>
      <c r="C167" s="13">
        <f>'2022'!An_max</f>
        <v>2019</v>
      </c>
      <c r="D167" s="1062">
        <f t="shared" si="78"/>
        <v>0.9993756619590034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53">
        <f t="shared" si="81"/>
        <v>0.6428571428571429</v>
      </c>
      <c r="J167" s="746">
        <f t="shared" si="82"/>
        <v>63.779665342851409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55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53">
        <f t="shared" si="86"/>
        <v>0.17857142857142858</v>
      </c>
      <c r="AT167" s="769">
        <f t="shared" si="87"/>
        <v>63.765562959733828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53">
        <f t="shared" si="91"/>
        <v>0.32142857142857145</v>
      </c>
      <c r="AY167" s="769">
        <f t="shared" si="92"/>
        <v>63.792468204016664</v>
      </c>
      <c r="AZ167" s="746">
        <f t="shared" si="96"/>
        <v>63.779015581875242</v>
      </c>
      <c r="BA167" s="643">
        <f t="shared" si="93"/>
        <v>0.9993756619590034</v>
      </c>
      <c r="BC167" s="11">
        <v>43253</v>
      </c>
      <c r="BD167" s="290">
        <f>[2]!FeuilCaduc*(1-Persistant)+Persistant</f>
        <v>0.86284575809894726</v>
      </c>
      <c r="BE167" s="291">
        <f>[2]!CroissVégét</f>
        <v>0.41786963208449301</v>
      </c>
      <c r="BF167" s="816">
        <f>1+[2]!Salcycl*Ksac</f>
        <v>1.0328557197623685</v>
      </c>
      <c r="BH167" s="1053">
        <f t="shared" si="94"/>
        <v>6.9562566475024103E-4</v>
      </c>
      <c r="BI167" s="11">
        <v>44349</v>
      </c>
      <c r="BJ167" s="726">
        <v>3.6949442817274881E-5</v>
      </c>
      <c r="BK167" s="726">
        <v>1.9295049257220452E-4</v>
      </c>
      <c r="BL167" s="726">
        <v>3.9370776380555947E-4</v>
      </c>
      <c r="BM167" s="726">
        <v>6.9641594172480256E-4</v>
      </c>
      <c r="BN167" s="726">
        <v>1.2652350699421835E-3</v>
      </c>
      <c r="BO167" s="727">
        <v>2.0681509420797774E-3</v>
      </c>
      <c r="BP167" s="726">
        <v>3.2328976644974117E-3</v>
      </c>
      <c r="BQ167" s="726">
        <v>5.9108523623620174E-3</v>
      </c>
      <c r="BR167" s="726">
        <v>9.0975870330609627E-3</v>
      </c>
      <c r="BS167" s="726">
        <v>1.5037591533119038E-2</v>
      </c>
      <c r="BT167" s="726">
        <v>2.2414119725398047E-2</v>
      </c>
      <c r="BW167" s="1186">
        <f>'2018'!R\Max</f>
        <v>0</v>
      </c>
      <c r="BX167" s="1184">
        <f>'2019'!R\Max</f>
        <v>0.9993756619590034</v>
      </c>
      <c r="BY167" s="1184">
        <f>'2020'!R\Max</f>
        <v>0.5133754288466762</v>
      </c>
      <c r="BZ167" s="1184">
        <f>'2021'!R\Max</f>
        <v>0.78262451578151737</v>
      </c>
      <c r="CA167" s="1184">
        <f>'2022'!R\Max</f>
        <v>0.7428024340062036</v>
      </c>
      <c r="CB167" s="1184">
        <f>'2023'!R\Max</f>
        <v>0.74279275699768743</v>
      </c>
      <c r="CC167" s="1184">
        <f>'2024'!R\Max</f>
        <v>0.74277789129429195</v>
      </c>
      <c r="CD167" s="1184">
        <f>'2025'!R\Max</f>
        <v>0.74282750467471859</v>
      </c>
      <c r="CE167" s="1184">
        <f>'2026'!R\Max</f>
        <v>0.74282277938591157</v>
      </c>
      <c r="CF167" s="1185">
        <f>'2027'!R\Max</f>
        <v>0.74281734868643867</v>
      </c>
    </row>
    <row r="168" spans="1:84" s="6" customFormat="1" ht="11.25" x14ac:dyDescent="0.2">
      <c r="A168" s="11">
        <v>43254</v>
      </c>
      <c r="B168" s="380">
        <f>'2022'!Maxi_hp</f>
        <v>57.743879265054304</v>
      </c>
      <c r="C168" s="13">
        <f>'2022'!An_max</f>
        <v>2022</v>
      </c>
      <c r="D168" s="1062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53">
        <f t="shared" si="81"/>
        <v>0.5714285714285714</v>
      </c>
      <c r="J168" s="746">
        <f t="shared" si="82"/>
        <v>63.779039067029956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55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53">
        <f t="shared" si="86"/>
        <v>0.21428571428571427</v>
      </c>
      <c r="AT168" s="769">
        <f t="shared" si="87"/>
        <v>63.758157251881698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53">
        <f t="shared" si="91"/>
        <v>0.2857142857142857</v>
      </c>
      <c r="AY168" s="769">
        <f t="shared" si="92"/>
        <v>63.78676909628723</v>
      </c>
      <c r="AZ168" s="746">
        <f t="shared" si="96"/>
        <v>63.772463174084464</v>
      </c>
      <c r="BA168" s="643">
        <f t="shared" si="93"/>
        <v>0.90537393020874979</v>
      </c>
      <c r="BC168" s="11">
        <v>43254</v>
      </c>
      <c r="BD168" s="290">
        <f>[2]!FeuilCaduc*(1-Persistant)+Persistant</f>
        <v>0.86832352276463809</v>
      </c>
      <c r="BE168" s="291">
        <f>[2]!CroissVégét</f>
        <v>0.42792037764903684</v>
      </c>
      <c r="BF168" s="816">
        <f>1+[2]!Salcycl*Ksac</f>
        <v>1.0335404403455797</v>
      </c>
      <c r="BH168" s="1053">
        <f t="shared" si="94"/>
        <v>6.7035658835288376E-4</v>
      </c>
      <c r="BI168" s="11">
        <v>44350</v>
      </c>
      <c r="BJ168" s="726">
        <v>3.9583404283801163E-5</v>
      </c>
      <c r="BK168" s="726">
        <v>1.8583653453691494E-4</v>
      </c>
      <c r="BL168" s="726">
        <v>3.7951356709429237E-4</v>
      </c>
      <c r="BM168" s="726">
        <v>6.7111787657790579E-4</v>
      </c>
      <c r="BN168" s="726">
        <v>1.1963353833572327E-3</v>
      </c>
      <c r="BO168" s="727">
        <v>1.9368413180715608E-3</v>
      </c>
      <c r="BP168" s="726">
        <v>3.0185624307658651E-3</v>
      </c>
      <c r="BQ168" s="726">
        <v>5.5282822576316493E-3</v>
      </c>
      <c r="BR168" s="726">
        <v>8.556990966382988E-3</v>
      </c>
      <c r="BS168" s="726">
        <v>1.4439387271163943E-2</v>
      </c>
      <c r="BT168" s="726">
        <v>2.1948642099472712E-2</v>
      </c>
      <c r="BW168" s="1186">
        <f>'2018'!R\Max</f>
        <v>0</v>
      </c>
      <c r="BX168" s="1184">
        <f>'2019'!R\Max</f>
        <v>0.7548252975933345</v>
      </c>
      <c r="BY168" s="1184">
        <f>'2020'!R\Max</f>
        <v>0.84823678169683592</v>
      </c>
      <c r="BZ168" s="1184">
        <f>'2021'!R\Max</f>
        <v>0.88286862746085781</v>
      </c>
      <c r="CA168" s="1184">
        <f>'2022'!R\Max</f>
        <v>0.90537393020874979</v>
      </c>
      <c r="CB168" s="1184">
        <f>'2023'!R\Max</f>
        <v>0.90536987440175531</v>
      </c>
      <c r="CC168" s="1184">
        <f>'2024'!R\Max</f>
        <v>0.90536355494613419</v>
      </c>
      <c r="CD168" s="1184">
        <f>'2025'!R\Max</f>
        <v>0.90538440094491213</v>
      </c>
      <c r="CE168" s="1184">
        <f>'2026'!R\Max</f>
        <v>0.90538243201392998</v>
      </c>
      <c r="CF168" s="1185">
        <f>'2027'!R\Max</f>
        <v>0.90538016220124451</v>
      </c>
    </row>
    <row r="169" spans="1:84" s="6" customFormat="1" ht="11.25" x14ac:dyDescent="0.2">
      <c r="A169" s="11">
        <v>43255</v>
      </c>
      <c r="B169" s="380">
        <f>'2022'!Maxi_hp</f>
        <v>59.953702782585943</v>
      </c>
      <c r="C169" s="13">
        <f>'2022'!An_max</f>
        <v>2019</v>
      </c>
      <c r="D169" s="1062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53">
        <f t="shared" si="81"/>
        <v>0.5</v>
      </c>
      <c r="J169" s="746">
        <f t="shared" si="82"/>
        <v>63.774762500450016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55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53">
        <f t="shared" si="86"/>
        <v>0.25</v>
      </c>
      <c r="AT169" s="769">
        <f t="shared" si="87"/>
        <v>63.746376562304796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53">
        <f t="shared" si="91"/>
        <v>0.25</v>
      </c>
      <c r="AY169" s="769">
        <f t="shared" si="92"/>
        <v>63.777831249963491</v>
      </c>
      <c r="AZ169" s="746">
        <f t="shared" si="96"/>
        <v>63.762103906134143</v>
      </c>
      <c r="BA169" s="643">
        <f t="shared" si="93"/>
        <v>0.94008508118180589</v>
      </c>
      <c r="BC169" s="11">
        <v>43255</v>
      </c>
      <c r="BD169" s="290">
        <f>[2]!FeuilCaduc*(1-Persistant)+Persistant</f>
        <v>0.87373657709914276</v>
      </c>
      <c r="BE169" s="291">
        <f>[2]!CroissVégét</f>
        <v>0.43803029270835642</v>
      </c>
      <c r="BF169" s="816">
        <f>1+[2]!Salcycl*Ksac</f>
        <v>1.0342170721373929</v>
      </c>
      <c r="BH169" s="1053">
        <f t="shared" si="94"/>
        <v>6.5189566780112299E-4</v>
      </c>
      <c r="BI169" s="11">
        <v>44351</v>
      </c>
      <c r="BJ169" s="726">
        <v>4.2402869348067084E-5</v>
      </c>
      <c r="BK169" s="726">
        <v>1.8074870580709294E-4</v>
      </c>
      <c r="BL169" s="726">
        <v>3.6927711914153268E-4</v>
      </c>
      <c r="BM169" s="726">
        <v>6.5263542828200474E-4</v>
      </c>
      <c r="BN169" s="726">
        <v>1.1398004572318295E-3</v>
      </c>
      <c r="BO169" s="727">
        <v>1.8236151833142542E-3</v>
      </c>
      <c r="BP169" s="726">
        <v>2.827110442864769E-3</v>
      </c>
      <c r="BQ169" s="726">
        <v>5.1502860567900471E-3</v>
      </c>
      <c r="BR169" s="726">
        <v>7.999987343056977E-3</v>
      </c>
      <c r="BS169" s="726">
        <v>1.3771165541491284E-2</v>
      </c>
      <c r="BT169" s="726">
        <v>2.134747391243454E-2</v>
      </c>
      <c r="BW169" s="1186">
        <f>'2018'!R\Max</f>
        <v>0</v>
      </c>
      <c r="BX169" s="1184">
        <f>'2019'!R\Max</f>
        <v>0.94008508118180589</v>
      </c>
      <c r="BY169" s="1184">
        <f>'2020'!R\Max</f>
        <v>0.45584394771975101</v>
      </c>
      <c r="BZ169" s="1184">
        <f>'2021'!R\Max</f>
        <v>0.13841765551398169</v>
      </c>
      <c r="CA169" s="1184">
        <f>'2022'!R\Max</f>
        <v>0.4088917919689708</v>
      </c>
      <c r="CB169" s="1184">
        <f>'2023'!R\Max</f>
        <v>0.40888111052104203</v>
      </c>
      <c r="CC169" s="1184">
        <f>'2024'!R\Max</f>
        <v>0.40886434921154213</v>
      </c>
      <c r="CD169" s="1184">
        <f>'2025'!R\Max</f>
        <v>0.40891935772458787</v>
      </c>
      <c r="CE169" s="1184">
        <f>'2026'!R\Max</f>
        <v>0.4089141723630485</v>
      </c>
      <c r="CF169" s="1185">
        <f>'2027'!R\Max</f>
        <v>0.40890818565326192</v>
      </c>
    </row>
    <row r="170" spans="1:84" s="6" customFormat="1" ht="11.25" x14ac:dyDescent="0.2">
      <c r="A170" s="11">
        <v>43256</v>
      </c>
      <c r="B170" s="380">
        <f>'2022'!Maxi_hp</f>
        <v>43.180770881481472</v>
      </c>
      <c r="C170" s="13">
        <f>'2022'!An_max</f>
        <v>2021</v>
      </c>
      <c r="D170" s="1062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53">
        <f t="shared" si="81"/>
        <v>0.42857142857142855</v>
      </c>
      <c r="J170" s="746">
        <f t="shared" si="82"/>
        <v>63.766728280644337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55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53">
        <f t="shared" si="86"/>
        <v>0.2857142857142857</v>
      </c>
      <c r="AT170" s="769">
        <f t="shared" si="87"/>
        <v>63.73036851308175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53">
        <f t="shared" si="91"/>
        <v>0.21428571428571427</v>
      </c>
      <c r="AY170" s="769">
        <f t="shared" si="92"/>
        <v>63.76576202663459</v>
      </c>
      <c r="AZ170" s="746">
        <f t="shared" si="96"/>
        <v>63.748065269858174</v>
      </c>
      <c r="BA170" s="643">
        <f t="shared" si="93"/>
        <v>0.67716773379744655</v>
      </c>
      <c r="BC170" s="11">
        <v>43256</v>
      </c>
      <c r="BD170" s="290">
        <f>[2]!FeuilCaduc*(1-Persistant)+Persistant</f>
        <v>0.8790783654185379</v>
      </c>
      <c r="BE170" s="291">
        <f>[2]!CroissVégét</f>
        <v>0.44819129444890032</v>
      </c>
      <c r="BF170" s="816">
        <f>1+[2]!Salcycl*Ksac</f>
        <v>1.0348847956773173</v>
      </c>
      <c r="BH170" s="1053">
        <f t="shared" si="94"/>
        <v>6.400337061411548E-4</v>
      </c>
      <c r="BI170" s="11">
        <v>44352</v>
      </c>
      <c r="BJ170" s="726">
        <v>4.5223395828146211E-5</v>
      </c>
      <c r="BK170" s="726">
        <v>1.7760855949892614E-4</v>
      </c>
      <c r="BL170" s="726">
        <v>3.6283780680585191E-4</v>
      </c>
      <c r="BM170" s="726">
        <v>6.4075927271406126E-4</v>
      </c>
      <c r="BN170" s="726">
        <v>1.0958037679461516E-3</v>
      </c>
      <c r="BO170" s="727">
        <v>1.7295185898936155E-3</v>
      </c>
      <c r="BP170" s="726">
        <v>2.6609529586378456E-3</v>
      </c>
      <c r="BQ170" s="726">
        <v>4.7903028235948613E-3</v>
      </c>
      <c r="BR170" s="726">
        <v>7.4510594740198098E-3</v>
      </c>
      <c r="BS170" s="726">
        <v>1.3067847463606294E-2</v>
      </c>
      <c r="BT170" s="726">
        <v>2.0645945178175404E-2</v>
      </c>
      <c r="BW170" s="1186">
        <f>'2018'!R\Max</f>
        <v>0</v>
      </c>
      <c r="BX170" s="1184">
        <f>'2019'!R\Max</f>
        <v>0.17751269608491077</v>
      </c>
      <c r="BY170" s="1184">
        <f>'2020'!R\Max</f>
        <v>0.59117291553749973</v>
      </c>
      <c r="BZ170" s="1184">
        <f>'2021'!R\Max</f>
        <v>0.67716773379744655</v>
      </c>
      <c r="CA170" s="1184">
        <f>'2022'!R\Max</f>
        <v>0.56420140871104763</v>
      </c>
      <c r="CB170" s="1184">
        <f>'2023'!R\Max</f>
        <v>0.56419125990852326</v>
      </c>
      <c r="CC170" s="1184">
        <f>'2024'!R\Max</f>
        <v>0.56417532887219002</v>
      </c>
      <c r="CD170" s="1184">
        <f>'2025'!R\Max</f>
        <v>0.56422768078203744</v>
      </c>
      <c r="CE170" s="1184">
        <f>'2026'!R\Max</f>
        <v>0.56422272297678866</v>
      </c>
      <c r="CF170" s="1185">
        <f>'2027'!R\Max</f>
        <v>0.56421700008488296</v>
      </c>
    </row>
    <row r="171" spans="1:84" s="6" customFormat="1" ht="11.25" x14ac:dyDescent="0.2">
      <c r="A171" s="11">
        <v>43257</v>
      </c>
      <c r="B171" s="380">
        <f>'2022'!Maxi_hp</f>
        <v>62.343880742671914</v>
      </c>
      <c r="C171" s="13">
        <f>'2022'!An_max</f>
        <v>2019</v>
      </c>
      <c r="D171" s="1062">
        <f t="shared" si="78"/>
        <v>0.97786915400565155</v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53">
        <f t="shared" si="81"/>
        <v>0.35714285714285715</v>
      </c>
      <c r="J171" s="746">
        <f t="shared" si="82"/>
        <v>63.754829045677823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55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53">
        <f t="shared" si="86"/>
        <v>0.32142857142857145</v>
      </c>
      <c r="AT171" s="769">
        <f t="shared" si="87"/>
        <v>63.710280726410986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53">
        <f t="shared" si="91"/>
        <v>0.17857142857142858</v>
      </c>
      <c r="AY171" s="769">
        <f t="shared" si="92"/>
        <v>63.75066878650604</v>
      </c>
      <c r="AZ171" s="746">
        <f t="shared" si="96"/>
        <v>63.730474756458513</v>
      </c>
      <c r="BA171" s="643">
        <f t="shared" si="93"/>
        <v>0.97786915400565155</v>
      </c>
      <c r="BC171" s="11">
        <v>43257</v>
      </c>
      <c r="BD171" s="290">
        <f>[2]!FeuilCaduc*(1-Persistant)+Persistant</f>
        <v>0.88434250674933024</v>
      </c>
      <c r="BE171" s="291">
        <f>[2]!CroissVégét</f>
        <v>0.45839513154318023</v>
      </c>
      <c r="BF171" s="816">
        <f>1+[2]!Salcycl*Ksac</f>
        <v>1.0355428133436664</v>
      </c>
      <c r="BH171" s="1053">
        <f t="shared" si="94"/>
        <v>6.2850208935954339E-4</v>
      </c>
      <c r="BI171" s="11">
        <v>44353</v>
      </c>
      <c r="BJ171" s="726">
        <v>4.7629663958632507E-5</v>
      </c>
      <c r="BK171" s="726">
        <v>1.7441549526047096E-4</v>
      </c>
      <c r="BL171" s="726">
        <v>3.563250163342947E-4</v>
      </c>
      <c r="BM171" s="726">
        <v>6.292145190404016E-4</v>
      </c>
      <c r="BN171" s="726">
        <v>1.0560171504375661E-3</v>
      </c>
      <c r="BO171" s="727">
        <v>1.6452375788678626E-3</v>
      </c>
      <c r="BP171" s="726">
        <v>2.5117792568902881E-3</v>
      </c>
      <c r="BQ171" s="726">
        <v>4.4611220131572909E-3</v>
      </c>
      <c r="BR171" s="726">
        <v>6.9449028905015364E-3</v>
      </c>
      <c r="BS171" s="726">
        <v>1.2385829587145762E-2</v>
      </c>
      <c r="BT171" s="726">
        <v>1.9902972703805241E-2</v>
      </c>
      <c r="BW171" s="1186">
        <f>'2018'!R\Max</f>
        <v>0</v>
      </c>
      <c r="BX171" s="1184">
        <f>'2019'!R\Max</f>
        <v>0.97786915400565155</v>
      </c>
      <c r="BY171" s="1184">
        <f>'2020'!R\Max</f>
        <v>0.40877225937300321</v>
      </c>
      <c r="BZ171" s="1184">
        <f>'2021'!R\Max</f>
        <v>0.75889078404739418</v>
      </c>
      <c r="CA171" s="1184">
        <f>'2022'!R\Max</f>
        <v>0.79486092278395715</v>
      </c>
      <c r="CB171" s="1184">
        <f>'2023'!R\Max</f>
        <v>0.79485462267700369</v>
      </c>
      <c r="CC171" s="1184">
        <f>'2024'!R\Max</f>
        <v>0.79484475452760417</v>
      </c>
      <c r="CD171" s="1184">
        <f>'2025'!R\Max</f>
        <v>0.79487729935928775</v>
      </c>
      <c r="CE171" s="1184">
        <f>'2026'!R\Max</f>
        <v>0.79487419667084758</v>
      </c>
      <c r="CF171" s="1185">
        <f>'2027'!R\Max</f>
        <v>0.79487061784916957</v>
      </c>
    </row>
    <row r="172" spans="1:84" s="6" customFormat="1" ht="11.25" x14ac:dyDescent="0.2">
      <c r="A172" s="11">
        <v>43258</v>
      </c>
      <c r="B172" s="380">
        <f>'2022'!Maxi_hp</f>
        <v>54.813719171232592</v>
      </c>
      <c r="C172" s="13">
        <f>'2022'!An_max</f>
        <v>2021</v>
      </c>
      <c r="D172" s="1062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53">
        <f t="shared" si="81"/>
        <v>0.2857142857142857</v>
      </c>
      <c r="J172" s="746">
        <f t="shared" si="82"/>
        <v>63.738957434786222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55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53">
        <f t="shared" si="86"/>
        <v>0.35714285714285715</v>
      </c>
      <c r="AT172" s="769">
        <f t="shared" si="87"/>
        <v>63.68626082353294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53">
        <f t="shared" si="91"/>
        <v>0.14285714285714285</v>
      </c>
      <c r="AY172" s="769">
        <f t="shared" si="92"/>
        <v>63.732658892124888</v>
      </c>
      <c r="AZ172" s="746">
        <f t="shared" si="96"/>
        <v>63.709459857828918</v>
      </c>
      <c r="BA172" s="643">
        <f t="shared" si="93"/>
        <v>0.85997200734440338</v>
      </c>
      <c r="BC172" s="11">
        <v>43258</v>
      </c>
      <c r="BD172" s="290">
        <f>[2]!FeuilCaduc*(1-Persistant)+Persistant</f>
        <v>0.88952281993357363</v>
      </c>
      <c r="BE172" s="291">
        <f>[2]!CroissVégét</f>
        <v>0.46863341037883222</v>
      </c>
      <c r="BF172" s="816">
        <f>1+[2]!Salcycl*Ksac</f>
        <v>1.0361903524916967</v>
      </c>
      <c r="BH172" s="1053">
        <f t="shared" si="94"/>
        <v>6.1730118115780599E-4</v>
      </c>
      <c r="BI172" s="11">
        <v>44354</v>
      </c>
      <c r="BJ172" s="726">
        <v>4.9622489416672757E-5</v>
      </c>
      <c r="BK172" s="726">
        <v>1.7116988700010993E-4</v>
      </c>
      <c r="BL172" s="726">
        <v>3.4973944607315471E-4</v>
      </c>
      <c r="BM172" s="726">
        <v>6.1800153008660251E-4</v>
      </c>
      <c r="BN172" s="726">
        <v>1.0204345714304947E-3</v>
      </c>
      <c r="BO172" s="727">
        <v>1.5707568828112039E-3</v>
      </c>
      <c r="BP172" s="726">
        <v>2.3795625143338221E-3</v>
      </c>
      <c r="BQ172" s="726">
        <v>4.1626955933620879E-3</v>
      </c>
      <c r="BR172" s="726">
        <v>6.4814525222645428E-3</v>
      </c>
      <c r="BS172" s="726">
        <v>1.172509690226874E-2</v>
      </c>
      <c r="BT172" s="726">
        <v>1.911867081156807E-2</v>
      </c>
      <c r="BW172" s="1186">
        <f>'2018'!R\Max</f>
        <v>0</v>
      </c>
      <c r="BX172" s="1184">
        <f>'2019'!R\Max</f>
        <v>0.34240394009363134</v>
      </c>
      <c r="BY172" s="1184">
        <f>'2020'!R\Max</f>
        <v>0.44808278385221095</v>
      </c>
      <c r="BZ172" s="1184">
        <f>'2021'!R\Max</f>
        <v>0.85997200734440338</v>
      </c>
      <c r="CA172" s="1184">
        <f>'2022'!R\Max</f>
        <v>0.41451751004859155</v>
      </c>
      <c r="CB172" s="1184">
        <f>'2023'!R\Max</f>
        <v>0.41450870448628874</v>
      </c>
      <c r="CC172" s="1184">
        <f>'2024'!R\Max</f>
        <v>0.41449498308947919</v>
      </c>
      <c r="CD172" s="1184">
        <f>'2025'!R\Max</f>
        <v>0.41454052442317951</v>
      </c>
      <c r="CE172" s="1184">
        <f>'2026'!R\Max</f>
        <v>0.41453614319151932</v>
      </c>
      <c r="CF172" s="1185">
        <f>'2027'!R\Max</f>
        <v>0.414531096285637</v>
      </c>
    </row>
    <row r="173" spans="1:84" s="6" customFormat="1" ht="11.25" x14ac:dyDescent="0.2">
      <c r="A173" s="11">
        <v>43259</v>
      </c>
      <c r="B173" s="380">
        <f>'2022'!Maxi_hp</f>
        <v>64.469263284236831</v>
      </c>
      <c r="C173" s="13">
        <f>'2022'!An_max</f>
        <v>2019</v>
      </c>
      <c r="D173" s="1062">
        <f t="shared" si="78"/>
        <v>1.01177446484976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53">
        <f t="shared" si="81"/>
        <v>0.21428571428571427</v>
      </c>
      <c r="J173" s="746">
        <f t="shared" si="82"/>
        <v>63.719006086806097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55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53">
        <f t="shared" si="86"/>
        <v>0.39285714285714285</v>
      </c>
      <c r="AT173" s="769">
        <f t="shared" si="87"/>
        <v>63.658456427710391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53">
        <f t="shared" si="91"/>
        <v>0.10714285714285714</v>
      </c>
      <c r="AY173" s="769">
        <f t="shared" si="92"/>
        <v>63.711839705346414</v>
      </c>
      <c r="AZ173" s="746">
        <f t="shared" si="96"/>
        <v>63.685148066528399</v>
      </c>
      <c r="BA173" s="643">
        <f t="shared" si="93"/>
        <v>1.01177446484976</v>
      </c>
      <c r="BC173" s="11">
        <v>43259</v>
      </c>
      <c r="BD173" s="290">
        <f>[2]!FeuilCaduc*(1-Persistant)+Persistant</f>
        <v>0.8946133480281715</v>
      </c>
      <c r="BE173" s="291">
        <f>[2]!CroissVégét</f>
        <v>0.4788976222853652</v>
      </c>
      <c r="BF173" s="816">
        <f>1+[2]!Salcycl*Ksac</f>
        <v>1.0368266685035215</v>
      </c>
      <c r="BH173" s="1053">
        <f t="shared" si="94"/>
        <v>6.0643128098025897E-4</v>
      </c>
      <c r="BI173" s="11">
        <v>44355</v>
      </c>
      <c r="BJ173" s="726">
        <v>5.1202706185994612E-5</v>
      </c>
      <c r="BK173" s="726">
        <v>1.6787209263190099E-4</v>
      </c>
      <c r="BL173" s="726">
        <v>3.4308176131872038E-4</v>
      </c>
      <c r="BM173" s="726">
        <v>6.0712060433935477E-4</v>
      </c>
      <c r="BN173" s="726">
        <v>9.8904973400005159E-4</v>
      </c>
      <c r="BO173" s="727">
        <v>1.5060606626481076E-3</v>
      </c>
      <c r="BP173" s="726">
        <v>2.2642748993866222E-3</v>
      </c>
      <c r="BQ173" s="726">
        <v>3.8949733865449847E-3</v>
      </c>
      <c r="BR173" s="726">
        <v>6.0606400574486595E-3</v>
      </c>
      <c r="BS173" s="726">
        <v>1.1085630493559812E-2</v>
      </c>
      <c r="BT173" s="726">
        <v>1.8293150395170824E-2</v>
      </c>
      <c r="BW173" s="1186">
        <f>'2018'!R\Max</f>
        <v>0</v>
      </c>
      <c r="BX173" s="1184">
        <f>'2019'!R\Max</f>
        <v>1.01177446484976</v>
      </c>
      <c r="BY173" s="1184">
        <f>'2020'!R\Max</f>
        <v>0.62872196736585328</v>
      </c>
      <c r="BZ173" s="1184">
        <f>'2021'!R\Max</f>
        <v>0.98209281517943525</v>
      </c>
      <c r="CA173" s="1184">
        <f>'2022'!R\Max</f>
        <v>0.33903415714047369</v>
      </c>
      <c r="CB173" s="1184">
        <f>'2023'!R\Max</f>
        <v>0.33902648912994215</v>
      </c>
      <c r="CC173" s="1184">
        <f>'2024'!R\Max</f>
        <v>0.33901464153243105</v>
      </c>
      <c r="CD173" s="1184">
        <f>'2025'!R\Max</f>
        <v>0.33905433504698723</v>
      </c>
      <c r="CE173" s="1184">
        <f>'2026'!R\Max</f>
        <v>0.33905047253174225</v>
      </c>
      <c r="CF173" s="1185">
        <f>'2027'!R\Max</f>
        <v>0.3390460311914425</v>
      </c>
    </row>
    <row r="174" spans="1:84" s="6" customFormat="1" ht="11.25" x14ac:dyDescent="0.2">
      <c r="A174" s="11">
        <v>43260</v>
      </c>
      <c r="B174" s="380">
        <f>'2022'!Maxi_hp</f>
        <v>60.601331416290115</v>
      </c>
      <c r="C174" s="13">
        <f>'2022'!An_max</f>
        <v>2021</v>
      </c>
      <c r="D174" s="1062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53">
        <f t="shared" si="81"/>
        <v>0.14285714285714285</v>
      </c>
      <c r="J174" s="746">
        <f t="shared" si="82"/>
        <v>63.694867639562929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55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53">
        <f t="shared" si="86"/>
        <v>0.42857142857142855</v>
      </c>
      <c r="AT174" s="769">
        <f t="shared" si="87"/>
        <v>63.627015160343468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53">
        <f t="shared" si="91"/>
        <v>7.1428571428571425E-2</v>
      </c>
      <c r="AY174" s="769">
        <f t="shared" si="92"/>
        <v>63.688318586642197</v>
      </c>
      <c r="AZ174" s="746">
        <f t="shared" si="96"/>
        <v>63.657666873492829</v>
      </c>
      <c r="BA174" s="643">
        <f t="shared" si="93"/>
        <v>0.95143193890002964</v>
      </c>
      <c r="BC174" s="11">
        <v>43260</v>
      </c>
      <c r="BD174" s="290">
        <f>[2]!FeuilCaduc*(1-Persistant)+Persistant</f>
        <v>0.89960838182728109</v>
      </c>
      <c r="BE174" s="291">
        <f>[2]!CroissVégét</f>
        <v>0.48917917157397695</v>
      </c>
      <c r="BF174" s="816">
        <f>1+[2]!Salcycl*Ksac</f>
        <v>1.0374510477284102</v>
      </c>
      <c r="BH174" s="1053">
        <f t="shared" si="94"/>
        <v>5.9589262832369851E-4</v>
      </c>
      <c r="BI174" s="11">
        <v>44356</v>
      </c>
      <c r="BJ174" s="726">
        <v>5.2371160996530584E-5</v>
      </c>
      <c r="BK174" s="726">
        <v>1.6452245331570283E-4</v>
      </c>
      <c r="BL174" s="726">
        <v>3.3635259323353423E-4</v>
      </c>
      <c r="BM174" s="726">
        <v>5.9657198027026031E-4</v>
      </c>
      <c r="BN174" s="726">
        <v>9.6185613391085883E-4</v>
      </c>
      <c r="BO174" s="727">
        <v>1.451132639101058E-3</v>
      </c>
      <c r="BP174" s="726">
        <v>2.1658877995397708E-3</v>
      </c>
      <c r="BQ174" s="726">
        <v>3.6579034808541014E-3</v>
      </c>
      <c r="BR174" s="726">
        <v>5.6823945129868235E-3</v>
      </c>
      <c r="BS174" s="726">
        <v>1.0467407817328422E-2</v>
      </c>
      <c r="BT174" s="726">
        <v>1.7426518347712836E-2</v>
      </c>
      <c r="BW174" s="1186">
        <f>'2018'!R\Max</f>
        <v>0</v>
      </c>
      <c r="BX174" s="1184">
        <f>'2019'!R\Max</f>
        <v>0.79456321427926757</v>
      </c>
      <c r="BY174" s="1184">
        <f>'2020'!R\Max</f>
        <v>0.7026183977510746</v>
      </c>
      <c r="BZ174" s="1184">
        <f>'2021'!R\Max</f>
        <v>0.95143193890002964</v>
      </c>
      <c r="CA174" s="1184">
        <f>'2022'!R\Max</f>
        <v>0.7751690279445459</v>
      </c>
      <c r="CB174" s="1184">
        <f>'2023'!R\Max</f>
        <v>0.77516337250675516</v>
      </c>
      <c r="CC174" s="1184">
        <f>'2024'!R\Max</f>
        <v>0.77515474039463794</v>
      </c>
      <c r="CD174" s="1184">
        <f>'2025'!R\Max</f>
        <v>0.77518403303661476</v>
      </c>
      <c r="CE174" s="1184">
        <f>'2026'!R\Max</f>
        <v>0.77518114301592733</v>
      </c>
      <c r="CF174" s="1185">
        <f>'2027'!R\Max</f>
        <v>0.77517782720736028</v>
      </c>
    </row>
    <row r="175" spans="1:84" s="6" customFormat="1" ht="11.25" x14ac:dyDescent="0.2">
      <c r="A175" s="11">
        <v>43261</v>
      </c>
      <c r="B175" s="380">
        <f>'2022'!Maxi_hp</f>
        <v>61.199848181326935</v>
      </c>
      <c r="C175" s="13">
        <f>'2022'!An_max</f>
        <v>2021</v>
      </c>
      <c r="D175" s="1062" t="str">
        <f t="shared" si="78"/>
        <v/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53">
        <f t="shared" si="81"/>
        <v>7.1428571428571425E-2</v>
      </c>
      <c r="J175" s="746">
        <f t="shared" si="82"/>
        <v>63.666434730110424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55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53">
        <f t="shared" si="86"/>
        <v>0.4642857142857143</v>
      </c>
      <c r="AT175" s="769">
        <f t="shared" si="87"/>
        <v>63.592084643603968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53">
        <f t="shared" si="91"/>
        <v>3.5714285714285712E-2</v>
      </c>
      <c r="AY175" s="769">
        <f t="shared" si="92"/>
        <v>63.66220289756145</v>
      </c>
      <c r="AZ175" s="746">
        <f t="shared" si="96"/>
        <v>63.627143770582705</v>
      </c>
      <c r="BA175" s="643">
        <f t="shared" si="93"/>
        <v>0.96125766176102612</v>
      </c>
      <c r="BC175" s="11">
        <v>43261</v>
      </c>
      <c r="BD175" s="290">
        <f>[2]!FeuilCaduc*(1-Persistant)+Persistant</f>
        <v>0.90450248234059194</v>
      </c>
      <c r="BE175" s="291">
        <f>[2]!CroissVégét</f>
        <v>0.499469404196</v>
      </c>
      <c r="BF175" s="816">
        <f>1+[2]!Salcycl*Ksac</f>
        <v>1.038062810292574</v>
      </c>
      <c r="BH175" s="1053">
        <f t="shared" si="94"/>
        <v>5.8568540705464635E-4</v>
      </c>
      <c r="BI175" s="11">
        <v>44357</v>
      </c>
      <c r="BJ175" s="726">
        <v>5.3128707764660237E-5</v>
      </c>
      <c r="BK175" s="726">
        <v>1.6112129269939734E-4</v>
      </c>
      <c r="BL175" s="726">
        <v>3.2955253776693547E-4</v>
      </c>
      <c r="BM175" s="726">
        <v>5.86355840667205E-4</v>
      </c>
      <c r="BN175" s="726">
        <v>9.3884711596832037E-4</v>
      </c>
      <c r="BO175" s="727">
        <v>1.405956224157428E-3</v>
      </c>
      <c r="BP175" s="726">
        <v>2.0843720487525989E-3</v>
      </c>
      <c r="BQ175" s="726">
        <v>3.4514326416616166E-3</v>
      </c>
      <c r="BR175" s="726">
        <v>5.3466428050989497E-3</v>
      </c>
      <c r="BS175" s="726">
        <v>9.8704029790501035E-3</v>
      </c>
      <c r="BT175" s="726">
        <v>1.6518876989847522E-2</v>
      </c>
      <c r="BW175" s="1186">
        <f>'2018'!R\Max</f>
        <v>0</v>
      </c>
      <c r="BX175" s="1184">
        <f>'2019'!R\Max</f>
        <v>0.34894248941000044</v>
      </c>
      <c r="BY175" s="1184">
        <f>'2020'!R\Max</f>
        <v>0.40011421508663697</v>
      </c>
      <c r="BZ175" s="1184">
        <f>'2021'!R\Max</f>
        <v>0.96125766176102612</v>
      </c>
      <c r="CA175" s="1184">
        <f>'2022'!R\Max</f>
        <v>0.94654051027635289</v>
      </c>
      <c r="CB175" s="1184">
        <f>'2023'!R\Max</f>
        <v>0.94653894255814475</v>
      </c>
      <c r="CC175" s="1184">
        <f>'2024'!R\Max</f>
        <v>0.94653658819886322</v>
      </c>
      <c r="CD175" s="1184">
        <f>'2025'!R\Max</f>
        <v>0.94654471087373526</v>
      </c>
      <c r="CE175" s="1184">
        <f>'2026'!R\Max</f>
        <v>0.94654389641402792</v>
      </c>
      <c r="CF175" s="1185">
        <f>'2027'!R\Max</f>
        <v>0.94654296427538598</v>
      </c>
    </row>
    <row r="176" spans="1:84" s="6" customFormat="1" ht="11.25" x14ac:dyDescent="0.2">
      <c r="A176" s="11">
        <v>43262</v>
      </c>
      <c r="B176" s="380">
        <f>'2022'!Maxi_hp</f>
        <v>58.929674289697104</v>
      </c>
      <c r="C176" s="13">
        <f>'2022'!An_max</f>
        <v>2022</v>
      </c>
      <c r="D176" s="1062" t="str">
        <f t="shared" si="78"/>
        <v/>
      </c>
      <c r="E176" s="1057">
        <f>Y$13/10</f>
        <v>63.633600000000001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53">
        <f t="shared" si="81"/>
        <v>0</v>
      </c>
      <c r="J176" s="746">
        <f t="shared" si="82"/>
        <v>63.633600000292063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55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53">
        <f t="shared" si="86"/>
        <v>0.5</v>
      </c>
      <c r="AT176" s="769">
        <f t="shared" si="87"/>
        <v>63.553812499903145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53">
        <f t="shared" si="91"/>
        <v>0</v>
      </c>
      <c r="AY176" s="769">
        <f t="shared" si="92"/>
        <v>63.633600000292063</v>
      </c>
      <c r="AZ176" s="746">
        <f t="shared" si="96"/>
        <v>63.593706250097604</v>
      </c>
      <c r="BA176" s="643">
        <f t="shared" si="93"/>
        <v>0.92607795707655438</v>
      </c>
      <c r="BC176" s="11">
        <v>43262</v>
      </c>
      <c r="BD176" s="290">
        <f>[2]!FeuilCaduc*(1-Persistant)+Persistant</f>
        <v>0.90929050206565898</v>
      </c>
      <c r="BE176" s="291">
        <f>[2]!CroissVégét</f>
        <v>0.50975963681802305</v>
      </c>
      <c r="BF176" s="816">
        <f>1+[2]!Salcycl*Ksac</f>
        <v>1.0386613127582074</v>
      </c>
      <c r="BH176" s="1053">
        <f t="shared" si="94"/>
        <v>5.7580974971965207E-4</v>
      </c>
      <c r="BI176" s="11">
        <v>44358</v>
      </c>
      <c r="BJ176" s="726">
        <v>5.3476202032882172E-5</v>
      </c>
      <c r="BK176" s="726">
        <v>1.5766891615918657E-4</v>
      </c>
      <c r="BL176" s="726">
        <v>3.2268215457166853E-4</v>
      </c>
      <c r="BM176" s="726">
        <v>5.7647231695877787E-4</v>
      </c>
      <c r="BN176" s="726">
        <v>9.2001593035848561E-4</v>
      </c>
      <c r="BO176" s="727">
        <v>1.3705146525188642E-3</v>
      </c>
      <c r="BP176" s="726">
        <v>2.0196981548216172E-3</v>
      </c>
      <c r="BQ176" s="726">
        <v>3.2755067229294768E-3</v>
      </c>
      <c r="BR176" s="726">
        <v>5.0533103197142612E-3</v>
      </c>
      <c r="BS176" s="726">
        <v>9.2945870106775699E-3</v>
      </c>
      <c r="BT176" s="726">
        <v>1.5570323497730654E-2</v>
      </c>
      <c r="BW176" s="1186">
        <f>'2018'!R\Max</f>
        <v>0</v>
      </c>
      <c r="BX176" s="1184">
        <f>'2019'!R\Max</f>
        <v>0.53264339209445144</v>
      </c>
      <c r="BY176" s="1184">
        <f>'2020'!R\Max</f>
        <v>0.68257414401619554</v>
      </c>
      <c r="BZ176" s="1184">
        <f>'2021'!R\Max</f>
        <v>0.8546330309083825</v>
      </c>
      <c r="CA176" s="1184">
        <f>'2022'!R\Max</f>
        <v>0.92607795707655438</v>
      </c>
      <c r="CB176" s="1184">
        <f>'2023'!R\Max</f>
        <v>0.92607591574777626</v>
      </c>
      <c r="CC176" s="1184">
        <f>'2024'!R\Max</f>
        <v>0.92607291187244134</v>
      </c>
      <c r="CD176" s="1184">
        <f>'2025'!R\Max</f>
        <v>0.92608348923920181</v>
      </c>
      <c r="CE176" s="1184">
        <f>'2026'!R\Max</f>
        <v>0.92608240910032591</v>
      </c>
      <c r="CF176" s="1185">
        <f>'2027'!R\Max</f>
        <v>0.92608117607595053</v>
      </c>
    </row>
    <row r="177" spans="1:84" s="6" customFormat="1" ht="11.25" x14ac:dyDescent="0.2">
      <c r="A177" s="11">
        <v>43263</v>
      </c>
      <c r="B177" s="380">
        <f>'2022'!Maxi_hp</f>
        <v>58.244062693126686</v>
      </c>
      <c r="C177" s="13">
        <f>'2022'!An_max</f>
        <v>2019</v>
      </c>
      <c r="D177" s="1062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53">
        <f t="shared" si="81"/>
        <v>7.1428571428571425E-2</v>
      </c>
      <c r="J177" s="746">
        <f t="shared" si="82"/>
        <v>63.595594023886534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55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53">
        <f t="shared" si="86"/>
        <v>0.5357142857142857</v>
      </c>
      <c r="AT177" s="769">
        <f t="shared" si="87"/>
        <v>63.512346350960435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53">
        <f t="shared" si="91"/>
        <v>3.5714285714285712E-2</v>
      </c>
      <c r="AY177" s="769">
        <f t="shared" si="92"/>
        <v>63.601373652129304</v>
      </c>
      <c r="AZ177" s="746">
        <f t="shared" si="96"/>
        <v>63.556860001544869</v>
      </c>
      <c r="BA177" s="643">
        <f t="shared" si="93"/>
        <v>0.91585059605308805</v>
      </c>
      <c r="BC177" s="11">
        <v>43263</v>
      </c>
      <c r="BD177" s="290">
        <f>[2]!FeuilCaduc*(1-Persistant)+Persistant</f>
        <v>0.91396760489936879</v>
      </c>
      <c r="BE177" s="291">
        <f>[2]!CroissVégét</f>
        <v>0.52004118610663486</v>
      </c>
      <c r="BF177" s="816">
        <f>1+[2]!Salcycl*Ksac</f>
        <v>1.0392459506124212</v>
      </c>
      <c r="BH177" s="1053">
        <f t="shared" si="94"/>
        <v>5.6626574185891483E-4</v>
      </c>
      <c r="BI177" s="11">
        <v>44359</v>
      </c>
      <c r="BJ177" s="726">
        <v>5.3414495409754073E-5</v>
      </c>
      <c r="BK177" s="726">
        <v>1.5416561004081048E-4</v>
      </c>
      <c r="BL177" s="726">
        <v>3.1574196592237445E-4</v>
      </c>
      <c r="BM177" s="726">
        <v>5.6692149354201603E-4</v>
      </c>
      <c r="BN177" s="726">
        <v>9.0535578899339454E-4</v>
      </c>
      <c r="BO177" s="727">
        <v>1.3447911130591078E-3</v>
      </c>
      <c r="BP177" s="726">
        <v>1.9718365267622153E-3</v>
      </c>
      <c r="BQ177" s="726">
        <v>3.1300710785974518E-3</v>
      </c>
      <c r="BR177" s="726">
        <v>4.8023214829283831E-3</v>
      </c>
      <c r="BS177" s="726">
        <v>8.7399281480147403E-3</v>
      </c>
      <c r="BT177" s="726">
        <v>1.4580949331071388E-2</v>
      </c>
      <c r="BW177" s="1186">
        <f>'2018'!R\Max</f>
        <v>0</v>
      </c>
      <c r="BX177" s="1184">
        <f>'2019'!R\Max</f>
        <v>0.91585059605308805</v>
      </c>
      <c r="BY177" s="1184">
        <f>'2020'!R\Max</f>
        <v>0.44654208042581067</v>
      </c>
      <c r="BZ177" s="1184">
        <f>'2021'!R\Max</f>
        <v>0.76453000110005587</v>
      </c>
      <c r="CA177" s="1184">
        <f>'2022'!R\Max</f>
        <v>0.70909439353993164</v>
      </c>
      <c r="CB177" s="1184">
        <f>'2023'!R\Max</f>
        <v>0.70908841818706725</v>
      </c>
      <c r="CC177" s="1184">
        <f>'2024'!R\Max</f>
        <v>0.70907983662326102</v>
      </c>
      <c r="CD177" s="1184">
        <f>'2025'!R\Max</f>
        <v>0.70911079511600539</v>
      </c>
      <c r="CE177" s="1184">
        <f>'2026'!R\Max</f>
        <v>0.7091075702750298</v>
      </c>
      <c r="CF177" s="1185">
        <f>'2027'!R\Max</f>
        <v>0.7091038980143356</v>
      </c>
    </row>
    <row r="178" spans="1:84" s="6" customFormat="1" ht="11.25" x14ac:dyDescent="0.2">
      <c r="A178" s="11">
        <v>43264</v>
      </c>
      <c r="B178" s="380">
        <f>'2022'!Maxi_hp</f>
        <v>66.115436428019962</v>
      </c>
      <c r="C178" s="13">
        <f>'2022'!An_max</f>
        <v>2019</v>
      </c>
      <c r="D178" s="1062">
        <f t="shared" si="78"/>
        <v>1.0403359606082312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53">
        <f t="shared" si="81"/>
        <v>0.14285714285714285</v>
      </c>
      <c r="J178" s="746">
        <f t="shared" si="82"/>
        <v>63.552005247771739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55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53">
        <f t="shared" si="86"/>
        <v>0.5714285714285714</v>
      </c>
      <c r="AT178" s="769">
        <f t="shared" si="87"/>
        <v>63.467833819240333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53">
        <f t="shared" si="91"/>
        <v>7.1428571428571425E-2</v>
      </c>
      <c r="AY178" s="769">
        <f t="shared" si="92"/>
        <v>63.564423396890717</v>
      </c>
      <c r="AZ178" s="746">
        <f t="shared" si="96"/>
        <v>63.516128608065529</v>
      </c>
      <c r="BA178" s="643">
        <f t="shared" si="93"/>
        <v>1.0403359606082312</v>
      </c>
      <c r="BC178" s="11">
        <v>43264</v>
      </c>
      <c r="BD178" s="290">
        <f>[2]!FeuilCaduc*(1-Persistant)+Persistant</f>
        <v>0.91852928454200511</v>
      </c>
      <c r="BE178" s="291">
        <f>[2]!CroissVégét</f>
        <v>0.53030539801316789</v>
      </c>
      <c r="BF178" s="816">
        <f>1+[2]!Salcycl*Ksac</f>
        <v>1.0398161605677507</v>
      </c>
      <c r="BH178" s="1053">
        <f t="shared" si="94"/>
        <v>5.5772280232830956E-4</v>
      </c>
      <c r="BI178" s="11">
        <v>44360</v>
      </c>
      <c r="BJ178" s="726">
        <v>5.3046818640677165E-5</v>
      </c>
      <c r="BK178" s="726">
        <v>1.5087203470914897E-4</v>
      </c>
      <c r="BL178" s="726">
        <v>3.0924792868909201E-4</v>
      </c>
      <c r="BM178" s="726">
        <v>5.583731909630335E-4</v>
      </c>
      <c r="BN178" s="726">
        <v>8.9544496059886804E-4</v>
      </c>
      <c r="BO178" s="727">
        <v>1.3293534355553348E-3</v>
      </c>
      <c r="BP178" s="726">
        <v>1.9417743048440223E-3</v>
      </c>
      <c r="BQ178" s="726">
        <v>3.0172616796772835E-3</v>
      </c>
      <c r="BR178" s="726">
        <v>4.5975927805641291E-3</v>
      </c>
      <c r="BS178" s="726">
        <v>8.2277650428531982E-3</v>
      </c>
      <c r="BT178" s="726">
        <v>1.3604964457444862E-2</v>
      </c>
      <c r="BW178" s="1186">
        <f>'2018'!R\Max</f>
        <v>0</v>
      </c>
      <c r="BX178" s="1184">
        <f>'2019'!R\Max</f>
        <v>1.0403359606082312</v>
      </c>
      <c r="BY178" s="1184">
        <f>'2020'!R\Max</f>
        <v>0.87876869188894602</v>
      </c>
      <c r="BZ178" s="1184">
        <f>'2021'!R\Max</f>
        <v>0.95094357659745399</v>
      </c>
      <c r="CA178" s="1184">
        <f>'2022'!R\Max</f>
        <v>0.89856924127394222</v>
      </c>
      <c r="CB178" s="1184">
        <f>'2023'!R\Max</f>
        <v>0.89856664803932262</v>
      </c>
      <c r="CC178" s="1184">
        <f>'2024'!R\Max</f>
        <v>0.8985630250692147</v>
      </c>
      <c r="CD178" s="1184">
        <f>'2025'!R\Max</f>
        <v>0.8985764536320181</v>
      </c>
      <c r="CE178" s="1184">
        <f>'2026'!R\Max</f>
        <v>0.89857502648162868</v>
      </c>
      <c r="CF178" s="1185">
        <f>'2027'!R\Max</f>
        <v>0.89857340450308265</v>
      </c>
    </row>
    <row r="179" spans="1:84" s="6" customFormat="1" ht="11.25" x14ac:dyDescent="0.2">
      <c r="A179" s="11">
        <v>43265</v>
      </c>
      <c r="B179" s="380">
        <f>'2022'!Maxi_hp</f>
        <v>57.514759839675243</v>
      </c>
      <c r="C179" s="13">
        <f>'2022'!An_max</f>
        <v>2021</v>
      </c>
      <c r="D179" s="1062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53">
        <f t="shared" si="81"/>
        <v>0.21428571428571427</v>
      </c>
      <c r="J179" s="746">
        <f t="shared" si="82"/>
        <v>63.503263119874262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55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53">
        <f t="shared" si="86"/>
        <v>0.6071428571428571</v>
      </c>
      <c r="AT179" s="769">
        <f t="shared" si="87"/>
        <v>63.420422526409048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53">
        <f t="shared" si="91"/>
        <v>0.10714285714285714</v>
      </c>
      <c r="AY179" s="769">
        <f t="shared" si="92"/>
        <v>63.522910277133022</v>
      </c>
      <c r="AZ179" s="746">
        <f t="shared" si="96"/>
        <v>63.471666401771031</v>
      </c>
      <c r="BA179" s="643">
        <f t="shared" si="93"/>
        <v>0.9056977077084275</v>
      </c>
      <c r="BC179" s="11">
        <v>43265</v>
      </c>
      <c r="BD179" s="290">
        <f>[2]!FeuilCaduc*(1-Persistant)+Persistant</f>
        <v>0.92297138125713984</v>
      </c>
      <c r="BE179" s="291">
        <f>[2]!CroissVégét</f>
        <v>0.54054367684881977</v>
      </c>
      <c r="BF179" s="816">
        <f>1+[2]!Salcycl*Ksac</f>
        <v>1.0403714226571426</v>
      </c>
      <c r="BH179" s="1053">
        <f t="shared" si="94"/>
        <v>5.496661951338406E-4</v>
      </c>
      <c r="BI179" s="11">
        <v>44361</v>
      </c>
      <c r="BJ179" s="726">
        <v>5.2599196978845469E-5</v>
      </c>
      <c r="BK179" s="726">
        <v>1.477691051561349E-4</v>
      </c>
      <c r="BL179" s="726">
        <v>3.0312591852164596E-4</v>
      </c>
      <c r="BM179" s="726">
        <v>5.5031151991683294E-4</v>
      </c>
      <c r="BN179" s="726">
        <v>8.8632932587463949E-4</v>
      </c>
      <c r="BO179" s="727">
        <v>1.3155961532087062E-3</v>
      </c>
      <c r="BP179" s="726">
        <v>1.9152095971106337E-3</v>
      </c>
      <c r="BQ179" s="726">
        <v>2.9201570274115783E-3</v>
      </c>
      <c r="BR179" s="726">
        <v>4.4214286695582698E-3</v>
      </c>
      <c r="BS179" s="726">
        <v>7.7722092276912525E-3</v>
      </c>
      <c r="BT179" s="726">
        <v>1.2719202643855869E-2</v>
      </c>
      <c r="BW179" s="1186">
        <f>'2018'!R\Max</f>
        <v>0</v>
      </c>
      <c r="BX179" s="1184">
        <f>'2019'!R\Max</f>
        <v>0.38898416074100861</v>
      </c>
      <c r="BY179" s="1184">
        <f>'2020'!R\Max</f>
        <v>0.65873595845487898</v>
      </c>
      <c r="BZ179" s="1184">
        <f>'2021'!R\Max</f>
        <v>0.9056977077084275</v>
      </c>
      <c r="CA179" s="1184">
        <f>'2022'!R\Max</f>
        <v>0.8202539453774188</v>
      </c>
      <c r="CB179" s="1184">
        <f>'2023'!R\Max</f>
        <v>0.82024981512088146</v>
      </c>
      <c r="CC179" s="1184">
        <f>'2024'!R\Max</f>
        <v>0.82024419004196059</v>
      </c>
      <c r="CD179" s="1184">
        <f>'2025'!R\Max</f>
        <v>0.82026557525212229</v>
      </c>
      <c r="CE179" s="1184">
        <f>'2026'!R\Max</f>
        <v>0.82026326089951218</v>
      </c>
      <c r="CF179" s="1185">
        <f>'2027'!R\Max</f>
        <v>0.82026063478243338</v>
      </c>
    </row>
    <row r="180" spans="1:84" s="6" customFormat="1" ht="11.25" x14ac:dyDescent="0.2">
      <c r="A180" s="11">
        <v>43266</v>
      </c>
      <c r="B180" s="380">
        <f>'2022'!Maxi_hp</f>
        <v>56.826713041719522</v>
      </c>
      <c r="C180" s="13">
        <f>'2022'!An_max</f>
        <v>2022</v>
      </c>
      <c r="D180" s="1062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53">
        <f t="shared" si="81"/>
        <v>0.2857142857142857</v>
      </c>
      <c r="J180" s="746">
        <f t="shared" si="82"/>
        <v>63.449797085140439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55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53">
        <f t="shared" si="86"/>
        <v>0.6428571428571429</v>
      </c>
      <c r="AT180" s="769">
        <f t="shared" si="87"/>
        <v>63.370260094691595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53">
        <f t="shared" si="91"/>
        <v>0.14285714285714285</v>
      </c>
      <c r="AY180" s="769">
        <f t="shared" si="92"/>
        <v>63.4769953354661</v>
      </c>
      <c r="AZ180" s="746">
        <f t="shared" si="96"/>
        <v>63.423627715078851</v>
      </c>
      <c r="BA180" s="643">
        <f t="shared" si="93"/>
        <v>0.89561693893939964</v>
      </c>
      <c r="BC180" s="11">
        <v>43266</v>
      </c>
      <c r="BD180" s="290">
        <f>[2]!FeuilCaduc*(1-Persistant)+Persistant</f>
        <v>0.9272900968616854</v>
      </c>
      <c r="BE180" s="291">
        <f>[2]!CroissVégét</f>
        <v>0.55074751394309984</v>
      </c>
      <c r="BF180" s="816">
        <f>1+[2]!Salcycl*Ksac</f>
        <v>1.0409112621077106</v>
      </c>
      <c r="BH180" s="1053">
        <f t="shared" si="94"/>
        <v>5.4209562396277254E-4</v>
      </c>
      <c r="BI180" s="11">
        <v>44362</v>
      </c>
      <c r="BJ180" s="726">
        <v>5.2071841878413015E-5</v>
      </c>
      <c r="BK180" s="726">
        <v>1.448566124594999E-4</v>
      </c>
      <c r="BL180" s="726">
        <v>2.9737554686533373E-4</v>
      </c>
      <c r="BM180" s="726">
        <v>5.4273618433212426E-4</v>
      </c>
      <c r="BN180" s="726">
        <v>8.7800846431120168E-4</v>
      </c>
      <c r="BO180" s="727">
        <v>1.303517714769783E-3</v>
      </c>
      <c r="BP180" s="726">
        <v>1.892138075122456E-3</v>
      </c>
      <c r="BQ180" s="726">
        <v>2.838730254944776E-3</v>
      </c>
      <c r="BR180" s="726">
        <v>4.2737790583477374E-3</v>
      </c>
      <c r="BS180" s="726">
        <v>7.3731579317532813E-3</v>
      </c>
      <c r="BT180" s="726">
        <v>1.1923497353873528E-2</v>
      </c>
      <c r="BW180" s="1186">
        <f>'2018'!R\Max</f>
        <v>0</v>
      </c>
      <c r="BX180" s="1184">
        <f>'2019'!R\Max</f>
        <v>0.40896601986991038</v>
      </c>
      <c r="BY180" s="1184">
        <f>'2020'!R\Max</f>
        <v>0.88174560269814728</v>
      </c>
      <c r="BZ180" s="1184">
        <f>'2021'!R\Max</f>
        <v>0.87894930767787327</v>
      </c>
      <c r="CA180" s="1184">
        <f>'2022'!R\Max</f>
        <v>0.89561693893939964</v>
      </c>
      <c r="CB180" s="1184">
        <f>'2023'!R\Max</f>
        <v>0.89561435382596943</v>
      </c>
      <c r="CC180" s="1184">
        <f>'2024'!R\Max</f>
        <v>0.89561091093434531</v>
      </c>
      <c r="CD180" s="1184">
        <f>'2025'!R\Max</f>
        <v>0.89562430147224426</v>
      </c>
      <c r="CE180" s="1184">
        <f>'2026'!R\Max</f>
        <v>0.89562282916602343</v>
      </c>
      <c r="CF180" s="1185">
        <f>'2027'!R\Max</f>
        <v>0.89562116045773232</v>
      </c>
    </row>
    <row r="181" spans="1:84" s="6" customFormat="1" ht="11.25" x14ac:dyDescent="0.2">
      <c r="A181" s="11">
        <v>43267</v>
      </c>
      <c r="B181" s="380">
        <f>'2022'!Maxi_hp</f>
        <v>64.761857489550721</v>
      </c>
      <c r="C181" s="13">
        <f>'2022'!An_max</f>
        <v>2019</v>
      </c>
      <c r="D181" s="1062">
        <f t="shared" si="78"/>
        <v>1.0216087220702732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53">
        <f t="shared" si="81"/>
        <v>0.35714285714285715</v>
      </c>
      <c r="J181" s="746">
        <f t="shared" si="82"/>
        <v>63.39203658942133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55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53">
        <f t="shared" si="86"/>
        <v>0.6785714285714286</v>
      </c>
      <c r="AT181" s="769">
        <f t="shared" si="87"/>
        <v>63.317494146605689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53">
        <f t="shared" si="91"/>
        <v>0.17857142857142858</v>
      </c>
      <c r="AY181" s="769">
        <f t="shared" si="92"/>
        <v>63.426839614420054</v>
      </c>
      <c r="AZ181" s="746">
        <f t="shared" si="96"/>
        <v>63.372166880512872</v>
      </c>
      <c r="BA181" s="643">
        <f t="shared" si="93"/>
        <v>1.0216087220702732</v>
      </c>
      <c r="BC181" s="11">
        <v>43267</v>
      </c>
      <c r="BD181" s="290">
        <f>[2]!FeuilCaduc*(1-Persistant)+Persistant</f>
        <v>0.93148200783276369</v>
      </c>
      <c r="BE181" s="291">
        <f>[2]!CroissVégét</f>
        <v>0.56090851568364364</v>
      </c>
      <c r="BF181" s="816">
        <f>1+[2]!Salcycl*Ksac</f>
        <v>1.0414352509790954</v>
      </c>
      <c r="BH181" s="1053">
        <f t="shared" si="94"/>
        <v>5.3501077545199942E-4</v>
      </c>
      <c r="BI181" s="11">
        <v>44363</v>
      </c>
      <c r="BJ181" s="726">
        <v>5.1464958270367253E-5</v>
      </c>
      <c r="BK181" s="726">
        <v>1.4213434111253845E-4</v>
      </c>
      <c r="BL181" s="726">
        <v>2.9199641199265298E-4</v>
      </c>
      <c r="BM181" s="726">
        <v>5.3564687107709725E-4</v>
      </c>
      <c r="BN181" s="726">
        <v>8.7048194982992564E-4</v>
      </c>
      <c r="BO181" s="727">
        <v>1.2931165858541616E-3</v>
      </c>
      <c r="BP181" s="726">
        <v>1.8725554544434947E-3</v>
      </c>
      <c r="BQ181" s="726">
        <v>2.7729547979366367E-3</v>
      </c>
      <c r="BR181" s="726">
        <v>4.1545944054067023E-3</v>
      </c>
      <c r="BS181" s="726">
        <v>7.030508885031571E-3</v>
      </c>
      <c r="BT181" s="726">
        <v>1.1217681970784703E-2</v>
      </c>
      <c r="BW181" s="1186">
        <f>'2018'!R\Max</f>
        <v>0</v>
      </c>
      <c r="BX181" s="1184">
        <f>'2019'!R\Max</f>
        <v>1.0216087220702732</v>
      </c>
      <c r="BY181" s="1184">
        <f>'2020'!R\Max</f>
        <v>0.73039187960174989</v>
      </c>
      <c r="BZ181" s="1184">
        <f>'2021'!R\Max</f>
        <v>0.82913589699319157</v>
      </c>
      <c r="CA181" s="1184">
        <f>'2022'!R\Max</f>
        <v>0.86161181852748714</v>
      </c>
      <c r="CB181" s="1184">
        <f>'2023'!R\Max</f>
        <v>0.8616085551733218</v>
      </c>
      <c r="CC181" s="1184">
        <f>'2024'!R\Max</f>
        <v>0.86160428719578641</v>
      </c>
      <c r="CD181" s="1184">
        <f>'2025'!R\Max</f>
        <v>0.86162120973898215</v>
      </c>
      <c r="CE181" s="1184">
        <f>'2026'!R\Max</f>
        <v>0.86161932415320008</v>
      </c>
      <c r="CF181" s="1185">
        <f>'2027'!R\Max</f>
        <v>0.86161718848678548</v>
      </c>
    </row>
    <row r="182" spans="1:84" s="6" customFormat="1" ht="11.25" x14ac:dyDescent="0.2">
      <c r="A182" s="11">
        <v>43268</v>
      </c>
      <c r="B182" s="380">
        <f>'2022'!Maxi_hp</f>
        <v>62.682408537874828</v>
      </c>
      <c r="C182" s="13">
        <f>'2022'!An_max</f>
        <v>2019</v>
      </c>
      <c r="D182" s="1062">
        <f t="shared" si="78"/>
        <v>0.98976790881805687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53">
        <f t="shared" si="81"/>
        <v>0.42857142857142855</v>
      </c>
      <c r="J182" s="746">
        <f t="shared" si="82"/>
        <v>63.330411078621225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55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53">
        <f t="shared" si="86"/>
        <v>0.7142857142857143</v>
      </c>
      <c r="AT182" s="769">
        <f t="shared" si="87"/>
        <v>63.262272303604654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53">
        <f t="shared" si="91"/>
        <v>0.21428571428571427</v>
      </c>
      <c r="AY182" s="769">
        <f t="shared" si="92"/>
        <v>63.372604154875226</v>
      </c>
      <c r="AZ182" s="746">
        <f t="shared" si="96"/>
        <v>63.31743822923994</v>
      </c>
      <c r="BA182" s="643">
        <f t="shared" si="93"/>
        <v>0.98976790881805687</v>
      </c>
      <c r="BC182" s="11">
        <v>43268</v>
      </c>
      <c r="BD182" s="290">
        <f>[2]!FeuilCaduc*(1-Persistant)+Persistant</f>
        <v>0.93554407643150084</v>
      </c>
      <c r="BE182" s="291">
        <f>[2]!CroissVégét</f>
        <v>0.57101843074296321</v>
      </c>
      <c r="BF182" s="816">
        <f>1+[2]!Salcycl*Ksac</f>
        <v>1.0419430095539377</v>
      </c>
      <c r="BH182" s="1053">
        <f t="shared" si="94"/>
        <v>5.2841132560872142E-4</v>
      </c>
      <c r="BI182" s="11">
        <v>44364</v>
      </c>
      <c r="BJ182" s="726">
        <v>5.0778743462733692E-5</v>
      </c>
      <c r="BK182" s="726">
        <v>1.3960207154879839E-4</v>
      </c>
      <c r="BL182" s="726">
        <v>2.8698810392737708E-4</v>
      </c>
      <c r="BM182" s="726">
        <v>5.2904325638401578E-4</v>
      </c>
      <c r="BN182" s="726">
        <v>8.637493613512996E-4</v>
      </c>
      <c r="BO182" s="727">
        <v>1.2843912714243244E-3</v>
      </c>
      <c r="BP182" s="726">
        <v>1.8564575415519642E-3</v>
      </c>
      <c r="BQ182" s="726">
        <v>2.7228046061489376E-3</v>
      </c>
      <c r="BR182" s="726">
        <v>4.0638261041883198E-3</v>
      </c>
      <c r="BS182" s="726">
        <v>6.7441610794351618E-3</v>
      </c>
      <c r="BT182" s="726">
        <v>1.0601591008009822E-2</v>
      </c>
      <c r="BW182" s="1186">
        <f>'2018'!R\Max</f>
        <v>0</v>
      </c>
      <c r="BX182" s="1184">
        <f>'2019'!R\Max</f>
        <v>0.98976790881805687</v>
      </c>
      <c r="BY182" s="1184">
        <f>'2020'!R\Max</f>
        <v>0.50869507010876902</v>
      </c>
      <c r="BZ182" s="1184">
        <f>'2021'!R\Max</f>
        <v>0.25747079037325221</v>
      </c>
      <c r="CA182" s="1184">
        <f>'2022'!R\Max</f>
        <v>0.86372819116429822</v>
      </c>
      <c r="CB182" s="1184">
        <f>'2023'!R\Max</f>
        <v>0.86372499383323253</v>
      </c>
      <c r="CC182" s="1184">
        <f>'2024'!R\Max</f>
        <v>0.86372086575696827</v>
      </c>
      <c r="CD182" s="1184">
        <f>'2025'!R\Max</f>
        <v>0.86373747812043578</v>
      </c>
      <c r="CE182" s="1184">
        <f>'2026'!R\Max</f>
        <v>0.86373560759549561</v>
      </c>
      <c r="CF182" s="1185">
        <f>'2027'!R\Max</f>
        <v>0.86373348930344873</v>
      </c>
    </row>
    <row r="183" spans="1:84" s="6" customFormat="1" ht="11.25" x14ac:dyDescent="0.2">
      <c r="A183" s="11">
        <v>43269</v>
      </c>
      <c r="B183" s="380">
        <f>'2022'!Maxi_hp</f>
        <v>60.904385564297691</v>
      </c>
      <c r="C183" s="13">
        <f>'2022'!An_max</f>
        <v>2019</v>
      </c>
      <c r="D183" s="1062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53">
        <f t="shared" si="81"/>
        <v>0.5</v>
      </c>
      <c r="J183" s="746">
        <f t="shared" si="82"/>
        <v>63.26535000000149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55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53">
        <f t="shared" si="86"/>
        <v>0.75</v>
      </c>
      <c r="AT183" s="769">
        <f t="shared" si="87"/>
        <v>63.20474218754098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53">
        <f t="shared" si="91"/>
        <v>0.25</v>
      </c>
      <c r="AY183" s="769">
        <f t="shared" si="92"/>
        <v>63.3144500002265</v>
      </c>
      <c r="AZ183" s="746">
        <f t="shared" si="96"/>
        <v>63.259596093883744</v>
      </c>
      <c r="BA183" s="643">
        <f t="shared" si="93"/>
        <v>0.96268155576941017</v>
      </c>
      <c r="BC183" s="11">
        <v>43269</v>
      </c>
      <c r="BD183" s="290">
        <f>[2]!FeuilCaduc*(1-Persistant)+Persistant</f>
        <v>0.93947365975832464</v>
      </c>
      <c r="BE183" s="291">
        <f>[2]!CroissVégét</f>
        <v>0.5810691763075071</v>
      </c>
      <c r="BF183" s="816">
        <f>1+[2]!Salcycl*Ksac</f>
        <v>1.0424342074697905</v>
      </c>
      <c r="BH183" s="1053">
        <f t="shared" si="94"/>
        <v>5.2229694624843952E-4</v>
      </c>
      <c r="BI183" s="11">
        <v>44365</v>
      </c>
      <c r="BJ183" s="726">
        <v>5.0013386042443499E-5</v>
      </c>
      <c r="BK183" s="726">
        <v>1.372595826713976E-4</v>
      </c>
      <c r="BL183" s="726">
        <v>2.8235020937812942E-4</v>
      </c>
      <c r="BM183" s="726">
        <v>5.2292501229114991E-4</v>
      </c>
      <c r="BN183" s="726">
        <v>8.5781029339121494E-4</v>
      </c>
      <c r="BO183" s="727">
        <v>1.2773403383131308E-3</v>
      </c>
      <c r="BP183" s="726">
        <v>1.8438402808113516E-3</v>
      </c>
      <c r="BQ183" s="726">
        <v>2.688254355122884E-3</v>
      </c>
      <c r="BR183" s="726">
        <v>4.0014268682030361E-3</v>
      </c>
      <c r="BS183" s="726">
        <v>6.5140155301742358E-3</v>
      </c>
      <c r="BT183" s="726">
        <v>1.0075061319899594E-2</v>
      </c>
      <c r="BW183" s="1186">
        <f>'2018'!R\Max</f>
        <v>0</v>
      </c>
      <c r="BX183" s="1184">
        <f>'2019'!R\Max</f>
        <v>0.96268155576941017</v>
      </c>
      <c r="BY183" s="1184">
        <f>'2020'!R\Max</f>
        <v>0.8680134042126354</v>
      </c>
      <c r="BZ183" s="1184">
        <f>'2021'!R\Max</f>
        <v>0.75304251171267067</v>
      </c>
      <c r="CA183" s="1184">
        <f>'2022'!R\Max</f>
        <v>0.92136953571045288</v>
      </c>
      <c r="CB183" s="1184">
        <f>'2023'!R\Max</f>
        <v>0.92136757663940128</v>
      </c>
      <c r="CC183" s="1184">
        <f>'2024'!R\Max</f>
        <v>0.92136506403519736</v>
      </c>
      <c r="CD183" s="1184">
        <f>'2025'!R\Max</f>
        <v>0.92137527228658522</v>
      </c>
      <c r="CE183" s="1184">
        <f>'2026'!R\Max</f>
        <v>0.92137411430766125</v>
      </c>
      <c r="CF183" s="1185">
        <f>'2027'!R\Max</f>
        <v>0.92137280238478947</v>
      </c>
    </row>
    <row r="184" spans="1:84" s="6" customFormat="1" ht="11.25" x14ac:dyDescent="0.2">
      <c r="A184" s="11">
        <v>43270</v>
      </c>
      <c r="B184" s="380">
        <f>'2022'!Maxi_hp</f>
        <v>59.487278705048723</v>
      </c>
      <c r="C184" s="13">
        <f>'2022'!An_max</f>
        <v>2022</v>
      </c>
      <c r="D184" s="1062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53">
        <f t="shared" si="81"/>
        <v>0.5714285714285714</v>
      </c>
      <c r="J184" s="746">
        <f t="shared" si="82"/>
        <v>63.197282799226898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55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53">
        <f t="shared" si="86"/>
        <v>0.7857142857142857</v>
      </c>
      <c r="AT184" s="769">
        <f t="shared" si="87"/>
        <v>63.145051421278289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53">
        <f t="shared" si="91"/>
        <v>0.2857142857142857</v>
      </c>
      <c r="AY184" s="769">
        <f t="shared" si="92"/>
        <v>63.252538192697934</v>
      </c>
      <c r="AZ184" s="746">
        <f t="shared" si="96"/>
        <v>63.198794806988111</v>
      </c>
      <c r="BA184" s="643">
        <f t="shared" si="93"/>
        <v>0.94129487962378722</v>
      </c>
      <c r="BC184" s="11">
        <v>43270</v>
      </c>
      <c r="BD184" s="290">
        <f>[2]!FeuilCaduc*(1-Persistant)+Persistant</f>
        <v>0.94326851666967559</v>
      </c>
      <c r="BE184" s="291">
        <f>[2]!CroissVégét</f>
        <v>0.5910528631363321</v>
      </c>
      <c r="BF184" s="816">
        <f>1+[2]!Salcycl*Ksac</f>
        <v>1.0429085645837095</v>
      </c>
      <c r="BH184" s="1053">
        <f t="shared" si="94"/>
        <v>5.1733431631968392E-4</v>
      </c>
      <c r="BI184" s="11">
        <v>44366</v>
      </c>
      <c r="BJ184" s="726">
        <v>4.927109071890189E-5</v>
      </c>
      <c r="BK184" s="726">
        <v>1.3536612580281949E-4</v>
      </c>
      <c r="BL184" s="726">
        <v>2.7859596377656937E-4</v>
      </c>
      <c r="BM184" s="726">
        <v>5.1795921938892632E-4</v>
      </c>
      <c r="BN184" s="726">
        <v>8.5324733301510032E-4</v>
      </c>
      <c r="BO184" s="727">
        <v>1.272544922338646E-3</v>
      </c>
      <c r="BP184" s="726">
        <v>1.8357128029717054E-3</v>
      </c>
      <c r="BQ184" s="726">
        <v>2.6714626034304691E-3</v>
      </c>
      <c r="BR184" s="726">
        <v>3.9713294227781996E-3</v>
      </c>
      <c r="BS184" s="726">
        <v>6.3612732630885342E-3</v>
      </c>
      <c r="BT184" s="726">
        <v>9.6918663840250344E-3</v>
      </c>
      <c r="BW184" s="1186">
        <f>'2018'!R\Max</f>
        <v>0</v>
      </c>
      <c r="BX184" s="1184">
        <f>'2019'!R\Max</f>
        <v>0.81764307254171964</v>
      </c>
      <c r="BY184" s="1184">
        <f>'2020'!R\Max</f>
        <v>0.7515150177493185</v>
      </c>
      <c r="BZ184" s="1184">
        <f>'2021'!R\Max</f>
        <v>0.56018857492858987</v>
      </c>
      <c r="CA184" s="1184">
        <f>'2022'!R\Max</f>
        <v>0.94129487962378722</v>
      </c>
      <c r="CB184" s="1184">
        <f>'2023'!R\Max</f>
        <v>0.94129338654142503</v>
      </c>
      <c r="CC184" s="1184">
        <f>'2024'!R\Max</f>
        <v>0.94129147001816194</v>
      </c>
      <c r="CD184" s="1184">
        <f>'2025'!R\Max</f>
        <v>0.94129927882991027</v>
      </c>
      <c r="CE184" s="1184">
        <f>'2026'!R\Max</f>
        <v>0.94129839000411086</v>
      </c>
      <c r="CF184" s="1185">
        <f>'2027'!R\Max</f>
        <v>0.94129738181939671</v>
      </c>
    </row>
    <row r="185" spans="1:84" s="6" customFormat="1" ht="11.25" x14ac:dyDescent="0.2">
      <c r="A185" s="11">
        <v>43271</v>
      </c>
      <c r="B185" s="380">
        <f>'2022'!Maxi_hp</f>
        <v>58.208712843769881</v>
      </c>
      <c r="C185" s="13">
        <f>'2022'!An_max</f>
        <v>2020</v>
      </c>
      <c r="D185" s="1062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53">
        <f t="shared" si="81"/>
        <v>0.6428571428571429</v>
      </c>
      <c r="J185" s="746">
        <f t="shared" si="82"/>
        <v>63.12663892124381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55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53">
        <f t="shared" si="86"/>
        <v>0.8214285714285714</v>
      </c>
      <c r="AT185" s="769">
        <f t="shared" si="87"/>
        <v>63.083347626629156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53">
        <f t="shared" si="91"/>
        <v>0.32142857142857145</v>
      </c>
      <c r="AY185" s="769">
        <f t="shared" si="92"/>
        <v>63.187029774247534</v>
      </c>
      <c r="AZ185" s="746">
        <f t="shared" si="96"/>
        <v>63.135188700438349</v>
      </c>
      <c r="BA185" s="643">
        <f t="shared" si="93"/>
        <v>0.92209428283344075</v>
      </c>
      <c r="BC185" s="11">
        <v>43271</v>
      </c>
      <c r="BD185" s="290">
        <f>[2]!FeuilCaduc*(1-Persistant)+Persistant</f>
        <v>0.94692681250213284</v>
      </c>
      <c r="BE185" s="291">
        <f>[2]!CroissVégét</f>
        <v>0.60096181929049675</v>
      </c>
      <c r="BF185" s="816">
        <f>1+[2]!Salcycl*Ksac</f>
        <v>1.0433658515627666</v>
      </c>
      <c r="BH185" s="1053">
        <f t="shared" si="94"/>
        <v>5.1371801091865913E-4</v>
      </c>
      <c r="BI185" s="11">
        <v>44367</v>
      </c>
      <c r="BJ185" s="726">
        <v>4.8734277062501588E-5</v>
      </c>
      <c r="BK185" s="726">
        <v>1.339954009083718E-4</v>
      </c>
      <c r="BL185" s="726">
        <v>2.7587667484151171E-4</v>
      </c>
      <c r="BM185" s="726">
        <v>5.1434056602689404E-4</v>
      </c>
      <c r="BN185" s="726">
        <v>8.4986716527867055E-4</v>
      </c>
      <c r="BO185" s="727">
        <v>1.2689377057099908E-3</v>
      </c>
      <c r="BP185" s="726">
        <v>1.8296459916440609E-3</v>
      </c>
      <c r="BQ185" s="726">
        <v>2.65909191736419E-3</v>
      </c>
      <c r="BR185" s="726">
        <v>3.9492755045283925E-3</v>
      </c>
      <c r="BS185" s="726">
        <v>6.2513642636277287E-3</v>
      </c>
      <c r="BT185" s="726">
        <v>9.4170448211251933E-3</v>
      </c>
      <c r="BW185" s="1186">
        <f>'2018'!R\Max</f>
        <v>0</v>
      </c>
      <c r="BX185" s="1184">
        <f>'2019'!R\Max</f>
        <v>0.48690062760334207</v>
      </c>
      <c r="BY185" s="1184">
        <f>'2020'!R\Max</f>
        <v>0.92209428283344075</v>
      </c>
      <c r="BZ185" s="1184">
        <f>'2021'!R\Max</f>
        <v>0.57442829336476964</v>
      </c>
      <c r="CA185" s="1184">
        <f>'2022'!R\Max</f>
        <v>0.52484126333859848</v>
      </c>
      <c r="CB185" s="1184">
        <f>'2023'!R\Max</f>
        <v>0.52483452101001804</v>
      </c>
      <c r="CC185" s="1184">
        <f>'2024'!R\Max</f>
        <v>0.52482585344054733</v>
      </c>
      <c r="CD185" s="1184">
        <f>'2025'!R\Max</f>
        <v>0.52486122515100475</v>
      </c>
      <c r="CE185" s="1184">
        <f>'2026'!R\Max</f>
        <v>0.52485719071156678</v>
      </c>
      <c r="CF185" s="1185">
        <f>'2027'!R\Max</f>
        <v>0.52485260798974454</v>
      </c>
    </row>
    <row r="186" spans="1:84" s="6" customFormat="1" ht="11.25" x14ac:dyDescent="0.2">
      <c r="A186" s="11">
        <v>43272</v>
      </c>
      <c r="B186" s="380">
        <f>'2022'!Maxi_hp</f>
        <v>54.428674381419142</v>
      </c>
      <c r="C186" s="13">
        <f>'2022'!An_max</f>
        <v>2020</v>
      </c>
      <c r="D186" s="1062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53">
        <f t="shared" si="81"/>
        <v>0.7142857142857143</v>
      </c>
      <c r="J186" s="746">
        <f t="shared" si="82"/>
        <v>63.053847813180518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55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53">
        <f t="shared" si="86"/>
        <v>0.8571428571428571</v>
      </c>
      <c r="AT186" s="769">
        <f t="shared" si="87"/>
        <v>63.019778425672236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53">
        <f t="shared" si="91"/>
        <v>0.35714285714285715</v>
      </c>
      <c r="AY186" s="769">
        <f t="shared" si="92"/>
        <v>63.118085787099382</v>
      </c>
      <c r="AZ186" s="746">
        <f t="shared" si="96"/>
        <v>63.068932106385809</v>
      </c>
      <c r="BA186" s="643">
        <f t="shared" si="93"/>
        <v>0.86320940385245759</v>
      </c>
      <c r="BC186" s="11">
        <v>43272</v>
      </c>
      <c r="BD186" s="290">
        <f>[2]!FeuilCaduc*(1-Persistant)+Persistant</f>
        <v>0.95044712156663069</v>
      </c>
      <c r="BE186" s="291">
        <f>[2]!CroissVégét</f>
        <v>0.61078861238975013</v>
      </c>
      <c r="BF186" s="816">
        <f>1+[2]!Salcycl*Ksac</f>
        <v>1.0438058901958289</v>
      </c>
      <c r="BH186" s="1053">
        <f t="shared" si="94"/>
        <v>5.1144638692269563E-4</v>
      </c>
      <c r="BI186" s="11">
        <v>44368</v>
      </c>
      <c r="BJ186" s="726">
        <v>4.8402652970007324E-5</v>
      </c>
      <c r="BK186" s="726">
        <v>1.3314667884915067E-4</v>
      </c>
      <c r="BL186" s="726">
        <v>2.741909136849285E-4</v>
      </c>
      <c r="BM186" s="726">
        <v>5.120674085216198E-4</v>
      </c>
      <c r="BN186" s="726">
        <v>8.4766890169294404E-4</v>
      </c>
      <c r="BO186" s="727">
        <v>1.2665183740986903E-3</v>
      </c>
      <c r="BP186" s="726">
        <v>1.8256387849504335E-3</v>
      </c>
      <c r="BQ186" s="726">
        <v>2.6511382551179293E-3</v>
      </c>
      <c r="BR186" s="726">
        <v>3.935256522427065E-3</v>
      </c>
      <c r="BS186" s="726">
        <v>6.1842222001734009E-3</v>
      </c>
      <c r="BT186" s="726">
        <v>9.2504198914388405E-3</v>
      </c>
      <c r="BW186" s="1186">
        <f>'2018'!R\Max</f>
        <v>0</v>
      </c>
      <c r="BX186" s="1184">
        <f>'2019'!R\Max</f>
        <v>0.18153559478653403</v>
      </c>
      <c r="BY186" s="1184">
        <f>'2020'!R\Max</f>
        <v>0.86320940385245759</v>
      </c>
      <c r="BZ186" s="1184">
        <f>'2021'!R\Max</f>
        <v>0.59833120121373606</v>
      </c>
      <c r="CA186" s="1184">
        <f>'2022'!R\Max</f>
        <v>0.39244395372803348</v>
      </c>
      <c r="CB186" s="1184">
        <f>'2023'!R\Max</f>
        <v>0.39243749440860837</v>
      </c>
      <c r="CC186" s="1184">
        <f>'2024'!R\Max</f>
        <v>0.39242917148196849</v>
      </c>
      <c r="CD186" s="1184">
        <f>'2025'!R\Max</f>
        <v>0.39246314282268541</v>
      </c>
      <c r="CE186" s="1184">
        <f>'2026'!R\Max</f>
        <v>0.39245926579947404</v>
      </c>
      <c r="CF186" s="1185">
        <f>'2027'!R\Max</f>
        <v>0.39245485443983757</v>
      </c>
    </row>
    <row r="187" spans="1:84" s="6" customFormat="1" ht="11.25" x14ac:dyDescent="0.2">
      <c r="A187" s="11">
        <v>43273</v>
      </c>
      <c r="B187" s="380">
        <f>'2022'!Maxi_hp</f>
        <v>63.004166310746122</v>
      </c>
      <c r="C187" s="13">
        <f>'2022'!An_max</f>
        <v>2020</v>
      </c>
      <c r="D187" s="1062">
        <f t="shared" si="78"/>
        <v>1.0003942148256568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53">
        <f t="shared" si="81"/>
        <v>0.7857142857142857</v>
      </c>
      <c r="J187" s="746">
        <f t="shared" si="82"/>
        <v>62.979338921633143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55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53">
        <f t="shared" si="86"/>
        <v>0.8928571428571429</v>
      </c>
      <c r="AT187" s="769">
        <f t="shared" si="87"/>
        <v>62.954491440659126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53">
        <f t="shared" si="91"/>
        <v>0.39285714285714285</v>
      </c>
      <c r="AY187" s="769">
        <f t="shared" si="92"/>
        <v>63.04586727422263</v>
      </c>
      <c r="AZ187" s="746">
        <f t="shared" si="96"/>
        <v>63.000179357440878</v>
      </c>
      <c r="BA187" s="643">
        <f t="shared" si="93"/>
        <v>1.0003942148256568</v>
      </c>
      <c r="BC187" s="11">
        <v>43273</v>
      </c>
      <c r="BD187" s="290">
        <f>[2]!FeuilCaduc*(1-Persistant)+Persistant</f>
        <v>0.95382842739256313</v>
      </c>
      <c r="BE187" s="291">
        <f>[2]!CroissVégét</f>
        <v>0.62052607026992535</v>
      </c>
      <c r="BF187" s="816">
        <f>1+[2]!Salcycl*Ksac</f>
        <v>1.0442285534240705</v>
      </c>
      <c r="BH187" s="1053">
        <f t="shared" si="94"/>
        <v>5.1051791923148655E-4</v>
      </c>
      <c r="BI187" s="11">
        <v>44369</v>
      </c>
      <c r="BJ187" s="726">
        <v>4.8275944390968992E-5</v>
      </c>
      <c r="BK187" s="726">
        <v>1.3281927639795005E-4</v>
      </c>
      <c r="BL187" s="726">
        <v>2.7353734230516861E-4</v>
      </c>
      <c r="BM187" s="726">
        <v>5.1113822128306138E-4</v>
      </c>
      <c r="BN187" s="726">
        <v>8.4665175692214738E-4</v>
      </c>
      <c r="BO187" s="727">
        <v>1.265286716245217E-3</v>
      </c>
      <c r="BP187" s="726">
        <v>1.8236903002596166E-3</v>
      </c>
      <c r="BQ187" s="726">
        <v>2.6475979611464921E-3</v>
      </c>
      <c r="BR187" s="726">
        <v>3.929264589386347E-3</v>
      </c>
      <c r="BS187" s="726">
        <v>6.1597845094948523E-3</v>
      </c>
      <c r="BT187" s="726">
        <v>9.1918243982505848E-3</v>
      </c>
      <c r="BW187" s="1186">
        <f>'2018'!R\Max</f>
        <v>0</v>
      </c>
      <c r="BX187" s="1184">
        <f>'2019'!R\Max</f>
        <v>0.85929685041512638</v>
      </c>
      <c r="BY187" s="1184">
        <f>'2020'!R\Max</f>
        <v>1.0003942148256568</v>
      </c>
      <c r="BZ187" s="1184">
        <f>'2021'!R\Max</f>
        <v>0.6683924696792074</v>
      </c>
      <c r="CA187" s="1184">
        <f>'2022'!R\Max</f>
        <v>0.65728693509118419</v>
      </c>
      <c r="CB187" s="1184">
        <f>'2023'!R\Max</f>
        <v>0.65728081144170536</v>
      </c>
      <c r="CC187" s="1184">
        <f>'2024'!R\Max</f>
        <v>0.65727289609061668</v>
      </c>
      <c r="CD187" s="1184">
        <f>'2025'!R\Max</f>
        <v>0.657305162763549</v>
      </c>
      <c r="CE187" s="1184">
        <f>'2026'!R\Max</f>
        <v>0.65730148363150664</v>
      </c>
      <c r="CF187" s="1185">
        <f>'2027'!R\Max</f>
        <v>0.65729728916030994</v>
      </c>
    </row>
    <row r="188" spans="1:84" s="6" customFormat="1" ht="11.25" x14ac:dyDescent="0.2">
      <c r="A188" s="11">
        <v>43274</v>
      </c>
      <c r="B188" s="380">
        <f>'2022'!Maxi_hp</f>
        <v>55.386626209177535</v>
      </c>
      <c r="C188" s="13">
        <f>'2022'!An_max</f>
        <v>2019</v>
      </c>
      <c r="D188" s="1062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53">
        <f t="shared" si="81"/>
        <v>0.8571428571428571</v>
      </c>
      <c r="J188" s="746">
        <f t="shared" si="82"/>
        <v>62.903541691069087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55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53">
        <f t="shared" si="86"/>
        <v>0.9285714285714286</v>
      </c>
      <c r="AT188" s="769">
        <f t="shared" si="87"/>
        <v>62.887634293096404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53">
        <f t="shared" si="91"/>
        <v>0.42857142857142855</v>
      </c>
      <c r="AY188" s="769">
        <f t="shared" si="92"/>
        <v>62.970535276883403</v>
      </c>
      <c r="AZ188" s="746">
        <f t="shared" si="96"/>
        <v>62.929084784989904</v>
      </c>
      <c r="BA188" s="643">
        <f t="shared" si="93"/>
        <v>0.88050091807535236</v>
      </c>
      <c r="BC188" s="11">
        <v>43274</v>
      </c>
      <c r="BD188" s="290">
        <f>[2]!FeuilCaduc*(1-Persistant)+Persistant</f>
        <v>0.95707012071897468</v>
      </c>
      <c r="BE188" s="291">
        <f>[2]!CroissVégét</f>
        <v>0.6301672999323692</v>
      </c>
      <c r="BF188" s="816">
        <f>1+[2]!Salcycl*Ksac</f>
        <v>1.0446337650898718</v>
      </c>
      <c r="BH188" s="1053">
        <f t="shared" si="94"/>
        <v>5.1092599418697988E-4</v>
      </c>
      <c r="BI188" s="11">
        <v>44370</v>
      </c>
      <c r="BJ188" s="726">
        <v>4.8353403645661677E-5</v>
      </c>
      <c r="BK188" s="726">
        <v>1.3301120313511801E-4</v>
      </c>
      <c r="BL188" s="726">
        <v>2.7391192655484159E-4</v>
      </c>
      <c r="BM188" s="726">
        <v>5.1154638390123912E-4</v>
      </c>
      <c r="BN188" s="726">
        <v>8.4680640515369322E-4</v>
      </c>
      <c r="BO188" s="727">
        <v>1.2652297014667511E-3</v>
      </c>
      <c r="BP188" s="726">
        <v>1.8237812116328363E-3</v>
      </c>
      <c r="BQ188" s="726">
        <v>2.6484407424858772E-3</v>
      </c>
      <c r="BR188" s="726">
        <v>3.931252429408106E-3</v>
      </c>
      <c r="BS188" s="726">
        <v>6.1779298020036028E-3</v>
      </c>
      <c r="BT188" s="726">
        <v>9.241007660876828E-3</v>
      </c>
      <c r="BW188" s="1186">
        <f>'2018'!R\Max</f>
        <v>0</v>
      </c>
      <c r="BX188" s="1184">
        <f>'2019'!R\Max</f>
        <v>0.88050091807535236</v>
      </c>
      <c r="BY188" s="1184">
        <f>'2020'!R\Max</f>
        <v>0.79973924184876477</v>
      </c>
      <c r="BZ188" s="1184">
        <f>'2021'!R\Max</f>
        <v>0.38210299658702268</v>
      </c>
      <c r="CA188" s="1184">
        <f>'2022'!R\Max</f>
        <v>0.7029509719839292</v>
      </c>
      <c r="CB188" s="1184">
        <f>'2023'!R\Max</f>
        <v>0.70294526784577016</v>
      </c>
      <c r="CC188" s="1184">
        <f>'2024'!R\Max</f>
        <v>0.70293786517258805</v>
      </c>
      <c r="CD188" s="1184">
        <f>'2025'!R\Max</f>
        <v>0.70296796122990812</v>
      </c>
      <c r="CE188" s="1184">
        <f>'2026'!R\Max</f>
        <v>0.70296453766801126</v>
      </c>
      <c r="CF188" s="1185">
        <f>'2027'!R\Max</f>
        <v>0.70296062576639806</v>
      </c>
    </row>
    <row r="189" spans="1:84" s="6" customFormat="1" ht="11.25" x14ac:dyDescent="0.2">
      <c r="A189" s="11">
        <v>43275</v>
      </c>
      <c r="B189" s="380">
        <f>'2022'!Maxi_hp</f>
        <v>62.031075143124923</v>
      </c>
      <c r="C189" s="13">
        <f>'2022'!An_max</f>
        <v>2020</v>
      </c>
      <c r="D189" s="1062">
        <f t="shared" si="78"/>
        <v>0.98733328227196848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53">
        <f t="shared" si="81"/>
        <v>0.9285714285714286</v>
      </c>
      <c r="J189" s="746">
        <f t="shared" si="82"/>
        <v>62.826885568350555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55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53">
        <f t="shared" si="86"/>
        <v>0.9642857142857143</v>
      </c>
      <c r="AT189" s="769">
        <f t="shared" si="87"/>
        <v>62.819354605688048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53">
        <f t="shared" si="91"/>
        <v>0.4642857142857143</v>
      </c>
      <c r="AY189" s="769">
        <f t="shared" si="92"/>
        <v>62.892250838064186</v>
      </c>
      <c r="AZ189" s="746">
        <f t="shared" si="96"/>
        <v>62.855802721876117</v>
      </c>
      <c r="BA189" s="643">
        <f t="shared" si="93"/>
        <v>0.98733328227196848</v>
      </c>
      <c r="BC189" s="11">
        <v>43275</v>
      </c>
      <c r="BD189" s="290">
        <f>[2]!FeuilCaduc*(1-Persistant)+Persistant</f>
        <v>0.96017199524755636</v>
      </c>
      <c r="BE189" s="291">
        <f>[2]!CroissVégét</f>
        <v>0.63970570469545396</v>
      </c>
      <c r="BF189" s="816">
        <f>1+[2]!Salcycl*Ksac</f>
        <v>1.0450214994059446</v>
      </c>
      <c r="BH189" s="1053">
        <f t="shared" si="94"/>
        <v>5.1266380339479449E-4</v>
      </c>
      <c r="BI189" s="11">
        <v>44371</v>
      </c>
      <c r="BJ189" s="726">
        <v>4.8634268808055712E-5</v>
      </c>
      <c r="BK189" s="726">
        <v>1.3372042717414706E-4</v>
      </c>
      <c r="BL189" s="726">
        <v>2.7531054466874139E-4</v>
      </c>
      <c r="BM189" s="726">
        <v>5.1328508094945898E-4</v>
      </c>
      <c r="BN189" s="726">
        <v>8.4812314162974309E-4</v>
      </c>
      <c r="BO189" s="727">
        <v>1.2663337018630507E-3</v>
      </c>
      <c r="BP189" s="726">
        <v>1.8258913509084746E-3</v>
      </c>
      <c r="BQ189" s="726">
        <v>2.6536351596754357E-3</v>
      </c>
      <c r="BR189" s="726">
        <v>3.9411711440383987E-3</v>
      </c>
      <c r="BS189" s="726">
        <v>6.2385357563512385E-3</v>
      </c>
      <c r="BT189" s="726">
        <v>9.3977199789121568E-3</v>
      </c>
      <c r="BW189" s="1186">
        <f>'2018'!R\Max</f>
        <v>0</v>
      </c>
      <c r="BX189" s="1184">
        <f>'2019'!R\Max</f>
        <v>0.66648248150448286</v>
      </c>
      <c r="BY189" s="1184">
        <f>'2020'!R\Max</f>
        <v>0.98733328227196848</v>
      </c>
      <c r="BZ189" s="1184">
        <f>'2021'!R\Max</f>
        <v>0.61904849438383558</v>
      </c>
      <c r="CA189" s="1184">
        <f>'2022'!R\Max</f>
        <v>0.67272281502187636</v>
      </c>
      <c r="CB189" s="1184">
        <f>'2023'!R\Max</f>
        <v>0.67271676293738536</v>
      </c>
      <c r="CC189" s="1184">
        <f>'2024'!R\Max</f>
        <v>0.67270887024702397</v>
      </c>
      <c r="CD189" s="1184">
        <f>'2025'!R\Max</f>
        <v>0.67274082711487548</v>
      </c>
      <c r="CE189" s="1184">
        <f>'2026'!R\Max</f>
        <v>0.67273720579666296</v>
      </c>
      <c r="CF189" s="1185">
        <f>'2027'!R\Max</f>
        <v>0.6727330573820699</v>
      </c>
    </row>
    <row r="190" spans="1:84" s="6" customFormat="1" ht="11.25" x14ac:dyDescent="0.2">
      <c r="A190" s="11">
        <v>43276</v>
      </c>
      <c r="B190" s="380">
        <f>'2022'!Maxi_hp</f>
        <v>59.517932616441065</v>
      </c>
      <c r="C190" s="13">
        <f>'2022'!An_max</f>
        <v>2021</v>
      </c>
      <c r="D190" s="1062" t="str">
        <f t="shared" si="78"/>
        <v/>
      </c>
      <c r="E190" s="1057">
        <f>Z$13/10</f>
        <v>62.749799999999993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53">
        <f t="shared" si="81"/>
        <v>1</v>
      </c>
      <c r="J190" s="746">
        <f t="shared" si="82"/>
        <v>62.749799999594686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55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53">
        <f t="shared" si="86"/>
        <v>1</v>
      </c>
      <c r="AT190" s="769">
        <f t="shared" si="87"/>
        <v>62.749799999967216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53">
        <f t="shared" si="91"/>
        <v>0.5</v>
      </c>
      <c r="AY190" s="769">
        <f t="shared" si="92"/>
        <v>62.811175000295044</v>
      </c>
      <c r="AZ190" s="746">
        <f t="shared" si="96"/>
        <v>62.78048750013113</v>
      </c>
      <c r="BA190" s="643">
        <f t="shared" si="93"/>
        <v>0.94849597316366752</v>
      </c>
      <c r="BC190" s="11">
        <v>43276</v>
      </c>
      <c r="BD190" s="290">
        <f>[2]!FeuilCaduc*(1-Persistant)+Persistant</f>
        <v>0.96313424118963542</v>
      </c>
      <c r="BE190" s="291">
        <f>[2]!CroissVégét</f>
        <v>0.64913499947740572</v>
      </c>
      <c r="BF190" s="816">
        <f>1+[2]!Salcycl*Ksac</f>
        <v>1.0453917801487045</v>
      </c>
      <c r="BH190" s="1053">
        <f t="shared" si="94"/>
        <v>5.157296309847378E-4</v>
      </c>
      <c r="BI190" s="11">
        <v>44372</v>
      </c>
      <c r="BJ190" s="726">
        <v>4.9118259958947888E-5</v>
      </c>
      <c r="BK190" s="726">
        <v>1.3494624250864803E-4</v>
      </c>
      <c r="BL190" s="726">
        <v>2.777318052559674E-4</v>
      </c>
      <c r="BM190" s="726">
        <v>5.1635259570819618E-4</v>
      </c>
      <c r="BN190" s="726">
        <v>8.5060070115794504E-4</v>
      </c>
      <c r="BO190" s="727">
        <v>1.2685976988305208E-3</v>
      </c>
      <c r="BP190" s="726">
        <v>1.8300187260060451E-3</v>
      </c>
      <c r="BQ190" s="726">
        <v>2.6631761690545739E-3</v>
      </c>
      <c r="BR190" s="726">
        <v>3.9590110168964705E-3</v>
      </c>
      <c r="BS190" s="726">
        <v>6.341541647390812E-3</v>
      </c>
      <c r="BT190" s="726">
        <v>9.6618038202938242E-3</v>
      </c>
      <c r="BW190" s="1186">
        <f>'2018'!R\Max</f>
        <v>0</v>
      </c>
      <c r="BX190" s="1184">
        <f>'2019'!R\Max</f>
        <v>0.89734874605712189</v>
      </c>
      <c r="BY190" s="1184">
        <f>'2020'!R\Max</f>
        <v>0.92226023341908037</v>
      </c>
      <c r="BZ190" s="1184">
        <f>'2021'!R\Max</f>
        <v>0.94849597316366752</v>
      </c>
      <c r="CA190" s="1184">
        <f>'2022'!R\Max</f>
        <v>0.59280545829364717</v>
      </c>
      <c r="CB190" s="1184">
        <f>'2023'!R\Max</f>
        <v>0.59279877206489695</v>
      </c>
      <c r="CC190" s="1184">
        <f>'2024'!R\Max</f>
        <v>0.59279000181692443</v>
      </c>
      <c r="CD190" s="1184">
        <f>'2025'!R\Max</f>
        <v>0.59282531639502878</v>
      </c>
      <c r="CE190" s="1184">
        <f>'2026'!R\Max</f>
        <v>0.59282133588098218</v>
      </c>
      <c r="CF190" s="1185">
        <f>'2027'!R\Max</f>
        <v>0.59281676295393515</v>
      </c>
    </row>
    <row r="191" spans="1:84" s="6" customFormat="1" ht="11.25" x14ac:dyDescent="0.2">
      <c r="A191" s="11">
        <v>43277</v>
      </c>
      <c r="B191" s="380">
        <f>'2022'!Maxi_hp</f>
        <v>61.557220620707511</v>
      </c>
      <c r="C191" s="13">
        <f>'2022'!An_max</f>
        <v>2019</v>
      </c>
      <c r="D191" s="1062">
        <f t="shared" si="78"/>
        <v>0.98221811043825213</v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53">
        <f t="shared" si="81"/>
        <v>0.9285714285714286</v>
      </c>
      <c r="J191" s="746">
        <f t="shared" si="82"/>
        <v>62.67164081635751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55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53">
        <f t="shared" si="86"/>
        <v>0.9642857142857143</v>
      </c>
      <c r="AT191" s="769">
        <f t="shared" si="87"/>
        <v>62.677981855647111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53">
        <f t="shared" si="91"/>
        <v>0.5357142857142857</v>
      </c>
      <c r="AY191" s="769">
        <f t="shared" si="92"/>
        <v>62.727468804682459</v>
      </c>
      <c r="AZ191" s="746">
        <f t="shared" si="96"/>
        <v>62.702725330164782</v>
      </c>
      <c r="BA191" s="643">
        <f t="shared" si="93"/>
        <v>0.98221811043825213</v>
      </c>
      <c r="BC191" s="11">
        <v>43277</v>
      </c>
      <c r="BD191" s="290">
        <f>[2]!FeuilCaduc*(1-Persistant)+Persistant</f>
        <v>0.96595743665661438</v>
      </c>
      <c r="BE191" s="291">
        <f>[2]!CroissVégét</f>
        <v>0.65844922415907026</v>
      </c>
      <c r="BF191" s="816">
        <f>1+[2]!Salcycl*Ksac</f>
        <v>1.0457446795820768</v>
      </c>
      <c r="BH191" s="1053">
        <f t="shared" si="94"/>
        <v>5.2012176986144132E-4</v>
      </c>
      <c r="BI191" s="11">
        <v>44373</v>
      </c>
      <c r="BJ191" s="726">
        <v>4.9805098521073225E-5</v>
      </c>
      <c r="BK191" s="726">
        <v>1.3668794654512773E-4</v>
      </c>
      <c r="BL191" s="726">
        <v>2.8117432368185126E-4</v>
      </c>
      <c r="BM191" s="726">
        <v>5.207472202380342E-4</v>
      </c>
      <c r="BN191" s="726">
        <v>8.542378262188314E-4</v>
      </c>
      <c r="BO191" s="727">
        <v>1.2720206814359153E-3</v>
      </c>
      <c r="BP191" s="726">
        <v>1.8361613581811789E-3</v>
      </c>
      <c r="BQ191" s="726">
        <v>2.6770587556894398E-3</v>
      </c>
      <c r="BR191" s="726">
        <v>3.9847623839464573E-3</v>
      </c>
      <c r="BS191" s="726">
        <v>6.4868870300603641E-3</v>
      </c>
      <c r="BT191" s="726">
        <v>1.003310236218786E-2</v>
      </c>
      <c r="BW191" s="1186">
        <f>'2018'!R\Max</f>
        <v>0</v>
      </c>
      <c r="BX191" s="1184">
        <f>'2019'!R\Max</f>
        <v>0.98221811043825213</v>
      </c>
      <c r="BY191" s="1184">
        <f>'2020'!R\Max</f>
        <v>0.86302321993627706</v>
      </c>
      <c r="BZ191" s="1184">
        <f>'2021'!R\Max</f>
        <v>0.96703119956588346</v>
      </c>
      <c r="CA191" s="1184">
        <f>'2022'!R\Max</f>
        <v>0.19916537394539693</v>
      </c>
      <c r="CB191" s="1184">
        <f>'2023'!R\Max</f>
        <v>0.19916147722874933</v>
      </c>
      <c r="CC191" s="1184">
        <f>'2024'!R\Max</f>
        <v>0.19915633176720574</v>
      </c>
      <c r="CD191" s="1184">
        <f>'2025'!R\Max</f>
        <v>0.19917690839297814</v>
      </c>
      <c r="CE191" s="1184">
        <f>'2026'!R\Max</f>
        <v>0.19917460485691044</v>
      </c>
      <c r="CF191" s="1185">
        <f>'2027'!R\Max</f>
        <v>0.19917195008615443</v>
      </c>
    </row>
    <row r="192" spans="1:84" s="6" customFormat="1" ht="11.25" x14ac:dyDescent="0.2">
      <c r="A192" s="11">
        <v>43278</v>
      </c>
      <c r="B192" s="380">
        <f>'2022'!Maxi_hp</f>
        <v>61.321800192772599</v>
      </c>
      <c r="C192" s="13">
        <f>'2022'!An_max</f>
        <v>2019</v>
      </c>
      <c r="D192" s="1062">
        <f t="shared" si="78"/>
        <v>0.97971485244424861</v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53">
        <f t="shared" si="81"/>
        <v>0.8571428571428571</v>
      </c>
      <c r="J192" s="746">
        <f t="shared" si="82"/>
        <v>62.591477550619416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55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53">
        <f t="shared" si="86"/>
        <v>0.9285714285714286</v>
      </c>
      <c r="AT192" s="769">
        <f t="shared" si="87"/>
        <v>62.602875765279997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53">
        <f t="shared" si="91"/>
        <v>0.5714285714285714</v>
      </c>
      <c r="AY192" s="769">
        <f t="shared" si="92"/>
        <v>62.641293294887461</v>
      </c>
      <c r="AZ192" s="746">
        <f t="shared" si="96"/>
        <v>62.622084530083725</v>
      </c>
      <c r="BA192" s="643">
        <f t="shared" si="93"/>
        <v>0.97971485244424861</v>
      </c>
      <c r="BC192" s="11">
        <v>43278</v>
      </c>
      <c r="BD192" s="290">
        <f>[2]!FeuilCaduc*(1-Persistant)+Persistant</f>
        <v>0.96864253696018876</v>
      </c>
      <c r="BE192" s="291">
        <f>[2]!CroissVégét</f>
        <v>0.66764275499450454</v>
      </c>
      <c r="BF192" s="816">
        <f>1+[2]!Salcycl*Ksac</f>
        <v>1.0460803171200237</v>
      </c>
      <c r="BH192" s="1053">
        <f t="shared" si="94"/>
        <v>5.2564323988284439E-4</v>
      </c>
      <c r="BI192" s="11">
        <v>44374</v>
      </c>
      <c r="BJ192" s="726">
        <v>5.0512738727132593E-5</v>
      </c>
      <c r="BK192" s="726">
        <v>1.3887076530529207E-4</v>
      </c>
      <c r="BL192" s="726">
        <v>2.8548471511741404E-4</v>
      </c>
      <c r="BM192" s="726">
        <v>5.262718602851886E-4</v>
      </c>
      <c r="BN192" s="726">
        <v>8.5922460542344772E-4</v>
      </c>
      <c r="BO192" s="727">
        <v>1.2776629804650509E-3</v>
      </c>
      <c r="BP192" s="726">
        <v>1.8467324781923798E-3</v>
      </c>
      <c r="BQ192" s="726">
        <v>2.7085411787783177E-3</v>
      </c>
      <c r="BR192" s="726">
        <v>4.0425377280951464E-3</v>
      </c>
      <c r="BS192" s="726">
        <v>6.7088317533736969E-3</v>
      </c>
      <c r="BT192" s="726">
        <v>1.0546054513391629E-2</v>
      </c>
      <c r="BW192" s="1186">
        <f>'2018'!R\Max</f>
        <v>0</v>
      </c>
      <c r="BX192" s="1184">
        <f>'2019'!R\Max</f>
        <v>0.97971485244424861</v>
      </c>
      <c r="BY192" s="1184">
        <f>'2020'!R\Max</f>
        <v>0.81750407194984576</v>
      </c>
      <c r="BZ192" s="1184">
        <f>'2021'!R\Max</f>
        <v>0.15246273190129417</v>
      </c>
      <c r="CA192" s="1184">
        <f>'2022'!R\Max</f>
        <v>0.21770467793043244</v>
      </c>
      <c r="CB192" s="1184">
        <f>'2023'!R\Max</f>
        <v>0.21770036380966287</v>
      </c>
      <c r="CC192" s="1184">
        <f>'2024'!R\Max</f>
        <v>0.2176945796065119</v>
      </c>
      <c r="CD192" s="1184">
        <f>'2025'!R\Max</f>
        <v>0.21771738241704586</v>
      </c>
      <c r="CE192" s="1184">
        <f>'2026'!R\Max</f>
        <v>0.21771485829941381</v>
      </c>
      <c r="CF192" s="1185">
        <f>'2027'!R\Max</f>
        <v>0.21771193727624261</v>
      </c>
    </row>
    <row r="193" spans="1:84" s="6" customFormat="1" ht="11.25" x14ac:dyDescent="0.2">
      <c r="A193" s="11">
        <v>43279</v>
      </c>
      <c r="B193" s="380">
        <f>'2022'!Maxi_hp</f>
        <v>61.869999951616521</v>
      </c>
      <c r="C193" s="13">
        <f>'2022'!An_max</f>
        <v>2022</v>
      </c>
      <c r="D193" s="1062">
        <f t="shared" si="78"/>
        <v>0.98977255947093934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53">
        <f t="shared" si="81"/>
        <v>0.7857142857142857</v>
      </c>
      <c r="J193" s="746">
        <f t="shared" si="82"/>
        <v>62.509310204243022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55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53">
        <f t="shared" si="86"/>
        <v>0.8928571428571429</v>
      </c>
      <c r="AT193" s="769">
        <f t="shared" si="87"/>
        <v>62.524575669478097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53">
        <f t="shared" si="91"/>
        <v>0.6071428571428571</v>
      </c>
      <c r="AY193" s="769">
        <f t="shared" si="92"/>
        <v>62.552809511604053</v>
      </c>
      <c r="AZ193" s="746">
        <f t="shared" si="96"/>
        <v>62.538692590541075</v>
      </c>
      <c r="BA193" s="643">
        <f t="shared" si="93"/>
        <v>0.98977255947093934</v>
      </c>
      <c r="BC193" s="11">
        <v>43279</v>
      </c>
      <c r="BD193" s="290">
        <f>[2]!FeuilCaduc*(1-Persistant)+Persistant</f>
        <v>0.97119086190502157</v>
      </c>
      <c r="BE193" s="291">
        <f>[2]!CroissVégét</f>
        <v>0.67671031405616355</v>
      </c>
      <c r="BF193" s="816">
        <f>1+[2]!Salcycl*Ksac</f>
        <v>1.0463988577381278</v>
      </c>
      <c r="BH193" s="1053">
        <f t="shared" si="94"/>
        <v>5.3162873512375812E-4</v>
      </c>
      <c r="BI193" s="11">
        <v>44375</v>
      </c>
      <c r="BJ193" s="726">
        <v>5.1139625450267349E-5</v>
      </c>
      <c r="BK193" s="726">
        <v>1.4123584692190373E-4</v>
      </c>
      <c r="BL193" s="726">
        <v>2.9015057320515091E-4</v>
      </c>
      <c r="BM193" s="726">
        <v>5.3226080970637335E-4</v>
      </c>
      <c r="BN193" s="726">
        <v>8.6497924746501776E-4</v>
      </c>
      <c r="BO193" s="727">
        <v>1.2849422225644095E-3</v>
      </c>
      <c r="BP193" s="726">
        <v>1.8607182011499595E-3</v>
      </c>
      <c r="BQ193" s="726">
        <v>2.7554257211678764E-3</v>
      </c>
      <c r="BR193" s="726">
        <v>4.1283313720786342E-3</v>
      </c>
      <c r="BS193" s="726">
        <v>6.9860659211358478E-3</v>
      </c>
      <c r="BT193" s="726">
        <v>1.114677002927749E-2</v>
      </c>
      <c r="BW193" s="1186">
        <f>'2018'!R\Max</f>
        <v>0</v>
      </c>
      <c r="BX193" s="1184">
        <f>'2019'!R\Max</f>
        <v>0.93239407057263701</v>
      </c>
      <c r="BY193" s="1184">
        <f>'2020'!R\Max</f>
        <v>0.71162761313076572</v>
      </c>
      <c r="BZ193" s="1184">
        <f>'2021'!R\Max</f>
        <v>0.60960624719421619</v>
      </c>
      <c r="CA193" s="1184">
        <f>'2022'!R\Max</f>
        <v>0.98977255947093934</v>
      </c>
      <c r="CB193" s="1184">
        <f>'2023'!R\Max</f>
        <v>0.9897722683823067</v>
      </c>
      <c r="CC193" s="1184">
        <f>'2024'!R\Max</f>
        <v>0.98977186900504255</v>
      </c>
      <c r="CD193" s="1184">
        <f>'2025'!R\Max</f>
        <v>0.98977341137293318</v>
      </c>
      <c r="CE193" s="1184">
        <f>'2026'!R\Max</f>
        <v>0.98977324318512427</v>
      </c>
      <c r="CF193" s="1185">
        <f>'2027'!R\Max</f>
        <v>0.98977304758267382</v>
      </c>
    </row>
    <row r="194" spans="1:84" s="6" customFormat="1" ht="11.25" x14ac:dyDescent="0.2">
      <c r="A194" s="11">
        <v>43280</v>
      </c>
      <c r="B194" s="380">
        <f>'2022'!Maxi_hp</f>
        <v>58.745144461778843</v>
      </c>
      <c r="C194" s="13">
        <f>'2022'!An_max</f>
        <v>2022</v>
      </c>
      <c r="D194" s="1062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53">
        <f t="shared" si="81"/>
        <v>0.7142857142857143</v>
      </c>
      <c r="J194" s="746">
        <f t="shared" si="82"/>
        <v>62.425138775791446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55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53">
        <f t="shared" si="86"/>
        <v>0.8571428571428571</v>
      </c>
      <c r="AT194" s="769">
        <f t="shared" si="87"/>
        <v>62.443175510636401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53">
        <f t="shared" si="91"/>
        <v>0.6428571428571429</v>
      </c>
      <c r="AY194" s="769">
        <f t="shared" si="92"/>
        <v>62.462178498612978</v>
      </c>
      <c r="AZ194" s="746">
        <f t="shared" si="96"/>
        <v>62.45267700462469</v>
      </c>
      <c r="BA194" s="643">
        <f t="shared" si="93"/>
        <v>0.94104948124777399</v>
      </c>
      <c r="BC194" s="11">
        <v>43280</v>
      </c>
      <c r="BD194" s="290">
        <f>[2]!FeuilCaduc*(1-Persistant)+Persistant</f>
        <v>0.97360408117219543</v>
      </c>
      <c r="BE194" s="291">
        <f>[2]!CroissVégét</f>
        <v>0.6856469767197082</v>
      </c>
      <c r="BF194" s="816">
        <f>1+[2]!Salcycl*Ksac</f>
        <v>1.0467005101465245</v>
      </c>
      <c r="BH194" s="1053">
        <f t="shared" si="94"/>
        <v>5.3807790559782175E-4</v>
      </c>
      <c r="BI194" s="11">
        <v>44376</v>
      </c>
      <c r="BJ194" s="726">
        <v>5.1685913665448729E-5</v>
      </c>
      <c r="BK194" s="726">
        <v>1.4378301391629702E-4</v>
      </c>
      <c r="BL194" s="726">
        <v>2.9517156080989526E-4</v>
      </c>
      <c r="BM194" s="726">
        <v>5.3871371848158967E-4</v>
      </c>
      <c r="BN194" s="726">
        <v>8.715011424002473E-4</v>
      </c>
      <c r="BO194" s="727">
        <v>1.2938567493788707E-3</v>
      </c>
      <c r="BP194" s="726">
        <v>1.8781145752870027E-3</v>
      </c>
      <c r="BQ194" s="726">
        <v>2.8176911279452635E-3</v>
      </c>
      <c r="BR194" s="726">
        <v>4.2421041289599191E-3</v>
      </c>
      <c r="BS194" s="726">
        <v>7.3185120893582822E-3</v>
      </c>
      <c r="BT194" s="726">
        <v>1.1835126866868105E-2</v>
      </c>
      <c r="BW194" s="1186">
        <f>'2018'!R\Max</f>
        <v>0</v>
      </c>
      <c r="BX194" s="1184">
        <f>'2019'!R\Max</f>
        <v>0.9333264278079304</v>
      </c>
      <c r="BY194" s="1184">
        <f>'2020'!R\Max</f>
        <v>0.81636969242607305</v>
      </c>
      <c r="BZ194" s="1184">
        <f>'2021'!R\Max</f>
        <v>0.70899624581198384</v>
      </c>
      <c r="CA194" s="1184">
        <f>'2022'!R\Max</f>
        <v>0.94104948124777399</v>
      </c>
      <c r="CB194" s="1184">
        <f>'2023'!R\Max</f>
        <v>0.94104785631016341</v>
      </c>
      <c r="CC194" s="1184">
        <f>'2024'!R\Max</f>
        <v>0.94104555886429986</v>
      </c>
      <c r="CD194" s="1184">
        <f>'2025'!R\Max</f>
        <v>0.94105420344588897</v>
      </c>
      <c r="CE194" s="1184">
        <f>'2026'!R\Max</f>
        <v>0.94105327800614125</v>
      </c>
      <c r="CF194" s="1185">
        <f>'2027'!R\Max</f>
        <v>0.94105219551038866</v>
      </c>
    </row>
    <row r="195" spans="1:84" s="6" customFormat="1" ht="11.25" x14ac:dyDescent="0.2">
      <c r="A195" s="11">
        <v>43281</v>
      </c>
      <c r="B195" s="380">
        <f>'2022'!Maxi_hp</f>
        <v>52.467807817786799</v>
      </c>
      <c r="C195" s="13">
        <f>'2022'!An_max</f>
        <v>2019</v>
      </c>
      <c r="D195" s="1062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53">
        <f t="shared" si="81"/>
        <v>0.6428571428571429</v>
      </c>
      <c r="J195" s="746">
        <f t="shared" si="82"/>
        <v>62.338963265105022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55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53">
        <f t="shared" si="86"/>
        <v>0.8214285714285714</v>
      </c>
      <c r="AT195" s="769">
        <f t="shared" si="87"/>
        <v>62.35876922835596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53">
        <f t="shared" si="91"/>
        <v>0.6785714285714286</v>
      </c>
      <c r="AY195" s="769">
        <f t="shared" si="92"/>
        <v>62.369561297313439</v>
      </c>
      <c r="AZ195" s="746">
        <f t="shared" si="96"/>
        <v>62.364165262834703</v>
      </c>
      <c r="BA195" s="643">
        <f t="shared" si="93"/>
        <v>0.84165351923900666</v>
      </c>
      <c r="BC195" s="11">
        <v>43281</v>
      </c>
      <c r="BD195" s="290">
        <f>[2]!FeuilCaduc*(1-Persistant)+Persistant</f>
        <v>0.97588419790656256</v>
      </c>
      <c r="BE195" s="291">
        <f>[2]!CroissVégét</f>
        <v>0.69444817721081942</v>
      </c>
      <c r="BF195" s="816">
        <f>1+[2]!Salcycl*Ksac</f>
        <v>1.0469855247383204</v>
      </c>
      <c r="BH195" s="1053">
        <f t="shared" si="94"/>
        <v>5.4499042405267814E-4</v>
      </c>
      <c r="BI195" s="11">
        <v>44377</v>
      </c>
      <c r="BJ195" s="726">
        <v>5.2151758503815762E-5</v>
      </c>
      <c r="BK195" s="726">
        <v>1.4651209769470628E-4</v>
      </c>
      <c r="BL195" s="726">
        <v>3.0054735826758261E-4</v>
      </c>
      <c r="BM195" s="726">
        <v>5.4563025933861749E-4</v>
      </c>
      <c r="BN195" s="726">
        <v>8.7878970807205318E-4</v>
      </c>
      <c r="BO195" s="727">
        <v>1.3044049493433055E-3</v>
      </c>
      <c r="BP195" s="726">
        <v>1.8989177426582157E-3</v>
      </c>
      <c r="BQ195" s="726">
        <v>2.8953165225704541E-3</v>
      </c>
      <c r="BR195" s="726">
        <v>4.3838175002821429E-3</v>
      </c>
      <c r="BS195" s="726">
        <v>7.7060944266259717E-3</v>
      </c>
      <c r="BT195" s="726">
        <v>1.2611005922965825E-2</v>
      </c>
      <c r="BW195" s="1186">
        <f>'2018'!R\Max</f>
        <v>0</v>
      </c>
      <c r="BX195" s="1184">
        <f>'2019'!R\Max</f>
        <v>0.84165351923900666</v>
      </c>
      <c r="BY195" s="1184">
        <f>'2020'!R\Max</f>
        <v>0.43561197877945995</v>
      </c>
      <c r="BZ195" s="1184">
        <f>'2021'!R\Max</f>
        <v>0.82237388173585169</v>
      </c>
      <c r="CA195" s="1184">
        <f>'2022'!R\Max</f>
        <v>0.23430912383715674</v>
      </c>
      <c r="CB195" s="1184">
        <f>'2023'!R\Max</f>
        <v>0.23430421700651985</v>
      </c>
      <c r="CC195" s="1184">
        <f>'2024'!R\Max</f>
        <v>0.23429702402777269</v>
      </c>
      <c r="CD195" s="1184">
        <f>'2025'!R\Max</f>
        <v>0.23432327312416831</v>
      </c>
      <c r="CE195" s="1184">
        <f>'2026'!R\Max</f>
        <v>0.23432052338184417</v>
      </c>
      <c r="CF195" s="1185">
        <f>'2027'!R\Max</f>
        <v>0.23431728583594705</v>
      </c>
    </row>
    <row r="196" spans="1:84" s="6" customFormat="1" ht="11.25" x14ac:dyDescent="0.2">
      <c r="A196" s="11">
        <v>43282</v>
      </c>
      <c r="B196" s="380">
        <f>'2022'!Maxi_hp</f>
        <v>60.470455322225597</v>
      </c>
      <c r="C196" s="13">
        <f>'2022'!An_max</f>
        <v>2020</v>
      </c>
      <c r="D196" s="1062">
        <f t="shared" si="78"/>
        <v>0.97140070781075027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53">
        <f t="shared" si="81"/>
        <v>0.5714285714285714</v>
      </c>
      <c r="J196" s="746">
        <f t="shared" si="82"/>
        <v>62.250783673514206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55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53">
        <f t="shared" si="86"/>
        <v>0.7857142857142857</v>
      </c>
      <c r="AT196" s="769">
        <f t="shared" si="87"/>
        <v>62.271450765617189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53">
        <f t="shared" si="91"/>
        <v>0.7142857142857143</v>
      </c>
      <c r="AY196" s="769">
        <f t="shared" si="92"/>
        <v>62.275118950115782</v>
      </c>
      <c r="AZ196" s="746">
        <f t="shared" si="96"/>
        <v>62.273284857866486</v>
      </c>
      <c r="BA196" s="643">
        <f t="shared" si="93"/>
        <v>0.97140070781075027</v>
      </c>
      <c r="BC196" s="11">
        <v>43282</v>
      </c>
      <c r="BD196" s="290">
        <f>[2]!FeuilCaduc*(1-Persistant)+Persistant</f>
        <v>0.97803353063491905</v>
      </c>
      <c r="BE196" s="291">
        <f>[2]!CroissVégét</f>
        <v>0.70310971225270513</v>
      </c>
      <c r="BF196" s="816">
        <f>1+[2]!Salcycl*Ksac</f>
        <v>1.0472541913293649</v>
      </c>
      <c r="BH196" s="1053">
        <f t="shared" si="94"/>
        <v>5.5236598872007833E-4</v>
      </c>
      <c r="BI196" s="11">
        <v>44378</v>
      </c>
      <c r="BJ196" s="726">
        <v>5.2537314781804147E-5</v>
      </c>
      <c r="BK196" s="726">
        <v>1.4942293962955466E-4</v>
      </c>
      <c r="BL196" s="726">
        <v>3.0627766549417993E-4</v>
      </c>
      <c r="BM196" s="726">
        <v>5.5301013050479983E-4</v>
      </c>
      <c r="BN196" s="726">
        <v>8.8684439463611168E-4</v>
      </c>
      <c r="BO196" s="727">
        <v>1.3165852673111761E-3</v>
      </c>
      <c r="BP196" s="726">
        <v>1.9231239592298961E-3</v>
      </c>
      <c r="BQ196" s="726">
        <v>2.9882814974831629E-3</v>
      </c>
      <c r="BR196" s="726">
        <v>4.5534338409094904E-3</v>
      </c>
      <c r="BS196" s="726">
        <v>8.1487390400380218E-3</v>
      </c>
      <c r="BT196" s="726">
        <v>1.3474291552480431E-2</v>
      </c>
      <c r="BW196" s="1186">
        <f>'2018'!R\Max</f>
        <v>0</v>
      </c>
      <c r="BX196" s="1184">
        <f>'2019'!R\Max</f>
        <v>0.31212144775783374</v>
      </c>
      <c r="BY196" s="1184">
        <f>'2020'!R\Max</f>
        <v>0.97140070781075027</v>
      </c>
      <c r="BZ196" s="1184">
        <f>'2021'!R\Max</f>
        <v>0.90106229389494918</v>
      </c>
      <c r="CA196" s="1184">
        <f>'2022'!R\Max</f>
        <v>0.84481110518093694</v>
      </c>
      <c r="CB196" s="1184">
        <f>'2023'!R\Max</f>
        <v>0.84480708915537894</v>
      </c>
      <c r="CC196" s="1184">
        <f>'2024'!R\Max</f>
        <v>0.84480095365471386</v>
      </c>
      <c r="CD196" s="1184">
        <f>'2025'!R\Max</f>
        <v>0.84482258663633647</v>
      </c>
      <c r="CE196" s="1184">
        <f>'2026'!R\Max</f>
        <v>0.84482037647404817</v>
      </c>
      <c r="CF196" s="1185">
        <f>'2027'!R\Max</f>
        <v>0.84481775486531219</v>
      </c>
    </row>
    <row r="197" spans="1:84" s="6" customFormat="1" ht="11.25" x14ac:dyDescent="0.2">
      <c r="A197" s="11">
        <v>43283</v>
      </c>
      <c r="B197" s="380">
        <f>'2022'!Maxi_hp</f>
        <v>58.590912235340006</v>
      </c>
      <c r="C197" s="13">
        <f>'2022'!An_max</f>
        <v>2022</v>
      </c>
      <c r="D197" s="1062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53">
        <f t="shared" si="81"/>
        <v>0.5</v>
      </c>
      <c r="J197" s="746">
        <f t="shared" si="82"/>
        <v>62.160600000061095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55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53">
        <f t="shared" si="86"/>
        <v>0.75</v>
      </c>
      <c r="AT197" s="769">
        <f t="shared" si="87"/>
        <v>62.181314062466846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53">
        <f t="shared" si="91"/>
        <v>0.75</v>
      </c>
      <c r="AY197" s="769">
        <f t="shared" si="92"/>
        <v>62.17901249974966</v>
      </c>
      <c r="AZ197" s="746">
        <f t="shared" si="96"/>
        <v>62.18016328110825</v>
      </c>
      <c r="BA197" s="643">
        <f t="shared" si="93"/>
        <v>0.94257314497096911</v>
      </c>
      <c r="BC197" s="11">
        <v>43283</v>
      </c>
      <c r="BD197" s="290">
        <f>[2]!FeuilCaduc*(1-Persistant)+Persistant</f>
        <v>0.98005469365460984</v>
      </c>
      <c r="BE197" s="291">
        <f>[2]!CroissVégét</f>
        <v>0.71162774286802644</v>
      </c>
      <c r="BF197" s="816">
        <f>1+[2]!Salcycl*Ksac</f>
        <v>1.0475068367068263</v>
      </c>
      <c r="BH197" s="1053">
        <f t="shared" si="94"/>
        <v>5.6020432607064284E-4</v>
      </c>
      <c r="BI197" s="11">
        <v>44379</v>
      </c>
      <c r="BJ197" s="726">
        <v>5.2842736530722466E-5</v>
      </c>
      <c r="BK197" s="726">
        <v>1.5251539214198036E-4</v>
      </c>
      <c r="BL197" s="726">
        <v>3.1236220409715931E-4</v>
      </c>
      <c r="BM197" s="726">
        <v>5.6085305846348627E-4</v>
      </c>
      <c r="BN197" s="726">
        <v>8.9566468909497412E-4</v>
      </c>
      <c r="BO197" s="727">
        <v>1.3303962141943712E-3</v>
      </c>
      <c r="BP197" s="726">
        <v>1.9507296149861794E-3</v>
      </c>
      <c r="BQ197" s="726">
        <v>3.0965662047339176E-3</v>
      </c>
      <c r="BR197" s="726">
        <v>4.7509165239043357E-3</v>
      </c>
      <c r="BS197" s="726">
        <v>8.6463743012098315E-3</v>
      </c>
      <c r="BT197" s="726">
        <v>1.4424872086855245E-2</v>
      </c>
      <c r="BW197" s="1186">
        <f>'2018'!R\Max</f>
        <v>0</v>
      </c>
      <c r="BX197" s="1184">
        <f>'2019'!R\Max</f>
        <v>0.5213202495278948</v>
      </c>
      <c r="BY197" s="1184">
        <f>'2020'!R\Max</f>
        <v>0.67295333980953931</v>
      </c>
      <c r="BZ197" s="1184">
        <f>'2021'!R\Max</f>
        <v>0.90797515713793797</v>
      </c>
      <c r="CA197" s="1184">
        <f>'2022'!R\Max</f>
        <v>0.94257314497096911</v>
      </c>
      <c r="CB197" s="1184">
        <f>'2023'!R\Max</f>
        <v>0.94257144320051056</v>
      </c>
      <c r="CC197" s="1184">
        <f>'2024'!R\Max</f>
        <v>0.94256872291802263</v>
      </c>
      <c r="CD197" s="1184">
        <f>'2025'!R\Max</f>
        <v>0.94257796601150545</v>
      </c>
      <c r="CE197" s="1184">
        <f>'2026'!R\Max</f>
        <v>0.94257704763112204</v>
      </c>
      <c r="CF197" s="1185">
        <f>'2027'!R\Max</f>
        <v>0.9425759493114988</v>
      </c>
    </row>
    <row r="198" spans="1:84" s="6" customFormat="1" ht="11.25" x14ac:dyDescent="0.2">
      <c r="A198" s="11">
        <v>43284</v>
      </c>
      <c r="B198" s="380">
        <f>'2022'!Maxi_hp</f>
        <v>53.763656051916264</v>
      </c>
      <c r="C198" s="13">
        <f>'2022'!An_max</f>
        <v>2019</v>
      </c>
      <c r="D198" s="1062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53">
        <f t="shared" si="81"/>
        <v>0.42857142857142855</v>
      </c>
      <c r="J198" s="746">
        <f t="shared" si="82"/>
        <v>62.068412244852098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55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53">
        <f t="shared" si="86"/>
        <v>0.7142857142857143</v>
      </c>
      <c r="AT198" s="769">
        <f t="shared" si="87"/>
        <v>62.088453061293272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53">
        <f t="shared" si="91"/>
        <v>0.7857142857142857</v>
      </c>
      <c r="AY198" s="769">
        <f t="shared" si="92"/>
        <v>62.081402988412549</v>
      </c>
      <c r="AZ198" s="746">
        <f t="shared" si="96"/>
        <v>62.084928024852914</v>
      </c>
      <c r="BA198" s="643">
        <f t="shared" si="93"/>
        <v>0.86619995755369716</v>
      </c>
      <c r="BC198" s="11">
        <v>43284</v>
      </c>
      <c r="BD198" s="290">
        <f>[2]!FeuilCaduc*(1-Persistant)+Persistant</f>
        <v>0.98195057604360725</v>
      </c>
      <c r="BE198" s="291">
        <f>[2]!CroissVégét</f>
        <v>0.71999879440261938</v>
      </c>
      <c r="BF198" s="816">
        <f>1+[2]!Salcycl*Ksac</f>
        <v>1.0477438220054509</v>
      </c>
      <c r="BH198" s="1053">
        <f t="shared" si="94"/>
        <v>5.6901358462851676E-4</v>
      </c>
      <c r="BI198" s="11">
        <v>44380</v>
      </c>
      <c r="BJ198" s="726">
        <v>5.2845033321967974E-5</v>
      </c>
      <c r="BK198" s="726">
        <v>1.5580798208420792E-4</v>
      </c>
      <c r="BL198" s="726">
        <v>3.1887360288337219E-4</v>
      </c>
      <c r="BM198" s="726">
        <v>5.6966833172159036E-4</v>
      </c>
      <c r="BN198" s="726">
        <v>9.0915716988727976E-4</v>
      </c>
      <c r="BO198" s="727">
        <v>1.354338747468849E-3</v>
      </c>
      <c r="BP198" s="726">
        <v>1.9958600692367313E-3</v>
      </c>
      <c r="BQ198" s="726">
        <v>3.2368465848248507E-3</v>
      </c>
      <c r="BR198" s="726">
        <v>4.9936671281805359E-3</v>
      </c>
      <c r="BS198" s="726">
        <v>9.1848848949887662E-3</v>
      </c>
      <c r="BT198" s="726">
        <v>1.5386550143659314E-2</v>
      </c>
      <c r="BW198" s="1186">
        <f>'2018'!R\Max</f>
        <v>0</v>
      </c>
      <c r="BX198" s="1184">
        <f>'2019'!R\Max</f>
        <v>0.86619995755369716</v>
      </c>
      <c r="BY198" s="1184">
        <f>'2020'!R\Max</f>
        <v>0.32293399272157725</v>
      </c>
      <c r="BZ198" s="1184">
        <f>'2021'!R\Max</f>
        <v>0.57013722489808683</v>
      </c>
      <c r="CA198" s="1184">
        <f>'2022'!R\Max</f>
        <v>0.7866607807114927</v>
      </c>
      <c r="CB198" s="1184">
        <f>'2023'!R\Max</f>
        <v>0.78665530554258145</v>
      </c>
      <c r="CC198" s="1184">
        <f>'2024'!R\Max</f>
        <v>0.78664617302250239</v>
      </c>
      <c r="CD198" s="1184">
        <f>'2025'!R\Max</f>
        <v>0.78667616089361658</v>
      </c>
      <c r="CE198" s="1184">
        <f>'2026'!R\Max</f>
        <v>0.78667326375057189</v>
      </c>
      <c r="CF198" s="1185">
        <f>'2027'!R\Max</f>
        <v>0.78666976691558854</v>
      </c>
    </row>
    <row r="199" spans="1:84" s="6" customFormat="1" ht="11.25" x14ac:dyDescent="0.2">
      <c r="A199" s="11">
        <v>43285</v>
      </c>
      <c r="B199" s="380">
        <f>'2022'!Maxi_hp</f>
        <v>58.995697367701958</v>
      </c>
      <c r="C199" s="13">
        <f>'2022'!An_max</f>
        <v>2019</v>
      </c>
      <c r="D199" s="1062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53">
        <f t="shared" si="81"/>
        <v>0.35714285714285715</v>
      </c>
      <c r="J199" s="746">
        <f t="shared" si="82"/>
        <v>61.974220407993663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55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53">
        <f t="shared" si="86"/>
        <v>0.6785714285714286</v>
      </c>
      <c r="AT199" s="769">
        <f t="shared" si="87"/>
        <v>61.992961702881644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53">
        <f t="shared" si="91"/>
        <v>0.8214285714285714</v>
      </c>
      <c r="AY199" s="769">
        <f t="shared" si="92"/>
        <v>61.982451457942702</v>
      </c>
      <c r="AZ199" s="746">
        <f t="shared" si="96"/>
        <v>61.987706580412173</v>
      </c>
      <c r="BA199" s="643">
        <f t="shared" si="93"/>
        <v>0.95193932217810484</v>
      </c>
      <c r="BC199" s="11">
        <v>43285</v>
      </c>
      <c r="BD199" s="290">
        <f>[2]!FeuilCaduc*(1-Persistant)+Persistant</f>
        <v>0.98372431945317584</v>
      </c>
      <c r="BE199" s="291">
        <f>[2]!CroissVégét</f>
        <v>0.72821975485053358</v>
      </c>
      <c r="BF199" s="816">
        <f>1+[2]!Salcycl*Ksac</f>
        <v>1.047965539931647</v>
      </c>
      <c r="BH199" s="1053">
        <f t="shared" si="94"/>
        <v>5.7813084020749152E-4</v>
      </c>
      <c r="BI199" s="11">
        <v>44381</v>
      </c>
      <c r="BJ199" s="726">
        <v>5.244341772759151E-5</v>
      </c>
      <c r="BK199" s="726">
        <v>1.5904304119861501E-4</v>
      </c>
      <c r="BL199" s="726">
        <v>3.2530174605141369E-4</v>
      </c>
      <c r="BM199" s="726">
        <v>5.7879262611347992E-4</v>
      </c>
      <c r="BN199" s="726">
        <v>9.2673723033447975E-4</v>
      </c>
      <c r="BO199" s="727">
        <v>1.3878212490468396E-3</v>
      </c>
      <c r="BP199" s="726">
        <v>2.0574864070975838E-3</v>
      </c>
      <c r="BQ199" s="726">
        <v>3.4069137270774041E-3</v>
      </c>
      <c r="BR199" s="726">
        <v>5.2776781869055328E-3</v>
      </c>
      <c r="BS199" s="726">
        <v>9.7430878398722682E-3</v>
      </c>
      <c r="BT199" s="726">
        <v>1.6305805332338923E-2</v>
      </c>
      <c r="BW199" s="1186">
        <f>'2018'!R\Max</f>
        <v>0</v>
      </c>
      <c r="BX199" s="1184">
        <f>'2019'!R\Max</f>
        <v>0.95193932217810484</v>
      </c>
      <c r="BY199" s="1184">
        <f>'2020'!R\Max</f>
        <v>0.76107042520773727</v>
      </c>
      <c r="BZ199" s="1184">
        <f>'2021'!R\Max</f>
        <v>0.62896995529101041</v>
      </c>
      <c r="CA199" s="1184">
        <f>'2022'!R\Max</f>
        <v>0.74774087815935231</v>
      </c>
      <c r="CB199" s="1184">
        <f>'2023'!R\Max</f>
        <v>0.74773443308779641</v>
      </c>
      <c r="CC199" s="1184">
        <f>'2024'!R\Max</f>
        <v>0.74772325751922175</v>
      </c>
      <c r="CD199" s="1184">
        <f>'2025'!R\Max</f>
        <v>0.74775885582273072</v>
      </c>
      <c r="CE199" s="1184">
        <f>'2026'!R\Max</f>
        <v>0.74775550740305829</v>
      </c>
      <c r="CF199" s="1185">
        <f>'2027'!R\Max</f>
        <v>0.74775142613253653</v>
      </c>
    </row>
    <row r="200" spans="1:84" s="6" customFormat="1" ht="11.25" x14ac:dyDescent="0.2">
      <c r="A200" s="11">
        <v>43286</v>
      </c>
      <c r="B200" s="380">
        <f>'2022'!Maxi_hp</f>
        <v>61.322232788721351</v>
      </c>
      <c r="C200" s="13">
        <f>'2022'!An_max</f>
        <v>2020</v>
      </c>
      <c r="D200" s="1062">
        <f t="shared" si="78"/>
        <v>0.99101794691406775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53">
        <f t="shared" si="81"/>
        <v>0.2857142857142857</v>
      </c>
      <c r="J200" s="746">
        <f t="shared" si="82"/>
        <v>61.878024489539008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55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53">
        <f t="shared" si="86"/>
        <v>0.6428571428571429</v>
      </c>
      <c r="AT200" s="769">
        <f t="shared" si="87"/>
        <v>61.894933928469456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53">
        <f t="shared" si="91"/>
        <v>0.8571428571428571</v>
      </c>
      <c r="AY200" s="769">
        <f t="shared" si="92"/>
        <v>61.882318950550896</v>
      </c>
      <c r="AZ200" s="746">
        <f t="shared" si="96"/>
        <v>61.888626439510176</v>
      </c>
      <c r="BA200" s="643">
        <f t="shared" si="93"/>
        <v>0.99101794691406775</v>
      </c>
      <c r="BC200" s="11">
        <v>43286</v>
      </c>
      <c r="BD200" s="290">
        <f>[2]!FeuilCaduc*(1-Persistant)+Persistant</f>
        <v>0.9853792948528588</v>
      </c>
      <c r="BE200" s="291">
        <f>[2]!CroissVégét</f>
        <v>0.73628787157048126</v>
      </c>
      <c r="BF200" s="816">
        <f>1+[2]!Salcycl*Ksac</f>
        <v>1.0481724118566074</v>
      </c>
      <c r="BH200" s="1053">
        <f t="shared" si="94"/>
        <v>5.875561477401087E-4</v>
      </c>
      <c r="BI200" s="11">
        <v>44382</v>
      </c>
      <c r="BJ200" s="726">
        <v>5.1638493488936465E-5</v>
      </c>
      <c r="BK200" s="726">
        <v>1.6222080001032597E-4</v>
      </c>
      <c r="BL200" s="726">
        <v>3.3164705278974763E-4</v>
      </c>
      <c r="BM200" s="726">
        <v>5.8822599561824827E-4</v>
      </c>
      <c r="BN200" s="726">
        <v>9.4839985906632605E-4</v>
      </c>
      <c r="BO200" s="727">
        <v>1.4308314329859388E-3</v>
      </c>
      <c r="BP200" s="726">
        <v>2.1355872374437257E-3</v>
      </c>
      <c r="BQ200" s="726">
        <v>3.6067297628127018E-3</v>
      </c>
      <c r="BR200" s="726">
        <v>5.6028983600321016E-3</v>
      </c>
      <c r="BS200" s="726">
        <v>1.0320969788257398E-2</v>
      </c>
      <c r="BT200" s="726">
        <v>1.7182723031341905E-2</v>
      </c>
      <c r="BW200" s="1186">
        <f>'2018'!R\Max</f>
        <v>0</v>
      </c>
      <c r="BX200" s="1184">
        <f>'2019'!R\Max</f>
        <v>0.9424559873925189</v>
      </c>
      <c r="BY200" s="1184">
        <f>'2020'!R\Max</f>
        <v>0.99101794691406775</v>
      </c>
      <c r="BZ200" s="1184">
        <f>'2021'!R\Max</f>
        <v>0.98511612666483628</v>
      </c>
      <c r="CA200" s="1184">
        <f>'2022'!R\Max</f>
        <v>0.93844489829199207</v>
      </c>
      <c r="CB200" s="1184">
        <f>'2023'!R\Max</f>
        <v>0.9384428143171184</v>
      </c>
      <c r="CC200" s="1184">
        <f>'2024'!R\Max</f>
        <v>0.93843907334682386</v>
      </c>
      <c r="CD200" s="1184">
        <f>'2025'!R\Max</f>
        <v>0.93845067912187075</v>
      </c>
      <c r="CE200" s="1184">
        <f>'2026'!R\Max</f>
        <v>0.93844961422973205</v>
      </c>
      <c r="CF200" s="1185">
        <f>'2027'!R\Max</f>
        <v>0.93844830311099137</v>
      </c>
    </row>
    <row r="201" spans="1:84" s="6" customFormat="1" ht="11.25" x14ac:dyDescent="0.2">
      <c r="A201" s="11">
        <v>43287</v>
      </c>
      <c r="B201" s="380">
        <f>'2022'!Maxi_hp</f>
        <v>60.73746121896113</v>
      </c>
      <c r="C201" s="13">
        <f>'2022'!An_max</f>
        <v>2020</v>
      </c>
      <c r="D201" s="1062">
        <f t="shared" si="78"/>
        <v>0.98312777222037795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53">
        <f t="shared" si="81"/>
        <v>0.21428571428571427</v>
      </c>
      <c r="J201" s="746">
        <f t="shared" si="82"/>
        <v>61.779824489940481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55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53">
        <f t="shared" si="86"/>
        <v>0.6071428571428571</v>
      </c>
      <c r="AT201" s="769">
        <f t="shared" si="87"/>
        <v>61.794463679966121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53">
        <f t="shared" si="91"/>
        <v>0.8928571428571429</v>
      </c>
      <c r="AY201" s="769">
        <f t="shared" si="92"/>
        <v>61.781166508541034</v>
      </c>
      <c r="AZ201" s="746">
        <f t="shared" si="96"/>
        <v>61.787815094253574</v>
      </c>
      <c r="BA201" s="643">
        <f t="shared" si="93"/>
        <v>0.98312777222037795</v>
      </c>
      <c r="BC201" s="11">
        <v>43287</v>
      </c>
      <c r="BD201" s="290">
        <f>[2]!FeuilCaduc*(1-Persistant)+Persistant</f>
        <v>0.98691907840459148</v>
      </c>
      <c r="BE201" s="291">
        <f>[2]!CroissVégét</f>
        <v>0.74420074649273349</v>
      </c>
      <c r="BF201" s="816">
        <f>1+[2]!Salcycl*Ksac</f>
        <v>1.048364884800574</v>
      </c>
      <c r="BH201" s="1053">
        <f t="shared" si="94"/>
        <v>5.9728959632870992E-4</v>
      </c>
      <c r="BI201" s="11">
        <v>44383</v>
      </c>
      <c r="BJ201" s="726">
        <v>5.0430847926140912E-5</v>
      </c>
      <c r="BK201" s="726">
        <v>1.6534149472119324E-4</v>
      </c>
      <c r="BL201" s="726">
        <v>3.3790995476777196E-4</v>
      </c>
      <c r="BM201" s="726">
        <v>5.9796852844155998E-4</v>
      </c>
      <c r="BN201" s="726">
        <v>9.7414024457148564E-4</v>
      </c>
      <c r="BO201" s="727">
        <v>1.4833574610227285E-3</v>
      </c>
      <c r="BP201" s="726">
        <v>2.2301419518560277E-3</v>
      </c>
      <c r="BQ201" s="726">
        <v>3.8362583770414935E-3</v>
      </c>
      <c r="BR201" s="726">
        <v>5.9692785760584116E-3</v>
      </c>
      <c r="BS201" s="726">
        <v>1.0918519492999441E-2</v>
      </c>
      <c r="BT201" s="726">
        <v>1.8017389204346874E-2</v>
      </c>
      <c r="BW201" s="1186">
        <f>'2018'!R\Max</f>
        <v>0</v>
      </c>
      <c r="BX201" s="1184">
        <f>'2019'!R\Max</f>
        <v>0.91083165786082454</v>
      </c>
      <c r="BY201" s="1184">
        <f>'2020'!R\Max</f>
        <v>0.98312777222037795</v>
      </c>
      <c r="BZ201" s="1184">
        <f>'2021'!R\Max</f>
        <v>0.35784888339790871</v>
      </c>
      <c r="CA201" s="1184">
        <f>'2022'!R\Max</f>
        <v>0.80726198359370371</v>
      </c>
      <c r="CB201" s="1184">
        <f>'2023'!R\Max</f>
        <v>0.80725601701132632</v>
      </c>
      <c r="CC201" s="1184">
        <f>'2024'!R\Max</f>
        <v>0.80724497613600943</v>
      </c>
      <c r="CD201" s="1184">
        <f>'2025'!R\Max</f>
        <v>0.80727846874916853</v>
      </c>
      <c r="CE201" s="1184">
        <f>'2026'!R\Max</f>
        <v>0.80727546360293545</v>
      </c>
      <c r="CF201" s="1185">
        <f>'2027'!R\Max</f>
        <v>0.80727172605479225</v>
      </c>
    </row>
    <row r="202" spans="1:84" s="6" customFormat="1" ht="11.25" x14ac:dyDescent="0.2">
      <c r="A202" s="11">
        <v>43288</v>
      </c>
      <c r="B202" s="380">
        <f>'2022'!Maxi_hp</f>
        <v>57.287148915483868</v>
      </c>
      <c r="C202" s="13">
        <f>'2022'!An_max</f>
        <v>2022</v>
      </c>
      <c r="D202" s="1062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53">
        <f t="shared" si="81"/>
        <v>0.14285714285714285</v>
      </c>
      <c r="J202" s="746">
        <f t="shared" si="82"/>
        <v>61.679620407894255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55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53">
        <f t="shared" si="86"/>
        <v>0.5714285714285714</v>
      </c>
      <c r="AT202" s="769">
        <f t="shared" si="87"/>
        <v>61.691644898056985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53">
        <f t="shared" si="91"/>
        <v>0.9285714285714286</v>
      </c>
      <c r="AY202" s="769">
        <f t="shared" si="92"/>
        <v>61.679155174616199</v>
      </c>
      <c r="AZ202" s="746">
        <f t="shared" si="96"/>
        <v>61.685400036336588</v>
      </c>
      <c r="BA202" s="643">
        <f t="shared" si="93"/>
        <v>0.9287856918806815</v>
      </c>
      <c r="BC202" s="11">
        <v>43288</v>
      </c>
      <c r="BD202" s="290">
        <f>[2]!FeuilCaduc*(1-Persistant)+Persistant</f>
        <v>0.98834742664822151</v>
      </c>
      <c r="BE202" s="291">
        <f>[2]!CroissVégét</f>
        <v>0.75195632992281269</v>
      </c>
      <c r="BF202" s="816">
        <f>1+[2]!Salcycl*Ksac</f>
        <v>1.0485434283310278</v>
      </c>
      <c r="BH202" s="1053">
        <f t="shared" si="94"/>
        <v>6.0733131109469158E-4</v>
      </c>
      <c r="BI202" s="11">
        <v>44384</v>
      </c>
      <c r="BJ202" s="726">
        <v>4.882104955750291E-5</v>
      </c>
      <c r="BK202" s="726">
        <v>1.6840536688545816E-4</v>
      </c>
      <c r="BL202" s="726">
        <v>3.4409089567389087E-4</v>
      </c>
      <c r="BM202" s="726">
        <v>6.0802034887095504E-4</v>
      </c>
      <c r="BN202" s="726">
        <v>1.0039537993283092E-3</v>
      </c>
      <c r="BO202" s="727">
        <v>1.5453879988686879E-3</v>
      </c>
      <c r="BP202" s="726">
        <v>2.3411308219944849E-3</v>
      </c>
      <c r="BQ202" s="726">
        <v>4.0954649846334954E-3</v>
      </c>
      <c r="BR202" s="726">
        <v>6.3767722763171377E-3</v>
      </c>
      <c r="BS202" s="726">
        <v>1.1535727926214311E-2</v>
      </c>
      <c r="BT202" s="726">
        <v>1.8809890155400719E-2</v>
      </c>
      <c r="BW202" s="1186">
        <f>'2018'!R\Max</f>
        <v>0</v>
      </c>
      <c r="BX202" s="1184">
        <f>'2019'!R\Max</f>
        <v>0.87887920800712938</v>
      </c>
      <c r="BY202" s="1184">
        <f>'2020'!R\Max</f>
        <v>0.65430110464336111</v>
      </c>
      <c r="BZ202" s="1184">
        <f>'2021'!R\Max</f>
        <v>0.7122189963600235</v>
      </c>
      <c r="CA202" s="1184">
        <f>'2022'!R\Max</f>
        <v>0.9287856918806815</v>
      </c>
      <c r="CB202" s="1184">
        <f>'2023'!R\Max</f>
        <v>0.92878298080801347</v>
      </c>
      <c r="CC202" s="1184">
        <f>'2024'!R\Max</f>
        <v>0.92877783059680341</v>
      </c>
      <c r="CD202" s="1184">
        <f>'2025'!R\Max</f>
        <v>0.92879316289692748</v>
      </c>
      <c r="CE202" s="1184">
        <f>'2026'!R\Max</f>
        <v>0.92879181417224932</v>
      </c>
      <c r="CF202" s="1185">
        <f>'2027'!R\Max</f>
        <v>0.92879012005717188</v>
      </c>
    </row>
    <row r="203" spans="1:84" s="6" customFormat="1" ht="11.25" x14ac:dyDescent="0.2">
      <c r="A203" s="11">
        <v>43289</v>
      </c>
      <c r="B203" s="380">
        <f>'2022'!Maxi_hp</f>
        <v>63.132463716134929</v>
      </c>
      <c r="C203" s="13">
        <f>'2022'!An_max</f>
        <v>2020</v>
      </c>
      <c r="D203" s="1062">
        <f t="shared" si="78"/>
        <v>1.0252536021642322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53">
        <f t="shared" si="81"/>
        <v>7.1428571428571425E-2</v>
      </c>
      <c r="J203" s="746">
        <f t="shared" si="82"/>
        <v>61.577412244996857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55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53">
        <f t="shared" si="86"/>
        <v>0.5357142857142857</v>
      </c>
      <c r="AT203" s="769">
        <f t="shared" si="87"/>
        <v>61.586571524451891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53">
        <f t="shared" si="91"/>
        <v>0.9642857142857143</v>
      </c>
      <c r="AY203" s="769">
        <f t="shared" si="92"/>
        <v>61.576445991013735</v>
      </c>
      <c r="AZ203" s="746">
        <f t="shared" si="96"/>
        <v>61.581508757732813</v>
      </c>
      <c r="BA203" s="643">
        <f t="shared" si="93"/>
        <v>1.0252536021642322</v>
      </c>
      <c r="BC203" s="11">
        <v>43289</v>
      </c>
      <c r="BD203" s="290">
        <f>[2]!FeuilCaduc*(1-Persistant)+Persistant</f>
        <v>0.98966825118451485</v>
      </c>
      <c r="BE203" s="291">
        <f>[2]!CroissVégét</f>
        <v>0.75955291305401751</v>
      </c>
      <c r="BF203" s="816">
        <f>1+[2]!Salcycl*Ksac</f>
        <v>1.0487085313980644</v>
      </c>
      <c r="BH203" s="1053">
        <f t="shared" si="94"/>
        <v>6.1768145503156519E-4</v>
      </c>
      <c r="BI203" s="11">
        <v>44385</v>
      </c>
      <c r="BJ203" s="726">
        <v>4.6809645719097236E-5</v>
      </c>
      <c r="BK203" s="726">
        <v>1.7141266308648415E-4</v>
      </c>
      <c r="BL203" s="726">
        <v>3.5019033075577385E-4</v>
      </c>
      <c r="BM203" s="726">
        <v>6.1838161913496312E-4</v>
      </c>
      <c r="BN203" s="726">
        <v>1.0378361839421283E-3</v>
      </c>
      <c r="BO203" s="727">
        <v>1.6169122725165047E-3</v>
      </c>
      <c r="BP203" s="726">
        <v>2.4685350969876427E-3</v>
      </c>
      <c r="BQ203" s="726">
        <v>4.3843169065170577E-3</v>
      </c>
      <c r="BR203" s="726">
        <v>6.8253356593121961E-3</v>
      </c>
      <c r="BS203" s="726">
        <v>1.2172588398166215E-2</v>
      </c>
      <c r="BT203" s="726">
        <v>1.9560312284192208E-2</v>
      </c>
      <c r="BW203" s="1186">
        <f>'2018'!R\Max</f>
        <v>0</v>
      </c>
      <c r="BX203" s="1184">
        <f>'2019'!R\Max</f>
        <v>0.60877073086994582</v>
      </c>
      <c r="BY203" s="1184">
        <f>'2020'!R\Max</f>
        <v>1.0252536021642322</v>
      </c>
      <c r="BZ203" s="1184">
        <f>'2021'!R\Max</f>
        <v>0.84058841980160903</v>
      </c>
      <c r="CA203" s="1184">
        <f>'2022'!R\Max</f>
        <v>0.97851686901531199</v>
      </c>
      <c r="CB203" s="1184">
        <f>'2023'!R\Max</f>
        <v>0.97851594409893672</v>
      </c>
      <c r="CC203" s="1184">
        <f>'2024'!R\Max</f>
        <v>0.97851414721141328</v>
      </c>
      <c r="CD203" s="1184">
        <f>'2025'!R\Max</f>
        <v>0.97851941448668267</v>
      </c>
      <c r="CE203" s="1184">
        <f>'2026'!R\Max</f>
        <v>0.9785189590141925</v>
      </c>
      <c r="CF203" s="1185">
        <f>'2027'!R\Max</f>
        <v>0.97851838143799186</v>
      </c>
    </row>
    <row r="204" spans="1:84" s="6" customFormat="1" ht="11.25" x14ac:dyDescent="0.2">
      <c r="A204" s="11">
        <v>43290</v>
      </c>
      <c r="B204" s="380">
        <f>'2022'!Maxi_hp</f>
        <v>60.536567302517156</v>
      </c>
      <c r="C204" s="13">
        <f>'2022'!An_max</f>
        <v>2020</v>
      </c>
      <c r="D204" s="1062">
        <f t="shared" si="78"/>
        <v>0.98476356042645741</v>
      </c>
      <c r="E204" s="1057">
        <f>AA$13/10</f>
        <v>61.473199999999999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53">
        <f t="shared" si="81"/>
        <v>0</v>
      </c>
      <c r="J204" s="746">
        <f t="shared" si="82"/>
        <v>61.47319999970496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55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53">
        <f t="shared" si="86"/>
        <v>0.5</v>
      </c>
      <c r="AT204" s="769">
        <f t="shared" si="87"/>
        <v>61.479337500035761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53">
        <f t="shared" si="91"/>
        <v>1</v>
      </c>
      <c r="AY204" s="769">
        <f t="shared" si="92"/>
        <v>61.47319999970496</v>
      </c>
      <c r="AZ204" s="746">
        <f t="shared" si="96"/>
        <v>61.476268749870357</v>
      </c>
      <c r="BA204" s="643">
        <f t="shared" si="93"/>
        <v>0.98476356042645741</v>
      </c>
      <c r="BC204" s="11">
        <v>43290</v>
      </c>
      <c r="BD204" s="290">
        <f>[2]!FeuilCaduc*(1-Persistant)+Persistant</f>
        <v>0.99088559304384516</v>
      </c>
      <c r="BE204" s="291">
        <f>[2]!CroissVégét</f>
        <v>0.76698911930492164</v>
      </c>
      <c r="BF204" s="816">
        <f>1+[2]!Salcycl*Ksac</f>
        <v>1.0488606991304807</v>
      </c>
      <c r="BH204" s="1053">
        <f t="shared" si="94"/>
        <v>6.2834023083947798E-4</v>
      </c>
      <c r="BI204" s="11">
        <v>44386</v>
      </c>
      <c r="BJ204" s="726">
        <v>4.4397160182897608E-5</v>
      </c>
      <c r="BK204" s="726">
        <v>1.7436363460834694E-4</v>
      </c>
      <c r="BL204" s="726">
        <v>3.5620872635010626E-4</v>
      </c>
      <c r="BM204" s="726">
        <v>6.2905254124365673E-4</v>
      </c>
      <c r="BN204" s="726">
        <v>1.0757833312519368E-3</v>
      </c>
      <c r="BO204" s="727">
        <v>1.697920124499276E-3</v>
      </c>
      <c r="BP204" s="726">
        <v>2.6123371007506771E-3</v>
      </c>
      <c r="BQ204" s="726">
        <v>4.7027835457540378E-3</v>
      </c>
      <c r="BR204" s="726">
        <v>7.3149279248611171E-3</v>
      </c>
      <c r="BS204" s="726">
        <v>1.282909667580316E-2</v>
      </c>
      <c r="BT204" s="726">
        <v>2.0268741840750663E-2</v>
      </c>
      <c r="BW204" s="1186">
        <f>'2018'!R\Max</f>
        <v>0</v>
      </c>
      <c r="BX204" s="1184">
        <f>'2019'!R\Max</f>
        <v>0.34245558374204077</v>
      </c>
      <c r="BY204" s="1184">
        <f>'2020'!R\Max</f>
        <v>0.98476356042645741</v>
      </c>
      <c r="BZ204" s="1184">
        <f>'2021'!R\Max</f>
        <v>0.98292210843520722</v>
      </c>
      <c r="CA204" s="1184">
        <f>'2022'!R\Max</f>
        <v>0.96764641139317298</v>
      </c>
      <c r="CB204" s="1184">
        <f>'2023'!R\Max</f>
        <v>0.96764492803920488</v>
      </c>
      <c r="CC204" s="1184">
        <f>'2024'!R\Max</f>
        <v>0.96764199115671479</v>
      </c>
      <c r="CD204" s="1184">
        <f>'2025'!R\Max</f>
        <v>0.96765049286143168</v>
      </c>
      <c r="CE204" s="1184">
        <f>'2026'!R\Max</f>
        <v>0.96764976831909599</v>
      </c>
      <c r="CF204" s="1185">
        <f>'2027'!R\Max</f>
        <v>0.96764884124876849</v>
      </c>
    </row>
    <row r="205" spans="1:84" s="6" customFormat="1" ht="11.25" x14ac:dyDescent="0.2">
      <c r="A205" s="11">
        <v>43291</v>
      </c>
      <c r="B205" s="380">
        <f>'2022'!Maxi_hp</f>
        <v>59.982897259607313</v>
      </c>
      <c r="C205" s="13">
        <f>'2022'!An_max</f>
        <v>2019</v>
      </c>
      <c r="D205" s="1062">
        <f t="shared" si="78"/>
        <v>0.97744945311123188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53">
        <f t="shared" si="81"/>
        <v>7.1428571428571425E-2</v>
      </c>
      <c r="J205" s="746">
        <f t="shared" si="82"/>
        <v>61.366751056723309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55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53">
        <f t="shared" si="86"/>
        <v>0.4642857142857143</v>
      </c>
      <c r="AT205" s="769">
        <f t="shared" si="87"/>
        <v>61.370036766618227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53">
        <f t="shared" si="91"/>
        <v>0.9642857142857143</v>
      </c>
      <c r="AY205" s="769">
        <f t="shared" si="92"/>
        <v>61.368679090981765</v>
      </c>
      <c r="AZ205" s="746">
        <f t="shared" si="96"/>
        <v>61.3693579288</v>
      </c>
      <c r="BA205" s="643">
        <f t="shared" si="93"/>
        <v>0.97744945311123188</v>
      </c>
      <c r="BC205" s="11">
        <v>43291</v>
      </c>
      <c r="BD205" s="290">
        <f>[2]!FeuilCaduc*(1-Persistant)+Persistant</f>
        <v>0.9920035969291523</v>
      </c>
      <c r="BE205" s="291">
        <f>[2]!CroissVégét</f>
        <v>0.77426389460057909</v>
      </c>
      <c r="BF205" s="816">
        <f>1+[2]!Salcycl*Ksac</f>
        <v>1.049000449616144</v>
      </c>
      <c r="BH205" s="1053">
        <f t="shared" si="94"/>
        <v>6.3930788278570335E-4</v>
      </c>
      <c r="BI205" s="11">
        <v>44387</v>
      </c>
      <c r="BJ205" s="726">
        <v>4.1584090776964152E-5</v>
      </c>
      <c r="BK205" s="726">
        <v>1.7725853711462498E-4</v>
      </c>
      <c r="BL205" s="726">
        <v>3.6214655942705214E-4</v>
      </c>
      <c r="BM205" s="726">
        <v>6.4003335885520426E-4</v>
      </c>
      <c r="BN205" s="726">
        <v>1.1177914704801517E-3</v>
      </c>
      <c r="BO205" s="727">
        <v>1.7884020702161963E-3</v>
      </c>
      <c r="BP205" s="726">
        <v>2.7725203294043333E-3</v>
      </c>
      <c r="BQ205" s="726">
        <v>5.0508365637914757E-3</v>
      </c>
      <c r="BR205" s="726">
        <v>7.8455115185126125E-3</v>
      </c>
      <c r="BS205" s="726">
        <v>1.3505251101788443E-2</v>
      </c>
      <c r="BT205" s="726">
        <v>2.093526468095061E-2</v>
      </c>
      <c r="BW205" s="1186">
        <f>'2018'!R\Max</f>
        <v>0</v>
      </c>
      <c r="BX205" s="1184">
        <f>'2019'!R\Max</f>
        <v>0.97744945311123188</v>
      </c>
      <c r="BY205" s="1184">
        <f>'2020'!R\Max</f>
        <v>0.92869521415667022</v>
      </c>
      <c r="BZ205" s="1184">
        <f>'2021'!R\Max</f>
        <v>0.89809257111791729</v>
      </c>
      <c r="CA205" s="1184">
        <f>'2022'!R\Max</f>
        <v>0.95708733119235911</v>
      </c>
      <c r="CB205" s="1184">
        <f>'2023'!R\Max</f>
        <v>0.95708523084521113</v>
      </c>
      <c r="CC205" s="1184">
        <f>'2024'!R\Max</f>
        <v>0.95708100587544342</v>
      </c>
      <c r="CD205" s="1184">
        <f>'2025'!R\Max</f>
        <v>0.95709311431644062</v>
      </c>
      <c r="CE205" s="1184">
        <f>'2026'!R\Max</f>
        <v>0.95709209487102009</v>
      </c>
      <c r="CF205" s="1185">
        <f>'2027'!R\Max</f>
        <v>0.95709077947304788</v>
      </c>
    </row>
    <row r="206" spans="1:84" s="6" customFormat="1" ht="11.25" x14ac:dyDescent="0.2">
      <c r="A206" s="11">
        <v>43292</v>
      </c>
      <c r="B206" s="380">
        <f>'2022'!Maxi_hp</f>
        <v>61.452728703103304</v>
      </c>
      <c r="C206" s="13">
        <f>'2022'!An_max</f>
        <v>2019</v>
      </c>
      <c r="D206" s="1062">
        <f t="shared" si="78"/>
        <v>1.0031803949602056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53">
        <f t="shared" si="81"/>
        <v>0.14285714285714285</v>
      </c>
      <c r="J206" s="746">
        <f t="shared" si="82"/>
        <v>61.257904372763413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55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53">
        <f t="shared" si="86"/>
        <v>0.42857142857142855</v>
      </c>
      <c r="AT206" s="769">
        <f t="shared" si="87"/>
        <v>61.258763264971115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53">
        <f t="shared" si="91"/>
        <v>0.9285714285714286</v>
      </c>
      <c r="AY206" s="769">
        <f t="shared" si="92"/>
        <v>61.262055685025231</v>
      </c>
      <c r="AZ206" s="746">
        <f t="shared" si="96"/>
        <v>61.26040947499817</v>
      </c>
      <c r="BA206" s="643">
        <f t="shared" si="93"/>
        <v>1.0031803949602056</v>
      </c>
      <c r="BC206" s="11">
        <v>43292</v>
      </c>
      <c r="BD206" s="290">
        <f>[2]!FeuilCaduc*(1-Persistant)+Persistant</f>
        <v>0.99302648552044026</v>
      </c>
      <c r="BE206" s="291">
        <f>[2]!CroissVégét</f>
        <v>0.78137649671730769</v>
      </c>
      <c r="BF206" s="816">
        <f>1+[2]!Salcycl*Ksac</f>
        <v>1.0491283106900551</v>
      </c>
      <c r="BH206" s="1053">
        <f t="shared" si="94"/>
        <v>6.5672627676769269E-4</v>
      </c>
      <c r="BI206" s="11">
        <v>44388</v>
      </c>
      <c r="BJ206" s="726">
        <v>3.8778557813482335E-5</v>
      </c>
      <c r="BK206" s="726">
        <v>1.8205793384340341E-4</v>
      </c>
      <c r="BL206" s="726">
        <v>3.7179694543325564E-4</v>
      </c>
      <c r="BM206" s="726">
        <v>6.5747208577479784E-4</v>
      </c>
      <c r="BN206" s="726">
        <v>1.1720103833216334E-3</v>
      </c>
      <c r="BO206" s="727">
        <v>1.897459664911034E-3</v>
      </c>
      <c r="BP206" s="726">
        <v>2.9571862211700372E-3</v>
      </c>
      <c r="BQ206" s="726">
        <v>5.4158760979673599E-3</v>
      </c>
      <c r="BR206" s="726">
        <v>8.3830022935931173E-3</v>
      </c>
      <c r="BS206" s="726">
        <v>1.4145792263634015E-2</v>
      </c>
      <c r="BT206" s="726">
        <v>2.1502361961579643E-2</v>
      </c>
      <c r="BW206" s="1186">
        <f>'2018'!R\Max</f>
        <v>0</v>
      </c>
      <c r="BX206" s="1184">
        <f>'2019'!R\Max</f>
        <v>1.0031803949602056</v>
      </c>
      <c r="BY206" s="1184">
        <f>'2020'!R\Max</f>
        <v>0.81422036591448099</v>
      </c>
      <c r="BZ206" s="1184">
        <f>'2021'!R\Max</f>
        <v>0.90297749565480934</v>
      </c>
      <c r="CA206" s="1184">
        <f>'2022'!R\Max</f>
        <v>0.93351852753568276</v>
      </c>
      <c r="CB206" s="1184">
        <f>'2023'!R\Max</f>
        <v>0.93351510028713558</v>
      </c>
      <c r="CC206" s="1184">
        <f>'2024'!R\Max</f>
        <v>0.93350816069500719</v>
      </c>
      <c r="CD206" s="1184">
        <f>'2025'!R\Max</f>
        <v>0.93352799841468714</v>
      </c>
      <c r="CE206" s="1184">
        <f>'2026'!R\Max</f>
        <v>0.93352633470445012</v>
      </c>
      <c r="CF206" s="1185">
        <f>'2027'!R\Max</f>
        <v>0.93352417568480772</v>
      </c>
    </row>
    <row r="207" spans="1:84" s="6" customFormat="1" ht="11.25" x14ac:dyDescent="0.2">
      <c r="A207" s="11">
        <v>43293</v>
      </c>
      <c r="B207" s="380">
        <f>'2022'!Maxi_hp</f>
        <v>61.87528776158792</v>
      </c>
      <c r="C207" s="13">
        <f>'2022'!An_max</f>
        <v>2019</v>
      </c>
      <c r="D207" s="1062">
        <f t="shared" ref="D207:D270" si="97">IF($BA207&gt;$D$11,BA207,"")</f>
        <v>1.0119142921741808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53">
        <f t="shared" ref="I207:I270" si="100">($A207-H207)/(INDEX(x.2m,G207)-H207)</f>
        <v>0.21428571428571427</v>
      </c>
      <c r="J207" s="746">
        <f t="shared" ref="J207:J270" si="101">((1-I207)*(INDEX(a.m,F207)*$A207*$A207+INDEX(b.m,F207)*$A207+INDEX(c.m,F207))+I207*(INDEX(a.m,G207)*$A207*$A207+INDEX(b.m,G207)*$A207+INDEX(c.m,G207)))/10</f>
        <v>61.146767310345808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55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53">
        <f t="shared" ref="AS207:AS270" si="105">($A207-AR207)/(INDEX(x.2lg,AQ207)-AR207)</f>
        <v>0.39285714285714285</v>
      </c>
      <c r="AT207" s="769">
        <f t="shared" ref="AT207:AT270" si="106">((1-AS207)*(INDEX(a.lg,AP207)*$A207*$A207+INDEX(b.lg,AP207)*$A207+INDEX(c.lg,AP207))+AS207*(INDEX(a.lg,AQ207)*$A207*$A207+INDEX(b.lg,AQ207)*$A207+INDEX(c.lg,AQ207)))/10</f>
        <v>61.145610937529383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53">
        <f t="shared" ref="AX207:AX270" si="110">($A207-AW207)/(INDEX(x.2ld,AV207)-AW207)</f>
        <v>0.8928571428571429</v>
      </c>
      <c r="AY207" s="769">
        <f t="shared" ref="AY207:AY270" si="111">((1-AX207)*(INDEX(a.ld,AU207)*$A207*$A207+INDEX(b.ld,AU207)*$A207+INDEX(c.ld,AU207))+AX207*(INDEX(a.ld,AV207)*$A207*$A207+INDEX(b.ld,AV207)*$A207+INDEX(c.ld,AV207)))/10</f>
        <v>61.153356623616347</v>
      </c>
      <c r="AZ207" s="746">
        <f t="shared" si="96"/>
        <v>61.149483780572865</v>
      </c>
      <c r="BA207" s="643">
        <f t="shared" ref="BA207:BA270" si="112">+B207/J207</f>
        <v>1.0119142921741808</v>
      </c>
      <c r="BC207" s="11">
        <v>43293</v>
      </c>
      <c r="BD207" s="290">
        <f>[2]!FeuilCaduc*(1-Persistant)+Persistant</f>
        <v>0.99395853402505574</v>
      </c>
      <c r="BE207" s="291">
        <f>[2]!CroissVégét</f>
        <v>0.78832648381074411</v>
      </c>
      <c r="BF207" s="816">
        <f>1+[2]!Salcycl*Ksac</f>
        <v>1.0492448167531321</v>
      </c>
      <c r="BH207" s="1053">
        <f t="shared" ref="BH207:BH270" si="113">INDEX($BJ207:$BT207,,$BH$10)*(1-Ratini)+INDEX($BJ207:$BT207,,$BH$10+1)*Ratini</f>
        <v>6.8078206127338058E-4</v>
      </c>
      <c r="BI207" s="11">
        <v>44389</v>
      </c>
      <c r="BJ207" s="726">
        <v>3.6160997385107731E-5</v>
      </c>
      <c r="BK207" s="726">
        <v>1.8883321980965476E-4</v>
      </c>
      <c r="BL207" s="726">
        <v>3.8530663338753586E-4</v>
      </c>
      <c r="BM207" s="726">
        <v>6.8155547492813981E-4</v>
      </c>
      <c r="BN207" s="726">
        <v>1.2382368600788616E-3</v>
      </c>
      <c r="BO207" s="727">
        <v>2.0240197173850265E-3</v>
      </c>
      <c r="BP207" s="726">
        <v>3.1639124998538697E-3</v>
      </c>
      <c r="BQ207" s="726">
        <v>5.7847236797627785E-3</v>
      </c>
      <c r="BR207" s="726">
        <v>8.9034582345447789E-3</v>
      </c>
      <c r="BS207" s="726">
        <v>1.471671198931331E-2</v>
      </c>
      <c r="BT207" s="726">
        <v>2.1935836185347602E-2</v>
      </c>
      <c r="BW207" s="1186">
        <f>'2018'!R\Max</f>
        <v>0</v>
      </c>
      <c r="BX207" s="1184">
        <f>'2019'!R\Max</f>
        <v>1.0119142921741808</v>
      </c>
      <c r="BY207" s="1184">
        <f>'2020'!R\Max</f>
        <v>0.83604496525994587</v>
      </c>
      <c r="BZ207" s="1184">
        <f>'2021'!R\Max</f>
        <v>0.23498559502420863</v>
      </c>
      <c r="CA207" s="1184">
        <f>'2022'!R\Max</f>
        <v>0.93701759420450914</v>
      </c>
      <c r="CB207" s="1184">
        <f>'2023'!R\Max</f>
        <v>0.93701407893083821</v>
      </c>
      <c r="CC207" s="1184">
        <f>'2024'!R\Max</f>
        <v>0.93700698644687519</v>
      </c>
      <c r="CD207" s="1184">
        <f>'2025'!R\Max</f>
        <v>0.93702736699952416</v>
      </c>
      <c r="CE207" s="1184">
        <f>'2026'!R\Max</f>
        <v>0.93702565066567312</v>
      </c>
      <c r="CF207" s="1185">
        <f>'2027'!R\Max</f>
        <v>0.9370234163875073</v>
      </c>
    </row>
    <row r="208" spans="1:84" s="6" customFormat="1" ht="11.25" x14ac:dyDescent="0.2">
      <c r="A208" s="11">
        <v>43294</v>
      </c>
      <c r="B208" s="380">
        <f>'2022'!Maxi_hp</f>
        <v>56.626097687284791</v>
      </c>
      <c r="C208" s="13">
        <f>'2022'!An_max</f>
        <v>2022</v>
      </c>
      <c r="D208" s="1062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53">
        <f t="shared" si="100"/>
        <v>0.2857142857142857</v>
      </c>
      <c r="J208" s="746">
        <f t="shared" si="101"/>
        <v>61.033447230607273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55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53">
        <f t="shared" si="105"/>
        <v>0.35714285714285715</v>
      </c>
      <c r="AT208" s="769">
        <f t="shared" si="106"/>
        <v>61.030673724506052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53">
        <f t="shared" si="110"/>
        <v>0.8571428571428571</v>
      </c>
      <c r="AY208" s="769">
        <f t="shared" si="111"/>
        <v>61.042608746141198</v>
      </c>
      <c r="AZ208" s="746">
        <f t="shared" ref="AZ208:AZ271" si="115">(AY208+AT208)/2</f>
        <v>61.036641235323629</v>
      </c>
      <c r="BA208" s="643">
        <f t="shared" si="112"/>
        <v>0.92778796310374112</v>
      </c>
      <c r="BC208" s="11">
        <v>43294</v>
      </c>
      <c r="BD208" s="290">
        <f>[2]!FeuilCaduc*(1-Persistant)+Persistant</f>
        <v>0.99480404515330823</v>
      </c>
      <c r="BE208" s="291">
        <f>[2]!CroissVégét</f>
        <v>0.79511370224543498</v>
      </c>
      <c r="BF208" s="816">
        <f>1+[2]!Salcycl*Ksac</f>
        <v>1.0493505056441634</v>
      </c>
      <c r="BH208" s="1053">
        <f t="shared" si="113"/>
        <v>7.1146817329055534E-4</v>
      </c>
      <c r="BI208" s="11">
        <v>44390</v>
      </c>
      <c r="BJ208" s="726">
        <v>3.3731118808270858E-5</v>
      </c>
      <c r="BK208" s="726">
        <v>1.9758227206956929E-4</v>
      </c>
      <c r="BL208" s="726">
        <v>4.0267149538540968E-4</v>
      </c>
      <c r="BM208" s="726">
        <v>7.1227645562030773E-4</v>
      </c>
      <c r="BN208" s="726">
        <v>1.3164588230078361E-3</v>
      </c>
      <c r="BO208" s="727">
        <v>2.1680656779734298E-3</v>
      </c>
      <c r="BP208" s="726">
        <v>3.3926801302105723E-3</v>
      </c>
      <c r="BQ208" s="726">
        <v>6.1573894610369717E-3</v>
      </c>
      <c r="BR208" s="726">
        <v>9.40692187346138E-3</v>
      </c>
      <c r="BS208" s="726">
        <v>1.5218123065850147E-2</v>
      </c>
      <c r="BT208" s="726">
        <v>2.2235879640638435E-2</v>
      </c>
      <c r="BW208" s="1186">
        <f>'2018'!R\Max</f>
        <v>0</v>
      </c>
      <c r="BX208" s="1184">
        <f>'2019'!R\Max</f>
        <v>0.86588880818613656</v>
      </c>
      <c r="BY208" s="1184">
        <f>'2020'!R\Max</f>
        <v>0.67464592354736252</v>
      </c>
      <c r="BZ208" s="1184">
        <f>'2021'!R\Max</f>
        <v>0.42926630346242595</v>
      </c>
      <c r="CA208" s="1184">
        <f>'2022'!R\Max</f>
        <v>0.92778796310374112</v>
      </c>
      <c r="CB208" s="1184">
        <f>'2023'!R\Max</f>
        <v>0.92778366413209468</v>
      </c>
      <c r="CC208" s="1184">
        <f>'2024'!R\Max</f>
        <v>0.92777509361320676</v>
      </c>
      <c r="CD208" s="1184">
        <f>'2025'!R\Max</f>
        <v>0.9278000086544913</v>
      </c>
      <c r="CE208" s="1184">
        <f>'2026'!R\Max</f>
        <v>0.92779788821281473</v>
      </c>
      <c r="CF208" s="1185">
        <f>'2027'!R\Max</f>
        <v>0.92779512512959383</v>
      </c>
    </row>
    <row r="209" spans="1:84" s="6" customFormat="1" ht="11.25" x14ac:dyDescent="0.2">
      <c r="A209" s="11">
        <v>43295</v>
      </c>
      <c r="B209" s="380">
        <f>'2022'!Maxi_hp</f>
        <v>61.910407700916835</v>
      </c>
      <c r="C209" s="13">
        <f>'2022'!An_max</f>
        <v>2019</v>
      </c>
      <c r="D209" s="1062">
        <f t="shared" si="97"/>
        <v>1.0162900188421986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53">
        <f t="shared" si="100"/>
        <v>0.35714285714285715</v>
      </c>
      <c r="J209" s="746">
        <f t="shared" si="101"/>
        <v>60.918051494245546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55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53">
        <f t="shared" si="105"/>
        <v>0.32142857142857145</v>
      </c>
      <c r="AT209" s="769">
        <f t="shared" si="106"/>
        <v>60.91404556767084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53">
        <f t="shared" si="110"/>
        <v>0.8214285714285714</v>
      </c>
      <c r="AY209" s="769">
        <f t="shared" si="111"/>
        <v>60.929838893695603</v>
      </c>
      <c r="AZ209" s="746">
        <f t="shared" si="115"/>
        <v>60.921942230683221</v>
      </c>
      <c r="BA209" s="643">
        <f t="shared" si="112"/>
        <v>1.0162900188421986</v>
      </c>
      <c r="BC209" s="11">
        <v>43295</v>
      </c>
      <c r="BD209" s="290">
        <f>[2]!FeuilCaduc*(1-Persistant)+Persistant</f>
        <v>0.99556732469267872</v>
      </c>
      <c r="BE209" s="291">
        <f>[2]!CroissVégét</f>
        <v>0.80173827384170082</v>
      </c>
      <c r="BF209" s="816">
        <f>1+[2]!Salcycl*Ksac</f>
        <v>1.0494459155865847</v>
      </c>
      <c r="BH209" s="1053">
        <f t="shared" si="113"/>
        <v>7.4877805220572257E-4</v>
      </c>
      <c r="BI209" s="11">
        <v>44391</v>
      </c>
      <c r="BJ209" s="726">
        <v>3.1488637648208202E-5</v>
      </c>
      <c r="BK209" s="726">
        <v>2.0830311630067424E-4</v>
      </c>
      <c r="BL209" s="726">
        <v>4.2388769448261352E-4</v>
      </c>
      <c r="BM209" s="726">
        <v>7.4962846010854069E-4</v>
      </c>
      <c r="BN209" s="726">
        <v>1.4066651582053957E-3</v>
      </c>
      <c r="BO209" s="727">
        <v>2.3295824746644247E-3</v>
      </c>
      <c r="BP209" s="726">
        <v>3.6434720538922028E-3</v>
      </c>
      <c r="BQ209" s="726">
        <v>6.5338847428064277E-3</v>
      </c>
      <c r="BR209" s="726">
        <v>9.8934358652746166E-3</v>
      </c>
      <c r="BS209" s="726">
        <v>1.5650135009441197E-2</v>
      </c>
      <c r="BT209" s="726">
        <v>2.240267673340646E-2</v>
      </c>
      <c r="BW209" s="1186">
        <f>'2018'!R\Max</f>
        <v>0</v>
      </c>
      <c r="BX209" s="1184">
        <f>'2019'!R\Max</f>
        <v>1.0162900188421986</v>
      </c>
      <c r="BY209" s="1184">
        <f>'2020'!R\Max</f>
        <v>0.99336781556650777</v>
      </c>
      <c r="BZ209" s="1184">
        <f>'2021'!R\Max</f>
        <v>0.47953775553446742</v>
      </c>
      <c r="CA209" s="1184">
        <f>'2022'!R\Max</f>
        <v>0.91970378686250354</v>
      </c>
      <c r="CB209" s="1184">
        <f>'2023'!R\Max</f>
        <v>0.919698689236915</v>
      </c>
      <c r="CC209" s="1184">
        <f>'2024'!R\Max</f>
        <v>0.91968871838784583</v>
      </c>
      <c r="CD209" s="1184">
        <f>'2025'!R\Max</f>
        <v>0.91971820159061446</v>
      </c>
      <c r="CE209" s="1184">
        <f>'2026'!R\Max</f>
        <v>0.91971565309245762</v>
      </c>
      <c r="CF209" s="1185">
        <f>'2027'!R\Max</f>
        <v>0.91971233453014667</v>
      </c>
    </row>
    <row r="210" spans="1:84" s="6" customFormat="1" ht="11.25" x14ac:dyDescent="0.2">
      <c r="A210" s="11">
        <v>43296</v>
      </c>
      <c r="B210" s="380">
        <f>'2022'!Maxi_hp</f>
        <v>63.341573131215071</v>
      </c>
      <c r="C210" s="13">
        <f>'2022'!An_max</f>
        <v>2019</v>
      </c>
      <c r="D210" s="1062">
        <f t="shared" si="97"/>
        <v>1.0417904101662807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53">
        <f t="shared" si="100"/>
        <v>0.42857142857142855</v>
      </c>
      <c r="J210" s="746">
        <f t="shared" si="101"/>
        <v>60.800687463714596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55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53">
        <f t="shared" si="105"/>
        <v>0.2857142857142857</v>
      </c>
      <c r="AT210" s="769">
        <f t="shared" si="106"/>
        <v>60.795820407995151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53">
        <f t="shared" si="110"/>
        <v>0.7857142857142857</v>
      </c>
      <c r="AY210" s="769">
        <f t="shared" si="111"/>
        <v>60.815073906297663</v>
      </c>
      <c r="AZ210" s="746">
        <f t="shared" si="115"/>
        <v>60.805447157146403</v>
      </c>
      <c r="BA210" s="643">
        <f t="shared" si="112"/>
        <v>1.0417904101662807</v>
      </c>
      <c r="BC210" s="11">
        <v>43296</v>
      </c>
      <c r="BD210" s="290">
        <f>[2]!FeuilCaduc*(1-Persistant)+Persistant</f>
        <v>0.9962526578460128</v>
      </c>
      <c r="BE210" s="291">
        <f>[2]!CroissVégét</f>
        <v>0.80820058265200556</v>
      </c>
      <c r="BF210" s="816">
        <f>1+[2]!Salcycl*Ksac</f>
        <v>1.0495315822307516</v>
      </c>
      <c r="BH210" s="1053">
        <f t="shared" si="113"/>
        <v>7.9270567910454787E-4</v>
      </c>
      <c r="BI210" s="11">
        <v>44392</v>
      </c>
      <c r="BJ210" s="726">
        <v>2.943327681480875E-5</v>
      </c>
      <c r="BK210" s="726">
        <v>2.2099393849978329E-4</v>
      </c>
      <c r="BL210" s="726">
        <v>4.4895170754428792E-4</v>
      </c>
      <c r="BM210" s="726">
        <v>7.9360546294574474E-4</v>
      </c>
      <c r="BN210" s="726">
        <v>1.5088457868203805E-3</v>
      </c>
      <c r="BO210" s="727">
        <v>2.5085566170403198E-3</v>
      </c>
      <c r="BP210" s="726">
        <v>3.9162733206714335E-3</v>
      </c>
      <c r="BQ210" s="726">
        <v>6.9142219993738718E-3</v>
      </c>
      <c r="BR210" s="726">
        <v>1.0363042889416316E-2</v>
      </c>
      <c r="BS210" s="726">
        <v>1.6012853656545964E-2</v>
      </c>
      <c r="BT210" s="726">
        <v>2.2436403199275989E-2</v>
      </c>
      <c r="BW210" s="1186">
        <f>'2018'!R\Max</f>
        <v>0</v>
      </c>
      <c r="BX210" s="1184">
        <f>'2019'!R\Max</f>
        <v>1.0417904101662807</v>
      </c>
      <c r="BY210" s="1184">
        <f>'2020'!R\Max</f>
        <v>0.80090572743581601</v>
      </c>
      <c r="BZ210" s="1184">
        <f>'2021'!R\Max</f>
        <v>0.62384850206438391</v>
      </c>
      <c r="CA210" s="1184">
        <f>'2022'!R\Max</f>
        <v>0.8907505479689819</v>
      </c>
      <c r="CB210" s="1184">
        <f>'2023'!R\Max</f>
        <v>0.89074333196413691</v>
      </c>
      <c r="CC210" s="1184">
        <f>'2024'!R\Max</f>
        <v>0.89072956866027286</v>
      </c>
      <c r="CD210" s="1184">
        <f>'2025'!R\Max</f>
        <v>0.89077115981540622</v>
      </c>
      <c r="CE210" s="1184">
        <f>'2026'!R\Max</f>
        <v>0.89076749446512526</v>
      </c>
      <c r="CF210" s="1185">
        <f>'2027'!R\Max</f>
        <v>0.89076273113655058</v>
      </c>
    </row>
    <row r="211" spans="1:84" s="6" customFormat="1" ht="11.25" x14ac:dyDescent="0.2">
      <c r="A211" s="11">
        <v>43297</v>
      </c>
      <c r="B211" s="380">
        <f>'2022'!Maxi_hp</f>
        <v>61.340662594559738</v>
      </c>
      <c r="C211" s="13">
        <f>'2022'!An_max</f>
        <v>2019</v>
      </c>
      <c r="D211" s="1062">
        <f t="shared" si="97"/>
        <v>1.0108632862054205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53">
        <f t="shared" si="100"/>
        <v>0.5</v>
      </c>
      <c r="J211" s="746">
        <f t="shared" si="101"/>
        <v>60.681462500058117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55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53">
        <f t="shared" si="105"/>
        <v>0.25</v>
      </c>
      <c r="AT211" s="769">
        <f t="shared" si="106"/>
        <v>60.676092187734319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53">
        <f t="shared" si="110"/>
        <v>0.75</v>
      </c>
      <c r="AY211" s="769">
        <f t="shared" si="111"/>
        <v>60.698340624477716</v>
      </c>
      <c r="AZ211" s="746">
        <f t="shared" si="115"/>
        <v>60.687216406106018</v>
      </c>
      <c r="BA211" s="643">
        <f t="shared" si="112"/>
        <v>1.0108632862054205</v>
      </c>
      <c r="BC211" s="11">
        <v>43297</v>
      </c>
      <c r="BD211" s="290">
        <f>[2]!FeuilCaduc*(1-Persistant)+Persistant</f>
        <v>0.99686428648976422</v>
      </c>
      <c r="BE211" s="291">
        <f>[2]!CroissVégét</f>
        <v>0.81450126137468837</v>
      </c>
      <c r="BF211" s="816">
        <f>1+[2]!Salcycl*Ksac</f>
        <v>1.0496080358112205</v>
      </c>
      <c r="BH211" s="1053">
        <f t="shared" si="113"/>
        <v>8.4324561604543066E-4</v>
      </c>
      <c r="BI211" s="11">
        <v>44393</v>
      </c>
      <c r="BJ211" s="726">
        <v>2.7564767657112731E-5</v>
      </c>
      <c r="BK211" s="726">
        <v>2.3565309667348703E-4</v>
      </c>
      <c r="BL211" s="726">
        <v>4.7786034807895312E-4</v>
      </c>
      <c r="BM211" s="726">
        <v>8.4420202029709761E-4</v>
      </c>
      <c r="BN211" s="726">
        <v>1.6229917362154895E-3</v>
      </c>
      <c r="BO211" s="727">
        <v>2.704976300137859E-3</v>
      </c>
      <c r="BP211" s="726">
        <v>4.2110712195383357E-3</v>
      </c>
      <c r="BQ211" s="726">
        <v>7.2984149022270062E-3</v>
      </c>
      <c r="BR211" s="726">
        <v>1.0815785551127744E-2</v>
      </c>
      <c r="BS211" s="726">
        <v>1.6306380754399958E-2</v>
      </c>
      <c r="BT211" s="726">
        <v>2.2337225314790057E-2</v>
      </c>
      <c r="BW211" s="1186">
        <f>'2018'!R\Max</f>
        <v>0</v>
      </c>
      <c r="BX211" s="1184">
        <f>'2019'!R\Max</f>
        <v>1.0108632862054205</v>
      </c>
      <c r="BY211" s="1184">
        <f>'2020'!R\Max</f>
        <v>0.35848929107378003</v>
      </c>
      <c r="BZ211" s="1184">
        <f>'2021'!R\Max</f>
        <v>0.71161474781001921</v>
      </c>
      <c r="CA211" s="1184">
        <f>'2022'!R\Max</f>
        <v>0.9172316851128367</v>
      </c>
      <c r="CB211" s="1184">
        <f>'2023'!R\Max</f>
        <v>0.91722564664744988</v>
      </c>
      <c r="CC211" s="1184">
        <f>'2024'!R\Max</f>
        <v>0.91721447596494077</v>
      </c>
      <c r="CD211" s="1184">
        <f>'2025'!R\Max</f>
        <v>0.91724911871056403</v>
      </c>
      <c r="CE211" s="1184">
        <f>'2026'!R\Max</f>
        <v>0.91724599722727918</v>
      </c>
      <c r="CF211" s="1185">
        <f>'2027'!R\Max</f>
        <v>0.91724195277116338</v>
      </c>
    </row>
    <row r="212" spans="1:84" s="6" customFormat="1" ht="11.25" x14ac:dyDescent="0.2">
      <c r="A212" s="11">
        <v>43298</v>
      </c>
      <c r="B212" s="380">
        <f>'2022'!Maxi_hp</f>
        <v>60.188178256844751</v>
      </c>
      <c r="C212" s="13">
        <f>'2022'!An_max</f>
        <v>2021</v>
      </c>
      <c r="D212" s="1062">
        <f t="shared" si="97"/>
        <v>0.99385233267893258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53">
        <f t="shared" si="100"/>
        <v>0.5714285714285714</v>
      </c>
      <c r="J212" s="746">
        <f t="shared" si="101"/>
        <v>60.560483965064805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55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53">
        <f t="shared" si="105"/>
        <v>0.21428571428571427</v>
      </c>
      <c r="AT212" s="769">
        <f t="shared" si="106"/>
        <v>60.554954846908473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53">
        <f t="shared" si="110"/>
        <v>0.7142857142857143</v>
      </c>
      <c r="AY212" s="769">
        <f t="shared" si="111"/>
        <v>60.579665889378113</v>
      </c>
      <c r="AZ212" s="746">
        <f t="shared" si="115"/>
        <v>60.567310368143296</v>
      </c>
      <c r="BA212" s="643">
        <f t="shared" si="112"/>
        <v>0.99385233267893258</v>
      </c>
      <c r="BC212" s="11">
        <v>43298</v>
      </c>
      <c r="BD212" s="290">
        <f>[2]!FeuilCaduc*(1-Persistant)+Persistant</f>
        <v>0.99740638749766264</v>
      </c>
      <c r="BE212" s="291">
        <f>[2]!CroissVégét</f>
        <v>0.82064117750784105</v>
      </c>
      <c r="BF212" s="816">
        <f>1+[2]!Salcycl*Ksac</f>
        <v>1.0496757984372078</v>
      </c>
      <c r="BH212" s="1053">
        <f t="shared" si="113"/>
        <v>9.0180255526275401E-4</v>
      </c>
      <c r="BI212" s="11">
        <v>44394</v>
      </c>
      <c r="BJ212" s="726">
        <v>2.7515012569909543E-5</v>
      </c>
      <c r="BK212" s="726">
        <v>2.5401857987477337E-4</v>
      </c>
      <c r="BL212" s="726">
        <v>5.1258258280912955E-4</v>
      </c>
      <c r="BM212" s="726">
        <v>9.0282134739567207E-4</v>
      </c>
      <c r="BN212" s="726">
        <v>1.7442506457496449E-3</v>
      </c>
      <c r="BO212" s="727">
        <v>2.9050777650969769E-3</v>
      </c>
      <c r="BP212" s="726">
        <v>4.5022918468844509E-3</v>
      </c>
      <c r="BQ212" s="726">
        <v>7.6536774234410116E-3</v>
      </c>
      <c r="BR212" s="726">
        <v>1.121368686119833E-2</v>
      </c>
      <c r="BS212" s="726">
        <v>1.6505846206252971E-2</v>
      </c>
      <c r="BT212" s="726">
        <v>2.2108845061797222E-2</v>
      </c>
      <c r="BW212" s="1186">
        <f>'2018'!R\Max</f>
        <v>0</v>
      </c>
      <c r="BX212" s="1184">
        <f>'2019'!R\Max</f>
        <v>0.87792437861373696</v>
      </c>
      <c r="BY212" s="1184">
        <f>'2020'!R\Max</f>
        <v>0.42152490037862472</v>
      </c>
      <c r="BZ212" s="1184">
        <f>'2021'!R\Max</f>
        <v>0.99385233267893258</v>
      </c>
      <c r="CA212" s="1184">
        <f>'2022'!R\Max</f>
        <v>0.91186674564747516</v>
      </c>
      <c r="CB212" s="1184">
        <f>'2023'!R\Max</f>
        <v>0.91185994934279435</v>
      </c>
      <c r="CC212" s="1184">
        <f>'2024'!R\Max</f>
        <v>0.91184775878442093</v>
      </c>
      <c r="CD212" s="1184">
        <f>'2025'!R\Max</f>
        <v>0.91188658249690269</v>
      </c>
      <c r="CE212" s="1184">
        <f>'2026'!R\Max</f>
        <v>0.91188300330075445</v>
      </c>
      <c r="CF212" s="1185">
        <f>'2027'!R\Max</f>
        <v>0.91187838386516185</v>
      </c>
    </row>
    <row r="213" spans="1:84" s="6" customFormat="1" ht="11.25" x14ac:dyDescent="0.2">
      <c r="A213" s="11">
        <v>43299</v>
      </c>
      <c r="B213" s="380">
        <f>'2022'!Maxi_hp</f>
        <v>57.23689776410086</v>
      </c>
      <c r="C213" s="13">
        <f>'2022'!An_max</f>
        <v>2022</v>
      </c>
      <c r="D213" s="1062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53">
        <f t="shared" si="100"/>
        <v>0.6428571428571429</v>
      </c>
      <c r="J213" s="746">
        <f t="shared" si="101"/>
        <v>60.437859220044423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55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53">
        <f t="shared" si="105"/>
        <v>0.17857142857142858</v>
      </c>
      <c r="AT213" s="769">
        <f t="shared" si="106"/>
        <v>60.432502327779574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53">
        <f t="shared" si="110"/>
        <v>0.6785714285714286</v>
      </c>
      <c r="AY213" s="769">
        <f t="shared" si="111"/>
        <v>60.459076539633273</v>
      </c>
      <c r="AZ213" s="746">
        <f t="shared" si="115"/>
        <v>60.445789433706423</v>
      </c>
      <c r="BA213" s="643">
        <f t="shared" si="112"/>
        <v>0.94703714695966679</v>
      </c>
      <c r="BC213" s="11">
        <v>43299</v>
      </c>
      <c r="BD213" s="290">
        <f>[2]!FeuilCaduc*(1-Persistant)+Persistant</f>
        <v>0.99788305226322138</v>
      </c>
      <c r="BE213" s="291">
        <f>[2]!CroissVégét</f>
        <v>0.82662141934042188</v>
      </c>
      <c r="BF213" s="816">
        <f>1+[2]!Salcycl*Ksac</f>
        <v>1.0497353815329027</v>
      </c>
      <c r="BH213" s="1053">
        <f t="shared" si="113"/>
        <v>9.6786568886985042E-4</v>
      </c>
      <c r="BI213" s="11">
        <v>44395</v>
      </c>
      <c r="BJ213" s="726">
        <v>2.950385047339095E-5</v>
      </c>
      <c r="BK213" s="726">
        <v>2.760688086263173E-4</v>
      </c>
      <c r="BL213" s="726">
        <v>5.5304153158658117E-4</v>
      </c>
      <c r="BM213" s="726">
        <v>9.6895150053907266E-4</v>
      </c>
      <c r="BN213" s="726">
        <v>1.8687382610220842E-3</v>
      </c>
      <c r="BO213" s="727">
        <v>3.1004176415043616E-3</v>
      </c>
      <c r="BP213" s="726">
        <v>4.7759128469628074E-3</v>
      </c>
      <c r="BQ213" s="726">
        <v>7.9634682631201607E-3</v>
      </c>
      <c r="BR213" s="726">
        <v>1.153949960652024E-2</v>
      </c>
      <c r="BS213" s="726">
        <v>1.6625326292038407E-2</v>
      </c>
      <c r="BT213" s="726">
        <v>2.182701864204431E-2</v>
      </c>
      <c r="BW213" s="1186">
        <f>'2018'!R\Max</f>
        <v>0</v>
      </c>
      <c r="BX213" s="1184">
        <f>'2019'!R\Max</f>
        <v>0.67750505323525811</v>
      </c>
      <c r="BY213" s="1184">
        <f>'2020'!R\Max</f>
        <v>0.46043497313277865</v>
      </c>
      <c r="BZ213" s="1184">
        <f>'2021'!R\Max</f>
        <v>0.89734318362830334</v>
      </c>
      <c r="CA213" s="1184">
        <f>'2022'!R\Max</f>
        <v>0.94703714695966679</v>
      </c>
      <c r="CB213" s="1184">
        <f>'2023'!R\Max</f>
        <v>0.94703268615122216</v>
      </c>
      <c r="CC213" s="1184">
        <f>'2024'!R\Max</f>
        <v>0.94702491742508743</v>
      </c>
      <c r="CD213" s="1184">
        <f>'2025'!R\Max</f>
        <v>0.94705030962401682</v>
      </c>
      <c r="CE213" s="1184">
        <f>'2026'!R\Max</f>
        <v>0.94704791492521079</v>
      </c>
      <c r="CF213" s="1185">
        <f>'2027'!R\Max</f>
        <v>0.94704483860971067</v>
      </c>
    </row>
    <row r="214" spans="1:84" s="6" customFormat="1" ht="11.25" x14ac:dyDescent="0.2">
      <c r="A214" s="11">
        <v>43300</v>
      </c>
      <c r="B214" s="380">
        <f>'2022'!Maxi_hp</f>
        <v>60.582660665176114</v>
      </c>
      <c r="C214" s="13">
        <f>'2022'!An_max</f>
        <v>2020</v>
      </c>
      <c r="D214" s="1062">
        <f t="shared" si="97"/>
        <v>1.0044594355515597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53">
        <f t="shared" si="100"/>
        <v>0.7142857142857143</v>
      </c>
      <c r="J214" s="746">
        <f t="shared" si="101"/>
        <v>60.313695626652667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55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53">
        <f t="shared" si="105"/>
        <v>0.14285714285714285</v>
      </c>
      <c r="AT214" s="769">
        <f t="shared" si="106"/>
        <v>60.308828571438788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53">
        <f t="shared" si="110"/>
        <v>0.6428571428571429</v>
      </c>
      <c r="AY214" s="769">
        <f t="shared" si="111"/>
        <v>60.33659941701751</v>
      </c>
      <c r="AZ214" s="746">
        <f t="shared" si="115"/>
        <v>60.322713994228153</v>
      </c>
      <c r="BA214" s="643">
        <f t="shared" si="112"/>
        <v>1.0044594355515597</v>
      </c>
      <c r="BC214" s="11">
        <v>43300</v>
      </c>
      <c r="BD214" s="290">
        <f>[2]!FeuilCaduc*(1-Persistant)+Persistant</f>
        <v>0.99829826754140993</v>
      </c>
      <c r="BE214" s="291">
        <f>[2]!CroissVégét</f>
        <v>0.83244328187154937</v>
      </c>
      <c r="BF214" s="816">
        <f>1+[2]!Salcycl*Ksac</f>
        <v>1.0497872834426762</v>
      </c>
      <c r="BH214" s="1053">
        <f t="shared" si="113"/>
        <v>1.0414307379815919E-3</v>
      </c>
      <c r="BI214" s="11">
        <v>44396</v>
      </c>
      <c r="BJ214" s="726">
        <v>3.3529309125466304E-5</v>
      </c>
      <c r="BK214" s="726">
        <v>3.0180112601894927E-4</v>
      </c>
      <c r="BL214" s="726">
        <v>5.9923339002910831E-4</v>
      </c>
      <c r="BM214" s="726">
        <v>1.0425881996001499E-3</v>
      </c>
      <c r="BN214" s="726">
        <v>1.9964576495641517E-3</v>
      </c>
      <c r="BO214" s="727">
        <v>3.2910108433156938E-3</v>
      </c>
      <c r="BP214" s="726">
        <v>5.0319664962258231E-3</v>
      </c>
      <c r="BQ214" s="726">
        <v>8.2278515342303835E-3</v>
      </c>
      <c r="BR214" s="726">
        <v>1.1793317860877395E-2</v>
      </c>
      <c r="BS214" s="726">
        <v>1.6664917670460581E-2</v>
      </c>
      <c r="BT214" s="726">
        <v>2.1491802214708294E-2</v>
      </c>
      <c r="BW214" s="1186">
        <f>'2018'!R\Max</f>
        <v>0</v>
      </c>
      <c r="BX214" s="1184">
        <f>'2019'!R\Max</f>
        <v>0.99238138269496645</v>
      </c>
      <c r="BY214" s="1184">
        <f>'2020'!R\Max</f>
        <v>1.0044594355515597</v>
      </c>
      <c r="BZ214" s="1184">
        <f>'2021'!R\Max</f>
        <v>0.98733355257302102</v>
      </c>
      <c r="CA214" s="1184">
        <f>'2022'!R\Max</f>
        <v>0.76137523991933742</v>
      </c>
      <c r="CB214" s="1184">
        <f>'2023'!R\Max</f>
        <v>0.76135840914024111</v>
      </c>
      <c r="CC214" s="1184">
        <f>'2024'!R\Max</f>
        <v>0.76132993972047769</v>
      </c>
      <c r="CD214" s="1184">
        <f>'2025'!R\Max</f>
        <v>0.76142546020231827</v>
      </c>
      <c r="CE214" s="1184">
        <f>'2026'!R\Max</f>
        <v>0.76141624115039985</v>
      </c>
      <c r="CF214" s="1185">
        <f>'2027'!R\Max</f>
        <v>0.76140446225423342</v>
      </c>
    </row>
    <row r="215" spans="1:84" s="6" customFormat="1" ht="11.25" x14ac:dyDescent="0.2">
      <c r="A215" s="11">
        <v>43301</v>
      </c>
      <c r="B215" s="380">
        <f>'2022'!Maxi_hp</f>
        <v>59.347072848746947</v>
      </c>
      <c r="C215" s="13">
        <f>'2022'!An_max</f>
        <v>2020</v>
      </c>
      <c r="D215" s="1062">
        <f t="shared" si="97"/>
        <v>0.98602667819363476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53">
        <f t="shared" si="100"/>
        <v>0.7857142857142857</v>
      </c>
      <c r="J215" s="746">
        <f t="shared" si="101"/>
        <v>60.188100546598434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55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53">
        <f t="shared" si="105"/>
        <v>0.10714285714285714</v>
      </c>
      <c r="AT215" s="769">
        <f t="shared" si="106"/>
        <v>60.184027519329845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53">
        <f t="shared" si="110"/>
        <v>0.6071428571428571</v>
      </c>
      <c r="AY215" s="769">
        <f t="shared" si="111"/>
        <v>60.212261360890366</v>
      </c>
      <c r="AZ215" s="746">
        <f t="shared" si="115"/>
        <v>60.198144440110106</v>
      </c>
      <c r="BA215" s="643">
        <f t="shared" si="112"/>
        <v>0.98602667819363476</v>
      </c>
      <c r="BC215" s="11">
        <v>43301</v>
      </c>
      <c r="BD215" s="290">
        <f>[2]!FeuilCaduc*(1-Persistant)+Persistant</f>
        <v>0.99865589771572472</v>
      </c>
      <c r="BE215" s="291">
        <f>[2]!CroissVégét</f>
        <v>0.83810825274241962</v>
      </c>
      <c r="BF215" s="816">
        <f>1+[2]!Salcycl*Ksac</f>
        <v>1.0498319872144657</v>
      </c>
      <c r="BH215" s="1053">
        <f t="shared" si="113"/>
        <v>1.1224942472364684E-3</v>
      </c>
      <c r="BI215" s="11">
        <v>44397</v>
      </c>
      <c r="BJ215" s="726">
        <v>3.958960124571837E-5</v>
      </c>
      <c r="BK215" s="726">
        <v>3.3121325424693092E-4</v>
      </c>
      <c r="BL215" s="726">
        <v>6.5115495882836396E-4</v>
      </c>
      <c r="BM215" s="726">
        <v>1.1237279885471679E-3</v>
      </c>
      <c r="BN215" s="726">
        <v>2.127412466158247E-3</v>
      </c>
      <c r="BO215" s="727">
        <v>3.4768723374746205E-3</v>
      </c>
      <c r="BP215" s="726">
        <v>5.2704841793726398E-3</v>
      </c>
      <c r="BQ215" s="726">
        <v>8.4468880817823618E-3</v>
      </c>
      <c r="BR215" s="726">
        <v>1.1975230115661928E-2</v>
      </c>
      <c r="BS215" s="726">
        <v>1.6624710216299965E-2</v>
      </c>
      <c r="BT215" s="726">
        <v>2.1103246522265653E-2</v>
      </c>
      <c r="BW215" s="1186">
        <f>'2018'!R\Max</f>
        <v>0</v>
      </c>
      <c r="BX215" s="1184">
        <f>'2019'!R\Max</f>
        <v>0.46759344555762183</v>
      </c>
      <c r="BY215" s="1184">
        <f>'2020'!R\Max</f>
        <v>0.98602667819363476</v>
      </c>
      <c r="BZ215" s="1184">
        <f>'2021'!R\Max</f>
        <v>0.84201679687003106</v>
      </c>
      <c r="CA215" s="1184">
        <f>'2022'!R\Max</f>
        <v>0.77070651001824053</v>
      </c>
      <c r="CB215" s="1184">
        <f>'2023'!R\Max</f>
        <v>0.77068960265438613</v>
      </c>
      <c r="CC215" s="1184">
        <f>'2024'!R\Max</f>
        <v>0.77066183548434797</v>
      </c>
      <c r="CD215" s="1184">
        <f>'2025'!R\Max</f>
        <v>0.77075753897348676</v>
      </c>
      <c r="CE215" s="1184">
        <f>'2026'!R\Max</f>
        <v>0.77074808056768673</v>
      </c>
      <c r="CF215" s="1185">
        <f>'2027'!R\Max</f>
        <v>0.77073607037825309</v>
      </c>
    </row>
    <row r="216" spans="1:84" s="6" customFormat="1" ht="11.25" x14ac:dyDescent="0.2">
      <c r="A216" s="11">
        <v>43302</v>
      </c>
      <c r="B216" s="380">
        <f>'2022'!Maxi_hp</f>
        <v>54.562753738097314</v>
      </c>
      <c r="C216" s="13">
        <f>'2022'!An_max</f>
        <v>2022</v>
      </c>
      <c r="D216" s="1062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53">
        <f t="shared" si="100"/>
        <v>0.8571428571428571</v>
      </c>
      <c r="J216" s="746">
        <f t="shared" si="101"/>
        <v>60.061181341164875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55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53">
        <f t="shared" si="105"/>
        <v>7.1428571428571425E-2</v>
      </c>
      <c r="AT216" s="769">
        <f t="shared" si="106"/>
        <v>60.058193112470747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53">
        <f t="shared" si="110"/>
        <v>0.5714285714285714</v>
      </c>
      <c r="AY216" s="769">
        <f t="shared" si="111"/>
        <v>60.086089212527234</v>
      </c>
      <c r="AZ216" s="746">
        <f t="shared" si="115"/>
        <v>60.072141162498994</v>
      </c>
      <c r="BA216" s="643">
        <f t="shared" si="112"/>
        <v>0.90845288953217718</v>
      </c>
      <c r="BC216" s="11">
        <v>43302</v>
      </c>
      <c r="BD216" s="290">
        <f>[2]!FeuilCaduc*(1-Persistant)+Persistant</f>
        <v>0.99895966858194629</v>
      </c>
      <c r="BE216" s="291">
        <f>[2]!CroissVégét</f>
        <v>0.84361799825853956</v>
      </c>
      <c r="BF216" s="816">
        <f>1+[2]!Salcycl*Ksac</f>
        <v>1.0498699585727433</v>
      </c>
      <c r="BH216" s="1053">
        <f t="shared" si="113"/>
        <v>1.2110536294277691E-3</v>
      </c>
      <c r="BI216" s="11">
        <v>44398</v>
      </c>
      <c r="BJ216" s="726">
        <v>4.7683136590977777E-5</v>
      </c>
      <c r="BK216" s="726">
        <v>3.6430331649166221E-4</v>
      </c>
      <c r="BL216" s="726">
        <v>7.0880367783473109E-4</v>
      </c>
      <c r="BM216" s="726">
        <v>1.212368280102594E-3</v>
      </c>
      <c r="BN216" s="726">
        <v>2.2616069723065111E-3</v>
      </c>
      <c r="BO216" s="727">
        <v>3.6580171162586351E-3</v>
      </c>
      <c r="BP216" s="726">
        <v>5.4914962858610547E-3</v>
      </c>
      <c r="BQ216" s="726">
        <v>8.6206352141840331E-3</v>
      </c>
      <c r="BR216" s="726">
        <v>1.2085318853379155E-2</v>
      </c>
      <c r="BS216" s="726">
        <v>1.6504786545838077E-2</v>
      </c>
      <c r="BT216" s="726">
        <v>2.0661396570894882E-2</v>
      </c>
      <c r="BW216" s="1186">
        <f>'2018'!R\Max</f>
        <v>0</v>
      </c>
      <c r="BX216" s="1184">
        <f>'2019'!R\Max</f>
        <v>0.78415637863872456</v>
      </c>
      <c r="BY216" s="1184">
        <f>'2020'!R\Max</f>
        <v>0.87676511140649782</v>
      </c>
      <c r="BZ216" s="1184">
        <f>'2021'!R\Max</f>
        <v>0.75209275174860979</v>
      </c>
      <c r="CA216" s="1184">
        <f>'2022'!R\Max</f>
        <v>0.90845288953217718</v>
      </c>
      <c r="CB216" s="1184">
        <f>'2023'!R\Max</f>
        <v>0.90844473597393405</v>
      </c>
      <c r="CC216" s="1184">
        <f>'2024'!R\Max</f>
        <v>0.9084317496938894</v>
      </c>
      <c r="CD216" s="1184">
        <f>'2025'!R\Max</f>
        <v>0.90847779245066806</v>
      </c>
      <c r="CE216" s="1184">
        <f>'2026'!R\Max</f>
        <v>0.9084731282618167</v>
      </c>
      <c r="CF216" s="1185">
        <f>'2027'!R\Max</f>
        <v>0.90846724686285085</v>
      </c>
    </row>
    <row r="217" spans="1:84" s="6" customFormat="1" ht="11.25" x14ac:dyDescent="0.2">
      <c r="A217" s="11">
        <v>43303</v>
      </c>
      <c r="B217" s="380">
        <f>'2022'!Maxi_hp</f>
        <v>55.563972127949256</v>
      </c>
      <c r="C217" s="13">
        <f>'2022'!An_max</f>
        <v>2021</v>
      </c>
      <c r="D217" s="1062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53">
        <f t="shared" si="100"/>
        <v>0.9285714285714286</v>
      </c>
      <c r="J217" s="746">
        <f t="shared" si="101"/>
        <v>59.933045371608536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55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53">
        <f t="shared" si="105"/>
        <v>3.5714285714285712E-2</v>
      </c>
      <c r="AT217" s="769">
        <f t="shared" si="106"/>
        <v>59.931419292005842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53">
        <f t="shared" si="110"/>
        <v>0.5357142857142857</v>
      </c>
      <c r="AY217" s="769">
        <f t="shared" si="111"/>
        <v>59.958109812079257</v>
      </c>
      <c r="AZ217" s="746">
        <f t="shared" si="115"/>
        <v>59.94476455204255</v>
      </c>
      <c r="BA217" s="643">
        <f t="shared" si="112"/>
        <v>0.92710076358427473</v>
      </c>
      <c r="BC217" s="11">
        <v>43303</v>
      </c>
      <c r="BD217" s="290">
        <f>[2]!FeuilCaduc*(1-Persistant)+Persistant</f>
        <v>0.99921315272422606</v>
      </c>
      <c r="BE217" s="291">
        <f>[2]!CroissVégét</f>
        <v>0.84897434957309781</v>
      </c>
      <c r="BF217" s="816">
        <f>1+[2]!Salcycl*Ksac</f>
        <v>1.0499016440905282</v>
      </c>
      <c r="BH217" s="1053">
        <f t="shared" si="113"/>
        <v>1.3071072101376823E-3</v>
      </c>
      <c r="BI217" s="11">
        <v>44399</v>
      </c>
      <c r="BJ217" s="726">
        <v>5.7808534030877021E-5</v>
      </c>
      <c r="BK217" s="726">
        <v>4.0106985880601707E-4</v>
      </c>
      <c r="BL217" s="726">
        <v>7.7217766014367971E-4</v>
      </c>
      <c r="BM217" s="726">
        <v>1.3085074004048048E-3</v>
      </c>
      <c r="BN217" s="726">
        <v>2.399046055705927E-3</v>
      </c>
      <c r="BO217" s="727">
        <v>3.8344601696365804E-3</v>
      </c>
      <c r="BP217" s="726">
        <v>5.6950321064388777E-3</v>
      </c>
      <c r="BQ217" s="726">
        <v>8.7491464346314152E-3</v>
      </c>
      <c r="BR217" s="726">
        <v>1.2123660121212515E-2</v>
      </c>
      <c r="BS217" s="726">
        <v>1.6305221542378987E-2</v>
      </c>
      <c r="BT217" s="726">
        <v>2.0166291311017482E-2</v>
      </c>
      <c r="BW217" s="1186">
        <f>'2018'!R\Max</f>
        <v>0</v>
      </c>
      <c r="BX217" s="1184">
        <f>'2019'!R\Max</f>
        <v>0.82979832352416294</v>
      </c>
      <c r="BY217" s="1184">
        <f>'2020'!R\Max</f>
        <v>0.92301936650766248</v>
      </c>
      <c r="BZ217" s="1184">
        <f>'2021'!R\Max</f>
        <v>0.92710076358427473</v>
      </c>
      <c r="CA217" s="1184">
        <f>'2022'!R\Max</f>
        <v>0.72575197591118001</v>
      </c>
      <c r="CB217" s="1184">
        <f>'2023'!R\Max</f>
        <v>0.72573212709838553</v>
      </c>
      <c r="CC217" s="1184">
        <f>'2024'!R\Max</f>
        <v>0.72570153160685702</v>
      </c>
      <c r="CD217" s="1184">
        <f>'2025'!R\Max</f>
        <v>0.72581337228606246</v>
      </c>
      <c r="CE217" s="1184">
        <f>'2026'!R\Max</f>
        <v>0.72580174154467025</v>
      </c>
      <c r="CF217" s="1185">
        <f>'2027'!R\Max</f>
        <v>0.72578719036430728</v>
      </c>
    </row>
    <row r="218" spans="1:84" s="6" customFormat="1" ht="11.25" x14ac:dyDescent="0.2">
      <c r="A218" s="11">
        <v>43304</v>
      </c>
      <c r="B218" s="380">
        <f>'2022'!Maxi_hp</f>
        <v>57.937152506467669</v>
      </c>
      <c r="C218" s="13">
        <f>'2022'!An_max</f>
        <v>2019</v>
      </c>
      <c r="D218" s="1062" t="str">
        <f t="shared" si="97"/>
        <v/>
      </c>
      <c r="E218" s="1057">
        <f>AB$13/10</f>
        <v>59.803800000000003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53">
        <f t="shared" si="100"/>
        <v>1</v>
      </c>
      <c r="J218" s="746">
        <f t="shared" si="101"/>
        <v>59.80379999987781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55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53">
        <f t="shared" si="105"/>
        <v>0</v>
      </c>
      <c r="AT218" s="769">
        <f t="shared" si="106"/>
        <v>59.80379999987781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53">
        <f t="shared" si="110"/>
        <v>0.5</v>
      </c>
      <c r="AY218" s="769">
        <f t="shared" si="111"/>
        <v>59.828349999617785</v>
      </c>
      <c r="AZ218" s="746">
        <f t="shared" si="115"/>
        <v>59.816074999747798</v>
      </c>
      <c r="BA218" s="643">
        <f t="shared" si="112"/>
        <v>0.96878714239874464</v>
      </c>
      <c r="BC218" s="11">
        <v>43304</v>
      </c>
      <c r="BD218" s="290">
        <f>[2]!FeuilCaduc*(1-Persistant)+Persistant</f>
        <v>0.99941975654296478</v>
      </c>
      <c r="BE218" s="291">
        <f>[2]!CroissVégét</f>
        <v>0.854179289095362</v>
      </c>
      <c r="BF218" s="816">
        <f>1+[2]!Salcycl*Ksac</f>
        <v>1.0499274695678706</v>
      </c>
      <c r="BH218" s="1053">
        <f t="shared" si="113"/>
        <v>1.410654272400262E-3</v>
      </c>
      <c r="BI218" s="11">
        <v>44400</v>
      </c>
      <c r="BJ218" s="726">
        <v>6.9964633624626545E-5</v>
      </c>
      <c r="BK218" s="726">
        <v>4.4151187200749584E-4</v>
      </c>
      <c r="BL218" s="726">
        <v>8.4127572619914601E-4</v>
      </c>
      <c r="BM218" s="726">
        <v>1.4121446336986946E-3</v>
      </c>
      <c r="BN218" s="726">
        <v>2.5397352497767518E-3</v>
      </c>
      <c r="BO218" s="727">
        <v>4.0062164577117252E-3</v>
      </c>
      <c r="BP218" s="726">
        <v>5.8811197298027414E-3</v>
      </c>
      <c r="BQ218" s="726">
        <v>8.8324711726957394E-3</v>
      </c>
      <c r="BR218" s="726">
        <v>1.2090323104860854E-2</v>
      </c>
      <c r="BS218" s="726">
        <v>1.6026081882136466E-2</v>
      </c>
      <c r="BT218" s="726">
        <v>1.9617963318289616E-2</v>
      </c>
      <c r="BW218" s="1186">
        <f>'2018'!R\Max</f>
        <v>0</v>
      </c>
      <c r="BX218" s="1184">
        <f>'2019'!R\Max</f>
        <v>0.96878714239874464</v>
      </c>
      <c r="BY218" s="1184">
        <f>'2020'!R\Max</f>
        <v>0.90465399834549887</v>
      </c>
      <c r="BZ218" s="1184">
        <f>'2021'!R\Max</f>
        <v>0.78932466354371078</v>
      </c>
      <c r="CA218" s="1184">
        <f>'2022'!R\Max</f>
        <v>0.81290881180824259</v>
      </c>
      <c r="CB218" s="1184">
        <f>'2023'!R\Max</f>
        <v>0.81289349164674141</v>
      </c>
      <c r="CC218" s="1184">
        <f>'2024'!R\Max</f>
        <v>0.81287070126029326</v>
      </c>
      <c r="CD218" s="1184">
        <f>'2025'!R\Max</f>
        <v>0.81295683933190588</v>
      </c>
      <c r="CE218" s="1184">
        <f>'2026'!R\Max</f>
        <v>0.81294762876706061</v>
      </c>
      <c r="CF218" s="1185">
        <f>'2027'!R\Max</f>
        <v>0.81293620568252689</v>
      </c>
    </row>
    <row r="219" spans="1:84" s="6" customFormat="1" ht="11.25" x14ac:dyDescent="0.2">
      <c r="A219" s="11">
        <v>43305</v>
      </c>
      <c r="B219" s="380">
        <f>'2022'!Maxi_hp</f>
        <v>57.924820130429069</v>
      </c>
      <c r="C219" s="13">
        <f>'2022'!An_max</f>
        <v>2019</v>
      </c>
      <c r="D219" s="1062">
        <f t="shared" si="97"/>
        <v>0.97069938286253277</v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53">
        <f t="shared" si="100"/>
        <v>0.9285714285714286</v>
      </c>
      <c r="J219" s="746">
        <f t="shared" si="101"/>
        <v>59.673284183628859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55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53">
        <f t="shared" si="105"/>
        <v>3.5714285714285712E-2</v>
      </c>
      <c r="AT219" s="769">
        <f t="shared" si="106"/>
        <v>59.675579036240073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53">
        <f t="shared" si="110"/>
        <v>0.4642857142857143</v>
      </c>
      <c r="AY219" s="769">
        <f t="shared" si="111"/>
        <v>59.696836616358311</v>
      </c>
      <c r="AZ219" s="746">
        <f t="shared" si="115"/>
        <v>59.686207826299196</v>
      </c>
      <c r="BA219" s="643">
        <f t="shared" si="112"/>
        <v>0.97069938286253277</v>
      </c>
      <c r="BC219" s="11">
        <v>43305</v>
      </c>
      <c r="BD219" s="290">
        <f>[2]!FeuilCaduc*(1-Persistant)+Persistant</f>
        <v>0.99958270897738566</v>
      </c>
      <c r="BE219" s="291">
        <f>[2]!CroissVégét</f>
        <v>0.85923493718111654</v>
      </c>
      <c r="BF219" s="816">
        <f>1+[2]!Salcycl*Ksac</f>
        <v>1.0499478386221732</v>
      </c>
      <c r="BH219" s="1053">
        <f t="shared" si="113"/>
        <v>1.5216926440431227E-3</v>
      </c>
      <c r="BI219" s="11">
        <v>44401</v>
      </c>
      <c r="BJ219" s="726">
        <v>8.4150372807435692E-5</v>
      </c>
      <c r="BK219" s="726">
        <v>4.8562802935073077E-4</v>
      </c>
      <c r="BL219" s="726">
        <v>9.1609595853055247E-4</v>
      </c>
      <c r="BM219" s="726">
        <v>1.5232778071451905E-3</v>
      </c>
      <c r="BN219" s="726">
        <v>2.6836764194231155E-3</v>
      </c>
      <c r="BO219" s="727">
        <v>4.1732941438640337E-3</v>
      </c>
      <c r="BP219" s="726">
        <v>6.0497761696863168E-3</v>
      </c>
      <c r="BQ219" s="726">
        <v>8.8706401910043902E-3</v>
      </c>
      <c r="BR219" s="726">
        <v>1.1985350347609593E-2</v>
      </c>
      <c r="BS219" s="726">
        <v>1.5667400259302241E-2</v>
      </c>
      <c r="BT219" s="726">
        <v>1.9016407765539763E-2</v>
      </c>
      <c r="BW219" s="1186">
        <f>'2018'!R\Max</f>
        <v>0</v>
      </c>
      <c r="BX219" s="1184">
        <f>'2019'!R\Max</f>
        <v>0.97069938286253277</v>
      </c>
      <c r="BY219" s="1184">
        <f>'2020'!R\Max</f>
        <v>0.8650452206340502</v>
      </c>
      <c r="BZ219" s="1184">
        <f>'2021'!R\Max</f>
        <v>0.50762157203232194</v>
      </c>
      <c r="CA219" s="1184">
        <f>'2022'!R\Max</f>
        <v>0.9138433014488001</v>
      </c>
      <c r="CB219" s="1184">
        <f>'2023'!R\Max</f>
        <v>0.91383534498762575</v>
      </c>
      <c r="CC219" s="1184">
        <f>'2024'!R\Max</f>
        <v>0.91382396711463365</v>
      </c>
      <c r="CD219" s="1184">
        <f>'2025'!R\Max</f>
        <v>0.91386860642445245</v>
      </c>
      <c r="CE219" s="1184">
        <f>'2026'!R\Max</f>
        <v>0.91386368828257447</v>
      </c>
      <c r="CF219" s="1185">
        <f>'2027'!R\Max</f>
        <v>0.91385764772224787</v>
      </c>
    </row>
    <row r="220" spans="1:84" s="6" customFormat="1" ht="11.25" x14ac:dyDescent="0.2">
      <c r="A220" s="11">
        <v>43306</v>
      </c>
      <c r="B220" s="380">
        <f>'2022'!Maxi_hp</f>
        <v>58.619065963281635</v>
      </c>
      <c r="C220" s="13">
        <f>'2022'!An_max</f>
        <v>2019</v>
      </c>
      <c r="D220" s="1062">
        <f t="shared" si="97"/>
        <v>0.98451159312676451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53">
        <f t="shared" si="100"/>
        <v>0.8571428571428571</v>
      </c>
      <c r="J220" s="746">
        <f t="shared" si="101"/>
        <v>59.541265306089613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55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53">
        <f t="shared" si="105"/>
        <v>7.1428571428571425E-2</v>
      </c>
      <c r="AT220" s="769">
        <f t="shared" si="106"/>
        <v>59.546848105013908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53">
        <f t="shared" si="110"/>
        <v>0.42857142857142855</v>
      </c>
      <c r="AY220" s="769">
        <f t="shared" si="111"/>
        <v>59.56359650136104</v>
      </c>
      <c r="AZ220" s="746">
        <f t="shared" si="115"/>
        <v>59.555222303187477</v>
      </c>
      <c r="BA220" s="643">
        <f t="shared" si="112"/>
        <v>0.98451159312676451</v>
      </c>
      <c r="BC220" s="11">
        <v>43306</v>
      </c>
      <c r="BD220" s="290">
        <f>[2]!FeuilCaduc*(1-Persistant)+Persistant</f>
        <v>0.99970505194896342</v>
      </c>
      <c r="BE220" s="291">
        <f>[2]!CroissVégét</f>
        <v>0.86414353915538655</v>
      </c>
      <c r="BF220" s="816">
        <f>1+[2]!Salcycl*Ksac</f>
        <v>1.0499631314936204</v>
      </c>
      <c r="BH220" s="1053">
        <f t="shared" si="113"/>
        <v>1.6296651608150544E-3</v>
      </c>
      <c r="BI220" s="11">
        <v>44402</v>
      </c>
      <c r="BJ220" s="726">
        <v>1.0036542905468327E-4</v>
      </c>
      <c r="BK220" s="726">
        <v>5.3026717733142955E-4</v>
      </c>
      <c r="BL220" s="726">
        <v>9.9022719548910688E-4</v>
      </c>
      <c r="BM220" s="726">
        <v>1.6313389042369461E-3</v>
      </c>
      <c r="BN220" s="726">
        <v>2.8156721107182908E-3</v>
      </c>
      <c r="BO220" s="727">
        <v>4.3163315583789252E-3</v>
      </c>
      <c r="BP220" s="726">
        <v>6.1792640190992546E-3</v>
      </c>
      <c r="BQ220" s="726">
        <v>8.8495554625425497E-3</v>
      </c>
      <c r="BR220" s="726">
        <v>1.180299662259713E-2</v>
      </c>
      <c r="BS220" s="726">
        <v>1.5231942827595744E-2</v>
      </c>
      <c r="BT220" s="726">
        <v>1.8363767755498566E-2</v>
      </c>
      <c r="BW220" s="1186">
        <f>'2018'!R\Max</f>
        <v>0.38069977322522336</v>
      </c>
      <c r="BX220" s="1184">
        <f>'2019'!R\Max</f>
        <v>0.98451159312676451</v>
      </c>
      <c r="BY220" s="1184">
        <f>'2020'!R\Max</f>
        <v>0.97456041397706794</v>
      </c>
      <c r="BZ220" s="1184">
        <f>'2021'!R\Max</f>
        <v>0.64992492692057124</v>
      </c>
      <c r="CA220" s="1184">
        <f>'2022'!R\Max</f>
        <v>0.4680143957358085</v>
      </c>
      <c r="CB220" s="1184">
        <f>'2023'!R\Max</f>
        <v>0.46798935960704224</v>
      </c>
      <c r="CC220" s="1184">
        <f>'2024'!R\Max</f>
        <v>0.46795500265345541</v>
      </c>
      <c r="CD220" s="1184">
        <f>'2025'!R\Max</f>
        <v>0.46809518631445279</v>
      </c>
      <c r="CE220" s="1184">
        <f>'2026'!R\Max</f>
        <v>0.46807927178067843</v>
      </c>
      <c r="CF220" s="1185">
        <f>'2027'!R\Max</f>
        <v>0.46805991824166659</v>
      </c>
    </row>
    <row r="221" spans="1:84" s="6" customFormat="1" ht="11.25" x14ac:dyDescent="0.2">
      <c r="A221" s="11">
        <v>43307</v>
      </c>
      <c r="B221" s="380">
        <f>'2022'!Maxi_hp</f>
        <v>58.593405907385026</v>
      </c>
      <c r="C221" s="13">
        <f>'2022'!An_max</f>
        <v>2022</v>
      </c>
      <c r="D221" s="1062">
        <f t="shared" si="97"/>
        <v>0.9862924020722218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53">
        <f t="shared" si="100"/>
        <v>0.7857142857142857</v>
      </c>
      <c r="J221" s="746">
        <f t="shared" si="101"/>
        <v>59.407743367260061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55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53">
        <f t="shared" si="105"/>
        <v>0.10714285714285714</v>
      </c>
      <c r="AT221" s="769">
        <f t="shared" si="106"/>
        <v>59.417473004658575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53">
        <f t="shared" si="110"/>
        <v>0.39285714285714285</v>
      </c>
      <c r="AY221" s="769">
        <f t="shared" si="111"/>
        <v>59.428656496027756</v>
      </c>
      <c r="AZ221" s="746">
        <f t="shared" si="115"/>
        <v>59.423064750343165</v>
      </c>
      <c r="BA221" s="643">
        <f t="shared" si="112"/>
        <v>0.9862924020722218</v>
      </c>
      <c r="BC221" s="11">
        <v>43307</v>
      </c>
      <c r="BD221" s="290">
        <f>[2]!FeuilCaduc*(1-Persistant)+Persistant</f>
        <v>0.99978963253507569</v>
      </c>
      <c r="BE221" s="291">
        <f>[2]!CroissVégét</f>
        <v>0.86890745271110437</v>
      </c>
      <c r="BF221" s="816">
        <f>1+[2]!Salcycl*Ksac</f>
        <v>1.0499737040668844</v>
      </c>
      <c r="BH221" s="1053">
        <f t="shared" si="113"/>
        <v>1.728465909036241E-3</v>
      </c>
      <c r="BI221" s="11">
        <v>44403</v>
      </c>
      <c r="BJ221" s="726">
        <v>1.1820335498296294E-4</v>
      </c>
      <c r="BK221" s="726">
        <v>5.7347978166684063E-4</v>
      </c>
      <c r="BL221" s="726">
        <v>1.0598983172785024E-3</v>
      </c>
      <c r="BM221" s="726">
        <v>1.730215899918037E-3</v>
      </c>
      <c r="BN221" s="726">
        <v>2.927621230295998E-3</v>
      </c>
      <c r="BO221" s="727">
        <v>4.4262835356880855E-3</v>
      </c>
      <c r="BP221" s="726">
        <v>6.2615363620333207E-3</v>
      </c>
      <c r="BQ221" s="726">
        <v>8.7817682715867051E-3</v>
      </c>
      <c r="BR221" s="726">
        <v>1.1577191248295029E-2</v>
      </c>
      <c r="BS221" s="726">
        <v>1.4774735452603212E-2</v>
      </c>
      <c r="BT221" s="726">
        <v>1.7717373629205859E-2</v>
      </c>
      <c r="BW221" s="1186">
        <f>'2018'!R\Max</f>
        <v>0.95422151574674041</v>
      </c>
      <c r="BX221" s="1184">
        <f>'2019'!R\Max</f>
        <v>0.35915479537008077</v>
      </c>
      <c r="BY221" s="1184">
        <f>'2020'!R\Max</f>
        <v>0.97693717556042692</v>
      </c>
      <c r="BZ221" s="1184">
        <f>'2021'!R\Max</f>
        <v>0.56858009789853714</v>
      </c>
      <c r="CA221" s="1184">
        <f>'2022'!R\Max</f>
        <v>0.9862924020722218</v>
      </c>
      <c r="CB221" s="1184">
        <f>'2023'!R\Max</f>
        <v>0.98629105959122976</v>
      </c>
      <c r="CC221" s="1184">
        <f>'2024'!R\Max</f>
        <v>0.98628928407126015</v>
      </c>
      <c r="CD221" s="1184">
        <f>'2025'!R\Max</f>
        <v>0.986296791877743</v>
      </c>
      <c r="CE221" s="1184">
        <f>'2026'!R\Max</f>
        <v>0.98629591639106606</v>
      </c>
      <c r="CF221" s="1185">
        <f>'2027'!R\Max</f>
        <v>0.98629486156925583</v>
      </c>
    </row>
    <row r="222" spans="1:84" s="6" customFormat="1" ht="11.25" x14ac:dyDescent="0.2">
      <c r="A222" s="11">
        <v>43308</v>
      </c>
      <c r="B222" s="380">
        <f>'2022'!Maxi_hp</f>
        <v>58.607976859934475</v>
      </c>
      <c r="C222" s="13">
        <f>'2022'!An_max</f>
        <v>2022</v>
      </c>
      <c r="D222" s="1062">
        <f t="shared" si="97"/>
        <v>0.98878503423191466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53">
        <f t="shared" si="100"/>
        <v>0.7142857142857143</v>
      </c>
      <c r="J222" s="746">
        <f t="shared" si="101"/>
        <v>59.272718367406299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55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53">
        <f t="shared" si="105"/>
        <v>0.14285714285714285</v>
      </c>
      <c r="AT222" s="769">
        <f t="shared" si="106"/>
        <v>59.287319533526897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53">
        <f t="shared" si="110"/>
        <v>0.35714285714285715</v>
      </c>
      <c r="AY222" s="769">
        <f t="shared" si="111"/>
        <v>59.292043440243489</v>
      </c>
      <c r="AZ222" s="746">
        <f t="shared" si="115"/>
        <v>59.289681486885193</v>
      </c>
      <c r="BA222" s="643">
        <f t="shared" si="112"/>
        <v>0.98878503423191466</v>
      </c>
      <c r="BC222" s="11">
        <v>43308</v>
      </c>
      <c r="BD222" s="290">
        <f>[2]!FeuilCaduc*(1-Persistant)+Persistant</f>
        <v>0.99983909686562189</v>
      </c>
      <c r="BE222" s="291">
        <f>[2]!CroissVégét</f>
        <v>0.87352913572103608</v>
      </c>
      <c r="BF222" s="816">
        <f>1+[2]!Salcycl*Ksac</f>
        <v>1.0499798871082027</v>
      </c>
      <c r="BH222" s="1053">
        <f t="shared" si="113"/>
        <v>1.8181044455488481E-3</v>
      </c>
      <c r="BI222" s="11">
        <v>44404</v>
      </c>
      <c r="BJ222" s="726">
        <v>1.3766379617070941E-4</v>
      </c>
      <c r="BK222" s="726">
        <v>6.1526839119514321E-4</v>
      </c>
      <c r="BL222" s="726">
        <v>1.125114801392345E-3</v>
      </c>
      <c r="BM222" s="726">
        <v>1.8199183617084161E-3</v>
      </c>
      <c r="BN222" s="726">
        <v>3.0195406145001758E-3</v>
      </c>
      <c r="BO222" s="727">
        <v>4.5031748880054283E-3</v>
      </c>
      <c r="BP222" s="726">
        <v>6.2966255373202813E-3</v>
      </c>
      <c r="BQ222" s="726">
        <v>8.6673036814961593E-3</v>
      </c>
      <c r="BR222" s="726">
        <v>1.1307949819146616E-2</v>
      </c>
      <c r="BS222" s="726">
        <v>1.4295769085171982E-2</v>
      </c>
      <c r="BT222" s="726">
        <v>1.7077189412644217E-2</v>
      </c>
      <c r="BW222" s="1186">
        <f>'2018'!R\Max</f>
        <v>0.84913027029679478</v>
      </c>
      <c r="BX222" s="1184">
        <f>'2019'!R\Max</f>
        <v>0.22860466784335037</v>
      </c>
      <c r="BY222" s="1184">
        <f>'2020'!R\Max</f>
        <v>0.78125416528338465</v>
      </c>
      <c r="BZ222" s="1184">
        <f>'2021'!R\Max</f>
        <v>0.852595123794613</v>
      </c>
      <c r="CA222" s="1184">
        <f>'2022'!R\Max</f>
        <v>0.98878503423191466</v>
      </c>
      <c r="CB222" s="1184">
        <f>'2023'!R\Max</f>
        <v>0.98878395567439326</v>
      </c>
      <c r="CC222" s="1184">
        <f>'2024'!R\Max</f>
        <v>0.98878257548463355</v>
      </c>
      <c r="CD222" s="1184">
        <f>'2025'!R\Max</f>
        <v>0.98878860669467561</v>
      </c>
      <c r="CE222" s="1184">
        <f>'2026'!R\Max</f>
        <v>0.98878788559387998</v>
      </c>
      <c r="CF222" s="1185">
        <f>'2027'!R\Max</f>
        <v>0.9887870247017253</v>
      </c>
    </row>
    <row r="223" spans="1:84" s="6" customFormat="1" ht="11.25" x14ac:dyDescent="0.2">
      <c r="A223" s="11">
        <v>43309</v>
      </c>
      <c r="B223" s="380">
        <f>'2022'!Maxi_hp</f>
        <v>56.44038029737262</v>
      </c>
      <c r="C223" s="13">
        <f>'2022'!An_max</f>
        <v>2020</v>
      </c>
      <c r="D223" s="1062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53">
        <f t="shared" si="100"/>
        <v>0.6428571428571429</v>
      </c>
      <c r="J223" s="746">
        <f t="shared" si="101"/>
        <v>59.136190306075981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55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53">
        <f t="shared" si="105"/>
        <v>0.17857142857142858</v>
      </c>
      <c r="AT223" s="769">
        <f t="shared" si="106"/>
        <v>59.156253489213327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53">
        <f t="shared" si="110"/>
        <v>0.32142857142857145</v>
      </c>
      <c r="AY223" s="769">
        <f t="shared" si="111"/>
        <v>59.15378417457854</v>
      </c>
      <c r="AZ223" s="746">
        <f t="shared" si="115"/>
        <v>59.15501883189593</v>
      </c>
      <c r="BA223" s="643">
        <f t="shared" si="112"/>
        <v>0.95441353264810536</v>
      </c>
      <c r="BC223" s="11">
        <v>43309</v>
      </c>
      <c r="BD223" s="290">
        <f>[2]!FeuilCaduc*(1-Persistant)+Persistant</f>
        <v>0.99985588571902273</v>
      </c>
      <c r="BE223" s="291">
        <f>[2]!CroissVégét</f>
        <v>0.8780111344941991</v>
      </c>
      <c r="BF223" s="816">
        <f>1+[2]!Salcycl*Ksac</f>
        <v>1.0499819857148778</v>
      </c>
      <c r="BH223" s="1053">
        <f t="shared" si="113"/>
        <v>1.8985894591398399E-3</v>
      </c>
      <c r="BI223" s="11">
        <v>44405</v>
      </c>
      <c r="BJ223" s="726">
        <v>1.5874650870865674E-4</v>
      </c>
      <c r="BK223" s="726">
        <v>6.5563538581600816E-4</v>
      </c>
      <c r="BL223" s="726">
        <v>1.1858816768774332E-3</v>
      </c>
      <c r="BM223" s="726">
        <v>1.9004549879745012E-3</v>
      </c>
      <c r="BN223" s="726">
        <v>3.0914453286820165E-3</v>
      </c>
      <c r="BO223" s="727">
        <v>4.5470275952153947E-3</v>
      </c>
      <c r="BP223" s="726">
        <v>6.2845599317052315E-3</v>
      </c>
      <c r="BQ223" s="726">
        <v>8.5061830223268665E-3</v>
      </c>
      <c r="BR223" s="726">
        <v>1.0995284647179807E-2</v>
      </c>
      <c r="BS223" s="726">
        <v>1.379503343464927E-2</v>
      </c>
      <c r="BT223" s="726">
        <v>1.6443180393259229E-2</v>
      </c>
      <c r="BW223" s="1186">
        <f>'2018'!R\Max</f>
        <v>0.45250142824443479</v>
      </c>
      <c r="BX223" s="1184">
        <f>'2019'!R\Max</f>
        <v>0.91987668223596086</v>
      </c>
      <c r="BY223" s="1184">
        <f>'2020'!R\Max</f>
        <v>0.95441353264810536</v>
      </c>
      <c r="BZ223" s="1184">
        <f>'2021'!R\Max</f>
        <v>0.43693913082372537</v>
      </c>
      <c r="CA223" s="1184">
        <f>'2022'!R\Max</f>
        <v>0.79536250727685587</v>
      </c>
      <c r="CB223" s="1184">
        <f>'2023'!R\Max</f>
        <v>0.79534713506521793</v>
      </c>
      <c r="CC223" s="1184">
        <f>'2024'!R\Max</f>
        <v>0.79532802284591009</v>
      </c>
      <c r="CD223" s="1184">
        <f>'2025'!R\Max</f>
        <v>0.79541407285194199</v>
      </c>
      <c r="CE223" s="1184">
        <f>'2026'!R\Max</f>
        <v>0.79540353944274167</v>
      </c>
      <c r="CF223" s="1185">
        <f>'2027'!R\Max</f>
        <v>0.79539107968306511</v>
      </c>
    </row>
    <row r="224" spans="1:84" s="6" customFormat="1" ht="11.25" x14ac:dyDescent="0.2">
      <c r="A224" s="11">
        <v>43310</v>
      </c>
      <c r="B224" s="380">
        <f>'2022'!Maxi_hp</f>
        <v>59.643858292588483</v>
      </c>
      <c r="C224" s="13">
        <f>'2022'!An_max</f>
        <v>2019</v>
      </c>
      <c r="D224" s="1062">
        <f t="shared" si="97"/>
        <v>1.0109443941648826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53">
        <f t="shared" si="100"/>
        <v>0.5714285714285714</v>
      </c>
      <c r="J224" s="746">
        <f t="shared" si="101"/>
        <v>58.998159183481974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55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53">
        <f t="shared" si="105"/>
        <v>0.21428571428571427</v>
      </c>
      <c r="AT224" s="769">
        <f t="shared" si="106"/>
        <v>59.024140670562964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53">
        <f t="shared" si="110"/>
        <v>0.2857142857142857</v>
      </c>
      <c r="AY224" s="769">
        <f t="shared" si="111"/>
        <v>59.013905539044309</v>
      </c>
      <c r="AZ224" s="746">
        <f t="shared" si="115"/>
        <v>59.019023104803637</v>
      </c>
      <c r="BA224" s="643">
        <f t="shared" si="112"/>
        <v>1.0109443941648826</v>
      </c>
      <c r="BC224" s="11">
        <v>43310</v>
      </c>
      <c r="BD224" s="290">
        <f>[2]!FeuilCaduc*(1-Persistant)+Persistant</f>
        <v>0.99984223177819298</v>
      </c>
      <c r="BE224" s="291">
        <f>[2]!CroissVégét</f>
        <v>0.88235607250226589</v>
      </c>
      <c r="BF224" s="816">
        <f>1+[2]!Salcycl*Ksac</f>
        <v>1.0499802789722741</v>
      </c>
      <c r="BH224" s="1053">
        <f t="shared" si="113"/>
        <v>1.9699287988922342E-3</v>
      </c>
      <c r="BI224" s="11">
        <v>44406</v>
      </c>
      <c r="BJ224" s="726">
        <v>1.814513541450859E-4</v>
      </c>
      <c r="BK224" s="726">
        <v>6.9458298086920868E-4</v>
      </c>
      <c r="BL224" s="726">
        <v>1.2422035380959822E-3</v>
      </c>
      <c r="BM224" s="726">
        <v>1.9718336363186159E-3</v>
      </c>
      <c r="BN224" s="726">
        <v>3.1433487292914742E-3</v>
      </c>
      <c r="BO224" s="727">
        <v>4.5578609074464942E-3</v>
      </c>
      <c r="BP224" s="726">
        <v>6.2253641263334044E-3</v>
      </c>
      <c r="BQ224" s="726">
        <v>8.2984240360210668E-3</v>
      </c>
      <c r="BR224" s="726">
        <v>1.063920489742963E-2</v>
      </c>
      <c r="BS224" s="726">
        <v>1.3272517037439684E-2</v>
      </c>
      <c r="BT224" s="726">
        <v>1.5815313102064979E-2</v>
      </c>
      <c r="BW224" s="1186">
        <f>'2018'!R\Max</f>
        <v>0.93628666649438574</v>
      </c>
      <c r="BX224" s="1184">
        <f>'2019'!R\Max</f>
        <v>1.0109443941648826</v>
      </c>
      <c r="BY224" s="1184">
        <f>'2020'!R\Max</f>
        <v>0.60644070950007245</v>
      </c>
      <c r="BZ224" s="1184">
        <f>'2021'!R\Max</f>
        <v>0.95118266637212967</v>
      </c>
      <c r="CA224" s="1184">
        <f>'2022'!R\Max</f>
        <v>0.53928914180077447</v>
      </c>
      <c r="CB224" s="1184">
        <f>'2023'!R\Max</f>
        <v>0.53926656998428735</v>
      </c>
      <c r="CC224" s="1184">
        <f>'2024'!R\Max</f>
        <v>0.53923918161671658</v>
      </c>
      <c r="CD224" s="1184">
        <f>'2025'!R\Max</f>
        <v>0.53936582638959885</v>
      </c>
      <c r="CE224" s="1184">
        <f>'2026'!R\Max</f>
        <v>0.53934997086061698</v>
      </c>
      <c r="CF224" s="1185">
        <f>'2027'!R\Max</f>
        <v>0.53933139437944078</v>
      </c>
    </row>
    <row r="225" spans="1:84" s="6" customFormat="1" ht="11.25" x14ac:dyDescent="0.2">
      <c r="A225" s="11">
        <v>43311</v>
      </c>
      <c r="B225" s="380">
        <f>'2022'!Maxi_hp</f>
        <v>55.994393253662331</v>
      </c>
      <c r="C225" s="13">
        <f>'2022'!An_max</f>
        <v>2018</v>
      </c>
      <c r="D225" s="1062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53">
        <f t="shared" si="100"/>
        <v>0.5</v>
      </c>
      <c r="J225" s="746">
        <f t="shared" si="101"/>
        <v>58.858624999783935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55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53">
        <f t="shared" si="105"/>
        <v>0.25</v>
      </c>
      <c r="AT225" s="769">
        <f t="shared" si="106"/>
        <v>58.890846875077116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53">
        <f t="shared" si="110"/>
        <v>0.25</v>
      </c>
      <c r="AY225" s="769">
        <f t="shared" si="111"/>
        <v>58.87243437478319</v>
      </c>
      <c r="AZ225" s="746">
        <f t="shared" si="115"/>
        <v>58.881640624930156</v>
      </c>
      <c r="BA225" s="643">
        <f t="shared" si="112"/>
        <v>0.95133709382215237</v>
      </c>
      <c r="BC225" s="11">
        <v>43311</v>
      </c>
      <c r="BD225" s="290">
        <f>[2]!FeuilCaduc*(1-Persistant)+Persistant</f>
        <v>0.99980015849187565</v>
      </c>
      <c r="BE225" s="291">
        <f>[2]!CroissVégét</f>
        <v>0.88656663959603077</v>
      </c>
      <c r="BF225" s="816">
        <f>1+[2]!Salcycl*Ksac</f>
        <v>1.0499750198114846</v>
      </c>
      <c r="BH225" s="1053">
        <f t="shared" si="113"/>
        <v>2.0321295025990892E-3</v>
      </c>
      <c r="BI225" s="11">
        <v>44407</v>
      </c>
      <c r="BJ225" s="726">
        <v>2.0577829443623979E-4</v>
      </c>
      <c r="BK225" s="726">
        <v>7.3211323153481828E-4</v>
      </c>
      <c r="BL225" s="726">
        <v>1.2940845585269684E-3</v>
      </c>
      <c r="BM225" s="726">
        <v>2.0340613520312251E-3</v>
      </c>
      <c r="BN225" s="726">
        <v>3.1752625260713391E-3</v>
      </c>
      <c r="BO225" s="727">
        <v>4.535691447796213E-3</v>
      </c>
      <c r="BP225" s="726">
        <v>6.1190590434468178E-3</v>
      </c>
      <c r="BQ225" s="726">
        <v>8.0440410218826051E-3</v>
      </c>
      <c r="BR225" s="726">
        <v>1.0239716723731291E-2</v>
      </c>
      <c r="BS225" s="726">
        <v>1.2728207326029256E-2</v>
      </c>
      <c r="BT225" s="726">
        <v>1.5193555296306734E-2</v>
      </c>
      <c r="BW225" s="1186">
        <f>'2018'!R\Max</f>
        <v>0.95133709382215237</v>
      </c>
      <c r="BX225" s="1184">
        <f>'2019'!R\Max</f>
        <v>0.49277966138256596</v>
      </c>
      <c r="BY225" s="1184">
        <f>'2020'!R\Max</f>
        <v>0.86590310497143563</v>
      </c>
      <c r="BZ225" s="1184">
        <f>'2021'!R\Max</f>
        <v>0.33246396011622531</v>
      </c>
      <c r="CA225" s="1184">
        <f>'2022'!R\Max</f>
        <v>0.90995497295616223</v>
      </c>
      <c r="CB225" s="1184">
        <f>'2023'!R\Max</f>
        <v>0.90994788807550875</v>
      </c>
      <c r="CC225" s="1184">
        <f>'2024'!R\Max</f>
        <v>0.90993945501899443</v>
      </c>
      <c r="CD225" s="1184">
        <f>'2025'!R\Max</f>
        <v>0.90997935359519111</v>
      </c>
      <c r="CE225" s="1184">
        <f>'2026'!R\Max</f>
        <v>0.90997424914560932</v>
      </c>
      <c r="CF225" s="1185">
        <f>'2027'!R\Max</f>
        <v>0.9099683289878816</v>
      </c>
    </row>
    <row r="226" spans="1:84" s="6" customFormat="1" ht="11.25" x14ac:dyDescent="0.2">
      <c r="A226" s="11">
        <v>43312</v>
      </c>
      <c r="B226" s="380">
        <f>'2022'!Maxi_hp</f>
        <v>58.250484133448317</v>
      </c>
      <c r="C226" s="13">
        <f>'2022'!An_max</f>
        <v>2019</v>
      </c>
      <c r="D226" s="1062">
        <f t="shared" si="97"/>
        <v>0.99204491125279404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53">
        <f t="shared" si="100"/>
        <v>0.42857142857142855</v>
      </c>
      <c r="J226" s="746">
        <f t="shared" si="101"/>
        <v>58.717587755061686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55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53">
        <f t="shared" si="105"/>
        <v>0.2857142857142857</v>
      </c>
      <c r="AT226" s="769">
        <f t="shared" si="106"/>
        <v>58.756237900815904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53">
        <f t="shared" si="110"/>
        <v>0.21428571428571427</v>
      </c>
      <c r="AY226" s="769">
        <f t="shared" si="111"/>
        <v>58.729397521700186</v>
      </c>
      <c r="AZ226" s="746">
        <f t="shared" si="115"/>
        <v>58.742817711258041</v>
      </c>
      <c r="BA226" s="643">
        <f t="shared" si="112"/>
        <v>0.99204491125279404</v>
      </c>
      <c r="BC226" s="11">
        <v>43312</v>
      </c>
      <c r="BD226" s="290">
        <f>[2]!FeuilCaduc*(1-Persistant)+Persistant</f>
        <v>0.99973148047235272</v>
      </c>
      <c r="BE226" s="291">
        <f>[2]!CroissVégét</f>
        <v>0.89064558172697694</v>
      </c>
      <c r="BF226" s="816">
        <f>1+[2]!Salcycl*Ksac</f>
        <v>1.0499664350590441</v>
      </c>
      <c r="BH226" s="1053">
        <f t="shared" si="113"/>
        <v>2.0788050851864221E-3</v>
      </c>
      <c r="BI226" s="11">
        <v>44408</v>
      </c>
      <c r="BJ226" s="726">
        <v>2.2879512715516382E-4</v>
      </c>
      <c r="BK226" s="726">
        <v>7.6416387333037687E-4</v>
      </c>
      <c r="BL226" s="726">
        <v>1.3361877160395564E-3</v>
      </c>
      <c r="BM226" s="726">
        <v>2.080748903045217E-3</v>
      </c>
      <c r="BN226" s="726">
        <v>3.1823408137551853E-3</v>
      </c>
      <c r="BO226" s="727">
        <v>4.4785007864971468E-3</v>
      </c>
      <c r="BP226" s="726">
        <v>5.9680117072268895E-3</v>
      </c>
      <c r="BQ226" s="726">
        <v>7.7477265340313095E-3</v>
      </c>
      <c r="BR226" s="726">
        <v>9.8030321365551766E-3</v>
      </c>
      <c r="BS226" s="726">
        <v>1.2168331506092157E-2</v>
      </c>
      <c r="BT226" s="726">
        <v>1.4584036160265282E-2</v>
      </c>
      <c r="BW226" s="1186">
        <f>'2018'!R\Max</f>
        <v>0.86364684455593976</v>
      </c>
      <c r="BX226" s="1184">
        <f>'2019'!R\Max</f>
        <v>0.99204491125279404</v>
      </c>
      <c r="BY226" s="1184">
        <f>'2020'!R\Max</f>
        <v>0.95645610625210487</v>
      </c>
      <c r="BZ226" s="1184">
        <f>'2021'!R\Max</f>
        <v>0.23094708341959186</v>
      </c>
      <c r="CA226" s="1184">
        <f>'2022'!R\Max</f>
        <v>0.96142353854600948</v>
      </c>
      <c r="CB226" s="1184">
        <f>'2023'!R\Max</f>
        <v>0.96142051468374157</v>
      </c>
      <c r="CC226" s="1184">
        <f>'2024'!R\Max</f>
        <v>0.96141696876400473</v>
      </c>
      <c r="CD226" s="1184">
        <f>'2025'!R\Max</f>
        <v>0.96143408041647849</v>
      </c>
      <c r="CE226" s="1184">
        <f>'2026'!R\Max</f>
        <v>0.96143184494249101</v>
      </c>
      <c r="CF226" s="1185">
        <f>'2027'!R\Max</f>
        <v>0.96142927938111933</v>
      </c>
    </row>
    <row r="227" spans="1:84" s="6" customFormat="1" ht="11.25" x14ac:dyDescent="0.2">
      <c r="A227" s="11">
        <v>43313</v>
      </c>
      <c r="B227" s="380">
        <f>'2022'!Maxi_hp</f>
        <v>55.471900998050899</v>
      </c>
      <c r="C227" s="13">
        <f>'2022'!An_max</f>
        <v>2022</v>
      </c>
      <c r="D227" s="1062" t="str">
        <f t="shared" si="97"/>
        <v/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53">
        <f t="shared" si="100"/>
        <v>0.35714285714285715</v>
      </c>
      <c r="J227" s="746">
        <f t="shared" si="101"/>
        <v>58.575047448836266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55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53">
        <f t="shared" si="105"/>
        <v>0.32142857142857145</v>
      </c>
      <c r="AT227" s="769">
        <f t="shared" si="106"/>
        <v>58.620179546145458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53">
        <f t="shared" si="110"/>
        <v>0.17857142857142858</v>
      </c>
      <c r="AY227" s="769">
        <f t="shared" si="111"/>
        <v>58.584821820345574</v>
      </c>
      <c r="AZ227" s="746">
        <f t="shared" si="115"/>
        <v>58.602500683245516</v>
      </c>
      <c r="BA227" s="643">
        <f t="shared" si="112"/>
        <v>0.94702272407895394</v>
      </c>
      <c r="BC227" s="11">
        <v>43313</v>
      </c>
      <c r="BD227" s="290">
        <f>[2]!FeuilCaduc*(1-Persistant)+Persistant</f>
        <v>0.99963780534709201</v>
      </c>
      <c r="BE227" s="291">
        <f>[2]!CroissVégét</f>
        <v>0.89459569118431537</v>
      </c>
      <c r="BF227" s="816">
        <f>1+[2]!Salcycl*Ksac</f>
        <v>1.0499547256683865</v>
      </c>
      <c r="BH227" s="1053">
        <f t="shared" si="113"/>
        <v>2.1085591851374009E-3</v>
      </c>
      <c r="BI227" s="11">
        <v>44409</v>
      </c>
      <c r="BJ227" s="726">
        <v>2.4887681852077864E-4</v>
      </c>
      <c r="BK227" s="726">
        <v>7.8900504000773634E-4</v>
      </c>
      <c r="BL227" s="726">
        <v>1.3665537772552996E-3</v>
      </c>
      <c r="BM227" s="726">
        <v>2.1105014011736627E-3</v>
      </c>
      <c r="BN227" s="726">
        <v>3.1694217328160435E-3</v>
      </c>
      <c r="BO227" s="727">
        <v>4.4000067473883887E-3</v>
      </c>
      <c r="BP227" s="726">
        <v>5.7977086877399435E-3</v>
      </c>
      <c r="BQ227" s="726">
        <v>7.442171832725975E-3</v>
      </c>
      <c r="BR227" s="726">
        <v>9.3670345616709109E-3</v>
      </c>
      <c r="BS227" s="726">
        <v>1.1617751783864757E-2</v>
      </c>
      <c r="BT227" s="726">
        <v>1.3983189802915135E-2</v>
      </c>
      <c r="BW227" s="1186">
        <f>'2018'!R\Max</f>
        <v>0.93491981691902348</v>
      </c>
      <c r="BX227" s="1184">
        <f>'2019'!R\Max</f>
        <v>0.84366211846185901</v>
      </c>
      <c r="BY227" s="1184">
        <f>'2020'!R\Max</f>
        <v>0.92936915949410281</v>
      </c>
      <c r="BZ227" s="1184">
        <f>'2021'!R\Max</f>
        <v>0.81505172263611891</v>
      </c>
      <c r="CA227" s="1184">
        <f>'2022'!R\Max</f>
        <v>0.94702272407895394</v>
      </c>
      <c r="CB227" s="1184">
        <f>'2023'!R\Max</f>
        <v>0.94701887677848551</v>
      </c>
      <c r="CC227" s="1184">
        <f>'2024'!R\Max</f>
        <v>0.94701442491019161</v>
      </c>
      <c r="CD227" s="1184">
        <f>'2025'!R\Max</f>
        <v>0.94703630020140817</v>
      </c>
      <c r="CE227" s="1184">
        <f>'2026'!R\Max</f>
        <v>0.94703338648356661</v>
      </c>
      <c r="CF227" s="1185">
        <f>'2027'!R\Max</f>
        <v>0.94703007600920219</v>
      </c>
    </row>
    <row r="228" spans="1:84" s="6" customFormat="1" ht="11.25" x14ac:dyDescent="0.2">
      <c r="A228" s="11">
        <v>43314</v>
      </c>
      <c r="B228" s="380">
        <f>'2022'!Maxi_hp</f>
        <v>56.845203333586923</v>
      </c>
      <c r="C228" s="13">
        <f>'2022'!An_max</f>
        <v>2019</v>
      </c>
      <c r="D228" s="1062">
        <f t="shared" si="97"/>
        <v>0.9728602858564277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53">
        <f t="shared" si="100"/>
        <v>0.2857142857142857</v>
      </c>
      <c r="J228" s="746">
        <f t="shared" si="101"/>
        <v>58.431004081480204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55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53">
        <f t="shared" si="105"/>
        <v>0.35714285714285715</v>
      </c>
      <c r="AT228" s="769">
        <f t="shared" si="106"/>
        <v>58.482537609352065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53">
        <f t="shared" si="110"/>
        <v>0.14285714285714285</v>
      </c>
      <c r="AY228" s="769">
        <f t="shared" si="111"/>
        <v>58.438734110444784</v>
      </c>
      <c r="AZ228" s="746">
        <f t="shared" si="115"/>
        <v>58.460635859898424</v>
      </c>
      <c r="BA228" s="643">
        <f t="shared" si="112"/>
        <v>0.9728602858564277</v>
      </c>
      <c r="BC228" s="11">
        <v>43314</v>
      </c>
      <c r="BD228" s="290">
        <f>[2]!FeuilCaduc*(1-Persistant)+Persistant</f>
        <v>0.9995205369695489</v>
      </c>
      <c r="BE228" s="291">
        <f>[2]!CroissVégét</f>
        <v>0.89841979735358901</v>
      </c>
      <c r="BF228" s="816">
        <f>1+[2]!Salcycl*Ksac</f>
        <v>1.0499400671211936</v>
      </c>
      <c r="BH228" s="1053">
        <f t="shared" si="113"/>
        <v>2.1213993454979227E-3</v>
      </c>
      <c r="BI228" s="11">
        <v>44410</v>
      </c>
      <c r="BJ228" s="726">
        <v>2.660252488764382E-4</v>
      </c>
      <c r="BK228" s="726">
        <v>8.0664041583944834E-4</v>
      </c>
      <c r="BL228" s="726">
        <v>1.3851883530384395E-3</v>
      </c>
      <c r="BM228" s="726">
        <v>2.1233263945199892E-3</v>
      </c>
      <c r="BN228" s="726">
        <v>3.136512263894217E-3</v>
      </c>
      <c r="BO228" s="727">
        <v>4.3002141304762436E-3</v>
      </c>
      <c r="BP228" s="726">
        <v>5.6081502019118008E-3</v>
      </c>
      <c r="BQ228" s="726">
        <v>7.1273675686541037E-3</v>
      </c>
      <c r="BR228" s="726">
        <v>8.9317052093673601E-3</v>
      </c>
      <c r="BS228" s="726">
        <v>1.1076440955547011E-2</v>
      </c>
      <c r="BT228" s="726">
        <v>1.3390986762994807E-2</v>
      </c>
      <c r="BW228" s="1186">
        <f>'2018'!R\Max</f>
        <v>0.92992611736140196</v>
      </c>
      <c r="BX228" s="1184">
        <f>'2019'!R\Max</f>
        <v>0.9728602858564277</v>
      </c>
      <c r="BY228" s="1184">
        <f>'2020'!R\Max</f>
        <v>0.83206395518901233</v>
      </c>
      <c r="BZ228" s="1184">
        <f>'2021'!R\Max</f>
        <v>0.87475786911658893</v>
      </c>
      <c r="CA228" s="1184">
        <f>'2022'!R\Max</f>
        <v>0.95321741393363879</v>
      </c>
      <c r="CB228" s="1184">
        <f>'2023'!R\Max</f>
        <v>0.95321420641866317</v>
      </c>
      <c r="CC228" s="1184">
        <f>'2024'!R\Max</f>
        <v>0.95321053573658976</v>
      </c>
      <c r="CD228" s="1184">
        <f>'2025'!R\Max</f>
        <v>0.95322885825696557</v>
      </c>
      <c r="CE228" s="1184">
        <f>'2026'!R\Max</f>
        <v>0.95322637443156844</v>
      </c>
      <c r="CF228" s="1185">
        <f>'2027'!R\Max</f>
        <v>0.9532235792494903</v>
      </c>
    </row>
    <row r="229" spans="1:84" s="6" customFormat="1" ht="11.25" x14ac:dyDescent="0.2">
      <c r="A229" s="11">
        <v>43315</v>
      </c>
      <c r="B229" s="380">
        <f>'2022'!Maxi_hp</f>
        <v>57.532187418566849</v>
      </c>
      <c r="C229" s="13">
        <f>'2022'!An_max</f>
        <v>2019</v>
      </c>
      <c r="D229" s="1062">
        <f t="shared" si="97"/>
        <v>0.98707618907742922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53">
        <f t="shared" si="100"/>
        <v>0.21428571428571427</v>
      </c>
      <c r="J229" s="746">
        <f t="shared" si="101"/>
        <v>58.285457652807239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55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53">
        <f t="shared" si="105"/>
        <v>0.39285714285714285</v>
      </c>
      <c r="AT229" s="769">
        <f t="shared" si="106"/>
        <v>58.343177887917101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53">
        <f t="shared" si="110"/>
        <v>0.10714285714285714</v>
      </c>
      <c r="AY229" s="769">
        <f t="shared" si="111"/>
        <v>58.29116123340625</v>
      </c>
      <c r="AZ229" s="746">
        <f t="shared" si="115"/>
        <v>58.317169560661675</v>
      </c>
      <c r="BA229" s="643">
        <f t="shared" si="112"/>
        <v>0.98707618907742922</v>
      </c>
      <c r="BC229" s="11">
        <v>43315</v>
      </c>
      <c r="BD229" s="290">
        <f>[2]!FeuilCaduc*(1-Persistant)+Persistant</f>
        <v>0.99938087988317947</v>
      </c>
      <c r="BE229" s="291">
        <f>[2]!CroissVégét</f>
        <v>0.90212075799903491</v>
      </c>
      <c r="BF229" s="816">
        <f>1+[2]!Salcycl*Ksac</f>
        <v>1.0499226099853973</v>
      </c>
      <c r="BH229" s="1053">
        <f t="shared" si="113"/>
        <v>2.1173318805438024E-3</v>
      </c>
      <c r="BI229" s="11">
        <v>44411</v>
      </c>
      <c r="BJ229" s="726">
        <v>2.8024206733451664E-4</v>
      </c>
      <c r="BK229" s="726">
        <v>8.1707314683897704E-4</v>
      </c>
      <c r="BL229" s="726">
        <v>1.3920961901766153E-3</v>
      </c>
      <c r="BM229" s="726">
        <v>2.1192302014629467E-3</v>
      </c>
      <c r="BN229" s="726">
        <v>3.083617993495864E-3</v>
      </c>
      <c r="BO229" s="727">
        <v>4.1791263285452076E-3</v>
      </c>
      <c r="BP229" s="726">
        <v>5.3993353141141209E-3</v>
      </c>
      <c r="BQ229" s="726">
        <v>6.8033041078565705E-3</v>
      </c>
      <c r="BR229" s="726">
        <v>8.4970258608287694E-3</v>
      </c>
      <c r="BS229" s="726">
        <v>1.0544373131360713E-2</v>
      </c>
      <c r="BT229" s="726">
        <v>1.2807398908345017E-2</v>
      </c>
      <c r="BW229" s="1186">
        <f>'2018'!R\Max</f>
        <v>0.95048353267231123</v>
      </c>
      <c r="BX229" s="1184">
        <f>'2019'!R\Max</f>
        <v>0.98707618907742922</v>
      </c>
      <c r="BY229" s="1184">
        <f>'2020'!R\Max</f>
        <v>0.62255178717481729</v>
      </c>
      <c r="BZ229" s="1184">
        <f>'2021'!R\Max</f>
        <v>0.69011941034722379</v>
      </c>
      <c r="CA229" s="1184">
        <f>'2022'!R\Max</f>
        <v>0.91567946320010241</v>
      </c>
      <c r="CB229" s="1184">
        <f>'2023'!R\Max</f>
        <v>0.91567427000970236</v>
      </c>
      <c r="CC229" s="1184">
        <f>'2024'!R\Max</f>
        <v>0.91566837485261487</v>
      </c>
      <c r="CD229" s="1184">
        <f>'2025'!R\Max</f>
        <v>0.9156981750450004</v>
      </c>
      <c r="CE229" s="1184">
        <f>'2026'!R\Max</f>
        <v>0.91569407188611418</v>
      </c>
      <c r="CF229" s="1185">
        <f>'2027'!R\Max</f>
        <v>0.91568949593281146</v>
      </c>
    </row>
    <row r="230" spans="1:84" s="6" customFormat="1" ht="11.25" x14ac:dyDescent="0.2">
      <c r="A230" s="11">
        <v>43316</v>
      </c>
      <c r="B230" s="380">
        <f>'2022'!Maxi_hp</f>
        <v>54.820289563876685</v>
      </c>
      <c r="C230" s="13">
        <f>'2022'!An_max</f>
        <v>2019</v>
      </c>
      <c r="D230" s="1062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53">
        <f t="shared" si="100"/>
        <v>0.14285714285714285</v>
      </c>
      <c r="J230" s="746">
        <f t="shared" si="101"/>
        <v>58.138408163056852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55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53">
        <f t="shared" si="105"/>
        <v>0.42857142857142855</v>
      </c>
      <c r="AT230" s="769">
        <f t="shared" si="106"/>
        <v>58.201966180971681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53">
        <f t="shared" si="110"/>
        <v>7.1428571428571425E-2</v>
      </c>
      <c r="AY230" s="769">
        <f t="shared" si="111"/>
        <v>58.142130029148291</v>
      </c>
      <c r="AZ230" s="746">
        <f t="shared" si="115"/>
        <v>58.172048105059986</v>
      </c>
      <c r="BA230" s="643">
        <f t="shared" si="112"/>
        <v>0.94292725404737499</v>
      </c>
      <c r="BC230" s="11">
        <v>43316</v>
      </c>
      <c r="BD230" s="290">
        <f>[2]!FeuilCaduc*(1-Persistant)+Persistant</f>
        <v>0.99921984492289773</v>
      </c>
      <c r="BE230" s="291">
        <f>[2]!CroissVégét</f>
        <v>0.90570145106838851</v>
      </c>
      <c r="BF230" s="816">
        <f>1+[2]!Salcycl*Ksac</f>
        <v>1.0499024806153623</v>
      </c>
      <c r="BH230" s="1053">
        <f t="shared" si="113"/>
        <v>2.0963619283740293E-3</v>
      </c>
      <c r="BI230" s="11">
        <v>44412</v>
      </c>
      <c r="BJ230" s="726">
        <v>2.9152870088006497E-4</v>
      </c>
      <c r="BK230" s="726">
        <v>8.2030586315224544E-4</v>
      </c>
      <c r="BL230" s="726">
        <v>1.3872812078474675E-3</v>
      </c>
      <c r="BM230" s="726">
        <v>2.0982179632920788E-3</v>
      </c>
      <c r="BN230" s="726">
        <v>3.0107431762198137E-3</v>
      </c>
      <c r="BO230" s="727">
        <v>4.0367453935522234E-3</v>
      </c>
      <c r="BP230" s="726">
        <v>5.1712619963458183E-3</v>
      </c>
      <c r="BQ230" s="726">
        <v>6.4699715610103924E-3</v>
      </c>
      <c r="BR230" s="726">
        <v>8.0629788667997675E-3</v>
      </c>
      <c r="BS230" s="726">
        <v>1.0021523707687267E-2</v>
      </c>
      <c r="BT230" s="726">
        <v>1.2232399410126174E-2</v>
      </c>
      <c r="BW230" s="1186">
        <f>'2018'!R\Max</f>
        <v>0.92287051426785371</v>
      </c>
      <c r="BX230" s="1184">
        <f>'2019'!R\Max</f>
        <v>0.94292725404737499</v>
      </c>
      <c r="BY230" s="1184">
        <f>'2020'!R\Max</f>
        <v>0.88136614778935118</v>
      </c>
      <c r="BZ230" s="1184">
        <f>'2021'!R\Max</f>
        <v>0.60407616596097624</v>
      </c>
      <c r="CA230" s="1184">
        <f>'2022'!R\Max</f>
        <v>0.86149629663139027</v>
      </c>
      <c r="CB230" s="1184">
        <f>'2023'!R\Max</f>
        <v>0.86148881716999537</v>
      </c>
      <c r="CC230" s="1184">
        <f>'2024'!R\Max</f>
        <v>0.86148036233698444</v>
      </c>
      <c r="CD230" s="1184">
        <f>'2025'!R\Max</f>
        <v>0.8615234707477315</v>
      </c>
      <c r="CE230" s="1184">
        <f>'2026'!R\Max</f>
        <v>0.86151745637610699</v>
      </c>
      <c r="CF230" s="1185">
        <f>'2027'!R\Max</f>
        <v>0.86151080550209358</v>
      </c>
    </row>
    <row r="231" spans="1:84" s="6" customFormat="1" ht="11.25" x14ac:dyDescent="0.2">
      <c r="A231" s="11">
        <v>43317</v>
      </c>
      <c r="B231" s="380">
        <f>'2022'!Maxi_hp</f>
        <v>56.442491959447445</v>
      </c>
      <c r="C231" s="13">
        <f>'2022'!An_max</f>
        <v>2020</v>
      </c>
      <c r="D231" s="1062">
        <f t="shared" si="97"/>
        <v>0.97331664932939033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53">
        <f t="shared" si="100"/>
        <v>7.1428571428571425E-2</v>
      </c>
      <c r="J231" s="746">
        <f t="shared" si="101"/>
        <v>57.989855612082671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55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53">
        <f t="shared" si="105"/>
        <v>0.4642857142857143</v>
      </c>
      <c r="AT231" s="769">
        <f t="shared" si="106"/>
        <v>58.058768285345288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53">
        <f t="shared" si="110"/>
        <v>3.5714285714285712E-2</v>
      </c>
      <c r="AY231" s="769">
        <f t="shared" si="111"/>
        <v>57.991667337855326</v>
      </c>
      <c r="AZ231" s="746">
        <f t="shared" si="115"/>
        <v>58.025217811600307</v>
      </c>
      <c r="BA231" s="643">
        <f t="shared" si="112"/>
        <v>0.97331664932939033</v>
      </c>
      <c r="BC231" s="11">
        <v>43317</v>
      </c>
      <c r="BD231" s="290">
        <f>[2]!FeuilCaduc*(1-Persistant)+Persistant</f>
        <v>0.99903825582980099</v>
      </c>
      <c r="BE231" s="291">
        <f>[2]!CroissVégét</f>
        <v>0.90916476701567317</v>
      </c>
      <c r="BF231" s="816">
        <f>1+[2]!Salcycl*Ksac</f>
        <v>1.0498797819787251</v>
      </c>
      <c r="BH231" s="1053">
        <f t="shared" si="113"/>
        <v>2.0584935034967241E-3</v>
      </c>
      <c r="BI231" s="11">
        <v>44413</v>
      </c>
      <c r="BJ231" s="726">
        <v>2.9988636347370493E-4</v>
      </c>
      <c r="BK231" s="726">
        <v>8.1634070144652937E-4</v>
      </c>
      <c r="BL231" s="726">
        <v>1.370746534080577E-3</v>
      </c>
      <c r="BM231" s="726">
        <v>2.0602936968358849E-3</v>
      </c>
      <c r="BN231" s="726">
        <v>2.9178907969730516E-3</v>
      </c>
      <c r="BO231" s="727">
        <v>3.8730721030048204E-3</v>
      </c>
      <c r="BP231" s="726">
        <v>4.9239271883927621E-3</v>
      </c>
      <c r="BQ231" s="726">
        <v>6.1273598126830092E-3</v>
      </c>
      <c r="BR231" s="726">
        <v>7.6295471462140448E-3</v>
      </c>
      <c r="BS231" s="726">
        <v>9.5078693391602957E-3</v>
      </c>
      <c r="BT231" s="726">
        <v>1.1665962716981825E-2</v>
      </c>
      <c r="BW231" s="1186">
        <f>'2018'!R\Max</f>
        <v>0.90858612615189316</v>
      </c>
      <c r="BX231" s="1184">
        <f>'2019'!R\Max</f>
        <v>0.94563582868098561</v>
      </c>
      <c r="BY231" s="1184">
        <f>'2020'!R\Max</f>
        <v>0.97331664932939033</v>
      </c>
      <c r="BZ231" s="1184">
        <f>'2021'!R\Max</f>
        <v>0.86611142728793711</v>
      </c>
      <c r="CA231" s="1184">
        <f>'2022'!R\Max</f>
        <v>0.80364025859550647</v>
      </c>
      <c r="CB231" s="1184">
        <f>'2023'!R\Max</f>
        <v>0.80363107467202499</v>
      </c>
      <c r="CC231" s="1184">
        <f>'2024'!R\Max</f>
        <v>0.80362068473913539</v>
      </c>
      <c r="CD231" s="1184">
        <f>'2025'!R\Max</f>
        <v>0.80367384078527282</v>
      </c>
      <c r="CE231" s="1184">
        <f>'2026'!R\Max</f>
        <v>0.80366634748256371</v>
      </c>
      <c r="CF231" s="1185">
        <f>'2027'!R\Max</f>
        <v>0.80365812563461858</v>
      </c>
    </row>
    <row r="232" spans="1:84" s="6" customFormat="1" ht="11.25" x14ac:dyDescent="0.2">
      <c r="A232" s="11">
        <v>43318</v>
      </c>
      <c r="B232" s="380">
        <f>'2022'!Maxi_hp</f>
        <v>57.46185272567628</v>
      </c>
      <c r="C232" s="13">
        <f>'2022'!An_max</f>
        <v>2020</v>
      </c>
      <c r="D232" s="1062">
        <f t="shared" si="97"/>
        <v>0.99346561927378441</v>
      </c>
      <c r="E232" s="1057">
        <f>AC$13/10</f>
        <v>57.839800000000004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53">
        <f t="shared" si="100"/>
        <v>0</v>
      </c>
      <c r="J232" s="746">
        <f t="shared" si="101"/>
        <v>57.839800000004473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55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53">
        <f t="shared" si="105"/>
        <v>0.5</v>
      </c>
      <c r="AT232" s="769">
        <f t="shared" si="106"/>
        <v>57.91344999987632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53">
        <f t="shared" si="110"/>
        <v>0</v>
      </c>
      <c r="AY232" s="769">
        <f t="shared" si="111"/>
        <v>57.839800000190735</v>
      </c>
      <c r="AZ232" s="746">
        <f t="shared" si="115"/>
        <v>57.876625000033528</v>
      </c>
      <c r="BA232" s="643">
        <f t="shared" si="112"/>
        <v>0.99346561927378441</v>
      </c>
      <c r="BC232" s="11">
        <v>43318</v>
      </c>
      <c r="BD232" s="290">
        <f>[2]!FeuilCaduc*(1-Persistant)+Persistant</f>
        <v>0.99883675674807082</v>
      </c>
      <c r="BE232" s="291">
        <f>[2]!CroissVégét</f>
        <v>0.91251360163473627</v>
      </c>
      <c r="BF232" s="816">
        <f>1+[2]!Salcycl*Ksac</f>
        <v>1.0498545945935089</v>
      </c>
      <c r="BH232" s="1053">
        <f t="shared" si="113"/>
        <v>2.0037295494229807E-3</v>
      </c>
      <c r="BI232" s="11">
        <v>44414</v>
      </c>
      <c r="BJ232" s="726">
        <v>3.0531606515569554E-4</v>
      </c>
      <c r="BK232" s="726">
        <v>8.0517932730249917E-4</v>
      </c>
      <c r="BL232" s="726">
        <v>1.3424945422246676E-3</v>
      </c>
      <c r="BM232" s="726">
        <v>2.005460347097871E-3</v>
      </c>
      <c r="BN232" s="726">
        <v>2.8050626331972903E-3</v>
      </c>
      <c r="BO232" s="727">
        <v>3.6881060263538653E-3</v>
      </c>
      <c r="BP232" s="726">
        <v>4.6573268580059526E-3</v>
      </c>
      <c r="BQ232" s="726">
        <v>5.7754585506094129E-3</v>
      </c>
      <c r="BR232" s="726">
        <v>7.1967141848514465E-3</v>
      </c>
      <c r="BS232" s="726">
        <v>9.0033879107936504E-3</v>
      </c>
      <c r="BT232" s="726">
        <v>1.1108064529245698E-2</v>
      </c>
      <c r="BW232" s="1186">
        <f>'2018'!R\Max</f>
        <v>0.93679386657736063</v>
      </c>
      <c r="BX232" s="1184">
        <f>'2019'!R\Max</f>
        <v>0.7322118943310475</v>
      </c>
      <c r="BY232" s="1184">
        <f>'2020'!R\Max</f>
        <v>0.99346561927378441</v>
      </c>
      <c r="BZ232" s="1184">
        <f>'2021'!R\Max</f>
        <v>0.36919755855817959</v>
      </c>
      <c r="CA232" s="1184">
        <f>'2022'!R\Max</f>
        <v>0.88299886354371038</v>
      </c>
      <c r="CB232" s="1184">
        <f>'2023'!R\Max</f>
        <v>0.88299330476093585</v>
      </c>
      <c r="CC232" s="1184">
        <f>'2024'!R\Max</f>
        <v>0.88298697068073562</v>
      </c>
      <c r="CD232" s="1184">
        <f>'2025'!R\Max</f>
        <v>0.88301927336091457</v>
      </c>
      <c r="CE232" s="1184">
        <f>'2026'!R\Max</f>
        <v>0.88301468847481657</v>
      </c>
      <c r="CF232" s="1185">
        <f>'2027'!R\Max</f>
        <v>0.88300969313773059</v>
      </c>
    </row>
    <row r="233" spans="1:84" s="6" customFormat="1" ht="11.25" x14ac:dyDescent="0.2">
      <c r="A233" s="11">
        <v>43319</v>
      </c>
      <c r="B233" s="380">
        <f>'2022'!Maxi_hp</f>
        <v>55.820902062700583</v>
      </c>
      <c r="C233" s="13">
        <f>'2022'!An_max</f>
        <v>2020</v>
      </c>
      <c r="D233" s="1062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53">
        <f t="shared" si="100"/>
        <v>7.1428571428571425E-2</v>
      </c>
      <c r="J233" s="746">
        <f t="shared" si="101"/>
        <v>57.688473943115355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55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53">
        <f t="shared" si="105"/>
        <v>0.5357142857142857</v>
      </c>
      <c r="AT233" s="769">
        <f t="shared" si="106"/>
        <v>57.765877122698086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53">
        <f t="shared" si="110"/>
        <v>3.5714285714285712E-2</v>
      </c>
      <c r="AY233" s="769">
        <f t="shared" si="111"/>
        <v>57.687814116870456</v>
      </c>
      <c r="AZ233" s="746">
        <f t="shared" si="115"/>
        <v>57.726845619784271</v>
      </c>
      <c r="BA233" s="643">
        <f t="shared" si="112"/>
        <v>0.9676266028070647</v>
      </c>
      <c r="BC233" s="11">
        <v>43319</v>
      </c>
      <c r="BD233" s="290">
        <f>[2]!FeuilCaduc*(1-Persistant)+Persistant</f>
        <v>0.99861582046760844</v>
      </c>
      <c r="BE233" s="291">
        <f>[2]!CroissVégét</f>
        <v>0.91575084939386342</v>
      </c>
      <c r="BF233" s="816">
        <f>1+[2]!Salcycl*Ksac</f>
        <v>1.049826977558451</v>
      </c>
      <c r="BH233" s="1053">
        <f t="shared" si="113"/>
        <v>1.9320719912485351E-3</v>
      </c>
      <c r="BI233" s="11">
        <v>44415</v>
      </c>
      <c r="BJ233" s="726">
        <v>3.0781862114835634E-4</v>
      </c>
      <c r="BK233" s="726">
        <v>7.8682295760153708E-4</v>
      </c>
      <c r="BL233" s="726">
        <v>1.3025268874067872E-3</v>
      </c>
      <c r="BM233" s="726">
        <v>1.9337198398804226E-3</v>
      </c>
      <c r="BN233" s="726">
        <v>2.6722593170779721E-3</v>
      </c>
      <c r="BO233" s="727">
        <v>3.4818455913626922E-3</v>
      </c>
      <c r="BP233" s="726">
        <v>4.3714560610494183E-3</v>
      </c>
      <c r="BQ233" s="726">
        <v>5.4142572949314773E-3</v>
      </c>
      <c r="BR233" s="726">
        <v>6.7644640339481008E-3</v>
      </c>
      <c r="BS233" s="726">
        <v>8.5080585100512536E-3</v>
      </c>
      <c r="BT233" s="726">
        <v>1.0558681773077941E-2</v>
      </c>
      <c r="BW233" s="1186">
        <f>'2018'!R\Max</f>
        <v>0.62548073998555376</v>
      </c>
      <c r="BX233" s="1184">
        <f>'2019'!R\Max</f>
        <v>0.75824973595239831</v>
      </c>
      <c r="BY233" s="1184">
        <f>'2020'!R\Max</f>
        <v>0.9676266028070647</v>
      </c>
      <c r="BZ233" s="1184">
        <f>'2021'!R\Max</f>
        <v>0.44905824695946617</v>
      </c>
      <c r="CA233" s="1184">
        <f>'2022'!R\Max</f>
        <v>0.94108122275221062</v>
      </c>
      <c r="CB233" s="1184">
        <f>'2023'!R\Max</f>
        <v>0.94107847785491194</v>
      </c>
      <c r="CC233" s="1184">
        <f>'2024'!R\Max</f>
        <v>0.94107530235990222</v>
      </c>
      <c r="CD233" s="1184">
        <f>'2025'!R\Max</f>
        <v>0.94109131306249394</v>
      </c>
      <c r="CE233" s="1184">
        <f>'2026'!R\Max</f>
        <v>0.94108903483944784</v>
      </c>
      <c r="CF233" s="1185">
        <f>'2027'!R\Max</f>
        <v>0.94108656787973322</v>
      </c>
    </row>
    <row r="234" spans="1:84" s="6" customFormat="1" ht="11.25" x14ac:dyDescent="0.2">
      <c r="A234" s="11">
        <v>43320</v>
      </c>
      <c r="B234" s="380">
        <f>'2022'!Maxi_hp</f>
        <v>55.165911052981301</v>
      </c>
      <c r="C234" s="13">
        <f>'2022'!An_max</f>
        <v>2022</v>
      </c>
      <c r="D234" s="1062" t="str">
        <f t="shared" si="97"/>
        <v/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53">
        <f t="shared" si="100"/>
        <v>0.14285714285714285</v>
      </c>
      <c r="J234" s="746">
        <f t="shared" si="101"/>
        <v>57.53603848389217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55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53">
        <f t="shared" si="105"/>
        <v>0.5714285714285714</v>
      </c>
      <c r="AT234" s="769">
        <f t="shared" si="106"/>
        <v>57.615915452076919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53">
        <f t="shared" si="110"/>
        <v>7.1428571428571425E-2</v>
      </c>
      <c r="AY234" s="769">
        <f t="shared" si="111"/>
        <v>57.536772120916943</v>
      </c>
      <c r="AZ234" s="746">
        <f t="shared" si="115"/>
        <v>57.576343786496935</v>
      </c>
      <c r="BA234" s="643">
        <f t="shared" si="112"/>
        <v>0.95880621097028762</v>
      </c>
      <c r="BC234" s="11">
        <v>43320</v>
      </c>
      <c r="BD234" s="290">
        <f>[2]!FeuilCaduc*(1-Persistant)+Persistant</f>
        <v>0.99837575727223327</v>
      </c>
      <c r="BE234" s="291">
        <f>[2]!CroissVégét</f>
        <v>0.91887939725970647</v>
      </c>
      <c r="BF234" s="816">
        <f>1+[2]!Salcycl*Ksac</f>
        <v>1.0497969696590292</v>
      </c>
      <c r="BH234" s="1053">
        <f t="shared" si="113"/>
        <v>1.8453385687376583E-3</v>
      </c>
      <c r="BI234" s="11">
        <v>44416</v>
      </c>
      <c r="BJ234" s="726">
        <v>3.0663553312098446E-4</v>
      </c>
      <c r="BK234" s="726">
        <v>7.6142984176411901E-4</v>
      </c>
      <c r="BL234" s="726">
        <v>1.251729807751989E-3</v>
      </c>
      <c r="BM234" s="726">
        <v>1.8468923531745436E-3</v>
      </c>
      <c r="BN234" s="726">
        <v>2.5229622523246288E-3</v>
      </c>
      <c r="BO234" s="727">
        <v>3.2595083149787019E-3</v>
      </c>
      <c r="BP234" s="726">
        <v>4.0726616766661086E-3</v>
      </c>
      <c r="BQ234" s="726">
        <v>5.0508901179402944E-3</v>
      </c>
      <c r="BR234" s="726">
        <v>6.3402237790914093E-3</v>
      </c>
      <c r="BS234" s="726">
        <v>8.0292836566917582E-3</v>
      </c>
      <c r="BT234" s="726">
        <v>1.002499313237846E-2</v>
      </c>
      <c r="BW234" s="1186">
        <f>'2018'!R\Max</f>
        <v>0.82263674175524837</v>
      </c>
      <c r="BX234" s="1184">
        <f>'2019'!R\Max</f>
        <v>0.95685426598375733</v>
      </c>
      <c r="BY234" s="1184">
        <f>'2020'!R\Max</f>
        <v>0.95589655954334352</v>
      </c>
      <c r="BZ234" s="1184">
        <f>'2021'!R\Max</f>
        <v>0.70742170521699221</v>
      </c>
      <c r="CA234" s="1184">
        <f>'2022'!R\Max</f>
        <v>0.95880621097028762</v>
      </c>
      <c r="CB234" s="1184">
        <f>'2023'!R\Max</f>
        <v>0.95880441945256734</v>
      </c>
      <c r="CC234" s="1184">
        <f>'2024'!R\Max</f>
        <v>0.95880229550905227</v>
      </c>
      <c r="CD234" s="1184">
        <f>'2025'!R\Max</f>
        <v>0.95881278490934974</v>
      </c>
      <c r="CE234" s="1184">
        <f>'2026'!R\Max</f>
        <v>0.9588112957444106</v>
      </c>
      <c r="CF234" s="1185">
        <f>'2027'!R\Max</f>
        <v>0.95880969144602124</v>
      </c>
    </row>
    <row r="235" spans="1:84" s="6" customFormat="1" ht="11.25" x14ac:dyDescent="0.2">
      <c r="A235" s="11">
        <v>43321</v>
      </c>
      <c r="B235" s="380">
        <f>'2022'!Maxi_hp</f>
        <v>55.939165383860541</v>
      </c>
      <c r="C235" s="13">
        <f>'2022'!An_max</f>
        <v>2021</v>
      </c>
      <c r="D235" s="1062">
        <f t="shared" si="97"/>
        <v>0.97484906133627047</v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53">
        <f t="shared" si="100"/>
        <v>0.21428571428571427</v>
      </c>
      <c r="J235" s="746">
        <f t="shared" si="101"/>
        <v>57.382386261091696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55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53">
        <f t="shared" si="105"/>
        <v>0.6071428571428571</v>
      </c>
      <c r="AT235" s="769">
        <f t="shared" si="106"/>
        <v>57.463430785574019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53">
        <f t="shared" si="110"/>
        <v>0.10714285714285714</v>
      </c>
      <c r="AY235" s="769">
        <f t="shared" si="111"/>
        <v>57.386365347056255</v>
      </c>
      <c r="AZ235" s="746">
        <f t="shared" si="115"/>
        <v>57.424898066315137</v>
      </c>
      <c r="BA235" s="643">
        <f t="shared" si="112"/>
        <v>0.97484906133627047</v>
      </c>
      <c r="BC235" s="11">
        <v>43321</v>
      </c>
      <c r="BD235" s="290">
        <f>[2]!FeuilCaduc*(1-Persistant)+Persistant</f>
        <v>0.99811672425118192</v>
      </c>
      <c r="BE235" s="291">
        <f>[2]!CroissVégét</f>
        <v>0.92190211899696306</v>
      </c>
      <c r="BF235" s="816">
        <f>1+[2]!Salcycl*Ksac</f>
        <v>1.0497645905313977</v>
      </c>
      <c r="BH235" s="1053">
        <f t="shared" si="113"/>
        <v>1.7540626051636703E-3</v>
      </c>
      <c r="BI235" s="11">
        <v>44417</v>
      </c>
      <c r="BJ235" s="726">
        <v>3.0176671819382421E-4</v>
      </c>
      <c r="BK235" s="726">
        <v>7.3214384465368639E-4</v>
      </c>
      <c r="BL235" s="726">
        <v>1.1964998090740659E-3</v>
      </c>
      <c r="BM235" s="726">
        <v>1.7555220384673697E-3</v>
      </c>
      <c r="BN235" s="726">
        <v>2.37233692394156E-3</v>
      </c>
      <c r="BO235" s="727">
        <v>3.0404177726320713E-3</v>
      </c>
      <c r="BP235" s="726">
        <v>3.782641700433765E-3</v>
      </c>
      <c r="BQ235" s="726">
        <v>4.6994362990423399E-3</v>
      </c>
      <c r="BR235" s="726">
        <v>5.9297401256172061E-3</v>
      </c>
      <c r="BS235" s="726">
        <v>7.5642999674199385E-3</v>
      </c>
      <c r="BT235" s="726">
        <v>9.5048191781842237E-3</v>
      </c>
      <c r="BW235" s="1186">
        <f>'2018'!R\Max</f>
        <v>0.23144160288924956</v>
      </c>
      <c r="BX235" s="1184">
        <f>'2019'!R\Max</f>
        <v>0.925888188748201</v>
      </c>
      <c r="BY235" s="1184">
        <f>'2020'!R\Max</f>
        <v>0.91721187624731271</v>
      </c>
      <c r="BZ235" s="1184">
        <f>'2021'!R\Max</f>
        <v>0.97484906133627047</v>
      </c>
      <c r="CA235" s="1184">
        <f>'2022'!R\Max</f>
        <v>0.92928751031278867</v>
      </c>
      <c r="CB235" s="1184">
        <f>'2023'!R\Max</f>
        <v>0.92928478314875251</v>
      </c>
      <c r="CC235" s="1184">
        <f>'2024'!R\Max</f>
        <v>0.9292814678091208</v>
      </c>
      <c r="CD235" s="1184">
        <f>'2025'!R\Max</f>
        <v>0.92929748698448311</v>
      </c>
      <c r="CE235" s="1184">
        <f>'2026'!R\Max</f>
        <v>0.92929522105576357</v>
      </c>
      <c r="CF235" s="1185">
        <f>'2027'!R\Max</f>
        <v>0.92929279179099389</v>
      </c>
    </row>
    <row r="236" spans="1:84" s="6" customFormat="1" ht="11.25" x14ac:dyDescent="0.2">
      <c r="A236" s="11">
        <v>43322</v>
      </c>
      <c r="B236" s="380">
        <f>'2022'!Maxi_hp</f>
        <v>53.022413412282127</v>
      </c>
      <c r="C236" s="13">
        <f>'2022'!An_max</f>
        <v>2021</v>
      </c>
      <c r="D236" s="1062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53">
        <f t="shared" si="100"/>
        <v>0.2857142857142857</v>
      </c>
      <c r="J236" s="746">
        <f t="shared" si="101"/>
        <v>57.227409912565989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55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53">
        <f t="shared" si="105"/>
        <v>0.6428571428571429</v>
      </c>
      <c r="AT236" s="769">
        <f t="shared" si="106"/>
        <v>57.308288921522241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53">
        <f t="shared" si="110"/>
        <v>0.14285714285714285</v>
      </c>
      <c r="AY236" s="769">
        <f t="shared" si="111"/>
        <v>57.236285131158567</v>
      </c>
      <c r="AZ236" s="746">
        <f t="shared" si="115"/>
        <v>57.272287026340408</v>
      </c>
      <c r="BA236" s="643">
        <f t="shared" si="112"/>
        <v>0.92652128574911219</v>
      </c>
      <c r="BC236" s="11">
        <v>43322</v>
      </c>
      <c r="BD236" s="290">
        <f>[2]!FeuilCaduc*(1-Persistant)+Persistant</f>
        <v>0.99783873493122033</v>
      </c>
      <c r="BE236" s="291">
        <f>[2]!CroissVégét</f>
        <v>0.92482186992875737</v>
      </c>
      <c r="BF236" s="816">
        <f>1+[2]!Salcycl*Ksac</f>
        <v>1.0497298418664025</v>
      </c>
      <c r="BH236" s="1053">
        <f t="shared" si="113"/>
        <v>1.6582416824201802E-3</v>
      </c>
      <c r="BI236" s="11">
        <v>44418</v>
      </c>
      <c r="BJ236" s="726">
        <v>2.9321254223181272E-4</v>
      </c>
      <c r="BK236" s="726">
        <v>6.9896453360906085E-4</v>
      </c>
      <c r="BL236" s="726">
        <v>1.1368356600074221E-3</v>
      </c>
      <c r="BM236" s="726">
        <v>1.6596064745461893E-3</v>
      </c>
      <c r="BN236" s="726">
        <v>2.2203785010745558E-3</v>
      </c>
      <c r="BO236" s="727">
        <v>2.8245662232977442E-3</v>
      </c>
      <c r="BP236" s="726">
        <v>3.5013852330968293E-3</v>
      </c>
      <c r="BQ236" s="726">
        <v>4.359882386882453E-3</v>
      </c>
      <c r="BR236" s="726">
        <v>5.5329972528185322E-3</v>
      </c>
      <c r="BS236" s="726">
        <v>7.1130895511877018E-3</v>
      </c>
      <c r="BT236" s="726">
        <v>8.9981398856803767E-3</v>
      </c>
      <c r="BW236" s="1186">
        <f>'2018'!R\Max</f>
        <v>0.90907647233229449</v>
      </c>
      <c r="BX236" s="1184">
        <f>'2019'!R\Max</f>
        <v>0.70908862286680729</v>
      </c>
      <c r="BY236" s="1184">
        <f>'2020'!R\Max</f>
        <v>0.74879974224196377</v>
      </c>
      <c r="BZ236" s="1184">
        <f>'2021'!R\Max</f>
        <v>0.92652128574911219</v>
      </c>
      <c r="CA236" s="1184">
        <f>'2022'!R\Max</f>
        <v>0.89350398543630716</v>
      </c>
      <c r="CB236" s="1184">
        <f>'2023'!R\Max</f>
        <v>0.89350037564886753</v>
      </c>
      <c r="CC236" s="1184">
        <f>'2024'!R\Max</f>
        <v>0.8934958745662499</v>
      </c>
      <c r="CD236" s="1184">
        <f>'2025'!R\Max</f>
        <v>0.89351712923780457</v>
      </c>
      <c r="CE236" s="1184">
        <f>'2026'!R\Max</f>
        <v>0.89351413888431042</v>
      </c>
      <c r="CF236" s="1185">
        <f>'2027'!R\Max</f>
        <v>0.8935109470749345</v>
      </c>
    </row>
    <row r="237" spans="1:84" s="6" customFormat="1" ht="11.25" x14ac:dyDescent="0.2">
      <c r="A237" s="11">
        <v>43323</v>
      </c>
      <c r="B237" s="380">
        <f>'2022'!Maxi_hp</f>
        <v>54.934751797677123</v>
      </c>
      <c r="C237" s="13">
        <f>'2022'!An_max</f>
        <v>2018</v>
      </c>
      <c r="D237" s="1062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53">
        <f t="shared" si="100"/>
        <v>0.35714285714285715</v>
      </c>
      <c r="J237" s="746">
        <f t="shared" si="101"/>
        <v>57.07100207741771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55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53">
        <f t="shared" si="105"/>
        <v>0.6785714285714286</v>
      </c>
      <c r="AT237" s="769">
        <f t="shared" si="106"/>
        <v>57.150355657728916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53">
        <f t="shared" si="110"/>
        <v>0.17857142857142858</v>
      </c>
      <c r="AY237" s="769">
        <f t="shared" si="111"/>
        <v>57.086222808568607</v>
      </c>
      <c r="AZ237" s="746">
        <f t="shared" si="115"/>
        <v>57.118289233148758</v>
      </c>
      <c r="BA237" s="643">
        <f t="shared" si="112"/>
        <v>0.96256855141876208</v>
      </c>
      <c r="BC237" s="11">
        <v>43323</v>
      </c>
      <c r="BD237" s="290">
        <f>[2]!FeuilCaduc*(1-Persistant)+Persistant</f>
        <v>0.99754166908790198</v>
      </c>
      <c r="BE237" s="291">
        <f>[2]!CroissVégét</f>
        <v>0.92764148214144238</v>
      </c>
      <c r="BF237" s="816">
        <f>1+[2]!Salcycl*Ksac</f>
        <v>1.0496927086359877</v>
      </c>
      <c r="BH237" s="1053">
        <f t="shared" si="113"/>
        <v>1.5578732420788379E-3</v>
      </c>
      <c r="BI237" s="11">
        <v>44419</v>
      </c>
      <c r="BJ237" s="726">
        <v>2.8097317241606575E-4</v>
      </c>
      <c r="BK237" s="726">
        <v>6.6189129570528367E-4</v>
      </c>
      <c r="BL237" s="726">
        <v>1.0727359507376976E-3</v>
      </c>
      <c r="BM237" s="726">
        <v>1.5591430999761285E-3</v>
      </c>
      <c r="BN237" s="726">
        <v>2.0670822638783897E-3</v>
      </c>
      <c r="BO237" s="727">
        <v>2.6119463750316121E-3</v>
      </c>
      <c r="BP237" s="726">
        <v>3.2288822184155953E-3</v>
      </c>
      <c r="BQ237" s="726">
        <v>4.0322160226653843E-3</v>
      </c>
      <c r="BR237" s="726">
        <v>5.1499806070313655E-3</v>
      </c>
      <c r="BS237" s="726">
        <v>6.6756358522644266E-3</v>
      </c>
      <c r="BT237" s="726">
        <v>8.5049366170499314E-3</v>
      </c>
      <c r="BW237" s="1186">
        <f>'2018'!R\Max</f>
        <v>0.96256855141876208</v>
      </c>
      <c r="BX237" s="1184">
        <f>'2019'!R\Max</f>
        <v>0.48961694453260035</v>
      </c>
      <c r="BY237" s="1184">
        <f>'2020'!R\Max</f>
        <v>0.69066758530066041</v>
      </c>
      <c r="BZ237" s="1184">
        <f>'2021'!R\Max</f>
        <v>0.91013595898502175</v>
      </c>
      <c r="CA237" s="1184">
        <f>'2022'!R\Max</f>
        <v>0.82454808293317183</v>
      </c>
      <c r="CB237" s="1184">
        <f>'2023'!R\Max</f>
        <v>0.82454306819693501</v>
      </c>
      <c r="CC237" s="1184">
        <f>'2024'!R\Max</f>
        <v>0.82453665561190315</v>
      </c>
      <c r="CD237" s="1184">
        <f>'2025'!R\Max</f>
        <v>0.82456622032243498</v>
      </c>
      <c r="CE237" s="1184">
        <f>'2026'!R\Max</f>
        <v>0.82456209211730491</v>
      </c>
      <c r="CF237" s="1185">
        <f>'2027'!R\Max</f>
        <v>0.82455770195412348</v>
      </c>
    </row>
    <row r="238" spans="1:84" s="6" customFormat="1" ht="11.25" x14ac:dyDescent="0.2">
      <c r="A238" s="11">
        <v>43324</v>
      </c>
      <c r="B238" s="380">
        <f>'2022'!Maxi_hp</f>
        <v>52.198759439863373</v>
      </c>
      <c r="C238" s="13">
        <f>'2022'!An_max</f>
        <v>2018</v>
      </c>
      <c r="D238" s="1062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53">
        <f t="shared" si="100"/>
        <v>0.42857142857142855</v>
      </c>
      <c r="J238" s="746">
        <f t="shared" si="101"/>
        <v>56.913055393898063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55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53">
        <f t="shared" si="105"/>
        <v>0.7142857142857143</v>
      </c>
      <c r="AT238" s="769">
        <f t="shared" si="106"/>
        <v>56.989496793012528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53">
        <f t="shared" si="110"/>
        <v>0.21428571428571427</v>
      </c>
      <c r="AY238" s="769">
        <f t="shared" si="111"/>
        <v>56.935869715455922</v>
      </c>
      <c r="AZ238" s="746">
        <f t="shared" si="115"/>
        <v>56.962683254234221</v>
      </c>
      <c r="BA238" s="643">
        <f t="shared" si="112"/>
        <v>0.91716670416995161</v>
      </c>
      <c r="BC238" s="11">
        <v>43324</v>
      </c>
      <c r="BD238" s="290">
        <f>[2]!FeuilCaduc*(1-Persistant)+Persistant</f>
        <v>0.99722528259737375</v>
      </c>
      <c r="BE238" s="291">
        <f>[2]!CroissVégét</f>
        <v>0.93036376011657451</v>
      </c>
      <c r="BF238" s="816">
        <f>1+[2]!Salcycl*Ksac</f>
        <v>1.0496531603246717</v>
      </c>
      <c r="BH238" s="1053">
        <f t="shared" si="113"/>
        <v>1.4529545996252674E-3</v>
      </c>
      <c r="BI238" s="11">
        <v>44420</v>
      </c>
      <c r="BJ238" s="726">
        <v>2.6504858871338798E-4</v>
      </c>
      <c r="BK238" s="726">
        <v>6.209233498971629E-4</v>
      </c>
      <c r="BL238" s="726">
        <v>1.0041991068560079E-3</v>
      </c>
      <c r="BM238" s="726">
        <v>1.4541292273370853E-3</v>
      </c>
      <c r="BN238" s="726">
        <v>1.9124436078178703E-3</v>
      </c>
      <c r="BO238" s="727">
        <v>2.4025513751143521E-3</v>
      </c>
      <c r="BP238" s="726">
        <v>2.9651234161969823E-3</v>
      </c>
      <c r="BQ238" s="726">
        <v>3.7164259035008538E-3</v>
      </c>
      <c r="BR238" s="726">
        <v>4.7806768593342862E-3</v>
      </c>
      <c r="BS238" s="726">
        <v>6.2519236079290851E-3</v>
      </c>
      <c r="BT238" s="726">
        <v>8.0251920801397997E-3</v>
      </c>
      <c r="BW238" s="1186">
        <f>'2018'!R\Max</f>
        <v>0.91716670416995161</v>
      </c>
      <c r="BX238" s="1184">
        <f>'2019'!R\Max</f>
        <v>0.50994273826593106</v>
      </c>
      <c r="BY238" s="1184">
        <f>'2020'!R\Max</f>
        <v>0.79590988164506982</v>
      </c>
      <c r="BZ238" s="1184">
        <f>'2021'!R\Max</f>
        <v>0.87239775677636799</v>
      </c>
      <c r="CA238" s="1184">
        <f>'2022'!R\Max</f>
        <v>0.86783111348600983</v>
      </c>
      <c r="CB238" s="1184">
        <f>'2023'!R\Max</f>
        <v>0.86782747902618584</v>
      </c>
      <c r="CC238" s="1184">
        <f>'2024'!R\Max</f>
        <v>0.8678227163610952</v>
      </c>
      <c r="CD238" s="1184">
        <f>'2025'!R\Max</f>
        <v>0.86784413795438198</v>
      </c>
      <c r="CE238" s="1184">
        <f>'2026'!R\Max</f>
        <v>0.8678411774360576</v>
      </c>
      <c r="CF238" s="1185">
        <f>'2027'!R\Max</f>
        <v>0.8678380370883586</v>
      </c>
    </row>
    <row r="239" spans="1:84" s="6" customFormat="1" ht="11.25" x14ac:dyDescent="0.2">
      <c r="A239" s="11">
        <v>43325</v>
      </c>
      <c r="B239" s="380">
        <f>'2022'!Maxi_hp</f>
        <v>49.571963401626377</v>
      </c>
      <c r="C239" s="13">
        <f>'2022'!An_max</f>
        <v>2019</v>
      </c>
      <c r="D239" s="1062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53">
        <f t="shared" si="100"/>
        <v>0.5</v>
      </c>
      <c r="J239" s="746">
        <f t="shared" si="101"/>
        <v>56.753462500032036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55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53">
        <f t="shared" si="105"/>
        <v>0.75</v>
      </c>
      <c r="AT239" s="769">
        <f t="shared" si="106"/>
        <v>56.825578125147146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53">
        <f t="shared" si="110"/>
        <v>0.25</v>
      </c>
      <c r="AY239" s="769">
        <f t="shared" si="111"/>
        <v>56.784917187457907</v>
      </c>
      <c r="AZ239" s="746">
        <f t="shared" si="115"/>
        <v>56.805247656302527</v>
      </c>
      <c r="BA239" s="643">
        <f t="shared" si="112"/>
        <v>0.87346148090256859</v>
      </c>
      <c r="BC239" s="11">
        <v>43325</v>
      </c>
      <c r="BD239" s="290">
        <f>[2]!FeuilCaduc*(1-Persistant)+Persistant</f>
        <v>0.9968892171945738</v>
      </c>
      <c r="BE239" s="291">
        <f>[2]!CroissVégét</f>
        <v>0.93299147677206173</v>
      </c>
      <c r="BF239" s="816">
        <f>1+[2]!Salcycl*Ksac</f>
        <v>1.0496111521493217</v>
      </c>
      <c r="BH239" s="1053">
        <f t="shared" si="113"/>
        <v>1.3434829586513528E-3</v>
      </c>
      <c r="BI239" s="11">
        <v>44421</v>
      </c>
      <c r="BJ239" s="726">
        <v>2.4543859533834606E-4</v>
      </c>
      <c r="BK239" s="726">
        <v>5.7605975914467038E-4</v>
      </c>
      <c r="BL239" s="726">
        <v>9.312234031834607E-4</v>
      </c>
      <c r="BM239" s="726">
        <v>1.3445620574169769E-3</v>
      </c>
      <c r="BN239" s="726">
        <v>1.7564580479096678E-3</v>
      </c>
      <c r="BO239" s="727">
        <v>2.1963748001191936E-3</v>
      </c>
      <c r="BP239" s="726">
        <v>2.7101003752305688E-3</v>
      </c>
      <c r="BQ239" s="726">
        <v>3.412501745630972E-3</v>
      </c>
      <c r="BR239" s="726">
        <v>4.4250738631000002E-3</v>
      </c>
      <c r="BS239" s="726">
        <v>5.8419388059738767E-3</v>
      </c>
      <c r="BT239" s="726">
        <v>7.5588902868904823E-3</v>
      </c>
      <c r="BW239" s="1186">
        <f>'2018'!R\Max</f>
        <v>0.56729334194312209</v>
      </c>
      <c r="BX239" s="1184">
        <f>'2019'!R\Max</f>
        <v>0.87346148090256859</v>
      </c>
      <c r="BY239" s="1184">
        <f>'2020'!R\Max</f>
        <v>0.51925377217685786</v>
      </c>
      <c r="BZ239" s="1184">
        <f>'2021'!R\Max</f>
        <v>0.57689488320445093</v>
      </c>
      <c r="CA239" s="1184">
        <f>'2022'!R\Max</f>
        <v>0.60625469637998453</v>
      </c>
      <c r="CB239" s="1184">
        <f>'2023'!R\Max</f>
        <v>0.60624777223900839</v>
      </c>
      <c r="CC239" s="1184">
        <f>'2024'!R\Max</f>
        <v>0.60623848856293228</v>
      </c>
      <c r="CD239" s="1184">
        <f>'2025'!R\Max</f>
        <v>0.60627920814911795</v>
      </c>
      <c r="CE239" s="1184">
        <f>'2026'!R\Max</f>
        <v>0.60627365685552792</v>
      </c>
      <c r="CF239" s="1185">
        <f>'2027'!R\Max</f>
        <v>0.60626777397906584</v>
      </c>
    </row>
    <row r="240" spans="1:84" s="6" customFormat="1" ht="11.25" x14ac:dyDescent="0.2">
      <c r="A240" s="11">
        <v>43326</v>
      </c>
      <c r="B240" s="380">
        <f>'2022'!Maxi_hp</f>
        <v>57.385484130512104</v>
      </c>
      <c r="C240" s="13">
        <f>'2022'!An_max</f>
        <v>2019</v>
      </c>
      <c r="D240" s="1062">
        <f t="shared" si="97"/>
        <v>1.0140190569077845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53">
        <f t="shared" si="100"/>
        <v>0.5714285714285714</v>
      </c>
      <c r="J240" s="746">
        <f t="shared" si="101"/>
        <v>56.592116035281549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55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53">
        <f t="shared" si="105"/>
        <v>0.7857142857142857</v>
      </c>
      <c r="AT240" s="769">
        <f t="shared" si="106"/>
        <v>56.658465452066494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53">
        <f t="shared" si="110"/>
        <v>0.2857142857142857</v>
      </c>
      <c r="AY240" s="769">
        <f t="shared" si="111"/>
        <v>56.633056559599936</v>
      </c>
      <c r="AZ240" s="746">
        <f t="shared" si="115"/>
        <v>56.645761005833215</v>
      </c>
      <c r="BA240" s="643">
        <f t="shared" si="112"/>
        <v>1.0140190569077845</v>
      </c>
      <c r="BC240" s="11">
        <v>43326</v>
      </c>
      <c r="BD240" s="290">
        <f>[2]!FeuilCaduc*(1-Persistant)+Persistant</f>
        <v>0.99653301000966721</v>
      </c>
      <c r="BE240" s="291">
        <f>[2]!CroissVégét</f>
        <v>0.93552736989395957</v>
      </c>
      <c r="BF240" s="816">
        <f>1+[2]!Salcycl*Ksac</f>
        <v>1.0495666262512084</v>
      </c>
      <c r="BH240" s="1053">
        <f t="shared" si="113"/>
        <v>1.2325406681041758E-3</v>
      </c>
      <c r="BI240" s="11">
        <v>44422</v>
      </c>
      <c r="BJ240" s="726">
        <v>2.2362125883454236E-4</v>
      </c>
      <c r="BK240" s="726">
        <v>5.2907981731058033E-4</v>
      </c>
      <c r="BL240" s="726">
        <v>8.561026609347907E-4</v>
      </c>
      <c r="BM240" s="726">
        <v>1.2335260031521638E-3</v>
      </c>
      <c r="BN240" s="726">
        <v>1.6032906222886462E-3</v>
      </c>
      <c r="BO240" s="727">
        <v>1.9987294234264878E-3</v>
      </c>
      <c r="BP240" s="726">
        <v>2.4701459138584056E-3</v>
      </c>
      <c r="BQ240" s="726">
        <v>3.1275167553447255E-3</v>
      </c>
      <c r="BR240" s="726">
        <v>4.0912194967643867E-3</v>
      </c>
      <c r="BS240" s="726">
        <v>5.4550499686196177E-3</v>
      </c>
      <c r="BT240" s="726">
        <v>7.1171601325704997E-3</v>
      </c>
      <c r="BW240" s="1186">
        <f>'2018'!R\Max</f>
        <v>0.61200764374897887</v>
      </c>
      <c r="BX240" s="1184">
        <f>'2019'!R\Max</f>
        <v>1.0140190569077845</v>
      </c>
      <c r="BY240" s="1184">
        <f>'2020'!R\Max</f>
        <v>0.32759034215424476</v>
      </c>
      <c r="BZ240" s="1184">
        <f>'2021'!R\Max</f>
        <v>0.89815466876023253</v>
      </c>
      <c r="CA240" s="1184">
        <f>'2022'!R\Max</f>
        <v>0.63216460998770463</v>
      </c>
      <c r="CB240" s="1184">
        <f>'2023'!R\Max</f>
        <v>0.63215840512954391</v>
      </c>
      <c r="CC240" s="1184">
        <f>'2024'!R\Max</f>
        <v>0.63214992311516716</v>
      </c>
      <c r="CD240" s="1184">
        <f>'2025'!R\Max</f>
        <v>0.63218624052270789</v>
      </c>
      <c r="CE240" s="1184">
        <f>'2026'!R\Max</f>
        <v>0.63218137393258056</v>
      </c>
      <c r="CF240" s="1185">
        <f>'2027'!R\Max</f>
        <v>0.63217620979970968</v>
      </c>
    </row>
    <row r="241" spans="1:84" s="6" customFormat="1" ht="11.25" x14ac:dyDescent="0.2">
      <c r="A241" s="11">
        <v>43327</v>
      </c>
      <c r="B241" s="380">
        <f>'2022'!Maxi_hp</f>
        <v>56.300151621417385</v>
      </c>
      <c r="C241" s="13">
        <f>'2022'!An_max</f>
        <v>2018</v>
      </c>
      <c r="D241" s="1062">
        <f t="shared" si="97"/>
        <v>0.99771824373255835</v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53">
        <f t="shared" si="100"/>
        <v>0.6428571428571429</v>
      </c>
      <c r="J241" s="746">
        <f t="shared" si="101"/>
        <v>56.428908637365588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55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53">
        <f t="shared" si="105"/>
        <v>0.8214285714285714</v>
      </c>
      <c r="AT241" s="769">
        <f t="shared" si="106"/>
        <v>56.488024571870582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53">
        <f t="shared" si="110"/>
        <v>0.32142857142857145</v>
      </c>
      <c r="AY241" s="769">
        <f t="shared" si="111"/>
        <v>56.479979167825412</v>
      </c>
      <c r="AZ241" s="746">
        <f t="shared" si="115"/>
        <v>56.484001869848001</v>
      </c>
      <c r="BA241" s="643">
        <f t="shared" si="112"/>
        <v>0.99771824373255835</v>
      </c>
      <c r="BC241" s="11">
        <v>43327</v>
      </c>
      <c r="BD241" s="290">
        <f>[2]!FeuilCaduc*(1-Persistant)+Persistant</f>
        <v>0.99615610276200495</v>
      </c>
      <c r="BE241" s="291">
        <f>[2]!CroissVégét</f>
        <v>0.93797413894004</v>
      </c>
      <c r="BF241" s="816">
        <f>1+[2]!Salcycl*Ksac</f>
        <v>1.0495195128452506</v>
      </c>
      <c r="BH241" s="1053">
        <f t="shared" si="113"/>
        <v>1.1265110886292159E-3</v>
      </c>
      <c r="BI241" s="11">
        <v>44423</v>
      </c>
      <c r="BJ241" s="726">
        <v>2.0252538919753426E-4</v>
      </c>
      <c r="BK241" s="726">
        <v>4.8404240717179656E-4</v>
      </c>
      <c r="BL241" s="726">
        <v>7.8417033726745208E-4</v>
      </c>
      <c r="BM241" s="726">
        <v>1.1274071733343915E-3</v>
      </c>
      <c r="BN241" s="726">
        <v>1.4577882514052842E-3</v>
      </c>
      <c r="BO241" s="727">
        <v>1.8116401102258759E-3</v>
      </c>
      <c r="BP241" s="726">
        <v>2.2429057589527521E-3</v>
      </c>
      <c r="BQ241" s="726">
        <v>2.8567856411218628E-3</v>
      </c>
      <c r="BR241" s="726">
        <v>3.7729012512752835E-3</v>
      </c>
      <c r="BS241" s="726">
        <v>5.0850108032669903E-3</v>
      </c>
      <c r="BT241" s="726">
        <v>6.6938339546260481E-3</v>
      </c>
      <c r="BW241" s="1186">
        <f>'2018'!R\Max</f>
        <v>0.99771824373255835</v>
      </c>
      <c r="BX241" s="1184">
        <f>'2019'!R\Max</f>
        <v>0.52930472779909832</v>
      </c>
      <c r="BY241" s="1184">
        <f>'2020'!R\Max</f>
        <v>0.83310620212302688</v>
      </c>
      <c r="BZ241" s="1184">
        <f>'2021'!R\Max</f>
        <v>0.40235887261789566</v>
      </c>
      <c r="CA241" s="1184">
        <f>'2022'!R\Max</f>
        <v>0.72702148208742456</v>
      </c>
      <c r="CB241" s="1184">
        <f>'2023'!R\Max</f>
        <v>0.72701662525908461</v>
      </c>
      <c r="CC241" s="1184">
        <f>'2024'!R\Max</f>
        <v>0.72700984999578744</v>
      </c>
      <c r="CD241" s="1184">
        <f>'2025'!R\Max</f>
        <v>0.72703813839309406</v>
      </c>
      <c r="CE241" s="1184">
        <f>'2026'!R\Max</f>
        <v>0.72703441798260648</v>
      </c>
      <c r="CF241" s="1185">
        <f>'2027'!R\Max</f>
        <v>0.72703046418577433</v>
      </c>
    </row>
    <row r="242" spans="1:84" s="6" customFormat="1" ht="11.25" x14ac:dyDescent="0.2">
      <c r="A242" s="11">
        <v>43328</v>
      </c>
      <c r="B242" s="380">
        <f>'2022'!Maxi_hp</f>
        <v>56.421516120211891</v>
      </c>
      <c r="C242" s="13">
        <f>'2022'!An_max</f>
        <v>2019</v>
      </c>
      <c r="D242" s="1062">
        <f t="shared" si="97"/>
        <v>1.0028043495664432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53">
        <f t="shared" si="100"/>
        <v>0.7142857142857143</v>
      </c>
      <c r="J242" s="746">
        <f t="shared" si="101"/>
        <v>56.263732945120765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55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53">
        <f t="shared" si="105"/>
        <v>0.8571428571428571</v>
      </c>
      <c r="AT242" s="769">
        <f t="shared" si="106"/>
        <v>56.314121282526422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53">
        <f t="shared" si="110"/>
        <v>0.35714285714285715</v>
      </c>
      <c r="AY242" s="769">
        <f t="shared" si="111"/>
        <v>56.325376348423639</v>
      </c>
      <c r="AZ242" s="746">
        <f t="shared" si="115"/>
        <v>56.31974881547503</v>
      </c>
      <c r="BA242" s="643">
        <f t="shared" si="112"/>
        <v>1.0028043495664432</v>
      </c>
      <c r="BC242" s="11">
        <v>43328</v>
      </c>
      <c r="BD242" s="290">
        <f>[2]!FeuilCaduc*(1-Persistant)+Persistant</f>
        <v>0.99575785049972632</v>
      </c>
      <c r="BE242" s="291">
        <f>[2]!CroissVégét</f>
        <v>0.94033444219607754</v>
      </c>
      <c r="BF242" s="816">
        <f>1+[2]!Salcycl*Ksac</f>
        <v>1.0494697313124659</v>
      </c>
      <c r="BH242" s="1053">
        <f t="shared" si="113"/>
        <v>1.0253913829760448E-3</v>
      </c>
      <c r="BI242" s="11">
        <v>44424</v>
      </c>
      <c r="BJ242" s="726">
        <v>1.8215043067466949E-4</v>
      </c>
      <c r="BK242" s="726">
        <v>4.4094632299683946E-4</v>
      </c>
      <c r="BL242" s="726">
        <v>7.1542450230084739E-4</v>
      </c>
      <c r="BM242" s="726">
        <v>1.0262027283381707E-3</v>
      </c>
      <c r="BN242" s="726">
        <v>1.3199470617721919E-3</v>
      </c>
      <c r="BO242" s="727">
        <v>1.6351018938609739E-3</v>
      </c>
      <c r="BP242" s="726">
        <v>2.0283738656306995E-3</v>
      </c>
      <c r="BQ242" s="726">
        <v>2.6003011509228629E-3</v>
      </c>
      <c r="BR242" s="726">
        <v>3.4701104810046582E-3</v>
      </c>
      <c r="BS242" s="726">
        <v>4.7318110519687494E-3</v>
      </c>
      <c r="BT242" s="726">
        <v>6.2888997525234955E-3</v>
      </c>
      <c r="BW242" s="1186">
        <f>'2018'!R\Max</f>
        <v>0.91257779410736095</v>
      </c>
      <c r="BX242" s="1184">
        <f>'2019'!R\Max</f>
        <v>1.0028043495664432</v>
      </c>
      <c r="BY242" s="1184">
        <f>'2020'!R\Max</f>
        <v>0.87144757508044324</v>
      </c>
      <c r="BZ242" s="1184">
        <f>'2021'!R\Max</f>
        <v>0.60470523854078007</v>
      </c>
      <c r="CA242" s="1184">
        <f>'2022'!R\Max</f>
        <v>0.61255180965176603</v>
      </c>
      <c r="CB242" s="1184">
        <f>'2023'!R\Max</f>
        <v>0.61254649985633747</v>
      </c>
      <c r="CC242" s="1184">
        <f>'2024'!R\Max</f>
        <v>0.61253893432013296</v>
      </c>
      <c r="CD242" s="1184">
        <f>'2025'!R\Max</f>
        <v>0.61256970610697126</v>
      </c>
      <c r="CE242" s="1184">
        <f>'2026'!R\Max</f>
        <v>0.61256574028650601</v>
      </c>
      <c r="CF242" s="1185">
        <f>'2027'!R\Max</f>
        <v>0.61256151856153374</v>
      </c>
    </row>
    <row r="243" spans="1:84" s="6" customFormat="1" ht="11.25" x14ac:dyDescent="0.2">
      <c r="A243" s="11">
        <v>43329</v>
      </c>
      <c r="B243" s="380">
        <f>'2022'!Maxi_hp</f>
        <v>55.293372982977111</v>
      </c>
      <c r="C243" s="13">
        <f>'2022'!An_max</f>
        <v>2019</v>
      </c>
      <c r="D243" s="1062">
        <f t="shared" si="97"/>
        <v>0.98568344055234092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53">
        <f t="shared" si="100"/>
        <v>0.7857142857142857</v>
      </c>
      <c r="J243" s="746">
        <f t="shared" si="101"/>
        <v>56.09648159655876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55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53">
        <f t="shared" si="105"/>
        <v>0.8928571428571429</v>
      </c>
      <c r="AT243" s="769">
        <f t="shared" si="106"/>
        <v>56.136621382805927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53">
        <f t="shared" si="110"/>
        <v>0.39285714285714285</v>
      </c>
      <c r="AY243" s="769">
        <f t="shared" si="111"/>
        <v>56.168939435821287</v>
      </c>
      <c r="AZ243" s="746">
        <f t="shared" si="115"/>
        <v>56.152780409313607</v>
      </c>
      <c r="BA243" s="643">
        <f t="shared" si="112"/>
        <v>0.98568344055234092</v>
      </c>
      <c r="BC243" s="11">
        <v>43329</v>
      </c>
      <c r="BD243" s="290">
        <f>[2]!FeuilCaduc*(1-Persistant)+Persistant</f>
        <v>0.99533752978320933</v>
      </c>
      <c r="BE243" s="291">
        <f>[2]!CroissVégét</f>
        <v>0.94261089426578282</v>
      </c>
      <c r="BF243" s="816">
        <f>1+[2]!Salcycl*Ksac</f>
        <v>1.0494171912229011</v>
      </c>
      <c r="BH243" s="1053">
        <f t="shared" si="113"/>
        <v>9.2917906293087809E-4</v>
      </c>
      <c r="BI243" s="11">
        <v>44425</v>
      </c>
      <c r="BJ243" s="726">
        <v>1.624958856227659E-4</v>
      </c>
      <c r="BK243" s="726">
        <v>3.9979050091997246E-4</v>
      </c>
      <c r="BL243" s="726">
        <v>6.498634565391152E-4</v>
      </c>
      <c r="BM243" s="726">
        <v>9.299101778852297E-4</v>
      </c>
      <c r="BN243" s="726">
        <v>1.1897636998284408E-3</v>
      </c>
      <c r="BO243" s="727">
        <v>1.4691105072551034E-3</v>
      </c>
      <c r="BP243" s="726">
        <v>1.8265450339607369E-3</v>
      </c>
      <c r="BQ243" s="726">
        <v>2.3580569997031999E-3</v>
      </c>
      <c r="BR243" s="726">
        <v>3.1828396229455578E-3</v>
      </c>
      <c r="BS243" s="726">
        <v>4.3954416614119035E-3</v>
      </c>
      <c r="BT243" s="726">
        <v>5.9023468648889132E-3</v>
      </c>
      <c r="BW243" s="1186">
        <f>'2018'!R\Max</f>
        <v>0.59707099884502213</v>
      </c>
      <c r="BX243" s="1184">
        <f>'2019'!R\Max</f>
        <v>0.98568344055234092</v>
      </c>
      <c r="BY243" s="1184">
        <f>'2020'!R\Max</f>
        <v>0.35810207297809449</v>
      </c>
      <c r="BZ243" s="1184">
        <f>'2021'!R\Max</f>
        <v>0.79720967633574713</v>
      </c>
      <c r="CA243" s="1184">
        <f>'2022'!R\Max</f>
        <v>0.42235457303109575</v>
      </c>
      <c r="CB243" s="1184">
        <f>'2023'!R\Max</f>
        <v>0.42234959944876255</v>
      </c>
      <c r="CC243" s="1184">
        <f>'2024'!R\Max</f>
        <v>0.42234235525134506</v>
      </c>
      <c r="CD243" s="1184">
        <f>'2025'!R\Max</f>
        <v>0.42237103193641284</v>
      </c>
      <c r="CE243" s="1184">
        <f>'2026'!R\Max</f>
        <v>0.42236741622340679</v>
      </c>
      <c r="CF243" s="1185">
        <f>'2027'!R\Max</f>
        <v>0.42236355979586698</v>
      </c>
    </row>
    <row r="244" spans="1:84" s="6" customFormat="1" ht="11.25" x14ac:dyDescent="0.2">
      <c r="A244" s="11">
        <v>43330</v>
      </c>
      <c r="B244" s="380">
        <f>'2022'!Maxi_hp</f>
        <v>53.147705265054185</v>
      </c>
      <c r="C244" s="13">
        <f>'2022'!An_max</f>
        <v>2021</v>
      </c>
      <c r="D244" s="1062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53">
        <f t="shared" si="100"/>
        <v>0.8571428571428571</v>
      </c>
      <c r="J244" s="746">
        <f t="shared" si="101"/>
        <v>55.927047230329904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55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53">
        <f t="shared" si="105"/>
        <v>0.9285714285714286</v>
      </c>
      <c r="AT244" s="769">
        <f t="shared" si="106"/>
        <v>55.955390670589566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53">
        <f t="shared" si="110"/>
        <v>0.42857142857142855</v>
      </c>
      <c r="AY244" s="769">
        <f t="shared" si="111"/>
        <v>56.010359766547161</v>
      </c>
      <c r="AZ244" s="746">
        <f t="shared" si="115"/>
        <v>55.982875218568367</v>
      </c>
      <c r="BA244" s="643">
        <f t="shared" si="112"/>
        <v>0.95030415330476359</v>
      </c>
      <c r="BC244" s="11">
        <v>43330</v>
      </c>
      <c r="BD244" s="290">
        <f>[2]!FeuilCaduc*(1-Persistant)+Persistant</f>
        <v>0.99489434622181661</v>
      </c>
      <c r="BE244" s="291">
        <f>[2]!CroissVégét</f>
        <v>0.94480606387541</v>
      </c>
      <c r="BF244" s="816">
        <f>1+[2]!Salcycl*Ksac</f>
        <v>1.0493617932777271</v>
      </c>
      <c r="BH244" s="1053">
        <f t="shared" si="113"/>
        <v>8.3787197406876165E-4</v>
      </c>
      <c r="BI244" s="11">
        <v>44426</v>
      </c>
      <c r="BJ244" s="726">
        <v>1.4356131226972262E-4</v>
      </c>
      <c r="BK244" s="726">
        <v>3.6057401291278695E-4</v>
      </c>
      <c r="BL244" s="726">
        <v>5.8748572097598139E-4</v>
      </c>
      <c r="BM244" s="726">
        <v>8.3852736578269053E-4</v>
      </c>
      <c r="BN244" s="726">
        <v>1.067235308143948E-3</v>
      </c>
      <c r="BO244" s="727">
        <v>1.313662350137321E-3</v>
      </c>
      <c r="BP244" s="726">
        <v>1.6374148694888774E-3</v>
      </c>
      <c r="BQ244" s="726">
        <v>2.1300478251650786E-3</v>
      </c>
      <c r="BR244" s="726">
        <v>2.9110821484934291E-3</v>
      </c>
      <c r="BS244" s="726">
        <v>4.0758947306366511E-3</v>
      </c>
      <c r="BT244" s="726">
        <v>5.5341659124202346E-3</v>
      </c>
      <c r="BW244" s="1186">
        <f>'2018'!R\Max</f>
        <v>0.54907617257616514</v>
      </c>
      <c r="BX244" s="1184">
        <f>'2019'!R\Max</f>
        <v>0.68788491784529693</v>
      </c>
      <c r="BY244" s="1184">
        <f>'2020'!R\Max</f>
        <v>0.79405449631518854</v>
      </c>
      <c r="BZ244" s="1184">
        <f>'2021'!R\Max</f>
        <v>0.95030415330476359</v>
      </c>
      <c r="CA244" s="1184">
        <f>'2022'!R\Max</f>
        <v>0.73723468619387278</v>
      </c>
      <c r="CB244" s="1184">
        <f>'2023'!R\Max</f>
        <v>0.73723109992847824</v>
      </c>
      <c r="CC244" s="1184">
        <f>'2024'!R\Max</f>
        <v>0.73722575585769223</v>
      </c>
      <c r="CD244" s="1184">
        <f>'2025'!R\Max</f>
        <v>0.73724632793707445</v>
      </c>
      <c r="CE244" s="1184">
        <f>'2026'!R\Max</f>
        <v>0.73724379463686296</v>
      </c>
      <c r="CF244" s="1185">
        <f>'2027'!R\Max</f>
        <v>0.73724108670395416</v>
      </c>
    </row>
    <row r="245" spans="1:84" s="6" customFormat="1" ht="11.25" x14ac:dyDescent="0.2">
      <c r="A245" s="11">
        <v>43331</v>
      </c>
      <c r="B245" s="380">
        <f>'2022'!Maxi_hp</f>
        <v>53.076716411968974</v>
      </c>
      <c r="C245" s="13">
        <f>'2022'!An_max</f>
        <v>2018</v>
      </c>
      <c r="D245" s="1062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53">
        <f t="shared" si="100"/>
        <v>0.9285714285714286</v>
      </c>
      <c r="J245" s="746">
        <f t="shared" si="101"/>
        <v>55.755322485922704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55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53">
        <f t="shared" si="105"/>
        <v>0.9642857142857143</v>
      </c>
      <c r="AT245" s="769">
        <f t="shared" si="106"/>
        <v>55.77029494396411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53">
        <f t="shared" si="110"/>
        <v>0.4642857142857143</v>
      </c>
      <c r="AY245" s="769">
        <f t="shared" si="111"/>
        <v>55.849328675600034</v>
      </c>
      <c r="AZ245" s="746">
        <f t="shared" si="115"/>
        <v>55.809811809782076</v>
      </c>
      <c r="BA245" s="643">
        <f t="shared" si="112"/>
        <v>0.95195784089258861</v>
      </c>
      <c r="BC245" s="11">
        <v>43331</v>
      </c>
      <c r="BD245" s="290">
        <f>[2]!FeuilCaduc*(1-Persistant)+Persistant</f>
        <v>0.99442744128564253</v>
      </c>
      <c r="BE245" s="291">
        <f>[2]!CroissVégét</f>
        <v>0.94692247197428869</v>
      </c>
      <c r="BF245" s="816">
        <f>1+[2]!Salcycl*Ksac</f>
        <v>1.0493034301607054</v>
      </c>
      <c r="BH245" s="1053">
        <f t="shared" si="113"/>
        <v>7.5146828052410431E-4</v>
      </c>
      <c r="BI245" s="11">
        <v>44427</v>
      </c>
      <c r="BJ245" s="726">
        <v>1.2534632247944411E-4</v>
      </c>
      <c r="BK245" s="726">
        <v>3.2329606076367164E-4</v>
      </c>
      <c r="BL245" s="726">
        <v>5.2829002721237802E-4</v>
      </c>
      <c r="BM245" s="726">
        <v>7.5205245467960572E-4</v>
      </c>
      <c r="BN245" s="726">
        <v>9.5235950164759852E-4</v>
      </c>
      <c r="BO245" s="727">
        <v>1.168754456297928E-3</v>
      </c>
      <c r="BP245" s="726">
        <v>1.4609797438012715E-3</v>
      </c>
      <c r="BQ245" s="726">
        <v>1.9162691435556335E-3</v>
      </c>
      <c r="BR245" s="726">
        <v>2.6548325152886882E-3</v>
      </c>
      <c r="BS245" s="726">
        <v>3.7731634588376939E-3</v>
      </c>
      <c r="BT245" s="726">
        <v>5.1843487409076235E-3</v>
      </c>
      <c r="BW245" s="1186">
        <f>'2018'!R\Max</f>
        <v>0.95195784089258861</v>
      </c>
      <c r="BX245" s="1184">
        <f>'2019'!R\Max</f>
        <v>0.6435821939915316</v>
      </c>
      <c r="BY245" s="1184">
        <f>'2020'!R\Max</f>
        <v>0.76646787203057232</v>
      </c>
      <c r="BZ245" s="1184">
        <f>'2021'!R\Max</f>
        <v>0.82991486048676055</v>
      </c>
      <c r="CA245" s="1184">
        <f>'2022'!R\Max</f>
        <v>0.76576062792450195</v>
      </c>
      <c r="CB245" s="1184">
        <f>'2023'!R\Max</f>
        <v>0.76575762284239102</v>
      </c>
      <c r="CC245" s="1184">
        <f>'2024'!R\Max</f>
        <v>0.76575303856987109</v>
      </c>
      <c r="CD245" s="1184">
        <f>'2025'!R\Max</f>
        <v>0.76577019094773768</v>
      </c>
      <c r="CE245" s="1184">
        <f>'2026'!R\Max</f>
        <v>0.76576813120897747</v>
      </c>
      <c r="CF245" s="1185">
        <f>'2027'!R\Max</f>
        <v>0.76576592392733145</v>
      </c>
    </row>
    <row r="246" spans="1:84" s="6" customFormat="1" ht="11.25" x14ac:dyDescent="0.2">
      <c r="A246" s="11">
        <v>43332</v>
      </c>
      <c r="B246" s="380">
        <f>'2022'!Maxi_hp</f>
        <v>53.656818151544883</v>
      </c>
      <c r="C246" s="13">
        <f>'2022'!An_max</f>
        <v>2018</v>
      </c>
      <c r="D246" s="1062" t="str">
        <f t="shared" si="97"/>
        <v/>
      </c>
      <c r="E246" s="1057">
        <f>AD$13/10</f>
        <v>55.581200000000003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53">
        <f t="shared" si="100"/>
        <v>1</v>
      </c>
      <c r="J246" s="746">
        <f t="shared" si="101"/>
        <v>55.581200000271203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55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53">
        <f t="shared" si="105"/>
        <v>1</v>
      </c>
      <c r="AT246" s="769">
        <f t="shared" si="106"/>
        <v>55.581199999898672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53">
        <f t="shared" si="110"/>
        <v>0.5</v>
      </c>
      <c r="AY246" s="769">
        <f t="shared" si="111"/>
        <v>55.685537499748172</v>
      </c>
      <c r="AZ246" s="746">
        <f t="shared" si="115"/>
        <v>55.633368749823418</v>
      </c>
      <c r="BA246" s="643">
        <f t="shared" si="112"/>
        <v>0.96537710864974258</v>
      </c>
      <c r="BC246" s="11">
        <v>43332</v>
      </c>
      <c r="BD246" s="290">
        <f>[2]!FeuilCaduc*(1-Persistant)+Persistant</f>
        <v>0.99393589832709273</v>
      </c>
      <c r="BE246" s="291">
        <f>[2]!CroissVégét</f>
        <v>0.94896259011285922</v>
      </c>
      <c r="BF246" s="816">
        <f>1+[2]!Salcycl*Ksac</f>
        <v>1.0492419872908867</v>
      </c>
      <c r="BH246" s="1053">
        <f t="shared" si="113"/>
        <v>6.699664497608743E-4</v>
      </c>
      <c r="BI246" s="11">
        <v>44428</v>
      </c>
      <c r="BJ246" s="726">
        <v>1.0785057951659947E-4</v>
      </c>
      <c r="BK246" s="726">
        <v>2.8795597005714312E-4</v>
      </c>
      <c r="BL246" s="726">
        <v>4.7227530757388701E-4</v>
      </c>
      <c r="BM246" s="726">
        <v>6.7048391082315749E-4</v>
      </c>
      <c r="BN246" s="726">
        <v>8.4513434385470121E-4</v>
      </c>
      <c r="BO246" s="727">
        <v>1.0343844608429954E-3</v>
      </c>
      <c r="BP246" s="726">
        <v>1.2972367550857617E-3</v>
      </c>
      <c r="BQ246" s="726">
        <v>1.716717305464376E-3</v>
      </c>
      <c r="BR246" s="726">
        <v>2.4140861190596967E-3</v>
      </c>
      <c r="BS246" s="726">
        <v>3.4872420931682732E-3</v>
      </c>
      <c r="BT246" s="726">
        <v>4.8528883642598511E-3</v>
      </c>
      <c r="BW246" s="1186">
        <f>'2018'!R\Max</f>
        <v>0.96537710864974258</v>
      </c>
      <c r="BX246" s="1184">
        <f>'2019'!R\Max</f>
        <v>0.59699652943857429</v>
      </c>
      <c r="BY246" s="1184">
        <f>'2020'!R\Max</f>
        <v>0.96487528968878922</v>
      </c>
      <c r="BZ246" s="1184">
        <f>'2021'!R\Max</f>
        <v>0.96081565668568858</v>
      </c>
      <c r="CA246" s="1184">
        <f>'2022'!R\Max</f>
        <v>0.91491015048253954</v>
      </c>
      <c r="CB246" s="1184">
        <f>'2023'!R\Max</f>
        <v>0.91490897424067774</v>
      </c>
      <c r="CC246" s="1184">
        <f>'2024'!R\Max</f>
        <v>0.91490713648905608</v>
      </c>
      <c r="CD246" s="1184">
        <f>'2025'!R\Max</f>
        <v>0.9149138187400786</v>
      </c>
      <c r="CE246" s="1184">
        <f>'2026'!R\Max</f>
        <v>0.9149130372418377</v>
      </c>
      <c r="CF246" s="1185">
        <f>'2027'!R\Max</f>
        <v>0.91491219734464513</v>
      </c>
    </row>
    <row r="247" spans="1:84" s="6" customFormat="1" ht="11.25" x14ac:dyDescent="0.2">
      <c r="A247" s="11">
        <v>43333</v>
      </c>
      <c r="B247" s="380">
        <f>'2022'!Maxi_hp</f>
        <v>54.498162972904758</v>
      </c>
      <c r="C247" s="13">
        <f>'2022'!An_max</f>
        <v>2020</v>
      </c>
      <c r="D247" s="1062">
        <f t="shared" si="97"/>
        <v>0.98360236671178747</v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53">
        <f t="shared" si="100"/>
        <v>0.9285714285714286</v>
      </c>
      <c r="J247" s="746">
        <f t="shared" si="101"/>
        <v>55.406701749909132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55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53">
        <f t="shared" si="105"/>
        <v>0.9642857142857143</v>
      </c>
      <c r="AT247" s="769">
        <f t="shared" si="106"/>
        <v>55.388922234398443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53">
        <f t="shared" si="110"/>
        <v>0.5357142857142857</v>
      </c>
      <c r="AY247" s="769">
        <f t="shared" si="111"/>
        <v>55.518677573258586</v>
      </c>
      <c r="AZ247" s="746">
        <f t="shared" si="115"/>
        <v>55.453799903828511</v>
      </c>
      <c r="BA247" s="643">
        <f t="shared" si="112"/>
        <v>0.98360236671178747</v>
      </c>
      <c r="BC247" s="11">
        <v>43333</v>
      </c>
      <c r="BD247" s="290">
        <f>[2]!FeuilCaduc*(1-Persistant)+Persistant</f>
        <v>0.99341874776098615</v>
      </c>
      <c r="BE247" s="291">
        <f>[2]!CroissVégét</f>
        <v>0.95092883908018766</v>
      </c>
      <c r="BF247" s="816">
        <f>1+[2]!Salcycl*Ksac</f>
        <v>1.0491773434701233</v>
      </c>
      <c r="BH247" s="1053">
        <f t="shared" si="113"/>
        <v>5.9336523732637133E-4</v>
      </c>
      <c r="BI247" s="11">
        <v>44429</v>
      </c>
      <c r="BJ247" s="726">
        <v>9.1073795808625663E-5</v>
      </c>
      <c r="BK247" s="726">
        <v>2.5455318414610952E-4</v>
      </c>
      <c r="BL247" s="726">
        <v>4.1944068521664182E-4</v>
      </c>
      <c r="BM247" s="726">
        <v>5.9382048879842101E-4</v>
      </c>
      <c r="BN247" s="726">
        <v>7.455583230736206E-4</v>
      </c>
      <c r="BO247" s="727">
        <v>9.1055056742331698E-4</v>
      </c>
      <c r="BP247" s="726">
        <v>1.1461836886614855E-3</v>
      </c>
      <c r="BQ247" s="726">
        <v>1.5313894515788008E-3</v>
      </c>
      <c r="BR247" s="726">
        <v>2.1888392454078947E-3</v>
      </c>
      <c r="BS247" s="726">
        <v>3.2181258764621998E-3</v>
      </c>
      <c r="BT247" s="726">
        <v>4.5397789074182208E-3</v>
      </c>
      <c r="BW247" s="1186">
        <f>'2018'!R\Max</f>
        <v>0.95327635794074916</v>
      </c>
      <c r="BX247" s="1184">
        <f>'2019'!R\Max</f>
        <v>0.91689619693377244</v>
      </c>
      <c r="BY247" s="1184">
        <f>'2020'!R\Max</f>
        <v>0.98360236671178747</v>
      </c>
      <c r="BZ247" s="1184">
        <f>'2021'!R\Max</f>
        <v>0.91906622684139294</v>
      </c>
      <c r="CA247" s="1184">
        <f>'2022'!R\Max</f>
        <v>0.61876596548181961</v>
      </c>
      <c r="CB247" s="1184">
        <f>'2023'!R\Max</f>
        <v>0.61876276202152436</v>
      </c>
      <c r="CC247" s="1184">
        <f>'2024'!R\Max</f>
        <v>0.61875763544886031</v>
      </c>
      <c r="CD247" s="1184">
        <f>'2025'!R\Max</f>
        <v>0.61877575901327231</v>
      </c>
      <c r="CE247" s="1184">
        <f>'2026'!R\Max</f>
        <v>0.61877369617715883</v>
      </c>
      <c r="CF247" s="1185">
        <f>'2027'!R\Max</f>
        <v>0.61877147192616855</v>
      </c>
    </row>
    <row r="248" spans="1:84" s="6" customFormat="1" ht="11.25" x14ac:dyDescent="0.2">
      <c r="A248" s="11">
        <v>43334</v>
      </c>
      <c r="B248" s="380">
        <f>'2022'!Maxi_hp</f>
        <v>56.835581680919191</v>
      </c>
      <c r="C248" s="13">
        <f>'2022'!An_max</f>
        <v>2019</v>
      </c>
      <c r="D248" s="1062">
        <f t="shared" si="97"/>
        <v>1.0290084347657977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53">
        <f t="shared" si="100"/>
        <v>0.8571428571428571</v>
      </c>
      <c r="J248" s="746">
        <f t="shared" si="101"/>
        <v>55.233348688589672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55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53">
        <f t="shared" si="105"/>
        <v>0.9285714285714286</v>
      </c>
      <c r="AT248" s="769">
        <f t="shared" si="106"/>
        <v>55.194322777273399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53">
        <f t="shared" si="110"/>
        <v>0.5714285714285714</v>
      </c>
      <c r="AY248" s="769">
        <f t="shared" si="111"/>
        <v>55.348440232952797</v>
      </c>
      <c r="AZ248" s="746">
        <f t="shared" si="115"/>
        <v>55.271381505113098</v>
      </c>
      <c r="BA248" s="643">
        <f t="shared" si="112"/>
        <v>1.0290084347657977</v>
      </c>
      <c r="BC248" s="11">
        <v>43334</v>
      </c>
      <c r="BD248" s="290">
        <f>[2]!FeuilCaduc*(1-Persistant)+Persistant</f>
        <v>0.99287497136627267</v>
      </c>
      <c r="BE248" s="291">
        <f>[2]!CroissVégét</f>
        <v>0.95282358778342446</v>
      </c>
      <c r="BF248" s="816">
        <f>1+[2]!Salcycl*Ksac</f>
        <v>1.049109371420784</v>
      </c>
      <c r="BH248" s="1053">
        <f t="shared" si="113"/>
        <v>5.2396774494724275E-4</v>
      </c>
      <c r="BI248" s="11">
        <v>44430</v>
      </c>
      <c r="BJ248" s="726">
        <v>7.5470507962587473E-5</v>
      </c>
      <c r="BK248" s="726">
        <v>2.2394001670477729E-4</v>
      </c>
      <c r="BL248" s="726">
        <v>3.712426910401192E-4</v>
      </c>
      <c r="BM248" s="726">
        <v>5.243675062504441E-4</v>
      </c>
      <c r="BN248" s="726">
        <v>6.5658569965995573E-4</v>
      </c>
      <c r="BO248" s="727">
        <v>8.0086152327066035E-4</v>
      </c>
      <c r="BP248" s="726">
        <v>1.0120978322563337E-3</v>
      </c>
      <c r="BQ248" s="726">
        <v>1.3655757350608401E-3</v>
      </c>
      <c r="BR248" s="726">
        <v>1.9863331495857122E-3</v>
      </c>
      <c r="BS248" s="726">
        <v>2.9777711723874187E-3</v>
      </c>
      <c r="BT248" s="726">
        <v>4.2641568394107552E-3</v>
      </c>
      <c r="BW248" s="1186">
        <f>'2018'!R\Max</f>
        <v>0.93754176986274862</v>
      </c>
      <c r="BX248" s="1184">
        <f>'2019'!R\Max</f>
        <v>1.0290084347657977</v>
      </c>
      <c r="BY248" s="1184">
        <f>'2020'!R\Max</f>
        <v>0.89682046854996622</v>
      </c>
      <c r="BZ248" s="1184">
        <f>'2021'!R\Max</f>
        <v>0.38856513957620098</v>
      </c>
      <c r="CA248" s="1184">
        <f>'2022'!R\Max</f>
        <v>0.48364766067597403</v>
      </c>
      <c r="CB248" s="1184">
        <f>'2023'!R\Max</f>
        <v>0.48364461257077579</v>
      </c>
      <c r="CC248" s="1184">
        <f>'2024'!R\Max</f>
        <v>0.48363961946251344</v>
      </c>
      <c r="CD248" s="1184">
        <f>'2025'!R\Max</f>
        <v>0.48365681594217697</v>
      </c>
      <c r="CE248" s="1184">
        <f>'2026'!R\Max</f>
        <v>0.48365490808268197</v>
      </c>
      <c r="CF248" s="1185">
        <f>'2027'!R\Max</f>
        <v>0.48365284404181585</v>
      </c>
    </row>
    <row r="249" spans="1:84" s="6" customFormat="1" ht="11.25" x14ac:dyDescent="0.2">
      <c r="A249" s="11">
        <v>43335</v>
      </c>
      <c r="B249" s="380">
        <f>'2022'!Maxi_hp</f>
        <v>54.138140935976416</v>
      </c>
      <c r="C249" s="13">
        <f>'2022'!An_max</f>
        <v>2019</v>
      </c>
      <c r="D249" s="1062">
        <f t="shared" si="97"/>
        <v>0.98325215642308172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53">
        <f t="shared" si="100"/>
        <v>0.7857142857142857</v>
      </c>
      <c r="J249" s="746">
        <f t="shared" si="101"/>
        <v>55.060281924956612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55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53">
        <f t="shared" si="105"/>
        <v>0.8928571428571429</v>
      </c>
      <c r="AT249" s="769">
        <f t="shared" si="106"/>
        <v>54.997334525561222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53">
        <f t="shared" si="110"/>
        <v>0.6071428571428571</v>
      </c>
      <c r="AY249" s="769">
        <f t="shared" si="111"/>
        <v>55.174516814055721</v>
      </c>
      <c r="AZ249" s="746">
        <f t="shared" si="115"/>
        <v>55.085925669808475</v>
      </c>
      <c r="BA249" s="643">
        <f t="shared" si="112"/>
        <v>0.98325215642308172</v>
      </c>
      <c r="BC249" s="11">
        <v>43335</v>
      </c>
      <c r="BD249" s="290">
        <f>[2]!FeuilCaduc*(1-Persistant)+Persistant</f>
        <v>0.9923035056872701</v>
      </c>
      <c r="BE249" s="291">
        <f>[2]!CroissVégét</f>
        <v>0.95464915235219705</v>
      </c>
      <c r="BF249" s="816">
        <f>1+[2]!Salcycl*Ksac</f>
        <v>1.0490379382109087</v>
      </c>
      <c r="BH249" s="1053">
        <f t="shared" si="113"/>
        <v>4.5995675893036964E-4</v>
      </c>
      <c r="BI249" s="11">
        <v>44431</v>
      </c>
      <c r="BJ249" s="726">
        <v>6.179973741924765E-5</v>
      </c>
      <c r="BK249" s="726">
        <v>1.9595878935616741E-4</v>
      </c>
      <c r="BL249" s="726">
        <v>3.2679572109203824E-4</v>
      </c>
      <c r="BM249" s="726">
        <v>4.6030531097641616E-4</v>
      </c>
      <c r="BN249" s="726">
        <v>5.7473421060745403E-4</v>
      </c>
      <c r="BO249" s="727">
        <v>7.0009677382898959E-4</v>
      </c>
      <c r="BP249" s="726">
        <v>8.8862598258953056E-4</v>
      </c>
      <c r="BQ249" s="726">
        <v>1.2121306078680173E-3</v>
      </c>
      <c r="BR249" s="726">
        <v>1.7991241121395047E-3</v>
      </c>
      <c r="BS249" s="726">
        <v>2.7587543196392109E-3</v>
      </c>
      <c r="BT249" s="726">
        <v>4.0188203522412624E-3</v>
      </c>
      <c r="BW249" s="1186">
        <f>'2018'!R\Max</f>
        <v>0.83284790838918432</v>
      </c>
      <c r="BX249" s="1184">
        <f>'2019'!R\Max</f>
        <v>0.98325215642308172</v>
      </c>
      <c r="BY249" s="1184">
        <f>'2020'!R\Max</f>
        <v>0.69942315939938471</v>
      </c>
      <c r="BZ249" s="1184">
        <f>'2021'!R\Max</f>
        <v>0.92764855984540484</v>
      </c>
      <c r="CA249" s="1184">
        <f>'2022'!R\Max</f>
        <v>0.86793987562106956</v>
      </c>
      <c r="CB249" s="1184">
        <f>'2023'!R\Max</f>
        <v>0.86793862380701736</v>
      </c>
      <c r="CC249" s="1184">
        <f>'2024'!R\Max</f>
        <v>0.86793652106016117</v>
      </c>
      <c r="CD249" s="1184">
        <f>'2025'!R\Max</f>
        <v>0.86794356501805059</v>
      </c>
      <c r="CE249" s="1184">
        <f>'2026'!R\Max</f>
        <v>0.86794280525186385</v>
      </c>
      <c r="CF249" s="1185">
        <f>'2027'!R\Max</f>
        <v>0.86794198018303748</v>
      </c>
    </row>
    <row r="250" spans="1:84" s="6" customFormat="1" ht="11.25" x14ac:dyDescent="0.2">
      <c r="A250" s="11">
        <v>43336</v>
      </c>
      <c r="B250" s="380">
        <f>'2022'!Maxi_hp</f>
        <v>54.480093410292213</v>
      </c>
      <c r="C250" s="13">
        <f>'2022'!An_max</f>
        <v>2019</v>
      </c>
      <c r="D250" s="1062">
        <f t="shared" si="97"/>
        <v>0.99259293086775779</v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53">
        <f t="shared" si="100"/>
        <v>0.7142857142857143</v>
      </c>
      <c r="J250" s="746">
        <f t="shared" si="101"/>
        <v>54.88664256621685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55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53">
        <f t="shared" si="105"/>
        <v>0.8571428571428571</v>
      </c>
      <c r="AT250" s="769">
        <f t="shared" si="106"/>
        <v>54.797890379226637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53">
        <f t="shared" si="110"/>
        <v>0.6428571428571429</v>
      </c>
      <c r="AY250" s="769">
        <f t="shared" si="111"/>
        <v>54.996598651486316</v>
      </c>
      <c r="AZ250" s="746">
        <f t="shared" si="115"/>
        <v>54.897244515356476</v>
      </c>
      <c r="BA250" s="643">
        <f t="shared" si="112"/>
        <v>0.99259293086775779</v>
      </c>
      <c r="BC250" s="11">
        <v>43336</v>
      </c>
      <c r="BD250" s="290">
        <f>[2]!FeuilCaduc*(1-Persistant)+Persistant</f>
        <v>0.99170324452734449</v>
      </c>
      <c r="BE250" s="291">
        <f>[2]!CroissVégét</f>
        <v>0.95640779545152554</v>
      </c>
      <c r="BF250" s="816">
        <f>1+[2]!Salcycl*Ksac</f>
        <v>1.048962905565918</v>
      </c>
      <c r="BH250" s="1053">
        <f t="shared" si="113"/>
        <v>4.013322445593822E-4</v>
      </c>
      <c r="BI250" s="11">
        <v>44432</v>
      </c>
      <c r="BJ250" s="726">
        <v>5.0061573285101981E-5</v>
      </c>
      <c r="BK250" s="726">
        <v>1.7060952501557158E-4</v>
      </c>
      <c r="BL250" s="726">
        <v>2.8609975652149877E-4</v>
      </c>
      <c r="BM250" s="726">
        <v>4.0163386821843929E-4</v>
      </c>
      <c r="BN250" s="726">
        <v>5.0000383906184708E-4</v>
      </c>
      <c r="BO250" s="727">
        <v>6.0825631776358503E-4</v>
      </c>
      <c r="BP250" s="726">
        <v>7.757681061810952E-4</v>
      </c>
      <c r="BQ250" s="726">
        <v>1.071053961330132E-3</v>
      </c>
      <c r="BR250" s="726">
        <v>1.6272121892295136E-3</v>
      </c>
      <c r="BS250" s="726">
        <v>2.5610762114801938E-3</v>
      </c>
      <c r="BT250" s="726">
        <v>3.8037718407497325E-3</v>
      </c>
      <c r="BW250" s="1186">
        <f>'2018'!R\Max</f>
        <v>0.67108286622719782</v>
      </c>
      <c r="BX250" s="1184">
        <f>'2019'!R\Max</f>
        <v>0.99259293086775779</v>
      </c>
      <c r="BY250" s="1184">
        <f>'2020'!R\Max</f>
        <v>0.82921780330656436</v>
      </c>
      <c r="BZ250" s="1184">
        <f>'2021'!R\Max</f>
        <v>0.90645472033627361</v>
      </c>
      <c r="CA250" s="1184">
        <f>'2022'!R\Max</f>
        <v>0.89966789539516667</v>
      </c>
      <c r="CB250" s="1184">
        <f>'2023'!R\Max</f>
        <v>0.89966701723179976</v>
      </c>
      <c r="CC250" s="1184">
        <f>'2024'!R\Max</f>
        <v>0.89966550189983407</v>
      </c>
      <c r="CD250" s="1184">
        <f>'2025'!R\Max</f>
        <v>0.89967043227939125</v>
      </c>
      <c r="CE250" s="1184">
        <f>'2026'!R\Max</f>
        <v>0.89966991660353468</v>
      </c>
      <c r="CF250" s="1185">
        <f>'2027'!R\Max</f>
        <v>0.89966935423541705</v>
      </c>
    </row>
    <row r="251" spans="1:84" s="6" customFormat="1" ht="11.25" x14ac:dyDescent="0.2">
      <c r="A251" s="11">
        <v>43337</v>
      </c>
      <c r="B251" s="380">
        <f>'2022'!Maxi_hp</f>
        <v>50.04617729749566</v>
      </c>
      <c r="C251" s="13">
        <f>'2022'!An_max</f>
        <v>2020</v>
      </c>
      <c r="D251" s="1062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53">
        <f t="shared" si="100"/>
        <v>0.6428571428571429</v>
      </c>
      <c r="J251" s="746">
        <f t="shared" si="101"/>
        <v>54.711571720827898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55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53">
        <f t="shared" si="105"/>
        <v>0.8214285714285714</v>
      </c>
      <c r="AT251" s="769">
        <f t="shared" si="106"/>
        <v>54.595923237183264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53">
        <f t="shared" si="110"/>
        <v>0.6785714285714286</v>
      </c>
      <c r="AY251" s="769">
        <f t="shared" si="111"/>
        <v>54.81437708189312</v>
      </c>
      <c r="AZ251" s="746">
        <f t="shared" si="115"/>
        <v>54.705150159538192</v>
      </c>
      <c r="BA251" s="643">
        <f t="shared" si="112"/>
        <v>0.91472746483800627</v>
      </c>
      <c r="BC251" s="11">
        <v>43337</v>
      </c>
      <c r="BD251" s="290">
        <f>[2]!FeuilCaduc*(1-Persistant)+Persistant</f>
        <v>0.99107304054302559</v>
      </c>
      <c r="BE251" s="291">
        <f>[2]!CroissVégét</f>
        <v>0.95810172578745478</v>
      </c>
      <c r="BF251" s="816">
        <f>1+[2]!Salcycl*Ksac</f>
        <v>1.0488841300678782</v>
      </c>
      <c r="BH251" s="1053">
        <f t="shared" si="113"/>
        <v>3.4809434626483009E-4</v>
      </c>
      <c r="BI251" s="11">
        <v>44433</v>
      </c>
      <c r="BJ251" s="726">
        <v>4.0256159902342204E-5</v>
      </c>
      <c r="BK251" s="726">
        <v>1.4789233346463188E-4</v>
      </c>
      <c r="BL251" s="726">
        <v>2.4915490567681449E-4</v>
      </c>
      <c r="BM251" s="726">
        <v>3.4835332250150914E-4</v>
      </c>
      <c r="BN251" s="726">
        <v>4.3239480148402933E-4</v>
      </c>
      <c r="BO251" s="727">
        <v>5.2534044435853446E-4</v>
      </c>
      <c r="BP251" s="726">
        <v>6.7352452381114441E-4</v>
      </c>
      <c r="BQ251" s="726">
        <v>9.4234613174766458E-4</v>
      </c>
      <c r="BR251" s="726">
        <v>1.470598091455182E-3</v>
      </c>
      <c r="BS251" s="726">
        <v>2.384738845760211E-3</v>
      </c>
      <c r="BT251" s="726">
        <v>3.6190154734925552E-3</v>
      </c>
      <c r="BW251" s="1186">
        <f>'2018'!R\Max</f>
        <v>0.44699882675565072</v>
      </c>
      <c r="BX251" s="1184">
        <f>'2019'!R\Max</f>
        <v>0.85090037604831192</v>
      </c>
      <c r="BY251" s="1184">
        <f>'2020'!R\Max</f>
        <v>0.91472746483800627</v>
      </c>
      <c r="BZ251" s="1184">
        <f>'2021'!R\Max</f>
        <v>0.91419341388938369</v>
      </c>
      <c r="CA251" s="1184">
        <f>'2022'!R\Max</f>
        <v>0.64406432544748993</v>
      </c>
      <c r="CB251" s="1184">
        <f>'2023'!R\Max</f>
        <v>0.64406234747842628</v>
      </c>
      <c r="CC251" s="1184">
        <f>'2024'!R\Max</f>
        <v>0.64405883508111628</v>
      </c>
      <c r="CD251" s="1184">
        <f>'2025'!R\Max</f>
        <v>0.64406992214961023</v>
      </c>
      <c r="CE251" s="1184">
        <f>'2026'!R\Max</f>
        <v>0.64406880037971548</v>
      </c>
      <c r="CF251" s="1185">
        <f>'2027'!R\Max</f>
        <v>0.64406757129434689</v>
      </c>
    </row>
    <row r="252" spans="1:84" s="6" customFormat="1" ht="11.25" x14ac:dyDescent="0.2">
      <c r="A252" s="11">
        <v>43338</v>
      </c>
      <c r="B252" s="380">
        <f>'2022'!Maxi_hp</f>
        <v>54.589001673677714</v>
      </c>
      <c r="C252" s="13">
        <f>'2022'!An_max</f>
        <v>2018</v>
      </c>
      <c r="D252" s="1062">
        <f t="shared" si="97"/>
        <v>1.0010047120290759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53">
        <f t="shared" si="100"/>
        <v>0.5714285714285714</v>
      </c>
      <c r="J252" s="746">
        <f t="shared" si="101"/>
        <v>54.534210496395829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55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53">
        <f t="shared" si="105"/>
        <v>0.7857142857142857</v>
      </c>
      <c r="AT252" s="769">
        <f t="shared" si="106"/>
        <v>54.391365998264938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53">
        <f t="shared" si="110"/>
        <v>0.7142857142857143</v>
      </c>
      <c r="AY252" s="769">
        <f t="shared" si="111"/>
        <v>54.627543439503235</v>
      </c>
      <c r="AZ252" s="746">
        <f t="shared" si="115"/>
        <v>54.509454718884086</v>
      </c>
      <c r="BA252" s="643">
        <f t="shared" si="112"/>
        <v>1.0010047120290759</v>
      </c>
      <c r="BC252" s="11">
        <v>43338</v>
      </c>
      <c r="BD252" s="290">
        <f>[2]!FeuilCaduc*(1-Persistant)+Persistant</f>
        <v>0.99041170596149275</v>
      </c>
      <c r="BE252" s="291">
        <f>[2]!CroissVégét</f>
        <v>0.95973309779026206</v>
      </c>
      <c r="BF252" s="816">
        <f>1+[2]!Salcycl*Ksac</f>
        <v>1.0488014632451865</v>
      </c>
      <c r="BH252" s="1053">
        <f t="shared" si="113"/>
        <v>3.0024304561276682E-4</v>
      </c>
      <c r="BI252" s="11">
        <v>44434</v>
      </c>
      <c r="BJ252" s="726">
        <v>3.2383662267295384E-5</v>
      </c>
      <c r="BK252" s="726">
        <v>1.2780726790870051E-4</v>
      </c>
      <c r="BL252" s="726">
        <v>2.1596115947738583E-4</v>
      </c>
      <c r="BM252" s="726">
        <v>3.0046365536719676E-4</v>
      </c>
      <c r="BN252" s="726">
        <v>3.7190712426107776E-4</v>
      </c>
      <c r="BO252" s="727">
        <v>4.5134922014237019E-4</v>
      </c>
      <c r="BP252" s="726">
        <v>5.8189525034357814E-4</v>
      </c>
      <c r="BQ252" s="726">
        <v>8.2600697216246328E-4</v>
      </c>
      <c r="BR252" s="726">
        <v>1.3292817417343123E-3</v>
      </c>
      <c r="BS252" s="726">
        <v>2.2297430176674063E-3</v>
      </c>
      <c r="BT252" s="726">
        <v>3.4645537337580092E-3</v>
      </c>
      <c r="BW252" s="1186">
        <f>'2018'!R\Max</f>
        <v>1.0010047120290759</v>
      </c>
      <c r="BX252" s="1184">
        <f>'2019'!R\Max</f>
        <v>0.84347349496801238</v>
      </c>
      <c r="BY252" s="1184">
        <f>'2020'!R\Max</f>
        <v>0.97217394060455997</v>
      </c>
      <c r="BZ252" s="1184">
        <f>'2021'!R\Max</f>
        <v>0.96417223516154782</v>
      </c>
      <c r="CA252" s="1184">
        <f>'2022'!R\Max</f>
        <v>0.81183928085881862</v>
      </c>
      <c r="CB252" s="1184">
        <f>'2023'!R\Max</f>
        <v>0.8118381167331572</v>
      </c>
      <c r="CC252" s="1184">
        <f>'2024'!R\Max</f>
        <v>0.81183598594510775</v>
      </c>
      <c r="CD252" s="1184">
        <f>'2025'!R\Max</f>
        <v>0.81184250671608327</v>
      </c>
      <c r="CE252" s="1184">
        <f>'2026'!R\Max</f>
        <v>0.81184186964400584</v>
      </c>
      <c r="CF252" s="1185">
        <f>'2027'!R\Max</f>
        <v>0.81184116805284312</v>
      </c>
    </row>
    <row r="253" spans="1:84" s="6" customFormat="1" ht="11.25" x14ac:dyDescent="0.2">
      <c r="A253" s="11">
        <v>43339</v>
      </c>
      <c r="B253" s="380">
        <f>'2022'!Maxi_hp</f>
        <v>52.167327430527344</v>
      </c>
      <c r="C253" s="13">
        <f>'2022'!An_max</f>
        <v>2022</v>
      </c>
      <c r="D253" s="1062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53">
        <f t="shared" si="100"/>
        <v>0.5</v>
      </c>
      <c r="J253" s="746">
        <f t="shared" si="101"/>
        <v>54.353700000792742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55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53">
        <f t="shared" si="105"/>
        <v>0.75</v>
      </c>
      <c r="AT253" s="769">
        <f t="shared" si="106"/>
        <v>54.184151562955229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53">
        <f t="shared" si="110"/>
        <v>0.75</v>
      </c>
      <c r="AY253" s="769">
        <f t="shared" si="111"/>
        <v>54.43578906240873</v>
      </c>
      <c r="AZ253" s="746">
        <f t="shared" si="115"/>
        <v>54.309970312681983</v>
      </c>
      <c r="BA253" s="643">
        <f t="shared" si="112"/>
        <v>0.95977509221573676</v>
      </c>
      <c r="BC253" s="11">
        <v>43339</v>
      </c>
      <c r="BD253" s="290">
        <f>[2]!FeuilCaduc*(1-Persistant)+Persistant</f>
        <v>0.98971801245898994</v>
      </c>
      <c r="BE253" s="291">
        <f>[2]!CroissVégét</f>
        <v>0.9613040114607565</v>
      </c>
      <c r="BF253" s="816">
        <f>1+[2]!Salcycl*Ksac</f>
        <v>1.0487147515573738</v>
      </c>
      <c r="BH253" s="1053">
        <f t="shared" si="113"/>
        <v>2.5777850857696424E-4</v>
      </c>
      <c r="BI253" s="11">
        <v>44435</v>
      </c>
      <c r="BJ253" s="726">
        <v>2.644431809335704E-5</v>
      </c>
      <c r="BK253" s="726">
        <v>1.103544739808371E-4</v>
      </c>
      <c r="BL253" s="726">
        <v>1.8651863734799577E-4</v>
      </c>
      <c r="BM253" s="726">
        <v>2.5796503291111689E-4</v>
      </c>
      <c r="BN253" s="726">
        <v>3.1854107953005668E-4</v>
      </c>
      <c r="BO253" s="727">
        <v>3.8628302089932834E-4</v>
      </c>
      <c r="BP253" s="726">
        <v>5.0088066588791934E-4</v>
      </c>
      <c r="BQ253" s="726">
        <v>7.2203675447490997E-4</v>
      </c>
      <c r="BR253" s="726">
        <v>1.2032635827367072E-3</v>
      </c>
      <c r="BS253" s="726">
        <v>2.0960902769126973E-3</v>
      </c>
      <c r="BT253" s="726">
        <v>3.3403902217552252E-3</v>
      </c>
      <c r="BW253" s="1186">
        <f>'2018'!R\Max</f>
        <v>0.95761601208722447</v>
      </c>
      <c r="BX253" s="1184">
        <f>'2019'!R\Max</f>
        <v>0.59832233071937335</v>
      </c>
      <c r="BY253" s="1184">
        <f>'2020'!R\Max</f>
        <v>0.51551929259926654</v>
      </c>
      <c r="BZ253" s="1184">
        <f>'2021'!R\Max</f>
        <v>0.85317638735675039</v>
      </c>
      <c r="CA253" s="1184">
        <f>'2022'!R\Max</f>
        <v>0.95977509221573676</v>
      </c>
      <c r="CB253" s="1184">
        <f>'2023'!R\Max</f>
        <v>0.95977483326768598</v>
      </c>
      <c r="CC253" s="1184">
        <f>'2024'!R\Max</f>
        <v>0.95977434410565488</v>
      </c>
      <c r="CD253" s="1184">
        <f>'2025'!R\Max</f>
        <v>0.95977579565445315</v>
      </c>
      <c r="CE253" s="1184">
        <f>'2026'!R\Max</f>
        <v>0.95977565877869686</v>
      </c>
      <c r="CF253" s="1185">
        <f>'2027'!R\Max</f>
        <v>0.95977550723067162</v>
      </c>
    </row>
    <row r="254" spans="1:84" s="6" customFormat="1" ht="11.25" x14ac:dyDescent="0.2">
      <c r="A254" s="11">
        <v>43340</v>
      </c>
      <c r="B254" s="380">
        <f>'2022'!Maxi_hp</f>
        <v>54.458266820267049</v>
      </c>
      <c r="C254" s="13">
        <f>'2022'!An_max</f>
        <v>2021</v>
      </c>
      <c r="D254" s="1062">
        <f t="shared" si="97"/>
        <v>1.0053367149229226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53">
        <f t="shared" si="100"/>
        <v>0.42857142857142855</v>
      </c>
      <c r="J254" s="746">
        <f t="shared" si="101"/>
        <v>54.169181341837557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55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53">
        <f t="shared" si="105"/>
        <v>0.7142857142857143</v>
      </c>
      <c r="AT254" s="769">
        <f t="shared" si="106"/>
        <v>53.974212827959228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53">
        <f t="shared" si="110"/>
        <v>0.7857142857142857</v>
      </c>
      <c r="AY254" s="769">
        <f t="shared" si="111"/>
        <v>54.238805283619357</v>
      </c>
      <c r="AZ254" s="746">
        <f t="shared" si="115"/>
        <v>54.106509055789289</v>
      </c>
      <c r="BA254" s="643">
        <f t="shared" si="112"/>
        <v>1.0053367149229226</v>
      </c>
      <c r="BC254" s="11">
        <v>43340</v>
      </c>
      <c r="BD254" s="290">
        <f>[2]!FeuilCaduc*(1-Persistant)+Persistant</f>
        <v>0.98899069025189179</v>
      </c>
      <c r="BE254" s="291">
        <f>[2]!CroissVégét</f>
        <v>0.96281651236587618</v>
      </c>
      <c r="BF254" s="816">
        <f>1+[2]!Salcycl*Ksac</f>
        <v>1.0486238362814864</v>
      </c>
      <c r="BH254" s="1053">
        <f t="shared" si="113"/>
        <v>2.216052847497893E-4</v>
      </c>
      <c r="BI254" s="11">
        <v>44436</v>
      </c>
      <c r="BJ254" s="726">
        <v>2.2415852062741511E-5</v>
      </c>
      <c r="BK254" s="726">
        <v>9.5889238255471074E-5</v>
      </c>
      <c r="BL254" s="726">
        <v>1.6148740707135965E-4</v>
      </c>
      <c r="BM254" s="726">
        <v>2.2176264466233545E-4</v>
      </c>
      <c r="BN254" s="726">
        <v>2.7340792668478602E-4</v>
      </c>
      <c r="BO254" s="727">
        <v>3.3153732330831E-4</v>
      </c>
      <c r="BP254" s="726">
        <v>4.3274204773093228E-4</v>
      </c>
      <c r="BQ254" s="726">
        <v>6.3512566732991599E-4</v>
      </c>
      <c r="BR254" s="726">
        <v>1.1028847181567165E-3</v>
      </c>
      <c r="BS254" s="726">
        <v>2.0098376762477861E-3</v>
      </c>
      <c r="BT254" s="726">
        <v>3.2973612266342755E-3</v>
      </c>
      <c r="BW254" s="1186">
        <f>'2018'!R\Max</f>
        <v>0.78523780878732108</v>
      </c>
      <c r="BX254" s="1184">
        <f>'2019'!R\Max</f>
        <v>0.72408820901249793</v>
      </c>
      <c r="BY254" s="1184">
        <f>'2020'!R\Max</f>
        <v>0.94480290067303485</v>
      </c>
      <c r="BZ254" s="1184">
        <f>'2021'!R\Max</f>
        <v>1.0053367149229226</v>
      </c>
      <c r="CA254" s="1184">
        <f>'2022'!R\Max</f>
        <v>0.94521776918639899</v>
      </c>
      <c r="CB254" s="1184">
        <f>'2023'!R\Max</f>
        <v>0.94521746164639675</v>
      </c>
      <c r="CC254" s="1184">
        <f>'2024'!R\Max</f>
        <v>0.94521685967616453</v>
      </c>
      <c r="CD254" s="1184">
        <f>'2025'!R\Max</f>
        <v>0.94521858839724504</v>
      </c>
      <c r="CE254" s="1184">
        <f>'2026'!R\Max</f>
        <v>0.94521843146152684</v>
      </c>
      <c r="CF254" s="1185">
        <f>'2027'!R\Max</f>
        <v>0.9452182566418843</v>
      </c>
    </row>
    <row r="255" spans="1:84" s="6" customFormat="1" ht="11.25" x14ac:dyDescent="0.2">
      <c r="A255" s="11">
        <v>43341</v>
      </c>
      <c r="B255" s="380">
        <f>'2022'!Maxi_hp</f>
        <v>53.843045701686705</v>
      </c>
      <c r="C255" s="13">
        <f>'2022'!An_max</f>
        <v>2021</v>
      </c>
      <c r="D255" s="1062">
        <f t="shared" si="97"/>
        <v>0.99746664609763591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53">
        <f t="shared" si="100"/>
        <v>0.35714285714285715</v>
      </c>
      <c r="J255" s="746">
        <f t="shared" si="101"/>
        <v>53.979795627588672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55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53">
        <f t="shared" si="105"/>
        <v>0.6785714285714286</v>
      </c>
      <c r="AT255" s="769">
        <f t="shared" si="106"/>
        <v>53.761482694133051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53">
        <f t="shared" si="110"/>
        <v>0.8214285714285714</v>
      </c>
      <c r="AY255" s="769">
        <f t="shared" si="111"/>
        <v>54.036283440448869</v>
      </c>
      <c r="AZ255" s="746">
        <f t="shared" si="115"/>
        <v>53.89888306729096</v>
      </c>
      <c r="BA255" s="643">
        <f t="shared" si="112"/>
        <v>0.99746664609763591</v>
      </c>
      <c r="BC255" s="11">
        <v>43341</v>
      </c>
      <c r="BD255" s="290">
        <f>[2]!FeuilCaduc*(1-Persistant)+Persistant</f>
        <v>0.98822842646563969</v>
      </c>
      <c r="BE255" s="291">
        <f>[2]!CroissVégét</f>
        <v>0.96427259177046543</v>
      </c>
      <c r="BF255" s="816">
        <f>1+[2]!Salcycl*Ksac</f>
        <v>1.0485285533082049</v>
      </c>
      <c r="BH255" s="1053">
        <f t="shared" si="113"/>
        <v>1.8863693031150345E-4</v>
      </c>
      <c r="BI255" s="11">
        <v>44437</v>
      </c>
      <c r="BJ255" s="726">
        <v>1.8819263413004527E-5</v>
      </c>
      <c r="BK255" s="726">
        <v>8.2630467713814144E-5</v>
      </c>
      <c r="BL255" s="726">
        <v>1.3857086550309952E-4</v>
      </c>
      <c r="BM255" s="726">
        <v>1.8876797937517666E-4</v>
      </c>
      <c r="BN255" s="726">
        <v>2.3233665397020024E-4</v>
      </c>
      <c r="BO255" s="727">
        <v>2.8179130635602642E-4</v>
      </c>
      <c r="BP255" s="726">
        <v>3.7113653750129146E-4</v>
      </c>
      <c r="BQ255" s="726">
        <v>5.5818902908126361E-4</v>
      </c>
      <c r="BR255" s="726">
        <v>1.0200853563951231E-3</v>
      </c>
      <c r="BS255" s="726">
        <v>1.9616079432231179E-3</v>
      </c>
      <c r="BT255" s="726">
        <v>3.3243354987782785E-3</v>
      </c>
      <c r="BW255" s="1186">
        <f>'2018'!R\Max</f>
        <v>0.6901996252786069</v>
      </c>
      <c r="BX255" s="1184">
        <f>'2019'!R\Max</f>
        <v>0.94555421664408557</v>
      </c>
      <c r="BY255" s="1184">
        <f>'2020'!R\Max</f>
        <v>0.18455981964159524</v>
      </c>
      <c r="BZ255" s="1184">
        <f>'2021'!R\Max</f>
        <v>0.99746664609763591</v>
      </c>
      <c r="CA255" s="1184">
        <f>'2022'!R\Max</f>
        <v>0.63957599307727997</v>
      </c>
      <c r="CB255" s="1184">
        <f>'2023'!R\Max</f>
        <v>0.63957478110883115</v>
      </c>
      <c r="CC255" s="1184">
        <f>'2024'!R\Max</f>
        <v>0.63957229800198767</v>
      </c>
      <c r="CD255" s="1184">
        <f>'2025'!R\Max</f>
        <v>0.63957914184853004</v>
      </c>
      <c r="CE255" s="1184">
        <f>'2026'!R\Max</f>
        <v>0.63957855084529314</v>
      </c>
      <c r="CF255" s="1185">
        <f>'2027'!R\Max</f>
        <v>0.63957788725802256</v>
      </c>
    </row>
    <row r="256" spans="1:84" s="6" customFormat="1" ht="11.25" x14ac:dyDescent="0.2">
      <c r="A256" s="11">
        <v>43342</v>
      </c>
      <c r="B256" s="380">
        <f>'2022'!Maxi_hp</f>
        <v>52.67575781397985</v>
      </c>
      <c r="C256" s="13">
        <f>'2022'!An_max</f>
        <v>2021</v>
      </c>
      <c r="D256" s="1062">
        <f t="shared" si="97"/>
        <v>0.97938212015528392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53">
        <f t="shared" si="100"/>
        <v>0.2857142857142857</v>
      </c>
      <c r="J256" s="746">
        <f t="shared" si="101"/>
        <v>53.784683965465852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55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53">
        <f t="shared" si="105"/>
        <v>0.6428571428571429</v>
      </c>
      <c r="AT256" s="769">
        <f t="shared" si="106"/>
        <v>53.545894059671888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53">
        <f t="shared" si="110"/>
        <v>0.8571428571428571</v>
      </c>
      <c r="AY256" s="769">
        <f t="shared" si="111"/>
        <v>53.827914868667719</v>
      </c>
      <c r="AZ256" s="746">
        <f t="shared" si="115"/>
        <v>53.6869044641698</v>
      </c>
      <c r="BA256" s="643">
        <f t="shared" si="112"/>
        <v>0.97938212015528392</v>
      </c>
      <c r="BC256" s="11">
        <v>43342</v>
      </c>
      <c r="BD256" s="290">
        <f>[2]!FeuilCaduc*(1-Persistant)+Persistant</f>
        <v>0.98742986285947887</v>
      </c>
      <c r="BE256" s="291">
        <f>[2]!CroissVégét</f>
        <v>0.96567418689281481</v>
      </c>
      <c r="BF256" s="816">
        <f>1+[2]!Salcycl*Ksac</f>
        <v>1.0484287328574349</v>
      </c>
      <c r="BH256" s="1053">
        <f t="shared" si="113"/>
        <v>1.588736077368942E-4</v>
      </c>
      <c r="BI256" s="11">
        <v>44438</v>
      </c>
      <c r="BJ256" s="726">
        <v>1.5654591626394494E-5</v>
      </c>
      <c r="BK256" s="726">
        <v>7.0578206757259941E-5</v>
      </c>
      <c r="BL256" s="726">
        <v>1.1776909654667937E-4</v>
      </c>
      <c r="BM256" s="726">
        <v>1.5898119973009031E-4</v>
      </c>
      <c r="BN256" s="726">
        <v>1.9532748192776332E-4</v>
      </c>
      <c r="BO256" s="727">
        <v>2.3704525865673128E-4</v>
      </c>
      <c r="BP256" s="726">
        <v>3.1606458803868845E-4</v>
      </c>
      <c r="BQ256" s="726">
        <v>4.9122790854791789E-4</v>
      </c>
      <c r="BR256" s="726">
        <v>9.5486855599773287E-4</v>
      </c>
      <c r="BS256" s="726">
        <v>1.9514105471552805E-3</v>
      </c>
      <c r="BT256" s="726">
        <v>3.4213329846881375E-3</v>
      </c>
      <c r="BW256" s="1186">
        <f>'2018'!R\Max</f>
        <v>0.84081596523988489</v>
      </c>
      <c r="BX256" s="1184">
        <f>'2019'!R\Max</f>
        <v>0.94115300034484028</v>
      </c>
      <c r="BY256" s="1184">
        <f>'2020'!R\Max</f>
        <v>0.45384535820523053</v>
      </c>
      <c r="BZ256" s="1184">
        <f>'2021'!R\Max</f>
        <v>0.97938212015528392</v>
      </c>
      <c r="CA256" s="1184">
        <f>'2022'!R\Max</f>
        <v>0.93213055121123012</v>
      </c>
      <c r="CB256" s="1184">
        <f>'2023'!R\Max</f>
        <v>0.93213025621252343</v>
      </c>
      <c r="CC256" s="1184">
        <f>'2024'!R\Max</f>
        <v>0.93212961647346182</v>
      </c>
      <c r="CD256" s="1184">
        <f>'2025'!R\Max</f>
        <v>0.93213129385842786</v>
      </c>
      <c r="CE256" s="1184">
        <f>'2026'!R\Max</f>
        <v>0.93213115817099379</v>
      </c>
      <c r="CF256" s="1185">
        <f>'2027'!R\Max</f>
        <v>0.93213100422552286</v>
      </c>
    </row>
    <row r="257" spans="1:84" s="6" customFormat="1" ht="11.25" x14ac:dyDescent="0.2">
      <c r="A257" s="11">
        <v>43343</v>
      </c>
      <c r="B257" s="380">
        <f>'2022'!Maxi_hp</f>
        <v>52.060228799144411</v>
      </c>
      <c r="C257" s="13">
        <f>'2022'!An_max</f>
        <v>2021</v>
      </c>
      <c r="D257" s="1062">
        <f t="shared" si="97"/>
        <v>0.97158130337179927</v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53">
        <f t="shared" si="100"/>
        <v>0.21428571428571427</v>
      </c>
      <c r="J257" s="746">
        <f t="shared" si="101"/>
        <v>53.582987464325768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55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53">
        <f t="shared" si="105"/>
        <v>0.6071428571428571</v>
      </c>
      <c r="AT257" s="769">
        <f t="shared" si="106"/>
        <v>53.327379823901822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53">
        <f t="shared" si="110"/>
        <v>0.8928571428571429</v>
      </c>
      <c r="AY257" s="769">
        <f t="shared" si="111"/>
        <v>53.613390902582822</v>
      </c>
      <c r="AZ257" s="746">
        <f t="shared" si="115"/>
        <v>53.470385363242322</v>
      </c>
      <c r="BA257" s="643">
        <f t="shared" si="112"/>
        <v>0.97158130337179927</v>
      </c>
      <c r="BC257" s="11">
        <v>43343</v>
      </c>
      <c r="BD257" s="290">
        <f>[2]!FeuilCaduc*(1-Persistant)+Persistant</f>
        <v>0.98659359299665617</v>
      </c>
      <c r="BE257" s="291">
        <f>[2]!CroissVégét</f>
        <v>0.9670231812722152</v>
      </c>
      <c r="BF257" s="816">
        <f>1+[2]!Salcycl*Ksac</f>
        <v>1.048324199124582</v>
      </c>
      <c r="BH257" s="1053">
        <f t="shared" si="113"/>
        <v>1.3231560194719135E-4</v>
      </c>
      <c r="BI257" s="11">
        <v>44439</v>
      </c>
      <c r="BJ257" s="726">
        <v>1.2921893279272024E-5</v>
      </c>
      <c r="BK257" s="726">
        <v>5.9732545284941593E-5</v>
      </c>
      <c r="BL257" s="726">
        <v>9.9082264082274221E-5</v>
      </c>
      <c r="BM257" s="726">
        <v>1.3240259096513395E-4</v>
      </c>
      <c r="BN257" s="726">
        <v>1.6238078678945911E-4</v>
      </c>
      <c r="BO257" s="727">
        <v>1.9729966102663768E-4</v>
      </c>
      <c r="BP257" s="726">
        <v>2.6752690570619995E-4</v>
      </c>
      <c r="BQ257" s="726">
        <v>4.3424377357771226E-4</v>
      </c>
      <c r="BR257" s="726">
        <v>9.0723811564309372E-4</v>
      </c>
      <c r="BS257" s="726">
        <v>1.9792566496990701E-3</v>
      </c>
      <c r="BT257" s="726">
        <v>3.5883768275769834E-3</v>
      </c>
      <c r="BW257" s="1186">
        <f>'2018'!R\Max</f>
        <v>0.87490055536974121</v>
      </c>
      <c r="BX257" s="1184">
        <f>'2019'!R\Max</f>
        <v>0.89418525643441915</v>
      </c>
      <c r="BY257" s="1184">
        <f>'2020'!R\Max</f>
        <v>0.62097491174467911</v>
      </c>
      <c r="BZ257" s="1184">
        <f>'2021'!R\Max</f>
        <v>0.97158130337179927</v>
      </c>
      <c r="CA257" s="1184">
        <f>'2022'!R\Max</f>
        <v>0.44039157954925362</v>
      </c>
      <c r="CB257" s="1184">
        <f>'2023'!R\Max</f>
        <v>0.44039055524980547</v>
      </c>
      <c r="CC257" s="1184">
        <f>'2024'!R\Max</f>
        <v>0.44038817735569735</v>
      </c>
      <c r="CD257" s="1184">
        <f>'2025'!R\Max</f>
        <v>0.44039405913651886</v>
      </c>
      <c r="CE257" s="1184">
        <f>'2026'!R\Max</f>
        <v>0.44039362189093756</v>
      </c>
      <c r="CF257" s="1185">
        <f>'2027'!R\Max</f>
        <v>0.44039311893709165</v>
      </c>
    </row>
    <row r="258" spans="1:84" s="6" customFormat="1" ht="11.25" x14ac:dyDescent="0.2">
      <c r="A258" s="11">
        <v>43344</v>
      </c>
      <c r="B258" s="380">
        <f>'2022'!Maxi_hp</f>
        <v>53.475031417285187</v>
      </c>
      <c r="C258" s="13">
        <f>'2022'!An_max</f>
        <v>2018</v>
      </c>
      <c r="D258" s="1062">
        <f t="shared" si="97"/>
        <v>1.0018957634004628</v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53">
        <f t="shared" si="100"/>
        <v>0.14285714285714285</v>
      </c>
      <c r="J258" s="746">
        <f t="shared" si="101"/>
        <v>53.373847231162451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55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53">
        <f t="shared" si="105"/>
        <v>0.5714285714285714</v>
      </c>
      <c r="AT258" s="769">
        <f t="shared" si="106"/>
        <v>53.105872886627914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53">
        <f t="shared" si="110"/>
        <v>0.9285714285714286</v>
      </c>
      <c r="AY258" s="769">
        <f t="shared" si="111"/>
        <v>53.392402879108808</v>
      </c>
      <c r="AZ258" s="746">
        <f t="shared" si="115"/>
        <v>53.249137882868361</v>
      </c>
      <c r="BA258" s="643">
        <f t="shared" si="112"/>
        <v>1.0018957634004628</v>
      </c>
      <c r="BC258" s="11">
        <v>43344</v>
      </c>
      <c r="BD258" s="290">
        <f>[2]!FeuilCaduc*(1-Persistant)+Persistant</f>
        <v>0.9857181589603855</v>
      </c>
      <c r="BE258" s="291">
        <f>[2]!CroissVégét</f>
        <v>0.96832140523745813</v>
      </c>
      <c r="BF258" s="816">
        <f>1+[2]!Salcycl*Ksac</f>
        <v>1.0482147698700481</v>
      </c>
      <c r="BH258" s="1053">
        <f t="shared" si="113"/>
        <v>1.089633259755873E-4</v>
      </c>
      <c r="BI258" s="11">
        <v>44440</v>
      </c>
      <c r="BJ258" s="726">
        <v>1.0621242805346025E-5</v>
      </c>
      <c r="BK258" s="726">
        <v>5.0093620826716658E-5</v>
      </c>
      <c r="BL258" s="726">
        <v>8.2510615705383875E-5</v>
      </c>
      <c r="BM258" s="726">
        <v>1.0903256654653681E-4</v>
      </c>
      <c r="BN258" s="726">
        <v>1.3349710765813241E-4</v>
      </c>
      <c r="BO258" s="727">
        <v>1.6255519532181825E-4</v>
      </c>
      <c r="BP258" s="726">
        <v>2.2552446193779E-4</v>
      </c>
      <c r="BQ258" s="726">
        <v>3.8723850867245467E-4</v>
      </c>
      <c r="BR258" s="726">
        <v>8.7719860519001381E-4</v>
      </c>
      <c r="BS258" s="726">
        <v>2.0451591719621732E-3</v>
      </c>
      <c r="BT258" s="726">
        <v>3.8254934909002628E-3</v>
      </c>
      <c r="BW258" s="1186">
        <f>'2018'!R\Max</f>
        <v>1.0018957634004628</v>
      </c>
      <c r="BX258" s="1184">
        <f>'2019'!R\Max</f>
        <v>0.33286406462641832</v>
      </c>
      <c r="BY258" s="1184">
        <f>'2020'!R\Max</f>
        <v>0.87349720779457396</v>
      </c>
      <c r="BZ258" s="1184">
        <f>'2021'!R\Max</f>
        <v>0.73399954027932468</v>
      </c>
      <c r="CA258" s="1184">
        <f>'2022'!R\Max</f>
        <v>0.85234651095300473</v>
      </c>
      <c r="CB258" s="1184">
        <f>'2023'!R\Max</f>
        <v>0.85234604051778973</v>
      </c>
      <c r="CC258" s="1184">
        <f>'2024'!R\Max</f>
        <v>0.85234485958661921</v>
      </c>
      <c r="CD258" s="1184">
        <f>'2025'!R\Max</f>
        <v>0.85234759684992634</v>
      </c>
      <c r="CE258" s="1184">
        <f>'2026'!R\Max</f>
        <v>0.85234741408048909</v>
      </c>
      <c r="CF258" s="1185">
        <f>'2027'!R\Max</f>
        <v>0.85234719997463204</v>
      </c>
    </row>
    <row r="259" spans="1:84" s="6" customFormat="1" ht="11.25" x14ac:dyDescent="0.2">
      <c r="A259" s="11">
        <v>43345</v>
      </c>
      <c r="B259" s="380">
        <f>'2022'!Maxi_hp</f>
        <v>51.427835350869806</v>
      </c>
      <c r="C259" s="13">
        <f>'2022'!An_max</f>
        <v>2019</v>
      </c>
      <c r="D259" s="1062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53">
        <f t="shared" si="100"/>
        <v>7.1428571428571425E-2</v>
      </c>
      <c r="J259" s="746">
        <f t="shared" si="101"/>
        <v>53.156404375258298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55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53">
        <f t="shared" si="105"/>
        <v>0.5357142857142857</v>
      </c>
      <c r="AT259" s="769">
        <f t="shared" si="106"/>
        <v>52.881306145193854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53">
        <f t="shared" si="110"/>
        <v>0.9642857142857143</v>
      </c>
      <c r="AY259" s="769">
        <f t="shared" si="111"/>
        <v>53.164642131880711</v>
      </c>
      <c r="AZ259" s="746">
        <f t="shared" si="115"/>
        <v>53.022974138537279</v>
      </c>
      <c r="BA259" s="643">
        <f t="shared" si="112"/>
        <v>0.96748145318133938</v>
      </c>
      <c r="BC259" s="11">
        <v>43345</v>
      </c>
      <c r="BD259" s="290">
        <f>[2]!FeuilCaduc*(1-Persistant)+Persistant</f>
        <v>0.98480204772528879</v>
      </c>
      <c r="BE259" s="291">
        <f>[2]!CroissVégét</f>
        <v>0.96957063646587138</v>
      </c>
      <c r="BF259" s="816">
        <f>1+[2]!Salcycl*Ksac</f>
        <v>1.0481002559656611</v>
      </c>
      <c r="BH259" s="1053">
        <f t="shared" si="113"/>
        <v>8.8817326630721819E-5</v>
      </c>
      <c r="BI259" s="11">
        <v>44441</v>
      </c>
      <c r="BJ259" s="726">
        <v>8.7527332587027513E-6</v>
      </c>
      <c r="BK259" s="726">
        <v>4.1661620675288482E-5</v>
      </c>
      <c r="BL259" s="726">
        <v>6.8054486463982726E-5</v>
      </c>
      <c r="BM259" s="726">
        <v>8.8871673837227075E-5</v>
      </c>
      <c r="BN259" s="726">
        <v>1.0867715368531427E-4</v>
      </c>
      <c r="BO259" s="727">
        <v>1.328127532730599E-4</v>
      </c>
      <c r="BP259" s="726">
        <v>1.9005850478192909E-4</v>
      </c>
      <c r="BQ259" s="726">
        <v>3.5021443260772314E-4</v>
      </c>
      <c r="BR259" s="726">
        <v>8.6475539671726021E-4</v>
      </c>
      <c r="BS259" s="726">
        <v>2.1491328616087177E-3</v>
      </c>
      <c r="BT259" s="726">
        <v>4.1327128818708925E-3</v>
      </c>
      <c r="BW259" s="1186">
        <f>'2018'!R\Max</f>
        <v>0.95276344773702315</v>
      </c>
      <c r="BX259" s="1184">
        <f>'2019'!R\Max</f>
        <v>0.96748145318133938</v>
      </c>
      <c r="BY259" s="1184">
        <f>'2020'!R\Max</f>
        <v>0.92913224789284521</v>
      </c>
      <c r="BZ259" s="1184">
        <f>'2021'!R\Max</f>
        <v>0.37257247874144223</v>
      </c>
      <c r="CA259" s="1184">
        <f>'2022'!R\Max</f>
        <v>0.78509066880469336</v>
      </c>
      <c r="CB259" s="1184">
        <f>'2023'!R\Max</f>
        <v>0.78509009363193882</v>
      </c>
      <c r="CC259" s="1184">
        <f>'2024'!R\Max</f>
        <v>0.78508852132961682</v>
      </c>
      <c r="CD259" s="1184">
        <f>'2025'!R\Max</f>
        <v>0.78509192450036436</v>
      </c>
      <c r="CE259" s="1184">
        <f>'2026'!R\Max</f>
        <v>0.78509172550781847</v>
      </c>
      <c r="CF259" s="1185">
        <f>'2027'!R\Max</f>
        <v>0.78509148673406537</v>
      </c>
    </row>
    <row r="260" spans="1:84" s="6" customFormat="1" ht="11.25" x14ac:dyDescent="0.2">
      <c r="A260" s="11">
        <v>43346</v>
      </c>
      <c r="B260" s="380">
        <f>'2022'!Maxi_hp</f>
        <v>54.150203084511908</v>
      </c>
      <c r="C260" s="13">
        <f>'2022'!An_max</f>
        <v>2020</v>
      </c>
      <c r="D260" s="1062">
        <f t="shared" si="97"/>
        <v>1.0230570129436911</v>
      </c>
      <c r="E260" s="1057">
        <f>AE$13/10</f>
        <v>52.9298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53">
        <f t="shared" si="100"/>
        <v>0</v>
      </c>
      <c r="J260" s="746">
        <f t="shared" si="101"/>
        <v>52.929800000786784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55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53">
        <f t="shared" si="105"/>
        <v>0.5</v>
      </c>
      <c r="AT260" s="769">
        <f t="shared" si="106"/>
        <v>52.653612500242886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53">
        <f t="shared" si="110"/>
        <v>1</v>
      </c>
      <c r="AY260" s="769">
        <f t="shared" si="111"/>
        <v>52.929800000041723</v>
      </c>
      <c r="AZ260" s="746">
        <f t="shared" si="115"/>
        <v>52.791706250142305</v>
      </c>
      <c r="BA260" s="643">
        <f t="shared" si="112"/>
        <v>1.0230570129436911</v>
      </c>
      <c r="BC260" s="11">
        <v>43346</v>
      </c>
      <c r="BD260" s="290">
        <f>[2]!FeuilCaduc*(1-Persistant)+Persistant</f>
        <v>0.98384368730206961</v>
      </c>
      <c r="BE260" s="291">
        <f>[2]!CroissVégét</f>
        <v>0.97077260062312232</v>
      </c>
      <c r="BF260" s="816">
        <f>1+[2]!Salcycl*Ksac</f>
        <v>1.0479804609127588</v>
      </c>
      <c r="BH260" s="1053">
        <f t="shared" si="113"/>
        <v>7.1878290159136971E-5</v>
      </c>
      <c r="BI260" s="11">
        <v>44442</v>
      </c>
      <c r="BJ260" s="726">
        <v>7.3164770767390469E-6</v>
      </c>
      <c r="BK260" s="726">
        <v>3.4436784017844197E-5</v>
      </c>
      <c r="BL260" s="726">
        <v>5.5714302594876472E-5</v>
      </c>
      <c r="BM260" s="726">
        <v>7.1920599764328197E-5</v>
      </c>
      <c r="BN260" s="726">
        <v>8.7921811247790096E-5</v>
      </c>
      <c r="BO260" s="727">
        <v>1.080734453191901E-4</v>
      </c>
      <c r="BP260" s="726">
        <v>1.6113057044307759E-4</v>
      </c>
      <c r="BQ260" s="726">
        <v>3.2317431604895005E-4</v>
      </c>
      <c r="BR260" s="726">
        <v>8.6991469555466839E-4</v>
      </c>
      <c r="BS260" s="726">
        <v>2.2911943599427183E-3</v>
      </c>
      <c r="BT260" s="726">
        <v>4.5100684749367652E-3</v>
      </c>
      <c r="BW260" s="1186">
        <f>'2018'!R\Max</f>
        <v>0.97022816122163658</v>
      </c>
      <c r="BX260" s="1184">
        <f>'2019'!R\Max</f>
        <v>1.015495010462617</v>
      </c>
      <c r="BY260" s="1184">
        <f>'2020'!R\Max</f>
        <v>1.0230570129436911</v>
      </c>
      <c r="BZ260" s="1184">
        <f>'2021'!R\Max</f>
        <v>0.67377207660326144</v>
      </c>
      <c r="CA260" s="1184">
        <f>'2022'!R\Max</f>
        <v>0.6583832321939117</v>
      </c>
      <c r="CB260" s="1184">
        <f>'2023'!R\Max</f>
        <v>0.65838251921991142</v>
      </c>
      <c r="CC260" s="1184">
        <f>'2024'!R\Max</f>
        <v>0.65838039214276844</v>
      </c>
      <c r="CD260" s="1184">
        <f>'2025'!R\Max</f>
        <v>0.65838469536625088</v>
      </c>
      <c r="CE260" s="1184">
        <f>'2026'!R\Max</f>
        <v>0.65838448034545038</v>
      </c>
      <c r="CF260" s="1185">
        <f>'2027'!R\Max</f>
        <v>0.65838421426057048</v>
      </c>
    </row>
    <row r="261" spans="1:84" s="6" customFormat="1" ht="11.25" x14ac:dyDescent="0.2">
      <c r="A261" s="11">
        <v>43347</v>
      </c>
      <c r="B261" s="380">
        <f>'2022'!Maxi_hp</f>
        <v>53.283178554064911</v>
      </c>
      <c r="C261" s="13">
        <f>'2022'!An_max</f>
        <v>2019</v>
      </c>
      <c r="D261" s="1062">
        <f t="shared" si="97"/>
        <v>1.0111736097050568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53">
        <f t="shared" si="100"/>
        <v>7.1428571428571425E-2</v>
      </c>
      <c r="J261" s="746">
        <f t="shared" si="101"/>
        <v>52.694391984386108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55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53">
        <f t="shared" si="105"/>
        <v>0.4642857142857143</v>
      </c>
      <c r="AT261" s="769">
        <f t="shared" si="106"/>
        <v>52.422724849504547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53">
        <f t="shared" si="110"/>
        <v>0.9642857142857143</v>
      </c>
      <c r="AY261" s="769">
        <f t="shared" si="111"/>
        <v>52.687368748782731</v>
      </c>
      <c r="AZ261" s="746">
        <f t="shared" si="115"/>
        <v>52.555046799143639</v>
      </c>
      <c r="BA261" s="643">
        <f t="shared" si="112"/>
        <v>1.0111736097050568</v>
      </c>
      <c r="BC261" s="11">
        <v>43347</v>
      </c>
      <c r="BD261" s="290">
        <f>[2]!FeuilCaduc*(1-Persistant)+Persistant</f>
        <v>0.98284144277977403</v>
      </c>
      <c r="BE261" s="291">
        <f>[2]!CroissVégét</f>
        <v>0.97192897207465079</v>
      </c>
      <c r="BF261" s="816">
        <f>1+[2]!Salcycl*Ksac</f>
        <v>1.0478551803474718</v>
      </c>
      <c r="BH261" s="1053">
        <f t="shared" si="113"/>
        <v>5.8147047908483107E-5</v>
      </c>
      <c r="BI261" s="11">
        <v>44443</v>
      </c>
      <c r="BJ261" s="726">
        <v>6.3126068431635391E-6</v>
      </c>
      <c r="BK261" s="726">
        <v>2.8419404068000806E-5</v>
      </c>
      <c r="BL261" s="726">
        <v>4.5490585260593352E-5</v>
      </c>
      <c r="BM261" s="726">
        <v>5.8180176487407142E-5</v>
      </c>
      <c r="BN261" s="726">
        <v>7.1232151125093652E-5</v>
      </c>
      <c r="BO261" s="727">
        <v>8.8338609441507521E-5</v>
      </c>
      <c r="BP261" s="726">
        <v>1.3874249482443443E-4</v>
      </c>
      <c r="BQ261" s="726">
        <v>3.0612139916857663E-4</v>
      </c>
      <c r="BR261" s="726">
        <v>8.9268357131338204E-4</v>
      </c>
      <c r="BS261" s="726">
        <v>2.4713622689833186E-3</v>
      </c>
      <c r="BT261" s="726">
        <v>4.957597435237676E-3</v>
      </c>
      <c r="BW261" s="1186">
        <f>'2018'!R\Max</f>
        <v>0.89566868157624735</v>
      </c>
      <c r="BX261" s="1184">
        <f>'2019'!R\Max</f>
        <v>1.0111736097050568</v>
      </c>
      <c r="BY261" s="1184">
        <f>'2020'!R\Max</f>
        <v>0.9704552448498257</v>
      </c>
      <c r="BZ261" s="1184">
        <f>'2021'!R\Max</f>
        <v>0.8064089059857884</v>
      </c>
      <c r="CA261" s="1184">
        <f>'2022'!R\Max</f>
        <v>0.95926327790636889</v>
      </c>
      <c r="CB261" s="1184">
        <f>'2023'!R\Max</f>
        <v>0.95926315982173394</v>
      </c>
      <c r="CC261" s="1184">
        <f>'2024'!R\Max</f>
        <v>0.95926277681231664</v>
      </c>
      <c r="CD261" s="1184">
        <f>'2025'!R\Max</f>
        <v>0.95926350533518356</v>
      </c>
      <c r="CE261" s="1184">
        <f>'2026'!R\Max</f>
        <v>0.95926347475770835</v>
      </c>
      <c r="CF261" s="1185">
        <f>'2027'!R\Max</f>
        <v>0.95926343547249693</v>
      </c>
    </row>
    <row r="262" spans="1:84" s="6" customFormat="1" ht="11.25" x14ac:dyDescent="0.2">
      <c r="A262" s="11">
        <v>43348</v>
      </c>
      <c r="B262" s="380">
        <f>'2022'!Maxi_hp</f>
        <v>52.787883333438941</v>
      </c>
      <c r="C262" s="13">
        <f>'2022'!An_max</f>
        <v>2020</v>
      </c>
      <c r="D262" s="1062">
        <f t="shared" si="97"/>
        <v>1.006415200872719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53">
        <f t="shared" si="100"/>
        <v>0.14285714285714285</v>
      </c>
      <c r="J262" s="746">
        <f t="shared" si="101"/>
        <v>52.451397085083386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55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53">
        <f t="shared" si="105"/>
        <v>0.42857142857142855</v>
      </c>
      <c r="AT262" s="769">
        <f t="shared" si="106"/>
        <v>52.188576093528944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53">
        <f t="shared" si="110"/>
        <v>0.9285714285714286</v>
      </c>
      <c r="AY262" s="769">
        <f t="shared" si="111"/>
        <v>52.437296938403918</v>
      </c>
      <c r="AZ262" s="746">
        <f t="shared" si="115"/>
        <v>52.312936515966427</v>
      </c>
      <c r="BA262" s="643">
        <f t="shared" si="112"/>
        <v>1.006415200872719</v>
      </c>
      <c r="BC262" s="11">
        <v>43348</v>
      </c>
      <c r="BD262" s="290">
        <f>[2]!FeuilCaduc*(1-Persistant)+Persistant</f>
        <v>0.98179361239504859</v>
      </c>
      <c r="BE262" s="291">
        <f>[2]!CroissVégét</f>
        <v>0.97304137466019458</v>
      </c>
      <c r="BF262" s="816">
        <f>1+[2]!Salcycl*Ksac</f>
        <v>1.0477242015493811</v>
      </c>
      <c r="BH262" s="1053">
        <f t="shared" si="113"/>
        <v>4.7956014606560373E-5</v>
      </c>
      <c r="BI262" s="11">
        <v>44444</v>
      </c>
      <c r="BJ262" s="726">
        <v>5.784467252628144E-6</v>
      </c>
      <c r="BK262" s="726">
        <v>2.3780618681963112E-5</v>
      </c>
      <c r="BL262" s="726">
        <v>3.7648434695742546E-5</v>
      </c>
      <c r="BM262" s="726">
        <v>4.7982994931481429E-5</v>
      </c>
      <c r="BN262" s="726">
        <v>5.9047866382658391E-5</v>
      </c>
      <c r="BO262" s="727">
        <v>7.4339329814184285E-5</v>
      </c>
      <c r="BP262" s="726">
        <v>1.2502850151191764E-4</v>
      </c>
      <c r="BQ262" s="726">
        <v>3.0567323163473354E-4</v>
      </c>
      <c r="BR262" s="726">
        <v>9.5091039196630166E-4</v>
      </c>
      <c r="BS262" s="726">
        <v>2.7224579480015325E-3</v>
      </c>
      <c r="BT262" s="726">
        <v>5.5248385719501034E-3</v>
      </c>
      <c r="BW262" s="1186">
        <f>'2018'!R\Max</f>
        <v>0.82565598692124764</v>
      </c>
      <c r="BX262" s="1184">
        <f>'2019'!R\Max</f>
        <v>0.75697562394109408</v>
      </c>
      <c r="BY262" s="1184">
        <f>'2020'!R\Max</f>
        <v>1.006415200872719</v>
      </c>
      <c r="BZ262" s="1184">
        <f>'2021'!R\Max</f>
        <v>0.89189257722106374</v>
      </c>
      <c r="CA262" s="1184">
        <f>'2022'!R\Max</f>
        <v>0.81477370188667342</v>
      </c>
      <c r="CB262" s="1184">
        <f>'2023'!R\Max</f>
        <v>0.81477324162570841</v>
      </c>
      <c r="CC262" s="1184">
        <f>'2024'!R\Max</f>
        <v>0.81477163932206031</v>
      </c>
      <c r="CD262" s="1184">
        <f>'2025'!R\Max</f>
        <v>0.81477453375153863</v>
      </c>
      <c r="CE262" s="1184">
        <f>'2026'!R\Max</f>
        <v>0.81477443328248211</v>
      </c>
      <c r="CF262" s="1185">
        <f>'2027'!R\Max</f>
        <v>0.81477429758880593</v>
      </c>
    </row>
    <row r="263" spans="1:84" s="6" customFormat="1" ht="11.25" x14ac:dyDescent="0.2">
      <c r="A263" s="11">
        <v>43349</v>
      </c>
      <c r="B263" s="380">
        <f>'2022'!Maxi_hp</f>
        <v>54.673871330579189</v>
      </c>
      <c r="C263" s="13">
        <f>'2022'!An_max</f>
        <v>2019</v>
      </c>
      <c r="D263" s="1062">
        <f t="shared" si="97"/>
        <v>1.0473671957278603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53">
        <f t="shared" si="100"/>
        <v>0.21428571428571427</v>
      </c>
      <c r="J263" s="746">
        <f t="shared" si="101"/>
        <v>52.201244753120207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55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53">
        <f t="shared" si="105"/>
        <v>0.39285714285714285</v>
      </c>
      <c r="AT263" s="769">
        <f t="shared" si="106"/>
        <v>51.951099130005716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53">
        <f t="shared" si="110"/>
        <v>0.8928571428571429</v>
      </c>
      <c r="AY263" s="769">
        <f t="shared" si="111"/>
        <v>52.179960331939427</v>
      </c>
      <c r="AZ263" s="746">
        <f t="shared" si="115"/>
        <v>52.065529730972571</v>
      </c>
      <c r="BA263" s="643">
        <f t="shared" si="112"/>
        <v>1.0473671957278603</v>
      </c>
      <c r="BC263" s="11">
        <v>43349</v>
      </c>
      <c r="BD263" s="290">
        <f>[2]!FeuilCaduc*(1-Persistant)+Persistant</f>
        <v>0.98069842376122951</v>
      </c>
      <c r="BE263" s="291">
        <f>[2]!CroissVégét</f>
        <v>0.97411138252345786</v>
      </c>
      <c r="BF263" s="816">
        <f>1+[2]!Salcycl*Ksac</f>
        <v>1.0475873029701537</v>
      </c>
      <c r="BH263" s="1053">
        <f t="shared" si="113"/>
        <v>3.899900187194502E-5</v>
      </c>
      <c r="BI263" s="11">
        <v>44445</v>
      </c>
      <c r="BJ263" s="726">
        <v>5.2768037412598459E-6</v>
      </c>
      <c r="BK263" s="726">
        <v>1.9666895027309575E-5</v>
      </c>
      <c r="BL263" s="726">
        <v>3.0729313954434529E-5</v>
      </c>
      <c r="BM263" s="726">
        <v>3.9020647968210157E-5</v>
      </c>
      <c r="BN263" s="726">
        <v>4.8410879973095401E-5</v>
      </c>
      <c r="BO263" s="727">
        <v>6.2462417770522955E-5</v>
      </c>
      <c r="BP263" s="726">
        <v>1.1570686515971974E-4</v>
      </c>
      <c r="BQ263" s="726">
        <v>3.1653701331673084E-4</v>
      </c>
      <c r="BR263" s="726">
        <v>1.0373574630492763E-3</v>
      </c>
      <c r="BS263" s="726">
        <v>3.0325414344779351E-3</v>
      </c>
      <c r="BT263" s="726">
        <v>6.1926901086108909E-3</v>
      </c>
      <c r="BW263" s="1186">
        <f>'2018'!R\Max</f>
        <v>0.58115350811967337</v>
      </c>
      <c r="BX263" s="1184">
        <f>'2019'!R\Max</f>
        <v>1.0473671957278603</v>
      </c>
      <c r="BY263" s="1184">
        <f>'2020'!R\Max</f>
        <v>0.89796541528146201</v>
      </c>
      <c r="BZ263" s="1184">
        <f>'2021'!R\Max</f>
        <v>0.95652112238032605</v>
      </c>
      <c r="CA263" s="1184">
        <f>'2022'!R\Max</f>
        <v>0.92854859008632673</v>
      </c>
      <c r="CB263" s="1184">
        <f>'2023'!R\Max</f>
        <v>0.9285483767667555</v>
      </c>
      <c r="CC263" s="1184">
        <f>'2024'!R\Max</f>
        <v>0.92854759054506464</v>
      </c>
      <c r="CD263" s="1184">
        <f>'2025'!R\Max</f>
        <v>0.92854895003196047</v>
      </c>
      <c r="CE263" s="1184">
        <f>'2026'!R\Max</f>
        <v>0.92854891241107451</v>
      </c>
      <c r="CF263" s="1185">
        <f>'2027'!R\Max</f>
        <v>0.92854885762944184</v>
      </c>
    </row>
    <row r="264" spans="1:84" s="6" customFormat="1" ht="11.25" x14ac:dyDescent="0.2">
      <c r="A264" s="11">
        <v>43350</v>
      </c>
      <c r="B264" s="380">
        <f>'2022'!Maxi_hp</f>
        <v>50.140065797662274</v>
      </c>
      <c r="C264" s="13">
        <f>'2022'!An_max</f>
        <v>2019</v>
      </c>
      <c r="D264" s="1062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53">
        <f t="shared" si="100"/>
        <v>0.2857142857142857</v>
      </c>
      <c r="J264" s="746">
        <f t="shared" si="101"/>
        <v>51.944364431713304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55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53">
        <f t="shared" si="105"/>
        <v>0.35714285714285715</v>
      </c>
      <c r="AT264" s="769">
        <f t="shared" si="106"/>
        <v>51.710226858886223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53">
        <f t="shared" si="110"/>
        <v>0.8571428571428571</v>
      </c>
      <c r="AY264" s="769">
        <f t="shared" si="111"/>
        <v>51.915734693487842</v>
      </c>
      <c r="AZ264" s="746">
        <f t="shared" si="115"/>
        <v>51.812980776187032</v>
      </c>
      <c r="BA264" s="643">
        <f t="shared" si="112"/>
        <v>0.96526478562610996</v>
      </c>
      <c r="BC264" s="11">
        <v>43350</v>
      </c>
      <c r="BD264" s="290">
        <f>[2]!FeuilCaduc*(1-Persistant)+Persistant</f>
        <v>0.97955403039187494</v>
      </c>
      <c r="BE264" s="291">
        <f>[2]!CroissVégét</f>
        <v>0.97514052098953308</v>
      </c>
      <c r="BF264" s="816">
        <f>1+[2]!Salcycl*Ksac</f>
        <v>1.0474442537989843</v>
      </c>
      <c r="BH264" s="1053">
        <f t="shared" si="113"/>
        <v>3.1276352332430284E-5</v>
      </c>
      <c r="BI264" s="11">
        <v>44446</v>
      </c>
      <c r="BJ264" s="726">
        <v>4.7896133473176993E-6</v>
      </c>
      <c r="BK264" s="726">
        <v>1.6078371460777777E-5</v>
      </c>
      <c r="BL264" s="726">
        <v>2.4733473819688304E-5</v>
      </c>
      <c r="BM264" s="726">
        <v>3.1293478465792343E-5</v>
      </c>
      <c r="BN264" s="726">
        <v>3.9321637015946562E-5</v>
      </c>
      <c r="BO264" s="727">
        <v>5.2708554434293985E-5</v>
      </c>
      <c r="BP264" s="726">
        <v>1.1077939367708605E-4</v>
      </c>
      <c r="BQ264" s="726">
        <v>3.3871831880597045E-4</v>
      </c>
      <c r="BR264" s="726">
        <v>1.1520402912661824E-3</v>
      </c>
      <c r="BS264" s="726">
        <v>3.4016486835947296E-3</v>
      </c>
      <c r="BT264" s="726">
        <v>6.9612171907593307E-3</v>
      </c>
      <c r="BW264" s="1186">
        <f>'2018'!R\Max</f>
        <v>0.67979218011921161</v>
      </c>
      <c r="BX264" s="1184">
        <f>'2019'!R\Max</f>
        <v>0.96526478562610996</v>
      </c>
      <c r="BY264" s="1184">
        <f>'2020'!R\Max</f>
        <v>0.56580001933812163</v>
      </c>
      <c r="BZ264" s="1184">
        <f>'2021'!R\Max</f>
        <v>0.75839597686832072</v>
      </c>
      <c r="CA264" s="1184">
        <f>'2022'!R\Max</f>
        <v>0.7260969396073822</v>
      </c>
      <c r="CB264" s="1184">
        <f>'2023'!R\Max</f>
        <v>0.72609623956286407</v>
      </c>
      <c r="CC264" s="1184">
        <f>'2024'!R\Max</f>
        <v>0.72609355333748515</v>
      </c>
      <c r="CD264" s="1184">
        <f>'2025'!R\Max</f>
        <v>0.72609804587566407</v>
      </c>
      <c r="CE264" s="1184">
        <f>'2026'!R\Max</f>
        <v>0.72609794909672032</v>
      </c>
      <c r="CF264" s="1185">
        <f>'2027'!R\Max</f>
        <v>0.72609779288985066</v>
      </c>
    </row>
    <row r="265" spans="1:84" s="6" customFormat="1" ht="11.25" x14ac:dyDescent="0.2">
      <c r="A265" s="11">
        <v>43351</v>
      </c>
      <c r="B265" s="380">
        <f>'2022'!Maxi_hp</f>
        <v>49.195092920557293</v>
      </c>
      <c r="C265" s="13">
        <f>'2022'!An_max</f>
        <v>2018</v>
      </c>
      <c r="D265" s="1062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53">
        <f t="shared" si="100"/>
        <v>0.35714285714285715</v>
      </c>
      <c r="J265" s="746">
        <f t="shared" si="101"/>
        <v>51.681185569188429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55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53">
        <f t="shared" si="105"/>
        <v>0.32142857142857145</v>
      </c>
      <c r="AT265" s="769">
        <f t="shared" si="106"/>
        <v>51.465892178432213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53">
        <f t="shared" si="110"/>
        <v>0.8214285714285714</v>
      </c>
      <c r="AY265" s="769">
        <f t="shared" si="111"/>
        <v>51.644995790872983</v>
      </c>
      <c r="AZ265" s="746">
        <f t="shared" si="115"/>
        <v>51.555443984652598</v>
      </c>
      <c r="BA265" s="643">
        <f t="shared" si="112"/>
        <v>0.95189559563600046</v>
      </c>
      <c r="BC265" s="11">
        <v>43351</v>
      </c>
      <c r="BD265" s="290">
        <f>[2]!FeuilCaduc*(1-Persistant)+Persistant</f>
        <v>0.97835850865339413</v>
      </c>
      <c r="BE265" s="291">
        <f>[2]!CroissVégét</f>
        <v>0.97613026748322473</v>
      </c>
      <c r="BF265" s="816">
        <f>1+[2]!Salcycl*Ksac</f>
        <v>1.0472948135816742</v>
      </c>
      <c r="BH265" s="1053">
        <f t="shared" si="113"/>
        <v>2.4788468855757919E-5</v>
      </c>
      <c r="BI265" s="11">
        <v>44447</v>
      </c>
      <c r="BJ265" s="726">
        <v>4.322893858299732E-6</v>
      </c>
      <c r="BK265" s="726">
        <v>1.301521176002533E-5</v>
      </c>
      <c r="BL265" s="726">
        <v>1.9661209980930637E-5</v>
      </c>
      <c r="BM265" s="726">
        <v>2.4801889572511426E-5</v>
      </c>
      <c r="BN265" s="726">
        <v>3.1780658573516099E-5</v>
      </c>
      <c r="BO265" s="727">
        <v>4.5078526970388168E-5</v>
      </c>
      <c r="BP265" s="726">
        <v>1.1024812496107771E-4</v>
      </c>
      <c r="BQ265" s="726">
        <v>3.722233390329375E-4</v>
      </c>
      <c r="BR265" s="726">
        <v>1.2949759616969793E-3</v>
      </c>
      <c r="BS265" s="726">
        <v>3.8298190384709252E-3</v>
      </c>
      <c r="BT265" s="726">
        <v>7.8304908376735406E-3</v>
      </c>
      <c r="BW265" s="1186">
        <f>'2018'!R\Max</f>
        <v>0.95189559563600046</v>
      </c>
      <c r="BX265" s="1184">
        <f>'2019'!R\Max</f>
        <v>0.91812348098638963</v>
      </c>
      <c r="BY265" s="1184">
        <f>'2020'!R\Max</f>
        <v>0.89100601649988731</v>
      </c>
      <c r="BZ265" s="1184">
        <f>'2021'!R\Max</f>
        <v>0.60112622759870138</v>
      </c>
      <c r="CA265" s="1184">
        <f>'2022'!R\Max</f>
        <v>0.79924149970677683</v>
      </c>
      <c r="CB265" s="1184">
        <f>'2023'!R\Max</f>
        <v>0.79924086342580225</v>
      </c>
      <c r="CC265" s="1184">
        <f>'2024'!R\Max</f>
        <v>0.79923836151619598</v>
      </c>
      <c r="CD265" s="1184">
        <f>'2025'!R\Max</f>
        <v>0.79924245066354793</v>
      </c>
      <c r="CE265" s="1184">
        <f>'2026'!R\Max</f>
        <v>0.79924238252711699</v>
      </c>
      <c r="CF265" s="1185">
        <f>'2027'!R\Max</f>
        <v>0.79924225757292444</v>
      </c>
    </row>
    <row r="266" spans="1:84" s="6" customFormat="1" ht="11.25" x14ac:dyDescent="0.2">
      <c r="A266" s="11">
        <v>43352</v>
      </c>
      <c r="B266" s="380">
        <f>'2022'!Maxi_hp</f>
        <v>49.204296027158733</v>
      </c>
      <c r="C266" s="13">
        <f>'2022'!An_max</f>
        <v>2020</v>
      </c>
      <c r="D266" s="1062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53">
        <f t="shared" si="100"/>
        <v>0.42857142857142855</v>
      </c>
      <c r="J266" s="746">
        <f t="shared" si="101"/>
        <v>51.412137609400915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55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53">
        <f t="shared" si="105"/>
        <v>0.2857142857142857</v>
      </c>
      <c r="AT266" s="769">
        <f t="shared" si="106"/>
        <v>51.218027988555171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53">
        <f t="shared" si="110"/>
        <v>0.7857142857142857</v>
      </c>
      <c r="AY266" s="769">
        <f t="shared" si="111"/>
        <v>51.368119387022617</v>
      </c>
      <c r="AZ266" s="746">
        <f t="shared" si="115"/>
        <v>51.29307368778889</v>
      </c>
      <c r="BA266" s="643">
        <f t="shared" si="112"/>
        <v>0.95705602441555615</v>
      </c>
      <c r="BC266" s="11">
        <v>43352</v>
      </c>
      <c r="BD266" s="290">
        <f>[2]!FeuilCaduc*(1-Persistant)+Persistant</f>
        <v>0.97710985527977512</v>
      </c>
      <c r="BE266" s="291">
        <f>[2]!CroissVégét</f>
        <v>0.97708205248193514</v>
      </c>
      <c r="BF266" s="816">
        <f>1+[2]!Salcycl*Ksac</f>
        <v>1.0471387319099719</v>
      </c>
      <c r="BH266" s="1053">
        <f t="shared" si="113"/>
        <v>1.9535816730627358E-5</v>
      </c>
      <c r="BI266" s="11">
        <v>44448</v>
      </c>
      <c r="BJ266" s="726">
        <v>3.8766438473653242E-6</v>
      </c>
      <c r="BK266" s="726">
        <v>1.0477606051811343E-5</v>
      </c>
      <c r="BL266" s="726">
        <v>1.5512864665487586E-5</v>
      </c>
      <c r="BM266" s="726">
        <v>1.9546346899182772E-5</v>
      </c>
      <c r="BN266" s="726">
        <v>2.5788544385263448E-5</v>
      </c>
      <c r="BO266" s="727">
        <v>3.9573232334067724E-5</v>
      </c>
      <c r="BP266" s="726">
        <v>1.141153346480409E-4</v>
      </c>
      <c r="BQ266" s="726">
        <v>4.1705890121282116E-4</v>
      </c>
      <c r="BR266" s="726">
        <v>1.4661831875296678E-3</v>
      </c>
      <c r="BS266" s="726">
        <v>4.317095334060223E-3</v>
      </c>
      <c r="BT266" s="726">
        <v>8.8005881195219824E-3</v>
      </c>
      <c r="BW266" s="1186">
        <f>'2018'!R\Max</f>
        <v>0.68388469127881668</v>
      </c>
      <c r="BX266" s="1184">
        <f>'2019'!R\Max</f>
        <v>0.82295361283907742</v>
      </c>
      <c r="BY266" s="1184">
        <f>'2020'!R\Max</f>
        <v>0.95705602441555615</v>
      </c>
      <c r="BZ266" s="1184">
        <f>'2021'!R\Max</f>
        <v>0.36549630922836751</v>
      </c>
      <c r="CA266" s="1184">
        <f>'2022'!R\Max</f>
        <v>0.44730507871367015</v>
      </c>
      <c r="CB266" s="1184">
        <f>'2023'!R\Max</f>
        <v>0.44730395293097513</v>
      </c>
      <c r="CC266" s="1184">
        <f>'2024'!R\Max</f>
        <v>0.44729947473607612</v>
      </c>
      <c r="CD266" s="1184">
        <f>'2025'!R\Max</f>
        <v>0.44730669082285285</v>
      </c>
      <c r="CE266" s="1184">
        <f>'2026'!R\Max</f>
        <v>0.44730659654941712</v>
      </c>
      <c r="CF266" s="1185">
        <f>'2027'!R\Max</f>
        <v>0.44730639726295918</v>
      </c>
    </row>
    <row r="267" spans="1:84" s="6" customFormat="1" ht="11.25" x14ac:dyDescent="0.2">
      <c r="A267" s="11">
        <v>43353</v>
      </c>
      <c r="B267" s="380">
        <f>'2022'!Maxi_hp</f>
        <v>48.586768341384165</v>
      </c>
      <c r="C267" s="13">
        <f>'2022'!An_max</f>
        <v>2022</v>
      </c>
      <c r="D267" s="1062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53">
        <f t="shared" si="100"/>
        <v>0.5</v>
      </c>
      <c r="J267" s="746">
        <f t="shared" si="101"/>
        <v>51.137650001049039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55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53">
        <f t="shared" si="105"/>
        <v>0.25</v>
      </c>
      <c r="AT267" s="769">
        <f t="shared" si="106"/>
        <v>50.966567187570035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53">
        <f t="shared" si="110"/>
        <v>0.75</v>
      </c>
      <c r="AY267" s="769">
        <f t="shared" si="111"/>
        <v>51.085481249541047</v>
      </c>
      <c r="AZ267" s="746">
        <f t="shared" si="115"/>
        <v>51.026024218555541</v>
      </c>
      <c r="BA267" s="643">
        <f t="shared" si="112"/>
        <v>0.95011734681565252</v>
      </c>
      <c r="BC267" s="11">
        <v>43353</v>
      </c>
      <c r="BD267" s="290">
        <f>[2]!FeuilCaduc*(1-Persistant)+Persistant</f>
        <v>0.97580598557900677</v>
      </c>
      <c r="BE267" s="291">
        <f>[2]!CroissVégét</f>
        <v>0.97799726049726488</v>
      </c>
      <c r="BF267" s="816">
        <f>1+[2]!Salcycl*Ksac</f>
        <v>1.0469757481973758</v>
      </c>
      <c r="BH267" s="1053">
        <f t="shared" si="113"/>
        <v>1.551892584614157E-5</v>
      </c>
      <c r="BI267" s="11">
        <v>44449</v>
      </c>
      <c r="BJ267" s="726">
        <v>3.4508627095375618E-6</v>
      </c>
      <c r="BK267" s="726">
        <v>8.4657717393846584E-6</v>
      </c>
      <c r="BL267" s="726">
        <v>1.2288828268842697E-5</v>
      </c>
      <c r="BM267" s="726">
        <v>1.5527380700037079E-5</v>
      </c>
      <c r="BN267" s="726">
        <v>2.1345975600250528E-5</v>
      </c>
      <c r="BO267" s="727">
        <v>3.6193681017688257E-5</v>
      </c>
      <c r="BP267" s="726">
        <v>1.2238354386025918E-4</v>
      </c>
      <c r="BQ267" s="726">
        <v>4.7323248877756147E-4</v>
      </c>
      <c r="BR267" s="726">
        <v>1.6656823597471634E-3</v>
      </c>
      <c r="BS267" s="726">
        <v>4.8635240009163357E-3</v>
      </c>
      <c r="BT267" s="726">
        <v>9.8715923342437336E-3</v>
      </c>
      <c r="BW267" s="1186">
        <f>'2018'!R\Max</f>
        <v>0.78117618315050574</v>
      </c>
      <c r="BX267" s="1184">
        <f>'2019'!R\Max</f>
        <v>0.27863063763539048</v>
      </c>
      <c r="BY267" s="1184">
        <f>'2020'!R\Max</f>
        <v>0.49765401580947138</v>
      </c>
      <c r="BZ267" s="1184">
        <f>'2021'!R\Max</f>
        <v>0.81462992756734409</v>
      </c>
      <c r="CA267" s="1184">
        <f>'2022'!R\Max</f>
        <v>0.95011734681565252</v>
      </c>
      <c r="CB267" s="1184">
        <f>'2023'!R\Max</f>
        <v>0.95011709626650442</v>
      </c>
      <c r="CC267" s="1184">
        <f>'2024'!R\Max</f>
        <v>0.95011609729642499</v>
      </c>
      <c r="CD267" s="1184">
        <f>'2025'!R\Max</f>
        <v>0.95011769508389476</v>
      </c>
      <c r="CE267" s="1184">
        <f>'2026'!R\Max</f>
        <v>0.95011767816977832</v>
      </c>
      <c r="CF267" s="1185">
        <f>'2027'!R\Max</f>
        <v>0.95011763703510554</v>
      </c>
    </row>
    <row r="268" spans="1:84" s="6" customFormat="1" ht="11.25" x14ac:dyDescent="0.2">
      <c r="A268" s="11">
        <v>43354</v>
      </c>
      <c r="B268" s="380">
        <f>'2022'!Maxi_hp</f>
        <v>49.162761814775862</v>
      </c>
      <c r="C268" s="13">
        <f>'2022'!An_max</f>
        <v>2022</v>
      </c>
      <c r="D268" s="1062" t="str">
        <f t="shared" si="97"/>
        <v/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53">
        <f t="shared" si="100"/>
        <v>0.5714285714285714</v>
      </c>
      <c r="J268" s="746">
        <f t="shared" si="101"/>
        <v>50.858152187189887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55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53">
        <f t="shared" si="105"/>
        <v>0.21428571428571427</v>
      </c>
      <c r="AT268" s="769">
        <f t="shared" si="106"/>
        <v>50.711442675122193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53">
        <f t="shared" si="110"/>
        <v>0.7142857142857143</v>
      </c>
      <c r="AY268" s="769">
        <f t="shared" si="111"/>
        <v>50.797457142174245</v>
      </c>
      <c r="AZ268" s="746">
        <f t="shared" si="115"/>
        <v>50.754449908648219</v>
      </c>
      <c r="BA268" s="643">
        <f t="shared" si="112"/>
        <v>0.96666433404473828</v>
      </c>
      <c r="BC268" s="11">
        <v>43354</v>
      </c>
      <c r="BD268" s="290">
        <f>[2]!FeuilCaduc*(1-Persistant)+Persistant</f>
        <v>0.97444473245570595</v>
      </c>
      <c r="BE268" s="291">
        <f>[2]!CroissVégét</f>
        <v>0.97887723107993829</v>
      </c>
      <c r="BF268" s="816">
        <f>1+[2]!Salcycl*Ksac</f>
        <v>1.0468055915569632</v>
      </c>
      <c r="BH268" s="1053">
        <f t="shared" si="113"/>
        <v>1.2764479696562495E-5</v>
      </c>
      <c r="BI268" s="11">
        <v>44450</v>
      </c>
      <c r="BJ268" s="726">
        <v>3.0523653462772746E-6</v>
      </c>
      <c r="BK268" s="726">
        <v>6.9907455650007893E-6</v>
      </c>
      <c r="BL268" s="726">
        <v>1.0004592401358614E-5</v>
      </c>
      <c r="BM268" s="726">
        <v>1.2771703764347014E-5</v>
      </c>
      <c r="BN268" s="726">
        <v>1.8554087803202696E-5</v>
      </c>
      <c r="BO268" s="727">
        <v>3.5418236141320913E-5</v>
      </c>
      <c r="BP268" s="726">
        <v>1.3693147259579938E-4</v>
      </c>
      <c r="BQ268" s="726">
        <v>5.5530811806558608E-4</v>
      </c>
      <c r="BR268" s="726">
        <v>1.9169062943367658E-3</v>
      </c>
      <c r="BS268" s="726">
        <v>5.4830081824405567E-3</v>
      </c>
      <c r="BT268" s="726">
        <v>1.1019160094509773E-2</v>
      </c>
      <c r="BW268" s="1186">
        <f>'2018'!R\Max</f>
        <v>0.91732555342959032</v>
      </c>
      <c r="BX268" s="1184">
        <f>'2019'!R\Max</f>
        <v>0.90830189007405182</v>
      </c>
      <c r="BY268" s="1184">
        <f>'2020'!R\Max</f>
        <v>0.83180307593157743</v>
      </c>
      <c r="BZ268" s="1184">
        <f>'2021'!R\Max</f>
        <v>0.82795953291395807</v>
      </c>
      <c r="CA268" s="1184">
        <f>'2022'!R\Max</f>
        <v>0.96666433404473828</v>
      </c>
      <c r="CB268" s="1184">
        <f>'2023'!R\Max</f>
        <v>0.96666413258331241</v>
      </c>
      <c r="CC268" s="1184">
        <f>'2024'!R\Max</f>
        <v>0.96666331882990364</v>
      </c>
      <c r="CD268" s="1184">
        <f>'2025'!R\Max</f>
        <v>0.96666460948407651</v>
      </c>
      <c r="CE268" s="1184">
        <f>'2026'!R\Max</f>
        <v>0.96666459800863203</v>
      </c>
      <c r="CF268" s="1185">
        <f>'2027'!R\Max</f>
        <v>0.96666456621928498</v>
      </c>
    </row>
    <row r="269" spans="1:84" s="6" customFormat="1" ht="11.25" x14ac:dyDescent="0.2">
      <c r="A269" s="11">
        <v>43355</v>
      </c>
      <c r="B269" s="380">
        <f>'2022'!Maxi_hp</f>
        <v>50.761032411385656</v>
      </c>
      <c r="C269" s="13">
        <f>'2022'!An_max</f>
        <v>2019</v>
      </c>
      <c r="D269" s="1062">
        <f t="shared" si="97"/>
        <v>1.003696731989391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53">
        <f t="shared" si="100"/>
        <v>0.6428571428571429</v>
      </c>
      <c r="J269" s="746">
        <f t="shared" si="101"/>
        <v>50.574073615616989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55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53">
        <f t="shared" si="105"/>
        <v>0.17857142857142858</v>
      </c>
      <c r="AT269" s="769">
        <f t="shared" si="106"/>
        <v>50.452587349353628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53">
        <f t="shared" si="110"/>
        <v>0.6785714285714286</v>
      </c>
      <c r="AY269" s="769">
        <f t="shared" si="111"/>
        <v>50.504422831648426</v>
      </c>
      <c r="AZ269" s="746">
        <f t="shared" si="115"/>
        <v>50.478505090501031</v>
      </c>
      <c r="BA269" s="643">
        <f t="shared" si="112"/>
        <v>1.003696731989391</v>
      </c>
      <c r="BC269" s="11">
        <v>43355</v>
      </c>
      <c r="BD269" s="290">
        <f>[2]!FeuilCaduc*(1-Persistant)+Persistant</f>
        <v>0.9730238463676989</v>
      </c>
      <c r="BE269" s="291">
        <f>[2]!CroissVégét</f>
        <v>0.97972325984311226</v>
      </c>
      <c r="BF269" s="816">
        <f>1+[2]!Salcycl*Ksac</f>
        <v>1.0466279807959624</v>
      </c>
      <c r="BH269" s="1053">
        <f t="shared" si="113"/>
        <v>1.0366973395598764E-5</v>
      </c>
      <c r="BI269" s="11">
        <v>44451</v>
      </c>
      <c r="BJ269" s="726">
        <v>2.7037962606185266E-6</v>
      </c>
      <c r="BK269" s="726">
        <v>5.6969809494801983E-6</v>
      </c>
      <c r="BL269" s="726">
        <v>7.9993874867895784E-6</v>
      </c>
      <c r="BM269" s="726">
        <v>1.0373170605579271E-5</v>
      </c>
      <c r="BN269" s="726">
        <v>1.6300614013745847E-5</v>
      </c>
      <c r="BO269" s="727">
        <v>3.5850590542988449E-5</v>
      </c>
      <c r="BP269" s="726">
        <v>1.5549783225493185E-4</v>
      </c>
      <c r="BQ269" s="726">
        <v>6.5860398533661233E-4</v>
      </c>
      <c r="BR269" s="726">
        <v>2.2095306892306581E-3</v>
      </c>
      <c r="BS269" s="726">
        <v>6.1494982807745891E-3</v>
      </c>
      <c r="BT269" s="726">
        <v>1.2192428482840115E-2</v>
      </c>
      <c r="BW269" s="1186">
        <f>'2018'!R\Max</f>
        <v>0.57724190487199933</v>
      </c>
      <c r="BX269" s="1184">
        <f>'2019'!R\Max</f>
        <v>1.003696731989391</v>
      </c>
      <c r="BY269" s="1184">
        <f>'2020'!R\Max</f>
        <v>0.93796806317939219</v>
      </c>
      <c r="BZ269" s="1184">
        <f>'2021'!R\Max</f>
        <v>0.94382996911415118</v>
      </c>
      <c r="CA269" s="1184">
        <f>'2022'!R\Max</f>
        <v>0.68086889898966763</v>
      </c>
      <c r="CB269" s="1184">
        <f>'2023'!R\Max</f>
        <v>0.68086729124047296</v>
      </c>
      <c r="CC269" s="1184">
        <f>'2024'!R\Max</f>
        <v>0.68086066208851659</v>
      </c>
      <c r="CD269" s="1184">
        <f>'2025'!R\Max</f>
        <v>0.6808710767923094</v>
      </c>
      <c r="CE269" s="1184">
        <f>'2026'!R\Max</f>
        <v>0.68087099714363608</v>
      </c>
      <c r="CF269" s="1185">
        <f>'2027'!R\Max</f>
        <v>0.68087074826071181</v>
      </c>
    </row>
    <row r="270" spans="1:84" s="6" customFormat="1" ht="11.25" x14ac:dyDescent="0.2">
      <c r="A270" s="11">
        <v>43356</v>
      </c>
      <c r="B270" s="380">
        <f>'2022'!Maxi_hp</f>
        <v>48.245201516580117</v>
      </c>
      <c r="C270" s="13">
        <f>'2022'!An_max</f>
        <v>2020</v>
      </c>
      <c r="D270" s="1062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53">
        <f t="shared" si="100"/>
        <v>0.7142857142857143</v>
      </c>
      <c r="J270" s="746">
        <f t="shared" si="101"/>
        <v>50.285843731995143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55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53">
        <f t="shared" si="105"/>
        <v>0.14285714285714285</v>
      </c>
      <c r="AT270" s="769">
        <f t="shared" si="106"/>
        <v>50.189934110960792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53">
        <f t="shared" si="110"/>
        <v>0.6428571428571429</v>
      </c>
      <c r="AY270" s="769">
        <f t="shared" si="111"/>
        <v>50.206754081656356</v>
      </c>
      <c r="AZ270" s="746">
        <f t="shared" si="115"/>
        <v>50.198344096308574</v>
      </c>
      <c r="BA270" s="643">
        <f t="shared" si="112"/>
        <v>0.95941915131640443</v>
      </c>
      <c r="BC270" s="11">
        <v>43356</v>
      </c>
      <c r="BD270" s="290">
        <f>[2]!FeuilCaduc*(1-Persistant)+Persistant</f>
        <v>0.97154099632593671</v>
      </c>
      <c r="BE270" s="291">
        <f>[2]!CroissVégét</f>
        <v>0.98053659949953242</v>
      </c>
      <c r="BF270" s="816">
        <f>1+[2]!Salcycl*Ksac</f>
        <v>1.0464426245407421</v>
      </c>
      <c r="BH270" s="1053">
        <f t="shared" si="113"/>
        <v>8.3265635534291436E-6</v>
      </c>
      <c r="BI270" s="11">
        <v>44452</v>
      </c>
      <c r="BJ270" s="726">
        <v>2.4051771775848758E-6</v>
      </c>
      <c r="BK270" s="726">
        <v>4.5845552609243019E-6</v>
      </c>
      <c r="BL270" s="726">
        <v>6.2733320997647448E-6</v>
      </c>
      <c r="BM270" s="726">
        <v>8.3319379334715298E-6</v>
      </c>
      <c r="BN270" s="726">
        <v>1.4585830476946554E-5</v>
      </c>
      <c r="BO270" s="727">
        <v>3.7491524448208505E-5</v>
      </c>
      <c r="BP270" s="726">
        <v>1.7808572608119495E-4</v>
      </c>
      <c r="BQ270" s="726">
        <v>7.8313660511557769E-4</v>
      </c>
      <c r="BR270" s="726">
        <v>2.5435905824826343E-3</v>
      </c>
      <c r="BS270" s="726">
        <v>6.863044459844452E-3</v>
      </c>
      <c r="BT270" s="726">
        <v>1.3391450053465417E-2</v>
      </c>
      <c r="BW270" s="1186">
        <f>'2018'!R\Max</f>
        <v>0.48789276286937777</v>
      </c>
      <c r="BX270" s="1184">
        <f>'2019'!R\Max</f>
        <v>0.81692908838134948</v>
      </c>
      <c r="BY270" s="1184">
        <f>'2020'!R\Max</f>
        <v>0.95941915131640443</v>
      </c>
      <c r="BZ270" s="1184">
        <f>'2021'!R\Max</f>
        <v>0.70733589969730093</v>
      </c>
      <c r="CA270" s="1184">
        <f>'2022'!R\Max</f>
        <v>0.24283025788725118</v>
      </c>
      <c r="CB270" s="1184">
        <f>'2023'!R\Max</f>
        <v>0.24282877375794235</v>
      </c>
      <c r="CC270" s="1184">
        <f>'2024'!R\Max</f>
        <v>0.24282250779791251</v>
      </c>
      <c r="CD270" s="1184">
        <f>'2025'!R\Max</f>
        <v>0.24283225991679469</v>
      </c>
      <c r="CE270" s="1184">
        <f>'2026'!R\Max</f>
        <v>0.24283219389995248</v>
      </c>
      <c r="CF270" s="1185">
        <f>'2027'!R\Max</f>
        <v>0.2428319652285123</v>
      </c>
    </row>
    <row r="271" spans="1:84" s="6" customFormat="1" ht="11.25" x14ac:dyDescent="0.2">
      <c r="A271" s="11">
        <v>43357</v>
      </c>
      <c r="B271" s="380">
        <f>'2022'!Maxi_hp</f>
        <v>47.954871485084247</v>
      </c>
      <c r="C271" s="13">
        <f>'2022'!An_max</f>
        <v>2020</v>
      </c>
      <c r="D271" s="1062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53">
        <f t="shared" ref="I271:I334" si="119">($A271-H271)/(INDEX(x.2m,G271)-H271)</f>
        <v>0.7857142857142857</v>
      </c>
      <c r="J271" s="746">
        <f t="shared" ref="J271:J334" si="120">((1-I271)*(INDEX(a.m,F271)*$A271*$A271+INDEX(b.m,F271)*$A271+INDEX(c.m,F271))+I271*(INDEX(a.m,G271)*$A271*$A271+INDEX(b.m,G271)*$A271+INDEX(c.m,G271)))/10</f>
        <v>49.993891982627765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55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53">
        <f t="shared" ref="AS271:AS334" si="124">($A271-AR271)/(INDEX(x.2lg,AQ271)-AR271)</f>
        <v>0.10714285714285714</v>
      </c>
      <c r="AT271" s="769">
        <f t="shared" ref="AT271:AT334" si="125">((1-AS271)*(INDEX(a.lg,AP271)*$A271*$A271+INDEX(b.lg,AP271)*$A271+INDEX(c.lg,AP271))+AS271*(INDEX(a.lg,AQ271)*$A271*$A271+INDEX(b.lg,AQ271)*$A271+INDEX(c.lg,AQ271)))/10</f>
        <v>49.923415857646617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53">
        <f t="shared" ref="AX271:AX334" si="129">($A271-AW271)/(INDEX(x.2ld,AV271)-AW271)</f>
        <v>0.6071428571428571</v>
      </c>
      <c r="AY271" s="769">
        <f t="shared" ref="AY271:AY334" si="130">((1-AX271)*(INDEX(a.ld,AU271)*$A271*$A271+INDEX(b.ld,AU271)*$A271+INDEX(c.ld,AU271))+AX271*(INDEX(a.ld,AV271)*$A271*$A271+INDEX(b.ld,AV271)*$A271+INDEX(c.ld,AV271)))/10</f>
        <v>49.904826657859878</v>
      </c>
      <c r="AZ271" s="746">
        <f t="shared" si="115"/>
        <v>49.914121257753251</v>
      </c>
      <c r="BA271" s="643">
        <f t="shared" ref="BA271:BA334" si="131">+B271/J271</f>
        <v>0.95921460769143452</v>
      </c>
      <c r="BC271" s="11">
        <v>43357</v>
      </c>
      <c r="BD271" s="290">
        <f>[2]!FeuilCaduc*(1-Persistant)+Persistant</f>
        <v>0.96999377203723292</v>
      </c>
      <c r="BE271" s="291">
        <f>[2]!CroissVégét</f>
        <v>0.98131846090840358</v>
      </c>
      <c r="BF271" s="816">
        <f>1+[2]!Salcycl*Ksac</f>
        <v>1.0462492215046542</v>
      </c>
      <c r="BH271" s="1053">
        <f t="shared" ref="BH271:BH334" si="132">INDEX($BJ271:$BT271,,$BH$10)*(1-Ratini)+INDEX($BJ271:$BT271,,$BH$10+1)*Ratini</f>
        <v>6.6434266032986315E-6</v>
      </c>
      <c r="BI271" s="11">
        <v>44453</v>
      </c>
      <c r="BJ271" s="726">
        <v>2.1565325851245854E-6</v>
      </c>
      <c r="BK271" s="726">
        <v>3.6535558818003669E-6</v>
      </c>
      <c r="BL271" s="726">
        <v>4.826560222160176E-6</v>
      </c>
      <c r="BM271" s="726">
        <v>6.6481822923862139E-6</v>
      </c>
      <c r="BN271" s="726">
        <v>1.3410044266222797E-5</v>
      </c>
      <c r="BO271" s="727">
        <v>4.0341890972628838E-5</v>
      </c>
      <c r="BP271" s="726">
        <v>2.0469851145641808E-4</v>
      </c>
      <c r="BQ271" s="726">
        <v>9.2892383765424914E-4</v>
      </c>
      <c r="BR271" s="726">
        <v>2.919123698955855E-3</v>
      </c>
      <c r="BS271" s="726">
        <v>7.6237001589479726E-3</v>
      </c>
      <c r="BT271" s="726">
        <v>1.4616279695379741E-2</v>
      </c>
      <c r="BW271" s="1186">
        <f>'2018'!R\Max</f>
        <v>0.63545524313626045</v>
      </c>
      <c r="BX271" s="1184">
        <f>'2019'!R\Max</f>
        <v>0.83029149982326667</v>
      </c>
      <c r="BY271" s="1184">
        <f>'2020'!R\Max</f>
        <v>0.95921460769143452</v>
      </c>
      <c r="BZ271" s="1184">
        <f>'2021'!R\Max</f>
        <v>0.40732091610965104</v>
      </c>
      <c r="CA271" s="1184">
        <f>'2022'!R\Max</f>
        <v>0.81060838922934053</v>
      </c>
      <c r="CB271" s="1184">
        <f>'2023'!R\Max</f>
        <v>0.81060681560818781</v>
      </c>
      <c r="CC271" s="1184">
        <f>'2024'!R\Max</f>
        <v>0.81060000950691169</v>
      </c>
      <c r="CD271" s="1184">
        <f>'2025'!R\Max</f>
        <v>0.81061051044785759</v>
      </c>
      <c r="CE271" s="1184">
        <f>'2026'!R\Max</f>
        <v>0.81061044570811391</v>
      </c>
      <c r="CF271" s="1185">
        <f>'2027'!R\Max</f>
        <v>0.81061020212269586</v>
      </c>
    </row>
    <row r="272" spans="1:84" s="6" customFormat="1" ht="11.25" x14ac:dyDescent="0.2">
      <c r="A272" s="11">
        <v>43358</v>
      </c>
      <c r="B272" s="380">
        <f>'2022'!Maxi_hp</f>
        <v>48.916978336718785</v>
      </c>
      <c r="C272" s="13">
        <f>'2022'!An_max</f>
        <v>2020</v>
      </c>
      <c r="D272" s="1062">
        <f t="shared" si="116"/>
        <v>0.98427181600959701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53">
        <f t="shared" si="119"/>
        <v>0.8571428571428571</v>
      </c>
      <c r="J272" s="746">
        <f t="shared" si="120"/>
        <v>49.698647813605412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55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53">
        <f t="shared" si="124"/>
        <v>7.1428571428571425E-2</v>
      </c>
      <c r="AT272" s="769">
        <f t="shared" si="125"/>
        <v>49.652965488524309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53">
        <f t="shared" si="129"/>
        <v>0.5714285714285714</v>
      </c>
      <c r="AY272" s="769">
        <f t="shared" si="130"/>
        <v>49.599016326506224</v>
      </c>
      <c r="AZ272" s="746">
        <f t="shared" ref="AZ272:AZ335" si="134">(AY272+AT272)/2</f>
        <v>49.625990907515266</v>
      </c>
      <c r="BA272" s="643">
        <f t="shared" si="131"/>
        <v>0.98427181600959701</v>
      </c>
      <c r="BC272" s="11">
        <v>43358</v>
      </c>
      <c r="BD272" s="290">
        <f>[2]!FeuilCaduc*(1-Persistant)+Persistant</f>
        <v>0.9683796872779693</v>
      </c>
      <c r="BE272" s="291">
        <f>[2]!CroissVégét</f>
        <v>0.98207001412819972</v>
      </c>
      <c r="BF272" s="816">
        <f>1+[2]!Salcycl*Ksac</f>
        <v>1.0460474609097461</v>
      </c>
      <c r="BH272" s="1053">
        <f t="shared" si="132"/>
        <v>5.3177594317553163E-6</v>
      </c>
      <c r="BI272" s="11">
        <v>44454</v>
      </c>
      <c r="BJ272" s="726">
        <v>1.9578898222446977E-6</v>
      </c>
      <c r="BK272" s="726">
        <v>2.904080529032398E-6</v>
      </c>
      <c r="BL272" s="726">
        <v>3.6592217358706942E-6</v>
      </c>
      <c r="BM272" s="726">
        <v>5.3221006919071608E-6</v>
      </c>
      <c r="BN272" s="726">
        <v>1.2773594233014806E-5</v>
      </c>
      <c r="BO272" s="727">
        <v>4.4402618248484931E-5</v>
      </c>
      <c r="BP272" s="726">
        <v>2.3533980696245049E-4</v>
      </c>
      <c r="BQ272" s="726">
        <v>1.0959849262226966E-3</v>
      </c>
      <c r="BR272" s="726">
        <v>3.336170522989517E-3</v>
      </c>
      <c r="BS272" s="726">
        <v>8.4315221749287506E-3</v>
      </c>
      <c r="BT272" s="726">
        <v>1.5866974676466732E-2</v>
      </c>
      <c r="BW272" s="1186">
        <f>'2018'!R\Max</f>
        <v>0.78699858288448288</v>
      </c>
      <c r="BX272" s="1184">
        <f>'2019'!R\Max</f>
        <v>0.87377268963612176</v>
      </c>
      <c r="BY272" s="1184">
        <f>'2020'!R\Max</f>
        <v>0.98427181600959701</v>
      </c>
      <c r="BZ272" s="1184">
        <f>'2021'!R\Max</f>
        <v>0.66337228930109116</v>
      </c>
      <c r="CA272" s="1184">
        <f>'2022'!R\Max</f>
        <v>0.89576883758750947</v>
      </c>
      <c r="CB272" s="1184">
        <f>'2023'!R\Max</f>
        <v>0.89576772104429103</v>
      </c>
      <c r="CC272" s="1184">
        <f>'2024'!R\Max</f>
        <v>0.8957627787291601</v>
      </c>
      <c r="CD272" s="1184">
        <f>'2025'!R\Max</f>
        <v>0.89577034493012009</v>
      </c>
      <c r="CE272" s="1184">
        <f>'2026'!R\Max</f>
        <v>0.89577030135716496</v>
      </c>
      <c r="CF272" s="1185">
        <f>'2027'!R\Max</f>
        <v>0.89577012674347767</v>
      </c>
    </row>
    <row r="273" spans="1:84" s="6" customFormat="1" ht="11.25" x14ac:dyDescent="0.2">
      <c r="A273" s="11">
        <v>43359</v>
      </c>
      <c r="B273" s="380">
        <f>'2022'!Maxi_hp</f>
        <v>46.225866499783969</v>
      </c>
      <c r="C273" s="13">
        <f>'2022'!An_max</f>
        <v>2018</v>
      </c>
      <c r="D273" s="1062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53">
        <f t="shared" si="119"/>
        <v>0.9285714285714286</v>
      </c>
      <c r="J273" s="746">
        <f t="shared" si="120"/>
        <v>49.400540670805746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55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53">
        <f t="shared" si="124"/>
        <v>3.5714285714285712E-2</v>
      </c>
      <c r="AT273" s="769">
        <f t="shared" si="125"/>
        <v>49.378515903159446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53">
        <f t="shared" si="129"/>
        <v>0.5357142857142857</v>
      </c>
      <c r="AY273" s="769">
        <f t="shared" si="130"/>
        <v>49.289698851607476</v>
      </c>
      <c r="AZ273" s="746">
        <f t="shared" si="134"/>
        <v>49.334107377383461</v>
      </c>
      <c r="BA273" s="643">
        <f t="shared" si="131"/>
        <v>0.9357360440207102</v>
      </c>
      <c r="BC273" s="11">
        <v>43359</v>
      </c>
      <c r="BD273" s="290">
        <f>[2]!FeuilCaduc*(1-Persistant)+Persistant</f>
        <v>0.9666961845742561</v>
      </c>
      <c r="BE273" s="291">
        <f>[2]!CroissVégét</f>
        <v>0.98279238947199099</v>
      </c>
      <c r="BF273" s="816">
        <f>1+[2]!Salcycl*Ksac</f>
        <v>1.0458370230717819</v>
      </c>
      <c r="BH273" s="1053">
        <f t="shared" si="132"/>
        <v>4.349780008997968E-6</v>
      </c>
      <c r="BI273" s="11">
        <v>44455</v>
      </c>
      <c r="BJ273" s="726">
        <v>1.8092791671728264E-6</v>
      </c>
      <c r="BK273" s="726">
        <v>2.3362375741533137E-6</v>
      </c>
      <c r="BL273" s="726">
        <v>2.7714829156688346E-6</v>
      </c>
      <c r="BM273" s="726">
        <v>4.353911237547096E-6</v>
      </c>
      <c r="BN273" s="726">
        <v>1.2676851956612349E-5</v>
      </c>
      <c r="BO273" s="727">
        <v>4.9674711551333621E-5</v>
      </c>
      <c r="BP273" s="726">
        <v>2.7001349944394469E-4</v>
      </c>
      <c r="BQ273" s="726">
        <v>1.2843405344047096E-3</v>
      </c>
      <c r="BR273" s="726">
        <v>3.7947743710809814E-3</v>
      </c>
      <c r="BS273" s="726">
        <v>9.286570744398627E-3</v>
      </c>
      <c r="BT273" s="726">
        <v>1.7143594687727432E-2</v>
      </c>
      <c r="BW273" s="1186">
        <f>'2018'!R\Max</f>
        <v>0.9357360440207102</v>
      </c>
      <c r="BX273" s="1184">
        <f>'2019'!R\Max</f>
        <v>0.89460491159702749</v>
      </c>
      <c r="BY273" s="1184">
        <f>'2020'!R\Max</f>
        <v>0.82811411523383494</v>
      </c>
      <c r="BZ273" s="1184">
        <f>'2021'!R\Max</f>
        <v>0.42710455738625575</v>
      </c>
      <c r="CA273" s="1184">
        <f>'2022'!R\Max</f>
        <v>0.60005725068165161</v>
      </c>
      <c r="CB273" s="1184">
        <f>'2023'!R\Max</f>
        <v>0.60005392462735352</v>
      </c>
      <c r="CC273" s="1184">
        <f>'2024'!R\Max</f>
        <v>0.60003888165946828</v>
      </c>
      <c r="CD273" s="1184">
        <f>'2025'!R\Max</f>
        <v>0.60006175380241777</v>
      </c>
      <c r="CE273" s="1184">
        <f>'2026'!R\Max</f>
        <v>0.60006162816802278</v>
      </c>
      <c r="CF273" s="1185">
        <f>'2027'!R\Max</f>
        <v>0.60006110102707511</v>
      </c>
    </row>
    <row r="274" spans="1:84" s="6" customFormat="1" ht="11.25" x14ac:dyDescent="0.2">
      <c r="A274" s="11">
        <v>43360</v>
      </c>
      <c r="B274" s="380">
        <f>'2022'!Maxi_hp</f>
        <v>51.268544724739883</v>
      </c>
      <c r="C274" s="13">
        <f>'2022'!An_max</f>
        <v>2022</v>
      </c>
      <c r="D274" s="1062">
        <f t="shared" si="116"/>
        <v>1.0441658803409344</v>
      </c>
      <c r="E274" s="1057">
        <f>AF$13/10</f>
        <v>49.1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53">
        <f t="shared" si="119"/>
        <v>1</v>
      </c>
      <c r="J274" s="746">
        <f t="shared" si="120"/>
        <v>49.1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55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53">
        <f t="shared" si="124"/>
        <v>0</v>
      </c>
      <c r="AT274" s="769">
        <f t="shared" si="125"/>
        <v>49.1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53">
        <f t="shared" si="129"/>
        <v>0.5</v>
      </c>
      <c r="AY274" s="769">
        <f t="shared" si="130"/>
        <v>48.977249999716875</v>
      </c>
      <c r="AZ274" s="746">
        <f t="shared" si="134"/>
        <v>49.038624999858442</v>
      </c>
      <c r="BA274" s="643">
        <f t="shared" si="131"/>
        <v>1.0441658803409344</v>
      </c>
      <c r="BC274" s="11">
        <v>43360</v>
      </c>
      <c r="BD274" s="290">
        <f>[2]!FeuilCaduc*(1-Persistant)+Persistant</f>
        <v>0.96494064125016266</v>
      </c>
      <c r="BE274" s="291">
        <f>[2]!CroissVégét</f>
        <v>0.98348667856218763</v>
      </c>
      <c r="BF274" s="816">
        <f>1+[2]!Salcycl*Ksac</f>
        <v>1.0456175801562704</v>
      </c>
      <c r="BH274" s="1053">
        <f t="shared" si="132"/>
        <v>3.7397280192448218E-6</v>
      </c>
      <c r="BI274" s="11">
        <v>44456</v>
      </c>
      <c r="BJ274" s="726">
        <v>1.7107339255382021E-6</v>
      </c>
      <c r="BK274" s="726">
        <v>1.9501463634680936E-6</v>
      </c>
      <c r="BL274" s="726">
        <v>2.1635269220690304E-6</v>
      </c>
      <c r="BM274" s="726">
        <v>3.7438537614763325E-6</v>
      </c>
      <c r="BN274" s="726">
        <v>1.3120222694126499E-5</v>
      </c>
      <c r="BO274" s="727">
        <v>5.6159255427517017E-5</v>
      </c>
      <c r="BP274" s="726">
        <v>3.0872375107536879E-4</v>
      </c>
      <c r="BQ274" s="726">
        <v>1.4940127834136953E-3</v>
      </c>
      <c r="BR274" s="726">
        <v>4.2949814646275264E-3</v>
      </c>
      <c r="BS274" s="726">
        <v>1.0188909626103367E-2</v>
      </c>
      <c r="BT274" s="726">
        <v>1.8446201887769378E-2</v>
      </c>
      <c r="BW274" s="1186">
        <f>'2018'!R\Max</f>
        <v>0.89467950299651533</v>
      </c>
      <c r="BX274" s="1184">
        <f>'2019'!R\Max</f>
        <v>0.87830709631212034</v>
      </c>
      <c r="BY274" s="1184">
        <f>'2020'!R\Max</f>
        <v>0.87467421750872887</v>
      </c>
      <c r="BZ274" s="1184">
        <f>'2021'!R\Max</f>
        <v>0.93663082110990759</v>
      </c>
      <c r="CA274" s="1184">
        <f>'2022'!R\Max</f>
        <v>1.0441658803409344</v>
      </c>
      <c r="CB274" s="1184">
        <f>'2023'!R\Max</f>
        <v>1.0441658803409342</v>
      </c>
      <c r="CC274" s="1184">
        <f>'2024'!R\Max</f>
        <v>1.0441658803409344</v>
      </c>
      <c r="CD274" s="1184">
        <f>'2025'!R\Max</f>
        <v>1.0441658803409344</v>
      </c>
      <c r="CE274" s="1184">
        <f>'2026'!R\Max</f>
        <v>1.0441658803409344</v>
      </c>
      <c r="CF274" s="1185">
        <f>'2027'!R\Max</f>
        <v>1.0441658803409344</v>
      </c>
    </row>
    <row r="275" spans="1:84" s="6" customFormat="1" ht="11.25" x14ac:dyDescent="0.2">
      <c r="A275" s="11">
        <v>43361</v>
      </c>
      <c r="B275" s="380">
        <f>'2022'!Maxi_hp</f>
        <v>49.573640129498486</v>
      </c>
      <c r="C275" s="13">
        <f>'2022'!An_max</f>
        <v>2022</v>
      </c>
      <c r="D275" s="1062">
        <f t="shared" si="116"/>
        <v>1.0159673549059567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53">
        <f t="shared" si="119"/>
        <v>0.9285714285714286</v>
      </c>
      <c r="J275" s="746">
        <f t="shared" si="120"/>
        <v>48.794520700015291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55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53">
        <f t="shared" si="124"/>
        <v>3.5714285714285712E-2</v>
      </c>
      <c r="AT275" s="769">
        <f t="shared" si="125"/>
        <v>48.815742493124816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53">
        <f t="shared" si="129"/>
        <v>0.4642857142857143</v>
      </c>
      <c r="AY275" s="769">
        <f t="shared" si="130"/>
        <v>48.662045535405298</v>
      </c>
      <c r="AZ275" s="746">
        <f t="shared" si="134"/>
        <v>48.738894014265057</v>
      </c>
      <c r="BA275" s="643">
        <f t="shared" si="131"/>
        <v>1.0159673549059567</v>
      </c>
      <c r="BC275" s="11">
        <v>43361</v>
      </c>
      <c r="BD275" s="290">
        <f>[2]!FeuilCaduc*(1-Persistant)+Persistant</f>
        <v>0.96311037689069634</v>
      </c>
      <c r="BE275" s="291">
        <f>[2]!CroissVégét</f>
        <v>0.98415393538190332</v>
      </c>
      <c r="BF275" s="816">
        <f>1+[2]!Salcycl*Ksac</f>
        <v>1.0453887971113371</v>
      </c>
      <c r="BH275" s="1053">
        <f t="shared" si="132"/>
        <v>3.4878654909532484E-6</v>
      </c>
      <c r="BI275" s="11">
        <v>44457</v>
      </c>
      <c r="BJ275" s="726">
        <v>1.6622905184947984E-6</v>
      </c>
      <c r="BK275" s="726">
        <v>1.7459375381351323E-6</v>
      </c>
      <c r="BL275" s="726">
        <v>1.8355542940907025E-6</v>
      </c>
      <c r="BM275" s="726">
        <v>3.492190453102246E-6</v>
      </c>
      <c r="BN275" s="726">
        <v>1.4104146330088535E-5</v>
      </c>
      <c r="BO275" s="727">
        <v>6.3857415820297637E-5</v>
      </c>
      <c r="BP275" s="726">
        <v>3.5147500642088543E-4</v>
      </c>
      <c r="BQ275" s="726">
        <v>1.7250252893753874E-3</v>
      </c>
      <c r="BR275" s="726">
        <v>4.8368410025665508E-3</v>
      </c>
      <c r="BS275" s="726">
        <v>1.1138606183030518E-2</v>
      </c>
      <c r="BT275" s="726">
        <v>1.9774860946809292E-2</v>
      </c>
      <c r="BW275" s="1186">
        <f>'2018'!R\Max</f>
        <v>0.86553845179039279</v>
      </c>
      <c r="BX275" s="1184">
        <f>'2019'!R\Max</f>
        <v>0.57878726378843814</v>
      </c>
      <c r="BY275" s="1184">
        <f>'2020'!R\Max</f>
        <v>0.89404523392292523</v>
      </c>
      <c r="BZ275" s="1184">
        <f>'2021'!R\Max</f>
        <v>0.1957449323088587</v>
      </c>
      <c r="CA275" s="1184">
        <f>'2022'!R\Max</f>
        <v>1.0159673549059567</v>
      </c>
      <c r="CB275" s="1184">
        <f>'2023'!R\Max</f>
        <v>1.0159673549059567</v>
      </c>
      <c r="CC275" s="1184">
        <f>'2024'!R\Max</f>
        <v>1.0159673549059567</v>
      </c>
      <c r="CD275" s="1184">
        <f>'2025'!R\Max</f>
        <v>1.0159673549059569</v>
      </c>
      <c r="CE275" s="1184">
        <f>'2026'!R\Max</f>
        <v>1.0159673549059565</v>
      </c>
      <c r="CF275" s="1185">
        <f>'2027'!R\Max</f>
        <v>1.0159673549059565</v>
      </c>
    </row>
    <row r="276" spans="1:84" s="6" customFormat="1" ht="11.25" x14ac:dyDescent="0.2">
      <c r="A276" s="11">
        <v>43362</v>
      </c>
      <c r="B276" s="380">
        <f>'2022'!Maxi_hp</f>
        <v>48.300652137662098</v>
      </c>
      <c r="C276" s="13">
        <f>'2022'!An_max</f>
        <v>2022</v>
      </c>
      <c r="D276" s="1062">
        <f t="shared" si="116"/>
        <v>0.99626186500506086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53">
        <f t="shared" si="119"/>
        <v>0.8571428571428571</v>
      </c>
      <c r="J276" s="746">
        <f t="shared" si="120"/>
        <v>48.481883964731239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55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53">
        <f t="shared" si="124"/>
        <v>7.1428571428571425E-2</v>
      </c>
      <c r="AT276" s="769">
        <f t="shared" si="125"/>
        <v>48.524399125436325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53">
        <f t="shared" si="129"/>
        <v>0.42857142857142855</v>
      </c>
      <c r="AY276" s="769">
        <f t="shared" si="130"/>
        <v>48.344461224441019</v>
      </c>
      <c r="AZ276" s="746">
        <f t="shared" si="134"/>
        <v>48.434430174938669</v>
      </c>
      <c r="BA276" s="643">
        <f t="shared" si="131"/>
        <v>0.99626186500506086</v>
      </c>
      <c r="BC276" s="11">
        <v>43362</v>
      </c>
      <c r="BD276" s="290">
        <f>[2]!FeuilCaduc*(1-Persistant)+Persistant</f>
        <v>0.96120266225036788</v>
      </c>
      <c r="BE276" s="291">
        <f>[2]!CroissVégét</f>
        <v>0.98479517732042654</v>
      </c>
      <c r="BF276" s="816">
        <f>1+[2]!Salcycl*Ksac</f>
        <v>1.0451503327812959</v>
      </c>
      <c r="BH276" s="1053">
        <f t="shared" si="132"/>
        <v>3.577208090736375E-6</v>
      </c>
      <c r="BI276" s="11">
        <v>44458</v>
      </c>
      <c r="BJ276" s="726">
        <v>1.6556844846510925E-6</v>
      </c>
      <c r="BK276" s="726">
        <v>1.7154492680793485E-6</v>
      </c>
      <c r="BL276" s="726">
        <v>1.7794793558727567E-6</v>
      </c>
      <c r="BM276" s="726">
        <v>3.5819136865994391E-6</v>
      </c>
      <c r="BN276" s="726">
        <v>1.554860845792673E-5</v>
      </c>
      <c r="BO276" s="727">
        <v>7.9853446401517377E-5</v>
      </c>
      <c r="BP276" s="726">
        <v>4.1260112700188022E-4</v>
      </c>
      <c r="BQ276" s="726">
        <v>1.9950372799102836E-3</v>
      </c>
      <c r="BR276" s="726">
        <v>5.421847873151372E-3</v>
      </c>
      <c r="BS276" s="726">
        <v>1.21084042793465E-2</v>
      </c>
      <c r="BT276" s="726">
        <v>2.1065032717426119E-2</v>
      </c>
      <c r="BW276" s="1186">
        <f>'2018'!R\Max</f>
        <v>0.76504159211664258</v>
      </c>
      <c r="BX276" s="1184">
        <f>'2019'!R\Max</f>
        <v>0.87483784346870441</v>
      </c>
      <c r="BY276" s="1184">
        <f>'2020'!R\Max</f>
        <v>0.4367117386845093</v>
      </c>
      <c r="BZ276" s="1184">
        <f>'2021'!R\Max</f>
        <v>0.76091788338797683</v>
      </c>
      <c r="CA276" s="1184">
        <f>'2022'!R\Max</f>
        <v>0.99626186500506086</v>
      </c>
      <c r="CB276" s="1184">
        <f>'2023'!R\Max</f>
        <v>0.9962617860327001</v>
      </c>
      <c r="CC276" s="1184">
        <f>'2024'!R\Max</f>
        <v>0.99626141649421684</v>
      </c>
      <c r="CD276" s="1184">
        <f>'2025'!R\Max</f>
        <v>0.99626197592385912</v>
      </c>
      <c r="CE276" s="1184">
        <f>'2026'!R\Max</f>
        <v>0.99626197308391318</v>
      </c>
      <c r="CF276" s="1185">
        <f>'2027'!R\Max</f>
        <v>0.99626195869745415</v>
      </c>
    </row>
    <row r="277" spans="1:84" s="6" customFormat="1" ht="11.25" x14ac:dyDescent="0.2">
      <c r="A277" s="11">
        <v>43363</v>
      </c>
      <c r="B277" s="380">
        <f>'2022'!Maxi_hp</f>
        <v>49.76167637486936</v>
      </c>
      <c r="C277" s="13">
        <f>'2022'!An_max</f>
        <v>2022</v>
      </c>
      <c r="D277" s="1062">
        <f t="shared" si="116"/>
        <v>1.0331941405201954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53">
        <f t="shared" si="119"/>
        <v>0.7857142857142857</v>
      </c>
      <c r="J277" s="746">
        <f t="shared" si="120"/>
        <v>48.162948688244796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55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53">
        <f t="shared" si="124"/>
        <v>0.10714285714285714</v>
      </c>
      <c r="AT277" s="769">
        <f t="shared" si="125"/>
        <v>48.22639934444534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53">
        <f t="shared" si="129"/>
        <v>0.39285714285714285</v>
      </c>
      <c r="AY277" s="769">
        <f t="shared" si="130"/>
        <v>48.024872831534594</v>
      </c>
      <c r="AZ277" s="746">
        <f t="shared" si="134"/>
        <v>48.125636087989967</v>
      </c>
      <c r="BA277" s="643">
        <f t="shared" si="131"/>
        <v>1.0331941405201954</v>
      </c>
      <c r="BC277" s="11">
        <v>43363</v>
      </c>
      <c r="BD277" s="290">
        <f>[2]!FeuilCaduc*(1-Persistant)+Persistant</f>
        <v>0.95921472962157506</v>
      </c>
      <c r="BE277" s="291">
        <f>[2]!CroissVégét</f>
        <v>0.98541138621054403</v>
      </c>
      <c r="BF277" s="816">
        <f>1+[2]!Salcycl*Ksac</f>
        <v>1.0449018412026969</v>
      </c>
      <c r="BH277" s="1053">
        <f t="shared" si="132"/>
        <v>3.6755131253919199E-6</v>
      </c>
      <c r="BI277" s="11">
        <v>44459</v>
      </c>
      <c r="BJ277" s="726">
        <v>1.6476164136070419E-6</v>
      </c>
      <c r="BK277" s="726">
        <v>1.6874713225020012E-6</v>
      </c>
      <c r="BL277" s="726">
        <v>1.7301706040714879E-6</v>
      </c>
      <c r="BM277" s="726">
        <v>3.6806051036993489E-6</v>
      </c>
      <c r="BN277" s="726">
        <v>1.7014159654940225E-5</v>
      </c>
      <c r="BO277" s="727">
        <v>1.0342299413195226E-4</v>
      </c>
      <c r="BP277" s="726">
        <v>4.8998061334588872E-4</v>
      </c>
      <c r="BQ277" s="726">
        <v>2.2974551921998328E-3</v>
      </c>
      <c r="BR277" s="726">
        <v>6.0321589219531867E-3</v>
      </c>
      <c r="BS277" s="726">
        <v>1.3065444684447433E-2</v>
      </c>
      <c r="BT277" s="726">
        <v>2.2267067389348777E-2</v>
      </c>
      <c r="BW277" s="1186">
        <f>'2018'!R\Max</f>
        <v>0.9299699105760213</v>
      </c>
      <c r="BX277" s="1184">
        <f>'2019'!R\Max</f>
        <v>1.0000234309450107</v>
      </c>
      <c r="BY277" s="1184">
        <f>'2020'!R\Max</f>
        <v>0.71700034435010962</v>
      </c>
      <c r="BZ277" s="1184">
        <f>'2021'!R\Max</f>
        <v>0.67685295597622397</v>
      </c>
      <c r="CA277" s="1184">
        <f>'2022'!R\Max</f>
        <v>1.0331941405201954</v>
      </c>
      <c r="CB277" s="1184">
        <f>'2023'!R\Max</f>
        <v>1.033194140520195</v>
      </c>
      <c r="CC277" s="1184">
        <f>'2024'!R\Max</f>
        <v>1.033194140520195</v>
      </c>
      <c r="CD277" s="1184">
        <f>'2025'!R\Max</f>
        <v>1.0331941405201952</v>
      </c>
      <c r="CE277" s="1184">
        <f>'2026'!R\Max</f>
        <v>1.033194140520195</v>
      </c>
      <c r="CF277" s="1185">
        <f>'2027'!R\Max</f>
        <v>1.0331941405201952</v>
      </c>
    </row>
    <row r="278" spans="1:84" s="6" customFormat="1" ht="11.25" x14ac:dyDescent="0.2">
      <c r="A278" s="11">
        <v>43364</v>
      </c>
      <c r="B278" s="380">
        <f>'2022'!Maxi_hp</f>
        <v>48.553663283529339</v>
      </c>
      <c r="C278" s="13">
        <f>'2022'!An_max</f>
        <v>2022</v>
      </c>
      <c r="D278" s="1062">
        <f t="shared" si="116"/>
        <v>1.014947969107177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53">
        <f t="shared" si="119"/>
        <v>0.7142857142857143</v>
      </c>
      <c r="J278" s="746">
        <f t="shared" si="120"/>
        <v>47.838573760821177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55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53">
        <f t="shared" si="124"/>
        <v>0.14285714285714285</v>
      </c>
      <c r="AT278" s="769">
        <f t="shared" si="125"/>
        <v>47.922172594802191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53">
        <f t="shared" si="129"/>
        <v>0.35714285714285715</v>
      </c>
      <c r="AY278" s="769">
        <f t="shared" si="130"/>
        <v>47.703656122287995</v>
      </c>
      <c r="AZ278" s="746">
        <f t="shared" si="134"/>
        <v>47.812914358545093</v>
      </c>
      <c r="BA278" s="643">
        <f t="shared" si="131"/>
        <v>1.014947969107177</v>
      </c>
      <c r="BC278" s="11">
        <v>43364</v>
      </c>
      <c r="BD278" s="290">
        <f>[2]!FeuilCaduc*(1-Persistant)+Persistant</f>
        <v>0.95714378465986294</v>
      </c>
      <c r="BE278" s="291">
        <f>[2]!CroissVégét</f>
        <v>0.98600350935571934</v>
      </c>
      <c r="BF278" s="816">
        <f>1+[2]!Salcycl*Ksac</f>
        <v>1.0446429730824829</v>
      </c>
      <c r="BH278" s="1053">
        <f t="shared" si="132"/>
        <v>3.7827923442664518E-6</v>
      </c>
      <c r="BI278" s="11">
        <v>44460</v>
      </c>
      <c r="BJ278" s="726">
        <v>1.6380850039938622E-6</v>
      </c>
      <c r="BK278" s="726">
        <v>1.6620052525619032E-6</v>
      </c>
      <c r="BL278" s="726">
        <v>1.6876326459530365E-6</v>
      </c>
      <c r="BM278" s="726">
        <v>3.7882764724431033E-6</v>
      </c>
      <c r="BN278" s="726">
        <v>1.850086983862954E-5</v>
      </c>
      <c r="BO278" s="727">
        <v>1.3457354395256927E-4</v>
      </c>
      <c r="BP278" s="726">
        <v>5.8363045998525379E-4</v>
      </c>
      <c r="BQ278" s="726">
        <v>2.6323180328424317E-3</v>
      </c>
      <c r="BR278" s="726">
        <v>6.6678176877107802E-3</v>
      </c>
      <c r="BS278" s="726">
        <v>1.4009749939059537E-2</v>
      </c>
      <c r="BT278" s="726">
        <v>2.3380930520237594E-2</v>
      </c>
      <c r="BW278" s="1186">
        <f>'2018'!R\Max</f>
        <v>0.70914004199385272</v>
      </c>
      <c r="BX278" s="1184">
        <f>'2019'!R\Max</f>
        <v>0.72977451076367161</v>
      </c>
      <c r="BY278" s="1184">
        <f>'2020'!R\Max</f>
        <v>0.68544010012169443</v>
      </c>
      <c r="BZ278" s="1184">
        <f>'2021'!R\Max</f>
        <v>0.26329959117697216</v>
      </c>
      <c r="CA278" s="1184">
        <f>'2022'!R\Max</f>
        <v>1.014947969107177</v>
      </c>
      <c r="CB278" s="1184">
        <f>'2023'!R\Max</f>
        <v>1.014947969107177</v>
      </c>
      <c r="CC278" s="1184">
        <f>'2024'!R\Max</f>
        <v>1.0149479691071772</v>
      </c>
      <c r="CD278" s="1184">
        <f>'2025'!R\Max</f>
        <v>1.014947969107177</v>
      </c>
      <c r="CE278" s="1184">
        <f>'2026'!R\Max</f>
        <v>1.014947969107177</v>
      </c>
      <c r="CF278" s="1185">
        <f>'2027'!R\Max</f>
        <v>1.0149479691071772</v>
      </c>
    </row>
    <row r="279" spans="1:84" s="6" customFormat="1" ht="11.25" x14ac:dyDescent="0.2">
      <c r="A279" s="11">
        <v>43365</v>
      </c>
      <c r="B279" s="380">
        <f>'2022'!Maxi_hp</f>
        <v>47.293332702379232</v>
      </c>
      <c r="C279" s="13">
        <f>'2022'!An_max</f>
        <v>2022</v>
      </c>
      <c r="D279" s="1062">
        <f t="shared" si="116"/>
        <v>0.99544754552572989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53">
        <f t="shared" si="119"/>
        <v>0.6428571428571429</v>
      </c>
      <c r="J279" s="746">
        <f t="shared" si="120"/>
        <v>47.509618075759086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55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53">
        <f t="shared" si="124"/>
        <v>0.17857142857142858</v>
      </c>
      <c r="AT279" s="769">
        <f t="shared" si="125"/>
        <v>47.61214832390791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53">
        <f t="shared" si="129"/>
        <v>0.32142857142857145</v>
      </c>
      <c r="AY279" s="769">
        <f t="shared" si="130"/>
        <v>47.381186862236689</v>
      </c>
      <c r="AZ279" s="746">
        <f t="shared" si="134"/>
        <v>47.496667593072303</v>
      </c>
      <c r="BA279" s="643">
        <f t="shared" si="131"/>
        <v>0.99544754552572989</v>
      </c>
      <c r="BC279" s="11">
        <v>43365</v>
      </c>
      <c r="BD279" s="290">
        <f>[2]!FeuilCaduc*(1-Persistant)+Persistant</f>
        <v>0.95498701964555321</v>
      </c>
      <c r="BE279" s="291">
        <f>[2]!CroissVégét</f>
        <v>0.98657246054533965</v>
      </c>
      <c r="BF279" s="816">
        <f>1+[2]!Salcycl*Ksac</f>
        <v>1.0443733774556943</v>
      </c>
      <c r="BH279" s="1053">
        <f t="shared" si="132"/>
        <v>3.8990583592042492E-6</v>
      </c>
      <c r="BI279" s="11">
        <v>44461</v>
      </c>
      <c r="BJ279" s="726">
        <v>1.6270889255352098E-6</v>
      </c>
      <c r="BK279" s="726">
        <v>1.6390528397430273E-6</v>
      </c>
      <c r="BL279" s="726">
        <v>1.6518705968423896E-6</v>
      </c>
      <c r="BM279" s="726">
        <v>3.9049404242972897E-6</v>
      </c>
      <c r="BN279" s="726">
        <v>2.0008812288149885E-5</v>
      </c>
      <c r="BO279" s="727">
        <v>1.7331312312468918E-4</v>
      </c>
      <c r="BP279" s="726">
        <v>6.9356885830301794E-4</v>
      </c>
      <c r="BQ279" s="726">
        <v>2.9996673694959956E-3</v>
      </c>
      <c r="BR279" s="726">
        <v>7.3288701929059659E-3</v>
      </c>
      <c r="BS279" s="726">
        <v>1.494134305125251E-2</v>
      </c>
      <c r="BT279" s="726">
        <v>2.4406583583431788E-2</v>
      </c>
      <c r="BW279" s="1186">
        <f>'2018'!R\Max</f>
        <v>0.92498476131551222</v>
      </c>
      <c r="BX279" s="1184">
        <f>'2019'!R\Max</f>
        <v>0.1899812874521252</v>
      </c>
      <c r="BY279" s="1184">
        <f>'2020'!R\Max</f>
        <v>0.61196043881427775</v>
      </c>
      <c r="BZ279" s="1184">
        <f>'2021'!R\Max</f>
        <v>0.94845955176377483</v>
      </c>
      <c r="CA279" s="1184">
        <f>'2022'!R\Max</f>
        <v>0.99544754552572989</v>
      </c>
      <c r="CB279" s="1184">
        <f>'2023'!R\Max</f>
        <v>0.99544739319030973</v>
      </c>
      <c r="CC279" s="1184">
        <f>'2024'!R\Max</f>
        <v>0.99544672761312347</v>
      </c>
      <c r="CD279" s="1184">
        <f>'2025'!R\Max</f>
        <v>0.99544778982195858</v>
      </c>
      <c r="CE279" s="1184">
        <f>'2026'!R\Max</f>
        <v>0.99544778510706478</v>
      </c>
      <c r="CF279" s="1185">
        <f>'2027'!R\Max</f>
        <v>0.99544774297895278</v>
      </c>
    </row>
    <row r="280" spans="1:84" s="6" customFormat="1" ht="11.25" x14ac:dyDescent="0.2">
      <c r="A280" s="11">
        <v>43366</v>
      </c>
      <c r="B280" s="380">
        <f>'2022'!Maxi_hp</f>
        <v>44.303472000025792</v>
      </c>
      <c r="C280" s="13">
        <f>'2022'!An_max</f>
        <v>2018</v>
      </c>
      <c r="D280" s="1062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53">
        <f t="shared" si="119"/>
        <v>0.5714285714285714</v>
      </c>
      <c r="J280" s="746">
        <f t="shared" si="120"/>
        <v>47.176940525078678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55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53">
        <f t="shared" si="124"/>
        <v>0.21428571428571427</v>
      </c>
      <c r="AT280" s="769">
        <f t="shared" si="125"/>
        <v>47.296755976622393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53">
        <f t="shared" si="129"/>
        <v>0.2857142857142857</v>
      </c>
      <c r="AY280" s="769">
        <f t="shared" si="130"/>
        <v>47.057840816171037</v>
      </c>
      <c r="AZ280" s="746">
        <f t="shared" si="134"/>
        <v>47.177298396396715</v>
      </c>
      <c r="BA280" s="643">
        <f t="shared" si="131"/>
        <v>0.93909167290054796</v>
      </c>
      <c r="BC280" s="11">
        <v>43366</v>
      </c>
      <c r="BD280" s="290">
        <f>[2]!FeuilCaduc*(1-Persistant)+Persistant</f>
        <v>0.95274162814343621</v>
      </c>
      <c r="BE280" s="291">
        <f>[2]!CroissVégét</f>
        <v>0.98711912105647015</v>
      </c>
      <c r="BF280" s="816">
        <f>1+[2]!Salcycl*Ksac</f>
        <v>1.0440927035179295</v>
      </c>
      <c r="BH280" s="1053">
        <f t="shared" si="132"/>
        <v>4.024346061445684E-6</v>
      </c>
      <c r="BI280" s="11">
        <v>44462</v>
      </c>
      <c r="BJ280" s="726">
        <v>1.6146353879613167E-6</v>
      </c>
      <c r="BK280" s="726">
        <v>1.6186246910433867E-6</v>
      </c>
      <c r="BL280" s="726">
        <v>1.6228987034621903E-6</v>
      </c>
      <c r="BM280" s="726">
        <v>4.0306319045397757E-6</v>
      </c>
      <c r="BN280" s="726">
        <v>2.1538178424922877E-5</v>
      </c>
      <c r="BO280" s="727">
        <v>2.1965149210129679E-4</v>
      </c>
      <c r="BP280" s="726">
        <v>8.1981960897292933E-4</v>
      </c>
      <c r="BQ280" s="726">
        <v>3.3995655368547532E-3</v>
      </c>
      <c r="BR280" s="726">
        <v>8.0154077180467284E-3</v>
      </c>
      <c r="BS280" s="726">
        <v>1.586033191947344E-2</v>
      </c>
      <c r="BT280" s="726">
        <v>2.5344118625983195E-2</v>
      </c>
      <c r="BW280" s="1186">
        <f>'2018'!R\Max</f>
        <v>0.93909167290054796</v>
      </c>
      <c r="BX280" s="1184">
        <f>'2019'!R\Max</f>
        <v>0.88933939501291881</v>
      </c>
      <c r="BY280" s="1184">
        <f>'2020'!R\Max</f>
        <v>0.54203382574110859</v>
      </c>
      <c r="BZ280" s="1184">
        <f>'2021'!R\Max</f>
        <v>0.84665760987367056</v>
      </c>
      <c r="CA280" s="1184">
        <f>'2022'!R\Max</f>
        <v>0.63342241606265204</v>
      </c>
      <c r="CB280" s="1184">
        <f>'2023'!R\Max</f>
        <v>0.63341336959190864</v>
      </c>
      <c r="CC280" s="1184">
        <f>'2024'!R\Max</f>
        <v>0.63337502205393836</v>
      </c>
      <c r="CD280" s="1184">
        <f>'2025'!R\Max</f>
        <v>0.63343755251797684</v>
      </c>
      <c r="CE280" s="1184">
        <f>'2026'!R\Max</f>
        <v>0.63343728863753979</v>
      </c>
      <c r="CF280" s="1185">
        <f>'2027'!R\Max</f>
        <v>0.63343448790648027</v>
      </c>
    </row>
    <row r="281" spans="1:84" s="6" customFormat="1" ht="11.25" x14ac:dyDescent="0.2">
      <c r="A281" s="11">
        <v>43367</v>
      </c>
      <c r="B281" s="380">
        <f>'2022'!Maxi_hp</f>
        <v>40.249037915880088</v>
      </c>
      <c r="C281" s="13">
        <f>'2022'!An_max</f>
        <v>2021</v>
      </c>
      <c r="D281" s="1062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53">
        <f t="shared" si="119"/>
        <v>0.5</v>
      </c>
      <c r="J281" s="746">
        <f t="shared" si="120"/>
        <v>46.841400000058641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55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53">
        <f t="shared" si="124"/>
        <v>0.25</v>
      </c>
      <c r="AT281" s="769">
        <f t="shared" si="125"/>
        <v>46.97642500011716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53">
        <f t="shared" si="129"/>
        <v>0.25</v>
      </c>
      <c r="AY281" s="769">
        <f t="shared" si="130"/>
        <v>46.733993749786165</v>
      </c>
      <c r="AZ281" s="746">
        <f t="shared" si="134"/>
        <v>46.855209374951663</v>
      </c>
      <c r="BA281" s="643">
        <f t="shared" si="131"/>
        <v>0.85926206124987081</v>
      </c>
      <c r="BC281" s="11">
        <v>43367</v>
      </c>
      <c r="BD281" s="290">
        <f>[2]!FeuilCaduc*(1-Persistant)+Persistant</f>
        <v>0.95040482100443024</v>
      </c>
      <c r="BE281" s="291">
        <f>[2]!CroissVégét</f>
        <v>0.98764434064074225</v>
      </c>
      <c r="BF281" s="816">
        <f>1+[2]!Salcycl*Ksac</f>
        <v>1.0438006026255537</v>
      </c>
      <c r="BH281" s="1053">
        <f t="shared" si="132"/>
        <v>4.1586830165857774E-6</v>
      </c>
      <c r="BI281" s="11">
        <v>44463</v>
      </c>
      <c r="BJ281" s="726">
        <v>1.6007269766832187E-6</v>
      </c>
      <c r="BK281" s="726">
        <v>1.6007269766832187E-6</v>
      </c>
      <c r="BL281" s="726">
        <v>1.6007269766832187E-6</v>
      </c>
      <c r="BM281" s="726">
        <v>4.1653785247154722E-6</v>
      </c>
      <c r="BN281" s="726">
        <v>2.3089134950516343E-5</v>
      </c>
      <c r="BO281" s="727">
        <v>2.7359942105361084E-4</v>
      </c>
      <c r="BP281" s="726">
        <v>9.6240828981027592E-4</v>
      </c>
      <c r="BQ281" s="726">
        <v>3.8320766820883734E-3</v>
      </c>
      <c r="BR281" s="726">
        <v>8.727516211736704E-3</v>
      </c>
      <c r="BS281" s="726">
        <v>1.67667996375266E-2</v>
      </c>
      <c r="BT281" s="726">
        <v>2.6193571565260466E-2</v>
      </c>
      <c r="BW281" s="1186">
        <f>'2018'!R\Max</f>
        <v>0.85574219795275785</v>
      </c>
      <c r="BX281" s="1184">
        <f>'2019'!R\Max</f>
        <v>0.61677477245245227</v>
      </c>
      <c r="BY281" s="1184">
        <f>'2020'!R\Max</f>
        <v>0.79468114792162226</v>
      </c>
      <c r="BZ281" s="1184">
        <f>'2021'!R\Max</f>
        <v>0.85926206124987081</v>
      </c>
      <c r="CA281" s="1184">
        <f>'2022'!R\Max</f>
        <v>0.39994626324451038</v>
      </c>
      <c r="CB281" s="1184">
        <f>'2023'!R\Max</f>
        <v>0.39993548198708656</v>
      </c>
      <c r="CC281" s="1184">
        <f>'2024'!R\Max</f>
        <v>0.39989116484945036</v>
      </c>
      <c r="CD281" s="1184">
        <f>'2025'!R\Max</f>
        <v>0.39996501295839287</v>
      </c>
      <c r="CE281" s="1184">
        <f>'2026'!R\Max</f>
        <v>0.39996471676910017</v>
      </c>
      <c r="CF281" s="1185">
        <f>'2027'!R\Max</f>
        <v>0.39996104070945693</v>
      </c>
    </row>
    <row r="282" spans="1:84" s="6" customFormat="1" ht="11.25" x14ac:dyDescent="0.2">
      <c r="A282" s="11">
        <v>43368</v>
      </c>
      <c r="B282" s="380">
        <f>'2022'!Maxi_hp</f>
        <v>46.514117854235721</v>
      </c>
      <c r="C282" s="13">
        <f>'2022'!An_max</f>
        <v>2018</v>
      </c>
      <c r="D282" s="1062">
        <f t="shared" si="116"/>
        <v>1.0002206797795916</v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53">
        <f t="shared" si="119"/>
        <v>0.42857142857142855</v>
      </c>
      <c r="J282" s="746">
        <f t="shared" si="120"/>
        <v>46.503855393677284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55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53">
        <f t="shared" si="124"/>
        <v>0.2857142857142857</v>
      </c>
      <c r="AT282" s="769">
        <f t="shared" si="125"/>
        <v>46.651584839634594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53">
        <f t="shared" si="129"/>
        <v>0.21428571428571427</v>
      </c>
      <c r="AY282" s="769">
        <f t="shared" si="130"/>
        <v>46.410021428284907</v>
      </c>
      <c r="AZ282" s="746">
        <f t="shared" si="134"/>
        <v>46.530803133959751</v>
      </c>
      <c r="BA282" s="643">
        <f t="shared" si="131"/>
        <v>1.0002206797795916</v>
      </c>
      <c r="BC282" s="11">
        <v>43368</v>
      </c>
      <c r="BD282" s="290">
        <f>[2]!FeuilCaduc*(1-Persistant)+Persistant</f>
        <v>0.94797384363547132</v>
      </c>
      <c r="BE282" s="291">
        <f>[2]!CroissVégét</f>
        <v>0.98814893849517882</v>
      </c>
      <c r="BF282" s="816">
        <f>1+[2]!Salcycl*Ksac</f>
        <v>1.043496730454434</v>
      </c>
      <c r="BH282" s="1053">
        <f t="shared" si="132"/>
        <v>1.0933329909797991E-5</v>
      </c>
      <c r="BI282" s="11">
        <v>44464</v>
      </c>
      <c r="BJ282" s="726">
        <v>1.5844656168773561E-6</v>
      </c>
      <c r="BK282" s="726">
        <v>3.3970781955938479E-6</v>
      </c>
      <c r="BL282" s="726">
        <v>5.5711268584766743E-6</v>
      </c>
      <c r="BM282" s="726">
        <v>1.0947365598278611E-5</v>
      </c>
      <c r="BN282" s="726">
        <v>3.4186773261151244E-5</v>
      </c>
      <c r="BO282" s="727">
        <v>3.471132047776939E-4</v>
      </c>
      <c r="BP282" s="726">
        <v>1.1328429963014886E-3</v>
      </c>
      <c r="BQ282" s="726">
        <v>4.2830560113066938E-3</v>
      </c>
      <c r="BR282" s="726">
        <v>9.4244779876181337E-3</v>
      </c>
      <c r="BS282" s="726">
        <v>1.760106430618516E-2</v>
      </c>
      <c r="BT282" s="726">
        <v>2.6906424243611237E-2</v>
      </c>
      <c r="BW282" s="1186">
        <f>'2018'!R\Max</f>
        <v>1.0002206797795916</v>
      </c>
      <c r="BX282" s="1184">
        <f>'2019'!R\Max</f>
        <v>0.65629979943172023</v>
      </c>
      <c r="BY282" s="1184">
        <f>'2020'!R\Max</f>
        <v>0.48919066975664049</v>
      </c>
      <c r="BZ282" s="1184">
        <f>'2021'!R\Max</f>
        <v>0.76629302458105264</v>
      </c>
      <c r="CA282" s="1184">
        <f>'2022'!R\Max</f>
        <v>0.71320425252899633</v>
      </c>
      <c r="CB282" s="1184">
        <f>'2023'!R\Max</f>
        <v>0.71319372134157122</v>
      </c>
      <c r="CC282" s="1184">
        <f>'2024'!R\Max</f>
        <v>0.71315203550781925</v>
      </c>
      <c r="CD282" s="1184">
        <f>'2025'!R\Max</f>
        <v>0.71322332348936657</v>
      </c>
      <c r="CE282" s="1184">
        <f>'2026'!R\Max</f>
        <v>0.71322301204050709</v>
      </c>
      <c r="CF282" s="1185">
        <f>'2027'!R\Max</f>
        <v>0.71321907854788169</v>
      </c>
    </row>
    <row r="283" spans="1:84" s="6" customFormat="1" ht="11.25" x14ac:dyDescent="0.2">
      <c r="A283" s="11">
        <v>43369</v>
      </c>
      <c r="B283" s="380">
        <f>'2022'!Maxi_hp</f>
        <v>46.475483095151723</v>
      </c>
      <c r="C283" s="13">
        <f>'2022'!An_max</f>
        <v>2018</v>
      </c>
      <c r="D283" s="1062">
        <f t="shared" si="116"/>
        <v>1.0067218972020169</v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53">
        <f t="shared" si="119"/>
        <v>0.35714285714285715</v>
      </c>
      <c r="J283" s="746">
        <f t="shared" si="120"/>
        <v>46.165165597689963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55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53">
        <f t="shared" si="124"/>
        <v>0.32142857142857145</v>
      </c>
      <c r="AT283" s="769">
        <f t="shared" si="125"/>
        <v>46.322664941850654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53">
        <f t="shared" si="129"/>
        <v>0.17857142857142858</v>
      </c>
      <c r="AY283" s="769">
        <f t="shared" si="130"/>
        <v>46.086299617555255</v>
      </c>
      <c r="AZ283" s="746">
        <f t="shared" si="134"/>
        <v>46.204482279702958</v>
      </c>
      <c r="BA283" s="643">
        <f t="shared" si="131"/>
        <v>1.0067218972020169</v>
      </c>
      <c r="BC283" s="11">
        <v>43369</v>
      </c>
      <c r="BD283" s="290">
        <f>[2]!FeuilCaduc*(1-Persistant)+Persistant</f>
        <v>0.94544599444663047</v>
      </c>
      <c r="BE283" s="291">
        <f>[2]!CroissVégét</f>
        <v>0.98863370421593466</v>
      </c>
      <c r="BF283" s="816">
        <f>1+[2]!Salcycl*Ksac</f>
        <v>1.0431807493058287</v>
      </c>
      <c r="BH283" s="1053">
        <f t="shared" si="132"/>
        <v>2.4329868437605994E-5</v>
      </c>
      <c r="BI283" s="11">
        <v>44465</v>
      </c>
      <c r="BJ283" s="726">
        <v>1.559001718374708E-6</v>
      </c>
      <c r="BK283" s="726">
        <v>6.9989629951646691E-6</v>
      </c>
      <c r="BL283" s="726">
        <v>1.3523655959788173E-5</v>
      </c>
      <c r="BM283" s="726">
        <v>2.4358153944615406E-5</v>
      </c>
      <c r="BN283" s="726">
        <v>5.4741528541194037E-5</v>
      </c>
      <c r="BO283" s="727">
        <v>4.3973905315538957E-4</v>
      </c>
      <c r="BP283" s="726">
        <v>1.3292788445925816E-3</v>
      </c>
      <c r="BQ283" s="726">
        <v>4.7379250108363765E-3</v>
      </c>
      <c r="BR283" s="726">
        <v>1.0082791322050425E-2</v>
      </c>
      <c r="BS283" s="726">
        <v>1.8349157852353574E-2</v>
      </c>
      <c r="BT283" s="726">
        <v>2.750707172050447E-2</v>
      </c>
      <c r="BW283" s="1186">
        <f>'2018'!R\Max</f>
        <v>1.0067218972020169</v>
      </c>
      <c r="BX283" s="1184">
        <f>'2019'!R\Max</f>
        <v>0.81027859250335665</v>
      </c>
      <c r="BY283" s="1184">
        <f>'2020'!R\Max</f>
        <v>0.47833873560939533</v>
      </c>
      <c r="BZ283" s="1184">
        <f>'2021'!R\Max</f>
        <v>0.84503509228970597</v>
      </c>
      <c r="CA283" s="1184">
        <f>'2022'!R\Max</f>
        <v>0.7748702832812786</v>
      </c>
      <c r="CB283" s="1184">
        <f>'2023'!R\Max</f>
        <v>0.77486006764237791</v>
      </c>
      <c r="CC283" s="1184">
        <f>'2024'!R\Max</f>
        <v>0.77482139687783802</v>
      </c>
      <c r="CD283" s="1184">
        <f>'2025'!R\Max</f>
        <v>0.77488954283701694</v>
      </c>
      <c r="CE283" s="1184">
        <f>'2026'!R\Max</f>
        <v>0.77488919395470257</v>
      </c>
      <c r="CF283" s="1185">
        <f>'2027'!R\Max</f>
        <v>0.77488504414708781</v>
      </c>
    </row>
    <row r="284" spans="1:84" s="6" customFormat="1" ht="11.25" x14ac:dyDescent="0.2">
      <c r="A284" s="11">
        <v>43370</v>
      </c>
      <c r="B284" s="380">
        <f>'2022'!Maxi_hp</f>
        <v>45.12039737403196</v>
      </c>
      <c r="C284" s="13">
        <f>'2022'!An_max</f>
        <v>2018</v>
      </c>
      <c r="D284" s="1062">
        <f t="shared" si="116"/>
        <v>0.98459849841127378</v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53">
        <f t="shared" si="119"/>
        <v>0.2857142857142857</v>
      </c>
      <c r="J284" s="746">
        <f t="shared" si="120"/>
        <v>45.826189504490642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55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53">
        <f t="shared" si="124"/>
        <v>0.35714285714285715</v>
      </c>
      <c r="AT284" s="769">
        <f t="shared" si="125"/>
        <v>45.9900947526829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53">
        <f t="shared" si="129"/>
        <v>0.14285714285714285</v>
      </c>
      <c r="AY284" s="769">
        <f t="shared" si="130"/>
        <v>45.763204081622618</v>
      </c>
      <c r="AZ284" s="746">
        <f t="shared" si="134"/>
        <v>45.876649417152763</v>
      </c>
      <c r="BA284" s="643">
        <f t="shared" si="131"/>
        <v>0.98459849841127378</v>
      </c>
      <c r="BC284" s="11">
        <v>43370</v>
      </c>
      <c r="BD284" s="290">
        <f>[2]!FeuilCaduc*(1-Persistant)+Persistant</f>
        <v>0.94281864436775531</v>
      </c>
      <c r="BE284" s="291">
        <f>[2]!CroissVégét</f>
        <v>0.98909939873407315</v>
      </c>
      <c r="BF284" s="816">
        <f>1+[2]!Salcycl*Ksac</f>
        <v>1.0428523305459694</v>
      </c>
      <c r="BH284" s="1053">
        <f t="shared" si="132"/>
        <v>4.4356716278045733E-5</v>
      </c>
      <c r="BI284" s="11">
        <v>44466</v>
      </c>
      <c r="BJ284" s="726">
        <v>1.5243214096518141E-6</v>
      </c>
      <c r="BK284" s="726">
        <v>1.240867350714151E-5</v>
      </c>
      <c r="BL284" s="726">
        <v>2.5463372234129896E-5</v>
      </c>
      <c r="BM284" s="726">
        <v>4.4406170035917185E-5</v>
      </c>
      <c r="BN284" s="726">
        <v>8.4765473217339763E-5</v>
      </c>
      <c r="BO284" s="727">
        <v>5.5150362683764609E-4</v>
      </c>
      <c r="BP284" s="726">
        <v>1.5517549083925565E-3</v>
      </c>
      <c r="BQ284" s="726">
        <v>5.196706321890357E-3</v>
      </c>
      <c r="BR284" s="726">
        <v>1.0702433453995623E-2</v>
      </c>
      <c r="BS284" s="726">
        <v>1.9010997066757844E-2</v>
      </c>
      <c r="BT284" s="726">
        <v>2.7995382224635362E-2</v>
      </c>
      <c r="BW284" s="1186">
        <f>'2018'!R\Max</f>
        <v>0.98459849841127378</v>
      </c>
      <c r="BX284" s="1184">
        <f>'2019'!R\Max</f>
        <v>0.8291982043384204</v>
      </c>
      <c r="BY284" s="1184">
        <f>'2020'!R\Max</f>
        <v>0.34575129550438444</v>
      </c>
      <c r="BZ284" s="1184">
        <f>'2021'!R\Max</f>
        <v>0.49342816591900207</v>
      </c>
      <c r="CA284" s="1184">
        <f>'2022'!R\Max</f>
        <v>0.35283431381496105</v>
      </c>
      <c r="CB284" s="1184">
        <f>'2023'!R\Max</f>
        <v>0.35281920888492585</v>
      </c>
      <c r="CC284" s="1184">
        <f>'2024'!R\Max</f>
        <v>0.35276480901508211</v>
      </c>
      <c r="CD284" s="1184">
        <f>'2025'!R\Max</f>
        <v>0.3528639212207359</v>
      </c>
      <c r="CE284" s="1184">
        <f>'2026'!R\Max</f>
        <v>0.3528633117598341</v>
      </c>
      <c r="CF284" s="1185">
        <f>'2027'!R\Max</f>
        <v>0.35285668918015856</v>
      </c>
    </row>
    <row r="285" spans="1:84" s="6" customFormat="1" ht="11.25" x14ac:dyDescent="0.2">
      <c r="A285" s="11">
        <v>43371</v>
      </c>
      <c r="B285" s="380">
        <f>'2022'!Maxi_hp</f>
        <v>42.169880552957594</v>
      </c>
      <c r="C285" s="13">
        <f>'2022'!An_max</f>
        <v>2018</v>
      </c>
      <c r="D285" s="1062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53">
        <f t="shared" si="119"/>
        <v>0.21428571428571427</v>
      </c>
      <c r="J285" s="746">
        <f t="shared" si="120"/>
        <v>45.487786005941075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55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53">
        <f t="shared" si="124"/>
        <v>0.39285714285714285</v>
      </c>
      <c r="AT285" s="769">
        <f t="shared" si="125"/>
        <v>45.654303717273955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53">
        <f t="shared" si="129"/>
        <v>0.10714285714285714</v>
      </c>
      <c r="AY285" s="769">
        <f t="shared" si="130"/>
        <v>45.441110586734226</v>
      </c>
      <c r="AZ285" s="746">
        <f t="shared" si="134"/>
        <v>45.547707152004094</v>
      </c>
      <c r="BA285" s="643">
        <f t="shared" si="131"/>
        <v>0.92705942090586391</v>
      </c>
      <c r="BC285" s="11">
        <v>43371</v>
      </c>
      <c r="BD285" s="290">
        <f>[2]!FeuilCaduc*(1-Persistant)+Persistant</f>
        <v>0.94008925731094739</v>
      </c>
      <c r="BE285" s="291">
        <f>[2]!CroissVégét</f>
        <v>0.98954675523264646</v>
      </c>
      <c r="BF285" s="816">
        <f>1+[2]!Salcycl*Ksac</f>
        <v>1.0425111571638683</v>
      </c>
      <c r="BH285" s="1053">
        <f t="shared" si="132"/>
        <v>7.1022883317927726E-5</v>
      </c>
      <c r="BI285" s="11">
        <v>44467</v>
      </c>
      <c r="BJ285" s="726">
        <v>1.4804100268657456E-6</v>
      </c>
      <c r="BK285" s="726">
        <v>1.9628663563435596E-5</v>
      </c>
      <c r="BL285" s="726">
        <v>4.1395690228767607E-5</v>
      </c>
      <c r="BM285" s="726">
        <v>7.1100433169877511E-5</v>
      </c>
      <c r="BN285" s="726">
        <v>1.2427151911220528E-4</v>
      </c>
      <c r="BO285" s="727">
        <v>6.82435053942061E-4</v>
      </c>
      <c r="BP285" s="726">
        <v>1.8003119423206505E-3</v>
      </c>
      <c r="BQ285" s="726">
        <v>5.6594209308382815E-3</v>
      </c>
      <c r="BR285" s="726">
        <v>1.1283374866254001E-2</v>
      </c>
      <c r="BS285" s="726">
        <v>1.9586486900952611E-2</v>
      </c>
      <c r="BT285" s="726">
        <v>2.8371210241924908E-2</v>
      </c>
      <c r="BW285" s="1186">
        <f>'2018'!R\Max</f>
        <v>0.92705942090586391</v>
      </c>
      <c r="BX285" s="1184">
        <f>'2019'!R\Max</f>
        <v>0.74078488914530882</v>
      </c>
      <c r="BY285" s="1184">
        <f>'2020'!R\Max</f>
        <v>0.28742306158006653</v>
      </c>
      <c r="BZ285" s="1184">
        <f>'2021'!R\Max</f>
        <v>0.61465472817372313</v>
      </c>
      <c r="CA285" s="1184">
        <f>'2022'!R\Max</f>
        <v>0.40847597244939343</v>
      </c>
      <c r="CB285" s="1184">
        <f>'2023'!R\Max</f>
        <v>0.40845802834048728</v>
      </c>
      <c r="CC285" s="1184">
        <f>'2024'!R\Max</f>
        <v>0.40839676967101995</v>
      </c>
      <c r="CD285" s="1184">
        <f>'2025'!R\Max</f>
        <v>0.40851246315774958</v>
      </c>
      <c r="CE285" s="1184">
        <f>'2026'!R\Max</f>
        <v>0.40851160969242251</v>
      </c>
      <c r="CF285" s="1185">
        <f>'2027'!R\Max</f>
        <v>0.40850318255720097</v>
      </c>
    </row>
    <row r="286" spans="1:84" s="6" customFormat="1" ht="11.25" x14ac:dyDescent="0.2">
      <c r="A286" s="11">
        <v>43372</v>
      </c>
      <c r="B286" s="380">
        <f>'2022'!Maxi_hp</f>
        <v>44.457549596928516</v>
      </c>
      <c r="C286" s="13">
        <f>'2022'!An_max</f>
        <v>2019</v>
      </c>
      <c r="D286" s="1062">
        <f t="shared" si="116"/>
        <v>0.98464558363487931</v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53">
        <f t="shared" si="119"/>
        <v>0.14285714285714285</v>
      </c>
      <c r="J286" s="746">
        <f t="shared" si="120"/>
        <v>45.150813994219888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55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53">
        <f t="shared" si="124"/>
        <v>0.42857142857142855</v>
      </c>
      <c r="AT286" s="769">
        <f t="shared" si="125"/>
        <v>45.315721283201128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53">
        <f t="shared" si="129"/>
        <v>7.1428571428571425E-2</v>
      </c>
      <c r="AY286" s="769">
        <f t="shared" si="130"/>
        <v>45.120394897993123</v>
      </c>
      <c r="AZ286" s="746">
        <f t="shared" si="134"/>
        <v>45.218058090597125</v>
      </c>
      <c r="BA286" s="643">
        <f t="shared" si="131"/>
        <v>0.98464558363487931</v>
      </c>
      <c r="BC286" s="11">
        <v>43372</v>
      </c>
      <c r="BD286" s="290">
        <f>[2]!FeuilCaduc*(1-Persistant)+Persistant</f>
        <v>0.93725541144016344</v>
      </c>
      <c r="BE286" s="291">
        <f>[2]!CroissVégét</f>
        <v>0.98997648004446692</v>
      </c>
      <c r="BF286" s="816">
        <f>1+[2]!Salcycl*Ksac</f>
        <v>1.0421569264300203</v>
      </c>
      <c r="BH286" s="1053">
        <f t="shared" si="132"/>
        <v>1.043378987842374E-4</v>
      </c>
      <c r="BI286" s="11">
        <v>44468</v>
      </c>
      <c r="BJ286" s="726">
        <v>1.4272522153397674E-6</v>
      </c>
      <c r="BK286" s="726">
        <v>2.8661528827321342E-5</v>
      </c>
      <c r="BL286" s="726">
        <v>6.1326337263542806E-5</v>
      </c>
      <c r="BM286" s="726">
        <v>1.0445048252506025E-4</v>
      </c>
      <c r="BN286" s="726">
        <v>1.7327331339151453E-4</v>
      </c>
      <c r="BO286" s="727">
        <v>8.3256272024791287E-4</v>
      </c>
      <c r="BP286" s="726">
        <v>2.0749920971816407E-3</v>
      </c>
      <c r="BQ286" s="726">
        <v>6.1260881308991101E-3</v>
      </c>
      <c r="BR286" s="726">
        <v>1.1825579718588136E-2</v>
      </c>
      <c r="BS286" s="726">
        <v>2.0075521426383938E-2</v>
      </c>
      <c r="BT286" s="726">
        <v>2.863439776188717E-2</v>
      </c>
      <c r="BW286" s="1186">
        <f>'2018'!R\Max</f>
        <v>0.97178007062855765</v>
      </c>
      <c r="BX286" s="1184">
        <f>'2019'!R\Max</f>
        <v>0.98464558363487931</v>
      </c>
      <c r="BY286" s="1184">
        <f>'2020'!R\Max</f>
        <v>0.6882460206884462</v>
      </c>
      <c r="BZ286" s="1184">
        <f>'2021'!R\Max</f>
        <v>0.70977245317053084</v>
      </c>
      <c r="CA286" s="1184">
        <f>'2022'!R\Max</f>
        <v>0.56446221405059593</v>
      </c>
      <c r="CB286" s="1184">
        <f>'2023'!R\Max</f>
        <v>0.56444183190970787</v>
      </c>
      <c r="CC286" s="1184">
        <f>'2024'!R\Max</f>
        <v>0.56437606976685262</v>
      </c>
      <c r="CD286" s="1184">
        <f>'2025'!R\Max</f>
        <v>0.56450511659914793</v>
      </c>
      <c r="CE286" s="1184">
        <f>'2026'!R\Max</f>
        <v>0.56450398768340149</v>
      </c>
      <c r="CF286" s="1185">
        <f>'2027'!R\Max</f>
        <v>0.56449380479708755</v>
      </c>
    </row>
    <row r="287" spans="1:84" s="6" customFormat="1" ht="11.25" x14ac:dyDescent="0.2">
      <c r="A287" s="11">
        <v>43373</v>
      </c>
      <c r="B287" s="380">
        <f>'2022'!Maxi_hp</f>
        <v>41.406216750872005</v>
      </c>
      <c r="C287" s="13">
        <f>'2022'!An_max</f>
        <v>2018</v>
      </c>
      <c r="D287" s="1062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53">
        <f t="shared" si="119"/>
        <v>7.1428571428571425E-2</v>
      </c>
      <c r="J287" s="746">
        <f t="shared" si="120"/>
        <v>44.816132361512949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55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53">
        <f t="shared" si="124"/>
        <v>0.4642857142857143</v>
      </c>
      <c r="AT287" s="769">
        <f t="shared" si="125"/>
        <v>44.97477689522119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53">
        <f t="shared" si="129"/>
        <v>3.5714285714285712E-2</v>
      </c>
      <c r="AY287" s="769">
        <f t="shared" si="130"/>
        <v>44.801432780675327</v>
      </c>
      <c r="AZ287" s="746">
        <f t="shared" si="134"/>
        <v>44.888104837948262</v>
      </c>
      <c r="BA287" s="643">
        <f t="shared" si="131"/>
        <v>0.92391321091399448</v>
      </c>
      <c r="BC287" s="11">
        <v>43373</v>
      </c>
      <c r="BD287" s="290">
        <f>[2]!FeuilCaduc*(1-Persistant)+Persistant</f>
        <v>0.93431482109526731</v>
      </c>
      <c r="BE287" s="291">
        <f>[2]!CroissVégét</f>
        <v>0.99038925353008489</v>
      </c>
      <c r="BF287" s="816">
        <f>1+[2]!Salcycl*Ksac</f>
        <v>1.0417893526369084</v>
      </c>
      <c r="BH287" s="1053">
        <f t="shared" si="132"/>
        <v>1.4431173837607889E-4</v>
      </c>
      <c r="BI287" s="11">
        <v>44469</v>
      </c>
      <c r="BJ287" s="726">
        <v>1.3648320310923813E-6</v>
      </c>
      <c r="BK287" s="726">
        <v>3.9509986924793182E-5</v>
      </c>
      <c r="BL287" s="726">
        <v>8.526130960999195E-5</v>
      </c>
      <c r="BM287" s="726">
        <v>1.4446630421681178E-4</v>
      </c>
      <c r="BN287" s="726">
        <v>2.3178513451259188E-4</v>
      </c>
      <c r="BO287" s="727">
        <v>1.0019170594021975E-3</v>
      </c>
      <c r="BP287" s="726">
        <v>2.3758386352753114E-3</v>
      </c>
      <c r="BQ287" s="726">
        <v>6.5967254839582167E-3</v>
      </c>
      <c r="BR287" s="726">
        <v>1.2329006281115893E-2</v>
      </c>
      <c r="BS287" s="726">
        <v>2.0477984793947697E-2</v>
      </c>
      <c r="BT287" s="726">
        <v>2.8784775524747206E-2</v>
      </c>
      <c r="BW287" s="1186">
        <f>'2018'!R\Max</f>
        <v>0.92391321091399448</v>
      </c>
      <c r="BX287" s="1184">
        <f>'2019'!R\Max</f>
        <v>0.63147039429638663</v>
      </c>
      <c r="BY287" s="1184">
        <f>'2020'!R\Max</f>
        <v>0.80468201523934657</v>
      </c>
      <c r="BZ287" s="1184">
        <f>'2021'!R\Max</f>
        <v>0.41399199232275552</v>
      </c>
      <c r="CA287" s="1184">
        <f>'2022'!R\Max</f>
        <v>0.69498889099568728</v>
      </c>
      <c r="CB287" s="1184">
        <f>'2023'!R\Max</f>
        <v>0.69496937232379719</v>
      </c>
      <c r="CC287" s="1184">
        <f>'2024'!R\Max</f>
        <v>0.69490999932268716</v>
      </c>
      <c r="CD287" s="1184">
        <f>'2025'!R\Max</f>
        <v>0.69503131797376361</v>
      </c>
      <c r="CE287" s="1184">
        <f>'2026'!R\Max</f>
        <v>0.69503007771370096</v>
      </c>
      <c r="CF287" s="1185">
        <f>'2027'!R\Max</f>
        <v>0.69501976723271208</v>
      </c>
    </row>
    <row r="288" spans="1:84" s="6" customFormat="1" ht="11.25" x14ac:dyDescent="0.2">
      <c r="A288" s="11">
        <v>43374</v>
      </c>
      <c r="B288" s="380">
        <f>'2022'!Maxi_hp</f>
        <v>43.530133856028712</v>
      </c>
      <c r="C288" s="13">
        <f>'2022'!An_max</f>
        <v>2020</v>
      </c>
      <c r="D288" s="1062">
        <f t="shared" si="116"/>
        <v>0.97854389734941183</v>
      </c>
      <c r="E288" s="1057">
        <f>AG$13/10</f>
        <v>44.4846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53">
        <f t="shared" si="119"/>
        <v>0</v>
      </c>
      <c r="J288" s="746">
        <f t="shared" si="120"/>
        <v>44.484599999999048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55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53">
        <f t="shared" si="124"/>
        <v>0.5</v>
      </c>
      <c r="AT288" s="769">
        <f t="shared" si="125"/>
        <v>44.631900000199678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53">
        <f t="shared" si="129"/>
        <v>0</v>
      </c>
      <c r="AY288" s="769">
        <f t="shared" si="130"/>
        <v>44.484599999897185</v>
      </c>
      <c r="AZ288" s="746">
        <f t="shared" si="134"/>
        <v>44.558250000048432</v>
      </c>
      <c r="BA288" s="643">
        <f t="shared" si="131"/>
        <v>0.97854389734941183</v>
      </c>
      <c r="BC288" s="11">
        <v>43374</v>
      </c>
      <c r="BD288" s="290">
        <f>[2]!FeuilCaduc*(1-Persistant)+Persistant</f>
        <v>0.93126535920518227</v>
      </c>
      <c r="BE288" s="291">
        <f>[2]!CroissVégét</f>
        <v>0.99078573093558142</v>
      </c>
      <c r="BF288" s="816">
        <f>1+[2]!Salcycl*Ksac</f>
        <v>1.0414081699006479</v>
      </c>
      <c r="BH288" s="1053">
        <f t="shared" si="132"/>
        <v>1.9095475139558433E-4</v>
      </c>
      <c r="BI288" s="11">
        <v>44470</v>
      </c>
      <c r="BJ288" s="726">
        <v>1.2931330423478298E-6</v>
      </c>
      <c r="BK288" s="726">
        <v>5.2176857575636517E-5</v>
      </c>
      <c r="BL288" s="726">
        <v>1.1320682866986046E-4</v>
      </c>
      <c r="BM288" s="726">
        <v>1.9115825835213735E-4</v>
      </c>
      <c r="BN288" s="726">
        <v>2.9982178817109309E-4</v>
      </c>
      <c r="BO288" s="727">
        <v>1.1905293431168059E-3</v>
      </c>
      <c r="BP288" s="726">
        <v>2.7028956456830698E-3</v>
      </c>
      <c r="BQ288" s="726">
        <v>7.0713487823141847E-3</v>
      </c>
      <c r="BR288" s="726">
        <v>1.2793607367563749E-2</v>
      </c>
      <c r="BS288" s="726">
        <v>2.0793752193305013E-2</v>
      </c>
      <c r="BT288" s="726">
        <v>2.8822164268205275E-2</v>
      </c>
      <c r="BW288" s="1186">
        <f>'2018'!R\Max</f>
        <v>0.62338107941437881</v>
      </c>
      <c r="BX288" s="1184">
        <f>'2019'!R\Max</f>
        <v>0.78744977955976336</v>
      </c>
      <c r="BY288" s="1184">
        <f>'2020'!R\Max</f>
        <v>0.97854389734941183</v>
      </c>
      <c r="BZ288" s="1184">
        <f>'2021'!R\Max</f>
        <v>0.76243747748563884</v>
      </c>
      <c r="CA288" s="1184">
        <f>'2022'!R\Max</f>
        <v>0.83979336532126769</v>
      </c>
      <c r="CB288" s="1184">
        <f>'2023'!R\Max</f>
        <v>0.83977967155975608</v>
      </c>
      <c r="CC288" s="1184">
        <f>'2024'!R\Max</f>
        <v>0.8397404823023894</v>
      </c>
      <c r="CD288" s="1184">
        <f>'2025'!R\Max</f>
        <v>0.83982403308388165</v>
      </c>
      <c r="CE288" s="1184">
        <f>'2026'!R\Max</f>
        <v>0.83982304947931063</v>
      </c>
      <c r="CF288" s="1185">
        <f>'2027'!R\Max</f>
        <v>0.8398154426459794</v>
      </c>
    </row>
    <row r="289" spans="1:84" s="6" customFormat="1" ht="11.25" x14ac:dyDescent="0.2">
      <c r="A289" s="11">
        <v>43375</v>
      </c>
      <c r="B289" s="380">
        <f>'2022'!Maxi_hp</f>
        <v>44.550821163435508</v>
      </c>
      <c r="C289" s="13">
        <f>'2022'!An_max</f>
        <v>2018</v>
      </c>
      <c r="D289" s="1062">
        <f t="shared" si="116"/>
        <v>1.0089659887314031</v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53">
        <f t="shared" si="119"/>
        <v>7.1428571428571425E-2</v>
      </c>
      <c r="J289" s="746">
        <f t="shared" si="120"/>
        <v>44.154928571428179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55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53">
        <f t="shared" si="124"/>
        <v>0.5357142857142857</v>
      </c>
      <c r="AT289" s="769">
        <f t="shared" si="125"/>
        <v>44.287520043781427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53">
        <f t="shared" si="129"/>
        <v>3.5714285714285712E-2</v>
      </c>
      <c r="AY289" s="769">
        <f t="shared" si="130"/>
        <v>44.167006741989674</v>
      </c>
      <c r="AZ289" s="746">
        <f t="shared" si="134"/>
        <v>44.227263392885547</v>
      </c>
      <c r="BA289" s="643">
        <f t="shared" si="131"/>
        <v>1.0089659887314031</v>
      </c>
      <c r="BC289" s="11">
        <v>43375</v>
      </c>
      <c r="BD289" s="290">
        <f>[2]!FeuilCaduc*(1-Persistant)+Persistant</f>
        <v>0.92810508001352443</v>
      </c>
      <c r="BE289" s="291">
        <f>[2]!CroissVégét</f>
        <v>0.99116654322989417</v>
      </c>
      <c r="BF289" s="816">
        <f>1+[2]!Salcycl*Ksac</f>
        <v>1.0410131350016905</v>
      </c>
      <c r="BH289" s="1053">
        <f t="shared" si="132"/>
        <v>2.4427758788031132E-4</v>
      </c>
      <c r="BI289" s="11">
        <v>44471</v>
      </c>
      <c r="BJ289" s="726">
        <v>1.2121384310650953E-6</v>
      </c>
      <c r="BK289" s="726">
        <v>6.6665042724907487E-5</v>
      </c>
      <c r="BL289" s="726">
        <v>1.4516929715449229E-4</v>
      </c>
      <c r="BM289" s="726">
        <v>2.4453700608606754E-4</v>
      </c>
      <c r="BN289" s="726">
        <v>3.7739850325018738E-4</v>
      </c>
      <c r="BO289" s="727">
        <v>1.3984314713771978E-3</v>
      </c>
      <c r="BP289" s="726">
        <v>3.0562077595828368E-3</v>
      </c>
      <c r="BQ289" s="726">
        <v>7.54997201050789E-3</v>
      </c>
      <c r="BR289" s="726">
        <v>1.3219330768677626E-2</v>
      </c>
      <c r="BS289" s="726">
        <v>2.1022690812463083E-2</v>
      </c>
      <c r="BT289" s="726">
        <v>2.874637597457767E-2</v>
      </c>
      <c r="BW289" s="1186">
        <f>'2018'!R\Max</f>
        <v>1.0089659887314031</v>
      </c>
      <c r="BX289" s="1184">
        <f>'2019'!R\Max</f>
        <v>0.53446699096752659</v>
      </c>
      <c r="BY289" s="1184">
        <f>'2020'!R\Max</f>
        <v>0.19602299831552675</v>
      </c>
      <c r="BZ289" s="1184">
        <f>'2021'!R\Max</f>
        <v>0.93291000683827807</v>
      </c>
      <c r="CA289" s="1184">
        <f>'2022'!R\Max</f>
        <v>0.94322884585451172</v>
      </c>
      <c r="CB289" s="1184">
        <f>'2023'!R\Max</f>
        <v>0.94322284724386118</v>
      </c>
      <c r="CC289" s="1184">
        <f>'2024'!R\Max</f>
        <v>0.94320672665645844</v>
      </c>
      <c r="CD289" s="1184">
        <f>'2025'!R\Max</f>
        <v>0.94324265755541381</v>
      </c>
      <c r="CE289" s="1184">
        <f>'2026'!R\Max</f>
        <v>0.94324217699170021</v>
      </c>
      <c r="CF289" s="1185">
        <f>'2027'!R\Max</f>
        <v>0.94323868942381883</v>
      </c>
    </row>
    <row r="290" spans="1:84" s="6" customFormat="1" ht="11.25" x14ac:dyDescent="0.2">
      <c r="A290" s="11">
        <v>43376</v>
      </c>
      <c r="B290" s="380">
        <f>'2022'!Maxi_hp</f>
        <v>42.516161138689995</v>
      </c>
      <c r="C290" s="13">
        <f>'2022'!An_max</f>
        <v>2018</v>
      </c>
      <c r="D290" s="1062">
        <f t="shared" si="116"/>
        <v>0.9701291882920472</v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53">
        <f t="shared" si="119"/>
        <v>0.14285714285714285</v>
      </c>
      <c r="J290" s="746">
        <f t="shared" si="120"/>
        <v>43.825257142856884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55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53">
        <f t="shared" si="124"/>
        <v>0.5714285714285714</v>
      </c>
      <c r="AT290" s="769">
        <f t="shared" si="125"/>
        <v>43.942066472502688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53">
        <f t="shared" si="129"/>
        <v>7.1428571428571425E-2</v>
      </c>
      <c r="AY290" s="769">
        <f t="shared" si="130"/>
        <v>43.845727405138312</v>
      </c>
      <c r="AZ290" s="746">
        <f t="shared" si="134"/>
        <v>43.893896938820504</v>
      </c>
      <c r="BA290" s="643">
        <f t="shared" si="131"/>
        <v>0.9701291882920472</v>
      </c>
      <c r="BC290" s="11">
        <v>43376</v>
      </c>
      <c r="BD290" s="290">
        <f>[2]!FeuilCaduc*(1-Persistant)+Persistant</f>
        <v>0.9248322419303654</v>
      </c>
      <c r="BE290" s="291">
        <f>[2]!CroissVégét</f>
        <v>0.99153229792147035</v>
      </c>
      <c r="BF290" s="816">
        <f>1+[2]!Salcycl*Ksac</f>
        <v>1.0406040302412958</v>
      </c>
      <c r="BH290" s="1053">
        <f t="shared" si="132"/>
        <v>3.0985665346138462E-4</v>
      </c>
      <c r="BI290" s="11">
        <v>44472</v>
      </c>
      <c r="BJ290" s="726">
        <v>1.9683612755401185E-6</v>
      </c>
      <c r="BK290" s="726">
        <v>8.5197444815328686E-5</v>
      </c>
      <c r="BL290" s="726">
        <v>1.8493635084193883E-4</v>
      </c>
      <c r="BM290" s="726">
        <v>3.1018363519551333E-4</v>
      </c>
      <c r="BN290" s="726">
        <v>4.7204163584043518E-4</v>
      </c>
      <c r="BO290" s="727">
        <v>1.620341956241222E-3</v>
      </c>
      <c r="BP290" s="726">
        <v>3.4150252278144339E-3</v>
      </c>
      <c r="BQ290" s="726">
        <v>7.9953853534094309E-3</v>
      </c>
      <c r="BR290" s="726">
        <v>1.35699970517901E-2</v>
      </c>
      <c r="BS290" s="726">
        <v>2.1136288139888017E-2</v>
      </c>
      <c r="BT290" s="726">
        <v>2.8541393562845199E-2</v>
      </c>
      <c r="BW290" s="1186">
        <f>'2018'!R\Max</f>
        <v>0.9701291882920472</v>
      </c>
      <c r="BX290" s="1184">
        <f>'2019'!R\Max</f>
        <v>0.7908659368299028</v>
      </c>
      <c r="BY290" s="1184">
        <f>'2020'!R\Max</f>
        <v>0.13795608338830109</v>
      </c>
      <c r="BZ290" s="1184">
        <f>'2021'!R\Max</f>
        <v>0.16434148480104827</v>
      </c>
      <c r="CA290" s="1184">
        <f>'2022'!R\Max</f>
        <v>0.86442297901845389</v>
      </c>
      <c r="CB290" s="1184">
        <f>'2023'!R\Max</f>
        <v>0.8644087096515406</v>
      </c>
      <c r="CC290" s="1184">
        <f>'2024'!R\Max</f>
        <v>0.86437258606221068</v>
      </c>
      <c r="CD290" s="1184">
        <f>'2025'!R\Max</f>
        <v>0.86445667417935146</v>
      </c>
      <c r="CE290" s="1184">
        <f>'2026'!R\Max</f>
        <v>0.86445538775893105</v>
      </c>
      <c r="CF290" s="1185">
        <f>'2027'!R\Max</f>
        <v>0.8644467599895439</v>
      </c>
    </row>
    <row r="291" spans="1:84" s="6" customFormat="1" ht="11.25" x14ac:dyDescent="0.2">
      <c r="A291" s="11">
        <v>43377</v>
      </c>
      <c r="B291" s="380">
        <f>'2022'!Maxi_hp</f>
        <v>42.63273161899879</v>
      </c>
      <c r="C291" s="13">
        <f>'2022'!An_max</f>
        <v>2022</v>
      </c>
      <c r="D291" s="1062">
        <f t="shared" si="116"/>
        <v>0.98016226058081635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53">
        <f t="shared" si="119"/>
        <v>0.21428571428571427</v>
      </c>
      <c r="J291" s="746">
        <f t="shared" si="120"/>
        <v>43.495585714283514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55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53">
        <f t="shared" si="124"/>
        <v>0.6071428571428571</v>
      </c>
      <c r="AT291" s="769">
        <f t="shared" si="125"/>
        <v>43.595968731758845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53">
        <f t="shared" si="129"/>
        <v>0.10714285714285714</v>
      </c>
      <c r="AY291" s="769">
        <f t="shared" si="130"/>
        <v>43.521084074350071</v>
      </c>
      <c r="AZ291" s="746">
        <f t="shared" si="134"/>
        <v>43.558526403054458</v>
      </c>
      <c r="BA291" s="643">
        <f t="shared" si="131"/>
        <v>0.98016226058081635</v>
      </c>
      <c r="BC291" s="11">
        <v>43377</v>
      </c>
      <c r="BD291" s="290">
        <f>[2]!FeuilCaduc*(1-Persistant)+Persistant</f>
        <v>0.92144533031574949</v>
      </c>
      <c r="BE291" s="291">
        <f>[2]!CroissVégét</f>
        <v>0.99188357985413123</v>
      </c>
      <c r="BF291" s="816">
        <f>1+[2]!Salcycl*Ksac</f>
        <v>1.0401806662894686</v>
      </c>
      <c r="BH291" s="1053">
        <f t="shared" si="132"/>
        <v>3.8772857130382873E-4</v>
      </c>
      <c r="BI291" s="11">
        <v>44473</v>
      </c>
      <c r="BJ291" s="726">
        <v>3.571388145067397E-6</v>
      </c>
      <c r="BK291" s="726">
        <v>1.0778870222696616E-4</v>
      </c>
      <c r="BL291" s="726">
        <v>2.3252856012379272E-4</v>
      </c>
      <c r="BM291" s="726">
        <v>3.8813481086399888E-4</v>
      </c>
      <c r="BN291" s="726">
        <v>5.838590120245085E-4</v>
      </c>
      <c r="BO291" s="727">
        <v>1.8491598873722906E-3</v>
      </c>
      <c r="BP291" s="726">
        <v>3.7649469259502747E-3</v>
      </c>
      <c r="BQ291" s="726">
        <v>8.3898040025494978E-3</v>
      </c>
      <c r="BR291" s="726">
        <v>1.3844040615926943E-2</v>
      </c>
      <c r="BS291" s="726">
        <v>2.1161847843093884E-2</v>
      </c>
      <c r="BT291" s="726">
        <v>2.8271986716478223E-2</v>
      </c>
      <c r="BW291" s="1186">
        <f>'2018'!R\Max</f>
        <v>0.96776075399819461</v>
      </c>
      <c r="BX291" s="1184">
        <f>'2019'!R\Max</f>
        <v>0.24079098027024867</v>
      </c>
      <c r="BY291" s="1184">
        <f>'2020'!R\Max</f>
        <v>0.42274001801003636</v>
      </c>
      <c r="BZ291" s="1184">
        <f>'2021'!R\Max</f>
        <v>0.74975509729409306</v>
      </c>
      <c r="CA291" s="1184">
        <f>'2022'!R\Max</f>
        <v>0.98016226058081635</v>
      </c>
      <c r="CB291" s="1184">
        <f>'2023'!R\Max</f>
        <v>0.98015972345687696</v>
      </c>
      <c r="CC291" s="1184">
        <f>'2024'!R\Max</f>
        <v>0.98015364466774513</v>
      </c>
      <c r="CD291" s="1184">
        <f>'2025'!R\Max</f>
        <v>0.98016838895797898</v>
      </c>
      <c r="CE291" s="1184">
        <f>'2026'!R\Max</f>
        <v>0.98016812988737756</v>
      </c>
      <c r="CF291" s="1185">
        <f>'2027'!R\Max</f>
        <v>0.98016654460471231</v>
      </c>
    </row>
    <row r="292" spans="1:84" s="6" customFormat="1" ht="11.25" x14ac:dyDescent="0.2">
      <c r="A292" s="11">
        <v>43378</v>
      </c>
      <c r="B292" s="380">
        <f>'2022'!Maxi_hp</f>
        <v>43.975140189809323</v>
      </c>
      <c r="C292" s="13">
        <f>'2022'!An_max</f>
        <v>2022</v>
      </c>
      <c r="D292" s="1062">
        <f t="shared" si="116"/>
        <v>1.0187468727927425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53">
        <f t="shared" si="119"/>
        <v>0.2857142857142857</v>
      </c>
      <c r="J292" s="746">
        <f t="shared" si="120"/>
        <v>43.165914285712645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55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53">
        <f t="shared" si="124"/>
        <v>0.6428571428571429</v>
      </c>
      <c r="AT292" s="769">
        <f t="shared" si="125"/>
        <v>43.249656268342264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53">
        <f t="shared" si="129"/>
        <v>0.14285714285714285</v>
      </c>
      <c r="AY292" s="769">
        <f t="shared" si="130"/>
        <v>43.193398834019902</v>
      </c>
      <c r="AZ292" s="746">
        <f t="shared" si="134"/>
        <v>43.221527551181083</v>
      </c>
      <c r="BA292" s="643">
        <f t="shared" si="131"/>
        <v>1.0187468727927425</v>
      </c>
      <c r="BC292" s="11">
        <v>43378</v>
      </c>
      <c r="BD292" s="290">
        <f>[2]!FeuilCaduc*(1-Persistant)+Persistant</f>
        <v>0.9179430799943108</v>
      </c>
      <c r="BE292" s="291">
        <f>[2]!CroissVégét</f>
        <v>0.99222095198209459</v>
      </c>
      <c r="BF292" s="816">
        <f>1+[2]!Salcycl*Ksac</f>
        <v>1.0397428849992889</v>
      </c>
      <c r="BH292" s="1053">
        <f t="shared" si="132"/>
        <v>4.7791296456395832E-4</v>
      </c>
      <c r="BI292" s="11">
        <v>44474</v>
      </c>
      <c r="BJ292" s="726">
        <v>6.0225043423418847E-6</v>
      </c>
      <c r="BK292" s="726">
        <v>1.3444524016365E-4</v>
      </c>
      <c r="BL292" s="726">
        <v>2.8795838377129761E-4</v>
      </c>
      <c r="BM292" s="726">
        <v>4.7841017500077979E-4</v>
      </c>
      <c r="BN292" s="726">
        <v>7.1287807410654177E-4</v>
      </c>
      <c r="BO292" s="727">
        <v>2.084899007564658E-3</v>
      </c>
      <c r="BP292" s="726">
        <v>4.1059640958039023E-3</v>
      </c>
      <c r="BQ292" s="726">
        <v>8.733152961013636E-3</v>
      </c>
      <c r="BR292" s="726">
        <v>1.4041339554243273E-2</v>
      </c>
      <c r="BS292" s="726">
        <v>2.1099216843867674E-2</v>
      </c>
      <c r="BT292" s="726">
        <v>2.7938021979650739E-2</v>
      </c>
      <c r="BW292" s="1186">
        <f>'2018'!R\Max</f>
        <v>0.97951332615927156</v>
      </c>
      <c r="BX292" s="1184">
        <f>'2019'!R\Max</f>
        <v>0.88518109183295079</v>
      </c>
      <c r="BY292" s="1184">
        <f>'2020'!R\Max</f>
        <v>0.51492364712614558</v>
      </c>
      <c r="BZ292" s="1184">
        <f>'2021'!R\Max</f>
        <v>0.33934733481284823</v>
      </c>
      <c r="CA292" s="1184">
        <f>'2022'!R\Max</f>
        <v>1.0187468727927425</v>
      </c>
      <c r="CB292" s="1184">
        <f>'2023'!R\Max</f>
        <v>1.018746872792742</v>
      </c>
      <c r="CC292" s="1184">
        <f>'2024'!R\Max</f>
        <v>1.018746872792742</v>
      </c>
      <c r="CD292" s="1184">
        <f>'2025'!R\Max</f>
        <v>1.018746872792742</v>
      </c>
      <c r="CE292" s="1184">
        <f>'2026'!R\Max</f>
        <v>1.0187468727927422</v>
      </c>
      <c r="CF292" s="1185">
        <f>'2027'!R\Max</f>
        <v>1.0187468727927422</v>
      </c>
    </row>
    <row r="293" spans="1:84" s="6" customFormat="1" ht="11.25" x14ac:dyDescent="0.2">
      <c r="A293" s="11">
        <v>43379</v>
      </c>
      <c r="B293" s="380">
        <f>'2022'!Maxi_hp</f>
        <v>39.638043153684698</v>
      </c>
      <c r="C293" s="13">
        <f>'2022'!An_max</f>
        <v>2018</v>
      </c>
      <c r="D293" s="1062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53">
        <f t="shared" si="119"/>
        <v>0.35714285714285715</v>
      </c>
      <c r="J293" s="746">
        <f t="shared" si="120"/>
        <v>42.836242857141769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55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53">
        <f t="shared" si="124"/>
        <v>0.6785714285714286</v>
      </c>
      <c r="AT293" s="769">
        <f t="shared" si="125"/>
        <v>42.903558527768055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53">
        <f t="shared" si="129"/>
        <v>0.17857142857142858</v>
      </c>
      <c r="AY293" s="769">
        <f t="shared" si="130"/>
        <v>42.862993768063774</v>
      </c>
      <c r="AZ293" s="746">
        <f t="shared" si="134"/>
        <v>42.883276147915915</v>
      </c>
      <c r="BA293" s="643">
        <f t="shared" si="131"/>
        <v>0.92533893053779204</v>
      </c>
      <c r="BC293" s="11">
        <v>43379</v>
      </c>
      <c r="BD293" s="290">
        <f>[2]!FeuilCaduc*(1-Persistant)+Persistant</f>
        <v>0.91432449729596932</v>
      </c>
      <c r="BE293" s="291">
        <f>[2]!CroissVégét</f>
        <v>0.99254495612417293</v>
      </c>
      <c r="BF293" s="816">
        <f>1+[2]!Salcycl*Ksac</f>
        <v>1.0392905621619961</v>
      </c>
      <c r="BH293" s="1053">
        <f t="shared" si="132"/>
        <v>5.8042967025298271E-4</v>
      </c>
      <c r="BI293" s="11">
        <v>44475</v>
      </c>
      <c r="BJ293" s="726">
        <v>9.3230265430400068E-6</v>
      </c>
      <c r="BK293" s="726">
        <v>1.6517356824445663E-4</v>
      </c>
      <c r="BL293" s="726">
        <v>3.5123842543547182E-4</v>
      </c>
      <c r="BM293" s="726">
        <v>5.8102958355055005E-4</v>
      </c>
      <c r="BN293" s="726">
        <v>8.5912654983164526E-4</v>
      </c>
      <c r="BO293" s="727">
        <v>2.3275723618626865E-3</v>
      </c>
      <c r="BP293" s="726">
        <v>4.4380660296417023E-3</v>
      </c>
      <c r="BQ293" s="726">
        <v>9.0253531803145357E-3</v>
      </c>
      <c r="BR293" s="726">
        <v>1.416176728742617E-2</v>
      </c>
      <c r="BS293" s="726">
        <v>2.0948237987952308E-2</v>
      </c>
      <c r="BT293" s="726">
        <v>2.7539364214302527E-2</v>
      </c>
      <c r="BW293" s="1186">
        <f>'2018'!R\Max</f>
        <v>0.92533893053779204</v>
      </c>
      <c r="BX293" s="1184">
        <f>'2019'!R\Max</f>
        <v>0.4587211742064693</v>
      </c>
      <c r="BY293" s="1184">
        <f>'2020'!R\Max</f>
        <v>0.6739606152962464</v>
      </c>
      <c r="BZ293" s="1184">
        <f>'2021'!R\Max</f>
        <v>0.66572385006219326</v>
      </c>
      <c r="CA293" s="1184">
        <f>'2022'!R\Max</f>
        <v>0.29963108463421834</v>
      </c>
      <c r="CB293" s="1184">
        <f>'2023'!R\Max</f>
        <v>0.29960070666680616</v>
      </c>
      <c r="CC293" s="1184">
        <f>'2024'!R\Max</f>
        <v>0.29953513024276973</v>
      </c>
      <c r="CD293" s="1184">
        <f>'2025'!R\Max</f>
        <v>0.2997076041176947</v>
      </c>
      <c r="CE293" s="1184">
        <f>'2026'!R\Max</f>
        <v>0.29970360125300571</v>
      </c>
      <c r="CF293" s="1185">
        <f>'2027'!R\Max</f>
        <v>0.29968353824570182</v>
      </c>
    </row>
    <row r="294" spans="1:84" s="6" customFormat="1" ht="11.25" x14ac:dyDescent="0.2">
      <c r="A294" s="11">
        <v>43380</v>
      </c>
      <c r="B294" s="380">
        <f>'2022'!Maxi_hp</f>
        <v>42.817625020301556</v>
      </c>
      <c r="C294" s="13">
        <f>'2022'!An_max</f>
        <v>2021</v>
      </c>
      <c r="D294" s="1062">
        <f t="shared" si="116"/>
        <v>1.0073177765525823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53">
        <f t="shared" si="119"/>
        <v>0.42857142857142855</v>
      </c>
      <c r="J294" s="746">
        <f t="shared" si="120"/>
        <v>42.506571428570894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55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53">
        <f t="shared" si="124"/>
        <v>0.7142857142857143</v>
      </c>
      <c r="AT294" s="769">
        <f t="shared" si="125"/>
        <v>42.558104956349624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53">
        <f t="shared" si="129"/>
        <v>0.21428571428571427</v>
      </c>
      <c r="AY294" s="769">
        <f t="shared" si="130"/>
        <v>42.53019096214058</v>
      </c>
      <c r="AZ294" s="746">
        <f t="shared" si="134"/>
        <v>42.544147959245102</v>
      </c>
      <c r="BA294" s="643">
        <f t="shared" si="131"/>
        <v>1.0073177765525823</v>
      </c>
      <c r="BC294" s="11">
        <v>43380</v>
      </c>
      <c r="BD294" s="290">
        <f>[2]!FeuilCaduc*(1-Persistant)+Persistant</f>
        <v>0.91058888141524863</v>
      </c>
      <c r="BE294" s="291">
        <f>[2]!CroissVégét</f>
        <v>0.9928561136972186</v>
      </c>
      <c r="BF294" s="816">
        <f>1+[2]!Salcycl*Ksac</f>
        <v>1.0388236101769062</v>
      </c>
      <c r="BH294" s="1053">
        <f t="shared" si="132"/>
        <v>6.9529860507487216E-4</v>
      </c>
      <c r="BI294" s="11">
        <v>44476</v>
      </c>
      <c r="BJ294" s="726">
        <v>1.3474293511935319E-5</v>
      </c>
      <c r="BK294" s="726">
        <v>1.9998023617109572E-4</v>
      </c>
      <c r="BL294" s="726">
        <v>4.2238134822238603E-4</v>
      </c>
      <c r="BM294" s="726">
        <v>6.9601297220373774E-4</v>
      </c>
      <c r="BN294" s="726">
        <v>1.0226322649849798E-3</v>
      </c>
      <c r="BO294" s="727">
        <v>2.5771922242855514E-3</v>
      </c>
      <c r="BP294" s="726">
        <v>4.7612401719471422E-3</v>
      </c>
      <c r="BQ294" s="726">
        <v>9.2663221254576811E-3</v>
      </c>
      <c r="BR294" s="726">
        <v>1.4205193409472334E-2</v>
      </c>
      <c r="BS294" s="726">
        <v>2.0708751014229802E-2</v>
      </c>
      <c r="BT294" s="726">
        <v>2.707587730747045E-2</v>
      </c>
      <c r="BW294" s="1186">
        <f>'2018'!R\Max</f>
        <v>0.32005008510935873</v>
      </c>
      <c r="BX294" s="1184">
        <f>'2019'!R\Max</f>
        <v>0.76429191292465037</v>
      </c>
      <c r="BY294" s="1184">
        <f>'2020'!R\Max</f>
        <v>0.17538773407528419</v>
      </c>
      <c r="BZ294" s="1184">
        <f>'2021'!R\Max</f>
        <v>1.0073177765525823</v>
      </c>
      <c r="CA294" s="1184">
        <f>'2022'!R\Max</f>
        <v>0.73822444596399683</v>
      </c>
      <c r="CB294" s="1184">
        <f>'2023'!R\Max</f>
        <v>0.73819537698130688</v>
      </c>
      <c r="CC294" s="1184">
        <f>'2024'!R\Max</f>
        <v>0.73813578580881523</v>
      </c>
      <c r="CD294" s="1184">
        <f>'2025'!R\Max</f>
        <v>0.73829913751930698</v>
      </c>
      <c r="CE294" s="1184">
        <f>'2026'!R\Max</f>
        <v>0.73829479203697612</v>
      </c>
      <c r="CF294" s="1185">
        <f>'2027'!R\Max</f>
        <v>0.73827512691578379</v>
      </c>
    </row>
    <row r="295" spans="1:84" s="6" customFormat="1" ht="11.25" x14ac:dyDescent="0.2">
      <c r="A295" s="11">
        <v>43381</v>
      </c>
      <c r="B295" s="380">
        <f>'2022'!Maxi_hp</f>
        <v>40.412475476580589</v>
      </c>
      <c r="C295" s="13">
        <f>'2022'!An_max</f>
        <v>2019</v>
      </c>
      <c r="D295" s="1062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53">
        <f t="shared" si="119"/>
        <v>0.5</v>
      </c>
      <c r="J295" s="746">
        <f t="shared" si="120"/>
        <v>42.176900000000025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55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53">
        <f t="shared" si="124"/>
        <v>0.75</v>
      </c>
      <c r="AT295" s="769">
        <f t="shared" si="125"/>
        <v>42.213724999944681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53">
        <f t="shared" si="129"/>
        <v>0.25</v>
      </c>
      <c r="AY295" s="769">
        <f t="shared" si="130"/>
        <v>42.195312499767169</v>
      </c>
      <c r="AZ295" s="746">
        <f t="shared" si="134"/>
        <v>42.204518749855922</v>
      </c>
      <c r="BA295" s="643">
        <f t="shared" si="131"/>
        <v>0.95816609273276521</v>
      </c>
      <c r="BC295" s="11">
        <v>43381</v>
      </c>
      <c r="BD295" s="290">
        <f>[2]!FeuilCaduc*(1-Persistant)+Persistant</f>
        <v>0.90673584488131709</v>
      </c>
      <c r="BE295" s="291">
        <f>[2]!CroissVégét</f>
        <v>0.99315492642894099</v>
      </c>
      <c r="BF295" s="816">
        <f>1+[2]!Salcycl*Ksac</f>
        <v>1.0383419806101646</v>
      </c>
      <c r="BH295" s="1053">
        <f t="shared" si="132"/>
        <v>8.2253963126966215E-4</v>
      </c>
      <c r="BI295" s="11">
        <v>44477</v>
      </c>
      <c r="BJ295" s="726">
        <v>1.8477656819107688E-5</v>
      </c>
      <c r="BK295" s="726">
        <v>2.3887178939685077E-4</v>
      </c>
      <c r="BL295" s="726">
        <v>5.0139978927173535E-4</v>
      </c>
      <c r="BM295" s="726">
        <v>8.2338022211224284E-4</v>
      </c>
      <c r="BN295" s="726">
        <v>1.2034229559988755E-3</v>
      </c>
      <c r="BO295" s="727">
        <v>2.8337700245734646E-3</v>
      </c>
      <c r="BP295" s="726">
        <v>5.0754722212260246E-3</v>
      </c>
      <c r="BQ295" s="726">
        <v>9.455974340090597E-3</v>
      </c>
      <c r="BR295" s="726">
        <v>1.4171484533597642E-2</v>
      </c>
      <c r="BS295" s="726">
        <v>2.0380593524100668E-2</v>
      </c>
      <c r="BT295" s="726">
        <v>2.65474248788788E-2</v>
      </c>
      <c r="BW295" s="1186">
        <f>'2018'!R\Max</f>
        <v>0.31680338499973976</v>
      </c>
      <c r="BX295" s="1184">
        <f>'2019'!R\Max</f>
        <v>0.95816609273276521</v>
      </c>
      <c r="BY295" s="1184">
        <f>'2020'!R\Max</f>
        <v>0.73437588492376027</v>
      </c>
      <c r="BZ295" s="1184">
        <f>'2021'!R\Max</f>
        <v>0.91722145510744291</v>
      </c>
      <c r="CA295" s="1184">
        <f>'2022'!R\Max</f>
        <v>0.40547912825594046</v>
      </c>
      <c r="CB295" s="1184">
        <f>'2023'!R\Max</f>
        <v>0.40544177864644743</v>
      </c>
      <c r="CC295" s="1184">
        <f>'2024'!R\Max</f>
        <v>0.40536922043527462</v>
      </c>
      <c r="CD295" s="1184">
        <f>'2025'!R\Max</f>
        <v>0.40557707353701905</v>
      </c>
      <c r="CE295" s="1184">
        <f>'2026'!R\Max</f>
        <v>0.40557074217093941</v>
      </c>
      <c r="CF295" s="1185">
        <f>'2027'!R\Max</f>
        <v>0.40554487317656657</v>
      </c>
    </row>
    <row r="296" spans="1:84" s="6" customFormat="1" ht="11.25" x14ac:dyDescent="0.2">
      <c r="A296" s="11">
        <v>43382</v>
      </c>
      <c r="B296" s="380">
        <f>'2022'!Maxi_hp</f>
        <v>40.235517573950581</v>
      </c>
      <c r="C296" s="13">
        <f>'2022'!An_max</f>
        <v>2022</v>
      </c>
      <c r="D296" s="1062" t="str">
        <f t="shared" si="116"/>
        <v/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53">
        <f t="shared" si="119"/>
        <v>0.5714285714285714</v>
      </c>
      <c r="J296" s="746">
        <f t="shared" si="120"/>
        <v>41.847228571427486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55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53">
        <f t="shared" si="124"/>
        <v>0.7857142857142857</v>
      </c>
      <c r="AT296" s="769">
        <f t="shared" si="125"/>
        <v>41.870848104949772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53">
        <f t="shared" si="129"/>
        <v>0.2857142857142857</v>
      </c>
      <c r="AY296" s="769">
        <f t="shared" si="130"/>
        <v>41.858680466456072</v>
      </c>
      <c r="AZ296" s="746">
        <f t="shared" si="134"/>
        <v>41.864764285702918</v>
      </c>
      <c r="BA296" s="643">
        <f t="shared" si="131"/>
        <v>0.96148583663728326</v>
      </c>
      <c r="BC296" s="11">
        <v>43382</v>
      </c>
      <c r="BD296" s="290">
        <f>[2]!FeuilCaduc*(1-Persistant)+Persistant</f>
        <v>0.90276533293247851</v>
      </c>
      <c r="BE296" s="291">
        <f>[2]!CroissVégét</f>
        <v>0.9934418770502661</v>
      </c>
      <c r="BF296" s="816">
        <f>1+[2]!Salcycl*Ksac</f>
        <v>1.0378456666165599</v>
      </c>
      <c r="BH296" s="1053">
        <f t="shared" si="132"/>
        <v>9.529297956933358E-4</v>
      </c>
      <c r="BI296" s="11">
        <v>44478</v>
      </c>
      <c r="BJ296" s="726">
        <v>2.5699975221644056E-5</v>
      </c>
      <c r="BK296" s="726">
        <v>2.8037255031265426E-4</v>
      </c>
      <c r="BL296" s="726">
        <v>5.833480381545555E-4</v>
      </c>
      <c r="BM296" s="726">
        <v>9.5389718435193128E-4</v>
      </c>
      <c r="BN296" s="726">
        <v>1.3874855550446614E-3</v>
      </c>
      <c r="BO296" s="727">
        <v>3.0785424893624244E-3</v>
      </c>
      <c r="BP296" s="726">
        <v>5.3585815054991498E-3</v>
      </c>
      <c r="BQ296" s="726">
        <v>9.5828294494882619E-3</v>
      </c>
      <c r="BR296" s="726">
        <v>1.406176798678805E-2</v>
      </c>
      <c r="BS296" s="726">
        <v>1.9980301125776086E-2</v>
      </c>
      <c r="BT296" s="726">
        <v>2.5975722324104944E-2</v>
      </c>
      <c r="BW296" s="1186">
        <f>'2018'!R\Max</f>
        <v>0.83200849475678262</v>
      </c>
      <c r="BX296" s="1184">
        <f>'2019'!R\Max</f>
        <v>0.2383639018043591</v>
      </c>
      <c r="BY296" s="1184">
        <f>'2020'!R\Max</f>
        <v>0.88672947381791878</v>
      </c>
      <c r="BZ296" s="1184">
        <f>'2021'!R\Max</f>
        <v>0.40434293704578583</v>
      </c>
      <c r="CA296" s="1184">
        <f>'2022'!R\Max</f>
        <v>0.96148583663728326</v>
      </c>
      <c r="CB296" s="1184">
        <f>'2023'!R\Max</f>
        <v>0.96147998035457261</v>
      </c>
      <c r="CC296" s="1184">
        <f>'2024'!R\Max</f>
        <v>0.96146918598621034</v>
      </c>
      <c r="CD296" s="1184">
        <f>'2025'!R\Max</f>
        <v>0.96150148733045848</v>
      </c>
      <c r="CE296" s="1184">
        <f>'2026'!R\Max</f>
        <v>0.96150037437526092</v>
      </c>
      <c r="CF296" s="1185">
        <f>'2027'!R\Max</f>
        <v>0.96149623263253059</v>
      </c>
    </row>
    <row r="297" spans="1:84" s="6" customFormat="1" ht="11.25" x14ac:dyDescent="0.2">
      <c r="A297" s="11">
        <v>43383</v>
      </c>
      <c r="B297" s="380">
        <f>'2022'!Maxi_hp</f>
        <v>33.161350482065217</v>
      </c>
      <c r="C297" s="13">
        <f>'2022'!An_max</f>
        <v>2022</v>
      </c>
      <c r="D297" s="1062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53">
        <f t="shared" si="119"/>
        <v>0.6428571428571429</v>
      </c>
      <c r="J297" s="746">
        <f t="shared" si="120"/>
        <v>41.517557142855367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55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53">
        <f t="shared" si="124"/>
        <v>0.8214285714285714</v>
      </c>
      <c r="AT297" s="769">
        <f t="shared" si="125"/>
        <v>41.529903717239257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53">
        <f t="shared" si="129"/>
        <v>0.32142857142857145</v>
      </c>
      <c r="AY297" s="769">
        <f t="shared" si="130"/>
        <v>41.520616945764047</v>
      </c>
      <c r="AZ297" s="746">
        <f t="shared" si="134"/>
        <v>41.525260331501656</v>
      </c>
      <c r="BA297" s="643">
        <f t="shared" si="131"/>
        <v>0.79873077233234702</v>
      </c>
      <c r="BC297" s="11">
        <v>43383</v>
      </c>
      <c r="BD297" s="290">
        <f>[2]!FeuilCaduc*(1-Persistant)+Persistant</f>
        <v>0.89867764159247643</v>
      </c>
      <c r="BE297" s="291">
        <f>[2]!CroissVégét</f>
        <v>0.99371742996744827</v>
      </c>
      <c r="BF297" s="816">
        <f>1+[2]!Salcycl*Ksac</f>
        <v>1.0373347051990596</v>
      </c>
      <c r="BH297" s="1053">
        <f t="shared" si="132"/>
        <v>1.0797955345646744E-3</v>
      </c>
      <c r="BI297" s="11">
        <v>44479</v>
      </c>
      <c r="BJ297" s="726">
        <v>3.5145635423778261E-5</v>
      </c>
      <c r="BK297" s="726">
        <v>3.2266198866667226E-4</v>
      </c>
      <c r="BL297" s="726">
        <v>6.6421652575338226E-4</v>
      </c>
      <c r="BM297" s="726">
        <v>1.0808833220749448E-3</v>
      </c>
      <c r="BN297" s="726">
        <v>1.56523227998423E-3</v>
      </c>
      <c r="BO297" s="727">
        <v>3.2994593510389334E-3</v>
      </c>
      <c r="BP297" s="726">
        <v>5.5989505835579182E-3</v>
      </c>
      <c r="BQ297" s="726">
        <v>9.6610814014205827E-3</v>
      </c>
      <c r="BR297" s="726">
        <v>1.3916975656034848E-2</v>
      </c>
      <c r="BS297" s="726">
        <v>1.9567863590992236E-2</v>
      </c>
      <c r="BT297" s="726">
        <v>2.5409458286870967E-2</v>
      </c>
      <c r="BW297" s="1186">
        <f>'2018'!R\Max</f>
        <v>0.4653039307847856</v>
      </c>
      <c r="BX297" s="1184">
        <f>'2019'!R\Max</f>
        <v>0.72920341621982254</v>
      </c>
      <c r="BY297" s="1184">
        <f>'2020'!R\Max</f>
        <v>0.62084472077280783</v>
      </c>
      <c r="BZ297" s="1184">
        <f>'2021'!R\Max</f>
        <v>0.72654002806553442</v>
      </c>
      <c r="CA297" s="1184">
        <f>'2022'!R\Max</f>
        <v>0.79873077233234702</v>
      </c>
      <c r="CB297" s="1184">
        <f>'2023'!R\Max</f>
        <v>0.79870504575958157</v>
      </c>
      <c r="CC297" s="1184">
        <f>'2024'!R\Max</f>
        <v>0.79865981579918954</v>
      </c>
      <c r="CD297" s="1184">
        <f>'2025'!R\Max</f>
        <v>0.7988007390447186</v>
      </c>
      <c r="CE297" s="1184">
        <f>'2026'!R\Max</f>
        <v>0.7987953228710023</v>
      </c>
      <c r="CF297" s="1185">
        <f>'2027'!R\Max</f>
        <v>0.79877678799525231</v>
      </c>
    </row>
    <row r="298" spans="1:84" s="6" customFormat="1" ht="11.25" x14ac:dyDescent="0.2">
      <c r="A298" s="11">
        <v>43384</v>
      </c>
      <c r="B298" s="380">
        <f>'2022'!Maxi_hp</f>
        <v>42.375150802238252</v>
      </c>
      <c r="C298" s="13">
        <f>'2022'!An_max</f>
        <v>2019</v>
      </c>
      <c r="D298" s="1062">
        <f t="shared" si="116"/>
        <v>1.0288255895480938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53">
        <f t="shared" si="119"/>
        <v>0.7142857142857143</v>
      </c>
      <c r="J298" s="746">
        <f t="shared" si="120"/>
        <v>41.187885714284491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55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53">
        <f t="shared" si="124"/>
        <v>0.8571428571428571</v>
      </c>
      <c r="AT298" s="769">
        <f t="shared" si="125"/>
        <v>41.191321282780599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53">
        <f t="shared" si="129"/>
        <v>0.35714285714285715</v>
      </c>
      <c r="AY298" s="769">
        <f t="shared" si="130"/>
        <v>41.181444023230242</v>
      </c>
      <c r="AZ298" s="746">
        <f t="shared" si="134"/>
        <v>41.186382653005424</v>
      </c>
      <c r="BA298" s="643">
        <f t="shared" si="131"/>
        <v>1.0288255895480938</v>
      </c>
      <c r="BC298" s="11">
        <v>43384</v>
      </c>
      <c r="BD298" s="290">
        <f>[2]!FeuilCaduc*(1-Persistant)+Persistant</f>
        <v>0.89447343425168757</v>
      </c>
      <c r="BE298" s="291">
        <f>[2]!CroissVégét</f>
        <v>0.99398203191418089</v>
      </c>
      <c r="BF298" s="816">
        <f>1+[2]!Salcycl*Ksac</f>
        <v>1.0368091792814609</v>
      </c>
      <c r="BH298" s="1053">
        <f t="shared" si="132"/>
        <v>1.2031307279629362E-3</v>
      </c>
      <c r="BI298" s="11">
        <v>44480</v>
      </c>
      <c r="BJ298" s="726">
        <v>4.681812125713889E-5</v>
      </c>
      <c r="BK298" s="726">
        <v>3.6574117795643159E-4</v>
      </c>
      <c r="BL298" s="726">
        <v>7.4400320336875502E-4</v>
      </c>
      <c r="BM298" s="726">
        <v>1.2043325047040266E-3</v>
      </c>
      <c r="BN298" s="726">
        <v>1.7366523426172518E-3</v>
      </c>
      <c r="BO298" s="727">
        <v>3.4964806656947378E-3</v>
      </c>
      <c r="BP298" s="726">
        <v>5.7965075204414384E-3</v>
      </c>
      <c r="BQ298" s="726">
        <v>9.6906438725183203E-3</v>
      </c>
      <c r="BR298" s="726">
        <v>1.3737036678374483E-2</v>
      </c>
      <c r="BS298" s="726">
        <v>1.9143238491746487E-2</v>
      </c>
      <c r="BT298" s="726">
        <v>2.4848610720437536E-2</v>
      </c>
      <c r="BW298" s="1186">
        <f>'2018'!R\Max</f>
        <v>0.75152765788784304</v>
      </c>
      <c r="BX298" s="1184">
        <f>'2019'!R\Max</f>
        <v>1.0288255895480938</v>
      </c>
      <c r="BY298" s="1184">
        <f>'2020'!R\Max</f>
        <v>0.56223479979474322</v>
      </c>
      <c r="BZ298" s="1184">
        <f>'2021'!R\Max</f>
        <v>1.0139392711953765</v>
      </c>
      <c r="CA298" s="1184">
        <f>'2022'!R\Max</f>
        <v>0.58545980817864396</v>
      </c>
      <c r="CB298" s="1184">
        <f>'2023'!R\Max</f>
        <v>0.58542083353649299</v>
      </c>
      <c r="CC298" s="1184">
        <f>'2024'!R\Max</f>
        <v>0.58535514176927317</v>
      </c>
      <c r="CD298" s="1184">
        <f>'2025'!R\Max</f>
        <v>0.58556754030092228</v>
      </c>
      <c r="CE298" s="1184">
        <f>'2026'!R\Max</f>
        <v>0.58555852258675678</v>
      </c>
      <c r="CF298" s="1185">
        <f>'2027'!R\Max</f>
        <v>0.58552998206915396</v>
      </c>
    </row>
    <row r="299" spans="1:84" s="6" customFormat="1" ht="11.25" x14ac:dyDescent="0.2">
      <c r="A299" s="11">
        <v>43385</v>
      </c>
      <c r="B299" s="380">
        <f>'2022'!Maxi_hp</f>
        <v>39.768274465309958</v>
      </c>
      <c r="C299" s="13">
        <f>'2022'!An_max</f>
        <v>2021</v>
      </c>
      <c r="D299" s="1062">
        <f t="shared" si="116"/>
        <v>0.97332385079822814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53">
        <f t="shared" si="119"/>
        <v>0.7857142857142857</v>
      </c>
      <c r="J299" s="746">
        <f t="shared" si="120"/>
        <v>40.858214285713622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55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53">
        <f t="shared" si="124"/>
        <v>0.8928571428571429</v>
      </c>
      <c r="AT299" s="769">
        <f t="shared" si="125"/>
        <v>40.855530247847284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53">
        <f t="shared" si="129"/>
        <v>0.39285714285714285</v>
      </c>
      <c r="AY299" s="769">
        <f t="shared" si="130"/>
        <v>40.841483782910345</v>
      </c>
      <c r="AZ299" s="746">
        <f t="shared" si="134"/>
        <v>40.848507015378814</v>
      </c>
      <c r="BA299" s="643">
        <f t="shared" si="131"/>
        <v>0.97332385079822814</v>
      </c>
      <c r="BC299" s="11">
        <v>43385</v>
      </c>
      <c r="BD299" s="290">
        <f>[2]!FeuilCaduc*(1-Persistant)+Persistant</f>
        <v>0.8901537565639891</v>
      </c>
      <c r="BE299" s="291">
        <f>[2]!CroissVégét</f>
        <v>0.99423611258398381</v>
      </c>
      <c r="BF299" s="816">
        <f>1+[2]!Salcycl*Ksac</f>
        <v>1.0362692195704986</v>
      </c>
      <c r="BH299" s="1053">
        <f t="shared" si="132"/>
        <v>1.3229286815016734E-3</v>
      </c>
      <c r="BI299" s="11">
        <v>44481</v>
      </c>
      <c r="BJ299" s="726">
        <v>6.0720888289744903E-5</v>
      </c>
      <c r="BK299" s="726">
        <v>4.0961101164320598E-4</v>
      </c>
      <c r="BL299" s="726">
        <v>8.2270566292098391E-4</v>
      </c>
      <c r="BM299" s="726">
        <v>1.3242380266332242E-3</v>
      </c>
      <c r="BN299" s="726">
        <v>1.9017341419014179E-3</v>
      </c>
      <c r="BO299" s="727">
        <v>3.6695653881604904E-3</v>
      </c>
      <c r="BP299" s="726">
        <v>5.9511790888719411E-3</v>
      </c>
      <c r="BQ299" s="726">
        <v>9.6714299326156397E-3</v>
      </c>
      <c r="BR299" s="726">
        <v>1.3521880651093705E-2</v>
      </c>
      <c r="BS299" s="726">
        <v>1.8706385181311111E-2</v>
      </c>
      <c r="BT299" s="726">
        <v>2.4293160150367355E-2</v>
      </c>
      <c r="BW299" s="1186">
        <f>'2018'!R\Max</f>
        <v>0.86076301993139481</v>
      </c>
      <c r="BX299" s="1184">
        <f>'2019'!R\Max</f>
        <v>0.51091211910310241</v>
      </c>
      <c r="BY299" s="1184">
        <f>'2020'!R\Max</f>
        <v>0.40592763123446651</v>
      </c>
      <c r="BZ299" s="1184">
        <f>'2021'!R\Max</f>
        <v>0.97332385079822814</v>
      </c>
      <c r="CA299" s="1184">
        <f>'2022'!R\Max</f>
        <v>0.73724469783273894</v>
      </c>
      <c r="CB299" s="1184">
        <f>'2023'!R\Max</f>
        <v>0.73721373859568551</v>
      </c>
      <c r="CC299" s="1184">
        <f>'2024'!R\Max</f>
        <v>0.73716346371662156</v>
      </c>
      <c r="CD299" s="1184">
        <f>'2025'!R\Max</f>
        <v>0.73733158303160218</v>
      </c>
      <c r="CE299" s="1184">
        <f>'2026'!R\Max</f>
        <v>0.73732375046441279</v>
      </c>
      <c r="CF299" s="1185">
        <f>'2027'!R\Max</f>
        <v>0.73730075600198286</v>
      </c>
    </row>
    <row r="300" spans="1:84" s="6" customFormat="1" ht="11.25" x14ac:dyDescent="0.2">
      <c r="A300" s="11">
        <v>43386</v>
      </c>
      <c r="B300" s="380">
        <f>'2022'!Maxi_hp</f>
        <v>39.855056795061437</v>
      </c>
      <c r="C300" s="13">
        <f>'2022'!An_max</f>
        <v>2019</v>
      </c>
      <c r="D300" s="1062">
        <f t="shared" si="116"/>
        <v>0.98338242594965108</v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53">
        <f t="shared" si="119"/>
        <v>0.8571428571428571</v>
      </c>
      <c r="J300" s="746">
        <f t="shared" si="120"/>
        <v>40.528542857142746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55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53">
        <f t="shared" si="124"/>
        <v>0.9285714285714286</v>
      </c>
      <c r="AT300" s="769">
        <f t="shared" si="125"/>
        <v>40.522960058247136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53">
        <f t="shared" si="129"/>
        <v>0.42857142857142855</v>
      </c>
      <c r="AY300" s="769">
        <f t="shared" si="130"/>
        <v>40.501058308993059</v>
      </c>
      <c r="AZ300" s="746">
        <f t="shared" si="134"/>
        <v>40.512009183620094</v>
      </c>
      <c r="BA300" s="643">
        <f t="shared" si="131"/>
        <v>0.98338242594965108</v>
      </c>
      <c r="BC300" s="11">
        <v>43386</v>
      </c>
      <c r="BD300" s="290">
        <f>[2]!FeuilCaduc*(1-Persistant)+Persistant</f>
        <v>0.88572004947976746</v>
      </c>
      <c r="BE300" s="291">
        <f>[2]!CroissVégét</f>
        <v>0.99448008524317211</v>
      </c>
      <c r="BF300" s="816">
        <f>1+[2]!Salcycl*Ksac</f>
        <v>1.0357150061849709</v>
      </c>
      <c r="BH300" s="1053">
        <f t="shared" si="132"/>
        <v>1.4391821663850668E-3</v>
      </c>
      <c r="BI300" s="11">
        <v>44482</v>
      </c>
      <c r="BJ300" s="726">
        <v>7.6857339586331588E-5</v>
      </c>
      <c r="BK300" s="726">
        <v>4.542721950015147E-4</v>
      </c>
      <c r="BL300" s="726">
        <v>9.0032114970516866E-4</v>
      </c>
      <c r="BM300" s="726">
        <v>1.4405926473556833E-3</v>
      </c>
      <c r="BN300" s="726">
        <v>2.0604653351644227E-3</v>
      </c>
      <c r="BO300" s="727">
        <v>3.8186716358148708E-3</v>
      </c>
      <c r="BP300" s="726">
        <v>6.0628912401290078E-3</v>
      </c>
      <c r="BQ300" s="726">
        <v>9.6033525780580119E-3</v>
      </c>
      <c r="BR300" s="726">
        <v>1.3271438014440364E-2</v>
      </c>
      <c r="BS300" s="726">
        <v>1.8257264922890027E-2</v>
      </c>
      <c r="BT300" s="726">
        <v>2.3743089608979241E-2</v>
      </c>
      <c r="BW300" s="1186">
        <f>'2018'!R\Max</f>
        <v>0.70127018837821842</v>
      </c>
      <c r="BX300" s="1184">
        <f>'2019'!R\Max</f>
        <v>0.98338242594965108</v>
      </c>
      <c r="BY300" s="1184">
        <f>'2020'!R\Max</f>
        <v>0.60021782538826074</v>
      </c>
      <c r="BZ300" s="1184">
        <f>'2021'!R\Max</f>
        <v>0.96237424434376284</v>
      </c>
      <c r="CA300" s="1184">
        <f>'2022'!R\Max</f>
        <v>0.61337666025259385</v>
      </c>
      <c r="CB300" s="1184">
        <f>'2023'!R\Max</f>
        <v>0.61333926579604914</v>
      </c>
      <c r="CC300" s="1184">
        <f>'2024'!R\Max</f>
        <v>0.61328049717186006</v>
      </c>
      <c r="CD300" s="1184">
        <f>'2025'!R\Max</f>
        <v>0.61348318102670785</v>
      </c>
      <c r="CE300" s="1184">
        <f>'2026'!R\Max</f>
        <v>0.61347285563529819</v>
      </c>
      <c r="CF300" s="1185">
        <f>'2027'!R\Max</f>
        <v>0.6134447185748253</v>
      </c>
    </row>
    <row r="301" spans="1:84" s="6" customFormat="1" ht="11.25" x14ac:dyDescent="0.2">
      <c r="A301" s="11">
        <v>43387</v>
      </c>
      <c r="B301" s="380">
        <f>'2022'!Maxi_hp</f>
        <v>41.909965007378638</v>
      </c>
      <c r="C301" s="13">
        <f>'2022'!An_max</f>
        <v>2021</v>
      </c>
      <c r="D301" s="1062">
        <f t="shared" si="116"/>
        <v>1.0425657118720353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53">
        <f t="shared" si="119"/>
        <v>0.9285714285714286</v>
      </c>
      <c r="J301" s="746">
        <f t="shared" si="120"/>
        <v>40.19887142856917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55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53">
        <f t="shared" si="124"/>
        <v>0.9642857142857143</v>
      </c>
      <c r="AT301" s="769">
        <f t="shared" si="125"/>
        <v>40.194040160443237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53">
        <f t="shared" si="129"/>
        <v>0.4642857142857143</v>
      </c>
      <c r="AY301" s="769">
        <f t="shared" si="130"/>
        <v>40.160489686691605</v>
      </c>
      <c r="AZ301" s="746">
        <f t="shared" si="134"/>
        <v>40.177264923567421</v>
      </c>
      <c r="BA301" s="643">
        <f t="shared" si="131"/>
        <v>1.0425657118720353</v>
      </c>
      <c r="BC301" s="11">
        <v>43387</v>
      </c>
      <c r="BD301" s="290">
        <f>[2]!FeuilCaduc*(1-Persistant)+Persistant</f>
        <v>0.88117416024711881</v>
      </c>
      <c r="BE301" s="291">
        <f>[2]!CroissVégét</f>
        <v>0.99471434732473374</v>
      </c>
      <c r="BF301" s="816">
        <f>1+[2]!Salcycl*Ksac</f>
        <v>1.0351467700308898</v>
      </c>
      <c r="BH301" s="1053">
        <f t="shared" si="132"/>
        <v>1.5518834594769075E-3</v>
      </c>
      <c r="BI301" s="11">
        <v>44483</v>
      </c>
      <c r="BJ301" s="726">
        <v>9.5230801469238695E-5</v>
      </c>
      <c r="BK301" s="726">
        <v>4.9972523697251791E-4</v>
      </c>
      <c r="BL301" s="726">
        <v>9.7684657515406648E-4</v>
      </c>
      <c r="BM301" s="726">
        <v>1.5533886316041051E-3</v>
      </c>
      <c r="BN301" s="726">
        <v>2.2128329093341315E-3</v>
      </c>
      <c r="BO301" s="727">
        <v>3.9437569524288767E-3</v>
      </c>
      <c r="BP301" s="726">
        <v>6.1315695749809239E-3</v>
      </c>
      <c r="BQ301" s="726">
        <v>9.4863252651028167E-3</v>
      </c>
      <c r="BR301" s="726">
        <v>1.298564043446359E-2</v>
      </c>
      <c r="BS301" s="726">
        <v>1.7795841018454467E-2</v>
      </c>
      <c r="BT301" s="726">
        <v>2.3198384570034272E-2</v>
      </c>
      <c r="BW301" s="1186">
        <f>'2018'!R\Max</f>
        <v>0.88844904140421466</v>
      </c>
      <c r="BX301" s="1184">
        <f>'2019'!R\Max</f>
        <v>0.33670436670833365</v>
      </c>
      <c r="BY301" s="1184">
        <f>'2020'!R\Max</f>
        <v>0.5592118149079196</v>
      </c>
      <c r="BZ301" s="1184">
        <f>'2021'!R\Max</f>
        <v>1.0425657118720353</v>
      </c>
      <c r="CA301" s="1184">
        <f>'2022'!R\Max</f>
        <v>0.52492411996481725</v>
      </c>
      <c r="CB301" s="1184">
        <f>'2023'!R\Max</f>
        <v>0.52488566945653292</v>
      </c>
      <c r="CC301" s="1184">
        <f>'2024'!R\Max</f>
        <v>0.52482692043399448</v>
      </c>
      <c r="CD301" s="1184">
        <f>'2025'!R\Max</f>
        <v>0.52503528358690155</v>
      </c>
      <c r="CE301" s="1184">
        <f>'2026'!R\Max</f>
        <v>0.52502369654953063</v>
      </c>
      <c r="CF301" s="1185">
        <f>'2027'!R\Max</f>
        <v>0.52499442026969567</v>
      </c>
    </row>
    <row r="302" spans="1:84" s="6" customFormat="1" ht="11.25" x14ac:dyDescent="0.2">
      <c r="A302" s="11">
        <v>43388</v>
      </c>
      <c r="B302" s="380">
        <f>'2022'!Maxi_hp</f>
        <v>39.088348583693467</v>
      </c>
      <c r="C302" s="13">
        <f>'2022'!An_max</f>
        <v>2022</v>
      </c>
      <c r="D302" s="1062">
        <f t="shared" si="116"/>
        <v>0.98041467056513154</v>
      </c>
      <c r="E302" s="1057">
        <f>AH$13/10</f>
        <v>39.869199999999999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53">
        <f t="shared" si="119"/>
        <v>1</v>
      </c>
      <c r="J302" s="746">
        <f t="shared" si="120"/>
        <v>39.869199999998088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55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53">
        <f t="shared" si="124"/>
        <v>1</v>
      </c>
      <c r="AT302" s="769">
        <f t="shared" si="125"/>
        <v>39.869200000073761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53">
        <f t="shared" si="129"/>
        <v>0.5</v>
      </c>
      <c r="AY302" s="769">
        <f t="shared" si="130"/>
        <v>39.82009999975562</v>
      </c>
      <c r="AZ302" s="746">
        <f t="shared" si="134"/>
        <v>39.844649999914694</v>
      </c>
      <c r="BA302" s="643">
        <f t="shared" si="131"/>
        <v>0.98041467056513154</v>
      </c>
      <c r="BC302" s="11">
        <v>43388</v>
      </c>
      <c r="BD302" s="290">
        <f>[2]!FeuilCaduc*(1-Persistant)+Persistant</f>
        <v>0.87651835122667876</v>
      </c>
      <c r="BE302" s="291">
        <f>[2]!CroissVégét</f>
        <v>0.99493928100346574</v>
      </c>
      <c r="BF302" s="816">
        <f>1+[2]!Salcycl*Ksac</f>
        <v>1.0345647939033349</v>
      </c>
      <c r="BH302" s="1053">
        <f t="shared" si="132"/>
        <v>1.6610243833574212E-3</v>
      </c>
      <c r="BI302" s="11">
        <v>44484</v>
      </c>
      <c r="BJ302" s="726">
        <v>1.1584449927883321E-4</v>
      </c>
      <c r="BK302" s="726">
        <v>5.4597044201372543E-4</v>
      </c>
      <c r="BL302" s="726">
        <v>1.0522785295934572E-3</v>
      </c>
      <c r="BM302" s="726">
        <v>1.6626177894790331E-3</v>
      </c>
      <c r="BN302" s="726">
        <v>2.3588232521512121E-3</v>
      </c>
      <c r="BO302" s="727">
        <v>4.0447785719749801E-3</v>
      </c>
      <c r="BP302" s="726">
        <v>6.157139814557927E-3</v>
      </c>
      <c r="BQ302" s="726">
        <v>9.3202624432235405E-3</v>
      </c>
      <c r="BR302" s="726">
        <v>1.2664421185717891E-2</v>
      </c>
      <c r="BS302" s="726">
        <v>1.7322078937389476E-2</v>
      </c>
      <c r="BT302" s="726">
        <v>2.2659032883176691E-2</v>
      </c>
      <c r="BW302" s="1186">
        <f>'2018'!R\Max</f>
        <v>0.27375488842494022</v>
      </c>
      <c r="BX302" s="1184">
        <f>'2019'!R\Max</f>
        <v>0.80828354064912233</v>
      </c>
      <c r="BY302" s="1184">
        <f>'2020'!R\Max</f>
        <v>0.39035649871254341</v>
      </c>
      <c r="BZ302" s="1184">
        <f>'2021'!R\Max</f>
        <v>0.86036033572031889</v>
      </c>
      <c r="CA302" s="1184">
        <f>'2022'!R\Max</f>
        <v>0.98041467056513154</v>
      </c>
      <c r="CB302" s="1184">
        <f>'2023'!R\Max</f>
        <v>0.9804118034500735</v>
      </c>
      <c r="CC302" s="1184">
        <f>'2024'!R\Max</f>
        <v>0.9804075237147617</v>
      </c>
      <c r="CD302" s="1184">
        <f>'2025'!R\Max</f>
        <v>0.98042308344512952</v>
      </c>
      <c r="CE302" s="1184">
        <f>'2026'!R\Max</f>
        <v>0.98042213911084686</v>
      </c>
      <c r="CF302" s="1185">
        <f>'2027'!R\Max</f>
        <v>0.98041993292869711</v>
      </c>
    </row>
    <row r="303" spans="1:84" s="6" customFormat="1" ht="11.25" x14ac:dyDescent="0.2">
      <c r="A303" s="11">
        <v>43389</v>
      </c>
      <c r="B303" s="380">
        <f>'2022'!Maxi_hp</f>
        <v>38.517225515333379</v>
      </c>
      <c r="C303" s="13">
        <f>'2022'!An_max</f>
        <v>2021</v>
      </c>
      <c r="D303" s="1062">
        <f t="shared" si="116"/>
        <v>0.97416770855452417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53">
        <f t="shared" si="119"/>
        <v>0.9285714285714286</v>
      </c>
      <c r="J303" s="746">
        <f t="shared" si="120"/>
        <v>39.538598104925349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55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53">
        <f t="shared" si="124"/>
        <v>0.9642857142857143</v>
      </c>
      <c r="AT303" s="769">
        <f t="shared" si="125"/>
        <v>39.545283596071286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53">
        <f t="shared" si="129"/>
        <v>0.5357142857142857</v>
      </c>
      <c r="AY303" s="769">
        <f t="shared" si="130"/>
        <v>39.480211333804093</v>
      </c>
      <c r="AZ303" s="746">
        <f t="shared" si="134"/>
        <v>39.512747464937689</v>
      </c>
      <c r="BA303" s="643">
        <f t="shared" si="131"/>
        <v>0.97416770855452417</v>
      </c>
      <c r="BC303" s="11">
        <v>43389</v>
      </c>
      <c r="BD303" s="290">
        <f>[2]!FeuilCaduc*(1-Persistant)+Persistant</f>
        <v>0.8717553063806176</v>
      </c>
      <c r="BE303" s="291">
        <f>[2]!CroissVégét</f>
        <v>0.99515525375273173</v>
      </c>
      <c r="BF303" s="816">
        <f>1+[2]!Salcycl*Ksac</f>
        <v>1.0339694132975772</v>
      </c>
      <c r="BH303" s="1053">
        <f t="shared" si="132"/>
        <v>1.7665963463843965E-3</v>
      </c>
      <c r="BI303" s="11">
        <v>44485</v>
      </c>
      <c r="BJ303" s="726">
        <v>1.3870153313408259E-4</v>
      </c>
      <c r="BK303" s="726">
        <v>5.9300790194999971E-4</v>
      </c>
      <c r="BL303" s="726">
        <v>1.1266132950001498E-3</v>
      </c>
      <c r="BM303" s="726">
        <v>1.768271516581447E-3</v>
      </c>
      <c r="BN303" s="726">
        <v>2.4984222233879832E-3</v>
      </c>
      <c r="BO303" s="727">
        <v>4.1216936824491276E-3</v>
      </c>
      <c r="BP303" s="726">
        <v>6.139528271247096E-3</v>
      </c>
      <c r="BQ303" s="726">
        <v>9.1050800884507899E-3</v>
      </c>
      <c r="BR303" s="726">
        <v>1.2307715534020032E-2</v>
      </c>
      <c r="BS303" s="726">
        <v>1.6835946445214391E-2</v>
      </c>
      <c r="BT303" s="726">
        <v>2.2125024708470806E-2</v>
      </c>
      <c r="BW303" s="1186">
        <f>'2018'!R\Max</f>
        <v>0.45680481507970316</v>
      </c>
      <c r="BX303" s="1184">
        <f>'2019'!R\Max</f>
        <v>0.88843608331906609</v>
      </c>
      <c r="BY303" s="1184">
        <f>'2020'!R\Max</f>
        <v>0.48533884295256874</v>
      </c>
      <c r="BZ303" s="1184">
        <f>'2021'!R\Max</f>
        <v>0.97416770855452417</v>
      </c>
      <c r="CA303" s="1184">
        <f>'2022'!R\Max</f>
        <v>0.88787225407369674</v>
      </c>
      <c r="CB303" s="1184">
        <f>'2023'!R\Max</f>
        <v>0.88785801354820626</v>
      </c>
      <c r="CC303" s="1184">
        <f>'2024'!R\Max</f>
        <v>0.8878371476746606</v>
      </c>
      <c r="CD303" s="1184">
        <f>'2025'!R\Max</f>
        <v>0.88791471126350174</v>
      </c>
      <c r="CE303" s="1184">
        <f>'2026'!R\Max</f>
        <v>0.88790956120901721</v>
      </c>
      <c r="CF303" s="1185">
        <f>'2027'!R\Max</f>
        <v>0.88789848878474753</v>
      </c>
    </row>
    <row r="304" spans="1:84" s="6" customFormat="1" ht="11.25" x14ac:dyDescent="0.2">
      <c r="A304" s="11">
        <v>43390</v>
      </c>
      <c r="B304" s="380">
        <f>'2022'!Maxi_hp</f>
        <v>36.170374756257267</v>
      </c>
      <c r="C304" s="13">
        <f>'2022'!An_max</f>
        <v>2021</v>
      </c>
      <c r="D304" s="1062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53">
        <f t="shared" si="119"/>
        <v>0.8571428571428571</v>
      </c>
      <c r="J304" s="746">
        <f t="shared" si="120"/>
        <v>39.206421574324899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55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53">
        <f t="shared" si="124"/>
        <v>0.9285714285714286</v>
      </c>
      <c r="AT304" s="769">
        <f t="shared" si="125"/>
        <v>39.21907233965716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53">
        <f t="shared" si="129"/>
        <v>0.5714285714285714</v>
      </c>
      <c r="AY304" s="769">
        <f t="shared" si="130"/>
        <v>39.141145772274051</v>
      </c>
      <c r="AZ304" s="746">
        <f t="shared" si="134"/>
        <v>39.180109055965602</v>
      </c>
      <c r="BA304" s="643">
        <f t="shared" si="131"/>
        <v>0.92256251154387814</v>
      </c>
      <c r="BC304" s="11">
        <v>43390</v>
      </c>
      <c r="BD304" s="290">
        <f>[2]!FeuilCaduc*(1-Persistant)+Persistant</f>
        <v>0.86688813531301845</v>
      </c>
      <c r="BE304" s="291">
        <f>[2]!CroissVégét</f>
        <v>0.99536261888322142</v>
      </c>
      <c r="BF304" s="816">
        <f>1+[2]!Salcycl*Ksac</f>
        <v>1.0333610169141274</v>
      </c>
      <c r="BH304" s="1053">
        <f t="shared" si="132"/>
        <v>1.8606041527805025E-3</v>
      </c>
      <c r="BI304" s="11">
        <v>44486</v>
      </c>
      <c r="BJ304" s="726">
        <v>1.6308664274680449E-4</v>
      </c>
      <c r="BK304" s="726">
        <v>6.3798384028557989E-4</v>
      </c>
      <c r="BL304" s="726">
        <v>1.1945777018280283E-3</v>
      </c>
      <c r="BM304" s="726">
        <v>1.8623474921684278E-3</v>
      </c>
      <c r="BN304" s="726">
        <v>2.6207676063023468E-3</v>
      </c>
      <c r="BO304" s="727">
        <v>4.169574143954643E-3</v>
      </c>
      <c r="BP304" s="726">
        <v>6.0815636008611012E-3</v>
      </c>
      <c r="BQ304" s="726">
        <v>8.8536066216533624E-3</v>
      </c>
      <c r="BR304" s="726">
        <v>1.1933678786928673E-2</v>
      </c>
      <c r="BS304" s="726">
        <v>1.6361554774836445E-2</v>
      </c>
      <c r="BT304" s="726">
        <v>2.1626844519094291E-2</v>
      </c>
      <c r="BW304" s="1186">
        <f>'2018'!R\Max</f>
        <v>0.55660010356820067</v>
      </c>
      <c r="BX304" s="1184">
        <f>'2019'!R\Max</f>
        <v>0.52253698570736473</v>
      </c>
      <c r="BY304" s="1184">
        <f>'2020'!R\Max</f>
        <v>0.26045506029334164</v>
      </c>
      <c r="BZ304" s="1184">
        <f>'2021'!R\Max</f>
        <v>0.92256251154387814</v>
      </c>
      <c r="CA304" s="1184">
        <f>'2022'!R\Max</f>
        <v>0.54328599255513932</v>
      </c>
      <c r="CB304" s="1184">
        <f>'2023'!R\Max</f>
        <v>0.54325226822148753</v>
      </c>
      <c r="CC304" s="1184">
        <f>'2024'!R\Max</f>
        <v>0.54320351958971025</v>
      </c>
      <c r="CD304" s="1184">
        <f>'2025'!R\Max</f>
        <v>0.54338818525887178</v>
      </c>
      <c r="CE304" s="1184">
        <f>'2026'!R\Max</f>
        <v>0.54337481093033169</v>
      </c>
      <c r="CF304" s="1185">
        <f>'2027'!R\Max</f>
        <v>0.54334833151391215</v>
      </c>
    </row>
    <row r="305" spans="1:84" s="6" customFormat="1" ht="11.25" x14ac:dyDescent="0.2">
      <c r="A305" s="11">
        <v>43391</v>
      </c>
      <c r="B305" s="380">
        <f>'2022'!Maxi_hp</f>
        <v>37.794322636082605</v>
      </c>
      <c r="C305" s="13">
        <f>'2022'!An_max</f>
        <v>2020</v>
      </c>
      <c r="D305" s="1062">
        <f t="shared" si="116"/>
        <v>0.97224874727643562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53">
        <f t="shared" si="119"/>
        <v>0.7857142857142857</v>
      </c>
      <c r="J305" s="746">
        <f t="shared" si="120"/>
        <v>38.873099854287283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55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53">
        <f t="shared" si="124"/>
        <v>0.8928571428571429</v>
      </c>
      <c r="AT305" s="769">
        <f t="shared" si="125"/>
        <v>38.890901735627892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53">
        <f t="shared" si="129"/>
        <v>0.6071428571428571</v>
      </c>
      <c r="AY305" s="769">
        <f t="shared" si="130"/>
        <v>38.803225400737887</v>
      </c>
      <c r="AZ305" s="746">
        <f t="shared" si="134"/>
        <v>38.84706356818289</v>
      </c>
      <c r="BA305" s="643">
        <f t="shared" si="131"/>
        <v>0.97224874727643562</v>
      </c>
      <c r="BC305" s="11">
        <v>43391</v>
      </c>
      <c r="BD305" s="290">
        <f>[2]!FeuilCaduc*(1-Persistant)+Persistant</f>
        <v>0.86192037475695327</v>
      </c>
      <c r="BE305" s="291">
        <f>[2]!CroissVégét</f>
        <v>0.99556171606410238</v>
      </c>
      <c r="BF305" s="816">
        <f>1+[2]!Salcycl*Ksac</f>
        <v>1.0327400468446191</v>
      </c>
      <c r="BH305" s="1053">
        <f t="shared" si="132"/>
        <v>1.9374180596440451E-3</v>
      </c>
      <c r="BI305" s="11">
        <v>44487</v>
      </c>
      <c r="BJ305" s="726">
        <v>1.8814846651040684E-4</v>
      </c>
      <c r="BK305" s="726">
        <v>6.7865655427001284E-4</v>
      </c>
      <c r="BL305" s="726">
        <v>1.252349284476805E-3</v>
      </c>
      <c r="BM305" s="726">
        <v>1.9392112427488286E-3</v>
      </c>
      <c r="BN305" s="726">
        <v>2.7182593959190998E-3</v>
      </c>
      <c r="BO305" s="727">
        <v>4.1937253263812195E-3</v>
      </c>
      <c r="BP305" s="726">
        <v>6.0041341455355285E-3</v>
      </c>
      <c r="BQ305" s="726">
        <v>8.6032911778202228E-3</v>
      </c>
      <c r="BR305" s="726">
        <v>1.1578680001348346E-2</v>
      </c>
      <c r="BS305" s="726">
        <v>1.5927504436957958E-2</v>
      </c>
      <c r="BT305" s="726">
        <v>2.1180476243361956E-2</v>
      </c>
      <c r="BW305" s="1186">
        <f>'2018'!R\Max</f>
        <v>0.28325308712413827</v>
      </c>
      <c r="BX305" s="1184">
        <f>'2019'!R\Max</f>
        <v>0.40689028968587776</v>
      </c>
      <c r="BY305" s="1184">
        <f>'2020'!R\Max</f>
        <v>0.97224874727643562</v>
      </c>
      <c r="BZ305" s="1184">
        <f>'2021'!R\Max</f>
        <v>0.92043553103982778</v>
      </c>
      <c r="CA305" s="1184">
        <f>'2022'!R\Max</f>
        <v>0.93034206855024171</v>
      </c>
      <c r="CB305" s="1184">
        <f>'2023'!R\Max</f>
        <v>0.93033370471053844</v>
      </c>
      <c r="CC305" s="1184">
        <f>'2024'!R\Max</f>
        <v>0.93032172979548877</v>
      </c>
      <c r="CD305" s="1184">
        <f>'2025'!R\Max</f>
        <v>0.93036778969585299</v>
      </c>
      <c r="CE305" s="1184">
        <f>'2026'!R\Max</f>
        <v>0.93036419256820857</v>
      </c>
      <c r="CF305" s="1185">
        <f>'2027'!R\Max</f>
        <v>0.93035757095223059</v>
      </c>
    </row>
    <row r="306" spans="1:84" s="6" customFormat="1" ht="11.25" x14ac:dyDescent="0.2">
      <c r="A306" s="11">
        <v>43392</v>
      </c>
      <c r="B306" s="380">
        <f>'2022'!Maxi_hp</f>
        <v>37.715287299843339</v>
      </c>
      <c r="C306" s="13">
        <f>'2022'!An_max</f>
        <v>2020</v>
      </c>
      <c r="D306" s="1062">
        <f t="shared" si="116"/>
        <v>0.97862493169662701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53">
        <f t="shared" si="119"/>
        <v>0.7142857142857143</v>
      </c>
      <c r="J306" s="746">
        <f t="shared" si="120"/>
        <v>38.539062390794527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55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53">
        <f t="shared" si="124"/>
        <v>0.8571428571428571</v>
      </c>
      <c r="AT306" s="769">
        <f t="shared" si="125"/>
        <v>38.561107288620306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53">
        <f t="shared" si="129"/>
        <v>0.6428571428571429</v>
      </c>
      <c r="AY306" s="769">
        <f t="shared" si="130"/>
        <v>38.466772302825532</v>
      </c>
      <c r="AZ306" s="746">
        <f t="shared" si="134"/>
        <v>38.513939795722919</v>
      </c>
      <c r="BA306" s="643">
        <f t="shared" si="131"/>
        <v>0.97862493169662701</v>
      </c>
      <c r="BC306" s="11">
        <v>43392</v>
      </c>
      <c r="BD306" s="290">
        <f>[2]!FeuilCaduc*(1-Persistant)+Persistant</f>
        <v>0.85685598742298774</v>
      </c>
      <c r="BE306" s="291">
        <f>[2]!CroissVégét</f>
        <v>0.99575287182696259</v>
      </c>
      <c r="BF306" s="816">
        <f>1+[2]!Salcycl*Ksac</f>
        <v>1.0321069984278735</v>
      </c>
      <c r="BH306" s="1053">
        <f t="shared" si="132"/>
        <v>1.9970085742227121E-3</v>
      </c>
      <c r="BI306" s="11">
        <v>44488</v>
      </c>
      <c r="BJ306" s="726">
        <v>2.1388727915763143E-4</v>
      </c>
      <c r="BK306" s="726">
        <v>7.1501799463463158E-4</v>
      </c>
      <c r="BL306" s="726">
        <v>1.299910185321977E-3</v>
      </c>
      <c r="BM306" s="726">
        <v>1.998833245115125E-3</v>
      </c>
      <c r="BN306" s="726">
        <v>2.7908553396475155E-3</v>
      </c>
      <c r="BO306" s="727">
        <v>4.1941066600768694E-3</v>
      </c>
      <c r="BP306" s="726">
        <v>5.9072059736883682E-3</v>
      </c>
      <c r="BQ306" s="726">
        <v>8.3541316703617148E-3</v>
      </c>
      <c r="BR306" s="726">
        <v>1.124274295713598E-2</v>
      </c>
      <c r="BS306" s="726">
        <v>1.5533848189850387E-2</v>
      </c>
      <c r="BT306" s="726">
        <v>2.0785984479782939E-2</v>
      </c>
      <c r="BW306" s="1186">
        <f>'2018'!R\Max</f>
        <v>0.63956529138790663</v>
      </c>
      <c r="BX306" s="1184">
        <f>'2019'!R\Max</f>
        <v>0.82996669436943871</v>
      </c>
      <c r="BY306" s="1184">
        <f>'2020'!R\Max</f>
        <v>0.97862493169662701</v>
      </c>
      <c r="BZ306" s="1184">
        <f>'2021'!R\Max</f>
        <v>0.96098791000190309</v>
      </c>
      <c r="CA306" s="1184">
        <f>'2022'!R\Max</f>
        <v>0.43217823832928803</v>
      </c>
      <c r="CB306" s="1184">
        <f>'2023'!R\Max</f>
        <v>0.43214818924463588</v>
      </c>
      <c r="CC306" s="1184">
        <f>'2024'!R\Max</f>
        <v>0.43210538848558916</v>
      </c>
      <c r="CD306" s="1184">
        <f>'2025'!R\Max</f>
        <v>0.43227194338793751</v>
      </c>
      <c r="CE306" s="1184">
        <f>'2026'!R\Max</f>
        <v>0.4322580522331575</v>
      </c>
      <c r="CF306" s="1185">
        <f>'2027'!R\Max</f>
        <v>0.43223407759727817</v>
      </c>
    </row>
    <row r="307" spans="1:84" s="6" customFormat="1" ht="11.25" x14ac:dyDescent="0.2">
      <c r="A307" s="11">
        <v>43393</v>
      </c>
      <c r="B307" s="380">
        <f>'2022'!Maxi_hp</f>
        <v>31.908942257613869</v>
      </c>
      <c r="C307" s="13">
        <f>'2022'!An_max</f>
        <v>2020</v>
      </c>
      <c r="D307" s="1062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53">
        <f t="shared" si="119"/>
        <v>0.6428571428571429</v>
      </c>
      <c r="J307" s="746">
        <f t="shared" si="120"/>
        <v>38.204738629595624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55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53">
        <f t="shared" si="124"/>
        <v>0.8214285714285714</v>
      </c>
      <c r="AT307" s="769">
        <f t="shared" si="125"/>
        <v>38.230024503553956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53">
        <f t="shared" si="129"/>
        <v>0.6785714285714286</v>
      </c>
      <c r="AY307" s="769">
        <f t="shared" si="130"/>
        <v>38.132108564169279</v>
      </c>
      <c r="AZ307" s="746">
        <f t="shared" si="134"/>
        <v>38.181066533861618</v>
      </c>
      <c r="BA307" s="643">
        <f t="shared" si="131"/>
        <v>0.83520901862407548</v>
      </c>
      <c r="BC307" s="11">
        <v>43393</v>
      </c>
      <c r="BD307" s="290">
        <f>[2]!FeuilCaduc*(1-Persistant)+Persistant</f>
        <v>0.85169935814433595</v>
      </c>
      <c r="BE307" s="291">
        <f>[2]!CroissVégét</f>
        <v>0.99593640005294937</v>
      </c>
      <c r="BF307" s="816">
        <f>1+[2]!Salcycl*Ksac</f>
        <v>1.031462419768042</v>
      </c>
      <c r="BH307" s="1053">
        <f t="shared" si="132"/>
        <v>2.0393466754703255E-3</v>
      </c>
      <c r="BI307" s="11">
        <v>44489</v>
      </c>
      <c r="BJ307" s="726">
        <v>2.403032162183399E-4</v>
      </c>
      <c r="BK307" s="726">
        <v>7.4706013802383576E-4</v>
      </c>
      <c r="BL307" s="726">
        <v>1.3372427737981364E-3</v>
      </c>
      <c r="BM307" s="726">
        <v>2.0411844484062966E-3</v>
      </c>
      <c r="BN307" s="726">
        <v>2.8385139249952657E-3</v>
      </c>
      <c r="BO307" s="727">
        <v>4.1706785822723039E-3</v>
      </c>
      <c r="BP307" s="726">
        <v>5.7907464038282853E-3</v>
      </c>
      <c r="BQ307" s="726">
        <v>8.1061270544405227E-3</v>
      </c>
      <c r="BR307" s="726">
        <v>1.0925892101632478E-2</v>
      </c>
      <c r="BS307" s="726">
        <v>1.5180638817840129E-2</v>
      </c>
      <c r="BT307" s="726">
        <v>2.0443433382512113E-2</v>
      </c>
      <c r="BW307" s="1186">
        <f>'2018'!R\Max</f>
        <v>0.29015796381316689</v>
      </c>
      <c r="BX307" s="1184">
        <f>'2019'!R\Max</f>
        <v>0.36109798576915825</v>
      </c>
      <c r="BY307" s="1184">
        <f>'2020'!R\Max</f>
        <v>0.83520901862407548</v>
      </c>
      <c r="BZ307" s="1184">
        <f>'2021'!R\Max</f>
        <v>0.72389796765117964</v>
      </c>
      <c r="CA307" s="1184">
        <f>'2022'!R\Max</f>
        <v>0.1806093968634237</v>
      </c>
      <c r="CB307" s="1184">
        <f>'2023'!R\Max</f>
        <v>0.18059471595545587</v>
      </c>
      <c r="CC307" s="1184">
        <f>'2024'!R\Max</f>
        <v>0.18057379269382479</v>
      </c>
      <c r="CD307" s="1184">
        <f>'2025'!R\Max</f>
        <v>0.18065573887776851</v>
      </c>
      <c r="CE307" s="1184">
        <f>'2026'!R\Max</f>
        <v>0.1806485135502173</v>
      </c>
      <c r="CF307" s="1185">
        <f>'2027'!R\Max</f>
        <v>0.18063672881243747</v>
      </c>
    </row>
    <row r="308" spans="1:84" s="6" customFormat="1" ht="11.25" x14ac:dyDescent="0.2">
      <c r="A308" s="11">
        <v>43394</v>
      </c>
      <c r="B308" s="380">
        <f>'2022'!Maxi_hp</f>
        <v>24.59946864863414</v>
      </c>
      <c r="C308" s="13">
        <f>'2022'!An_max</f>
        <v>2019</v>
      </c>
      <c r="D308" s="1062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53">
        <f t="shared" si="119"/>
        <v>0.5714285714285714</v>
      </c>
      <c r="J308" s="746">
        <f t="shared" si="120"/>
        <v>37.870558017497288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55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53">
        <f t="shared" si="124"/>
        <v>0.7857142857142857</v>
      </c>
      <c r="AT308" s="769">
        <f t="shared" si="125"/>
        <v>37.897988885009127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53">
        <f t="shared" si="129"/>
        <v>0.7142857142857143</v>
      </c>
      <c r="AY308" s="769">
        <f t="shared" si="130"/>
        <v>37.799556268379092</v>
      </c>
      <c r="AZ308" s="746">
        <f t="shared" si="134"/>
        <v>37.84877257669411</v>
      </c>
      <c r="BA308" s="643">
        <f t="shared" si="131"/>
        <v>0.64956710268880846</v>
      </c>
      <c r="BC308" s="11">
        <v>43394</v>
      </c>
      <c r="BD308" s="290">
        <f>[2]!FeuilCaduc*(1-Persistant)+Persistant</f>
        <v>0.84645528727532271</v>
      </c>
      <c r="BE308" s="291">
        <f>[2]!CroissVégét</f>
        <v>0.99611260244351996</v>
      </c>
      <c r="BF308" s="816">
        <f>1+[2]!Salcycl*Ksac</f>
        <v>1.0308069109094153</v>
      </c>
      <c r="BH308" s="1053">
        <f t="shared" si="132"/>
        <v>2.0644040022661471E-3</v>
      </c>
      <c r="BI308" s="11">
        <v>44490</v>
      </c>
      <c r="BJ308" s="726">
        <v>2.6739626690290514E-4</v>
      </c>
      <c r="BK308" s="726">
        <v>7.7477503432493515E-4</v>
      </c>
      <c r="BL308" s="726">
        <v>1.3643297581061346E-3</v>
      </c>
      <c r="BM308" s="726">
        <v>2.0662364625274039E-3</v>
      </c>
      <c r="BN308" s="726">
        <v>2.8611946514937175E-3</v>
      </c>
      <c r="BO308" s="727">
        <v>4.1234027958317095E-3</v>
      </c>
      <c r="BP308" s="726">
        <v>5.654724215550383E-3</v>
      </c>
      <c r="BQ308" s="726">
        <v>7.8592773109742217E-3</v>
      </c>
      <c r="BR308" s="726">
        <v>1.0628152337310652E-2</v>
      </c>
      <c r="BS308" s="726">
        <v>1.4867928685453592E-2</v>
      </c>
      <c r="BT308" s="726">
        <v>2.015288608989654E-2</v>
      </c>
      <c r="BW308" s="1186">
        <f>'2018'!R\Max</f>
        <v>0.47929694148814783</v>
      </c>
      <c r="BX308" s="1184">
        <f>'2019'!R\Max</f>
        <v>0.64956710268880846</v>
      </c>
      <c r="BY308" s="1184">
        <f>'2020'!R\Max</f>
        <v>0.1618694145565667</v>
      </c>
      <c r="BZ308" s="1184">
        <f>'2021'!R\Max</f>
        <v>0.41294322363771707</v>
      </c>
      <c r="CA308" s="1184">
        <f>'2022'!R\Max</f>
        <v>0.46152730366747641</v>
      </c>
      <c r="CB308" s="1184">
        <f>'2023'!R\Max</f>
        <v>0.46149995776584785</v>
      </c>
      <c r="CC308" s="1184">
        <f>'2024'!R\Max</f>
        <v>0.46146069730280614</v>
      </c>
      <c r="CD308" s="1184">
        <f>'2025'!R\Max</f>
        <v>0.46161450920379871</v>
      </c>
      <c r="CE308" s="1184">
        <f>'2026'!R\Max</f>
        <v>0.46160031479840963</v>
      </c>
      <c r="CF308" s="1185">
        <f>'2027'!R\Max</f>
        <v>0.46157826982200734</v>
      </c>
    </row>
    <row r="309" spans="1:84" s="6" customFormat="1" ht="11.25" x14ac:dyDescent="0.2">
      <c r="A309" s="11">
        <v>43395</v>
      </c>
      <c r="B309" s="380">
        <f>'2022'!Maxi_hp</f>
        <v>34.900812371408961</v>
      </c>
      <c r="C309" s="13">
        <f>'2022'!An_max</f>
        <v>2022</v>
      </c>
      <c r="D309" s="1062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53">
        <f t="shared" si="119"/>
        <v>0.5</v>
      </c>
      <c r="J309" s="746">
        <f t="shared" si="120"/>
        <v>37.536950000084474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55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53">
        <f t="shared" si="124"/>
        <v>0.75</v>
      </c>
      <c r="AT309" s="769">
        <f t="shared" si="125"/>
        <v>37.565335937542841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53">
        <f t="shared" si="129"/>
        <v>0.75</v>
      </c>
      <c r="AY309" s="769">
        <f t="shared" si="130"/>
        <v>37.469437499763444</v>
      </c>
      <c r="AZ309" s="746">
        <f t="shared" si="134"/>
        <v>37.517386718653142</v>
      </c>
      <c r="BA309" s="643">
        <f t="shared" si="131"/>
        <v>0.92977219436662861</v>
      </c>
      <c r="BC309" s="11">
        <v>43395</v>
      </c>
      <c r="BD309" s="290">
        <f>[2]!FeuilCaduc*(1-Persistant)+Persistant</f>
        <v>0.84112898132199043</v>
      </c>
      <c r="BE309" s="291">
        <f>[2]!CroissVégét</f>
        <v>0.99628176897521181</v>
      </c>
      <c r="BF309" s="816">
        <f>1+[2]!Salcycl*Ksac</f>
        <v>1.0301411226652488</v>
      </c>
      <c r="BH309" s="1053">
        <f t="shared" si="132"/>
        <v>2.0721530416269547E-3</v>
      </c>
      <c r="BI309" s="11">
        <v>44491</v>
      </c>
      <c r="BJ309" s="726">
        <v>2.9516626698503534E-4</v>
      </c>
      <c r="BK309" s="726">
        <v>7.9815485399556874E-4</v>
      </c>
      <c r="BL309" s="726">
        <v>1.3811542969156547E-3</v>
      </c>
      <c r="BM309" s="726">
        <v>2.0739617465619304E-3</v>
      </c>
      <c r="BN309" s="726">
        <v>2.8588583026130316E-3</v>
      </c>
      <c r="BO309" s="727">
        <v>4.052242527987142E-3</v>
      </c>
      <c r="BP309" s="726">
        <v>5.499109860507982E-3</v>
      </c>
      <c r="BQ309" s="726">
        <v>7.6135834306030048E-3</v>
      </c>
      <c r="BR309" s="726">
        <v>1.0349548809376243E-2</v>
      </c>
      <c r="BS309" s="726">
        <v>1.4595769291498232E-2</v>
      </c>
      <c r="BT309" s="726">
        <v>1.99144041529376E-2</v>
      </c>
      <c r="BW309" s="1186">
        <f>'2018'!R\Max</f>
        <v>0.62194444606634314</v>
      </c>
      <c r="BX309" s="1184">
        <f>'2019'!R\Max</f>
        <v>0.13451627297745081</v>
      </c>
      <c r="BY309" s="1184">
        <f>'2020'!R\Max</f>
        <v>0.68717760314334153</v>
      </c>
      <c r="BZ309" s="1184">
        <f>'2021'!R\Max</f>
        <v>0.34903521034462925</v>
      </c>
      <c r="CA309" s="1184">
        <f>'2022'!R\Max</f>
        <v>0.92977219436662861</v>
      </c>
      <c r="CB309" s="1184">
        <f>'2023'!R\Max</f>
        <v>0.92976538826527233</v>
      </c>
      <c r="CC309" s="1184">
        <f>'2024'!R\Max</f>
        <v>0.92975546820335098</v>
      </c>
      <c r="CD309" s="1184">
        <f>'2025'!R\Max</f>
        <v>0.92979407069105746</v>
      </c>
      <c r="CE309" s="1184">
        <f>'2026'!R\Max</f>
        <v>0.92979038018633475</v>
      </c>
      <c r="CF309" s="1185">
        <f>'2027'!R\Max</f>
        <v>0.92978488168426399</v>
      </c>
    </row>
    <row r="310" spans="1:84" s="6" customFormat="1" ht="11.25" x14ac:dyDescent="0.2">
      <c r="A310" s="11">
        <v>43396</v>
      </c>
      <c r="B310" s="380">
        <f>'2022'!Maxi_hp</f>
        <v>37.419724893736571</v>
      </c>
      <c r="C310" s="13">
        <f>'2022'!An_max</f>
        <v>2018</v>
      </c>
      <c r="D310" s="1062">
        <f t="shared" si="116"/>
        <v>1.0057891323125945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53">
        <f t="shared" si="119"/>
        <v>0.42857142857142855</v>
      </c>
      <c r="J310" s="746">
        <f t="shared" si="120"/>
        <v>37.204344023580781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55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53">
        <f t="shared" si="124"/>
        <v>0.7142857142857143</v>
      </c>
      <c r="AT310" s="769">
        <f t="shared" si="125"/>
        <v>37.232401166443843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53">
        <f t="shared" si="129"/>
        <v>0.7857142857142857</v>
      </c>
      <c r="AY310" s="769">
        <f t="shared" si="130"/>
        <v>37.142074344120921</v>
      </c>
      <c r="AZ310" s="746">
        <f t="shared" si="134"/>
        <v>37.187237755282382</v>
      </c>
      <c r="BA310" s="643">
        <f t="shared" si="131"/>
        <v>1.0057891323125945</v>
      </c>
      <c r="BC310" s="11">
        <v>43396</v>
      </c>
      <c r="BD310" s="290">
        <f>[2]!FeuilCaduc*(1-Persistant)+Persistant</f>
        <v>0.83572604080636914</v>
      </c>
      <c r="BE310" s="291">
        <f>[2]!CroissVégét</f>
        <v>0.99644417833885535</v>
      </c>
      <c r="BF310" s="816">
        <f>1+[2]!Salcycl*Ksac</f>
        <v>1.0294657551007962</v>
      </c>
      <c r="BH310" s="1053">
        <f t="shared" si="132"/>
        <v>2.0655946402060575E-3</v>
      </c>
      <c r="BI310" s="11">
        <v>44492</v>
      </c>
      <c r="BJ310" s="726">
        <v>3.2184923566934849E-4</v>
      </c>
      <c r="BK310" s="726">
        <v>8.1658829103231309E-4</v>
      </c>
      <c r="BL310" s="726">
        <v>1.3887137220356814E-3</v>
      </c>
      <c r="BM310" s="726">
        <v>2.0673663914088721E-3</v>
      </c>
      <c r="BN310" s="726">
        <v>2.8367487123419858E-3</v>
      </c>
      <c r="BO310" s="727">
        <v>3.9649058174949297E-3</v>
      </c>
      <c r="BP310" s="726">
        <v>5.3345738087609579E-3</v>
      </c>
      <c r="BQ310" s="726">
        <v>7.3832032314465074E-3</v>
      </c>
      <c r="BR310" s="726">
        <v>1.0107018855082313E-2</v>
      </c>
      <c r="BS310" s="726">
        <v>1.4379437665345742E-2</v>
      </c>
      <c r="BT310" s="726">
        <v>1.9737148682075885E-2</v>
      </c>
      <c r="BW310" s="1186">
        <f>'2018'!R\Max</f>
        <v>1.0057891323125945</v>
      </c>
      <c r="BX310" s="1184">
        <f>'2019'!R\Max</f>
        <v>0.48032384183411042</v>
      </c>
      <c r="BY310" s="1184">
        <f>'2020'!R\Max</f>
        <v>0.13767238940078033</v>
      </c>
      <c r="BZ310" s="1184">
        <f>'2021'!R\Max</f>
        <v>0.99646608611182186</v>
      </c>
      <c r="CA310" s="1184">
        <f>'2022'!R\Max</f>
        <v>0.48880381764933922</v>
      </c>
      <c r="CB310" s="1184">
        <f>'2023'!R\Max</f>
        <v>0.4887791023999396</v>
      </c>
      <c r="CC310" s="1184">
        <f>'2024'!R\Max</f>
        <v>0.48874224132360322</v>
      </c>
      <c r="CD310" s="1184">
        <f>'2025'!R\Max</f>
        <v>0.48888372312460909</v>
      </c>
      <c r="CE310" s="1184">
        <f>'2026'!R\Max</f>
        <v>0.48886984164140712</v>
      </c>
      <c r="CF310" s="1185">
        <f>'2027'!R\Max</f>
        <v>0.48884986681900044</v>
      </c>
    </row>
    <row r="311" spans="1:84" s="6" customFormat="1" ht="11.25" x14ac:dyDescent="0.2">
      <c r="A311" s="11">
        <v>43397</v>
      </c>
      <c r="B311" s="380">
        <f>'2022'!Maxi_hp</f>
        <v>38.572719008292552</v>
      </c>
      <c r="C311" s="13">
        <f>'2022'!An_max</f>
        <v>2021</v>
      </c>
      <c r="D311" s="1062">
        <f t="shared" si="116"/>
        <v>1.0460917652643686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53">
        <f t="shared" si="119"/>
        <v>0.35714285714285715</v>
      </c>
      <c r="J311" s="746">
        <f t="shared" si="120"/>
        <v>36.873169533596744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55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53">
        <f t="shared" si="124"/>
        <v>0.6785714285714286</v>
      </c>
      <c r="AT311" s="769">
        <f t="shared" si="125"/>
        <v>36.899520075773552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53">
        <f t="shared" si="129"/>
        <v>0.8214285714285714</v>
      </c>
      <c r="AY311" s="769">
        <f t="shared" si="130"/>
        <v>36.817788884429532</v>
      </c>
      <c r="AZ311" s="746">
        <f t="shared" si="134"/>
        <v>36.858654480101542</v>
      </c>
      <c r="BA311" s="643">
        <f t="shared" si="131"/>
        <v>1.0460917652643686</v>
      </c>
      <c r="BC311" s="11">
        <v>43397</v>
      </c>
      <c r="BD311" s="290">
        <f>[2]!FeuilCaduc*(1-Persistant)+Persistant</f>
        <v>0.83025244538896747</v>
      </c>
      <c r="BE311" s="291">
        <f>[2]!CroissVégét</f>
        <v>0.99660009836364072</v>
      </c>
      <c r="BF311" s="816">
        <f>1+[2]!Salcycl*Ksac</f>
        <v>1.0287815556736208</v>
      </c>
      <c r="BH311" s="1053">
        <f t="shared" si="132"/>
        <v>2.0540440467949291E-3</v>
      </c>
      <c r="BI311" s="11">
        <v>44493</v>
      </c>
      <c r="BJ311" s="726">
        <v>3.4607086003289708E-4</v>
      </c>
      <c r="BK311" s="726">
        <v>8.3157042440392195E-4</v>
      </c>
      <c r="BL311" s="726">
        <v>1.3920058833107099E-3</v>
      </c>
      <c r="BM311" s="726">
        <v>2.05577694674967E-3</v>
      </c>
      <c r="BN311" s="726">
        <v>2.8090163804759902E-3</v>
      </c>
      <c r="BO311" s="727">
        <v>3.880330846043977E-3</v>
      </c>
      <c r="BP311" s="726">
        <v>5.1834975257259918E-3</v>
      </c>
      <c r="BQ311" s="726">
        <v>7.1797227938357848E-3</v>
      </c>
      <c r="BR311" s="726">
        <v>9.8994572107465994E-3</v>
      </c>
      <c r="BS311" s="726">
        <v>1.4202350266241745E-2</v>
      </c>
      <c r="BT311" s="726">
        <v>1.9599411048963105E-2</v>
      </c>
      <c r="BW311" s="1186">
        <f>'2018'!R\Max</f>
        <v>0.97242362454322417</v>
      </c>
      <c r="BX311" s="1184">
        <f>'2019'!R\Max</f>
        <v>0.49468881907270223</v>
      </c>
      <c r="BY311" s="1184">
        <f>'2020'!R\Max</f>
        <v>0.28407151726972146</v>
      </c>
      <c r="BZ311" s="1184">
        <f>'2021'!R\Max</f>
        <v>1.0460917652643686</v>
      </c>
      <c r="CA311" s="1184">
        <f>'2022'!R\Max</f>
        <v>0.73114701334547427</v>
      </c>
      <c r="CB311" s="1184">
        <f>'2023'!R\Max</f>
        <v>0.73112847019618821</v>
      </c>
      <c r="CC311" s="1184">
        <f>'2024'!R\Max</f>
        <v>0.73110014742539731</v>
      </c>
      <c r="CD311" s="1184">
        <f>'2025'!R\Max</f>
        <v>0.73120722045540976</v>
      </c>
      <c r="CE311" s="1184">
        <f>'2026'!R\Max</f>
        <v>0.73119650540075298</v>
      </c>
      <c r="CF311" s="1185">
        <f>'2027'!R\Max</f>
        <v>0.73118152992778551</v>
      </c>
    </row>
    <row r="312" spans="1:84" s="6" customFormat="1" ht="11.25" x14ac:dyDescent="0.2">
      <c r="A312" s="11">
        <v>43398</v>
      </c>
      <c r="B312" s="380">
        <f>'2022'!Maxi_hp</f>
        <v>35.926796289859503</v>
      </c>
      <c r="C312" s="13">
        <f>'2022'!An_max</f>
        <v>2018</v>
      </c>
      <c r="D312" s="1062">
        <f t="shared" si="116"/>
        <v>0.98311454359400408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53">
        <f t="shared" si="119"/>
        <v>0.2857142857142857</v>
      </c>
      <c r="J312" s="746">
        <f t="shared" si="120"/>
        <v>36.543855976863831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55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53">
        <f t="shared" si="124"/>
        <v>0.6428571428571429</v>
      </c>
      <c r="AT312" s="769">
        <f t="shared" si="125"/>
        <v>36.567028170797442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53">
        <f t="shared" si="129"/>
        <v>0.8571428571428571</v>
      </c>
      <c r="AY312" s="769">
        <f t="shared" si="130"/>
        <v>36.496903206833778</v>
      </c>
      <c r="AZ312" s="746">
        <f t="shared" si="134"/>
        <v>36.53196568881561</v>
      </c>
      <c r="BA312" s="643">
        <f t="shared" si="131"/>
        <v>0.98311454359400408</v>
      </c>
      <c r="BC312" s="11">
        <v>43398</v>
      </c>
      <c r="BD312" s="290">
        <f>[2]!FeuilCaduc*(1-Persistant)+Persistant</f>
        <v>0.82471453629716374</v>
      </c>
      <c r="BE312" s="291">
        <f>[2]!CroissVégét</f>
        <v>0.99674978642645717</v>
      </c>
      <c r="BF312" s="816">
        <f>1+[2]!Salcycl*Ksac</f>
        <v>1.0280893170371455</v>
      </c>
      <c r="BH312" s="1053">
        <f t="shared" si="132"/>
        <v>2.037509511982916E-3</v>
      </c>
      <c r="BI312" s="11">
        <v>44494</v>
      </c>
      <c r="BJ312" s="726">
        <v>3.6783044406330786E-4</v>
      </c>
      <c r="BK312" s="726">
        <v>8.4310273776678742E-4</v>
      </c>
      <c r="BL312" s="726">
        <v>1.3910352199221453E-3</v>
      </c>
      <c r="BM312" s="726">
        <v>2.0392016731501173E-3</v>
      </c>
      <c r="BN312" s="726">
        <v>2.7756741737505631E-3</v>
      </c>
      <c r="BO312" s="727">
        <v>3.798549487034088E-3</v>
      </c>
      <c r="BP312" s="726">
        <v>5.0459366942999292E-3</v>
      </c>
      <c r="BQ312" s="726">
        <v>7.0032304858561843E-3</v>
      </c>
      <c r="BR312" s="726">
        <v>9.7269831578245536E-3</v>
      </c>
      <c r="BS312" s="726">
        <v>1.4064663913800382E-2</v>
      </c>
      <c r="BT312" s="726">
        <v>1.9501388247973032E-2</v>
      </c>
      <c r="BW312" s="1186">
        <f>'2018'!R\Max</f>
        <v>0.98311454359400408</v>
      </c>
      <c r="BX312" s="1184">
        <f>'2019'!R\Max</f>
        <v>0.8252704287634931</v>
      </c>
      <c r="BY312" s="1184">
        <f>'2020'!R\Max</f>
        <v>0.87326628051285948</v>
      </c>
      <c r="BZ312" s="1184">
        <f>'2021'!R\Max</f>
        <v>0.93392356686352118</v>
      </c>
      <c r="CA312" s="1184">
        <f>'2022'!R\Max</f>
        <v>0.63625987873866119</v>
      </c>
      <c r="CB312" s="1184">
        <f>'2023'!R\Max</f>
        <v>0.63623893404930165</v>
      </c>
      <c r="CC312" s="1184">
        <f>'2024'!R\Max</f>
        <v>0.63620616785886508</v>
      </c>
      <c r="CD312" s="1184">
        <f>'2025'!R\Max</f>
        <v>0.63632807580715933</v>
      </c>
      <c r="CE312" s="1184">
        <f>'2026'!R\Max</f>
        <v>0.63631571241430396</v>
      </c>
      <c r="CF312" s="1185">
        <f>'2027'!R\Max</f>
        <v>0.63629882138418048</v>
      </c>
    </row>
    <row r="313" spans="1:84" s="6" customFormat="1" ht="11.25" x14ac:dyDescent="0.2">
      <c r="A313" s="11">
        <v>43399</v>
      </c>
      <c r="B313" s="380">
        <f>'2022'!Maxi_hp</f>
        <v>37.208706699200022</v>
      </c>
      <c r="C313" s="13">
        <f>'2022'!An_max</f>
        <v>2019</v>
      </c>
      <c r="D313" s="1062">
        <f t="shared" si="116"/>
        <v>1.0273870966503345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53">
        <f t="shared" si="119"/>
        <v>0.21428571428571427</v>
      </c>
      <c r="J313" s="746">
        <f t="shared" si="120"/>
        <v>36.216832798965747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55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53">
        <f t="shared" si="124"/>
        <v>0.6071428571428571</v>
      </c>
      <c r="AT313" s="769">
        <f t="shared" si="125"/>
        <v>36.235260956158996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53">
        <f t="shared" si="129"/>
        <v>0.8928571428571429</v>
      </c>
      <c r="AY313" s="769">
        <f t="shared" si="130"/>
        <v>36.179739394531182</v>
      </c>
      <c r="AZ313" s="746">
        <f t="shared" si="134"/>
        <v>36.207500175345089</v>
      </c>
      <c r="BA313" s="643">
        <f t="shared" si="131"/>
        <v>1.0273870966503345</v>
      </c>
      <c r="BC313" s="11">
        <v>43399</v>
      </c>
      <c r="BD313" s="290">
        <f>[2]!FeuilCaduc*(1-Persistant)+Persistant</f>
        <v>0.81911899613020722</v>
      </c>
      <c r="BE313" s="291">
        <f>[2]!CroissVégét</f>
        <v>0.99689348984691617</v>
      </c>
      <c r="BF313" s="816">
        <f>1+[2]!Salcycl*Ksac</f>
        <v>1.0273898745162759</v>
      </c>
      <c r="BH313" s="1053">
        <f t="shared" si="132"/>
        <v>2.0159819916070036E-3</v>
      </c>
      <c r="BI313" s="11">
        <v>44495</v>
      </c>
      <c r="BJ313" s="726">
        <v>3.8712466389153292E-4</v>
      </c>
      <c r="BK313" s="726">
        <v>8.511799214381663E-4</v>
      </c>
      <c r="BL313" s="726">
        <v>1.3857945661354238E-3</v>
      </c>
      <c r="BM313" s="726">
        <v>2.0176315215303703E-3</v>
      </c>
      <c r="BN313" s="726">
        <v>2.7367111911263866E-3</v>
      </c>
      <c r="BO313" s="727">
        <v>3.7195605096068691E-3</v>
      </c>
      <c r="BP313" s="726">
        <v>4.9219025851586912E-3</v>
      </c>
      <c r="BQ313" s="726">
        <v>6.8537534856884692E-3</v>
      </c>
      <c r="BR313" s="726">
        <v>9.5896324797134884E-3</v>
      </c>
      <c r="BS313" s="726">
        <v>1.3966416850234495E-2</v>
      </c>
      <c r="BT313" s="726">
        <v>1.9443114555674174E-2</v>
      </c>
      <c r="BW313" s="1186">
        <f>'2018'!R\Max</f>
        <v>0.11188931079837555</v>
      </c>
      <c r="BX313" s="1184">
        <f>'2019'!R\Max</f>
        <v>1.0273870966503345</v>
      </c>
      <c r="BY313" s="1184">
        <f>'2020'!R\Max</f>
        <v>0.65863580225654195</v>
      </c>
      <c r="BZ313" s="1184">
        <f>'2021'!R\Max</f>
        <v>0.77899039144606874</v>
      </c>
      <c r="CA313" s="1184">
        <f>'2022'!R\Max</f>
        <v>0.40241229844329135</v>
      </c>
      <c r="CB313" s="1184">
        <f>'2023'!R\Max</f>
        <v>0.40239127596691154</v>
      </c>
      <c r="CC313" s="1184">
        <f>'2024'!R\Max</f>
        <v>0.40235760376554192</v>
      </c>
      <c r="CD313" s="1184">
        <f>'2025'!R\Max</f>
        <v>0.40248081856535672</v>
      </c>
      <c r="CE313" s="1184">
        <f>'2026'!R\Max</f>
        <v>0.40246824652083807</v>
      </c>
      <c r="CF313" s="1185">
        <f>'2027'!R\Max</f>
        <v>0.40245133151882623</v>
      </c>
    </row>
    <row r="314" spans="1:84" s="6" customFormat="1" ht="11.25" x14ac:dyDescent="0.2">
      <c r="A314" s="11">
        <v>43400</v>
      </c>
      <c r="B314" s="380">
        <f>'2022'!Maxi_hp</f>
        <v>29.570719829876996</v>
      </c>
      <c r="C314" s="13">
        <f>'2022'!An_max</f>
        <v>2021</v>
      </c>
      <c r="D314" s="1062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53">
        <f t="shared" si="119"/>
        <v>0.14285714285714285</v>
      </c>
      <c r="J314" s="746">
        <f t="shared" si="120"/>
        <v>35.892529445913219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55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53">
        <f t="shared" si="124"/>
        <v>0.5714285714285714</v>
      </c>
      <c r="AT314" s="769">
        <f t="shared" si="125"/>
        <v>35.904553936155779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53">
        <f t="shared" si="129"/>
        <v>0.9285714285714286</v>
      </c>
      <c r="AY314" s="769">
        <f t="shared" si="130"/>
        <v>35.866619533486663</v>
      </c>
      <c r="AZ314" s="746">
        <f t="shared" si="134"/>
        <v>35.885586734821217</v>
      </c>
      <c r="BA314" s="643">
        <f t="shared" si="131"/>
        <v>0.82386837278875491</v>
      </c>
      <c r="BC314" s="11">
        <v>43400</v>
      </c>
      <c r="BD314" s="290">
        <f>[2]!FeuilCaduc*(1-Persistant)+Persistant</f>
        <v>0.81347282613424399</v>
      </c>
      <c r="BE314" s="291">
        <f>[2]!CroissVégét</f>
        <v>0.99703144626847073</v>
      </c>
      <c r="BF314" s="816">
        <f>1+[2]!Salcycl*Ksac</f>
        <v>1.0266841032667804</v>
      </c>
      <c r="BH314" s="1053">
        <f t="shared" si="132"/>
        <v>1.989452340504164E-3</v>
      </c>
      <c r="BI314" s="11">
        <v>44496</v>
      </c>
      <c r="BJ314" s="726">
        <v>4.0395003333967009E-4</v>
      </c>
      <c r="BK314" s="726">
        <v>8.5579650940253407E-4</v>
      </c>
      <c r="BL314" s="726">
        <v>1.3762766202498606E-3</v>
      </c>
      <c r="BM314" s="726">
        <v>1.9910573419020965E-3</v>
      </c>
      <c r="BN314" s="726">
        <v>2.6921164734608214E-3</v>
      </c>
      <c r="BO314" s="727">
        <v>3.6433630859412825E-3</v>
      </c>
      <c r="BP314" s="726">
        <v>4.8114074378559548E-3</v>
      </c>
      <c r="BQ314" s="726">
        <v>6.7313205359204459E-3</v>
      </c>
      <c r="BR314" s="726">
        <v>9.487442782373191E-3</v>
      </c>
      <c r="BS314" s="726">
        <v>1.3907649160454845E-2</v>
      </c>
      <c r="BT314" s="726">
        <v>1.9424625962038134E-2</v>
      </c>
      <c r="BW314" s="1186">
        <f>'2018'!R\Max</f>
        <v>0.26444022902590514</v>
      </c>
      <c r="BX314" s="1184">
        <f>'2019'!R\Max</f>
        <v>0.72622183722187561</v>
      </c>
      <c r="BY314" s="1184">
        <f>'2020'!R\Max</f>
        <v>0.75622099551351041</v>
      </c>
      <c r="BZ314" s="1184">
        <f>'2021'!R\Max</f>
        <v>0.82386837278875491</v>
      </c>
      <c r="CA314" s="1184">
        <f>'2022'!R\Max</f>
        <v>0.43372986906319905</v>
      </c>
      <c r="CB314" s="1184">
        <f>'2023'!R\Max</f>
        <v>0.43370896709440843</v>
      </c>
      <c r="CC314" s="1184">
        <f>'2024'!R\Max</f>
        <v>0.43367471972702715</v>
      </c>
      <c r="CD314" s="1184">
        <f>'2025'!R\Max</f>
        <v>0.43379791641799881</v>
      </c>
      <c r="CE314" s="1184">
        <f>'2026'!R\Max</f>
        <v>0.4337853720630041</v>
      </c>
      <c r="CF314" s="1185">
        <f>'2027'!R\Max</f>
        <v>0.43376861112125686</v>
      </c>
    </row>
    <row r="315" spans="1:84" s="6" customFormat="1" ht="11.25" x14ac:dyDescent="0.2">
      <c r="A315" s="11">
        <v>43401</v>
      </c>
      <c r="B315" s="380">
        <f>'2022'!Maxi_hp</f>
        <v>24.903019933810778</v>
      </c>
      <c r="C315" s="13">
        <f>'2022'!An_max</f>
        <v>2020</v>
      </c>
      <c r="D315" s="1062" t="str">
        <f t="shared" si="116"/>
        <v/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53">
        <f t="shared" si="119"/>
        <v>7.1428571428571425E-2</v>
      </c>
      <c r="J315" s="746">
        <f t="shared" si="120"/>
        <v>35.571375364408809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55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53">
        <f t="shared" si="124"/>
        <v>0.5357142857142857</v>
      </c>
      <c r="AT315" s="769">
        <f t="shared" si="125"/>
        <v>35.575242616242861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53">
        <f t="shared" si="129"/>
        <v>0.9642857142857143</v>
      </c>
      <c r="AY315" s="769">
        <f t="shared" si="130"/>
        <v>35.557865706505254</v>
      </c>
      <c r="AZ315" s="746">
        <f t="shared" si="134"/>
        <v>35.566554161374057</v>
      </c>
      <c r="BA315" s="643">
        <f t="shared" si="131"/>
        <v>0.70008594491197751</v>
      </c>
      <c r="BC315" s="11">
        <v>43401</v>
      </c>
      <c r="BD315" s="290">
        <f>[2]!FeuilCaduc*(1-Persistant)+Persistant</f>
        <v>0.80778332106293327</v>
      </c>
      <c r="BE315" s="291">
        <f>[2]!CroissVégét</f>
        <v>0.99716388402603495</v>
      </c>
      <c r="BF315" s="816">
        <f>1+[2]!Salcycl*Ksac</f>
        <v>1.0259729151328667</v>
      </c>
      <c r="BH315" s="1053">
        <f t="shared" si="132"/>
        <v>1.9579113585554892E-3</v>
      </c>
      <c r="BI315" s="11">
        <v>44497</v>
      </c>
      <c r="BJ315" s="726">
        <v>4.1830292687677532E-4</v>
      </c>
      <c r="BK315" s="726">
        <v>8.5694691133951734E-4</v>
      </c>
      <c r="BL315" s="726">
        <v>1.362473984069002E-3</v>
      </c>
      <c r="BM315" s="726">
        <v>1.9594699294298154E-3</v>
      </c>
      <c r="BN315" s="726">
        <v>2.641879055241385E-3</v>
      </c>
      <c r="BO315" s="727">
        <v>3.5699567649865255E-3</v>
      </c>
      <c r="BP315" s="726">
        <v>4.7144643350832743E-3</v>
      </c>
      <c r="BQ315" s="726">
        <v>6.635961693095889E-3</v>
      </c>
      <c r="BR315" s="726">
        <v>9.4204531692229938E-3</v>
      </c>
      <c r="BS315" s="726">
        <v>1.3888402407656771E-2</v>
      </c>
      <c r="BT315" s="726">
        <v>1.9445959803785173E-2</v>
      </c>
      <c r="BW315" s="1186">
        <f>'2018'!R\Max</f>
        <v>0.10912865959805108</v>
      </c>
      <c r="BX315" s="1184">
        <f>'2019'!R\Max</f>
        <v>0.28348057637342217</v>
      </c>
      <c r="BY315" s="1184">
        <f>'2020'!R\Max</f>
        <v>0.70008594491197751</v>
      </c>
      <c r="BZ315" s="1184">
        <f>'2021'!R\Max</f>
        <v>0.32016376651777112</v>
      </c>
      <c r="CA315" s="1184">
        <f>'2022'!R\Max</f>
        <v>0.51684114491230992</v>
      </c>
      <c r="CB315" s="1184">
        <f>'2023'!R\Max</f>
        <v>0.51682028043599071</v>
      </c>
      <c r="CC315" s="1184">
        <f>'2024'!R\Max</f>
        <v>0.51678536381612172</v>
      </c>
      <c r="CD315" s="1184">
        <f>'2025'!R\Max</f>
        <v>0.5169088362858375</v>
      </c>
      <c r="CE315" s="1184">
        <f>'2026'!R\Max</f>
        <v>0.51689639745979199</v>
      </c>
      <c r="CF315" s="1185">
        <f>'2027'!R\Max</f>
        <v>0.51687974008745585</v>
      </c>
    </row>
    <row r="316" spans="1:84" s="6" customFormat="1" ht="11.25" x14ac:dyDescent="0.2">
      <c r="A316" s="11">
        <v>43402</v>
      </c>
      <c r="B316" s="380">
        <f>'2022'!Maxi_hp</f>
        <v>29.923980500554308</v>
      </c>
      <c r="C316" s="13">
        <f>'2022'!An_max</f>
        <v>2019</v>
      </c>
      <c r="D316" s="1062" t="str">
        <f t="shared" si="116"/>
        <v/>
      </c>
      <c r="E316" s="1057">
        <f>AI$13/10</f>
        <v>35.253799999999998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53">
        <f t="shared" si="119"/>
        <v>0</v>
      </c>
      <c r="J316" s="746">
        <f t="shared" si="120"/>
        <v>35.253799999877813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55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53">
        <f t="shared" si="124"/>
        <v>0.5</v>
      </c>
      <c r="AT316" s="769">
        <f t="shared" si="125"/>
        <v>35.247662500711158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53">
        <f t="shared" si="129"/>
        <v>1</v>
      </c>
      <c r="AY316" s="769">
        <f t="shared" si="130"/>
        <v>35.253799999877813</v>
      </c>
      <c r="AZ316" s="746">
        <f t="shared" si="134"/>
        <v>35.250731250294486</v>
      </c>
      <c r="BA316" s="643">
        <f t="shared" si="131"/>
        <v>0.84881574470434451</v>
      </c>
      <c r="BC316" s="11">
        <v>43402</v>
      </c>
      <c r="BD316" s="290">
        <f>[2]!FeuilCaduc*(1-Persistant)+Persistant</f>
        <v>0.80205804176065143</v>
      </c>
      <c r="BE316" s="291">
        <f>[2]!CroissVégét</f>
        <v>0.99729102250050727</v>
      </c>
      <c r="BF316" s="816">
        <f>1+[2]!Salcycl*Ksac</f>
        <v>1.0252572552200814</v>
      </c>
      <c r="BH316" s="1053">
        <f t="shared" si="132"/>
        <v>1.9213498367241534E-3</v>
      </c>
      <c r="BI316" s="11">
        <v>44498</v>
      </c>
      <c r="BJ316" s="726">
        <v>4.3017960257353159E-4</v>
      </c>
      <c r="BK316" s="726">
        <v>8.5462544464925223E-4</v>
      </c>
      <c r="BL316" s="726">
        <v>1.3443792023667669E-3</v>
      </c>
      <c r="BM316" s="726">
        <v>1.9228600704860603E-3</v>
      </c>
      <c r="BN316" s="726">
        <v>2.5859880163108377E-3</v>
      </c>
      <c r="BO316" s="727">
        <v>3.4993414461834513E-3</v>
      </c>
      <c r="BP316" s="726">
        <v>4.6310870769149821E-3</v>
      </c>
      <c r="BQ316" s="726">
        <v>6.5677080772423386E-3</v>
      </c>
      <c r="BR316" s="726">
        <v>9.3887039160095043E-3</v>
      </c>
      <c r="BS316" s="726">
        <v>1.3908719268864235E-2</v>
      </c>
      <c r="BT316" s="726">
        <v>1.9507154397670642E-2</v>
      </c>
      <c r="BW316" s="1186">
        <f>'2018'!R\Max</f>
        <v>0.12682728911301916</v>
      </c>
      <c r="BX316" s="1184">
        <f>'2019'!R\Max</f>
        <v>0.84881574470434451</v>
      </c>
      <c r="BY316" s="1184">
        <f>'2020'!R\Max</f>
        <v>0.39549739550828072</v>
      </c>
      <c r="BZ316" s="1184">
        <f>'2021'!R\Max</f>
        <v>0.5292967743578445</v>
      </c>
      <c r="CA316" s="1184">
        <f>'2022'!R\Max</f>
        <v>0.81903274770518941</v>
      </c>
      <c r="CB316" s="1184">
        <f>'2023'!R\Max</f>
        <v>0.81902047875547468</v>
      </c>
      <c r="CC316" s="1184">
        <f>'2024'!R\Max</f>
        <v>0.81899955113832557</v>
      </c>
      <c r="CD316" s="1184">
        <f>'2025'!R\Max</f>
        <v>0.81907232007761521</v>
      </c>
      <c r="CE316" s="1184">
        <f>'2026'!R\Max</f>
        <v>0.81906513340645137</v>
      </c>
      <c r="CF316" s="1185">
        <f>'2027'!R\Max</f>
        <v>0.81905539136370054</v>
      </c>
    </row>
    <row r="317" spans="1:84" s="6" customFormat="1" ht="11.25" x14ac:dyDescent="0.2">
      <c r="A317" s="11">
        <v>43403</v>
      </c>
      <c r="B317" s="380">
        <f>'2022'!Maxi_hp</f>
        <v>33.09982659368044</v>
      </c>
      <c r="C317" s="13">
        <f>'2022'!An_max</f>
        <v>2018</v>
      </c>
      <c r="D317" s="1062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53">
        <f t="shared" si="119"/>
        <v>7.1428571428571425E-2</v>
      </c>
      <c r="J317" s="746">
        <f t="shared" si="120"/>
        <v>34.938228717393109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55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53">
        <f t="shared" si="124"/>
        <v>0.4642857142857143</v>
      </c>
      <c r="AT317" s="769">
        <f t="shared" si="125"/>
        <v>34.922149094001256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53">
        <f t="shared" si="129"/>
        <v>0.9642857142857143</v>
      </c>
      <c r="AY317" s="769">
        <f t="shared" si="130"/>
        <v>34.951194856994384</v>
      </c>
      <c r="AZ317" s="746">
        <f t="shared" si="134"/>
        <v>34.936671975497816</v>
      </c>
      <c r="BA317" s="643">
        <f t="shared" si="131"/>
        <v>0.94738135872361873</v>
      </c>
      <c r="BC317" s="11">
        <v>43403</v>
      </c>
      <c r="BD317" s="290">
        <f>[2]!FeuilCaduc*(1-Persistant)+Persistant</f>
        <v>0.7963047856257206</v>
      </c>
      <c r="BE317" s="291">
        <f>[2]!CroissVégét</f>
        <v>0.99741307246059263</v>
      </c>
      <c r="BF317" s="816">
        <f>1+[2]!Salcycl*Ksac</f>
        <v>1.0245380982032151</v>
      </c>
      <c r="BH317" s="1053">
        <f t="shared" si="132"/>
        <v>1.8797586030978315E-3</v>
      </c>
      <c r="BI317" s="11">
        <v>44499</v>
      </c>
      <c r="BJ317" s="726">
        <v>4.3957622505780329E-4</v>
      </c>
      <c r="BK317" s="726">
        <v>8.4882636647964698E-4</v>
      </c>
      <c r="BL317" s="726">
        <v>1.321984802356672E-3</v>
      </c>
      <c r="BM317" s="726">
        <v>1.8812185887110071E-3</v>
      </c>
      <c r="BN317" s="726">
        <v>2.5244325335983262E-3</v>
      </c>
      <c r="BO317" s="727">
        <v>3.4315173531942666E-3</v>
      </c>
      <c r="BP317" s="726">
        <v>4.5612900550640722E-3</v>
      </c>
      <c r="BQ317" s="726">
        <v>6.5265916214142282E-3</v>
      </c>
      <c r="BR317" s="726">
        <v>9.3922361456957957E-3</v>
      </c>
      <c r="BS317" s="726">
        <v>1.3968643170505208E-2</v>
      </c>
      <c r="BT317" s="726">
        <v>1.9608248673815141E-2</v>
      </c>
      <c r="BW317" s="1186">
        <f>'2018'!R\Max</f>
        <v>0.94738135872361873</v>
      </c>
      <c r="BX317" s="1184">
        <f>'2019'!R\Max</f>
        <v>0.65013160912027645</v>
      </c>
      <c r="BY317" s="1184">
        <f>'2020'!R\Max</f>
        <v>0.86750477913256763</v>
      </c>
      <c r="BZ317" s="1184">
        <f>'2021'!R\Max</f>
        <v>0.30481492678522709</v>
      </c>
      <c r="CA317" s="1184">
        <f>'2022'!R\Max</f>
        <v>0.68364374927963867</v>
      </c>
      <c r="CB317" s="1184">
        <f>'2023'!R\Max</f>
        <v>0.68362584619907907</v>
      </c>
      <c r="CC317" s="1184">
        <f>'2024'!R\Max</f>
        <v>0.68359480350794055</v>
      </c>
      <c r="CD317" s="1184">
        <f>'2025'!R\Max</f>
        <v>0.68370103513481362</v>
      </c>
      <c r="CE317" s="1184">
        <f>'2026'!R\Max</f>
        <v>0.68369084457798346</v>
      </c>
      <c r="CF317" s="1185">
        <f>'2027'!R\Max</f>
        <v>0.68367671442867117</v>
      </c>
    </row>
    <row r="318" spans="1:84" s="6" customFormat="1" ht="11.25" x14ac:dyDescent="0.2">
      <c r="A318" s="11">
        <v>43404</v>
      </c>
      <c r="B318" s="380">
        <f>'2022'!Maxi_hp</f>
        <v>33.51042975379562</v>
      </c>
      <c r="C318" s="13">
        <f>'2022'!An_max</f>
        <v>2020</v>
      </c>
      <c r="D318" s="1062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53">
        <f t="shared" si="119"/>
        <v>0.14285714285714285</v>
      </c>
      <c r="J318" s="746">
        <f t="shared" si="120"/>
        <v>34.623086880573204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55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53">
        <f t="shared" si="124"/>
        <v>0.42857142857142855</v>
      </c>
      <c r="AT318" s="769">
        <f t="shared" si="125"/>
        <v>34.599037900806536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53">
        <f t="shared" si="129"/>
        <v>0.9285714285714286</v>
      </c>
      <c r="AY318" s="769">
        <f t="shared" si="130"/>
        <v>34.646903243048918</v>
      </c>
      <c r="AZ318" s="746">
        <f t="shared" si="134"/>
        <v>34.622970571927723</v>
      </c>
      <c r="BA318" s="643">
        <f t="shared" si="131"/>
        <v>0.96786372253243858</v>
      </c>
      <c r="BC318" s="11">
        <v>43404</v>
      </c>
      <c r="BD318" s="290">
        <f>[2]!FeuilCaduc*(1-Persistant)+Persistant</f>
        <v>0.79053155513041851</v>
      </c>
      <c r="BE318" s="291">
        <f>[2]!CroissVégét</f>
        <v>0.99753023639231442</v>
      </c>
      <c r="BF318" s="816">
        <f>1+[2]!Salcycl*Ksac</f>
        <v>1.0238164443913023</v>
      </c>
      <c r="BH318" s="1053">
        <f t="shared" si="132"/>
        <v>1.8367466238122939E-3</v>
      </c>
      <c r="BI318" s="11">
        <v>44500</v>
      </c>
      <c r="BJ318" s="726">
        <v>4.4653157218291629E-4</v>
      </c>
      <c r="BK318" s="726">
        <v>8.4067649879076818E-4</v>
      </c>
      <c r="BL318" s="726">
        <v>1.2975721906730321E-3</v>
      </c>
      <c r="BM318" s="726">
        <v>1.838157925157623E-3</v>
      </c>
      <c r="BN318" s="726">
        <v>2.4624329138444121E-3</v>
      </c>
      <c r="BO318" s="727">
        <v>3.3725585840148195E-3</v>
      </c>
      <c r="BP318" s="726">
        <v>4.5127057720347787E-3</v>
      </c>
      <c r="BQ318" s="726">
        <v>6.5221548561619743E-3</v>
      </c>
      <c r="BR318" s="726">
        <v>9.4402102311126942E-3</v>
      </c>
      <c r="BS318" s="726">
        <v>1.4073380770285193E-2</v>
      </c>
      <c r="BT318" s="726">
        <v>1.9747030607987947E-2</v>
      </c>
      <c r="BW318" s="1186">
        <f>'2018'!R\Max</f>
        <v>0.28640735010036816</v>
      </c>
      <c r="BX318" s="1184">
        <f>'2019'!R\Max</f>
        <v>0.49606513495414828</v>
      </c>
      <c r="BY318" s="1184">
        <f>'2020'!R\Max</f>
        <v>0.96786372253243858</v>
      </c>
      <c r="BZ318" s="1184">
        <f>'2021'!R\Max</f>
        <v>0.55121561637547523</v>
      </c>
      <c r="CA318" s="1184">
        <f>'2022'!R\Max</f>
        <v>0.67352146182210981</v>
      </c>
      <c r="CB318" s="1184">
        <f>'2023'!R\Max</f>
        <v>0.67350305952633072</v>
      </c>
      <c r="CC318" s="1184">
        <f>'2024'!R\Max</f>
        <v>0.6734707315913615</v>
      </c>
      <c r="CD318" s="1184">
        <f>'2025'!R\Max</f>
        <v>0.67357975138134252</v>
      </c>
      <c r="CE318" s="1184">
        <f>'2026'!R\Max</f>
        <v>0.67356967754583452</v>
      </c>
      <c r="CF318" s="1185">
        <f>'2027'!R\Max</f>
        <v>0.67355525638368574</v>
      </c>
    </row>
    <row r="319" spans="1:84" s="6" customFormat="1" ht="11.25" x14ac:dyDescent="0.2">
      <c r="A319" s="11">
        <v>43405</v>
      </c>
      <c r="B319" s="380">
        <f>'2022'!Maxi_hp</f>
        <v>32.377451552901285</v>
      </c>
      <c r="C319" s="13">
        <f>'2022'!An_max</f>
        <v>2020</v>
      </c>
      <c r="D319" s="1062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53">
        <f t="shared" si="119"/>
        <v>0.21428571428571427</v>
      </c>
      <c r="J319" s="746">
        <f t="shared" si="120"/>
        <v>34.308803935774733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55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53">
        <f t="shared" si="124"/>
        <v>0.39285714285714285</v>
      </c>
      <c r="AT319" s="769">
        <f t="shared" si="125"/>
        <v>34.278664427017794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53">
        <f t="shared" si="129"/>
        <v>0.8928571428571429</v>
      </c>
      <c r="AY319" s="769">
        <f t="shared" si="130"/>
        <v>34.341368025687657</v>
      </c>
      <c r="AZ319" s="746">
        <f t="shared" si="134"/>
        <v>34.31001622635273</v>
      </c>
      <c r="BA319" s="643">
        <f t="shared" si="131"/>
        <v>0.94370679938336255</v>
      </c>
      <c r="BC319" s="11">
        <v>43405</v>
      </c>
      <c r="BD319" s="290">
        <f>[2]!FeuilCaduc*(1-Persistant)+Persistant</f>
        <v>0.78474652459248617</v>
      </c>
      <c r="BE319" s="291">
        <f>[2]!CroissVégét</f>
        <v>0.99764270881659778</v>
      </c>
      <c r="BF319" s="816">
        <f>1+[2]!Salcycl*Ksac</f>
        <v>1.0230933155740607</v>
      </c>
      <c r="BH319" s="1053">
        <f t="shared" si="132"/>
        <v>1.8003530088755418E-3</v>
      </c>
      <c r="BI319" s="11">
        <v>44501</v>
      </c>
      <c r="BJ319" s="726">
        <v>4.517650585718819E-4</v>
      </c>
      <c r="BK319" s="726">
        <v>8.3304558932440051E-4</v>
      </c>
      <c r="BL319" s="726">
        <v>1.2764437937567423E-3</v>
      </c>
      <c r="BM319" s="726">
        <v>1.8017243531654081E-3</v>
      </c>
      <c r="BN319" s="726">
        <v>2.4109107519448489E-3</v>
      </c>
      <c r="BO319" s="727">
        <v>3.3273948277438678E-3</v>
      </c>
      <c r="BP319" s="726">
        <v>4.4824384512255335E-3</v>
      </c>
      <c r="BQ319" s="726">
        <v>6.5414421980577071E-3</v>
      </c>
      <c r="BR319" s="726">
        <v>9.514334123219205E-3</v>
      </c>
      <c r="BS319" s="726">
        <v>1.4198670948466672E-2</v>
      </c>
      <c r="BT319" s="726">
        <v>1.989282761453268E-2</v>
      </c>
      <c r="BW319" s="1186">
        <f>'2018'!R\Max</f>
        <v>0.66648015978694308</v>
      </c>
      <c r="BX319" s="1184">
        <f>'2019'!R\Max</f>
        <v>0.2268867713882991</v>
      </c>
      <c r="BY319" s="1184">
        <f>'2020'!R\Max</f>
        <v>0.94370679938336255</v>
      </c>
      <c r="BZ319" s="1184">
        <f>'2021'!R\Max</f>
        <v>0.53881096362776681</v>
      </c>
      <c r="CA319" s="1184">
        <f>'2022'!R\Max</f>
        <v>0.7230574112189041</v>
      </c>
      <c r="CB319" s="1184">
        <f>'2023'!R\Max</f>
        <v>0.72304040379974099</v>
      </c>
      <c r="CC319" s="1184">
        <f>'2024'!R\Max</f>
        <v>0.72301018390555105</v>
      </c>
      <c r="CD319" s="1184">
        <f>'2025'!R\Max</f>
        <v>0.72311075753657073</v>
      </c>
      <c r="CE319" s="1184">
        <f>'2026'!R\Max</f>
        <v>0.72310178975677042</v>
      </c>
      <c r="CF319" s="1185">
        <f>'2027'!R\Max</f>
        <v>0.72308855801589389</v>
      </c>
    </row>
    <row r="320" spans="1:84" s="6" customFormat="1" ht="11.25" x14ac:dyDescent="0.2">
      <c r="A320" s="11">
        <v>43406</v>
      </c>
      <c r="B320" s="380">
        <f>'2022'!Maxi_hp</f>
        <v>29.817559501833507</v>
      </c>
      <c r="C320" s="13">
        <f>'2022'!An_max</f>
        <v>2022</v>
      </c>
      <c r="D320" s="1062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53">
        <f t="shared" si="119"/>
        <v>0.2857142857142857</v>
      </c>
      <c r="J320" s="746">
        <f t="shared" si="120"/>
        <v>33.995809329726868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55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53">
        <f t="shared" si="124"/>
        <v>0.35714285714285715</v>
      </c>
      <c r="AT320" s="769">
        <f t="shared" si="125"/>
        <v>33.961364176623256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53">
        <f t="shared" si="129"/>
        <v>0.8571428571428571</v>
      </c>
      <c r="AY320" s="769">
        <f t="shared" si="130"/>
        <v>34.035032069576637</v>
      </c>
      <c r="AZ320" s="746">
        <f t="shared" si="134"/>
        <v>33.998198123099947</v>
      </c>
      <c r="BA320" s="643">
        <f t="shared" si="131"/>
        <v>0.87709515054139975</v>
      </c>
      <c r="BC320" s="11">
        <v>43406</v>
      </c>
      <c r="BD320" s="290">
        <f>[2]!FeuilCaduc*(1-Persistant)+Persistant</f>
        <v>0.77895800540929394</v>
      </c>
      <c r="BE320" s="291">
        <f>[2]!CroissVégét</f>
        <v>0.99775067659530603</v>
      </c>
      <c r="BF320" s="816">
        <f>1+[2]!Salcycl*Ksac</f>
        <v>1.0223697506761618</v>
      </c>
      <c r="BH320" s="1053">
        <f t="shared" si="132"/>
        <v>1.7705856146327617E-3</v>
      </c>
      <c r="BI320" s="11">
        <v>44502</v>
      </c>
      <c r="BJ320" s="726">
        <v>4.5527379958393998E-4</v>
      </c>
      <c r="BK320" s="726">
        <v>8.2593362417902611E-4</v>
      </c>
      <c r="BL320" s="726">
        <v>1.2586031619661539E-3</v>
      </c>
      <c r="BM320" s="726">
        <v>1.7719257403505677E-3</v>
      </c>
      <c r="BN320" s="726">
        <v>2.3698788808419686E-3</v>
      </c>
      <c r="BO320" s="727">
        <v>3.296042808482526E-3</v>
      </c>
      <c r="BP320" s="726">
        <v>4.4705101985360752E-3</v>
      </c>
      <c r="BQ320" s="726">
        <v>6.5844815207461603E-3</v>
      </c>
      <c r="BR320" s="726">
        <v>9.6146363526906451E-3</v>
      </c>
      <c r="BS320" s="726">
        <v>1.4344529852794555E-2</v>
      </c>
      <c r="BT320" s="726">
        <v>2.0045631219330208E-2</v>
      </c>
      <c r="BW320" s="1186">
        <f>'2018'!R\Max</f>
        <v>0.2682399628083959</v>
      </c>
      <c r="BX320" s="1184">
        <f>'2019'!R\Max</f>
        <v>0.15257575943086712</v>
      </c>
      <c r="BY320" s="1184">
        <f>'2020'!R\Max</f>
        <v>0.85173557077987128</v>
      </c>
      <c r="BZ320" s="1184">
        <f>'2021'!R\Max</f>
        <v>0.82690919486660319</v>
      </c>
      <c r="CA320" s="1184">
        <f>'2022'!R\Max</f>
        <v>0.87709515054139975</v>
      </c>
      <c r="CB320" s="1184">
        <f>'2023'!R\Max</f>
        <v>0.87708582432671456</v>
      </c>
      <c r="CC320" s="1184">
        <f>'2024'!R\Max</f>
        <v>0.87706909110197018</v>
      </c>
      <c r="CD320" s="1184">
        <f>'2025'!R\Max</f>
        <v>0.8771241311075586</v>
      </c>
      <c r="CE320" s="1184">
        <f>'2026'!R\Max</f>
        <v>0.87711938446895132</v>
      </c>
      <c r="CF320" s="1185">
        <f>'2027'!R\Max</f>
        <v>0.87711218165648885</v>
      </c>
    </row>
    <row r="321" spans="1:84" s="6" customFormat="1" ht="11.25" x14ac:dyDescent="0.2">
      <c r="A321" s="11">
        <v>43407</v>
      </c>
      <c r="B321" s="380">
        <f>'2022'!Maxi_hp</f>
        <v>30.00122544451607</v>
      </c>
      <c r="C321" s="13">
        <f>'2022'!An_max</f>
        <v>2018</v>
      </c>
      <c r="D321" s="1062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53">
        <f t="shared" si="119"/>
        <v>0.35714285714285715</v>
      </c>
      <c r="J321" s="746">
        <f t="shared" si="120"/>
        <v>33.684532506843759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55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53">
        <f t="shared" si="124"/>
        <v>0.32142857142857145</v>
      </c>
      <c r="AT321" s="769">
        <f t="shared" si="125"/>
        <v>33.64747265395043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53">
        <f t="shared" si="129"/>
        <v>0.8214285714285714</v>
      </c>
      <c r="AY321" s="769">
        <f t="shared" si="130"/>
        <v>33.728338242721343</v>
      </c>
      <c r="AZ321" s="746">
        <f t="shared" si="134"/>
        <v>33.687905448335883</v>
      </c>
      <c r="BA321" s="643">
        <f t="shared" si="131"/>
        <v>0.89065286681418709</v>
      </c>
      <c r="BC321" s="11">
        <v>43407</v>
      </c>
      <c r="BD321" s="290">
        <f>[2]!FeuilCaduc*(1-Persistant)+Persistant</f>
        <v>0.77317440998061149</v>
      </c>
      <c r="BE321" s="291">
        <f>[2]!CroissVégét</f>
        <v>0.99785431922609247</v>
      </c>
      <c r="BF321" s="816">
        <f>1+[2]!Salcycl*Ksac</f>
        <v>1.0216468012475763</v>
      </c>
      <c r="BH321" s="1053">
        <f t="shared" si="132"/>
        <v>1.7474523975566816E-3</v>
      </c>
      <c r="BI321" s="11">
        <v>44503</v>
      </c>
      <c r="BJ321" s="726">
        <v>4.5705490171621876E-4</v>
      </c>
      <c r="BK321" s="726">
        <v>8.1934061608600708E-4</v>
      </c>
      <c r="BL321" s="726">
        <v>1.2440539073033132E-3</v>
      </c>
      <c r="BM321" s="726">
        <v>1.7487700545575798E-3</v>
      </c>
      <c r="BN321" s="726">
        <v>2.3393502688147491E-3</v>
      </c>
      <c r="BO321" s="727">
        <v>3.2785193454132841E-3</v>
      </c>
      <c r="BP321" s="726">
        <v>4.4769431370034257E-3</v>
      </c>
      <c r="BQ321" s="726">
        <v>6.6513005062655154E-3</v>
      </c>
      <c r="BR321" s="726">
        <v>9.7411450486388062E-3</v>
      </c>
      <c r="BS321" s="726">
        <v>1.4510973080683378E-2</v>
      </c>
      <c r="BT321" s="726">
        <v>2.0205432407915027E-2</v>
      </c>
      <c r="BW321" s="1186">
        <f>'2018'!R\Max</f>
        <v>0.89065286681418709</v>
      </c>
      <c r="BX321" s="1184">
        <f>'2019'!R\Max</f>
        <v>0.38779151091140723</v>
      </c>
      <c r="BY321" s="1184">
        <f>'2020'!R\Max</f>
        <v>0.8780568303337104</v>
      </c>
      <c r="BZ321" s="1184">
        <f>'2021'!R\Max</f>
        <v>0.53804242475450614</v>
      </c>
      <c r="CA321" s="1184">
        <f>'2022'!R\Max</f>
        <v>0.30391948648339512</v>
      </c>
      <c r="CB321" s="1184">
        <f>'2023'!R\Max</f>
        <v>0.30390077903906454</v>
      </c>
      <c r="CC321" s="1184">
        <f>'2024'!R\Max</f>
        <v>0.30386694944253118</v>
      </c>
      <c r="CD321" s="1184">
        <f>'2025'!R\Max</f>
        <v>0.30397712458645965</v>
      </c>
      <c r="CE321" s="1184">
        <f>'2026'!R\Max</f>
        <v>0.30396790562686393</v>
      </c>
      <c r="CF321" s="1185">
        <f>'2027'!R\Max</f>
        <v>0.3039535572201319</v>
      </c>
    </row>
    <row r="322" spans="1:84" s="6" customFormat="1" ht="11.25" x14ac:dyDescent="0.2">
      <c r="A322" s="11">
        <v>43408</v>
      </c>
      <c r="B322" s="380">
        <f>'2022'!Maxi_hp</f>
        <v>23.180990079496752</v>
      </c>
      <c r="C322" s="13">
        <f>'2022'!An_max</f>
        <v>2018</v>
      </c>
      <c r="D322" s="1062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53">
        <f t="shared" si="119"/>
        <v>0.42857142857142855</v>
      </c>
      <c r="J322" s="746">
        <f t="shared" si="120"/>
        <v>33.37540291547775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55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53">
        <f t="shared" si="124"/>
        <v>0.2857142857142857</v>
      </c>
      <c r="AT322" s="769">
        <f t="shared" si="125"/>
        <v>33.337325364617371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53">
        <f t="shared" si="129"/>
        <v>0.7857142857142857</v>
      </c>
      <c r="AY322" s="769">
        <f t="shared" si="130"/>
        <v>33.42172940924231</v>
      </c>
      <c r="AZ322" s="746">
        <f t="shared" si="134"/>
        <v>33.379527386929837</v>
      </c>
      <c r="BA322" s="643">
        <f t="shared" si="131"/>
        <v>0.69455311560438515</v>
      </c>
      <c r="BC322" s="11">
        <v>43408</v>
      </c>
      <c r="BD322" s="290">
        <f>[2]!FeuilCaduc*(1-Persistant)+Persistant</f>
        <v>0.76740421455885688</v>
      </c>
      <c r="BE322" s="291">
        <f>[2]!CroissVégét</f>
        <v>0.99795380912643716</v>
      </c>
      <c r="BF322" s="816">
        <f>1+[2]!Salcycl*Ksac</f>
        <v>1.0209255268198572</v>
      </c>
      <c r="BH322" s="1053">
        <f t="shared" si="132"/>
        <v>1.7309613529649908E-3</v>
      </c>
      <c r="BI322" s="11">
        <v>44504</v>
      </c>
      <c r="BJ322" s="726">
        <v>4.5710547851051455E-4</v>
      </c>
      <c r="BK322" s="726">
        <v>8.1326659956268324E-4</v>
      </c>
      <c r="BL322" s="726">
        <v>1.2327996729770722E-3</v>
      </c>
      <c r="BM322" s="726">
        <v>1.7322653024958781E-3</v>
      </c>
      <c r="BN322" s="726">
        <v>2.319337922516344E-3</v>
      </c>
      <c r="BO322" s="727">
        <v>3.2748412253348026E-3</v>
      </c>
      <c r="BP322" s="726">
        <v>4.501759237815036E-3</v>
      </c>
      <c r="BQ322" s="726">
        <v>6.7419264266899183E-3</v>
      </c>
      <c r="BR322" s="726">
        <v>9.8938876983937288E-3</v>
      </c>
      <c r="BS322" s="726">
        <v>1.4698015491008567E-2</v>
      </c>
      <c r="BT322" s="726">
        <v>2.0372221562147633E-2</v>
      </c>
      <c r="BW322" s="1186">
        <f>'2018'!R\Max</f>
        <v>0.69455311560438515</v>
      </c>
      <c r="BX322" s="1184">
        <f>'2019'!R\Max</f>
        <v>0.39482581265642142</v>
      </c>
      <c r="BY322" s="1184">
        <f>'2020'!R\Max</f>
        <v>0.16052755284352482</v>
      </c>
      <c r="BZ322" s="1184">
        <f>'2021'!R\Max</f>
        <v>0.51145551169362757</v>
      </c>
      <c r="CA322" s="1184">
        <f>'2022'!R\Max</f>
        <v>0.53802216488146093</v>
      </c>
      <c r="CB322" s="1184">
        <f>'2023'!R\Max</f>
        <v>0.53799962334088602</v>
      </c>
      <c r="CC322" s="1184">
        <f>'2024'!R\Max</f>
        <v>0.53795859869763574</v>
      </c>
      <c r="CD322" s="1184">
        <f>'2025'!R\Max</f>
        <v>0.5380910499330771</v>
      </c>
      <c r="CE322" s="1184">
        <f>'2026'!R\Max</f>
        <v>0.53808026549126109</v>
      </c>
      <c r="CF322" s="1185">
        <f>'2027'!R\Max</f>
        <v>0.53806309999801727</v>
      </c>
    </row>
    <row r="323" spans="1:84" s="6" customFormat="1" ht="11.25" x14ac:dyDescent="0.2">
      <c r="A323" s="11">
        <v>43409</v>
      </c>
      <c r="B323" s="380">
        <f>'2022'!Maxi_hp</f>
        <v>31.274208966337646</v>
      </c>
      <c r="C323" s="13">
        <f>'2022'!An_max</f>
        <v>2022</v>
      </c>
      <c r="D323" s="1062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53">
        <f t="shared" si="119"/>
        <v>0.5</v>
      </c>
      <c r="J323" s="746">
        <f t="shared" si="120"/>
        <v>33.068849999457598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55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53">
        <f t="shared" si="124"/>
        <v>0.25</v>
      </c>
      <c r="AT323" s="769">
        <f t="shared" si="125"/>
        <v>33.031257812865078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53">
        <f t="shared" si="129"/>
        <v>0.75</v>
      </c>
      <c r="AY323" s="769">
        <f t="shared" si="130"/>
        <v>33.115648437570783</v>
      </c>
      <c r="AZ323" s="746">
        <f t="shared" si="134"/>
        <v>33.073453125217931</v>
      </c>
      <c r="BA323" s="643">
        <f t="shared" si="131"/>
        <v>0.94573016499970852</v>
      </c>
      <c r="BC323" s="11">
        <v>43409</v>
      </c>
      <c r="BD323" s="290">
        <f>[2]!FeuilCaduc*(1-Persistant)+Persistant</f>
        <v>0.76165592127670301</v>
      </c>
      <c r="BE323" s="291">
        <f>[2]!CroissVégét</f>
        <v>0.99804931190721602</v>
      </c>
      <c r="BF323" s="816">
        <f>1+[2]!Salcycl*Ksac</f>
        <v>1.0202069901595878</v>
      </c>
      <c r="BH323" s="1053">
        <f t="shared" si="132"/>
        <v>1.7211204537232144E-3</v>
      </c>
      <c r="BI323" s="11">
        <v>44505</v>
      </c>
      <c r="BJ323" s="726">
        <v>4.5542266645621636E-4</v>
      </c>
      <c r="BK323" s="726">
        <v>8.0771162605861751E-4</v>
      </c>
      <c r="BL323" s="726">
        <v>1.2248441029558627E-3</v>
      </c>
      <c r="BM323" s="726">
        <v>1.7224194683619744E-3</v>
      </c>
      <c r="BN323" s="726">
        <v>2.3098547899921534E-3</v>
      </c>
      <c r="BO323" s="727">
        <v>3.2850250751693048E-3</v>
      </c>
      <c r="BP323" s="726">
        <v>4.5449801512843103E-3</v>
      </c>
      <c r="BQ323" s="726">
        <v>6.8563859257158065E-3</v>
      </c>
      <c r="BR323" s="726">
        <v>1.0072890907202949E-2</v>
      </c>
      <c r="BS323" s="726">
        <v>1.4905671015774899E-2</v>
      </c>
      <c r="BT323" s="726">
        <v>2.0545988396716151E-2</v>
      </c>
      <c r="BW323" s="1186">
        <f>'2018'!R\Max</f>
        <v>0.32915881126466373</v>
      </c>
      <c r="BX323" s="1184">
        <f>'2019'!R\Max</f>
        <v>0.39869230238485021</v>
      </c>
      <c r="BY323" s="1184">
        <f>'2020'!R\Max</f>
        <v>0.50567487335401373</v>
      </c>
      <c r="BZ323" s="1184">
        <f>'2021'!R\Max</f>
        <v>0.34897248800521635</v>
      </c>
      <c r="CA323" s="1184">
        <f>'2022'!R\Max</f>
        <v>0.94573016499970852</v>
      </c>
      <c r="CB323" s="1184">
        <f>'2023'!R\Max</f>
        <v>0.94572537663261791</v>
      </c>
      <c r="CC323" s="1184">
        <f>'2024'!R\Max</f>
        <v>0.94571661947417496</v>
      </c>
      <c r="CD323" s="1184">
        <f>'2025'!R\Max</f>
        <v>0.94574468770961129</v>
      </c>
      <c r="CE323" s="1184">
        <f>'2026'!R\Max</f>
        <v>0.94574245609225971</v>
      </c>
      <c r="CF323" s="1185">
        <f>'2027'!R\Max</f>
        <v>0.94573883541385872</v>
      </c>
    </row>
    <row r="324" spans="1:84" s="6" customFormat="1" ht="11.25" x14ac:dyDescent="0.2">
      <c r="A324" s="11">
        <v>43410</v>
      </c>
      <c r="B324" s="380">
        <f>'2022'!Maxi_hp</f>
        <v>32.221934339382955</v>
      </c>
      <c r="C324" s="13">
        <f>'2022'!An_max</f>
        <v>2022</v>
      </c>
      <c r="D324" s="1062">
        <f t="shared" si="116"/>
        <v>0.98341633329714861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53">
        <f t="shared" si="119"/>
        <v>0.5714285714285714</v>
      </c>
      <c r="J324" s="746">
        <f t="shared" si="120"/>
        <v>32.765303207188843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55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53">
        <f t="shared" si="124"/>
        <v>0.21428571428571427</v>
      </c>
      <c r="AT324" s="769">
        <f t="shared" si="125"/>
        <v>32.729605503526649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53">
        <f t="shared" si="129"/>
        <v>0.7142857142857143</v>
      </c>
      <c r="AY324" s="769">
        <f t="shared" si="130"/>
        <v>32.810538191933716</v>
      </c>
      <c r="AZ324" s="746">
        <f t="shared" si="134"/>
        <v>32.770071847730179</v>
      </c>
      <c r="BA324" s="643">
        <f t="shared" si="131"/>
        <v>0.98341633329714861</v>
      </c>
      <c r="BC324" s="11">
        <v>43410</v>
      </c>
      <c r="BD324" s="290">
        <f>[2]!FeuilCaduc*(1-Persistant)+Persistant</f>
        <v>0.75593801961083673</v>
      </c>
      <c r="BE324" s="291">
        <f>[2]!CroissVégét</f>
        <v>0.99814098663615436</v>
      </c>
      <c r="BF324" s="816">
        <f>1+[2]!Salcycl*Ksac</f>
        <v>1.0194922524513546</v>
      </c>
      <c r="BH324" s="1053">
        <f t="shared" si="132"/>
        <v>1.7181767971611124E-3</v>
      </c>
      <c r="BI324" s="11">
        <v>44506</v>
      </c>
      <c r="BJ324" s="726">
        <v>4.5251793444750071E-4</v>
      </c>
      <c r="BK324" s="726">
        <v>8.0284381354132537E-4</v>
      </c>
      <c r="BL324" s="726">
        <v>1.2201707917209607E-3</v>
      </c>
      <c r="BM324" s="726">
        <v>1.7194803392103293E-3</v>
      </c>
      <c r="BN324" s="726">
        <v>2.3121657751859728E-3</v>
      </c>
      <c r="BO324" s="727">
        <v>3.3117211161770525E-3</v>
      </c>
      <c r="BP324" s="726">
        <v>4.6108433769298778E-3</v>
      </c>
      <c r="BQ324" s="726">
        <v>6.9954463049118915E-3</v>
      </c>
      <c r="BR324" s="726">
        <v>1.0274772938816941E-2</v>
      </c>
      <c r="BS324" s="726">
        <v>1.5127422490084065E-2</v>
      </c>
      <c r="BT324" s="726">
        <v>2.072320120956558E-2</v>
      </c>
      <c r="BW324" s="1186">
        <f>'2018'!R\Max</f>
        <v>0.74477045971104849</v>
      </c>
      <c r="BX324" s="1184">
        <f>'2019'!R\Max</f>
        <v>0.43694597467654034</v>
      </c>
      <c r="BY324" s="1184">
        <f>'2020'!R\Max</f>
        <v>0.76368481164750335</v>
      </c>
      <c r="BZ324" s="1184">
        <f>'2021'!R\Max</f>
        <v>0.41113852822586622</v>
      </c>
      <c r="CA324" s="1184">
        <f>'2022'!R\Max</f>
        <v>0.98341633329714861</v>
      </c>
      <c r="CB324" s="1184">
        <f>'2023'!R\Max</f>
        <v>0.98341476181047904</v>
      </c>
      <c r="CC324" s="1184">
        <f>'2024'!R\Max</f>
        <v>0.98341188603132312</v>
      </c>
      <c r="CD324" s="1184">
        <f>'2025'!R\Max</f>
        <v>0.98342106848441069</v>
      </c>
      <c r="CE324" s="1184">
        <f>'2026'!R\Max</f>
        <v>0.98342035185110444</v>
      </c>
      <c r="CF324" s="1185">
        <f>'2027'!R\Max</f>
        <v>0.98341917123515721</v>
      </c>
    </row>
    <row r="325" spans="1:84" s="6" customFormat="1" ht="11.25" x14ac:dyDescent="0.2">
      <c r="A325" s="11">
        <v>43411</v>
      </c>
      <c r="B325" s="380">
        <f>'2022'!Maxi_hp</f>
        <v>29.779045864368641</v>
      </c>
      <c r="C325" s="13">
        <f>'2022'!An_max</f>
        <v>2022</v>
      </c>
      <c r="D325" s="1062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53">
        <f t="shared" si="119"/>
        <v>0.6428571428571429</v>
      </c>
      <c r="J325" s="746">
        <f t="shared" si="120"/>
        <v>32.465191982101118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55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53">
        <f t="shared" si="124"/>
        <v>0.17857142857142858</v>
      </c>
      <c r="AT325" s="769">
        <f t="shared" si="125"/>
        <v>32.432703940636877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53">
        <f t="shared" si="129"/>
        <v>0.6785714285714286</v>
      </c>
      <c r="AY325" s="769">
        <f t="shared" si="130"/>
        <v>32.50684154085549</v>
      </c>
      <c r="AZ325" s="746">
        <f t="shared" si="134"/>
        <v>32.46977274074618</v>
      </c>
      <c r="BA325" s="643">
        <f t="shared" si="131"/>
        <v>0.9172607351524853</v>
      </c>
      <c r="BC325" s="11">
        <v>43411</v>
      </c>
      <c r="BD325" s="290">
        <f>[2]!FeuilCaduc*(1-Persistant)+Persistant</f>
        <v>0.75025894754742239</v>
      </c>
      <c r="BE325" s="291">
        <f>[2]!CroissVégét</f>
        <v>0.99822898609149657</v>
      </c>
      <c r="BF325" s="816">
        <f>1+[2]!Salcycl*Ksac</f>
        <v>1.0187823684434278</v>
      </c>
      <c r="BH325" s="1053">
        <f t="shared" si="132"/>
        <v>1.7190900251047574E-3</v>
      </c>
      <c r="BI325" s="11">
        <v>44507</v>
      </c>
      <c r="BJ325" s="726">
        <v>4.5016532904841545E-4</v>
      </c>
      <c r="BK325" s="726">
        <v>7.992714434440309E-4</v>
      </c>
      <c r="BL325" s="726">
        <v>1.2177626596209653E-3</v>
      </c>
      <c r="BM325" s="726">
        <v>1.7204022608894515E-3</v>
      </c>
      <c r="BN325" s="726">
        <v>2.3209667396106989E-3</v>
      </c>
      <c r="BO325" s="727">
        <v>3.347151739221608E-3</v>
      </c>
      <c r="BP325" s="726">
        <v>4.6886022782172748E-3</v>
      </c>
      <c r="BQ325" s="726">
        <v>7.1448785467887847E-3</v>
      </c>
      <c r="BR325" s="726">
        <v>1.0482523007184124E-2</v>
      </c>
      <c r="BS325" s="726">
        <v>1.5347939861385813E-2</v>
      </c>
      <c r="BT325" s="726">
        <v>2.0894679571725413E-2</v>
      </c>
      <c r="BW325" s="1186">
        <f>'2018'!R\Max</f>
        <v>0.30675460511588121</v>
      </c>
      <c r="BX325" s="1184">
        <f>'2019'!R\Max</f>
        <v>0.13390684603693082</v>
      </c>
      <c r="BY325" s="1184">
        <f>'2020'!R\Max</f>
        <v>0.52361040317894525</v>
      </c>
      <c r="BZ325" s="1184">
        <f>'2021'!R\Max</f>
        <v>0.28843600187608426</v>
      </c>
      <c r="CA325" s="1184">
        <f>'2022'!R\Max</f>
        <v>0.9172607351524853</v>
      </c>
      <c r="CB325" s="1184">
        <f>'2023'!R\Max</f>
        <v>0.91725317130638095</v>
      </c>
      <c r="CC325" s="1184">
        <f>'2024'!R\Max</f>
        <v>0.91723936301024334</v>
      </c>
      <c r="CD325" s="1184">
        <f>'2025'!R\Max</f>
        <v>0.91728339217500754</v>
      </c>
      <c r="CE325" s="1184">
        <f>'2026'!R\Max</f>
        <v>0.91728000722071368</v>
      </c>
      <c r="CF325" s="1185">
        <f>'2027'!R\Max</f>
        <v>0.9172743595951629</v>
      </c>
    </row>
    <row r="326" spans="1:84" s="6" customFormat="1" ht="11.25" x14ac:dyDescent="0.2">
      <c r="A326" s="11">
        <v>43412</v>
      </c>
      <c r="B326" s="380">
        <f>'2022'!Maxi_hp</f>
        <v>27.215230575971084</v>
      </c>
      <c r="C326" s="13">
        <f>'2022'!An_max</f>
        <v>2021</v>
      </c>
      <c r="D326" s="1062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53">
        <f t="shared" si="119"/>
        <v>0.7142857142857143</v>
      </c>
      <c r="J326" s="746">
        <f t="shared" si="120"/>
        <v>32.168945772520132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55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53">
        <f t="shared" si="124"/>
        <v>0.14285714285714285</v>
      </c>
      <c r="AT326" s="769">
        <f t="shared" si="125"/>
        <v>32.140888630811659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53">
        <f t="shared" si="129"/>
        <v>0.6428571428571429</v>
      </c>
      <c r="AY326" s="769">
        <f t="shared" si="130"/>
        <v>32.205001348656204</v>
      </c>
      <c r="AZ326" s="746">
        <f t="shared" si="134"/>
        <v>32.172944989733935</v>
      </c>
      <c r="BA326" s="643">
        <f t="shared" si="131"/>
        <v>0.84600940199971708</v>
      </c>
      <c r="BC326" s="11">
        <v>43412</v>
      </c>
      <c r="BD326" s="290">
        <f>[2]!FeuilCaduc*(1-Persistant)+Persistant</f>
        <v>0.74462705271936014</v>
      </c>
      <c r="BE326" s="291">
        <f>[2]!CroissVégét</f>
        <v>0.99831345700622864</v>
      </c>
      <c r="BF326" s="816">
        <f>1+[2]!Salcycl*Ksac</f>
        <v>1.0180783815899199</v>
      </c>
      <c r="BH326" s="1053">
        <f t="shared" si="132"/>
        <v>1.7238638661842989E-3</v>
      </c>
      <c r="BI326" s="11">
        <v>44508</v>
      </c>
      <c r="BJ326" s="726">
        <v>4.4836524412883915E-4</v>
      </c>
      <c r="BK326" s="726">
        <v>7.9699563704780643E-4</v>
      </c>
      <c r="BL326" s="726">
        <v>1.217621761170799E-3</v>
      </c>
      <c r="BM326" s="726">
        <v>1.7251889664115258E-3</v>
      </c>
      <c r="BN326" s="726">
        <v>2.336264343914009E-3</v>
      </c>
      <c r="BO326" s="727">
        <v>3.3913252866589871E-3</v>
      </c>
      <c r="BP326" s="726">
        <v>4.7782675734879924E-3</v>
      </c>
      <c r="BQ326" s="726">
        <v>7.3046877836257318E-3</v>
      </c>
      <c r="BR326" s="726">
        <v>1.0696136009126741E-2</v>
      </c>
      <c r="BS326" s="726">
        <v>1.5567203656178022E-2</v>
      </c>
      <c r="BT326" s="726">
        <v>2.1060393698593211E-2</v>
      </c>
      <c r="BW326" s="1186">
        <f>'2018'!R\Max</f>
        <v>0.54182503723812958</v>
      </c>
      <c r="BX326" s="1184">
        <f>'2019'!R\Max</f>
        <v>0.4675419214325936</v>
      </c>
      <c r="BY326" s="1184">
        <f>'2020'!R\Max</f>
        <v>0.16991198496197069</v>
      </c>
      <c r="BZ326" s="1184">
        <f>'2021'!R\Max</f>
        <v>0.84600940199971708</v>
      </c>
      <c r="CA326" s="1184">
        <f>'2022'!R\Max</f>
        <v>0.69694592138279932</v>
      </c>
      <c r="CB326" s="1184">
        <f>'2023'!R\Max</f>
        <v>0.69692412207449372</v>
      </c>
      <c r="CC326" s="1184">
        <f>'2024'!R\Max</f>
        <v>0.69688453215199875</v>
      </c>
      <c r="CD326" s="1184">
        <f>'2025'!R\Max</f>
        <v>0.69701087635737968</v>
      </c>
      <c r="CE326" s="1184">
        <f>'2026'!R\Max</f>
        <v>0.69700127432659409</v>
      </c>
      <c r="CF326" s="1185">
        <f>'2027'!R\Max</f>
        <v>0.69698509187141511</v>
      </c>
    </row>
    <row r="327" spans="1:84" s="6" customFormat="1" ht="11.25" x14ac:dyDescent="0.2">
      <c r="A327" s="11">
        <v>43413</v>
      </c>
      <c r="B327" s="380">
        <f>'2022'!Maxi_hp</f>
        <v>21.819080346731017</v>
      </c>
      <c r="C327" s="13">
        <f>'2022'!An_max</f>
        <v>2020</v>
      </c>
      <c r="D327" s="1062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53">
        <f t="shared" si="119"/>
        <v>0.7857142857142857</v>
      </c>
      <c r="J327" s="746">
        <f t="shared" si="120"/>
        <v>31.876994023126151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55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53">
        <f t="shared" si="124"/>
        <v>0.10714285714285714</v>
      </c>
      <c r="AT327" s="769">
        <f t="shared" si="125"/>
        <v>31.854495076292995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53">
        <f t="shared" si="129"/>
        <v>0.6071428571428571</v>
      </c>
      <c r="AY327" s="769">
        <f t="shared" si="130"/>
        <v>31.905460481824623</v>
      </c>
      <c r="AZ327" s="746">
        <f t="shared" si="134"/>
        <v>31.879977779058809</v>
      </c>
      <c r="BA327" s="643">
        <f t="shared" si="131"/>
        <v>0.68447734848843311</v>
      </c>
      <c r="BC327" s="11">
        <v>43413</v>
      </c>
      <c r="BD327" s="290">
        <f>[2]!FeuilCaduc*(1-Persistant)+Persistant</f>
        <v>0.73905055378765083</v>
      </c>
      <c r="BE327" s="291">
        <f>[2]!CroissVégét</f>
        <v>0.99839454030316765</v>
      </c>
      <c r="BF327" s="816">
        <f>1+[2]!Salcycl*Ksac</f>
        <v>1.0173813192234564</v>
      </c>
      <c r="BH327" s="1053">
        <f t="shared" si="132"/>
        <v>1.7325018992622192E-3</v>
      </c>
      <c r="BI327" s="11">
        <v>44509</v>
      </c>
      <c r="BJ327" s="726">
        <v>4.4711806144787574E-4</v>
      </c>
      <c r="BK327" s="726">
        <v>7.9601747976090721E-4</v>
      </c>
      <c r="BL327" s="726">
        <v>1.2197500739375433E-3</v>
      </c>
      <c r="BM327" s="726">
        <v>1.7338440388304614E-3</v>
      </c>
      <c r="BN327" s="726">
        <v>2.358064969477101E-3</v>
      </c>
      <c r="BO327" s="727">
        <v>3.4442496395467662E-3</v>
      </c>
      <c r="BP327" s="726">
        <v>4.8798492457279435E-3</v>
      </c>
      <c r="BQ327" s="726">
        <v>7.4748782141381004E-3</v>
      </c>
      <c r="BR327" s="726">
        <v>1.0915605874642745E-2</v>
      </c>
      <c r="BS327" s="726">
        <v>1.5785193669104719E-2</v>
      </c>
      <c r="BT327" s="726">
        <v>2.1220313433959064E-2</v>
      </c>
      <c r="BW327" s="1186">
        <f>'2018'!R\Max</f>
        <v>0.18809883925075965</v>
      </c>
      <c r="BX327" s="1184">
        <f>'2019'!R\Max</f>
        <v>0.64512554278211987</v>
      </c>
      <c r="BY327" s="1184">
        <f>'2020'!R\Max</f>
        <v>0.68447734848843311</v>
      </c>
      <c r="BZ327" s="1184">
        <f>'2021'!R\Max</f>
        <v>0.66704055249458094</v>
      </c>
      <c r="CA327" s="1184">
        <f>'2022'!R\Max</f>
        <v>0.32885047001570344</v>
      </c>
      <c r="CB327" s="1184">
        <f>'2023'!R\Max</f>
        <v>0.32882685455499999</v>
      </c>
      <c r="CC327" s="1184">
        <f>'2024'!R\Max</f>
        <v>0.32878429645521989</v>
      </c>
      <c r="CD327" s="1184">
        <f>'2025'!R\Max</f>
        <v>0.32892051028090125</v>
      </c>
      <c r="CE327" s="1184">
        <f>'2026'!R\Max</f>
        <v>0.32891024211952019</v>
      </c>
      <c r="CF327" s="1185">
        <f>'2027'!R\Max</f>
        <v>0.32889280644674018</v>
      </c>
    </row>
    <row r="328" spans="1:84" s="6" customFormat="1" ht="11.25" x14ac:dyDescent="0.2">
      <c r="A328" s="11">
        <v>43414</v>
      </c>
      <c r="B328" s="380">
        <f>'2022'!Maxi_hp</f>
        <v>21.789231727925742</v>
      </c>
      <c r="C328" s="13">
        <f>'2022'!An_max</f>
        <v>2018</v>
      </c>
      <c r="D328" s="1062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53">
        <f t="shared" si="119"/>
        <v>0.8571428571428571</v>
      </c>
      <c r="J328" s="746">
        <f t="shared" si="120"/>
        <v>31.58976618062173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55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53">
        <f t="shared" si="124"/>
        <v>7.1428571428571425E-2</v>
      </c>
      <c r="AT328" s="769">
        <f t="shared" si="125"/>
        <v>31.573858783700103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53">
        <f t="shared" si="129"/>
        <v>0.5714285714285714</v>
      </c>
      <c r="AY328" s="769">
        <f t="shared" si="130"/>
        <v>31.608661807860649</v>
      </c>
      <c r="AZ328" s="746">
        <f t="shared" si="134"/>
        <v>31.591260295780376</v>
      </c>
      <c r="BA328" s="643">
        <f t="shared" si="131"/>
        <v>0.68975603058727353</v>
      </c>
      <c r="BC328" s="11">
        <v>43414</v>
      </c>
      <c r="BD328" s="290">
        <f>[2]!FeuilCaduc*(1-Persistant)+Persistant</f>
        <v>0.73353750233911663</v>
      </c>
      <c r="BE328" s="291">
        <f>[2]!CroissVégét</f>
        <v>0.99847237132123801</v>
      </c>
      <c r="BF328" s="816">
        <f>1+[2]!Salcycl*Ksac</f>
        <v>1.0166921877923896</v>
      </c>
      <c r="BH328" s="1053">
        <f t="shared" si="132"/>
        <v>1.7450075179331888E-3</v>
      </c>
      <c r="BI328" s="11">
        <v>44510</v>
      </c>
      <c r="BJ328" s="726">
        <v>4.4642414554105529E-4</v>
      </c>
      <c r="BK328" s="726">
        <v>7.9633800915150611E-4</v>
      </c>
      <c r="BL328" s="726">
        <v>1.2241494776559715E-3</v>
      </c>
      <c r="BM328" s="726">
        <v>1.746370875703491E-3</v>
      </c>
      <c r="BN328" s="726">
        <v>2.3863746587676048E-3</v>
      </c>
      <c r="BO328" s="727">
        <v>3.505932137557656E-3</v>
      </c>
      <c r="BP328" s="726">
        <v>4.9933564337421152E-3</v>
      </c>
      <c r="BQ328" s="726">
        <v>7.6554530091414302E-3</v>
      </c>
      <c r="BR328" s="726">
        <v>1.1140925514275658E-2</v>
      </c>
      <c r="BS328" s="726">
        <v>1.6001888975437625E-2</v>
      </c>
      <c r="BT328" s="726">
        <v>2.1374408303142692E-2</v>
      </c>
      <c r="BW328" s="1186">
        <f>'2018'!R\Max</f>
        <v>0.68975603058727353</v>
      </c>
      <c r="BX328" s="1184">
        <f>'2019'!R\Max</f>
        <v>0.62992812308937463</v>
      </c>
      <c r="BY328" s="1184">
        <f>'2020'!R\Max</f>
        <v>0.53777026881675671</v>
      </c>
      <c r="BZ328" s="1184">
        <f>'2021'!R\Max</f>
        <v>0.2171401465747422</v>
      </c>
      <c r="CA328" s="1184">
        <f>'2022'!R\Max</f>
        <v>0.68925757784487429</v>
      </c>
      <c r="CB328" s="1184">
        <f>'2023'!R\Max</f>
        <v>0.68923379515891658</v>
      </c>
      <c r="CC328" s="1184">
        <f>'2024'!R\Max</f>
        <v>0.68919135209928006</v>
      </c>
      <c r="CD328" s="1184">
        <f>'2025'!R\Max</f>
        <v>0.68932780322272769</v>
      </c>
      <c r="CE328" s="1184">
        <f>'2026'!R\Max</f>
        <v>0.68931757295529128</v>
      </c>
      <c r="CF328" s="1185">
        <f>'2027'!R\Max</f>
        <v>0.68930011111727618</v>
      </c>
    </row>
    <row r="329" spans="1:84" s="6" customFormat="1" ht="11.25" x14ac:dyDescent="0.2">
      <c r="A329" s="11">
        <v>43415</v>
      </c>
      <c r="B329" s="380">
        <f>'2022'!Maxi_hp</f>
        <v>29.49392290371604</v>
      </c>
      <c r="C329" s="13">
        <f>'2022'!An_max</f>
        <v>2022</v>
      </c>
      <c r="D329" s="1062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53">
        <f t="shared" si="119"/>
        <v>0.9285714285714286</v>
      </c>
      <c r="J329" s="746">
        <f t="shared" si="120"/>
        <v>31.307691690325736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55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53">
        <f t="shared" si="124"/>
        <v>3.5714285714285712E-2</v>
      </c>
      <c r="AT329" s="769">
        <f t="shared" si="125"/>
        <v>31.299315257154273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53">
        <f t="shared" si="129"/>
        <v>0.5357142857142857</v>
      </c>
      <c r="AY329" s="769">
        <f t="shared" si="130"/>
        <v>31.315048191856061</v>
      </c>
      <c r="AZ329" s="746">
        <f t="shared" si="134"/>
        <v>31.307181724505167</v>
      </c>
      <c r="BA329" s="643">
        <f t="shared" si="131"/>
        <v>0.94206635211084044</v>
      </c>
      <c r="BC329" s="11">
        <v>43415</v>
      </c>
      <c r="BD329" s="290">
        <f>[2]!FeuilCaduc*(1-Persistant)+Persistant</f>
        <v>0.72809574557030932</v>
      </c>
      <c r="BE329" s="291">
        <f>[2]!CroissVégét</f>
        <v>0.99854708003323223</v>
      </c>
      <c r="BF329" s="816">
        <f>1+[2]!Salcycl*Ksac</f>
        <v>1.0160119681962887</v>
      </c>
      <c r="BH329" s="1053">
        <f t="shared" si="132"/>
        <v>1.761383895008107E-3</v>
      </c>
      <c r="BI329" s="11">
        <v>44511</v>
      </c>
      <c r="BJ329" s="726">
        <v>4.4628383860343513E-4</v>
      </c>
      <c r="BK329" s="726">
        <v>7.9795820297313687E-4</v>
      </c>
      <c r="BL329" s="726">
        <v>1.230821733332935E-3</v>
      </c>
      <c r="BM329" s="726">
        <v>1.7627726535369437E-3</v>
      </c>
      <c r="BN329" s="726">
        <v>2.4211990556709927E-3</v>
      </c>
      <c r="BO329" s="727">
        <v>3.5763794988618283E-3</v>
      </c>
      <c r="BP329" s="726">
        <v>5.1187973232851534E-3</v>
      </c>
      <c r="BQ329" s="726">
        <v>7.8464142171481878E-3</v>
      </c>
      <c r="BR329" s="726">
        <v>1.1372086766386093E-2</v>
      </c>
      <c r="BS329" s="726">
        <v>1.6217267943414944E-2</v>
      </c>
      <c r="BT329" s="726">
        <v>2.152264756593782E-2</v>
      </c>
      <c r="BW329" s="1186">
        <f>'2018'!R\Max</f>
        <v>0.85690508819598743</v>
      </c>
      <c r="BX329" s="1184">
        <f>'2019'!R\Max</f>
        <v>0.78097264318807325</v>
      </c>
      <c r="BY329" s="1184">
        <f>'2020'!R\Max</f>
        <v>0.35983646777613826</v>
      </c>
      <c r="BZ329" s="1184">
        <f>'2021'!R\Max</f>
        <v>0.39979161318940376</v>
      </c>
      <c r="CA329" s="1184">
        <f>'2022'!R\Max</f>
        <v>0.94206635211084044</v>
      </c>
      <c r="CB329" s="1184">
        <f>'2023'!R\Max</f>
        <v>0.94206005798426762</v>
      </c>
      <c r="CC329" s="1184">
        <f>'2024'!R\Max</f>
        <v>0.94204895744168116</v>
      </c>
      <c r="CD329" s="1184">
        <f>'2025'!R\Max</f>
        <v>0.94208486572892591</v>
      </c>
      <c r="CE329" s="1184">
        <f>'2026'!R\Max</f>
        <v>0.94208218018033185</v>
      </c>
      <c r="CF329" s="1185">
        <f>'2027'!R\Max</f>
        <v>0.9420775828899226</v>
      </c>
    </row>
    <row r="330" spans="1:84" s="6" customFormat="1" ht="11.25" x14ac:dyDescent="0.2">
      <c r="A330" s="11">
        <v>43416</v>
      </c>
      <c r="B330" s="380">
        <f>'2022'!Maxi_hp</f>
        <v>29.545047326085392</v>
      </c>
      <c r="C330" s="13">
        <f>'2022'!An_max</f>
        <v>2022</v>
      </c>
      <c r="D330" s="1062" t="str">
        <f t="shared" si="116"/>
        <v/>
      </c>
      <c r="E330" s="1057">
        <f>AJ$13/10</f>
        <v>31.031200000000002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53">
        <f t="shared" si="119"/>
        <v>1</v>
      </c>
      <c r="J330" s="746">
        <f t="shared" si="120"/>
        <v>31.031200000643729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55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53">
        <f t="shared" si="124"/>
        <v>0</v>
      </c>
      <c r="AT330" s="769">
        <f t="shared" si="125"/>
        <v>31.03120000138879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53">
        <f t="shared" si="129"/>
        <v>0.5</v>
      </c>
      <c r="AY330" s="769">
        <f t="shared" si="130"/>
        <v>31.025062500685454</v>
      </c>
      <c r="AZ330" s="746">
        <f t="shared" si="134"/>
        <v>31.028131251037124</v>
      </c>
      <c r="BA330" s="643">
        <f t="shared" si="131"/>
        <v>0.95210779233392495</v>
      </c>
      <c r="BC330" s="11">
        <v>43416</v>
      </c>
      <c r="BD330" s="290">
        <f>[2]!FeuilCaduc*(1-Persistant)+Persistant</f>
        <v>0.72273289002272234</v>
      </c>
      <c r="BE330" s="291">
        <f>[2]!CroissVégét</f>
        <v>0.99861879125535868</v>
      </c>
      <c r="BF330" s="816">
        <f>1+[2]!Salcycl*Ksac</f>
        <v>1.0153416112528404</v>
      </c>
      <c r="BH330" s="1053">
        <f t="shared" si="132"/>
        <v>1.7816339470200333E-3</v>
      </c>
      <c r="BI330" s="11">
        <v>44512</v>
      </c>
      <c r="BJ330" s="726">
        <v>4.4669745537831662E-4</v>
      </c>
      <c r="BK330" s="726">
        <v>8.0087896720014949E-4</v>
      </c>
      <c r="BL330" s="726">
        <v>1.2397684623671112E-3</v>
      </c>
      <c r="BM330" s="726">
        <v>1.7830522922539227E-3</v>
      </c>
      <c r="BN330" s="726">
        <v>2.4625433458518907E-3</v>
      </c>
      <c r="BO330" s="727">
        <v>3.6555977400530761E-3</v>
      </c>
      <c r="BP330" s="726">
        <v>5.2561790382542467E-3</v>
      </c>
      <c r="BQ330" s="726">
        <v>8.0477626700599641E-3</v>
      </c>
      <c r="BR330" s="726">
        <v>1.1609080344562317E-2</v>
      </c>
      <c r="BS330" s="726">
        <v>1.6431308246780244E-2</v>
      </c>
      <c r="BT330" s="726">
        <v>2.1665000269824455E-2</v>
      </c>
      <c r="BW330" s="1186">
        <f>'2018'!R\Max</f>
        <v>0.91050846936410879</v>
      </c>
      <c r="BX330" s="1184">
        <f>'2019'!R\Max</f>
        <v>0.66280171205875538</v>
      </c>
      <c r="BY330" s="1184">
        <f>'2020'!R\Max</f>
        <v>0.74098472158781947</v>
      </c>
      <c r="BZ330" s="1184">
        <f>'2021'!R\Max</f>
        <v>0.26698780080955087</v>
      </c>
      <c r="CA330" s="1184">
        <f>'2022'!R\Max</f>
        <v>0.95210779233392495</v>
      </c>
      <c r="CB330" s="1184">
        <f>'2023'!R\Max</f>
        <v>0.95210232726354072</v>
      </c>
      <c r="CC330" s="1184">
        <f>'2024'!R\Max</f>
        <v>0.95209282041866772</v>
      </c>
      <c r="CD330" s="1184">
        <f>'2025'!R\Max</f>
        <v>0.95212381493277942</v>
      </c>
      <c r="CE330" s="1184">
        <f>'2026'!R\Max</f>
        <v>0.95212149602675511</v>
      </c>
      <c r="CF330" s="1185">
        <f>'2027'!R\Max</f>
        <v>0.95211752328307186</v>
      </c>
    </row>
    <row r="331" spans="1:84" s="6" customFormat="1" ht="11.25" x14ac:dyDescent="0.2">
      <c r="A331" s="11">
        <v>43417</v>
      </c>
      <c r="B331" s="380">
        <f>'2022'!Maxi_hp</f>
        <v>29.179515996539571</v>
      </c>
      <c r="C331" s="13">
        <f>'2022'!An_max</f>
        <v>2020</v>
      </c>
      <c r="D331" s="1062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53">
        <f t="shared" si="119"/>
        <v>0.9285714285714286</v>
      </c>
      <c r="J331" s="746">
        <f t="shared" si="120"/>
        <v>30.759414321450247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55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53">
        <f t="shared" si="124"/>
        <v>3.5714285714285712E-2</v>
      </c>
      <c r="AT331" s="769">
        <f t="shared" si="125"/>
        <v>30.765098756418695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53">
        <f t="shared" si="129"/>
        <v>0.4642857142857143</v>
      </c>
      <c r="AY331" s="769">
        <f t="shared" si="130"/>
        <v>30.739147599626865</v>
      </c>
      <c r="AZ331" s="746">
        <f t="shared" si="134"/>
        <v>30.752123178022778</v>
      </c>
      <c r="BA331" s="643">
        <f t="shared" si="131"/>
        <v>0.94863691784245308</v>
      </c>
      <c r="BC331" s="11">
        <v>43417</v>
      </c>
      <c r="BD331" s="290">
        <f>[2]!FeuilCaduc*(1-Persistant)+Persistant</f>
        <v>0.71745626662741557</v>
      </c>
      <c r="BE331" s="291">
        <f>[2]!CroissVégét</f>
        <v>0.99868762484886009</v>
      </c>
      <c r="BF331" s="816">
        <f>1+[2]!Salcycl*Ksac</f>
        <v>1.014682033328427</v>
      </c>
      <c r="BH331" s="1053">
        <f t="shared" si="132"/>
        <v>1.8057602987031091E-3</v>
      </c>
      <c r="BI331" s="11">
        <v>44513</v>
      </c>
      <c r="BJ331" s="726">
        <v>4.4766527803905568E-4</v>
      </c>
      <c r="BK331" s="726">
        <v>8.0510112405084383E-4</v>
      </c>
      <c r="BL331" s="726">
        <v>1.2509911256498268E-3</v>
      </c>
      <c r="BM331" s="726">
        <v>1.8072124196349543E-3</v>
      </c>
      <c r="BN331" s="726">
        <v>2.5104121970784396E-3</v>
      </c>
      <c r="BO331" s="727">
        <v>3.7435920960206654E-3</v>
      </c>
      <c r="BP331" s="726">
        <v>5.4055075318046441E-3</v>
      </c>
      <c r="BQ331" s="726">
        <v>8.2594978887410644E-3</v>
      </c>
      <c r="BR331" s="726">
        <v>1.1851895784858251E-2</v>
      </c>
      <c r="BS331" s="726">
        <v>1.6643986877073684E-2</v>
      </c>
      <c r="BT331" s="726">
        <v>2.1801435302850416E-2</v>
      </c>
      <c r="BW331" s="1186">
        <f>'2018'!R\Max</f>
        <v>0.28457928442690172</v>
      </c>
      <c r="BX331" s="1184">
        <f>'2019'!R\Max</f>
        <v>0.61967969305500759</v>
      </c>
      <c r="BY331" s="1184">
        <f>'2020'!R\Max</f>
        <v>0.94863691784245308</v>
      </c>
      <c r="BZ331" s="1184">
        <f>'2021'!R\Max</f>
        <v>0.18015994393442061</v>
      </c>
      <c r="CA331" s="1184">
        <f>'2022'!R\Max</f>
        <v>0.92787929043204209</v>
      </c>
      <c r="CB331" s="1184">
        <f>'2023'!R\Max</f>
        <v>0.9278709503914242</v>
      </c>
      <c r="CC331" s="1184">
        <f>'2024'!R\Max</f>
        <v>0.92785666418347179</v>
      </c>
      <c r="CD331" s="1184">
        <f>'2025'!R\Max</f>
        <v>0.92790367380459571</v>
      </c>
      <c r="CE331" s="1184">
        <f>'2026'!R\Max</f>
        <v>0.92790014668981891</v>
      </c>
      <c r="CF331" s="1185">
        <f>'2027'!R\Max</f>
        <v>0.92789411097469521</v>
      </c>
    </row>
    <row r="332" spans="1:84" s="6" customFormat="1" ht="11.25" x14ac:dyDescent="0.2">
      <c r="A332" s="11">
        <v>43418</v>
      </c>
      <c r="B332" s="380">
        <f>'2022'!Maxi_hp</f>
        <v>19.900379192311398</v>
      </c>
      <c r="C332" s="13">
        <f>'2022'!An_max</f>
        <v>2020</v>
      </c>
      <c r="D332" s="1062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53">
        <f t="shared" si="119"/>
        <v>0.8571428571428571</v>
      </c>
      <c r="J332" s="746">
        <f t="shared" si="120"/>
        <v>30.491243148914407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55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53">
        <f t="shared" si="124"/>
        <v>7.1428571428571425E-2</v>
      </c>
      <c r="AT332" s="769">
        <f t="shared" si="125"/>
        <v>30.496837020878285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53">
        <f t="shared" si="129"/>
        <v>0.42857142857142855</v>
      </c>
      <c r="AY332" s="769">
        <f t="shared" si="130"/>
        <v>30.457746355395226</v>
      </c>
      <c r="AZ332" s="746">
        <f t="shared" si="134"/>
        <v>30.477291688136756</v>
      </c>
      <c r="BA332" s="643">
        <f t="shared" si="131"/>
        <v>0.65265883372222955</v>
      </c>
      <c r="BC332" s="11">
        <v>43418</v>
      </c>
      <c r="BD332" s="290">
        <f>[2]!FeuilCaduc*(1-Persistant)+Persistant</f>
        <v>0.71227289730794707</v>
      </c>
      <c r="BE332" s="291">
        <f>[2]!CroissVégét</f>
        <v>0.99875369591398344</v>
      </c>
      <c r="BF332" s="816">
        <f>1+[2]!Salcycl*Ksac</f>
        <v>1.0140341121634935</v>
      </c>
      <c r="BH332" s="1053">
        <f t="shared" si="132"/>
        <v>1.8340543375780711E-3</v>
      </c>
      <c r="BI332" s="11">
        <v>44514</v>
      </c>
      <c r="BJ332" s="726">
        <v>4.4922640589954298E-4</v>
      </c>
      <c r="BK332" s="726">
        <v>8.1030009714114866E-4</v>
      </c>
      <c r="BL332" s="726">
        <v>1.2642155325997169E-3</v>
      </c>
      <c r="BM332" s="726">
        <v>1.8355459036143247E-3</v>
      </c>
      <c r="BN332" s="726">
        <v>2.5657868135156156E-3</v>
      </c>
      <c r="BO332" s="727">
        <v>3.8413369198203964E-3</v>
      </c>
      <c r="BP332" s="726">
        <v>5.566026570940661E-3</v>
      </c>
      <c r="BQ332" s="726">
        <v>8.4765923656683201E-3</v>
      </c>
      <c r="BR332" s="726">
        <v>1.2092243709396714E-2</v>
      </c>
      <c r="BS332" s="726">
        <v>1.6847187026594171E-2</v>
      </c>
      <c r="BT332" s="726">
        <v>2.1928467824822287E-2</v>
      </c>
      <c r="BW332" s="1186">
        <f>'2018'!R\Max</f>
        <v>0.60811023790782548</v>
      </c>
      <c r="BX332" s="1184">
        <f>'2019'!R\Max</f>
        <v>0.20331022942217603</v>
      </c>
      <c r="BY332" s="1184">
        <f>'2020'!R\Max</f>
        <v>0.65265883372222955</v>
      </c>
      <c r="BZ332" s="1184">
        <f>'2021'!R\Max</f>
        <v>0.21411430452452945</v>
      </c>
      <c r="CA332" s="1184">
        <f>'2022'!R\Max</f>
        <v>0.32953345750049212</v>
      </c>
      <c r="CB332" s="1184">
        <f>'2023'!R\Max</f>
        <v>0.32950484079150111</v>
      </c>
      <c r="CC332" s="1184">
        <f>'2024'!R\Max</f>
        <v>0.32945667435371773</v>
      </c>
      <c r="CD332" s="1184">
        <f>'2025'!R\Max</f>
        <v>0.32961701702737511</v>
      </c>
      <c r="CE332" s="1184">
        <f>'2026'!R\Max</f>
        <v>0.32960490088977185</v>
      </c>
      <c r="CF332" s="1185">
        <f>'2027'!R\Max</f>
        <v>0.32958424759795329</v>
      </c>
    </row>
    <row r="333" spans="1:84" s="6" customFormat="1" ht="11.25" x14ac:dyDescent="0.2">
      <c r="A333" s="11">
        <v>43419</v>
      </c>
      <c r="B333" s="380">
        <f>'2022'!Maxi_hp</f>
        <v>27.219183293094108</v>
      </c>
      <c r="C333" s="13">
        <f>'2022'!An_max</f>
        <v>2020</v>
      </c>
      <c r="D333" s="1062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53">
        <f t="shared" si="119"/>
        <v>0.7857142857142857</v>
      </c>
      <c r="J333" s="746">
        <f t="shared" si="120"/>
        <v>30.22679384068719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55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53">
        <f t="shared" si="124"/>
        <v>0.10714285714285714</v>
      </c>
      <c r="AT333" s="769">
        <f t="shared" si="125"/>
        <v>30.227109945831558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53">
        <f t="shared" si="129"/>
        <v>0.39285714285714285</v>
      </c>
      <c r="AY333" s="769">
        <f t="shared" si="130"/>
        <v>30.181301636222219</v>
      </c>
      <c r="AZ333" s="746">
        <f t="shared" si="134"/>
        <v>30.204205791026887</v>
      </c>
      <c r="BA333" s="643">
        <f t="shared" si="131"/>
        <v>0.90049852579651879</v>
      </c>
      <c r="BC333" s="11">
        <v>43419</v>
      </c>
      <c r="BD333" s="290">
        <f>[2]!FeuilCaduc*(1-Persistant)+Persistant</f>
        <v>0.70718946337911481</v>
      </c>
      <c r="BE333" s="291">
        <f>[2]!CroissVégét</f>
        <v>0.99881711497657366</v>
      </c>
      <c r="BF333" s="816">
        <f>1+[2]!Salcycl*Ksac</f>
        <v>1.0133986829223893</v>
      </c>
      <c r="BH333" s="1053">
        <f t="shared" si="132"/>
        <v>1.862876157881608E-3</v>
      </c>
      <c r="BI333" s="11">
        <v>44515</v>
      </c>
      <c r="BJ333" s="726">
        <v>4.5133811692653776E-4</v>
      </c>
      <c r="BK333" s="726">
        <v>8.1533599021210614E-4</v>
      </c>
      <c r="BL333" s="726">
        <v>1.2771383307447731E-3</v>
      </c>
      <c r="BM333" s="726">
        <v>1.8644093399700749E-3</v>
      </c>
      <c r="BN333" s="726">
        <v>2.6234059185256285E-3</v>
      </c>
      <c r="BO333" s="727">
        <v>3.9427226930085291E-3</v>
      </c>
      <c r="BP333" s="726">
        <v>5.7300701480609614E-3</v>
      </c>
      <c r="BQ333" s="726">
        <v>8.6894635353382613E-3</v>
      </c>
      <c r="BR333" s="726">
        <v>1.2320922150778076E-2</v>
      </c>
      <c r="BS333" s="726">
        <v>1.7035677830662968E-2</v>
      </c>
      <c r="BT333" s="726">
        <v>2.2048328815396274E-2</v>
      </c>
      <c r="BW333" s="1186">
        <f>'2018'!R\Max</f>
        <v>0.67204287008034724</v>
      </c>
      <c r="BX333" s="1184">
        <f>'2019'!R\Max</f>
        <v>0.4006738256116929</v>
      </c>
      <c r="BY333" s="1184">
        <f>'2020'!R\Max</f>
        <v>0.90049852579651879</v>
      </c>
      <c r="BZ333" s="1184">
        <f>'2021'!R\Max</f>
        <v>0.18291280218754202</v>
      </c>
      <c r="CA333" s="1184">
        <f>'2022'!R\Max</f>
        <v>0.43229891064753367</v>
      </c>
      <c r="CB333" s="1184">
        <f>'2023'!R\Max</f>
        <v>0.43226591730924574</v>
      </c>
      <c r="CC333" s="1184">
        <f>'2024'!R\Max</f>
        <v>0.43221142472453561</v>
      </c>
      <c r="CD333" s="1184">
        <f>'2025'!R\Max</f>
        <v>0.43239519406139365</v>
      </c>
      <c r="CE333" s="1184">
        <f>'2026'!R\Max</f>
        <v>0.43238118504873641</v>
      </c>
      <c r="CF333" s="1185">
        <f>'2027'!R\Max</f>
        <v>0.43235741665261984</v>
      </c>
    </row>
    <row r="334" spans="1:84" s="6" customFormat="1" ht="11.25" x14ac:dyDescent="0.2">
      <c r="A334" s="11">
        <v>43420</v>
      </c>
      <c r="B334" s="380">
        <f>'2022'!Maxi_hp</f>
        <v>29.019449729492948</v>
      </c>
      <c r="C334" s="13">
        <f>'2022'!An_max</f>
        <v>2022</v>
      </c>
      <c r="D334" s="1062" t="str">
        <f t="shared" si="116"/>
        <v/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53">
        <f t="shared" si="119"/>
        <v>0.7142857142857143</v>
      </c>
      <c r="J334" s="746">
        <f t="shared" si="120"/>
        <v>29.966173760912248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55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53">
        <f t="shared" si="124"/>
        <v>0.14285714285714285</v>
      </c>
      <c r="AT334" s="769">
        <f t="shared" si="125"/>
        <v>29.956612675530568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53">
        <f t="shared" si="129"/>
        <v>0.35714285714285715</v>
      </c>
      <c r="AY334" s="769">
        <f t="shared" si="130"/>
        <v>29.91025630456528</v>
      </c>
      <c r="AZ334" s="746">
        <f t="shared" si="134"/>
        <v>29.933434490047922</v>
      </c>
      <c r="BA334" s="643">
        <f t="shared" si="131"/>
        <v>0.96840690977190413</v>
      </c>
      <c r="BC334" s="11">
        <v>43420</v>
      </c>
      <c r="BD334" s="290">
        <f>[2]!FeuilCaduc*(1-Persistant)+Persistant</f>
        <v>0.70221227596561042</v>
      </c>
      <c r="BE334" s="291">
        <f>[2]!CroissVégét</f>
        <v>0.9988779881675528</v>
      </c>
      <c r="BF334" s="816">
        <f>1+[2]!Salcycl*Ksac</f>
        <v>1.0127765344957014</v>
      </c>
      <c r="BH334" s="1053">
        <f t="shared" si="132"/>
        <v>1.8922235805201653E-3</v>
      </c>
      <c r="BI334" s="11">
        <v>44516</v>
      </c>
      <c r="BJ334" s="726">
        <v>4.5400055880883918E-4</v>
      </c>
      <c r="BK334" s="726">
        <v>8.2020769660325066E-4</v>
      </c>
      <c r="BL334" s="726">
        <v>1.2897575356470329E-3</v>
      </c>
      <c r="BM334" s="726">
        <v>1.8938005490991353E-3</v>
      </c>
      <c r="BN334" s="726">
        <v>2.6832674919015599E-3</v>
      </c>
      <c r="BO334" s="727">
        <v>4.047746103878736E-3</v>
      </c>
      <c r="BP334" s="726">
        <v>5.8976307701982134E-3</v>
      </c>
      <c r="BQ334" s="726">
        <v>8.8980904932889262E-3</v>
      </c>
      <c r="BR334" s="726">
        <v>1.2537897842884616E-2</v>
      </c>
      <c r="BS334" s="726">
        <v>1.7209419950639418E-2</v>
      </c>
      <c r="BT334" s="726">
        <v>2.2160985828907794E-2</v>
      </c>
      <c r="BW334" s="1186">
        <f>'2018'!R\Max</f>
        <v>0.85555568855750808</v>
      </c>
      <c r="BX334" s="1184">
        <f>'2019'!R\Max</f>
        <v>0.50421301244383865</v>
      </c>
      <c r="BY334" s="1184">
        <f>'2020'!R\Max</f>
        <v>0.69288573608391635</v>
      </c>
      <c r="BZ334" s="1184">
        <f>'2021'!R\Max</f>
        <v>0.32990691194861915</v>
      </c>
      <c r="CA334" s="1184">
        <f>'2022'!R\Max</f>
        <v>0.96840690977190413</v>
      </c>
      <c r="CB334" s="1184">
        <f>'2023'!R\Max</f>
        <v>0.9684026455762309</v>
      </c>
      <c r="CC334" s="1184">
        <f>'2024'!R\Max</f>
        <v>0.96839574431627029</v>
      </c>
      <c r="CD334" s="1184">
        <f>'2025'!R\Max</f>
        <v>0.96841935523330824</v>
      </c>
      <c r="CE334" s="1184">
        <f>'2026'!R\Max</f>
        <v>0.96841753650850126</v>
      </c>
      <c r="CF334" s="1185">
        <f>'2027'!R\Max</f>
        <v>0.96841446738521775</v>
      </c>
    </row>
    <row r="335" spans="1:84" s="6" customFormat="1" ht="11.25" x14ac:dyDescent="0.2">
      <c r="A335" s="11">
        <v>43421</v>
      </c>
      <c r="B335" s="380">
        <f>'2022'!Maxi_hp</f>
        <v>28.670073792979203</v>
      </c>
      <c r="C335" s="13">
        <f>'2022'!An_max</f>
        <v>2018</v>
      </c>
      <c r="D335" s="1062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53">
        <f t="shared" ref="I335:I380" si="138">($A335-H335)/(INDEX(x.2m,G335)-H335)</f>
        <v>0.6428571428571429</v>
      </c>
      <c r="J335" s="746">
        <f t="shared" ref="J335:J380" si="139">((1-I335)*(INDEX(a.m,F335)*$A335*$A335+INDEX(b.m,F335)*$A335+INDEX(c.m,F335))+I335*(INDEX(a.m,G335)*$A335*$A335+INDEX(b.m,G335)*$A335+INDEX(c.m,G335)))/10</f>
        <v>29.709490268837129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55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53">
        <f t="shared" ref="AS335:AS380" si="143">($A335-AR335)/(INDEX(x.2lg,AQ335)-AR335)</f>
        <v>0.17857142857142858</v>
      </c>
      <c r="AT335" s="769">
        <f t="shared" ref="AT335:AT380" si="144">((1-AS335)*(INDEX(a.lg,AP335)*$A335*$A335+INDEX(b.lg,AP335)*$A335+INDEX(c.lg,AP335))+AS335*(INDEX(a.lg,AQ335)*$A335*$A335+INDEX(b.lg,AQ335)*$A335+INDEX(c.lg,AQ335)))/10</f>
        <v>29.686040355690885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53">
        <f t="shared" ref="AX335:AX380" si="148">($A335-AW335)/(INDEX(x.2ld,AV335)-AW335)</f>
        <v>0.32142857142857145</v>
      </c>
      <c r="AY335" s="769">
        <f t="shared" ref="AY335:AY380" si="149">((1-AX335)*(INDEX(a.ld,AU335)*$A335*$A335+INDEX(b.ld,AU335)*$A335+INDEX(c.ld,AU335))+AX335*(INDEX(a.ld,AV335)*$A335*$A335+INDEX(b.ld,AV335)*$A335+INDEX(c.ld,AV335)))/10</f>
        <v>29.64505323082475</v>
      </c>
      <c r="AZ335" s="746">
        <f t="shared" si="134"/>
        <v>29.665546793257818</v>
      </c>
      <c r="BA335" s="643">
        <f t="shared" ref="BA335:BA380" si="150">+B335/J335</f>
        <v>0.96501399160832491</v>
      </c>
      <c r="BC335" s="11">
        <v>43421</v>
      </c>
      <c r="BD335" s="290">
        <f>[2]!FeuilCaduc*(1-Persistant)+Persistant</f>
        <v>0.69734724864930842</v>
      </c>
      <c r="BE335" s="291">
        <f>[2]!CroissVégét</f>
        <v>0.99893641739554129</v>
      </c>
      <c r="BF335" s="816">
        <f>1+[2]!Salcycl*Ksac</f>
        <v>1.0121684060811635</v>
      </c>
      <c r="BH335" s="1053">
        <f t="shared" ref="BH335:BH380" si="151">INDEX($BJ335:$BT335,,$BH$10)*(1-Ratini)+INDEX($BJ335:$BT335,,$BH$10+1)*Ratini</f>
        <v>1.9220942799214142E-3</v>
      </c>
      <c r="BI335" s="11">
        <v>44517</v>
      </c>
      <c r="BJ335" s="726">
        <v>4.5721382641710851E-4</v>
      </c>
      <c r="BK335" s="726">
        <v>8.2491410526800563E-4</v>
      </c>
      <c r="BL335" s="726">
        <v>1.3020711417044673E-3</v>
      </c>
      <c r="BM335" s="726">
        <v>1.9237172045916476E-3</v>
      </c>
      <c r="BN335" s="726">
        <v>2.7453691222020979E-3</v>
      </c>
      <c r="BO335" s="727">
        <v>4.1564031775068499E-3</v>
      </c>
      <c r="BP335" s="726">
        <v>6.0687000661246949E-3</v>
      </c>
      <c r="BQ335" s="726">
        <v>9.1024519208581858E-3</v>
      </c>
      <c r="BR335" s="726">
        <v>1.2743137663523096E-2</v>
      </c>
      <c r="BS335" s="726">
        <v>1.7368374588415631E-2</v>
      </c>
      <c r="BT335" s="726">
        <v>2.2266406587355833E-2</v>
      </c>
      <c r="BW335" s="1186">
        <f>'2018'!R\Max</f>
        <v>0.96501399160832491</v>
      </c>
      <c r="BX335" s="1184">
        <f>'2019'!R\Max</f>
        <v>0.42588858614544323</v>
      </c>
      <c r="BY335" s="1184">
        <f>'2020'!R\Max</f>
        <v>0.79175086132285144</v>
      </c>
      <c r="BZ335" s="1184">
        <f>'2021'!R\Max</f>
        <v>0.10448943343480926</v>
      </c>
      <c r="CA335" s="1184">
        <f>'2022'!R\Max</f>
        <v>0.45712531652583449</v>
      </c>
      <c r="CB335" s="1184">
        <f>'2023'!R\Max</f>
        <v>0.45708950508132623</v>
      </c>
      <c r="CC335" s="1184">
        <f>'2024'!R\Max</f>
        <v>0.45703282091909159</v>
      </c>
      <c r="CD335" s="1184">
        <f>'2025'!R\Max</f>
        <v>0.45722999494400568</v>
      </c>
      <c r="CE335" s="1184">
        <f>'2026'!R\Max</f>
        <v>0.45721461016837872</v>
      </c>
      <c r="CF335" s="1185">
        <f>'2027'!R\Max</f>
        <v>0.45718880989376248</v>
      </c>
    </row>
    <row r="336" spans="1:84" s="6" customFormat="1" ht="11.25" x14ac:dyDescent="0.2">
      <c r="A336" s="11">
        <v>43422</v>
      </c>
      <c r="B336" s="380">
        <f>'2022'!Maxi_hp</f>
        <v>27.452705708144066</v>
      </c>
      <c r="C336" s="13">
        <f>'2022'!An_max</f>
        <v>2020</v>
      </c>
      <c r="D336" s="1062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53">
        <f t="shared" si="138"/>
        <v>0.5714285714285714</v>
      </c>
      <c r="J336" s="746">
        <f t="shared" si="139"/>
        <v>29.456850728711913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55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53">
        <f t="shared" si="143"/>
        <v>0.21428571428571427</v>
      </c>
      <c r="AT336" s="769">
        <f t="shared" si="144"/>
        <v>29.416088133624623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53">
        <f t="shared" si="148"/>
        <v>0.2857142857142857</v>
      </c>
      <c r="AY336" s="769">
        <f t="shared" si="149"/>
        <v>29.386135277045629</v>
      </c>
      <c r="AZ336" s="746">
        <f t="shared" ref="AZ336:AZ380" si="153">(AY336+AT336)/2</f>
        <v>29.401111705335126</v>
      </c>
      <c r="BA336" s="643">
        <f t="shared" si="150"/>
        <v>0.93196336434517812</v>
      </c>
      <c r="BC336" s="11">
        <v>43422</v>
      </c>
      <c r="BD336" s="290">
        <f>[2]!FeuilCaduc*(1-Persistant)+Persistant</f>
        <v>0.69259987253677058</v>
      </c>
      <c r="BE336" s="291">
        <f>[2]!CroissVégét</f>
        <v>0.99899250051286803</v>
      </c>
      <c r="BF336" s="816">
        <f>1+[2]!Salcycl*Ksac</f>
        <v>1.0115749840670962</v>
      </c>
      <c r="BH336" s="1053">
        <f t="shared" si="151"/>
        <v>1.9524857791978979E-3</v>
      </c>
      <c r="BI336" s="11">
        <v>44518</v>
      </c>
      <c r="BJ336" s="726">
        <v>4.6097795672787206E-4</v>
      </c>
      <c r="BK336" s="726">
        <v>8.2945410220929634E-4</v>
      </c>
      <c r="BL336" s="726">
        <v>1.3140771248585374E-3</v>
      </c>
      <c r="BM336" s="726">
        <v>1.9541568283748647E-3</v>
      </c>
      <c r="BN336" s="726">
        <v>2.8097079863225786E-3</v>
      </c>
      <c r="BO336" s="727">
        <v>4.2686892427044494E-3</v>
      </c>
      <c r="BP336" s="726">
        <v>6.2432687546185228E-3</v>
      </c>
      <c r="BQ336" s="726">
        <v>9.3025261243797897E-3</v>
      </c>
      <c r="BR336" s="726">
        <v>1.2936608741474308E-2</v>
      </c>
      <c r="BS336" s="726">
        <v>1.751250362046038E-2</v>
      </c>
      <c r="BT336" s="726">
        <v>2.2364559044383569E-2</v>
      </c>
      <c r="BW336" s="1186">
        <f>'2018'!R\Max</f>
        <v>0.80014528791374995</v>
      </c>
      <c r="BX336" s="1184">
        <f>'2019'!R\Max</f>
        <v>0.42197194706226721</v>
      </c>
      <c r="BY336" s="1184">
        <f>'2020'!R\Max</f>
        <v>0.93196336434517812</v>
      </c>
      <c r="BZ336" s="1184">
        <f>'2021'!R\Max</f>
        <v>0.62790675706169174</v>
      </c>
      <c r="CA336" s="1184">
        <f>'2022'!R\Max</f>
        <v>0.54729958899149678</v>
      </c>
      <c r="CB336" s="1184">
        <f>'2023'!R\Max</f>
        <v>0.5472626067022851</v>
      </c>
      <c r="CC336" s="1184">
        <f>'2024'!R\Max</f>
        <v>0.5472054304484909</v>
      </c>
      <c r="CD336" s="1184">
        <f>'2025'!R\Max</f>
        <v>0.54740790070084322</v>
      </c>
      <c r="CE336" s="1184">
        <f>'2026'!R\Max</f>
        <v>0.54739188071564249</v>
      </c>
      <c r="CF336" s="1185">
        <f>'2027'!R\Max</f>
        <v>0.5473651955798563</v>
      </c>
    </row>
    <row r="337" spans="1:84" s="6" customFormat="1" ht="11.25" x14ac:dyDescent="0.2">
      <c r="A337" s="11">
        <v>43423</v>
      </c>
      <c r="B337" s="380">
        <f>'2022'!Maxi_hp</f>
        <v>29.080430360791048</v>
      </c>
      <c r="C337" s="13">
        <f>'2022'!An_max</f>
        <v>2020</v>
      </c>
      <c r="D337" s="1062">
        <f t="shared" si="135"/>
        <v>0.99562001673886757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53">
        <f t="shared" si="138"/>
        <v>0.5</v>
      </c>
      <c r="J337" s="746">
        <f t="shared" si="139"/>
        <v>29.208362499624492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55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53">
        <f t="shared" si="143"/>
        <v>0.25</v>
      </c>
      <c r="AT337" s="769">
        <f t="shared" si="144"/>
        <v>29.147451154515146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53">
        <f t="shared" si="148"/>
        <v>0.25</v>
      </c>
      <c r="AY337" s="769">
        <f t="shared" si="149"/>
        <v>29.133945312723519</v>
      </c>
      <c r="AZ337" s="746">
        <f t="shared" si="153"/>
        <v>29.140698233619332</v>
      </c>
      <c r="BA337" s="643">
        <f t="shared" si="150"/>
        <v>0.99562001673886757</v>
      </c>
      <c r="BC337" s="11">
        <v>43423</v>
      </c>
      <c r="BD337" s="290">
        <f>[2]!FeuilCaduc*(1-Persistant)+Persistant</f>
        <v>0.68797519391974316</v>
      </c>
      <c r="BE337" s="291">
        <f>[2]!CroissVégét</f>
        <v>0.99904633147520905</v>
      </c>
      <c r="BF337" s="816">
        <f>1+[2]!Salcycl*Ksac</f>
        <v>1.0109968992399678</v>
      </c>
      <c r="BH337" s="1053">
        <f t="shared" si="151"/>
        <v>1.9833954453195245E-3</v>
      </c>
      <c r="BI337" s="11">
        <v>44519</v>
      </c>
      <c r="BJ337" s="726">
        <v>4.6529292374952914E-4</v>
      </c>
      <c r="BK337" s="726">
        <v>8.338265719187621E-4</v>
      </c>
      <c r="BL337" s="726">
        <v>1.3257734453075516E-3</v>
      </c>
      <c r="BM337" s="726">
        <v>1.9851167858659061E-3</v>
      </c>
      <c r="BN337" s="726">
        <v>2.8762808290791384E-3</v>
      </c>
      <c r="BO337" s="727">
        <v>4.3845988989926936E-3</v>
      </c>
      <c r="BP337" s="726">
        <v>6.4213266127597307E-3</v>
      </c>
      <c r="BQ337" s="726">
        <v>9.4982910744228211E-3</v>
      </c>
      <c r="BR337" s="726">
        <v>1.3118278563601416E-2</v>
      </c>
      <c r="BS337" s="726">
        <v>1.7641769731940114E-2</v>
      </c>
      <c r="BT337" s="726">
        <v>2.2455411449355506E-2</v>
      </c>
      <c r="BW337" s="1186">
        <f>'2018'!R\Max</f>
        <v>0.70026176554419162</v>
      </c>
      <c r="BX337" s="1184">
        <f>'2019'!R\Max</f>
        <v>0.67146971504094022</v>
      </c>
      <c r="BY337" s="1184">
        <f>'2020'!R\Max</f>
        <v>0.99562001673886757</v>
      </c>
      <c r="BZ337" s="1184">
        <f>'2021'!R\Max</f>
        <v>0.97802597586089435</v>
      </c>
      <c r="CA337" s="1184">
        <f>'2022'!R\Max</f>
        <v>0.28265795398628135</v>
      </c>
      <c r="CB337" s="1184">
        <f>'2023'!R\Max</f>
        <v>0.28262743294449943</v>
      </c>
      <c r="CC337" s="1184">
        <f>'2024'!R\Max</f>
        <v>0.28258141987983004</v>
      </c>
      <c r="CD337" s="1184">
        <f>'2025'!R\Max</f>
        <v>0.28274759610469014</v>
      </c>
      <c r="CE337" s="1184">
        <f>'2026'!R\Max</f>
        <v>0.28273424171528722</v>
      </c>
      <c r="CF337" s="1185">
        <f>'2027'!R\Max</f>
        <v>0.28271215837057267</v>
      </c>
    </row>
    <row r="338" spans="1:84" s="6" customFormat="1" ht="11.25" x14ac:dyDescent="0.2">
      <c r="A338" s="11">
        <v>43424</v>
      </c>
      <c r="B338" s="380">
        <f>'2022'!Maxi_hp</f>
        <v>30.110087627610774</v>
      </c>
      <c r="C338" s="13">
        <f>'2022'!An_max</f>
        <v>2019</v>
      </c>
      <c r="D338" s="1062">
        <f t="shared" si="135"/>
        <v>1.039564612027909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53">
        <f t="shared" si="138"/>
        <v>0.42857142857142855</v>
      </c>
      <c r="J338" s="746">
        <f t="shared" si="139"/>
        <v>28.96413294492023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55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53">
        <f t="shared" si="143"/>
        <v>0.2857142857142857</v>
      </c>
      <c r="AT338" s="769">
        <f t="shared" si="144"/>
        <v>28.88082456567458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53">
        <f t="shared" si="148"/>
        <v>0.21428571428571427</v>
      </c>
      <c r="AY338" s="769">
        <f t="shared" si="149"/>
        <v>28.888926203309428</v>
      </c>
      <c r="AZ338" s="746">
        <f t="shared" si="153"/>
        <v>28.884875384492005</v>
      </c>
      <c r="BA338" s="643">
        <f t="shared" si="150"/>
        <v>1.039564612027909</v>
      </c>
      <c r="BC338" s="11">
        <v>43424</v>
      </c>
      <c r="BD338" s="290">
        <f>[2]!FeuilCaduc*(1-Persistant)+Persistant</f>
        <v>0.6834777946811299</v>
      </c>
      <c r="BE338" s="291">
        <f>[2]!CroissVégét</f>
        <v>0.99909800049508712</v>
      </c>
      <c r="BF338" s="816">
        <f>1+[2]!Salcycl*Ksac</f>
        <v>1.0104347243351413</v>
      </c>
      <c r="BH338" s="1053">
        <f t="shared" si="151"/>
        <v>2.0144709348606463E-3</v>
      </c>
      <c r="BI338" s="11">
        <v>44520</v>
      </c>
      <c r="BJ338" s="726">
        <v>4.6997270377395955E-4</v>
      </c>
      <c r="BK338" s="726">
        <v>8.3857826195355106E-4</v>
      </c>
      <c r="BL338" s="726">
        <v>1.3376469662987759E-3</v>
      </c>
      <c r="BM338" s="726">
        <v>2.016242536996565E-3</v>
      </c>
      <c r="BN338" s="726">
        <v>2.9428143635348136E-3</v>
      </c>
      <c r="BO338" s="727">
        <v>4.4998263356909214E-3</v>
      </c>
      <c r="BP338" s="726">
        <v>6.5961407955582689E-3</v>
      </c>
      <c r="BQ338" s="726">
        <v>9.6839843557415886E-3</v>
      </c>
      <c r="BR338" s="726">
        <v>1.328404482763262E-2</v>
      </c>
      <c r="BS338" s="726">
        <v>1.7755031880080343E-2</v>
      </c>
      <c r="BT338" s="726">
        <v>2.2538571387135456E-2</v>
      </c>
      <c r="BW338" s="1186">
        <f>'2018'!R\Max</f>
        <v>0.32854978894235709</v>
      </c>
      <c r="BX338" s="1184">
        <f>'2019'!R\Max</f>
        <v>1.039564612027909</v>
      </c>
      <c r="BY338" s="1184">
        <f>'2020'!R\Max</f>
        <v>0.30432593364750787</v>
      </c>
      <c r="BZ338" s="1184">
        <f>'2021'!R\Max</f>
        <v>0.79838096484033483</v>
      </c>
      <c r="CA338" s="1184">
        <f>'2022'!R\Max</f>
        <v>0.56982437814857145</v>
      </c>
      <c r="CB338" s="1184">
        <f>'2023'!R\Max</f>
        <v>0.56978539264332428</v>
      </c>
      <c r="CC338" s="1184">
        <f>'2024'!R\Max</f>
        <v>0.56972807435717443</v>
      </c>
      <c r="CD338" s="1184">
        <f>'2025'!R\Max</f>
        <v>0.56993921578053663</v>
      </c>
      <c r="CE338" s="1184">
        <f>'2026'!R\Max</f>
        <v>0.56992198894241486</v>
      </c>
      <c r="CF338" s="1185">
        <f>'2027'!R\Max</f>
        <v>0.56989369708669713</v>
      </c>
    </row>
    <row r="339" spans="1:84" s="6" customFormat="1" ht="11.25" x14ac:dyDescent="0.2">
      <c r="A339" s="11">
        <v>43425</v>
      </c>
      <c r="B339" s="380">
        <f>'2022'!Maxi_hp</f>
        <v>29.084066217541494</v>
      </c>
      <c r="C339" s="13">
        <f>'2022'!An_max</f>
        <v>2019</v>
      </c>
      <c r="D339" s="1062">
        <f t="shared" si="135"/>
        <v>1.012525881451604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53">
        <f t="shared" si="138"/>
        <v>0.35714285714285715</v>
      </c>
      <c r="J339" s="746">
        <f t="shared" si="139"/>
        <v>28.724269423953125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55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53">
        <f t="shared" si="143"/>
        <v>0.32142857142857145</v>
      </c>
      <c r="AT339" s="769">
        <f t="shared" si="144"/>
        <v>28.616903512658816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53">
        <f t="shared" si="148"/>
        <v>0.17857142857142858</v>
      </c>
      <c r="AY339" s="769">
        <f t="shared" si="149"/>
        <v>28.651520814414006</v>
      </c>
      <c r="AZ339" s="746">
        <f t="shared" si="153"/>
        <v>28.634212163536411</v>
      </c>
      <c r="BA339" s="643">
        <f t="shared" si="150"/>
        <v>1.012525881451604</v>
      </c>
      <c r="BC339" s="11">
        <v>43425</v>
      </c>
      <c r="BD339" s="290">
        <f>[2]!FeuilCaduc*(1-Persistant)+Persistant</f>
        <v>0.67911177557735525</v>
      </c>
      <c r="BE339" s="291">
        <f>[2]!CroissVégét</f>
        <v>0.99914759418945731</v>
      </c>
      <c r="BF339" s="816">
        <f>1+[2]!Salcycl*Ksac</f>
        <v>1.0098889719471693</v>
      </c>
      <c r="BH339" s="1053">
        <f t="shared" si="151"/>
        <v>2.045468390045263E-3</v>
      </c>
      <c r="BI339" s="11">
        <v>44521</v>
      </c>
      <c r="BJ339" s="726">
        <v>4.7449969002128222E-4</v>
      </c>
      <c r="BK339" s="726">
        <v>8.4353949944464702E-4</v>
      </c>
      <c r="BL339" s="726">
        <v>1.3497161814982573E-3</v>
      </c>
      <c r="BM339" s="726">
        <v>2.0472895372799734E-3</v>
      </c>
      <c r="BN339" s="726">
        <v>3.0080430742563139E-3</v>
      </c>
      <c r="BO339" s="727">
        <v>4.6117117196047934E-3</v>
      </c>
      <c r="BP339" s="726">
        <v>6.7634524965830235E-3</v>
      </c>
      <c r="BQ339" s="726">
        <v>9.8588326344975913E-3</v>
      </c>
      <c r="BR339" s="726">
        <v>1.3437299556121225E-2</v>
      </c>
      <c r="BS339" s="726">
        <v>1.7858821714015791E-2</v>
      </c>
      <c r="BT339" s="726">
        <v>2.2617548707045836E-2</v>
      </c>
      <c r="BW339" s="1186">
        <f>'2018'!R\Max</f>
        <v>1.0029301096674048</v>
      </c>
      <c r="BX339" s="1184">
        <f>'2019'!R\Max</f>
        <v>1.012525881451604</v>
      </c>
      <c r="BY339" s="1184">
        <f>'2020'!R\Max</f>
        <v>0.69505076835087021</v>
      </c>
      <c r="BZ339" s="1184">
        <f>'2021'!R\Max</f>
        <v>0.3427787815955311</v>
      </c>
      <c r="CA339" s="1184">
        <f>'2022'!R\Max</f>
        <v>0.12141825865187303</v>
      </c>
      <c r="CB339" s="1184">
        <f>'2023'!R\Max</f>
        <v>0.12140435539057981</v>
      </c>
      <c r="CC339" s="1184">
        <f>'2024'!R\Max</f>
        <v>0.12138439193442302</v>
      </c>
      <c r="CD339" s="1184">
        <f>'2025'!R\Max</f>
        <v>0.12145935712225228</v>
      </c>
      <c r="CE339" s="1184">
        <f>'2026'!R\Max</f>
        <v>0.12145314930781391</v>
      </c>
      <c r="CF339" s="1185">
        <f>'2027'!R\Max</f>
        <v>0.12144302020049648</v>
      </c>
    </row>
    <row r="340" spans="1:84" s="6" customFormat="1" ht="11.25" x14ac:dyDescent="0.2">
      <c r="A340" s="11">
        <v>43426</v>
      </c>
      <c r="B340" s="380">
        <f>'2022'!Maxi_hp</f>
        <v>29.591035421411469</v>
      </c>
      <c r="C340" s="13">
        <f>'2022'!An_max</f>
        <v>2020</v>
      </c>
      <c r="D340" s="1062">
        <f t="shared" si="135"/>
        <v>1.038687240367683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53">
        <f t="shared" si="138"/>
        <v>0.2857142857142857</v>
      </c>
      <c r="J340" s="746">
        <f t="shared" si="139"/>
        <v>28.488879300121749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55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53">
        <f t="shared" si="143"/>
        <v>0.35714285714285715</v>
      </c>
      <c r="AT340" s="769">
        <f t="shared" si="144"/>
        <v>28.356383142726759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53">
        <f t="shared" si="148"/>
        <v>0.14285714285714285</v>
      </c>
      <c r="AY340" s="769">
        <f t="shared" si="149"/>
        <v>28.422172012339747</v>
      </c>
      <c r="AZ340" s="746">
        <f t="shared" si="153"/>
        <v>28.389277577533253</v>
      </c>
      <c r="BA340" s="643">
        <f t="shared" si="150"/>
        <v>1.038687240367683</v>
      </c>
      <c r="BC340" s="11">
        <v>43426</v>
      </c>
      <c r="BD340" s="290">
        <f>[2]!FeuilCaduc*(1-Persistant)+Persistant</f>
        <v>0.67488074250533581</v>
      </c>
      <c r="BE340" s="291">
        <f>[2]!CroissVégét</f>
        <v>0.99919519572159454</v>
      </c>
      <c r="BF340" s="816">
        <f>1+[2]!Salcycl*Ksac</f>
        <v>1.009360092813167</v>
      </c>
      <c r="BH340" s="1053">
        <f t="shared" si="151"/>
        <v>2.0763841045249149E-3</v>
      </c>
      <c r="BI340" s="11">
        <v>44522</v>
      </c>
      <c r="BJ340" s="726">
        <v>4.7887305440980755E-4</v>
      </c>
      <c r="BK340" s="726">
        <v>8.4870939703583629E-4</v>
      </c>
      <c r="BL340" s="726">
        <v>1.3619793222290548E-3</v>
      </c>
      <c r="BM340" s="726">
        <v>2.0782540752957721E-3</v>
      </c>
      <c r="BN340" s="726">
        <v>3.0719593992457289E-3</v>
      </c>
      <c r="BO340" s="727">
        <v>4.7202416453975722E-3</v>
      </c>
      <c r="BP340" s="726">
        <v>6.9232396404255358E-3</v>
      </c>
      <c r="BQ340" s="726">
        <v>1.0022807634248794E-2</v>
      </c>
      <c r="BR340" s="726">
        <v>1.3578010872348285E-2</v>
      </c>
      <c r="BS340" s="726">
        <v>1.7953108555029792E-2</v>
      </c>
      <c r="BT340" s="726">
        <v>2.2692314181395178E-2</v>
      </c>
      <c r="BW340" s="1186">
        <f>'2018'!R\Max</f>
        <v>0.7218432451208977</v>
      </c>
      <c r="BX340" s="1184">
        <f>'2019'!R\Max</f>
        <v>0.4957578921807641</v>
      </c>
      <c r="BY340" s="1184">
        <f>'2020'!R\Max</f>
        <v>1.038687240367683</v>
      </c>
      <c r="BZ340" s="1184">
        <f>'2021'!R\Max</f>
        <v>0.65383089276327322</v>
      </c>
      <c r="CA340" s="1184">
        <f>'2022'!R\Max</f>
        <v>0.30435236909263608</v>
      </c>
      <c r="CB340" s="1184">
        <f>'2023'!R\Max</f>
        <v>0.30431684561661648</v>
      </c>
      <c r="CC340" s="1184">
        <f>'2024'!R\Max</f>
        <v>0.30426695193830622</v>
      </c>
      <c r="CD340" s="1184">
        <f>'2025'!R\Max</f>
        <v>0.30445775639657374</v>
      </c>
      <c r="CE340" s="1184">
        <f>'2026'!R\Max</f>
        <v>0.30444173291601034</v>
      </c>
      <c r="CF340" s="1185">
        <f>'2027'!R\Max</f>
        <v>0.30441574548060774</v>
      </c>
    </row>
    <row r="341" spans="1:84" s="6" customFormat="1" ht="11.25" x14ac:dyDescent="0.2">
      <c r="A341" s="11">
        <v>43427</v>
      </c>
      <c r="B341" s="380">
        <f>'2022'!Maxi_hp</f>
        <v>29.56301535081597</v>
      </c>
      <c r="C341" s="13">
        <f>'2022'!An_max</f>
        <v>2020</v>
      </c>
      <c r="D341" s="1062">
        <f t="shared" si="135"/>
        <v>1.0461795663788345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53">
        <f t="shared" si="138"/>
        <v>0.21428571428571427</v>
      </c>
      <c r="J341" s="746">
        <f t="shared" si="139"/>
        <v>28.258069934536302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55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53">
        <f t="shared" si="143"/>
        <v>0.39285714285714285</v>
      </c>
      <c r="AT341" s="769">
        <f t="shared" si="144"/>
        <v>28.09995860063604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53">
        <f t="shared" si="148"/>
        <v>0.10714285714285714</v>
      </c>
      <c r="AY341" s="769">
        <f t="shared" si="149"/>
        <v>28.201322663761676</v>
      </c>
      <c r="AZ341" s="746">
        <f t="shared" si="153"/>
        <v>28.150640632198858</v>
      </c>
      <c r="BA341" s="643">
        <f t="shared" si="150"/>
        <v>1.0461795663788345</v>
      </c>
      <c r="BC341" s="11">
        <v>43427</v>
      </c>
      <c r="BD341" s="290">
        <f>[2]!FeuilCaduc*(1-Persistant)+Persistant</f>
        <v>0.67078779583869075</v>
      </c>
      <c r="BE341" s="291">
        <f>[2]!CroissVégét</f>
        <v>0.99924088493749397</v>
      </c>
      <c r="BF341" s="816">
        <f>1+[2]!Salcycl*Ksac</f>
        <v>1.0088484744798363</v>
      </c>
      <c r="BH341" s="1053">
        <f t="shared" si="151"/>
        <v>2.1072011546346427E-3</v>
      </c>
      <c r="BI341" s="11">
        <v>44523</v>
      </c>
      <c r="BJ341" s="726">
        <v>4.8308896413488495E-4</v>
      </c>
      <c r="BK341" s="726">
        <v>8.5408171129849116E-4</v>
      </c>
      <c r="BL341" s="726">
        <v>1.3744260013652007E-3</v>
      </c>
      <c r="BM341" s="726">
        <v>2.1091192102694616E-3</v>
      </c>
      <c r="BN341" s="726">
        <v>3.134536179778357E-3</v>
      </c>
      <c r="BO341" s="727">
        <v>4.8253726504885758E-3</v>
      </c>
      <c r="BP341" s="726">
        <v>7.0754363671403841E-3</v>
      </c>
      <c r="BQ341" s="726">
        <v>1.0175818365277383E-2</v>
      </c>
      <c r="BR341" s="726">
        <v>1.3706062500921398E-2</v>
      </c>
      <c r="BS341" s="726">
        <v>1.8037750217199239E-2</v>
      </c>
      <c r="BT341" s="726">
        <v>2.2762697166296961E-2</v>
      </c>
      <c r="BW341" s="1186">
        <f>'2018'!R\Max</f>
        <v>0.43729750877654749</v>
      </c>
      <c r="BX341" s="1184">
        <f>'2019'!R\Max</f>
        <v>0.29701917063047134</v>
      </c>
      <c r="BY341" s="1184">
        <f>'2020'!R\Max</f>
        <v>1.0461795663788345</v>
      </c>
      <c r="BZ341" s="1184">
        <f>'2021'!R\Max</f>
        <v>0.46200075392392037</v>
      </c>
      <c r="CA341" s="1184">
        <f>'2022'!R\Max</f>
        <v>0.45992409254925987</v>
      </c>
      <c r="CB341" s="1184">
        <f>'2023'!R\Max</f>
        <v>0.45988143690256367</v>
      </c>
      <c r="CC341" s="1184">
        <f>'2024'!R\Max</f>
        <v>0.45982275390913641</v>
      </c>
      <c r="CD341" s="1184">
        <f>'2025'!R\Max</f>
        <v>0.4600511144944146</v>
      </c>
      <c r="CE341" s="1184">
        <f>'2026'!R\Max</f>
        <v>0.46003167859575572</v>
      </c>
      <c r="CF341" s="1185">
        <f>'2027'!R\Max</f>
        <v>0.46000033496954146</v>
      </c>
    </row>
    <row r="342" spans="1:84" s="6" customFormat="1" ht="11.25" x14ac:dyDescent="0.2">
      <c r="A342" s="11">
        <v>43428</v>
      </c>
      <c r="B342" s="380">
        <f>'2022'!Maxi_hp</f>
        <v>27.223770958160259</v>
      </c>
      <c r="C342" s="13">
        <f>'2022'!An_max</f>
        <v>2020</v>
      </c>
      <c r="D342" s="1062">
        <f t="shared" si="135"/>
        <v>0.97116940605772195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53">
        <f t="shared" si="138"/>
        <v>0.14285714285714285</v>
      </c>
      <c r="J342" s="746">
        <f t="shared" si="139"/>
        <v>28.031948688200544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55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53">
        <f t="shared" si="143"/>
        <v>0.42857142857142855</v>
      </c>
      <c r="AT342" s="769">
        <f t="shared" si="144"/>
        <v>27.848325033698764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53">
        <f t="shared" si="148"/>
        <v>7.1428571428571425E-2</v>
      </c>
      <c r="AY342" s="769">
        <f t="shared" si="149"/>
        <v>27.989415633997748</v>
      </c>
      <c r="AZ342" s="746">
        <f t="shared" si="153"/>
        <v>27.918870333848254</v>
      </c>
      <c r="BA342" s="643">
        <f t="shared" si="150"/>
        <v>0.97116940605772195</v>
      </c>
      <c r="BC342" s="11">
        <v>43428</v>
      </c>
      <c r="BD342" s="290">
        <f>[2]!FeuilCaduc*(1-Persistant)+Persistant</f>
        <v>0.66683552289354608</v>
      </c>
      <c r="BE342" s="291">
        <f>[2]!CroissVégét</f>
        <v>0.99928473849698995</v>
      </c>
      <c r="BF342" s="816">
        <f>1+[2]!Salcycl*Ksac</f>
        <v>1.0083544403616933</v>
      </c>
      <c r="BH342" s="1053">
        <f t="shared" si="151"/>
        <v>2.1379106108089566E-3</v>
      </c>
      <c r="BI342" s="11">
        <v>44524</v>
      </c>
      <c r="BJ342" s="726">
        <v>4.8714550766732525E-4</v>
      </c>
      <c r="BK342" s="726">
        <v>8.5965358018427404E-4</v>
      </c>
      <c r="BL342" s="726">
        <v>1.3870511995812162E-3</v>
      </c>
      <c r="BM342" s="726">
        <v>2.1398760024004104E-3</v>
      </c>
      <c r="BN342" s="726">
        <v>3.1957579026488697E-3</v>
      </c>
      <c r="BO342" s="727">
        <v>4.9270791684114983E-3</v>
      </c>
      <c r="BP342" s="726">
        <v>7.2200034661169515E-3</v>
      </c>
      <c r="BQ342" s="726">
        <v>1.0317813788496265E-2</v>
      </c>
      <c r="BR342" s="726">
        <v>1.3821393601428023E-2</v>
      </c>
      <c r="BS342" s="726">
        <v>1.8112678558918714E-2</v>
      </c>
      <c r="BT342" s="726">
        <v>2.2828620275712658E-2</v>
      </c>
      <c r="BW342" s="1186">
        <f>'2018'!R\Max</f>
        <v>0.79195961341159304</v>
      </c>
      <c r="BX342" s="1184">
        <f>'2019'!R\Max</f>
        <v>0.55201949330116096</v>
      </c>
      <c r="BY342" s="1184">
        <f>'2020'!R\Max</f>
        <v>0.97116940605772195</v>
      </c>
      <c r="BZ342" s="1184">
        <f>'2021'!R\Max</f>
        <v>6.6619377264856422E-2</v>
      </c>
      <c r="CA342" s="1184">
        <f>'2022'!R\Max</f>
        <v>0.5103509443646097</v>
      </c>
      <c r="CB342" s="1184">
        <f>'2023'!R\Max</f>
        <v>0.51030712017871693</v>
      </c>
      <c r="CC342" s="1184">
        <f>'2024'!R\Max</f>
        <v>0.51024799858647452</v>
      </c>
      <c r="CD342" s="1184">
        <f>'2025'!R\Max</f>
        <v>0.51048197906264781</v>
      </c>
      <c r="CE342" s="1184">
        <f>'2026'!R\Max</f>
        <v>0.51046180306733935</v>
      </c>
      <c r="CF342" s="1185">
        <f>'2027'!R\Max</f>
        <v>0.51042944085127118</v>
      </c>
    </row>
    <row r="343" spans="1:84" s="6" customFormat="1" ht="11.25" x14ac:dyDescent="0.2">
      <c r="A343" s="11">
        <v>43429</v>
      </c>
      <c r="B343" s="380">
        <f>'2022'!Maxi_hp</f>
        <v>26.38503248912658</v>
      </c>
      <c r="C343" s="13">
        <f>'2022'!An_max</f>
        <v>2020</v>
      </c>
      <c r="D343" s="1062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53">
        <f t="shared" si="138"/>
        <v>7.1428571428571425E-2</v>
      </c>
      <c r="J343" s="746">
        <f t="shared" si="139"/>
        <v>27.810622922810062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55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53">
        <f t="shared" si="143"/>
        <v>0.4642857142857143</v>
      </c>
      <c r="AT343" s="769">
        <f t="shared" si="144"/>
        <v>27.602177588269114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53">
        <f t="shared" si="148"/>
        <v>3.5714285714285712E-2</v>
      </c>
      <c r="AY343" s="769">
        <f t="shared" si="149"/>
        <v>27.786893792104507</v>
      </c>
      <c r="AZ343" s="746">
        <f t="shared" si="153"/>
        <v>27.694535690186811</v>
      </c>
      <c r="BA343" s="643">
        <f t="shared" si="150"/>
        <v>0.94873935626539951</v>
      </c>
      <c r="BC343" s="11">
        <v>43429</v>
      </c>
      <c r="BD343" s="290">
        <f>[2]!FeuilCaduc*(1-Persistant)+Persistant</f>
        <v>0.66302599355952796</v>
      </c>
      <c r="BE343" s="291">
        <f>[2]!CroissVégét</f>
        <v>0.99932682999978462</v>
      </c>
      <c r="BF343" s="816">
        <f>1+[2]!Salcycl*Ksac</f>
        <v>1.007878249194941</v>
      </c>
      <c r="BH343" s="1053">
        <f t="shared" si="151"/>
        <v>2.1685143009642464E-3</v>
      </c>
      <c r="BI343" s="11">
        <v>44525</v>
      </c>
      <c r="BJ343" s="726">
        <v>4.9104326728927462E-4</v>
      </c>
      <c r="BK343" s="726">
        <v>8.6542647475000177E-4</v>
      </c>
      <c r="BL343" s="726">
        <v>1.3998568871453235E-3</v>
      </c>
      <c r="BM343" s="726">
        <v>2.1705262792323997E-3</v>
      </c>
      <c r="BN343" s="726">
        <v>3.2556252236629855E-3</v>
      </c>
      <c r="BO343" s="727">
        <v>5.025360728980236E-3</v>
      </c>
      <c r="BP343" s="726">
        <v>7.3569389609844721E-3</v>
      </c>
      <c r="BQ343" s="726">
        <v>1.0448796543907927E-2</v>
      </c>
      <c r="BR343" s="726">
        <v>1.3924015429394291E-2</v>
      </c>
      <c r="BS343" s="726">
        <v>1.8177919311549155E-2</v>
      </c>
      <c r="BT343" s="726">
        <v>2.2890123362497291E-2</v>
      </c>
      <c r="BW343" s="1186">
        <f>'2018'!R\Max</f>
        <v>0.49475452808441817</v>
      </c>
      <c r="BX343" s="1184">
        <f>'2019'!R\Max</f>
        <v>0.46034608140323635</v>
      </c>
      <c r="BY343" s="1184">
        <f>'2020'!R\Max</f>
        <v>0.94873935626539951</v>
      </c>
      <c r="BZ343" s="1184">
        <f>'2021'!R\Max</f>
        <v>0.64869890300844457</v>
      </c>
      <c r="CA343" s="1184">
        <f>'2022'!R\Max</f>
        <v>0.19917484235775298</v>
      </c>
      <c r="CB343" s="1184">
        <f>'2023'!R\Max</f>
        <v>0.19914992087325878</v>
      </c>
      <c r="CC343" s="1184">
        <f>'2024'!R\Max</f>
        <v>0.19911692091669383</v>
      </c>
      <c r="CD343" s="1184">
        <f>'2025'!R\Max</f>
        <v>0.19924969547209329</v>
      </c>
      <c r="CE343" s="1184">
        <f>'2026'!R\Max</f>
        <v>0.19923809720095351</v>
      </c>
      <c r="CF343" s="1185">
        <f>'2027'!R\Max</f>
        <v>0.19921958992693664</v>
      </c>
    </row>
    <row r="344" spans="1:84" s="6" customFormat="1" ht="11.25" x14ac:dyDescent="0.2">
      <c r="A344" s="11">
        <v>43430</v>
      </c>
      <c r="B344" s="380">
        <f>'2022'!Maxi_hp</f>
        <v>26.793324525882319</v>
      </c>
      <c r="C344" s="13">
        <f>'2022'!An_max</f>
        <v>2020</v>
      </c>
      <c r="D344" s="1062">
        <f t="shared" si="135"/>
        <v>0.97097667353997708</v>
      </c>
      <c r="E344" s="1057">
        <f>AK$13/10</f>
        <v>27.594200000000001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53">
        <f t="shared" si="138"/>
        <v>0</v>
      </c>
      <c r="J344" s="746">
        <f t="shared" si="139"/>
        <v>27.59420000091195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55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53">
        <f t="shared" si="143"/>
        <v>0.5</v>
      </c>
      <c r="AT344" s="769">
        <f t="shared" si="144"/>
        <v>27.362211411446332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53">
        <f t="shared" si="148"/>
        <v>0</v>
      </c>
      <c r="AY344" s="769">
        <f t="shared" si="149"/>
        <v>27.594200000166893</v>
      </c>
      <c r="AZ344" s="746">
        <f t="shared" si="153"/>
        <v>27.478205705806612</v>
      </c>
      <c r="BA344" s="643">
        <f t="shared" si="150"/>
        <v>0.97097667353997708</v>
      </c>
      <c r="BC344" s="11">
        <v>43430</v>
      </c>
      <c r="BD344" s="290">
        <f>[2]!FeuilCaduc*(1-Persistant)+Persistant</f>
        <v>0.65936075910655212</v>
      </c>
      <c r="BE344" s="291">
        <f>[2]!CroissVégét</f>
        <v>0.99936723010658135</v>
      </c>
      <c r="BF344" s="816">
        <f>1+[2]!Salcycl*Ksac</f>
        <v>1.007420094888319</v>
      </c>
      <c r="BH344" s="1053">
        <f t="shared" si="151"/>
        <v>2.199014314443195E-3</v>
      </c>
      <c r="BI344" s="11">
        <v>44526</v>
      </c>
      <c r="BJ344" s="726">
        <v>4.9478288148738063E-4</v>
      </c>
      <c r="BK344" s="726">
        <v>8.7140187578127644E-4</v>
      </c>
      <c r="BL344" s="726">
        <v>1.4128451032839975E-3</v>
      </c>
      <c r="BM344" s="726">
        <v>2.2010721302392917E-3</v>
      </c>
      <c r="BN344" s="726">
        <v>3.3141395072035316E-3</v>
      </c>
      <c r="BO344" s="727">
        <v>5.1202182273712947E-3</v>
      </c>
      <c r="BP344" s="726">
        <v>7.4862432520306256E-3</v>
      </c>
      <c r="BQ344" s="726">
        <v>1.0568772142781881E-2</v>
      </c>
      <c r="BR344" s="726">
        <v>1.4013942135099886E-2</v>
      </c>
      <c r="BS344" s="726">
        <v>1.823350025809934E-2</v>
      </c>
      <c r="BT344" s="726">
        <v>2.2947247393546009E-2</v>
      </c>
      <c r="BW344" s="1186">
        <f>'2018'!R\Max</f>
        <v>0.1380704345284598</v>
      </c>
      <c r="BX344" s="1184">
        <f>'2019'!R\Max</f>
        <v>0.71771532688677075</v>
      </c>
      <c r="BY344" s="1184">
        <f>'2020'!R\Max</f>
        <v>0.97097667353997708</v>
      </c>
      <c r="BZ344" s="1184">
        <f>'2021'!R\Max</f>
        <v>0.29590486742581484</v>
      </c>
      <c r="CA344" s="1184">
        <f>'2022'!R\Max</f>
        <v>0.40243558475425634</v>
      </c>
      <c r="CB344" s="1184">
        <f>'2023'!R\Max</f>
        <v>0.40239187205558485</v>
      </c>
      <c r="CC344" s="1184">
        <f>'2024'!R\Max</f>
        <v>0.40233499689576696</v>
      </c>
      <c r="CD344" s="1184">
        <f>'2025'!R\Max</f>
        <v>0.40256747906783374</v>
      </c>
      <c r="CE344" s="1184">
        <f>'2026'!R\Max</f>
        <v>0.40254691748288585</v>
      </c>
      <c r="CF344" s="1185">
        <f>'2027'!R\Max</f>
        <v>0.40251426796465783</v>
      </c>
    </row>
    <row r="345" spans="1:84" s="6" customFormat="1" ht="11.25" x14ac:dyDescent="0.2">
      <c r="A345" s="11">
        <v>43431</v>
      </c>
      <c r="B345" s="380">
        <f>'2022'!Maxi_hp</f>
        <v>25.130362962848679</v>
      </c>
      <c r="C345" s="13">
        <f>'2022'!An_max</f>
        <v>2018</v>
      </c>
      <c r="D345" s="1062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53">
        <f t="shared" si="138"/>
        <v>7.1428571428571425E-2</v>
      </c>
      <c r="J345" s="746">
        <f t="shared" si="139"/>
        <v>27.379262245180353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55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53">
        <f t="shared" si="143"/>
        <v>0.5357142857142857</v>
      </c>
      <c r="AT345" s="769">
        <f t="shared" si="144"/>
        <v>27.129121648147702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53">
        <f t="shared" si="148"/>
        <v>3.5714285714285712E-2</v>
      </c>
      <c r="AY345" s="769">
        <f t="shared" si="149"/>
        <v>27.407323452377955</v>
      </c>
      <c r="AZ345" s="746">
        <f t="shared" si="153"/>
        <v>27.268222550262827</v>
      </c>
      <c r="BA345" s="643">
        <f t="shared" si="150"/>
        <v>0.91786121692422318</v>
      </c>
      <c r="BC345" s="11">
        <v>43431</v>
      </c>
      <c r="BD345" s="290">
        <f>[2]!FeuilCaduc*(1-Persistant)+Persistant</f>
        <v>0.65584085415297422</v>
      </c>
      <c r="BE345" s="291">
        <f>[2]!CroissVégét</f>
        <v>0.9994060066555025</v>
      </c>
      <c r="BF345" s="816">
        <f>1+[2]!Salcycl*Ksac</f>
        <v>1.0069801067691218</v>
      </c>
      <c r="BH345" s="1053">
        <f t="shared" si="151"/>
        <v>2.2294130007496863E-3</v>
      </c>
      <c r="BI345" s="11">
        <v>44527</v>
      </c>
      <c r="BJ345" s="726">
        <v>4.9836504188621852E-4</v>
      </c>
      <c r="BK345" s="726">
        <v>8.7758127840822703E-4</v>
      </c>
      <c r="BL345" s="726">
        <v>1.4260179606055484E-3</v>
      </c>
      <c r="BM345" s="726">
        <v>2.2315159055450503E-3</v>
      </c>
      <c r="BN345" s="726">
        <v>3.3713027993179591E-3</v>
      </c>
      <c r="BO345" s="727">
        <v>5.2116538547525527E-3</v>
      </c>
      <c r="BP345" s="726">
        <v>7.6079189602136698E-3</v>
      </c>
      <c r="BQ345" s="726">
        <v>1.0677748743055169E-2</v>
      </c>
      <c r="BR345" s="726">
        <v>1.4091190505845277E-2</v>
      </c>
      <c r="BS345" s="726">
        <v>1.8279451041097464E-2</v>
      </c>
      <c r="BT345" s="726">
        <v>2.3000034369981773E-2</v>
      </c>
      <c r="BW345" s="1186">
        <f>'2018'!R\Max</f>
        <v>0.91786121692422318</v>
      </c>
      <c r="BX345" s="1184">
        <f>'2019'!R\Max</f>
        <v>0.75158560212311876</v>
      </c>
      <c r="BY345" s="1184">
        <f>'2020'!R\Max</f>
        <v>0.79904664561066363</v>
      </c>
      <c r="BZ345" s="1184">
        <f>'2021'!R\Max</f>
        <v>0.59958512574439138</v>
      </c>
      <c r="CA345" s="1184">
        <f>'2022'!R\Max</f>
        <v>0.57705690279216548</v>
      </c>
      <c r="CB345" s="1184">
        <f>'2023'!R\Max</f>
        <v>0.57701185946198619</v>
      </c>
      <c r="CC345" s="1184">
        <f>'2024'!R\Max</f>
        <v>0.57695422184852851</v>
      </c>
      <c r="CD345" s="1184">
        <f>'2025'!R\Max</f>
        <v>0.57719346354205059</v>
      </c>
      <c r="CE345" s="1184">
        <f>'2026'!R\Max</f>
        <v>0.5771720458382108</v>
      </c>
      <c r="CF345" s="1185">
        <f>'2027'!R\Max</f>
        <v>0.57713819618612316</v>
      </c>
    </row>
    <row r="346" spans="1:84" s="6" customFormat="1" ht="11.25" x14ac:dyDescent="0.2">
      <c r="A346" s="11">
        <v>43432</v>
      </c>
      <c r="B346" s="380">
        <f>'2022'!Maxi_hp</f>
        <v>18.630206084198146</v>
      </c>
      <c r="C346" s="13">
        <f>'2022'!An_max</f>
        <v>2018</v>
      </c>
      <c r="D346" s="1062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53">
        <f t="shared" si="138"/>
        <v>0.14285714285714285</v>
      </c>
      <c r="J346" s="746">
        <f t="shared" si="139"/>
        <v>27.163322449369094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55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53">
        <f t="shared" si="143"/>
        <v>0.5714285714285714</v>
      </c>
      <c r="AT346" s="769">
        <f t="shared" si="144"/>
        <v>26.903603446483611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53">
        <f t="shared" si="148"/>
        <v>7.1428571428571425E-2</v>
      </c>
      <c r="AY346" s="769">
        <f t="shared" si="149"/>
        <v>27.222300780245241</v>
      </c>
      <c r="AZ346" s="746">
        <f t="shared" si="153"/>
        <v>27.062952113364425</v>
      </c>
      <c r="BA346" s="643">
        <f t="shared" si="150"/>
        <v>0.68585888633188385</v>
      </c>
      <c r="BC346" s="11">
        <v>43432</v>
      </c>
      <c r="BD346" s="290">
        <f>[2]!FeuilCaduc*(1-Persistant)+Persistant</f>
        <v>0.65246680175585481</v>
      </c>
      <c r="BE346" s="291">
        <f>[2]!CroissVégét</f>
        <v>0.99944322477397196</v>
      </c>
      <c r="BF346" s="816">
        <f>1+[2]!Salcycl*Ksac</f>
        <v>1.0065583502194819</v>
      </c>
      <c r="BH346" s="1053">
        <f t="shared" si="151"/>
        <v>2.2577413697186257E-3</v>
      </c>
      <c r="BI346" s="11">
        <v>44528</v>
      </c>
      <c r="BJ346" s="726">
        <v>5.0150431935193558E-4</v>
      </c>
      <c r="BK346" s="726">
        <v>8.8364575989859214E-4</v>
      </c>
      <c r="BL346" s="726">
        <v>1.4385865666623069E-3</v>
      </c>
      <c r="BM346" s="726">
        <v>2.2598855260519577E-3</v>
      </c>
      <c r="BN346" s="726">
        <v>3.4235994013105085E-3</v>
      </c>
      <c r="BO346" s="727">
        <v>5.2942390680707635E-3</v>
      </c>
      <c r="BP346" s="726">
        <v>7.715638432527862E-3</v>
      </c>
      <c r="BQ346" s="726">
        <v>1.0770739314560391E-2</v>
      </c>
      <c r="BR346" s="726">
        <v>1.4153640369860181E-2</v>
      </c>
      <c r="BS346" s="726">
        <v>1.8315605648607521E-2</v>
      </c>
      <c r="BT346" s="726">
        <v>2.3047825841051247E-2</v>
      </c>
      <c r="BW346" s="1186">
        <f>'2018'!R\Max</f>
        <v>0.68585888633188385</v>
      </c>
      <c r="BX346" s="1184">
        <f>'2019'!R\Max</f>
        <v>0.4318226784827004</v>
      </c>
      <c r="BY346" s="1184">
        <f>'2020'!R\Max</f>
        <v>0.57072626251766767</v>
      </c>
      <c r="BZ346" s="1184">
        <f>'2021'!R\Max</f>
        <v>0.27578932863579014</v>
      </c>
      <c r="CA346" s="1184">
        <f>'2022'!R\Max</f>
        <v>0.42160731087485825</v>
      </c>
      <c r="CB346" s="1184">
        <f>'2023'!R\Max</f>
        <v>0.42156170918083263</v>
      </c>
      <c r="CC346" s="1184">
        <f>'2024'!R\Max</f>
        <v>0.42150423913294144</v>
      </c>
      <c r="CD346" s="1184">
        <f>'2025'!R\Max</f>
        <v>0.42174623286430502</v>
      </c>
      <c r="CE346" s="1184">
        <f>'2026'!R\Max</f>
        <v>0.42172432018998607</v>
      </c>
      <c r="CF346" s="1185">
        <f>'2027'!R\Max</f>
        <v>0.42168983733696219</v>
      </c>
    </row>
    <row r="347" spans="1:84" s="6" customFormat="1" ht="11.25" x14ac:dyDescent="0.2">
      <c r="A347" s="11">
        <v>43433</v>
      </c>
      <c r="B347" s="380">
        <f>'2022'!Maxi_hp</f>
        <v>26.41641779115476</v>
      </c>
      <c r="C347" s="13">
        <f>'2022'!An_max</f>
        <v>2018</v>
      </c>
      <c r="D347" s="1062">
        <f t="shared" si="135"/>
        <v>0.98027801033599127</v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53">
        <f t="shared" si="138"/>
        <v>0.21428571428571427</v>
      </c>
      <c r="J347" s="746">
        <f t="shared" si="139"/>
        <v>26.947883674449155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55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53">
        <f t="shared" si="143"/>
        <v>0.6071428571428571</v>
      </c>
      <c r="AT347" s="769">
        <f t="shared" si="144"/>
        <v>26.686351949934448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53">
        <f t="shared" si="148"/>
        <v>0.10714285714285714</v>
      </c>
      <c r="AY347" s="769">
        <f t="shared" si="149"/>
        <v>27.039646022234642</v>
      </c>
      <c r="AZ347" s="746">
        <f t="shared" si="153"/>
        <v>26.862998986084545</v>
      </c>
      <c r="BA347" s="643">
        <f t="shared" si="150"/>
        <v>0.98027801033599127</v>
      </c>
      <c r="BC347" s="11">
        <v>43433</v>
      </c>
      <c r="BD347" s="290">
        <f>[2]!FeuilCaduc*(1-Persistant)+Persistant</f>
        <v>0.64923862155967649</v>
      </c>
      <c r="BE347" s="291">
        <f>[2]!CroissVégét</f>
        <v>0.9994789469862303</v>
      </c>
      <c r="BF347" s="816">
        <f>1+[2]!Salcycl*Ksac</f>
        <v>1.0061548276949595</v>
      </c>
      <c r="BH347" s="1053">
        <f t="shared" si="151"/>
        <v>2.2837115252228755E-3</v>
      </c>
      <c r="BI347" s="11">
        <v>44529</v>
      </c>
      <c r="BJ347" s="726">
        <v>5.0416241681877985E-4</v>
      </c>
      <c r="BK347" s="726">
        <v>8.8992329716216026E-4</v>
      </c>
      <c r="BL347" s="726">
        <v>1.4508294739296239E-3</v>
      </c>
      <c r="BM347" s="726">
        <v>2.2858916129407719E-3</v>
      </c>
      <c r="BN347" s="726">
        <v>3.4700507995023637E-3</v>
      </c>
      <c r="BO347" s="727">
        <v>5.36700319938474E-3</v>
      </c>
      <c r="BP347" s="726">
        <v>7.8101701893930437E-3</v>
      </c>
      <c r="BQ347" s="726">
        <v>1.0852799799601057E-2</v>
      </c>
      <c r="BR347" s="726">
        <v>1.4209621380240329E-2</v>
      </c>
      <c r="BS347" s="726">
        <v>1.8350120548664382E-2</v>
      </c>
      <c r="BT347" s="726">
        <v>2.3094132116378469E-2</v>
      </c>
      <c r="BW347" s="1186">
        <f>'2018'!R\Max</f>
        <v>0.98027801033599127</v>
      </c>
      <c r="BX347" s="1184">
        <f>'2019'!R\Max</f>
        <v>0.75362046396610771</v>
      </c>
      <c r="BY347" s="1184">
        <f>'2020'!R\Max</f>
        <v>0.31622280080720394</v>
      </c>
      <c r="BZ347" s="1184">
        <f>'2021'!R\Max</f>
        <v>0.29624801625064878</v>
      </c>
      <c r="CA347" s="1184">
        <f>'2022'!R\Max</f>
        <v>0.59140344759967889</v>
      </c>
      <c r="CB347" s="1184">
        <f>'2023'!R\Max</f>
        <v>0.59135771399333581</v>
      </c>
      <c r="CC347" s="1184">
        <f>'2024'!R\Max</f>
        <v>0.59130081645722266</v>
      </c>
      <c r="CD347" s="1184">
        <f>'2025'!R\Max</f>
        <v>0.59154330663455723</v>
      </c>
      <c r="CE347" s="1184">
        <f>'2026'!R\Max</f>
        <v>0.59152114848658066</v>
      </c>
      <c r="CF347" s="1185">
        <f>'2027'!R\Max</f>
        <v>0.59148639323924235</v>
      </c>
    </row>
    <row r="348" spans="1:84" s="6" customFormat="1" ht="11.25" x14ac:dyDescent="0.2">
      <c r="A348" s="11">
        <v>43434</v>
      </c>
      <c r="B348" s="380">
        <f>'2022'!Maxi_hp</f>
        <v>25.687652657075112</v>
      </c>
      <c r="C348" s="13">
        <f>'2022'!An_max</f>
        <v>2020</v>
      </c>
      <c r="D348" s="1062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53">
        <f t="shared" si="138"/>
        <v>0.2857142857142857</v>
      </c>
      <c r="J348" s="746">
        <f t="shared" si="139"/>
        <v>26.734448978943487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55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53">
        <f t="shared" si="143"/>
        <v>0.6428571428571429</v>
      </c>
      <c r="AT348" s="769">
        <f t="shared" si="144"/>
        <v>26.478062308739339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53">
        <f t="shared" si="148"/>
        <v>0.14285714285714285</v>
      </c>
      <c r="AY348" s="769">
        <f t="shared" si="149"/>
        <v>26.859873210532328</v>
      </c>
      <c r="AZ348" s="746">
        <f t="shared" si="153"/>
        <v>26.668967759635834</v>
      </c>
      <c r="BA348" s="643">
        <f t="shared" si="150"/>
        <v>0.96084466439937288</v>
      </c>
      <c r="BC348" s="11">
        <v>43434</v>
      </c>
      <c r="BD348" s="290">
        <f>[2]!FeuilCaduc*(1-Persistant)+Persistant</f>
        <v>0.64615584091608813</v>
      </c>
      <c r="BE348" s="291">
        <f>[2]!CroissVégét</f>
        <v>0.99951323331664843</v>
      </c>
      <c r="BF348" s="816">
        <f>1+[2]!Salcycl*Ksac</f>
        <v>1.0057694801145109</v>
      </c>
      <c r="BH348" s="1053">
        <f t="shared" si="151"/>
        <v>2.3073261374233389E-3</v>
      </c>
      <c r="BI348" s="11">
        <v>44530</v>
      </c>
      <c r="BJ348" s="726">
        <v>5.0634010205761028E-4</v>
      </c>
      <c r="BK348" s="726">
        <v>8.9641547360828368E-4</v>
      </c>
      <c r="BL348" s="726">
        <v>1.4627489559888142E-3</v>
      </c>
      <c r="BM348" s="726">
        <v>2.3095368374104522E-3</v>
      </c>
      <c r="BN348" s="726">
        <v>3.5106600036256571E-3</v>
      </c>
      <c r="BO348" s="727">
        <v>5.4299506231632643E-3</v>
      </c>
      <c r="BP348" s="726">
        <v>7.8915215384070207E-3</v>
      </c>
      <c r="BQ348" s="726">
        <v>1.0923945210319162E-2</v>
      </c>
      <c r="BR348" s="726">
        <v>1.4259158299439193E-2</v>
      </c>
      <c r="BS348" s="726">
        <v>1.8383031751272032E-2</v>
      </c>
      <c r="BT348" s="726">
        <v>2.3138998531125127E-2</v>
      </c>
      <c r="BW348" s="1186">
        <f>'2018'!R\Max</f>
        <v>0.40933464939381192</v>
      </c>
      <c r="BX348" s="1184">
        <f>'2019'!R\Max</f>
        <v>0.44817587589928071</v>
      </c>
      <c r="BY348" s="1184">
        <f>'2020'!R\Max</f>
        <v>0.96084466439937288</v>
      </c>
      <c r="BZ348" s="1184">
        <f>'2021'!R\Max</f>
        <v>0.80056491440126243</v>
      </c>
      <c r="CA348" s="1184">
        <f>'2022'!R\Max</f>
        <v>0.16606379375467778</v>
      </c>
      <c r="CB348" s="1184">
        <f>'2023'!R\Max</f>
        <v>0.16604155342890334</v>
      </c>
      <c r="CC348" s="1184">
        <f>'2024'!R\Max</f>
        <v>0.16601418488561062</v>
      </c>
      <c r="CD348" s="1184">
        <f>'2025'!R\Max</f>
        <v>0.16613204521801436</v>
      </c>
      <c r="CE348" s="1184">
        <f>'2026'!R\Max</f>
        <v>0.16612119305432227</v>
      </c>
      <c r="CF348" s="1185">
        <f>'2027'!R\Max</f>
        <v>0.16610421355573396</v>
      </c>
    </row>
    <row r="349" spans="1:84" s="6" customFormat="1" ht="11.25" x14ac:dyDescent="0.2">
      <c r="A349" s="11">
        <v>43435</v>
      </c>
      <c r="B349" s="380">
        <f>'2022'!Maxi_hp</f>
        <v>26.512351889003813</v>
      </c>
      <c r="C349" s="13">
        <f>'2022'!An_max</f>
        <v>2020</v>
      </c>
      <c r="D349" s="1062">
        <f t="shared" si="135"/>
        <v>0.99954119662789631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53">
        <f t="shared" si="138"/>
        <v>0.35714285714285715</v>
      </c>
      <c r="J349" s="746">
        <f t="shared" si="139"/>
        <v>26.52452142887882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55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53">
        <f t="shared" si="143"/>
        <v>0.6785714285714286</v>
      </c>
      <c r="AT349" s="769">
        <f t="shared" si="144"/>
        <v>26.279429665979528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53">
        <f t="shared" si="148"/>
        <v>0.17857142857142858</v>
      </c>
      <c r="AY349" s="769">
        <f t="shared" si="149"/>
        <v>26.683496380863442</v>
      </c>
      <c r="AZ349" s="746">
        <f t="shared" si="153"/>
        <v>26.481463023421483</v>
      </c>
      <c r="BA349" s="643">
        <f t="shared" si="150"/>
        <v>0.99954119662789631</v>
      </c>
      <c r="BC349" s="11">
        <v>43435</v>
      </c>
      <c r="BD349" s="290">
        <f>[2]!FeuilCaduc*(1-Persistant)+Persistant</f>
        <v>0.64321750886433393</v>
      </c>
      <c r="BE349" s="291">
        <f>[2]!CroissVégét</f>
        <v>0.99954614138899944</v>
      </c>
      <c r="BF349" s="816">
        <f>1+[2]!Salcycl*Ksac</f>
        <v>1.0054021886080418</v>
      </c>
      <c r="BH349" s="1053">
        <f t="shared" si="151"/>
        <v>2.3285883130092907E-3</v>
      </c>
      <c r="BI349" s="11">
        <v>44531</v>
      </c>
      <c r="BJ349" s="726">
        <v>5.0803820977783154E-4</v>
      </c>
      <c r="BK349" s="726">
        <v>9.0312390228626234E-4</v>
      </c>
      <c r="BL349" s="726">
        <v>1.4743474159565602E-3</v>
      </c>
      <c r="BM349" s="726">
        <v>2.3308243079918911E-3</v>
      </c>
      <c r="BN349" s="726">
        <v>3.5454309616477515E-3</v>
      </c>
      <c r="BO349" s="727">
        <v>5.4830872474285058E-3</v>
      </c>
      <c r="BP349" s="726">
        <v>7.959701818346156E-3</v>
      </c>
      <c r="BQ349" s="726">
        <v>1.0984192261825244E-2</v>
      </c>
      <c r="BR349" s="726">
        <v>1.4302276939283896E-2</v>
      </c>
      <c r="BS349" s="726">
        <v>1.8414375663417026E-2</v>
      </c>
      <c r="BT349" s="726">
        <v>2.3182470888601762E-2</v>
      </c>
      <c r="BW349" s="1186">
        <f>'2018'!R\Max</f>
        <v>0.7173364493047284</v>
      </c>
      <c r="BX349" s="1184">
        <f>'2019'!R\Max</f>
        <v>0.28792350514384801</v>
      </c>
      <c r="BY349" s="1184">
        <f>'2020'!R\Max</f>
        <v>0.99954119662789631</v>
      </c>
      <c r="BZ349" s="1184">
        <f>'2021'!R\Max</f>
        <v>0.17393715425544523</v>
      </c>
      <c r="CA349" s="1184">
        <f>'2022'!R\Max</f>
        <v>0.14403517444332009</v>
      </c>
      <c r="CB349" s="1184">
        <f>'2023'!R\Max</f>
        <v>0.14401570167755434</v>
      </c>
      <c r="CC349" s="1184">
        <f>'2024'!R\Max</f>
        <v>0.14399194560375506</v>
      </c>
      <c r="CD349" s="1184">
        <f>'2025'!R\Max</f>
        <v>0.14409508844546054</v>
      </c>
      <c r="CE349" s="1184">
        <f>'2026'!R\Max</f>
        <v>0.14408553841246718</v>
      </c>
      <c r="CF349" s="1185">
        <f>'2027'!R\Max</f>
        <v>0.1440706196741682</v>
      </c>
    </row>
    <row r="350" spans="1:84" s="6" customFormat="1" ht="11.25" x14ac:dyDescent="0.2">
      <c r="A350" s="11">
        <v>43436</v>
      </c>
      <c r="B350" s="380">
        <f>'2022'!Maxi_hp</f>
        <v>10.56169638849005</v>
      </c>
      <c r="C350" s="13">
        <f>'2022'!An_max</f>
        <v>2021</v>
      </c>
      <c r="D350" s="1062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53">
        <f t="shared" si="138"/>
        <v>0.42857142857142855</v>
      </c>
      <c r="J350" s="746">
        <f t="shared" si="139"/>
        <v>26.319604081979822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55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53">
        <f t="shared" si="143"/>
        <v>0.7142857142857143</v>
      </c>
      <c r="AT350" s="769">
        <f t="shared" si="144"/>
        <v>26.091149167929377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53">
        <f t="shared" si="148"/>
        <v>0.21428571428571427</v>
      </c>
      <c r="AY350" s="769">
        <f t="shared" si="149"/>
        <v>26.511029567303403</v>
      </c>
      <c r="AZ350" s="746">
        <f t="shared" si="153"/>
        <v>26.301089367616392</v>
      </c>
      <c r="BA350" s="643">
        <f t="shared" si="150"/>
        <v>0.40128629426159568</v>
      </c>
      <c r="BC350" s="11">
        <v>43436</v>
      </c>
      <c r="BD350" s="290">
        <f>[2]!FeuilCaduc*(1-Persistant)+Persistant</f>
        <v>0.64042221284015988</v>
      </c>
      <c r="BE350" s="291">
        <f>[2]!CroissVégét</f>
        <v>0.99957772652184329</v>
      </c>
      <c r="BF350" s="816">
        <f>1+[2]!Salcycl*Ksac</f>
        <v>1.0050527766050199</v>
      </c>
      <c r="BH350" s="1053">
        <f t="shared" si="151"/>
        <v>2.3475015469237204E-3</v>
      </c>
      <c r="BI350" s="11">
        <v>44532</v>
      </c>
      <c r="BJ350" s="726">
        <v>5.092576318052553E-4</v>
      </c>
      <c r="BK350" s="726">
        <v>9.1005023064173437E-4</v>
      </c>
      <c r="BL350" s="726">
        <v>1.4856273802279795E-3</v>
      </c>
      <c r="BM350" s="726">
        <v>2.3497575221632736E-3</v>
      </c>
      <c r="BN350" s="726">
        <v>3.5743684393290268E-3</v>
      </c>
      <c r="BO350" s="727">
        <v>5.5264203112306625E-3</v>
      </c>
      <c r="BP350" s="726">
        <v>8.0147221274707893E-3</v>
      </c>
      <c r="BQ350" s="726">
        <v>1.103355914874281E-2</v>
      </c>
      <c r="BR350" s="726">
        <v>1.4339004031792054E-2</v>
      </c>
      <c r="BS350" s="726">
        <v>1.8444189062101393E-2</v>
      </c>
      <c r="BT350" s="726">
        <v>2.3224595438348077E-2</v>
      </c>
      <c r="BW350" s="1186">
        <f>'2018'!R\Max</f>
        <v>0.28254836774104469</v>
      </c>
      <c r="BX350" s="1184">
        <f>'2019'!R\Max</f>
        <v>0.16050850547905685</v>
      </c>
      <c r="BY350" s="1184">
        <f>'2020'!R\Max</f>
        <v>0.18564821337327941</v>
      </c>
      <c r="BZ350" s="1184">
        <f>'2021'!R\Max</f>
        <v>0.40128629426159568</v>
      </c>
      <c r="CA350" s="1184">
        <f>'2022'!R\Max</f>
        <v>0.24072946759642747</v>
      </c>
      <c r="CB350" s="1184">
        <f>'2023'!R\Max</f>
        <v>0.24069665717206667</v>
      </c>
      <c r="CC350" s="1184">
        <f>'2024'!R\Max</f>
        <v>0.24065689066542492</v>
      </c>
      <c r="CD350" s="1184">
        <f>'2025'!R\Max</f>
        <v>0.24083061753569551</v>
      </c>
      <c r="CE350" s="1184">
        <f>'2026'!R\Max</f>
        <v>0.24081446997529635</v>
      </c>
      <c r="CF350" s="1185">
        <f>'2027'!R\Max</f>
        <v>0.24078926397714154</v>
      </c>
    </row>
    <row r="351" spans="1:84" s="6" customFormat="1" ht="11.25" x14ac:dyDescent="0.2">
      <c r="A351" s="11">
        <v>43437</v>
      </c>
      <c r="B351" s="380">
        <f>'2022'!Maxi_hp</f>
        <v>17.22212353344614</v>
      </c>
      <c r="C351" s="13">
        <f>'2022'!An_max</f>
        <v>2021</v>
      </c>
      <c r="D351" s="1062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53">
        <f t="shared" si="138"/>
        <v>0.5</v>
      </c>
      <c r="J351" s="746">
        <f t="shared" si="139"/>
        <v>26.12120000012219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55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53">
        <f t="shared" si="143"/>
        <v>0.75</v>
      </c>
      <c r="AT351" s="769">
        <f t="shared" si="144"/>
        <v>25.913915961235762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53">
        <f t="shared" si="148"/>
        <v>0.25</v>
      </c>
      <c r="AY351" s="769">
        <f t="shared" si="149"/>
        <v>26.342986805550755</v>
      </c>
      <c r="AZ351" s="746">
        <f t="shared" si="153"/>
        <v>26.128451383393259</v>
      </c>
      <c r="BA351" s="643">
        <f t="shared" si="150"/>
        <v>0.65931594005503491</v>
      </c>
      <c r="BC351" s="11">
        <v>43437</v>
      </c>
      <c r="BD351" s="290">
        <f>[2]!FeuilCaduc*(1-Persistant)+Persistant</f>
        <v>0.63776809796037026</v>
      </c>
      <c r="BE351" s="291">
        <f>[2]!CroissVégét</f>
        <v>0.99960804182016849</v>
      </c>
      <c r="BF351" s="816">
        <f>1+[2]!Salcycl*Ksac</f>
        <v>1.0047210122450463</v>
      </c>
      <c r="BH351" s="1053">
        <f t="shared" si="151"/>
        <v>2.3640696740585753E-3</v>
      </c>
      <c r="BI351" s="11">
        <v>44533</v>
      </c>
      <c r="BJ351" s="726">
        <v>5.0999930725332588E-4</v>
      </c>
      <c r="BK351" s="726">
        <v>9.1719614526132934E-4</v>
      </c>
      <c r="BL351" s="726">
        <v>1.4965914922005731E-3</v>
      </c>
      <c r="BM351" s="726">
        <v>2.3663403179353107E-3</v>
      </c>
      <c r="BN351" s="726">
        <v>3.5974778997349658E-3</v>
      </c>
      <c r="BO351" s="727">
        <v>5.5599581820518756E-3</v>
      </c>
      <c r="BP351" s="726">
        <v>8.056595051727837E-3</v>
      </c>
      <c r="BQ351" s="726">
        <v>1.1072065321609805E-2</v>
      </c>
      <c r="BR351" s="726">
        <v>1.436936709980143E-2</v>
      </c>
      <c r="BS351" s="726">
        <v>1.847250906713389E-2</v>
      </c>
      <c r="BT351" s="726">
        <v>2.3265418853909082E-2</v>
      </c>
      <c r="BW351" s="1186">
        <f>'2018'!R\Max</f>
        <v>0.30673931263925813</v>
      </c>
      <c r="BX351" s="1184">
        <f>'2019'!R\Max</f>
        <v>0.1818934632057658</v>
      </c>
      <c r="BY351" s="1184">
        <f>'2020'!R\Max</f>
        <v>5.6199374235295703E-2</v>
      </c>
      <c r="BZ351" s="1184">
        <f>'2021'!R\Max</f>
        <v>0.65931594005503491</v>
      </c>
      <c r="CA351" s="1184">
        <f>'2022'!R\Max</f>
        <v>0.36235496325315736</v>
      </c>
      <c r="CB351" s="1184">
        <f>'2023'!R\Max</f>
        <v>0.36230967881090326</v>
      </c>
      <c r="CC351" s="1184">
        <f>'2024'!R\Max</f>
        <v>0.36225503503208245</v>
      </c>
      <c r="CD351" s="1184">
        <f>'2025'!R\Max</f>
        <v>0.36249475006394599</v>
      </c>
      <c r="CE351" s="1184">
        <f>'2026'!R\Max</f>
        <v>0.36247242129956797</v>
      </c>
      <c r="CF351" s="1185">
        <f>'2027'!R\Max</f>
        <v>0.36243756520765114</v>
      </c>
    </row>
    <row r="352" spans="1:84" s="6" customFormat="1" ht="11.25" x14ac:dyDescent="0.2">
      <c r="A352" s="11">
        <v>43438</v>
      </c>
      <c r="B352" s="380">
        <f>'2022'!Maxi_hp</f>
        <v>18.799014130815127</v>
      </c>
      <c r="C352" s="13">
        <f>'2022'!An_max</f>
        <v>2022</v>
      </c>
      <c r="D352" s="1062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53">
        <f t="shared" si="138"/>
        <v>0.5714285714285714</v>
      </c>
      <c r="J352" s="746">
        <f t="shared" si="139"/>
        <v>25.930812246458874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55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53">
        <f t="shared" si="143"/>
        <v>0.7857142857142857</v>
      </c>
      <c r="AT352" s="769">
        <f t="shared" si="144"/>
        <v>25.748425194354997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53">
        <f t="shared" si="148"/>
        <v>0.2857142857142857</v>
      </c>
      <c r="AY352" s="769">
        <f t="shared" si="149"/>
        <v>26.179882128323829</v>
      </c>
      <c r="AZ352" s="746">
        <f t="shared" si="153"/>
        <v>25.964153661339413</v>
      </c>
      <c r="BA352" s="643">
        <f t="shared" si="150"/>
        <v>0.72496819429103421</v>
      </c>
      <c r="BC352" s="11">
        <v>43438</v>
      </c>
      <c r="BD352" s="290">
        <f>[2]!FeuilCaduc*(1-Persistant)+Persistant</f>
        <v>0.63525288871101571</v>
      </c>
      <c r="BE352" s="291">
        <f>[2]!CroissVégét</f>
        <v>0.99963713826343847</v>
      </c>
      <c r="BF352" s="816">
        <f>1+[2]!Salcycl*Ksac</f>
        <v>1.004406611088877</v>
      </c>
      <c r="BH352" s="1053">
        <f t="shared" si="151"/>
        <v>2.3777405884950922E-3</v>
      </c>
      <c r="BI352" s="11">
        <v>44534</v>
      </c>
      <c r="BJ352" s="726">
        <v>5.1059290866868905E-4</v>
      </c>
      <c r="BK352" s="726">
        <v>9.2400427514791451E-4</v>
      </c>
      <c r="BL352" s="726">
        <v>1.506445636078751E-3</v>
      </c>
      <c r="BM352" s="726">
        <v>2.3800212228555981E-3</v>
      </c>
      <c r="BN352" s="726">
        <v>3.6147468845905209E-3</v>
      </c>
      <c r="BO352" s="727">
        <v>5.5845599605770999E-3</v>
      </c>
      <c r="BP352" s="726">
        <v>8.0866047748607908E-3</v>
      </c>
      <c r="BQ352" s="726">
        <v>1.1100541324887662E-2</v>
      </c>
      <c r="BR352" s="726">
        <v>1.4393420663926952E-2</v>
      </c>
      <c r="BS352" s="726">
        <v>1.8498691731988277E-2</v>
      </c>
      <c r="BT352" s="726">
        <v>2.3304082769167549E-2</v>
      </c>
      <c r="BW352" s="1186">
        <f>'2018'!R\Max</f>
        <v>0.23615291146715792</v>
      </c>
      <c r="BX352" s="1184">
        <f>'2019'!R\Max</f>
        <v>0.2498162411336021</v>
      </c>
      <c r="BY352" s="1184">
        <f>'2020'!R\Max</f>
        <v>0.51665456301857071</v>
      </c>
      <c r="BZ352" s="1184">
        <f>'2021'!R\Max</f>
        <v>0.2725293766111655</v>
      </c>
      <c r="CA352" s="1184">
        <f>'2022'!R\Max</f>
        <v>0.72496819429103421</v>
      </c>
      <c r="CB352" s="1184">
        <f>'2023'!R\Max</f>
        <v>0.72492889632137358</v>
      </c>
      <c r="CC352" s="1184">
        <f>'2024'!R\Max</f>
        <v>0.7248815945765692</v>
      </c>
      <c r="CD352" s="1184">
        <f>'2025'!R\Max</f>
        <v>0.72508957883058789</v>
      </c>
      <c r="CE352" s="1184">
        <f>'2026'!R\Max</f>
        <v>0.72507019666739436</v>
      </c>
      <c r="CF352" s="1185">
        <f>'2027'!R\Max</f>
        <v>0.72503991334611939</v>
      </c>
    </row>
    <row r="353" spans="1:84" s="6" customFormat="1" ht="11.25" x14ac:dyDescent="0.2">
      <c r="A353" s="11">
        <v>43439</v>
      </c>
      <c r="B353" s="380">
        <f>'2022'!Maxi_hp</f>
        <v>25.594103955041181</v>
      </c>
      <c r="C353" s="13">
        <f>'2022'!An_max</f>
        <v>2022</v>
      </c>
      <c r="D353" s="1062">
        <f t="shared" si="135"/>
        <v>0.9939479510067365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53">
        <f t="shared" si="138"/>
        <v>0.6428571428571429</v>
      </c>
      <c r="J353" s="746">
        <f t="shared" si="139"/>
        <v>25.749943876958319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55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53">
        <f t="shared" si="143"/>
        <v>0.8214285714285714</v>
      </c>
      <c r="AT353" s="769">
        <f t="shared" si="144"/>
        <v>25.595372014679015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53">
        <f t="shared" si="148"/>
        <v>0.32142857142857145</v>
      </c>
      <c r="AY353" s="769">
        <f t="shared" si="149"/>
        <v>26.022229573396704</v>
      </c>
      <c r="AZ353" s="746">
        <f t="shared" si="153"/>
        <v>25.808800794037857</v>
      </c>
      <c r="BA353" s="643">
        <f t="shared" si="150"/>
        <v>0.9939479510067365</v>
      </c>
      <c r="BC353" s="11">
        <v>43439</v>
      </c>
      <c r="BD353" s="290">
        <f>[2]!FeuilCaduc*(1-Persistant)+Persistant</f>
        <v>0.63287391284958383</v>
      </c>
      <c r="BE353" s="291">
        <f>[2]!CroissVégét</f>
        <v>0.99966506479017636</v>
      </c>
      <c r="BF353" s="816">
        <f>1+[2]!Salcycl*Ksac</f>
        <v>1.0041092391061979</v>
      </c>
      <c r="BH353" s="1053">
        <f t="shared" si="151"/>
        <v>2.3888688665033636E-3</v>
      </c>
      <c r="BI353" s="11">
        <v>44535</v>
      </c>
      <c r="BJ353" s="726">
        <v>5.1122577393211655E-4</v>
      </c>
      <c r="BK353" s="726">
        <v>9.2992738158676716E-4</v>
      </c>
      <c r="BL353" s="726">
        <v>1.514702697892183E-3</v>
      </c>
      <c r="BM353" s="726">
        <v>2.391157016337582E-3</v>
      </c>
      <c r="BN353" s="726">
        <v>3.6284560488215861E-3</v>
      </c>
      <c r="BO353" s="727">
        <v>5.6045440641781024E-3</v>
      </c>
      <c r="BP353" s="726">
        <v>8.1115013698576204E-3</v>
      </c>
      <c r="BQ353" s="726">
        <v>1.1124760196371415E-2</v>
      </c>
      <c r="BR353" s="726">
        <v>1.4415271912822106E-2</v>
      </c>
      <c r="BS353" s="726">
        <v>1.8523881621420317E-2</v>
      </c>
      <c r="BT353" s="726">
        <v>2.3340996312900365E-2</v>
      </c>
      <c r="BW353" s="1186">
        <f>'2018'!R\Max</f>
        <v>0.76132418185684603</v>
      </c>
      <c r="BX353" s="1184">
        <f>'2019'!R\Max</f>
        <v>0.38322291419214843</v>
      </c>
      <c r="BY353" s="1184">
        <f>'2020'!R\Max</f>
        <v>0.35739845663538722</v>
      </c>
      <c r="BZ353" s="1184">
        <f>'2021'!R\Max</f>
        <v>0.39383790568921201</v>
      </c>
      <c r="CA353" s="1184">
        <f>'2022'!R\Max</f>
        <v>0.9939479510067365</v>
      </c>
      <c r="CB353" s="1184">
        <f>'2023'!R\Max</f>
        <v>0.99394675915950259</v>
      </c>
      <c r="CC353" s="1184">
        <f>'2024'!R\Max</f>
        <v>0.99394532751286491</v>
      </c>
      <c r="CD353" s="1184">
        <f>'2025'!R\Max</f>
        <v>0.99395163398369579</v>
      </c>
      <c r="CE353" s="1184">
        <f>'2026'!R\Max</f>
        <v>0.9939510462929243</v>
      </c>
      <c r="CF353" s="1185">
        <f>'2027'!R\Max</f>
        <v>0.99395012702011287</v>
      </c>
    </row>
    <row r="354" spans="1:84" s="6" customFormat="1" ht="11.25" x14ac:dyDescent="0.2">
      <c r="A354" s="11">
        <v>43440</v>
      </c>
      <c r="B354" s="380">
        <f>'2022'!Maxi_hp</f>
        <v>20.632916228723204</v>
      </c>
      <c r="C354" s="13">
        <f>'2022'!An_max</f>
        <v>2020</v>
      </c>
      <c r="D354" s="1062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53">
        <f t="shared" si="138"/>
        <v>0.7142857142857143</v>
      </c>
      <c r="J354" s="746">
        <f t="shared" si="139"/>
        <v>25.580097958871299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55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53">
        <f t="shared" si="143"/>
        <v>0.8571428571428571</v>
      </c>
      <c r="AT354" s="769">
        <f t="shared" si="144"/>
        <v>25.455451562681368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53">
        <f t="shared" si="148"/>
        <v>0.35714285714285715</v>
      </c>
      <c r="AY354" s="769">
        <f t="shared" si="149"/>
        <v>25.870543171731487</v>
      </c>
      <c r="AZ354" s="746">
        <f t="shared" si="153"/>
        <v>25.66299736720643</v>
      </c>
      <c r="BA354" s="643">
        <f t="shared" si="150"/>
        <v>0.8066003602448133</v>
      </c>
      <c r="BC354" s="11">
        <v>43440</v>
      </c>
      <c r="BD354" s="290">
        <f>[2]!FeuilCaduc*(1-Persistant)+Persistant</f>
        <v>0.6306281273157095</v>
      </c>
      <c r="BE354" s="291">
        <f>[2]!CroissVégét</f>
        <v>0.9996918683792223</v>
      </c>
      <c r="BF354" s="816">
        <f>1+[2]!Salcycl*Ksac</f>
        <v>1.0038285159144638</v>
      </c>
      <c r="BH354" s="1053">
        <f t="shared" si="151"/>
        <v>2.3974590646232909E-3</v>
      </c>
      <c r="BI354" s="11">
        <v>44536</v>
      </c>
      <c r="BJ354" s="726">
        <v>5.1189895949478473E-4</v>
      </c>
      <c r="BK354" s="726">
        <v>9.3496722115938647E-4</v>
      </c>
      <c r="BL354" s="726">
        <v>1.5213655481152719E-3</v>
      </c>
      <c r="BM354" s="726">
        <v>2.3997522593344773E-3</v>
      </c>
      <c r="BN354" s="726">
        <v>3.6386123936482818E-3</v>
      </c>
      <c r="BO354" s="727">
        <v>5.6199214056418516E-3</v>
      </c>
      <c r="BP354" s="726">
        <v>8.1313008384489814E-3</v>
      </c>
      <c r="BQ354" s="726">
        <v>1.114474429407793E-2</v>
      </c>
      <c r="BR354" s="726">
        <v>1.4434950272950775E-2</v>
      </c>
      <c r="BS354" s="726">
        <v>1.8548116761456675E-2</v>
      </c>
      <c r="BT354" s="726">
        <v>2.3376207268823501E-2</v>
      </c>
      <c r="BW354" s="1186">
        <f>'2018'!R\Max</f>
        <v>0.4876684180117507</v>
      </c>
      <c r="BX354" s="1184">
        <f>'2019'!R\Max</f>
        <v>0.32076753965645244</v>
      </c>
      <c r="BY354" s="1184">
        <f>'2020'!R\Max</f>
        <v>0.8066003602448133</v>
      </c>
      <c r="BZ354" s="1184">
        <f>'2021'!R\Max</f>
        <v>0.50013253054968454</v>
      </c>
      <c r="CA354" s="1184">
        <f>'2022'!R\Max</f>
        <v>0.46324806640408916</v>
      </c>
      <c r="CB354" s="1184">
        <f>'2023'!R\Max</f>
        <v>0.46319856786293223</v>
      </c>
      <c r="CC354" s="1184">
        <f>'2024'!R\Max</f>
        <v>0.46313922427023779</v>
      </c>
      <c r="CD354" s="1184">
        <f>'2025'!R\Max</f>
        <v>0.46340114575646651</v>
      </c>
      <c r="CE354" s="1184">
        <f>'2026'!R\Max</f>
        <v>0.46337673350662167</v>
      </c>
      <c r="CF354" s="1185">
        <f>'2027'!R\Max</f>
        <v>0.46333850148721556</v>
      </c>
    </row>
    <row r="355" spans="1:84" s="6" customFormat="1" ht="11.25" x14ac:dyDescent="0.2">
      <c r="A355" s="11">
        <v>43441</v>
      </c>
      <c r="B355" s="380">
        <f>'2022'!Maxi_hp</f>
        <v>21.50868791118263</v>
      </c>
      <c r="C355" s="13">
        <f>'2022'!An_max</f>
        <v>2022</v>
      </c>
      <c r="D355" s="1062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53">
        <f t="shared" si="138"/>
        <v>0.7857142857142857</v>
      </c>
      <c r="J355" s="746">
        <f t="shared" si="139"/>
        <v>25.422777551040053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55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53">
        <f t="shared" si="143"/>
        <v>0.8928571428571429</v>
      </c>
      <c r="AT355" s="769">
        <f t="shared" si="144"/>
        <v>25.329358990969403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53">
        <f t="shared" si="148"/>
        <v>0.39285714285714285</v>
      </c>
      <c r="AY355" s="769">
        <f t="shared" si="149"/>
        <v>25.725336962592394</v>
      </c>
      <c r="AZ355" s="746">
        <f t="shared" si="153"/>
        <v>25.527347976780899</v>
      </c>
      <c r="BA355" s="643">
        <f t="shared" si="150"/>
        <v>0.84604004688318191</v>
      </c>
      <c r="BC355" s="11">
        <v>43441</v>
      </c>
      <c r="BD355" s="290">
        <f>[2]!FeuilCaduc*(1-Persistant)+Persistant</f>
        <v>0.62851214593092741</v>
      </c>
      <c r="BE355" s="291">
        <f>[2]!CroissVégét</f>
        <v>0.99971759412779237</v>
      </c>
      <c r="BF355" s="816">
        <f>1+[2]!Salcycl*Ksac</f>
        <v>1.0035640182413659</v>
      </c>
      <c r="BH355" s="1053">
        <f t="shared" si="151"/>
        <v>2.4035158841254102E-3</v>
      </c>
      <c r="BI355" s="11">
        <v>44537</v>
      </c>
      <c r="BJ355" s="726">
        <v>5.1261352606110872E-4</v>
      </c>
      <c r="BK355" s="726">
        <v>9.3912561783750486E-4</v>
      </c>
      <c r="BL355" s="726">
        <v>1.5264371586664566E-3</v>
      </c>
      <c r="BM355" s="726">
        <v>2.40581165764344E-3</v>
      </c>
      <c r="BN355" s="726">
        <v>3.6452231072501779E-3</v>
      </c>
      <c r="BO355" s="727">
        <v>5.6307031582451105E-3</v>
      </c>
      <c r="BP355" s="726">
        <v>8.1460194931172146E-3</v>
      </c>
      <c r="BQ355" s="726">
        <v>1.1160516262144406E-2</v>
      </c>
      <c r="BR355" s="726">
        <v>1.4452485393088889E-2</v>
      </c>
      <c r="BS355" s="726">
        <v>1.8571435401426792E-2</v>
      </c>
      <c r="BT355" s="726">
        <v>2.3409763755479499E-2</v>
      </c>
      <c r="BW355" s="1186">
        <f>'2018'!R\Max</f>
        <v>0.76668516209911408</v>
      </c>
      <c r="BX355" s="1184">
        <f>'2019'!R\Max</f>
        <v>0.60156304469369637</v>
      </c>
      <c r="BY355" s="1184">
        <f>'2020'!R\Max</f>
        <v>0.49088548388507108</v>
      </c>
      <c r="BZ355" s="1184">
        <f>'2021'!R\Max</f>
        <v>0.23573054174826227</v>
      </c>
      <c r="CA355" s="1184">
        <f>'2022'!R\Max</f>
        <v>0.84604004688318191</v>
      </c>
      <c r="CB355" s="1184">
        <f>'2023'!R\Max</f>
        <v>0.84601400109445302</v>
      </c>
      <c r="CC355" s="1184">
        <f>'2024'!R\Max</f>
        <v>0.84598280732181552</v>
      </c>
      <c r="CD355" s="1184">
        <f>'2025'!R\Max</f>
        <v>0.84612057809544594</v>
      </c>
      <c r="CE355" s="1184">
        <f>'2026'!R\Max</f>
        <v>0.84610775352043843</v>
      </c>
      <c r="CF355" s="1185">
        <f>'2027'!R\Max</f>
        <v>0.84608763465825743</v>
      </c>
    </row>
    <row r="356" spans="1:84" s="6" customFormat="1" ht="11.25" x14ac:dyDescent="0.2">
      <c r="A356" s="11">
        <v>43442</v>
      </c>
      <c r="B356" s="380">
        <f>'2022'!Maxi_hp</f>
        <v>16.757981515209075</v>
      </c>
      <c r="C356" s="13">
        <f>'2022'!An_max</f>
        <v>2019</v>
      </c>
      <c r="D356" s="1062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53">
        <f t="shared" si="138"/>
        <v>0.8571428571428571</v>
      </c>
      <c r="J356" s="746">
        <f t="shared" si="139"/>
        <v>25.279485715074195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55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53">
        <f t="shared" si="143"/>
        <v>0.9285714285714286</v>
      </c>
      <c r="AT356" s="769">
        <f t="shared" si="144"/>
        <v>25.217789441879308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53">
        <f t="shared" si="148"/>
        <v>0.42857142857142855</v>
      </c>
      <c r="AY356" s="769">
        <f t="shared" si="149"/>
        <v>25.587124974387031</v>
      </c>
      <c r="AZ356" s="746">
        <f t="shared" si="153"/>
        <v>25.402457208133171</v>
      </c>
      <c r="BA356" s="643">
        <f t="shared" si="150"/>
        <v>0.66290832432624469</v>
      </c>
      <c r="BC356" s="11">
        <v>43442</v>
      </c>
      <c r="BD356" s="290">
        <f>[2]!FeuilCaduc*(1-Persistant)+Persistant</f>
        <v>0.62652226865599625</v>
      </c>
      <c r="BE356" s="291">
        <f>[2]!CroissVégét</f>
        <v>0.99974228532646048</v>
      </c>
      <c r="BF356" s="816">
        <f>1+[2]!Salcycl*Ksac</f>
        <v>1.0033152835819996</v>
      </c>
      <c r="BH356" s="1053">
        <f t="shared" si="151"/>
        <v>2.4070441184436331E-3</v>
      </c>
      <c r="BI356" s="11">
        <v>44538</v>
      </c>
      <c r="BJ356" s="726">
        <v>5.1337053947272493E-4</v>
      </c>
      <c r="BK356" s="726">
        <v>9.4240444469599941E-4</v>
      </c>
      <c r="BL356" s="726">
        <v>1.5299205698896786E-3</v>
      </c>
      <c r="BM356" s="726">
        <v>2.4093400092871334E-3</v>
      </c>
      <c r="BN356" s="726">
        <v>3.6482954912102367E-3</v>
      </c>
      <c r="BO356" s="727">
        <v>5.6369006604570998E-3</v>
      </c>
      <c r="BP356" s="726">
        <v>8.1556738518252132E-3</v>
      </c>
      <c r="BQ356" s="726">
        <v>1.117209894376116E-2</v>
      </c>
      <c r="BR356" s="726">
        <v>1.4467907100428674E-2</v>
      </c>
      <c r="BS356" s="726">
        <v>1.8593875995763336E-2</v>
      </c>
      <c r="BT356" s="726">
        <v>2.3441714192912532E-2</v>
      </c>
      <c r="BW356" s="1186">
        <f>'2018'!R\Max</f>
        <v>0.63946033665822977</v>
      </c>
      <c r="BX356" s="1184">
        <f>'2019'!R\Max</f>
        <v>0.66290832432624469</v>
      </c>
      <c r="BY356" s="1184">
        <f>'2020'!R\Max</f>
        <v>0.11516434798313016</v>
      </c>
      <c r="BZ356" s="1184">
        <f>'2021'!R\Max</f>
        <v>0.41743774446332998</v>
      </c>
      <c r="CA356" s="1184">
        <f>'2022'!R\Max</f>
        <v>0.17559600422400704</v>
      </c>
      <c r="CB356" s="1184">
        <f>'2023'!R\Max</f>
        <v>0.17557132840483961</v>
      </c>
      <c r="CC356" s="1184">
        <f>'2024'!R\Max</f>
        <v>0.17554180392532961</v>
      </c>
      <c r="CD356" s="1184">
        <f>'2025'!R\Max</f>
        <v>0.17567231947163425</v>
      </c>
      <c r="CE356" s="1184">
        <f>'2026'!R\Max</f>
        <v>0.17566018172079068</v>
      </c>
      <c r="CF356" s="1185">
        <f>'2027'!R\Max</f>
        <v>0.17564110710377803</v>
      </c>
    </row>
    <row r="357" spans="1:84" s="6" customFormat="1" ht="11.25" x14ac:dyDescent="0.2">
      <c r="A357" s="11">
        <v>43443</v>
      </c>
      <c r="B357" s="380">
        <f>'2022'!Maxi_hp</f>
        <v>11.880379374635188</v>
      </c>
      <c r="C357" s="13">
        <f>'2022'!An_max</f>
        <v>2019</v>
      </c>
      <c r="D357" s="1062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53">
        <f t="shared" si="138"/>
        <v>0.9285714285714286</v>
      </c>
      <c r="J357" s="746">
        <f t="shared" si="139"/>
        <v>25.151725511465752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55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53">
        <f t="shared" si="143"/>
        <v>0.9642857142857143</v>
      </c>
      <c r="AT357" s="769">
        <f t="shared" si="144"/>
        <v>25.12143806314894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53">
        <f t="shared" si="148"/>
        <v>0.4642857142857143</v>
      </c>
      <c r="AY357" s="769">
        <f t="shared" si="149"/>
        <v>25.456421248002776</v>
      </c>
      <c r="AZ357" s="746">
        <f t="shared" si="153"/>
        <v>25.288929655575856</v>
      </c>
      <c r="BA357" s="643">
        <f t="shared" si="150"/>
        <v>0.47234848238222693</v>
      </c>
      <c r="BC357" s="11">
        <v>43443</v>
      </c>
      <c r="BD357" s="290">
        <f>[2]!FeuilCaduc*(1-Persistant)+Persistant</f>
        <v>0.62465451216441836</v>
      </c>
      <c r="BE357" s="291">
        <f>[2]!CroissVégét</f>
        <v>0.99976598353118062</v>
      </c>
      <c r="BF357" s="816">
        <f>1+[2]!Salcycl*Ksac</f>
        <v>1.0030818140205524</v>
      </c>
      <c r="BH357" s="1053">
        <f t="shared" si="151"/>
        <v>2.4080486006062178E-3</v>
      </c>
      <c r="BI357" s="11">
        <v>44539</v>
      </c>
      <c r="BJ357" s="726">
        <v>5.1417107159207808E-4</v>
      </c>
      <c r="BK357" s="726">
        <v>9.4480560562514851E-4</v>
      </c>
      <c r="BL357" s="726">
        <v>1.5318188575347419E-3</v>
      </c>
      <c r="BM357" s="726">
        <v>2.4103421518935331E-3</v>
      </c>
      <c r="BN357" s="726">
        <v>3.6478368869560102E-3</v>
      </c>
      <c r="BO357" s="727">
        <v>5.6385253206379521E-3</v>
      </c>
      <c r="BP357" s="726">
        <v>8.1602805327392058E-3</v>
      </c>
      <c r="BQ357" s="726">
        <v>1.1179515294095978E-2</v>
      </c>
      <c r="BR357" s="726">
        <v>1.4481245356671875E-2</v>
      </c>
      <c r="BS357" s="726">
        <v>1.8615477185788473E-2</v>
      </c>
      <c r="BT357" s="726">
        <v>2.3472107269325793E-2</v>
      </c>
      <c r="BW357" s="1186">
        <f>'2018'!R\Max</f>
        <v>0.21672016749719869</v>
      </c>
      <c r="BX357" s="1184">
        <f>'2019'!R\Max</f>
        <v>0.47234848238222693</v>
      </c>
      <c r="BY357" s="1184">
        <f>'2020'!R\Max</f>
        <v>0.36054618391513471</v>
      </c>
      <c r="BZ357" s="1184">
        <f>'2021'!R\Max</f>
        <v>0.34820608994156621</v>
      </c>
      <c r="CA357" s="1184">
        <f>'2022'!R\Max</f>
        <v>0.21355479235118419</v>
      </c>
      <c r="CB357" s="1184">
        <f>'2023'!R\Max</f>
        <v>0.21352468417062465</v>
      </c>
      <c r="CC357" s="1184">
        <f>'2024'!R\Max</f>
        <v>0.21348866880273076</v>
      </c>
      <c r="CD357" s="1184">
        <f>'2025'!R\Max</f>
        <v>0.21364786533671826</v>
      </c>
      <c r="CE357" s="1184">
        <f>'2026'!R\Max</f>
        <v>0.21363309042329842</v>
      </c>
      <c r="CF357" s="1185">
        <f>'2027'!R\Max</f>
        <v>0.21360982132725964</v>
      </c>
    </row>
    <row r="358" spans="1:84" s="6" customFormat="1" ht="11.25" x14ac:dyDescent="0.2">
      <c r="A358" s="11">
        <v>43444</v>
      </c>
      <c r="B358" s="380">
        <f>'2022'!Maxi_hp</f>
        <v>21.95872257479607</v>
      </c>
      <c r="C358" s="13">
        <f>'2022'!An_max</f>
        <v>2019</v>
      </c>
      <c r="D358" s="1062" t="str">
        <f t="shared" si="135"/>
        <v/>
      </c>
      <c r="E358" s="1057">
        <f>AL$13/10</f>
        <v>25.041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53">
        <f t="shared" si="138"/>
        <v>1</v>
      </c>
      <c r="J358" s="746">
        <f t="shared" si="139"/>
        <v>25.040999999642374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55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53">
        <f t="shared" si="143"/>
        <v>1</v>
      </c>
      <c r="AT358" s="769">
        <f t="shared" si="144"/>
        <v>25.041000001132488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53">
        <f t="shared" si="148"/>
        <v>0.5</v>
      </c>
      <c r="AY358" s="769">
        <f t="shared" si="149"/>
        <v>25.333739812672139</v>
      </c>
      <c r="AZ358" s="746">
        <f t="shared" si="153"/>
        <v>25.187369906902312</v>
      </c>
      <c r="BA358" s="643">
        <f t="shared" si="150"/>
        <v>0.8769107693426651</v>
      </c>
      <c r="BC358" s="11">
        <v>43444</v>
      </c>
      <c r="BD358" s="290">
        <f>[2]!FeuilCaduc*(1-Persistant)+Persistant</f>
        <v>0.62290464148302538</v>
      </c>
      <c r="BE358" s="291">
        <f>[2]!CroissVégét</f>
        <v>0.9997887286324697</v>
      </c>
      <c r="BF358" s="816">
        <f>1+[2]!Salcycl*Ksac</f>
        <v>1.0028630801853782</v>
      </c>
      <c r="BH358" s="1053">
        <f t="shared" si="151"/>
        <v>2.4065341506376396E-3</v>
      </c>
      <c r="BI358" s="11">
        <v>44540</v>
      </c>
      <c r="BJ358" s="726">
        <v>5.1501620117981562E-4</v>
      </c>
      <c r="BK358" s="726">
        <v>9.4633101703148995E-4</v>
      </c>
      <c r="BL358" s="726">
        <v>1.5321350997191787E-3</v>
      </c>
      <c r="BM358" s="726">
        <v>2.4088229100465955E-3</v>
      </c>
      <c r="BN358" s="726">
        <v>3.6438546021567608E-3</v>
      </c>
      <c r="BO358" s="727">
        <v>5.6355885216690087E-3</v>
      </c>
      <c r="BP358" s="726">
        <v>8.159856148852989E-3</v>
      </c>
      <c r="BQ358" s="726">
        <v>1.1182788293083492E-2</v>
      </c>
      <c r="BR358" s="726">
        <v>1.4492530213948255E-2</v>
      </c>
      <c r="BS358" s="726">
        <v>1.863627778127561E-2</v>
      </c>
      <c r="BT358" s="726">
        <v>2.3500991907455759E-2</v>
      </c>
      <c r="BW358" s="1186">
        <f>'2018'!R\Max</f>
        <v>0.43308420235067258</v>
      </c>
      <c r="BX358" s="1184">
        <f>'2019'!R\Max</f>
        <v>0.8769107693426651</v>
      </c>
      <c r="BY358" s="1184">
        <f>'2020'!R\Max</f>
        <v>0.36863800338183234</v>
      </c>
      <c r="BZ358" s="1184">
        <f>'2021'!R\Max</f>
        <v>9.3602287813790722E-2</v>
      </c>
      <c r="CA358" s="1184">
        <f>'2022'!R\Max</f>
        <v>0.50502763302176312</v>
      </c>
      <c r="CB358" s="1184">
        <f>'2023'!R\Max</f>
        <v>0.5049771635880751</v>
      </c>
      <c r="CC358" s="1184">
        <f>'2024'!R\Max</f>
        <v>0.50491677268614354</v>
      </c>
      <c r="CD358" s="1184">
        <f>'2025'!R\Max</f>
        <v>0.50518350714608706</v>
      </c>
      <c r="CE358" s="1184">
        <f>'2026'!R\Max</f>
        <v>0.50515882114115396</v>
      </c>
      <c r="CF358" s="1185">
        <f>'2027'!R\Max</f>
        <v>0.50511984608419525</v>
      </c>
    </row>
    <row r="359" spans="1:84" s="6" customFormat="1" ht="11.25" x14ac:dyDescent="0.2">
      <c r="A359" s="11">
        <v>43445</v>
      </c>
      <c r="B359" s="380">
        <f>'2022'!Maxi_hp</f>
        <v>18.260406248134906</v>
      </c>
      <c r="C359" s="13">
        <f>'2022'!An_max</f>
        <v>2018</v>
      </c>
      <c r="D359" s="1062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53">
        <f t="shared" si="138"/>
        <v>0.9285714285714286</v>
      </c>
      <c r="J359" s="746">
        <f t="shared" si="139"/>
        <v>24.944490428588217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55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53">
        <f t="shared" si="143"/>
        <v>0.96551724137931039</v>
      </c>
      <c r="AT359" s="769">
        <f t="shared" si="144"/>
        <v>24.974908535901843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53">
        <f t="shared" si="148"/>
        <v>0.5357142857142857</v>
      </c>
      <c r="AY359" s="769">
        <f t="shared" si="149"/>
        <v>25.219594708404372</v>
      </c>
      <c r="AZ359" s="746">
        <f t="shared" si="153"/>
        <v>25.097251622153109</v>
      </c>
      <c r="BA359" s="643">
        <f t="shared" si="150"/>
        <v>0.73204166268344129</v>
      </c>
      <c r="BC359" s="11">
        <v>43445</v>
      </c>
      <c r="BD359" s="290">
        <f>[2]!FeuilCaduc*(1-Persistant)+Persistant</f>
        <v>0.62126820244498304</v>
      </c>
      <c r="BE359" s="291">
        <f>[2]!CroissVégét</f>
        <v>0.99981055892185233</v>
      </c>
      <c r="BF359" s="816">
        <f>1+[2]!Salcycl*Ksac</f>
        <v>1.0026585253056228</v>
      </c>
      <c r="BH359" s="1053">
        <f t="shared" si="151"/>
        <v>2.4025055229982663E-3</v>
      </c>
      <c r="BI359" s="11">
        <v>44541</v>
      </c>
      <c r="BJ359" s="726">
        <v>5.1590701478023641E-4</v>
      </c>
      <c r="BK359" s="726">
        <v>9.4698258955346331E-4</v>
      </c>
      <c r="BL359" s="726">
        <v>1.5308723439141293E-3</v>
      </c>
      <c r="BM359" s="726">
        <v>2.4047870426747702E-3</v>
      </c>
      <c r="BN359" s="726">
        <v>3.6363558371778743E-3</v>
      </c>
      <c r="BO359" s="727">
        <v>5.6281015256717066E-3</v>
      </c>
      <c r="BP359" s="726">
        <v>8.1544172027402124E-3</v>
      </c>
      <c r="BQ359" s="726">
        <v>1.1181940858389991E-2</v>
      </c>
      <c r="BR359" s="726">
        <v>1.4501791770961253E-2</v>
      </c>
      <c r="BS359" s="726">
        <v>1.8656316742303045E-2</v>
      </c>
      <c r="BT359" s="726">
        <v>2.3528417231314418E-2</v>
      </c>
      <c r="BW359" s="1186">
        <f>'2018'!R\Max</f>
        <v>0.73204166268344129</v>
      </c>
      <c r="BX359" s="1184">
        <f>'2019'!R\Max</f>
        <v>8.0629999076842401E-2</v>
      </c>
      <c r="BY359" s="1184">
        <f>'2020'!R\Max</f>
        <v>0.20160144037095781</v>
      </c>
      <c r="BZ359" s="1184">
        <f>'2021'!R\Max</f>
        <v>0.52725510944605158</v>
      </c>
      <c r="CA359" s="1184">
        <f>'2022'!R\Max</f>
        <v>0.70842810878173834</v>
      </c>
      <c r="CB359" s="1184">
        <f>'2023'!R\Max</f>
        <v>0.70838631818431408</v>
      </c>
      <c r="CC359" s="1184">
        <f>'2024'!R\Max</f>
        <v>0.70833627232653917</v>
      </c>
      <c r="CD359" s="1184">
        <f>'2025'!R\Max</f>
        <v>0.70855702620642735</v>
      </c>
      <c r="CE359" s="1184">
        <f>'2026'!R\Max</f>
        <v>0.70853666470897336</v>
      </c>
      <c r="CF359" s="1185">
        <f>'2027'!R\Max</f>
        <v>0.70850442797623336</v>
      </c>
    </row>
    <row r="360" spans="1:84" s="6" customFormat="1" ht="11.25" x14ac:dyDescent="0.2">
      <c r="A360" s="11">
        <v>43446</v>
      </c>
      <c r="B360" s="380">
        <f>'2022'!Maxi_hp</f>
        <v>23.792403120855759</v>
      </c>
      <c r="C360" s="13">
        <f>'2022'!An_max</f>
        <v>2021</v>
      </c>
      <c r="D360" s="1062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53">
        <f t="shared" si="138"/>
        <v>0.8571428571428571</v>
      </c>
      <c r="J360" s="746">
        <f t="shared" si="139"/>
        <v>24.858549593176161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55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53">
        <f t="shared" si="143"/>
        <v>0.93103448275862066</v>
      </c>
      <c r="AT360" s="769">
        <f t="shared" si="144"/>
        <v>24.920976654311708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53">
        <f t="shared" si="148"/>
        <v>0.5714285714285714</v>
      </c>
      <c r="AY360" s="769">
        <f t="shared" si="149"/>
        <v>25.114499966374467</v>
      </c>
      <c r="AZ360" s="746">
        <f t="shared" si="153"/>
        <v>25.017738310343088</v>
      </c>
      <c r="BA360" s="643">
        <f t="shared" si="150"/>
        <v>0.95711147714695854</v>
      </c>
      <c r="BC360" s="11">
        <v>43446</v>
      </c>
      <c r="BD360" s="290">
        <f>[2]!FeuilCaduc*(1-Persistant)+Persistant</f>
        <v>0.61974055469729172</v>
      </c>
      <c r="BE360" s="291">
        <f>[2]!CroissVégét</f>
        <v>0.99983151115568181</v>
      </c>
      <c r="BF360" s="816">
        <f>1+[2]!Salcycl*Ksac</f>
        <v>1.0024675693371614</v>
      </c>
      <c r="BH360" s="1053">
        <f t="shared" si="151"/>
        <v>2.3959673539986465E-3</v>
      </c>
      <c r="BI360" s="11">
        <v>44542</v>
      </c>
      <c r="BJ360" s="726">
        <v>5.1684460760131922E-4</v>
      </c>
      <c r="BK360" s="726">
        <v>9.4676220976711294E-4</v>
      </c>
      <c r="BL360" s="726">
        <v>1.5280335739140871E-3</v>
      </c>
      <c r="BM360" s="726">
        <v>2.398239190414105E-3</v>
      </c>
      <c r="BN360" s="726">
        <v>3.6253476114968108E-3</v>
      </c>
      <c r="BO360" s="727">
        <v>5.616075378666951E-3</v>
      </c>
      <c r="BP360" s="726">
        <v>8.1439799812206629E-3</v>
      </c>
      <c r="BQ360" s="726">
        <v>1.1176995758260345E-2</v>
      </c>
      <c r="BR360" s="726">
        <v>1.4509060128980943E-2</v>
      </c>
      <c r="BS360" s="726">
        <v>1.867563316091133E-2</v>
      </c>
      <c r="BT360" s="726">
        <v>2.3554432532684095E-2</v>
      </c>
      <c r="BW360" s="1186">
        <f>'2018'!R\Max</f>
        <v>0.13036974122849559</v>
      </c>
      <c r="BX360" s="1184">
        <f>'2019'!R\Max</f>
        <v>0.21911926875538126</v>
      </c>
      <c r="BY360" s="1184">
        <f>'2020'!R\Max</f>
        <v>0.29330524740408831</v>
      </c>
      <c r="BZ360" s="1184">
        <f>'2021'!R\Max</f>
        <v>0.95711147714695854</v>
      </c>
      <c r="CA360" s="1184">
        <f>'2022'!R\Max</f>
        <v>0.24751995533743723</v>
      </c>
      <c r="CB360" s="1184">
        <f>'2023'!R\Max</f>
        <v>0.24748483928583484</v>
      </c>
      <c r="CC360" s="1184">
        <f>'2024'!R\Max</f>
        <v>0.24744274437377334</v>
      </c>
      <c r="CD360" s="1184">
        <f>'2025'!R\Max</f>
        <v>0.24762817997088585</v>
      </c>
      <c r="CE360" s="1184">
        <f>'2026'!R\Max</f>
        <v>0.24761113375696112</v>
      </c>
      <c r="CF360" s="1185">
        <f>'2027'!R\Max</f>
        <v>0.24758406713563835</v>
      </c>
    </row>
    <row r="361" spans="1:84" s="6" customFormat="1" ht="11.25" x14ac:dyDescent="0.2">
      <c r="A361" s="11">
        <v>43447</v>
      </c>
      <c r="B361" s="380">
        <f>'2022'!Maxi_hp</f>
        <v>25.480851358483925</v>
      </c>
      <c r="C361" s="13">
        <f>'2022'!An_max</f>
        <v>2021</v>
      </c>
      <c r="D361" s="1062">
        <f t="shared" si="135"/>
        <v>1.028140304426099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53">
        <f t="shared" si="138"/>
        <v>0.7857142857142857</v>
      </c>
      <c r="J361" s="746">
        <f t="shared" si="139"/>
        <v>24.783437872039421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55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53">
        <f t="shared" si="143"/>
        <v>0.89655172413793105</v>
      </c>
      <c r="AT361" s="769">
        <f t="shared" si="144"/>
        <v>24.878969077611792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53">
        <f t="shared" si="148"/>
        <v>0.6071428571428571</v>
      </c>
      <c r="AY361" s="769">
        <f t="shared" si="149"/>
        <v>25.018969621243222</v>
      </c>
      <c r="AZ361" s="746">
        <f t="shared" si="153"/>
        <v>24.948969349427507</v>
      </c>
      <c r="BA361" s="643">
        <f t="shared" si="150"/>
        <v>1.028140304426099</v>
      </c>
      <c r="BC361" s="11">
        <v>43447</v>
      </c>
      <c r="BD361" s="290">
        <f>[2]!FeuilCaduc*(1-Persistant)+Persistant</f>
        <v>0.61831690500385694</v>
      </c>
      <c r="BE361" s="291">
        <f>[2]!CroissVégét</f>
        <v>0.99985162061643362</v>
      </c>
      <c r="BF361" s="816">
        <f>1+[2]!Salcycl*Ksac</f>
        <v>1.0022896131254821</v>
      </c>
      <c r="BH361" s="1053">
        <f t="shared" si="151"/>
        <v>2.3895624585192916E-3</v>
      </c>
      <c r="BI361" s="11">
        <v>44543</v>
      </c>
      <c r="BJ361" s="726">
        <v>5.1792391899867761E-4</v>
      </c>
      <c r="BK361" s="726">
        <v>9.4623352084412791E-4</v>
      </c>
      <c r="BL361" s="726">
        <v>1.5249258348975655E-3</v>
      </c>
      <c r="BM361" s="726">
        <v>2.3918256645526961E-3</v>
      </c>
      <c r="BN361" s="726">
        <v>3.61510931921138E-3</v>
      </c>
      <c r="BO361" s="727">
        <v>5.6054345094930262E-3</v>
      </c>
      <c r="BP361" s="726">
        <v>8.1351082493101527E-3</v>
      </c>
      <c r="BQ361" s="726">
        <v>1.1173014522880069E-2</v>
      </c>
      <c r="BR361" s="726">
        <v>1.4516053123369241E-2</v>
      </c>
      <c r="BS361" s="726">
        <v>1.8693502701111638E-2</v>
      </c>
      <c r="BT361" s="726">
        <v>2.3578485304745614E-2</v>
      </c>
      <c r="BW361" s="1186">
        <f>'2018'!R\Max</f>
        <v>8.3168057287724959E-2</v>
      </c>
      <c r="BX361" s="1184">
        <f>'2019'!R\Max</f>
        <v>0.10090778271487556</v>
      </c>
      <c r="BY361" s="1184">
        <f>'2020'!R\Max</f>
        <v>0.49234311348096854</v>
      </c>
      <c r="BZ361" s="1184">
        <f>'2021'!R\Max</f>
        <v>1.028140304426099</v>
      </c>
      <c r="CA361" s="1184">
        <f>'2022'!R\Max</f>
        <v>0.23569266457208737</v>
      </c>
      <c r="CB361" s="1184">
        <f>'2023'!R\Max</f>
        <v>0.23565917876321291</v>
      </c>
      <c r="CC361" s="1184">
        <f>'2024'!R\Max</f>
        <v>0.23561900150698958</v>
      </c>
      <c r="CD361" s="1184">
        <f>'2025'!R\Max</f>
        <v>0.23579575231448388</v>
      </c>
      <c r="CE361" s="1184">
        <f>'2026'!R\Max</f>
        <v>0.23577955945845874</v>
      </c>
      <c r="CF361" s="1185">
        <f>'2027'!R\Max</f>
        <v>0.23575377507292822</v>
      </c>
    </row>
    <row r="362" spans="1:84" s="6" customFormat="1" ht="11.25" x14ac:dyDescent="0.2">
      <c r="A362" s="11">
        <v>43448</v>
      </c>
      <c r="B362" s="380">
        <f>'2022'!Maxi_hp</f>
        <v>22.845836803064749</v>
      </c>
      <c r="C362" s="13">
        <f>'2022'!An_max</f>
        <v>2021</v>
      </c>
      <c r="D362" s="1062" t="str">
        <f t="shared" si="135"/>
        <v/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53">
        <f t="shared" si="138"/>
        <v>0.7142857142857143</v>
      </c>
      <c r="J362" s="746">
        <f t="shared" si="139"/>
        <v>24.719415650623187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55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53">
        <f t="shared" si="143"/>
        <v>0.86206896551724133</v>
      </c>
      <c r="AT362" s="769">
        <f t="shared" si="144"/>
        <v>24.848650512561715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53">
        <f t="shared" si="148"/>
        <v>0.6428571428571429</v>
      </c>
      <c r="AY362" s="769">
        <f t="shared" si="149"/>
        <v>24.933517709161556</v>
      </c>
      <c r="AZ362" s="746">
        <f t="shared" si="153"/>
        <v>24.891084110861634</v>
      </c>
      <c r="BA362" s="643">
        <f t="shared" si="150"/>
        <v>0.92420618375292363</v>
      </c>
      <c r="BC362" s="11">
        <v>43448</v>
      </c>
      <c r="BD362" s="290">
        <f>[2]!FeuilCaduc*(1-Persistant)+Persistant</f>
        <v>0.61699234058646302</v>
      </c>
      <c r="BE362" s="291">
        <f>[2]!CroissVégét</f>
        <v>0.99987092117157228</v>
      </c>
      <c r="BF362" s="816">
        <f>1+[2]!Salcycl*Ksac</f>
        <v>1.0021240425733078</v>
      </c>
      <c r="BH362" s="1053">
        <f t="shared" si="151"/>
        <v>2.3832956045325543E-3</v>
      </c>
      <c r="BI362" s="11">
        <v>44544</v>
      </c>
      <c r="BJ362" s="726">
        <v>5.1914608285101593E-4</v>
      </c>
      <c r="BK362" s="726">
        <v>9.4539841830295441E-4</v>
      </c>
      <c r="BL362" s="726">
        <v>1.5215521440866543E-3</v>
      </c>
      <c r="BM362" s="726">
        <v>2.3855512376455249E-3</v>
      </c>
      <c r="BN362" s="726">
        <v>3.6056482486334948E-3</v>
      </c>
      <c r="BO362" s="727">
        <v>5.5961904243164162E-3</v>
      </c>
      <c r="BP362" s="726">
        <v>8.1278188510660061E-3</v>
      </c>
      <c r="BQ362" s="726">
        <v>1.1170020364353075E-2</v>
      </c>
      <c r="BR362" s="726">
        <v>1.4522801064988541E-2</v>
      </c>
      <c r="BS362" s="726">
        <v>1.870996451195623E-2</v>
      </c>
      <c r="BT362" s="726">
        <v>2.3600624954686792E-2</v>
      </c>
      <c r="BW362" s="1186">
        <f>'2018'!R\Max</f>
        <v>0.11612937045636572</v>
      </c>
      <c r="BX362" s="1184">
        <f>'2019'!R\Max</f>
        <v>0.80168538469067263</v>
      </c>
      <c r="BY362" s="1184">
        <f>'2020'!R\Max</f>
        <v>0.44832133149151804</v>
      </c>
      <c r="BZ362" s="1184">
        <f>'2021'!R\Max</f>
        <v>0.92420618375292363</v>
      </c>
      <c r="CA362" s="1184">
        <f>'2022'!R\Max</f>
        <v>0.75010463385612802</v>
      </c>
      <c r="CB362" s="1184">
        <f>'2023'!R\Max</f>
        <v>0.75006654741057366</v>
      </c>
      <c r="CC362" s="1184">
        <f>'2024'!R\Max</f>
        <v>0.75002081167404056</v>
      </c>
      <c r="CD362" s="1184">
        <f>'2025'!R\Max</f>
        <v>0.75022173625912758</v>
      </c>
      <c r="CE362" s="1184">
        <f>'2026'!R\Max</f>
        <v>0.75020339201164055</v>
      </c>
      <c r="CF362" s="1185">
        <f>'2027'!R\Max</f>
        <v>0.75017410160244491</v>
      </c>
    </row>
    <row r="363" spans="1:84" s="6" customFormat="1" ht="11.25" x14ac:dyDescent="0.2">
      <c r="A363" s="11">
        <v>43449</v>
      </c>
      <c r="B363" s="380">
        <f>'2022'!Maxi_hp</f>
        <v>25.557265904120406</v>
      </c>
      <c r="C363" s="13">
        <f>'2022'!An_max</f>
        <v>2019</v>
      </c>
      <c r="D363" s="1062">
        <f t="shared" si="135"/>
        <v>1.0361021552474747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53">
        <f t="shared" si="138"/>
        <v>0.6428571428571429</v>
      </c>
      <c r="J363" s="746">
        <f t="shared" si="139"/>
        <v>24.666743307773555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55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53">
        <f t="shared" si="143"/>
        <v>0.82758620689655171</v>
      </c>
      <c r="AT363" s="769">
        <f t="shared" si="144"/>
        <v>24.829785674502109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53">
        <f t="shared" si="148"/>
        <v>0.6785714285714286</v>
      </c>
      <c r="AY363" s="769">
        <f t="shared" si="149"/>
        <v>24.858658265322447</v>
      </c>
      <c r="AZ363" s="746">
        <f t="shared" si="153"/>
        <v>24.844221969912276</v>
      </c>
      <c r="BA363" s="643">
        <f t="shared" si="150"/>
        <v>1.0361021552474747</v>
      </c>
      <c r="BC363" s="11">
        <v>43449</v>
      </c>
      <c r="BD363" s="290">
        <f>[2]!FeuilCaduc*(1-Persistant)+Persistant</f>
        <v>0.6157618622494625</v>
      </c>
      <c r="BE363" s="291">
        <f>[2]!CroissVégét</f>
        <v>0.99988944533008528</v>
      </c>
      <c r="BF363" s="816">
        <f>1+[2]!Salcycl*Ksac</f>
        <v>1.0019702327811828</v>
      </c>
      <c r="BH363" s="1053">
        <f t="shared" si="151"/>
        <v>2.3771715142957119E-3</v>
      </c>
      <c r="BI363" s="11">
        <v>44545</v>
      </c>
      <c r="BJ363" s="726">
        <v>5.2051225253512768E-4</v>
      </c>
      <c r="BK363" s="726">
        <v>9.4425876774029236E-4</v>
      </c>
      <c r="BL363" s="726">
        <v>1.5179154697276824E-3</v>
      </c>
      <c r="BM363" s="726">
        <v>2.3794206365410314E-3</v>
      </c>
      <c r="BN363" s="726">
        <v>3.5969716592108925E-3</v>
      </c>
      <c r="BO363" s="727">
        <v>5.5883546431461121E-3</v>
      </c>
      <c r="BP363" s="726">
        <v>8.1221286701134553E-3</v>
      </c>
      <c r="BQ363" s="726">
        <v>1.1168036523660812E-2</v>
      </c>
      <c r="BR363" s="726">
        <v>1.452933428272541E-2</v>
      </c>
      <c r="BS363" s="726">
        <v>1.872505775314651E-2</v>
      </c>
      <c r="BT363" s="726">
        <v>2.3620900904846292E-2</v>
      </c>
      <c r="BW363" s="1186">
        <f>'2018'!R\Max</f>
        <v>0.24565811236590207</v>
      </c>
      <c r="BX363" s="1184">
        <f>'2019'!R\Max</f>
        <v>1.0361021552474747</v>
      </c>
      <c r="BY363" s="1184">
        <f>'2020'!R\Max</f>
        <v>0.15968364191658299</v>
      </c>
      <c r="BZ363" s="1184">
        <f>'2021'!R\Max</f>
        <v>0.94579652754330268</v>
      </c>
      <c r="CA363" s="1184">
        <f>'2022'!R\Max</f>
        <v>0.2492835512999016</v>
      </c>
      <c r="CB363" s="1184">
        <f>'2023'!R\Max</f>
        <v>0.24924805663176586</v>
      </c>
      <c r="CC363" s="1184">
        <f>'2024'!R\Max</f>
        <v>0.24920542593574227</v>
      </c>
      <c r="CD363" s="1184">
        <f>'2025'!R\Max</f>
        <v>0.24939264930027727</v>
      </c>
      <c r="CE363" s="1184">
        <f>'2026'!R\Max</f>
        <v>0.24937559309517449</v>
      </c>
      <c r="CF363" s="1185">
        <f>'2027'!R\Max</f>
        <v>0.24934829613460394</v>
      </c>
    </row>
    <row r="364" spans="1:84" s="6" customFormat="1" ht="11.25" x14ac:dyDescent="0.2">
      <c r="A364" s="11">
        <v>43450</v>
      </c>
      <c r="B364" s="380">
        <f>'2022'!Maxi_hp</f>
        <v>25.18523938599883</v>
      </c>
      <c r="C364" s="13">
        <f>'2022'!An_max</f>
        <v>2021</v>
      </c>
      <c r="D364" s="1062">
        <f t="shared" si="135"/>
        <v>1.0227225452563229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53">
        <f t="shared" si="138"/>
        <v>0.5714285714285714</v>
      </c>
      <c r="J364" s="746">
        <f t="shared" si="139"/>
        <v>24.625681229787212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55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53">
        <f t="shared" si="143"/>
        <v>0.7931034482758621</v>
      </c>
      <c r="AT364" s="769">
        <f t="shared" si="144"/>
        <v>24.82213927235069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53">
        <f t="shared" si="148"/>
        <v>0.7142857142857143</v>
      </c>
      <c r="AY364" s="769">
        <f t="shared" si="149"/>
        <v>24.794905320448532</v>
      </c>
      <c r="AZ364" s="746">
        <f t="shared" si="153"/>
        <v>24.808522296399609</v>
      </c>
      <c r="BA364" s="643">
        <f t="shared" si="150"/>
        <v>1.0227225452563229</v>
      </c>
      <c r="BC364" s="11">
        <v>43450</v>
      </c>
      <c r="BD364" s="290">
        <f>[2]!FeuilCaduc*(1-Persistant)+Persistant</f>
        <v>0.61462041703967107</v>
      </c>
      <c r="BE364" s="291">
        <f>[2]!CroissVégét</f>
        <v>0.9999072242967757</v>
      </c>
      <c r="BF364" s="816">
        <f>1+[2]!Salcycl*Ksac</f>
        <v>1.0018275521299589</v>
      </c>
      <c r="BH364" s="1053">
        <f t="shared" si="151"/>
        <v>2.3711948665977034E-3</v>
      </c>
      <c r="BI364" s="11">
        <v>44546</v>
      </c>
      <c r="BJ364" s="726">
        <v>5.2202360375405092E-4</v>
      </c>
      <c r="BK364" s="726">
        <v>9.4281639821054914E-4</v>
      </c>
      <c r="BL364" s="726">
        <v>1.5140187251635119E-3</v>
      </c>
      <c r="BM364" s="726">
        <v>2.3734385446492509E-3</v>
      </c>
      <c r="BN364" s="726">
        <v>3.5890867967417056E-3</v>
      </c>
      <c r="BO364" s="727">
        <v>5.581938727395268E-3</v>
      </c>
      <c r="BP364" s="726">
        <v>8.1180546603835738E-3</v>
      </c>
      <c r="BQ364" s="726">
        <v>1.1167086288203253E-2</v>
      </c>
      <c r="BR364" s="726">
        <v>1.4535683114500051E-2</v>
      </c>
      <c r="BS364" s="726">
        <v>1.8738821560731918E-2</v>
      </c>
      <c r="BT364" s="726">
        <v>2.363936254658652E-2</v>
      </c>
      <c r="BW364" s="1186">
        <f>'2018'!R\Max</f>
        <v>0.14640618947077239</v>
      </c>
      <c r="BX364" s="1184">
        <f>'2019'!R\Max</f>
        <v>0.60346092764237036</v>
      </c>
      <c r="BY364" s="1184">
        <f>'2020'!R\Max</f>
        <v>0.1020359316101097</v>
      </c>
      <c r="BZ364" s="1184">
        <f>'2021'!R\Max</f>
        <v>1.0227225452563229</v>
      </c>
      <c r="CA364" s="1184">
        <f>'2022'!R\Max</f>
        <v>0.21278484362537148</v>
      </c>
      <c r="CB364" s="1184">
        <f>'2023'!R\Max</f>
        <v>0.21275452362780101</v>
      </c>
      <c r="CC364" s="1184">
        <f>'2024'!R\Max</f>
        <v>0.21271810416658399</v>
      </c>
      <c r="CD364" s="1184">
        <f>'2025'!R\Max</f>
        <v>0.21287798971689489</v>
      </c>
      <c r="CE364" s="1184">
        <f>'2026'!R\Max</f>
        <v>0.21286345629136391</v>
      </c>
      <c r="CF364" s="1185">
        <f>'2027'!R\Max</f>
        <v>0.21284014491440825</v>
      </c>
    </row>
    <row r="365" spans="1:84" s="6" customFormat="1" ht="11.25" x14ac:dyDescent="0.2">
      <c r="A365" s="11">
        <v>43451</v>
      </c>
      <c r="B365" s="380">
        <f>'2022'!Maxi_hp</f>
        <v>25.601732712427946</v>
      </c>
      <c r="C365" s="13">
        <f>'2022'!An_max</f>
        <v>2021</v>
      </c>
      <c r="D365" s="1062">
        <f t="shared" si="135"/>
        <v>1.0408693647597316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53">
        <f t="shared" si="138"/>
        <v>0.5</v>
      </c>
      <c r="J365" s="746">
        <f t="shared" si="139"/>
        <v>24.596489799022674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55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53">
        <f t="shared" si="143"/>
        <v>0.75862068965517238</v>
      </c>
      <c r="AT365" s="769">
        <f t="shared" si="144"/>
        <v>24.825476024274167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53">
        <f t="shared" si="148"/>
        <v>0.75</v>
      </c>
      <c r="AY365" s="769">
        <f t="shared" si="149"/>
        <v>24.742772915400565</v>
      </c>
      <c r="AZ365" s="746">
        <f t="shared" si="153"/>
        <v>24.784124469837366</v>
      </c>
      <c r="BA365" s="643">
        <f t="shared" si="150"/>
        <v>1.0408693647597316</v>
      </c>
      <c r="BC365" s="11">
        <v>43451</v>
      </c>
      <c r="BD365" s="290">
        <f>[2]!FeuilCaduc*(1-Persistant)+Persistant</f>
        <v>0.61356293020072572</v>
      </c>
      <c r="BE365" s="291">
        <f>[2]!CroissVégét</f>
        <v>0.99992428802440059</v>
      </c>
      <c r="BF365" s="816">
        <f>1+[2]!Salcycl*Ksac</f>
        <v>1.0016953662750907</v>
      </c>
      <c r="BH365" s="1053">
        <f t="shared" si="151"/>
        <v>2.3653702990615462E-3</v>
      </c>
      <c r="BI365" s="11">
        <v>44547</v>
      </c>
      <c r="BJ365" s="726">
        <v>5.2368133737740988E-4</v>
      </c>
      <c r="BK365" s="726">
        <v>9.4107309562739495E-4</v>
      </c>
      <c r="BL365" s="726">
        <v>1.509864762941369E-3</v>
      </c>
      <c r="BM365" s="726">
        <v>2.3676096042656771E-3</v>
      </c>
      <c r="BN365" s="726">
        <v>3.5820009086733012E-3</v>
      </c>
      <c r="BO365" s="727">
        <v>5.5769543075737549E-3</v>
      </c>
      <c r="BP365" s="726">
        <v>8.1156138770414488E-3</v>
      </c>
      <c r="BQ365" s="726">
        <v>1.1167193009601444E-2</v>
      </c>
      <c r="BR365" s="726">
        <v>1.4541877898616043E-2</v>
      </c>
      <c r="BS365" s="726">
        <v>1.8751295013247175E-2</v>
      </c>
      <c r="BT365" s="726">
        <v>2.3656059194719636E-2</v>
      </c>
      <c r="BW365" s="1186">
        <f>'2018'!R\Max</f>
        <v>0.82764103708543535</v>
      </c>
      <c r="BX365" s="1184">
        <f>'2019'!R\Max</f>
        <v>0.48949821273611738</v>
      </c>
      <c r="BY365" s="1184">
        <f>'2020'!R\Max</f>
        <v>0.7201939016531046</v>
      </c>
      <c r="BZ365" s="1184">
        <f>'2021'!R\Max</f>
        <v>1.0408693647597316</v>
      </c>
      <c r="CA365" s="1184">
        <f>'2022'!R\Max</f>
        <v>0.15569563543232068</v>
      </c>
      <c r="CB365" s="1184">
        <f>'2023'!R\Max</f>
        <v>0.15567343980054238</v>
      </c>
      <c r="CC365" s="1184">
        <f>'2024'!R\Max</f>
        <v>0.15564678344471214</v>
      </c>
      <c r="CD365" s="1184">
        <f>'2025'!R\Max</f>
        <v>0.15576380179940344</v>
      </c>
      <c r="CE365" s="1184">
        <f>'2026'!R\Max</f>
        <v>0.15575318431348623</v>
      </c>
      <c r="CF365" s="1185">
        <f>'2027'!R\Max</f>
        <v>0.1557361195463684</v>
      </c>
    </row>
    <row r="366" spans="1:84" s="6" customFormat="1" ht="11.25" x14ac:dyDescent="0.2">
      <c r="A366" s="11">
        <v>43452</v>
      </c>
      <c r="B366" s="380">
        <f>'2022'!Maxi_hp</f>
        <v>25.724211482819697</v>
      </c>
      <c r="C366" s="13">
        <f>'2022'!An_max</f>
        <v>2021</v>
      </c>
      <c r="D366" s="1062">
        <f t="shared" si="135"/>
        <v>1.0465748032640063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53">
        <f t="shared" si="138"/>
        <v>0.42857142857142855</v>
      </c>
      <c r="J366" s="746">
        <f t="shared" si="139"/>
        <v>24.579429394432474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55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53">
        <f t="shared" si="143"/>
        <v>0.72413793103448276</v>
      </c>
      <c r="AT366" s="769">
        <f t="shared" si="144"/>
        <v>24.839560636929399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53">
        <f t="shared" si="148"/>
        <v>0.7857142857142857</v>
      </c>
      <c r="AY366" s="769">
        <f t="shared" si="149"/>
        <v>24.702775076617087</v>
      </c>
      <c r="AZ366" s="746">
        <f t="shared" si="153"/>
        <v>24.771167856773243</v>
      </c>
      <c r="BA366" s="643">
        <f t="shared" si="150"/>
        <v>1.0465748032640063</v>
      </c>
      <c r="BC366" s="11">
        <v>43452</v>
      </c>
      <c r="BD366" s="290">
        <f>[2]!FeuilCaduc*(1-Persistant)+Persistant</f>
        <v>0.61258433619096941</v>
      </c>
      <c r="BE366" s="291">
        <f>[2]!CroissVégét</f>
        <v>0.99994066526373915</v>
      </c>
      <c r="BF366" s="816">
        <f>1+[2]!Salcycl*Ksac</f>
        <v>1.0015730420238711</v>
      </c>
      <c r="BH366" s="1053">
        <f t="shared" si="151"/>
        <v>2.3603681803919308E-3</v>
      </c>
      <c r="BI366" s="11">
        <v>44548</v>
      </c>
      <c r="BJ366" s="726">
        <v>5.2529405963229795E-4</v>
      </c>
      <c r="BK366" s="726">
        <v>9.3927186511783814E-4</v>
      </c>
      <c r="BL366" s="726">
        <v>1.5059691729230043E-3</v>
      </c>
      <c r="BM366" s="726">
        <v>2.3626045892321426E-3</v>
      </c>
      <c r="BN366" s="726">
        <v>3.5764735217262093E-3</v>
      </c>
      <c r="BO366" s="727">
        <v>5.5738914670196245E-3</v>
      </c>
      <c r="BP366" s="726">
        <v>8.1150348582835381E-3</v>
      </c>
      <c r="BQ366" s="726">
        <v>1.1168418201888804E-2</v>
      </c>
      <c r="BR366" s="726">
        <v>1.4547495751728732E-2</v>
      </c>
      <c r="BS366" s="726">
        <v>1.8761555622872256E-2</v>
      </c>
      <c r="BT366" s="726">
        <v>2.3669735584658291E-2</v>
      </c>
      <c r="BW366" s="1186">
        <f>'2018'!R\Max</f>
        <v>0.53798085041123078</v>
      </c>
      <c r="BX366" s="1184">
        <f>'2019'!R\Max</f>
        <v>0.75888553720735008</v>
      </c>
      <c r="BY366" s="1184">
        <f>'2020'!R\Max</f>
        <v>0.39090695042596285</v>
      </c>
      <c r="BZ366" s="1184">
        <f>'2021'!R\Max</f>
        <v>1.0465748032640063</v>
      </c>
      <c r="CA366" s="1184">
        <f>'2022'!R\Max</f>
        <v>0.93608176278622568</v>
      </c>
      <c r="CB366" s="1184">
        <f>'2023'!R\Max</f>
        <v>0.93606957773955579</v>
      </c>
      <c r="CC366" s="1184">
        <f>'2024'!R\Max</f>
        <v>0.93605494525021871</v>
      </c>
      <c r="CD366" s="1184">
        <f>'2025'!R\Max</f>
        <v>0.93611916166993381</v>
      </c>
      <c r="CE366" s="1184">
        <f>'2026'!R\Max</f>
        <v>0.93611334606455909</v>
      </c>
      <c r="CF366" s="1185">
        <f>'2027'!R\Max</f>
        <v>0.93610398242315329</v>
      </c>
    </row>
    <row r="367" spans="1:84" s="6" customFormat="1" ht="11.25" x14ac:dyDescent="0.2">
      <c r="A367" s="11">
        <v>43453</v>
      </c>
      <c r="B367" s="380">
        <f>'2022'!Maxi_hp</f>
        <v>25.408167099175618</v>
      </c>
      <c r="C367" s="13">
        <f>'2022'!An_max</f>
        <v>2021</v>
      </c>
      <c r="D367" s="1062">
        <f t="shared" si="135"/>
        <v>1.0339131157568784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53">
        <f t="shared" si="138"/>
        <v>0.35714285714285715</v>
      </c>
      <c r="J367" s="746">
        <f t="shared" si="139"/>
        <v>24.574760404867785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55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53">
        <f t="shared" si="143"/>
        <v>0.68965517241379315</v>
      </c>
      <c r="AT367" s="769">
        <f t="shared" si="144"/>
        <v>24.864157825451475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53">
        <f t="shared" si="148"/>
        <v>0.8214285714285714</v>
      </c>
      <c r="AY367" s="769">
        <f t="shared" si="149"/>
        <v>24.675425849242934</v>
      </c>
      <c r="AZ367" s="746">
        <f t="shared" si="153"/>
        <v>24.769791837347206</v>
      </c>
      <c r="BA367" s="643">
        <f t="shared" si="150"/>
        <v>1.0339131157568784</v>
      </c>
      <c r="BC367" s="11">
        <v>43453</v>
      </c>
      <c r="BD367" s="290">
        <f>[2]!FeuilCaduc*(1-Persistant)+Persistant</f>
        <v>0.61167960854563364</v>
      </c>
      <c r="BE367" s="291">
        <f>[2]!CroissVégét</f>
        <v>0.99995638361167161</v>
      </c>
      <c r="BF367" s="816">
        <f>1+[2]!Salcycl*Ksac</f>
        <v>1.0014599510682043</v>
      </c>
      <c r="BH367" s="1053">
        <f t="shared" si="151"/>
        <v>2.3567501498768556E-3</v>
      </c>
      <c r="BI367" s="11">
        <v>44549</v>
      </c>
      <c r="BJ367" s="726">
        <v>5.265339312926356E-4</v>
      </c>
      <c r="BK367" s="726">
        <v>9.3797413190126763E-4</v>
      </c>
      <c r="BL367" s="726">
        <v>1.5031325370395807E-3</v>
      </c>
      <c r="BM367" s="726">
        <v>2.3589845133988418E-3</v>
      </c>
      <c r="BN367" s="726">
        <v>3.5725308086135398E-3</v>
      </c>
      <c r="BO367" s="727">
        <v>5.5719116761331856E-3</v>
      </c>
      <c r="BP367" s="726">
        <v>8.1150634730165292E-3</v>
      </c>
      <c r="BQ367" s="726">
        <v>1.1169974589007346E-2</v>
      </c>
      <c r="BR367" s="726">
        <v>1.4552540407480753E-2</v>
      </c>
      <c r="BS367" s="726">
        <v>1.8770323815068813E-2</v>
      </c>
      <c r="BT367" s="726">
        <v>2.3681346411392083E-2</v>
      </c>
      <c r="BW367" s="1186">
        <f>'2018'!R\Max</f>
        <v>0.95194357032253518</v>
      </c>
      <c r="BX367" s="1184">
        <f>'2019'!R\Max</f>
        <v>0.43636912728546695</v>
      </c>
      <c r="BY367" s="1184">
        <f>'2020'!R\Max</f>
        <v>0.41902065006203404</v>
      </c>
      <c r="BZ367" s="1184">
        <f>'2021'!R\Max</f>
        <v>1.0339131157568784</v>
      </c>
      <c r="CA367" s="1184">
        <f>'2022'!R\Max</f>
        <v>0.75763391048776429</v>
      </c>
      <c r="CB367" s="1184">
        <f>'2023'!R\Max</f>
        <v>0.75759653492630696</v>
      </c>
      <c r="CC367" s="1184">
        <f>'2024'!R\Max</f>
        <v>0.75755166867486701</v>
      </c>
      <c r="CD367" s="1184">
        <f>'2025'!R\Max</f>
        <v>0.75774863392499059</v>
      </c>
      <c r="CE367" s="1184">
        <f>'2026'!R\Max</f>
        <v>0.7577308100483473</v>
      </c>
      <c r="CF367" s="1185">
        <f>'2027'!R\Max</f>
        <v>0.75770207853582972</v>
      </c>
    </row>
    <row r="368" spans="1:84" s="6" customFormat="1" ht="11.25" x14ac:dyDescent="0.2">
      <c r="A368" s="11">
        <v>43454</v>
      </c>
      <c r="B368" s="380">
        <f>'2022'!Maxi_hp</f>
        <v>22.549218247197125</v>
      </c>
      <c r="C368" s="13">
        <f>'2022'!An_max</f>
        <v>2021</v>
      </c>
      <c r="D368" s="1062" t="str">
        <f t="shared" si="135"/>
        <v/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53">
        <f t="shared" si="138"/>
        <v>0.2857142857142857</v>
      </c>
      <c r="J368" s="746">
        <f t="shared" si="139"/>
        <v>24.582743204917229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55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53">
        <f t="shared" si="143"/>
        <v>0.65517241379310343</v>
      </c>
      <c r="AT368" s="769">
        <f t="shared" si="144"/>
        <v>24.899032303793678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53">
        <f t="shared" si="148"/>
        <v>0.8571428571428571</v>
      </c>
      <c r="AY368" s="769">
        <f t="shared" si="149"/>
        <v>24.661239261499475</v>
      </c>
      <c r="AZ368" s="746">
        <f t="shared" si="153"/>
        <v>24.780135782646575</v>
      </c>
      <c r="BA368" s="643">
        <f t="shared" si="150"/>
        <v>0.91727835495131627</v>
      </c>
      <c r="BC368" s="11">
        <v>43454</v>
      </c>
      <c r="BD368" s="290">
        <f>[2]!FeuilCaduc*(1-Persistant)+Persistant</f>
        <v>0.61084378837758946</v>
      </c>
      <c r="BE368" s="291">
        <f>[2]!CroissVégét</f>
        <v>0.99997146955734828</v>
      </c>
      <c r="BF368" s="816">
        <f>1+[2]!Salcycl*Ksac</f>
        <v>1.0013554735471988</v>
      </c>
      <c r="BH368" s="1053">
        <f t="shared" si="151"/>
        <v>2.3545214623916515E-3</v>
      </c>
      <c r="BI368" s="11">
        <v>44550</v>
      </c>
      <c r="BJ368" s="726">
        <v>5.2740194223337155E-4</v>
      </c>
      <c r="BK368" s="726">
        <v>9.3718197460362224E-4</v>
      </c>
      <c r="BL368" s="726">
        <v>1.5013582544100583E-3</v>
      </c>
      <c r="BM368" s="726">
        <v>2.3567546364985899E-3</v>
      </c>
      <c r="BN368" s="726">
        <v>3.5701805964392891E-3</v>
      </c>
      <c r="BO368" s="727">
        <v>5.5710267676281813E-3</v>
      </c>
      <c r="BP368" s="726">
        <v>8.1157166928756339E-3</v>
      </c>
      <c r="BQ368" s="726">
        <v>1.1171885395167939E-2</v>
      </c>
      <c r="BR368" s="726">
        <v>1.4557041851751369E-2</v>
      </c>
      <c r="BS368" s="726">
        <v>1.8777638063249995E-2</v>
      </c>
      <c r="BT368" s="726">
        <v>2.3690940165108518E-2</v>
      </c>
      <c r="BW368" s="1186">
        <f>'2018'!R\Max</f>
        <v>0.56720833457158193</v>
      </c>
      <c r="BX368" s="1184">
        <f>'2019'!R\Max</f>
        <v>0.35146252419732715</v>
      </c>
      <c r="BY368" s="1184">
        <f>'2020'!R\Max</f>
        <v>0.36029421338886475</v>
      </c>
      <c r="BZ368" s="1184">
        <f>'2021'!R\Max</f>
        <v>0.91727835495131627</v>
      </c>
      <c r="CA368" s="1184">
        <f>'2022'!R\Max</f>
        <v>0.19905331876202015</v>
      </c>
      <c r="CB368" s="1184">
        <f>'2023'!R\Max</f>
        <v>0.19902498499756535</v>
      </c>
      <c r="CC368" s="1184">
        <f>'2024'!R\Max</f>
        <v>0.19899098609273508</v>
      </c>
      <c r="CD368" s="1184">
        <f>'2025'!R\Max</f>
        <v>0.19914031748413685</v>
      </c>
      <c r="CE368" s="1184">
        <f>'2026'!R\Max</f>
        <v>0.1991268066335648</v>
      </c>
      <c r="CF368" s="1185">
        <f>'2027'!R\Max</f>
        <v>0.19910501247583171</v>
      </c>
    </row>
    <row r="369" spans="1:84" s="6" customFormat="1" ht="11.25" x14ac:dyDescent="0.2">
      <c r="A369" s="11">
        <v>43455</v>
      </c>
      <c r="B369" s="380">
        <f>'2022'!Maxi_hp</f>
        <v>22.080170505451491</v>
      </c>
      <c r="C369" s="13">
        <f>'2022'!An_max</f>
        <v>2022</v>
      </c>
      <c r="D369" s="1062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53">
        <f t="shared" si="138"/>
        <v>0.21428571428571427</v>
      </c>
      <c r="J369" s="746">
        <f t="shared" si="139"/>
        <v>24.603638181622539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55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53">
        <f t="shared" si="143"/>
        <v>0.62068965517241381</v>
      </c>
      <c r="AT369" s="769">
        <f t="shared" si="144"/>
        <v>24.943948782569375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53">
        <f t="shared" si="148"/>
        <v>0.8928571428571429</v>
      </c>
      <c r="AY369" s="769">
        <f t="shared" si="149"/>
        <v>24.660729344215774</v>
      </c>
      <c r="AZ369" s="746">
        <f t="shared" si="153"/>
        <v>24.802339063392573</v>
      </c>
      <c r="BA369" s="643">
        <f t="shared" si="150"/>
        <v>0.89743518184006099</v>
      </c>
      <c r="BC369" s="11">
        <v>43455</v>
      </c>
      <c r="BD369" s="290">
        <f>[2]!FeuilCaduc*(1-Persistant)+Persistant</f>
        <v>0.61007201132608702</v>
      </c>
      <c r="BE369" s="291">
        <f>[2]!CroissVégét</f>
        <v>0.99998594852652212</v>
      </c>
      <c r="BF369" s="816">
        <f>1+[2]!Salcycl*Ksac</f>
        <v>1.001259001415761</v>
      </c>
      <c r="BH369" s="1053">
        <f t="shared" si="151"/>
        <v>2.3536875442928106E-3</v>
      </c>
      <c r="BI369" s="11">
        <v>44551</v>
      </c>
      <c r="BJ369" s="726">
        <v>5.2789903274427883E-4</v>
      </c>
      <c r="BK369" s="726">
        <v>9.3689753399601365E-4</v>
      </c>
      <c r="BL369" s="726">
        <v>1.5006498562280927E-3</v>
      </c>
      <c r="BM369" s="726">
        <v>2.3559203898485112E-3</v>
      </c>
      <c r="BN369" s="726">
        <v>3.5694309060875905E-3</v>
      </c>
      <c r="BO369" s="727">
        <v>5.5712486975184623E-3</v>
      </c>
      <c r="BP369" s="726">
        <v>8.1170115441058024E-3</v>
      </c>
      <c r="BQ369" s="726">
        <v>1.1174173854648105E-2</v>
      </c>
      <c r="BR369" s="726">
        <v>1.4561029954064766E-2</v>
      </c>
      <c r="BS369" s="726">
        <v>1.8783536593702702E-2</v>
      </c>
      <c r="BT369" s="726">
        <v>2.3698565000670916E-2</v>
      </c>
      <c r="BW369" s="1186">
        <f>'2018'!R\Max</f>
        <v>0.35335102395049328</v>
      </c>
      <c r="BX369" s="1184">
        <f>'2019'!R\Max</f>
        <v>0.83373367026199396</v>
      </c>
      <c r="BY369" s="1184">
        <f>'2020'!R\Max</f>
        <v>0.30646031804375329</v>
      </c>
      <c r="BZ369" s="1184">
        <f>'2021'!R\Max</f>
        <v>0.72487217494121725</v>
      </c>
      <c r="CA369" s="1184">
        <f>'2022'!R\Max</f>
        <v>0.89743518184006099</v>
      </c>
      <c r="CB369" s="1184">
        <f>'2023'!R\Max</f>
        <v>0.89741649815528524</v>
      </c>
      <c r="CC369" s="1184">
        <f>'2024'!R\Max</f>
        <v>0.89739407491329137</v>
      </c>
      <c r="CD369" s="1184">
        <f>'2025'!R\Max</f>
        <v>0.89749252042965044</v>
      </c>
      <c r="CE369" s="1184">
        <f>'2026'!R\Max</f>
        <v>0.89748362151268857</v>
      </c>
      <c r="CF369" s="1185">
        <f>'2027'!R\Max</f>
        <v>0.89746925877950989</v>
      </c>
    </row>
    <row r="370" spans="1:84" s="6" customFormat="1" ht="11.25" x14ac:dyDescent="0.2">
      <c r="A370" s="11">
        <v>43456</v>
      </c>
      <c r="B370" s="380">
        <f>'2022'!Maxi_hp</f>
        <v>25.041754314682116</v>
      </c>
      <c r="C370" s="13">
        <f>'2022'!An_max</f>
        <v>2021</v>
      </c>
      <c r="D370" s="1062">
        <f t="shared" si="135"/>
        <v>1.0163996030432845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53">
        <f t="shared" si="138"/>
        <v>0.14285714285714285</v>
      </c>
      <c r="J370" s="746">
        <f t="shared" si="139"/>
        <v>24.637705720961094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55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53">
        <f t="shared" si="143"/>
        <v>0.58620689655172409</v>
      </c>
      <c r="AT370" s="769">
        <f t="shared" si="144"/>
        <v>24.998671974550035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53">
        <f t="shared" si="148"/>
        <v>0.9285714285714286</v>
      </c>
      <c r="AY370" s="769">
        <f t="shared" si="149"/>
        <v>24.674410141525524</v>
      </c>
      <c r="AZ370" s="746">
        <f t="shared" si="153"/>
        <v>24.836541058037781</v>
      </c>
      <c r="BA370" s="643">
        <f t="shared" si="150"/>
        <v>1.0163996030432845</v>
      </c>
      <c r="BC370" s="11">
        <v>43456</v>
      </c>
      <c r="BD370" s="290">
        <f>[2]!FeuilCaduc*(1-Persistant)+Persistant</f>
        <v>0.60935953277953325</v>
      </c>
      <c r="BE370" s="291">
        <f>[2]!CroissVégét</f>
        <v>0.99999984492411664</v>
      </c>
      <c r="BF370" s="816">
        <f>1+[2]!Salcycl*Ksac</f>
        <v>1.0011699415974418</v>
      </c>
      <c r="BH370" s="1053">
        <f t="shared" si="151"/>
        <v>2.3542540209650362E-3</v>
      </c>
      <c r="BI370" s="11">
        <v>44552</v>
      </c>
      <c r="BJ370" s="728">
        <v>5.2802608549946104E-4</v>
      </c>
      <c r="BK370" s="728">
        <v>9.3712302297332614E-4</v>
      </c>
      <c r="BL370" s="728">
        <v>1.5010110269955532E-3</v>
      </c>
      <c r="BM370" s="728">
        <v>2.3564874039136135E-3</v>
      </c>
      <c r="BN370" s="728">
        <v>3.5702899833029689E-3</v>
      </c>
      <c r="BO370" s="729">
        <v>5.5725895647163919E-3</v>
      </c>
      <c r="BP370" s="728">
        <v>8.1189651159378328E-3</v>
      </c>
      <c r="BQ370" s="728">
        <v>1.1176863212815212E-2</v>
      </c>
      <c r="BR370" s="728">
        <v>1.4564534448028956E-2</v>
      </c>
      <c r="BS370" s="728">
        <v>1.8788057344695346E-2</v>
      </c>
      <c r="BT370" s="728">
        <v>2.370426868222825E-2</v>
      </c>
      <c r="BW370" s="1186">
        <f>'2018'!R\Max</f>
        <v>0.25461315622268699</v>
      </c>
      <c r="BX370" s="1184">
        <f>'2019'!R\Max</f>
        <v>0.31367930761301699</v>
      </c>
      <c r="BY370" s="1184">
        <f>'2020'!R\Max</f>
        <v>0.33866729028065956</v>
      </c>
      <c r="BZ370" s="1184">
        <f>'2021'!R\Max</f>
        <v>1.0163996030432845</v>
      </c>
      <c r="CA370" s="1184">
        <f>'2022'!R\Max</f>
        <v>0.74061964025173876</v>
      </c>
      <c r="CB370" s="1184">
        <f>'2023'!R\Max</f>
        <v>0.74058073795632351</v>
      </c>
      <c r="CC370" s="1184">
        <f>'2024'!R\Max</f>
        <v>0.74053405251172078</v>
      </c>
      <c r="CD370" s="1184">
        <f>'2025'!R\Max</f>
        <v>0.74073904383121558</v>
      </c>
      <c r="CE370" s="1184">
        <f>'2026'!R\Max</f>
        <v>0.74072051096715008</v>
      </c>
      <c r="CF370" s="1185">
        <f>'2027'!R\Max</f>
        <v>0.74069060019780919</v>
      </c>
    </row>
    <row r="371" spans="1:84" s="6" customFormat="1" ht="11.25" x14ac:dyDescent="0.2">
      <c r="A371" s="11">
        <v>43457</v>
      </c>
      <c r="B371" s="380">
        <f>'2022'!Maxi_hp</f>
        <v>19.829576058520093</v>
      </c>
      <c r="C371" s="13">
        <f>'2022'!An_max</f>
        <v>2020</v>
      </c>
      <c r="D371" s="1062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53">
        <f t="shared" si="138"/>
        <v>7.1428571428571425E-2</v>
      </c>
      <c r="J371" s="746">
        <f t="shared" si="139"/>
        <v>24.68520619709577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55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53">
        <f t="shared" si="143"/>
        <v>0.55172413793103448</v>
      </c>
      <c r="AT371" s="769">
        <f t="shared" si="144"/>
        <v>25.062966593329246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53">
        <f t="shared" si="148"/>
        <v>0.9642857142857143</v>
      </c>
      <c r="AY371" s="769">
        <f t="shared" si="149"/>
        <v>24.702795680931636</v>
      </c>
      <c r="AZ371" s="746">
        <f t="shared" si="153"/>
        <v>24.88288113713044</v>
      </c>
      <c r="BA371" s="643">
        <f t="shared" si="150"/>
        <v>0.80329797127046298</v>
      </c>
      <c r="BC371" s="11">
        <v>43457</v>
      </c>
      <c r="BD371" s="290">
        <f>[2]!FeuilCaduc*(1-Persistant)+Persistant</f>
        <v>0.60870175121632608</v>
      </c>
      <c r="BE371" s="291">
        <f>[2]!CroissVégét</f>
        <v>0.99999984492411664</v>
      </c>
      <c r="BF371" s="816">
        <f>1+[2]!Salcycl*Ksac</f>
        <v>1.0010877189020408</v>
      </c>
      <c r="BH371" s="1053">
        <f t="shared" si="151"/>
        <v>2.356228372776558E-3</v>
      </c>
      <c r="BI371" s="11">
        <v>44553</v>
      </c>
      <c r="BJ371" s="726">
        <v>5.2778428228276032E-4</v>
      </c>
      <c r="BK371" s="726">
        <v>9.3786138469630922E-4</v>
      </c>
      <c r="BL371" s="726">
        <v>1.5024466641089505E-3</v>
      </c>
      <c r="BM371" s="726">
        <v>2.3584631658231134E-3</v>
      </c>
      <c r="BN371" s="726">
        <v>3.5727687989396228E-3</v>
      </c>
      <c r="BO371" s="727">
        <v>5.57506548360344E-3</v>
      </c>
      <c r="BP371" s="726">
        <v>8.1216001818670471E-3</v>
      </c>
      <c r="BQ371" s="726">
        <v>1.1179984453725943E-2</v>
      </c>
      <c r="BR371" s="726">
        <v>1.456759497955553E-2</v>
      </c>
      <c r="BS371" s="726">
        <v>1.8791250912368645E-2</v>
      </c>
      <c r="BT371" s="726">
        <v>2.3708114912691799E-2</v>
      </c>
      <c r="BW371" s="1186">
        <f>'2018'!R\Max</f>
        <v>0.20659865471362232</v>
      </c>
      <c r="BX371" s="1184">
        <f>'2019'!R\Max</f>
        <v>0.29123292479426766</v>
      </c>
      <c r="BY371" s="1184">
        <f>'2020'!R\Max</f>
        <v>0.80329797127046298</v>
      </c>
      <c r="BZ371" s="1184">
        <f>'2021'!R\Max</f>
        <v>0.23795577158187273</v>
      </c>
      <c r="CA371" s="1184">
        <f>'2022'!R\Max</f>
        <v>0.76344107259503879</v>
      </c>
      <c r="CB371" s="1184">
        <f>'2023'!R\Max</f>
        <v>0.76340460720216052</v>
      </c>
      <c r="CC371" s="1184">
        <f>'2024'!R\Max</f>
        <v>0.76336084158635498</v>
      </c>
      <c r="CD371" s="1184">
        <f>'2025'!R\Max</f>
        <v>0.7635529973486449</v>
      </c>
      <c r="CE371" s="1184">
        <f>'2026'!R\Max</f>
        <v>0.76353561980256035</v>
      </c>
      <c r="CF371" s="1185">
        <f>'2027'!R\Max</f>
        <v>0.76350758474554303</v>
      </c>
    </row>
    <row r="372" spans="1:84" s="6" customFormat="1" ht="11.25" x14ac:dyDescent="0.2">
      <c r="A372" s="11">
        <v>43458</v>
      </c>
      <c r="B372" s="380">
        <f>'2022'!Maxi_hp</f>
        <v>22.652171690590645</v>
      </c>
      <c r="C372" s="13">
        <f>'2022'!An_max</f>
        <v>2022</v>
      </c>
      <c r="D372" s="1062" t="str">
        <f t="shared" si="135"/>
        <v/>
      </c>
      <c r="E372" s="1057">
        <f>AM$13/10</f>
        <v>24.746400000000001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53">
        <f t="shared" si="138"/>
        <v>0</v>
      </c>
      <c r="J372" s="746">
        <f t="shared" si="139"/>
        <v>24.746399998664856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55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53">
        <f t="shared" si="143"/>
        <v>0.51724137931034486</v>
      </c>
      <c r="AT372" s="769">
        <f t="shared" si="144"/>
        <v>25.136597353065838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53">
        <f t="shared" si="148"/>
        <v>1</v>
      </c>
      <c r="AY372" s="769">
        <f t="shared" si="149"/>
        <v>24.746399998664856</v>
      </c>
      <c r="AZ372" s="746">
        <f t="shared" si="153"/>
        <v>24.941498675865347</v>
      </c>
      <c r="BA372" s="643">
        <f t="shared" si="150"/>
        <v>0.91537240535240683</v>
      </c>
      <c r="BC372" s="11">
        <v>43458</v>
      </c>
      <c r="BD372" s="290">
        <f>[2]!FeuilCaduc*(1-Persistant)+Persistant</f>
        <v>0.60809422952685477</v>
      </c>
      <c r="BE372" s="291">
        <f>[2]!CroissVégét</f>
        <v>0.99999984492411664</v>
      </c>
      <c r="BF372" s="816">
        <f>1+[2]!Salcycl*Ksac</f>
        <v>1.0010117786908568</v>
      </c>
      <c r="BH372" s="1053">
        <f t="shared" si="151"/>
        <v>2.3596114551156502E-3</v>
      </c>
      <c r="BI372" s="11">
        <v>44554</v>
      </c>
      <c r="BJ372" s="726">
        <v>5.2717319052683555E-4</v>
      </c>
      <c r="BK372" s="726">
        <v>9.391129162979097E-4</v>
      </c>
      <c r="BL372" s="726">
        <v>1.5049574742324607E-3</v>
      </c>
      <c r="BM372" s="726">
        <v>2.3618485313545746E-3</v>
      </c>
      <c r="BN372" s="726">
        <v>3.5768681801923549E-3</v>
      </c>
      <c r="BO372" s="727">
        <v>5.5786764747139178E-3</v>
      </c>
      <c r="BP372" s="726">
        <v>8.1249158850890228E-3</v>
      </c>
      <c r="BQ372" s="726">
        <v>1.1183535936106612E-2</v>
      </c>
      <c r="BR372" s="726">
        <v>1.4570208491688949E-2</v>
      </c>
      <c r="BS372" s="726">
        <v>1.8793112665159161E-2</v>
      </c>
      <c r="BT372" s="726">
        <v>2.3710097681675094E-2</v>
      </c>
      <c r="BW372" s="1186">
        <f>'2018'!R\Max</f>
        <v>0.21616405905965802</v>
      </c>
      <c r="BX372" s="1184">
        <f>'2019'!R\Max</f>
        <v>0.61831369753360521</v>
      </c>
      <c r="BY372" s="1184">
        <f>'2020'!R\Max</f>
        <v>0.40251979244669406</v>
      </c>
      <c r="BZ372" s="1184">
        <f>'2021'!R\Max</f>
        <v>0.56253178634340339</v>
      </c>
      <c r="CA372" s="1184">
        <f>'2022'!R\Max</f>
        <v>0.91537240535240683</v>
      </c>
      <c r="CB372" s="1184">
        <f>'2023'!R\Max</f>
        <v>0.91535681954701187</v>
      </c>
      <c r="CC372" s="1184">
        <f>'2024'!R\Max</f>
        <v>0.91533810868597032</v>
      </c>
      <c r="CD372" s="1184">
        <f>'2025'!R\Max</f>
        <v>0.91542024001396005</v>
      </c>
      <c r="CE372" s="1184">
        <f>'2026'!R\Max</f>
        <v>0.9154128088817115</v>
      </c>
      <c r="CF372" s="1185">
        <f>'2027'!R\Max</f>
        <v>0.91540082947033163</v>
      </c>
    </row>
    <row r="373" spans="1:84" s="6" customFormat="1" ht="11.25" x14ac:dyDescent="0.2">
      <c r="A373" s="11">
        <v>43459</v>
      </c>
      <c r="B373" s="380">
        <f>'2022'!Maxi_hp</f>
        <v>16.332134440633631</v>
      </c>
      <c r="C373" s="13">
        <f>'2022'!An_max</f>
        <v>2018</v>
      </c>
      <c r="D373" s="1062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53">
        <f t="shared" si="138"/>
        <v>6.6666666666666666E-2</v>
      </c>
      <c r="J373" s="746">
        <f t="shared" si="139"/>
        <v>24.823756014655032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55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53">
        <f t="shared" si="143"/>
        <v>0.48275862068965519</v>
      </c>
      <c r="AT373" s="769">
        <f t="shared" si="144"/>
        <v>25.219328962420594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53">
        <f t="shared" si="148"/>
        <v>0.96551724137931039</v>
      </c>
      <c r="AY373" s="769">
        <f t="shared" si="149"/>
        <v>24.806325413029771</v>
      </c>
      <c r="AZ373" s="746">
        <f t="shared" si="153"/>
        <v>25.012827187725183</v>
      </c>
      <c r="BA373" s="643">
        <f t="shared" si="150"/>
        <v>0.657923580581107</v>
      </c>
      <c r="BC373" s="11">
        <v>43459</v>
      </c>
      <c r="BD373" s="290">
        <f>[2]!FeuilCaduc*(1-Persistant)+Persistant</f>
        <v>0.60753271419984134</v>
      </c>
      <c r="BE373" s="291">
        <f>[2]!CroissVégét</f>
        <v>0.99999984492411664</v>
      </c>
      <c r="BF373" s="816">
        <f>1+[2]!Salcycl*Ksac</f>
        <v>1.0009415892749802</v>
      </c>
      <c r="BH373" s="1053">
        <f t="shared" si="151"/>
        <v>2.3643986816546986E-3</v>
      </c>
      <c r="BI373" s="11">
        <v>44555</v>
      </c>
      <c r="BJ373" s="726">
        <v>5.2619103764965159E-4</v>
      </c>
      <c r="BK373" s="726">
        <v>9.4087574050892694E-4</v>
      </c>
      <c r="BL373" s="726">
        <v>1.5085407254051884E-3</v>
      </c>
      <c r="BM373" s="726">
        <v>2.3666389093265358E-3</v>
      </c>
      <c r="BN373" s="726">
        <v>3.5825806117833112E-3</v>
      </c>
      <c r="BO373" s="727">
        <v>5.5834092942734304E-3</v>
      </c>
      <c r="BP373" s="726">
        <v>8.1288918736913129E-3</v>
      </c>
      <c r="BQ373" s="726">
        <v>1.1187489092625159E-2</v>
      </c>
      <c r="BR373" s="726">
        <v>1.4572336664466215E-2</v>
      </c>
      <c r="BS373" s="726">
        <v>1.8793592350980035E-2</v>
      </c>
      <c r="BT373" s="726">
        <v>2.3710153388946557E-2</v>
      </c>
      <c r="BW373" s="1186">
        <f>'2018'!R\Max</f>
        <v>0.657923580581107</v>
      </c>
      <c r="BX373" s="1184">
        <f>'2019'!R\Max</f>
        <v>0.55148316736885417</v>
      </c>
      <c r="BY373" s="1184">
        <f>'2020'!R\Max</f>
        <v>0.44115668831959931</v>
      </c>
      <c r="BZ373" s="1184">
        <f>'2021'!R\Max</f>
        <v>0.42137804118852512</v>
      </c>
      <c r="CA373" s="1184">
        <f>'2022'!R\Max</f>
        <v>0.54284351702591038</v>
      </c>
      <c r="CB373" s="1184">
        <f>'2023'!R\Max</f>
        <v>0.54279380745231809</v>
      </c>
      <c r="CC373" s="1184">
        <f>'2024'!R\Max</f>
        <v>0.54273412343316418</v>
      </c>
      <c r="CD373" s="1184">
        <f>'2025'!R\Max</f>
        <v>0.54299613961638971</v>
      </c>
      <c r="CE373" s="1184">
        <f>'2026'!R\Max</f>
        <v>0.54297240174312067</v>
      </c>
      <c r="CF373" s="1185">
        <f>'2027'!R\Max</f>
        <v>0.54293418460303089</v>
      </c>
    </row>
    <row r="374" spans="1:84" s="6" customFormat="1" ht="11.25" x14ac:dyDescent="0.2">
      <c r="A374" s="11">
        <v>43460</v>
      </c>
      <c r="B374" s="380">
        <f>'2022'!Maxi_hp</f>
        <v>24.2954595694269</v>
      </c>
      <c r="C374" s="13">
        <f>'2022'!An_max</f>
        <v>2018</v>
      </c>
      <c r="D374" s="1062">
        <f t="shared" si="135"/>
        <v>0.97498699084385443</v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53">
        <f t="shared" si="138"/>
        <v>0.13333333333333333</v>
      </c>
      <c r="J374" s="746">
        <f t="shared" si="139"/>
        <v>24.918752555251121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55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53">
        <f t="shared" si="143"/>
        <v>0.44827586206896552</v>
      </c>
      <c r="AT374" s="769">
        <f t="shared" si="144"/>
        <v>25.310926136991075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53">
        <f t="shared" si="148"/>
        <v>0.93103448275862066</v>
      </c>
      <c r="AY374" s="769">
        <f t="shared" si="149"/>
        <v>24.882892580535906</v>
      </c>
      <c r="AZ374" s="746">
        <f t="shared" si="153"/>
        <v>25.09690935876349</v>
      </c>
      <c r="BA374" s="643">
        <f t="shared" si="150"/>
        <v>0.97498699084385443</v>
      </c>
      <c r="BC374" s="11">
        <v>43460</v>
      </c>
      <c r="BD374" s="290">
        <f>[2]!FeuilCaduc*(1-Persistant)+Persistant</f>
        <v>0.60701315227700314</v>
      </c>
      <c r="BE374" s="291">
        <f>[2]!CroissVégét</f>
        <v>0.99999984492411664</v>
      </c>
      <c r="BF374" s="816">
        <f>1+[2]!Salcycl*Ksac</f>
        <v>1.0008766440346255</v>
      </c>
      <c r="BH374" s="1053">
        <f t="shared" si="151"/>
        <v>2.3705856645645567E-3</v>
      </c>
      <c r="BI374" s="11">
        <v>44556</v>
      </c>
      <c r="BJ374" s="726">
        <v>5.2483599361986464E-4</v>
      </c>
      <c r="BK374" s="726">
        <v>9.4314805199287115E-4</v>
      </c>
      <c r="BL374" s="726">
        <v>1.5131938385630503E-3</v>
      </c>
      <c r="BM374" s="726">
        <v>2.3728299071753664E-3</v>
      </c>
      <c r="BN374" s="726">
        <v>3.5898988027063239E-3</v>
      </c>
      <c r="BO374" s="727">
        <v>5.5892508410675286E-3</v>
      </c>
      <c r="BP374" s="726">
        <v>8.1335078586589893E-3</v>
      </c>
      <c r="BQ374" s="726">
        <v>1.1191815367128658E-2</v>
      </c>
      <c r="BR374" s="726">
        <v>1.4573941042543883E-2</v>
      </c>
      <c r="BS374" s="726">
        <v>1.879263943073127E-2</v>
      </c>
      <c r="BT374" s="726">
        <v>2.3708218044904861E-2</v>
      </c>
      <c r="BW374" s="1186">
        <f>'2018'!R\Max</f>
        <v>0.97498699084385443</v>
      </c>
      <c r="BX374" s="1184">
        <f>'2019'!R\Max</f>
        <v>0.44628740456888288</v>
      </c>
      <c r="BY374" s="1184">
        <f>'2020'!R\Max</f>
        <v>0.17803721313735385</v>
      </c>
      <c r="BZ374" s="1184">
        <f>'2021'!R\Max</f>
        <v>0.47695452711923936</v>
      </c>
      <c r="CA374" s="1184">
        <f>'2022'!R\Max</f>
        <v>0.92183162912496719</v>
      </c>
      <c r="CB374" s="1184">
        <f>'2023'!R\Max</f>
        <v>0.92181726842066036</v>
      </c>
      <c r="CC374" s="1184">
        <f>'2024'!R\Max</f>
        <v>0.92180001667627809</v>
      </c>
      <c r="CD374" s="1184">
        <f>'2025'!R\Max</f>
        <v>0.92187571148518532</v>
      </c>
      <c r="CE374" s="1184">
        <f>'2026'!R\Max</f>
        <v>0.92186884758012111</v>
      </c>
      <c r="CF374" s="1185">
        <f>'2027'!R\Max</f>
        <v>0.92185781365134012</v>
      </c>
    </row>
    <row r="375" spans="1:84" s="6" customFormat="1" ht="11.25" x14ac:dyDescent="0.2">
      <c r="A375" s="11">
        <v>43461</v>
      </c>
      <c r="B375" s="380">
        <f>'2022'!Maxi_hp</f>
        <v>24.678488393426758</v>
      </c>
      <c r="C375" s="13">
        <f>'2022'!An_max</f>
        <v>2018</v>
      </c>
      <c r="D375" s="1062">
        <f t="shared" si="135"/>
        <v>0.98594992262927295</v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53">
        <f t="shared" si="138"/>
        <v>0.2</v>
      </c>
      <c r="J375" s="746">
        <f t="shared" si="139"/>
        <v>25.030164136141543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55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53">
        <f t="shared" si="143"/>
        <v>0.41379310344827586</v>
      </c>
      <c r="AT375" s="769">
        <f t="shared" si="144"/>
        <v>25.411153588880758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53">
        <f t="shared" si="148"/>
        <v>0.89655172413793105</v>
      </c>
      <c r="AY375" s="769">
        <f t="shared" si="149"/>
        <v>24.975443050676382</v>
      </c>
      <c r="AZ375" s="746">
        <f t="shared" si="153"/>
        <v>25.19329831977857</v>
      </c>
      <c r="BA375" s="643">
        <f t="shared" si="150"/>
        <v>0.98594992262927295</v>
      </c>
      <c r="BC375" s="11">
        <v>43461</v>
      </c>
      <c r="BD375" s="290">
        <f>[2]!FeuilCaduc*(1-Persistant)+Persistant</f>
        <v>0.60653170600139006</v>
      </c>
      <c r="BE375" s="291">
        <f>[2]!CroissVégét</f>
        <v>0.99999984492411664</v>
      </c>
      <c r="BF375" s="816">
        <f>1+[2]!Salcycl*Ksac</f>
        <v>1.0008164632501737</v>
      </c>
      <c r="BH375" s="1053">
        <f t="shared" si="151"/>
        <v>2.3776101465868742E-3</v>
      </c>
      <c r="BI375" s="11">
        <v>44557</v>
      </c>
      <c r="BJ375" s="726">
        <v>5.2343594131694512E-4</v>
      </c>
      <c r="BK375" s="726">
        <v>9.4536719285762919E-4</v>
      </c>
      <c r="BL375" s="726">
        <v>1.5181149106637387E-3</v>
      </c>
      <c r="BM375" s="726">
        <v>2.3798598949210078E-3</v>
      </c>
      <c r="BN375" s="726">
        <v>3.5987970896538901E-3</v>
      </c>
      <c r="BO375" s="727">
        <v>5.5970406915244368E-3</v>
      </c>
      <c r="BP375" s="726">
        <v>8.1400180993009639E-3</v>
      </c>
      <c r="BQ375" s="726">
        <v>1.1197298897977008E-2</v>
      </c>
      <c r="BR375" s="726">
        <v>1.4575009480429295E-2</v>
      </c>
      <c r="BS375" s="726">
        <v>1.8789519539490485E-2</v>
      </c>
      <c r="BT375" s="726">
        <v>2.3703318964356374E-2</v>
      </c>
      <c r="BW375" s="1186">
        <f>'2018'!R\Max</f>
        <v>0.98594992262927295</v>
      </c>
      <c r="BX375" s="1184">
        <f>'2019'!R\Max</f>
        <v>0.87786076968465243</v>
      </c>
      <c r="BY375" s="1184">
        <f>'2020'!R\Max</f>
        <v>0.6623368541467175</v>
      </c>
      <c r="BZ375" s="1184">
        <f>'2021'!R\Max</f>
        <v>0.4417057187576412</v>
      </c>
      <c r="CA375" s="1184">
        <f>'2022'!R\Max</f>
        <v>0.3306242535944055</v>
      </c>
      <c r="CB375" s="1184">
        <f>'2023'!R\Max</f>
        <v>0.33058040603105365</v>
      </c>
      <c r="CC375" s="1184">
        <f>'2024'!R\Max</f>
        <v>0.33052773614006986</v>
      </c>
      <c r="CD375" s="1184">
        <f>'2025'!R\Max</f>
        <v>0.33075895650320331</v>
      </c>
      <c r="CE375" s="1184">
        <f>'2026'!R\Max</f>
        <v>0.33073793970059834</v>
      </c>
      <c r="CF375" s="1185">
        <f>'2027'!R\Max</f>
        <v>0.33070422759175594</v>
      </c>
    </row>
    <row r="376" spans="1:84" s="6" customFormat="1" ht="11.25" x14ac:dyDescent="0.2">
      <c r="A376" s="11">
        <v>43462</v>
      </c>
      <c r="B376" s="380">
        <f>'2022'!Maxi_hp</f>
        <v>22.067540465651089</v>
      </c>
      <c r="C376" s="13">
        <f>'2022'!An_max</f>
        <v>2022</v>
      </c>
      <c r="D376" s="1062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53">
        <f t="shared" si="138"/>
        <v>0.26666666666666666</v>
      </c>
      <c r="J376" s="746">
        <f t="shared" si="139"/>
        <v>25.156765276690326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55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53">
        <f t="shared" si="143"/>
        <v>0.37931034482758619</v>
      </c>
      <c r="AT376" s="769">
        <f t="shared" si="144"/>
        <v>25.519776030295883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53">
        <f t="shared" si="148"/>
        <v>0.86206896551724133</v>
      </c>
      <c r="AY376" s="769">
        <f t="shared" si="149"/>
        <v>25.083318367960125</v>
      </c>
      <c r="AZ376" s="746">
        <f t="shared" si="153"/>
        <v>25.301547199128002</v>
      </c>
      <c r="BA376" s="643">
        <f t="shared" si="150"/>
        <v>0.87720103212547595</v>
      </c>
      <c r="BC376" s="11">
        <v>43462</v>
      </c>
      <c r="BD376" s="290">
        <f>[2]!FeuilCaduc*(1-Persistant)+Persistant</f>
        <v>0.60608476510646603</v>
      </c>
      <c r="BE376" s="291">
        <f>[2]!CroissVégét</f>
        <v>0.99999984492411664</v>
      </c>
      <c r="BF376" s="816">
        <f>1+[2]!Salcycl*Ksac</f>
        <v>1.0007605956383083</v>
      </c>
      <c r="BH376" s="1053">
        <f t="shared" si="151"/>
        <v>2.3847996851767621E-3</v>
      </c>
      <c r="BI376" s="11">
        <v>44558</v>
      </c>
      <c r="BJ376" s="726">
        <v>5.2218253858059835E-4</v>
      </c>
      <c r="BK376" s="726">
        <v>9.4728882560230919E-4</v>
      </c>
      <c r="BL376" s="726">
        <v>1.5227863503168367E-3</v>
      </c>
      <c r="BM376" s="726">
        <v>2.3870560246921509E-3</v>
      </c>
      <c r="BN376" s="726">
        <v>3.6085140802376253E-3</v>
      </c>
      <c r="BO376" s="727">
        <v>5.6062872676561522E-3</v>
      </c>
      <c r="BP376" s="726">
        <v>8.1481919916032639E-3</v>
      </c>
      <c r="BQ376" s="726">
        <v>1.1203873942414982E-2</v>
      </c>
      <c r="BR376" s="726">
        <v>1.4575957862063295E-2</v>
      </c>
      <c r="BS376" s="726">
        <v>1.8785145104622644E-2</v>
      </c>
      <c r="BT376" s="726">
        <v>2.3696698661711094E-2</v>
      </c>
      <c r="BW376" s="1186">
        <f>'2018'!R\Max</f>
        <v>0.13798945814240277</v>
      </c>
      <c r="BX376" s="1184">
        <f>'2019'!R\Max</f>
        <v>0.17430702127053643</v>
      </c>
      <c r="BY376" s="1184">
        <f>'2020'!R\Max</f>
        <v>0.26803155908732157</v>
      </c>
      <c r="BZ376" s="1184">
        <f>'2021'!R\Max</f>
        <v>0.23800388276508697</v>
      </c>
      <c r="CA376" s="1184">
        <f>'2022'!R\Max</f>
        <v>0.87720103212547595</v>
      </c>
      <c r="CB376" s="1184">
        <f>'2023'!R\Max</f>
        <v>0.87717981990048588</v>
      </c>
      <c r="CC376" s="1184">
        <f>'2024'!R\Max</f>
        <v>0.87715433621259409</v>
      </c>
      <c r="CD376" s="1184">
        <f>'2025'!R\Max</f>
        <v>0.87726620200275673</v>
      </c>
      <c r="CE376" s="1184">
        <f>'2026'!R\Max</f>
        <v>0.87725601664207409</v>
      </c>
      <c r="CF376" s="1185">
        <f>'2027'!R\Max</f>
        <v>0.87723971283560143</v>
      </c>
    </row>
    <row r="377" spans="1:84" s="6" customFormat="1" ht="11.25" x14ac:dyDescent="0.2">
      <c r="A377" s="11">
        <v>43463</v>
      </c>
      <c r="B377" s="380">
        <f>'2022'!Maxi_hp</f>
        <v>24.70046719987749</v>
      </c>
      <c r="C377" s="13">
        <f>'2022'!An_max</f>
        <v>2019</v>
      </c>
      <c r="D377" s="1062">
        <f t="shared" si="135"/>
        <v>0.97640607626636655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53">
        <f t="shared" si="138"/>
        <v>0.33333333333333331</v>
      </c>
      <c r="J377" s="746">
        <f t="shared" si="139"/>
        <v>25.297330486029388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55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53">
        <f t="shared" si="143"/>
        <v>0.34482758620689657</v>
      </c>
      <c r="AT377" s="769">
        <f t="shared" si="144"/>
        <v>25.636558173494091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53">
        <f t="shared" si="148"/>
        <v>0.82758620689655171</v>
      </c>
      <c r="AY377" s="769">
        <f t="shared" si="149"/>
        <v>25.205860074095686</v>
      </c>
      <c r="AZ377" s="746">
        <f t="shared" si="153"/>
        <v>25.421209123794888</v>
      </c>
      <c r="BA377" s="643">
        <f t="shared" si="150"/>
        <v>0.97640607626636655</v>
      </c>
      <c r="BC377" s="11">
        <v>43463</v>
      </c>
      <c r="BD377" s="290">
        <f>[2]!FeuilCaduc*(1-Persistant)+Persistant</f>
        <v>0.60566895671486809</v>
      </c>
      <c r="BE377" s="291">
        <f>[2]!CroissVégét</f>
        <v>0.99999984492411664</v>
      </c>
      <c r="BF377" s="816">
        <f>1+[2]!Salcycl*Ksac</f>
        <v>1.0007086195893584</v>
      </c>
      <c r="BH377" s="1053">
        <f t="shared" si="151"/>
        <v>2.3921486955718568E-3</v>
      </c>
      <c r="BI377" s="11">
        <v>44559</v>
      </c>
      <c r="BJ377" s="726">
        <v>5.2107452493156865E-4</v>
      </c>
      <c r="BK377" s="726">
        <v>9.4891023540601583E-4</v>
      </c>
      <c r="BL377" s="726">
        <v>1.5272041662810587E-3</v>
      </c>
      <c r="BM377" s="726">
        <v>2.3944127075553549E-3</v>
      </c>
      <c r="BN377" s="726">
        <v>3.6190419427015513E-3</v>
      </c>
      <c r="BO377" s="727">
        <v>5.6169782708619786E-3</v>
      </c>
      <c r="BP377" s="726">
        <v>8.1580107920499953E-3</v>
      </c>
      <c r="BQ377" s="726">
        <v>1.1211512996239952E-2</v>
      </c>
      <c r="BR377" s="726">
        <v>1.4576748078413783E-2</v>
      </c>
      <c r="BS377" s="726">
        <v>1.877946534049443E-2</v>
      </c>
      <c r="BT377" s="726">
        <v>2.3688292838146534E-2</v>
      </c>
      <c r="BW377" s="1186">
        <f>'2018'!R\Max</f>
        <v>0.18778620072341179</v>
      </c>
      <c r="BX377" s="1184">
        <f>'2019'!R\Max</f>
        <v>0.97640607626636655</v>
      </c>
      <c r="BY377" s="1184">
        <f>'2020'!R\Max</f>
        <v>0.30903852574702301</v>
      </c>
      <c r="BZ377" s="1184">
        <f>'2021'!R\Max</f>
        <v>0.18020617999163271</v>
      </c>
      <c r="CA377" s="1184">
        <f>'2022'!R\Max</f>
        <v>0.42871833354503897</v>
      </c>
      <c r="CB377" s="1184">
        <f>'2023'!R\Max</f>
        <v>0.42867042548106482</v>
      </c>
      <c r="CC377" s="1184">
        <f>'2024'!R\Max</f>
        <v>0.42861290269443558</v>
      </c>
      <c r="CD377" s="1184">
        <f>'2025'!R\Max</f>
        <v>0.42886567695101119</v>
      </c>
      <c r="CE377" s="1184">
        <f>'2026'!R\Max</f>
        <v>0.42884259194407237</v>
      </c>
      <c r="CF377" s="1185">
        <f>'2027'!R\Max</f>
        <v>0.4288057331020016</v>
      </c>
    </row>
    <row r="378" spans="1:84" s="6" customFormat="1" ht="11.25" x14ac:dyDescent="0.2">
      <c r="A378" s="11">
        <v>43464</v>
      </c>
      <c r="B378" s="380">
        <f>'2022'!Maxi_hp</f>
        <v>26.021620495154139</v>
      </c>
      <c r="C378" s="13">
        <f>'2022'!An_max</f>
        <v>2019</v>
      </c>
      <c r="D378" s="1062">
        <f t="shared" si="135"/>
        <v>1.0224350483072104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53">
        <f t="shared" si="138"/>
        <v>0.4</v>
      </c>
      <c r="J378" s="746">
        <f t="shared" si="139"/>
        <v>25.450634285509587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55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53">
        <f t="shared" si="143"/>
        <v>0.31034482758620691</v>
      </c>
      <c r="AT378" s="769">
        <f t="shared" si="144"/>
        <v>25.761264732171753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53">
        <f t="shared" si="148"/>
        <v>0.7931034482758621</v>
      </c>
      <c r="AY378" s="769">
        <f t="shared" si="149"/>
        <v>25.342409726052448</v>
      </c>
      <c r="AZ378" s="746">
        <f t="shared" si="153"/>
        <v>25.551837229112103</v>
      </c>
      <c r="BA378" s="643">
        <f t="shared" si="150"/>
        <v>1.0224350483072104</v>
      </c>
      <c r="BC378" s="11">
        <v>43464</v>
      </c>
      <c r="BD378" s="290">
        <f>[2]!FeuilCaduc*(1-Persistant)+Persistant</f>
        <v>0.60528115283757489</v>
      </c>
      <c r="BE378" s="291">
        <f>[2]!CroissVégét</f>
        <v>0.99999984492411664</v>
      </c>
      <c r="BF378" s="816">
        <f>1+[2]!Salcycl*Ksac</f>
        <v>1.0006601441046969</v>
      </c>
      <c r="BH378" s="1053">
        <f t="shared" si="151"/>
        <v>2.3996515410373222E-3</v>
      </c>
      <c r="BI378" s="11">
        <v>44560</v>
      </c>
      <c r="BJ378" s="726">
        <v>5.2011066960576456E-4</v>
      </c>
      <c r="BK378" s="726">
        <v>9.5022865729226197E-4</v>
      </c>
      <c r="BL378" s="726">
        <v>1.5313642950128504E-3</v>
      </c>
      <c r="BM378" s="726">
        <v>2.4019243026579202E-3</v>
      </c>
      <c r="BN378" s="726">
        <v>3.6303728399882437E-3</v>
      </c>
      <c r="BO378" s="727">
        <v>5.6291014745953882E-3</v>
      </c>
      <c r="BP378" s="726">
        <v>8.1694558672716702E-3</v>
      </c>
      <c r="BQ378" s="726">
        <v>1.122018862586055E-2</v>
      </c>
      <c r="BR378" s="726">
        <v>1.4577342024722559E-2</v>
      </c>
      <c r="BS378" s="726">
        <v>1.8772429406136711E-2</v>
      </c>
      <c r="BT378" s="726">
        <v>2.36780371214565E-2</v>
      </c>
      <c r="BW378" s="1186">
        <f>'2018'!R\Max</f>
        <v>0.13989194421929901</v>
      </c>
      <c r="BX378" s="1184">
        <f>'2019'!R\Max</f>
        <v>1.0224350483072104</v>
      </c>
      <c r="BY378" s="1184">
        <f>'2020'!R\Max</f>
        <v>0.3505261339880486</v>
      </c>
      <c r="BZ378" s="1184">
        <f>'2021'!R\Max</f>
        <v>0.68459752569744503</v>
      </c>
      <c r="CA378" s="1184">
        <f>'2022'!R\Max</f>
        <v>0.56119279993460713</v>
      </c>
      <c r="CB378" s="1184">
        <f>'2023'!R\Max</f>
        <v>0.56114496286898763</v>
      </c>
      <c r="CC378" s="1184">
        <f>'2024'!R\Max</f>
        <v>0.56108755871862215</v>
      </c>
      <c r="CD378" s="1184">
        <f>'2025'!R\Max</f>
        <v>0.56134004191484332</v>
      </c>
      <c r="CE378" s="1184">
        <f>'2026'!R\Max</f>
        <v>0.5613169170039215</v>
      </c>
      <c r="CF378" s="1185">
        <f>'2027'!R\Max</f>
        <v>0.5612800900003998</v>
      </c>
    </row>
    <row r="379" spans="1:84" s="6" customFormat="1" ht="11.25" x14ac:dyDescent="0.2">
      <c r="A379" s="11">
        <v>43465</v>
      </c>
      <c r="B379" s="380">
        <f>'2022'!Maxi_hp</f>
        <v>25.489311551615195</v>
      </c>
      <c r="C379" s="13">
        <f>'2022'!An_max</f>
        <v>2021</v>
      </c>
      <c r="D379" s="1062">
        <f t="shared" si="135"/>
        <v>0.99507564267300441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53">
        <f t="shared" si="138"/>
        <v>0.46666666666666667</v>
      </c>
      <c r="J379" s="746">
        <f t="shared" si="139"/>
        <v>25.615451186348992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55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53">
        <f t="shared" si="143"/>
        <v>0.27586206896551724</v>
      </c>
      <c r="AT379" s="769">
        <f t="shared" si="144"/>
        <v>25.893660415657632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53">
        <f t="shared" si="148"/>
        <v>0.75862068965517238</v>
      </c>
      <c r="AY379" s="769">
        <f t="shared" si="149"/>
        <v>25.49230886088877</v>
      </c>
      <c r="AZ379" s="746">
        <f t="shared" si="153"/>
        <v>25.692984638273202</v>
      </c>
      <c r="BA379" s="643">
        <f t="shared" si="150"/>
        <v>0.99507564267300441</v>
      </c>
      <c r="BC379" s="11">
        <v>43465</v>
      </c>
      <c r="BD379" s="290">
        <f>[2]!FeuilCaduc*(1-Persistant)+Persistant</f>
        <v>0.60491847548575273</v>
      </c>
      <c r="BE379" s="291">
        <f>[2]!CroissVégét</f>
        <v>0.99999984492411664</v>
      </c>
      <c r="BF379" s="816">
        <f>1+[2]!Salcycl*Ksac</f>
        <v>1.000614809435719</v>
      </c>
      <c r="BH379" s="1053">
        <f t="shared" si="151"/>
        <v>2.4073025301070087E-3</v>
      </c>
      <c r="BI379" s="11">
        <v>44561</v>
      </c>
      <c r="BJ379" s="726">
        <v>5.1928976806564747E-4</v>
      </c>
      <c r="BK379" s="726">
        <v>9.5124128430981996E-4</v>
      </c>
      <c r="BL379" s="726">
        <v>1.5352626079954154E-3</v>
      </c>
      <c r="BM379" s="726">
        <v>2.4095851144426408E-3</v>
      </c>
      <c r="BN379" s="726">
        <v>3.6424989109758144E-3</v>
      </c>
      <c r="BO379" s="727">
        <v>5.6426446903684617E-3</v>
      </c>
      <c r="BP379" s="726">
        <v>8.1825086561444077E-3</v>
      </c>
      <c r="BQ379" s="726">
        <v>1.1229873446710845E-2</v>
      </c>
      <c r="BR379" s="726">
        <v>1.4577701611701629E-2</v>
      </c>
      <c r="BS379" s="726">
        <v>1.8763986447720857E-2</v>
      </c>
      <c r="BT379" s="726">
        <v>2.3665867123161693E-2</v>
      </c>
      <c r="BW379" s="1186">
        <f>'2018'!R\Max</f>
        <v>0.24279750823662496</v>
      </c>
      <c r="BX379" s="1184">
        <f>'2019'!R\Max</f>
        <v>0.70054237952119303</v>
      </c>
      <c r="BY379" s="1184">
        <f>'2020'!R\Max</f>
        <v>0.47543894406685927</v>
      </c>
      <c r="BZ379" s="1184">
        <f>'2021'!R\Max</f>
        <v>0.99507564267300441</v>
      </c>
      <c r="CA379" s="1184">
        <f>'2022'!R\Max</f>
        <v>0.5174445651991848</v>
      </c>
      <c r="CB379" s="1184">
        <f>'2023'!R\Max</f>
        <v>0.51739641061123065</v>
      </c>
      <c r="CC379" s="1184">
        <f>'2024'!R\Max</f>
        <v>0.51733867897643926</v>
      </c>
      <c r="CD379" s="1184">
        <f>'2025'!R\Max</f>
        <v>0.51759295222762103</v>
      </c>
      <c r="CE379" s="1184">
        <f>'2026'!R\Max</f>
        <v>0.51756958332994762</v>
      </c>
      <c r="CF379" s="1185">
        <f>'2027'!R\Max</f>
        <v>0.51753247290901017</v>
      </c>
    </row>
    <row r="380" spans="1:84" s="6" customFormat="1" ht="12" customHeight="1" thickBot="1" x14ac:dyDescent="0.25">
      <c r="A380" s="11">
        <v>43466</v>
      </c>
      <c r="B380" s="381">
        <f>'2022'!Maxi_hp</f>
        <v>15.05843026866239</v>
      </c>
      <c r="C380" s="14">
        <f>'2022'!An_max</f>
        <v>2020</v>
      </c>
      <c r="D380" s="1063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8">
        <f t="shared" si="137"/>
        <v>43458</v>
      </c>
      <c r="I380" s="749">
        <f t="shared" si="138"/>
        <v>0.53333333333333333</v>
      </c>
      <c r="J380" s="747">
        <f t="shared" si="139"/>
        <v>25.790555708607041</v>
      </c>
      <c r="M380" s="806" t="s">
        <v>243</v>
      </c>
      <c r="N380" s="807">
        <f>$AZ22*10</f>
        <v>271.47234518761775</v>
      </c>
      <c r="O380" s="807">
        <f>$AZ36*10</f>
        <v>308.63523351494223</v>
      </c>
      <c r="P380" s="807">
        <f>$AZ50*10</f>
        <v>354.39501145482063</v>
      </c>
      <c r="Q380" s="807">
        <f>$AZ64*10</f>
        <v>403.8168124993972</v>
      </c>
      <c r="R380" s="807">
        <f>$AZ78*10</f>
        <v>454.94218750082655</v>
      </c>
      <c r="S380" s="807">
        <f>$AZ92*10</f>
        <v>506.40512499664328</v>
      </c>
      <c r="T380" s="807">
        <f>$AZ106*10</f>
        <v>553.847999997437</v>
      </c>
      <c r="U380" s="807">
        <f>$AZ120*10</f>
        <v>591.44018750078976</v>
      </c>
      <c r="V380" s="807">
        <f>$AZ134*10</f>
        <v>616.78806250356138</v>
      </c>
      <c r="W380" s="807">
        <f>$AZ148*10</f>
        <v>631.45668749511242</v>
      </c>
      <c r="X380" s="807">
        <f>$AZ162*10</f>
        <v>637.50212499778718</v>
      </c>
      <c r="Y380" s="807">
        <f>$AZ176*10</f>
        <v>635.93706250097603</v>
      </c>
      <c r="Z380" s="807">
        <f>$AZ190*10</f>
        <v>627.8048750013113</v>
      </c>
      <c r="AA380" s="807">
        <f>$AZ204*10</f>
        <v>614.7626874987036</v>
      </c>
      <c r="AB380" s="807">
        <f>$AZ218*10</f>
        <v>598.16074999747798</v>
      </c>
      <c r="AC380" s="807">
        <f>$AZ232*10</f>
        <v>578.76625000033528</v>
      </c>
      <c r="AD380" s="807">
        <f>$AZ246*10</f>
        <v>556.33368749823421</v>
      </c>
      <c r="AE380" s="807">
        <f>$AZ260*10</f>
        <v>527.91706250142306</v>
      </c>
      <c r="AF380" s="807">
        <f>$AZ274*10</f>
        <v>490.38624999858439</v>
      </c>
      <c r="AG380" s="807">
        <f>$AZ288*10</f>
        <v>445.58250000048429</v>
      </c>
      <c r="AH380" s="807">
        <f>$AZ302*10</f>
        <v>398.44649999914691</v>
      </c>
      <c r="AI380" s="807">
        <f>$AZ316*10</f>
        <v>352.50731250294484</v>
      </c>
      <c r="AJ380" s="807">
        <f>$AZ330*10</f>
        <v>310.28131251037121</v>
      </c>
      <c r="AK380" s="807">
        <f>$AZ344*10</f>
        <v>274.78205705806613</v>
      </c>
      <c r="AL380" s="807">
        <f>$AZ358*10</f>
        <v>251.87369906902313</v>
      </c>
      <c r="AM380" s="807">
        <f>$AZ372*10</f>
        <v>249.41498675865347</v>
      </c>
      <c r="AO380" s="1055">
        <v>43466</v>
      </c>
      <c r="AP380" s="14">
        <f t="shared" si="140"/>
        <v>15</v>
      </c>
      <c r="AQ380" s="14">
        <f t="shared" si="141"/>
        <v>14</v>
      </c>
      <c r="AR380" s="748">
        <f t="shared" si="142"/>
        <v>43473</v>
      </c>
      <c r="AS380" s="749">
        <f t="shared" si="143"/>
        <v>0.2413793103448276</v>
      </c>
      <c r="AT380" s="770">
        <f t="shared" si="144"/>
        <v>26.033509940679728</v>
      </c>
      <c r="AU380" s="14">
        <f t="shared" si="145"/>
        <v>15</v>
      </c>
      <c r="AV380" s="14">
        <f t="shared" si="146"/>
        <v>14</v>
      </c>
      <c r="AW380" s="748">
        <f t="shared" si="147"/>
        <v>43487</v>
      </c>
      <c r="AX380" s="749">
        <f t="shared" si="148"/>
        <v>0.72413793103448276</v>
      </c>
      <c r="AY380" s="770">
        <f t="shared" si="149"/>
        <v>25.654899029125424</v>
      </c>
      <c r="AZ380" s="747">
        <f t="shared" si="153"/>
        <v>25.844204484902576</v>
      </c>
      <c r="BA380" s="643">
        <f t="shared" si="150"/>
        <v>0.58387381950195683</v>
      </c>
      <c r="BC380" s="11">
        <v>43466</v>
      </c>
      <c r="BD380" s="292">
        <f>[2]!FeuilCaduc*(1-Persistant)+Persistant</f>
        <v>0.60457829942861385</v>
      </c>
      <c r="BE380" s="293">
        <f>[2]!CroissVégét</f>
        <v>0.99999984492411664</v>
      </c>
      <c r="BF380" s="817">
        <f>1+[2]!Salcycl*Ksac</f>
        <v>1.0005722874285767</v>
      </c>
      <c r="BH380" s="1054">
        <f t="shared" si="151"/>
        <v>2.4150959137955916E-3</v>
      </c>
      <c r="BI380" s="11">
        <v>44562</v>
      </c>
      <c r="BJ380" s="822">
        <v>5.1861063850512916E-4</v>
      </c>
      <c r="BK380" s="730">
        <v>9.5194527570198917E-4</v>
      </c>
      <c r="BL380" s="730">
        <v>1.5388949190492079E-3</v>
      </c>
      <c r="BM380" s="730">
        <v>2.4173893898335121E-3</v>
      </c>
      <c r="BN380" s="730">
        <v>3.6554122516709673E-3</v>
      </c>
      <c r="BO380" s="731">
        <v>5.6575957336878436E-3</v>
      </c>
      <c r="BP380" s="730">
        <v>8.1971506317892323E-3</v>
      </c>
      <c r="BQ380" s="730">
        <v>1.1240540101526794E-2</v>
      </c>
      <c r="BR380" s="730">
        <v>1.4577788776549801E-2</v>
      </c>
      <c r="BS380" s="730">
        <v>1.8754085640803279E-2</v>
      </c>
      <c r="BT380" s="730">
        <v>2.3651718495327767E-2</v>
      </c>
      <c r="BW380" s="1187">
        <f>'2018'!R\Max</f>
        <v>0</v>
      </c>
      <c r="BX380" s="1188">
        <f>'2019'!R\Max</f>
        <v>0</v>
      </c>
      <c r="BY380" s="1188">
        <f>'2020'!R\Max</f>
        <v>0.58387381950195683</v>
      </c>
      <c r="BZ380" s="1188">
        <f>'2021'!R\Max</f>
        <v>0</v>
      </c>
      <c r="CA380" s="1188">
        <f>'2022'!R\Max</f>
        <v>0</v>
      </c>
      <c r="CB380" s="1188">
        <f>'2023'!R\Max</f>
        <v>0</v>
      </c>
      <c r="CC380" s="1188">
        <f>'2024'!R\Max</f>
        <v>0.64708804915045459</v>
      </c>
      <c r="CD380" s="1188">
        <f>'2025'!R\Max</f>
        <v>0</v>
      </c>
      <c r="CE380" s="1188">
        <f>'2026'!R\Max</f>
        <v>0</v>
      </c>
      <c r="CF380" s="1189">
        <f>'2027'!R\Max</f>
        <v>0</v>
      </c>
    </row>
    <row r="381" spans="1:84" ht="12" customHeight="1" x14ac:dyDescent="0.25">
      <c r="B381" s="635" t="s">
        <v>168</v>
      </c>
      <c r="M381" s="136" t="s">
        <v>244</v>
      </c>
      <c r="N381" s="808">
        <f t="shared" ref="N381:AM381" si="154">1-N3/N380*Ajust_M</f>
        <v>-1.9952485841896461E-3</v>
      </c>
      <c r="O381" s="808">
        <f t="shared" si="154"/>
        <v>9.3065691713489773E-4</v>
      </c>
      <c r="P381" s="808">
        <f t="shared" si="154"/>
        <v>-3.0728100283041737E-3</v>
      </c>
      <c r="Q381" s="808">
        <f t="shared" si="154"/>
        <v>5.3195531426153408E-4</v>
      </c>
      <c r="R381" s="808">
        <f t="shared" si="154"/>
        <v>6.0708263250708328E-4</v>
      </c>
      <c r="S381" s="808">
        <f t="shared" si="154"/>
        <v>1.3331717301394708E-3</v>
      </c>
      <c r="T381" s="808">
        <f t="shared" si="154"/>
        <v>-1.773049650025893E-3</v>
      </c>
      <c r="U381" s="808">
        <f t="shared" si="154"/>
        <v>-1.1933793376346369E-3</v>
      </c>
      <c r="V381" s="808">
        <f t="shared" si="154"/>
        <v>1.4926116304481152E-4</v>
      </c>
      <c r="W381" s="808">
        <f t="shared" si="154"/>
        <v>4.8597941426753444E-5</v>
      </c>
      <c r="X381" s="808">
        <f t="shared" si="154"/>
        <v>2.8882256319984201E-4</v>
      </c>
      <c r="Y381" s="808">
        <f t="shared" si="154"/>
        <v>-6.2732229735917855E-4</v>
      </c>
      <c r="Z381" s="808">
        <f t="shared" si="154"/>
        <v>4.8880633701786635E-4</v>
      </c>
      <c r="AA381" s="808">
        <f t="shared" si="154"/>
        <v>4.9917633792029292E-5</v>
      </c>
      <c r="AB381" s="808">
        <f t="shared" si="154"/>
        <v>2.0521239061332963E-4</v>
      </c>
      <c r="AC381" s="808">
        <f t="shared" si="154"/>
        <v>6.3626723281640096E-4</v>
      </c>
      <c r="AD381" s="808">
        <f t="shared" si="154"/>
        <v>9.3772408530601314E-4</v>
      </c>
      <c r="AE381" s="808">
        <f t="shared" si="154"/>
        <v>-2.6158228188981614E-3</v>
      </c>
      <c r="AF381" s="808">
        <f t="shared" si="154"/>
        <v>-1.251564458459864E-3</v>
      </c>
      <c r="AG381" s="808">
        <f t="shared" si="154"/>
        <v>1.6528925630684421E-3</v>
      </c>
      <c r="AH381" s="808">
        <f t="shared" si="154"/>
        <v>-6.1614294730549801E-4</v>
      </c>
      <c r="AI381" s="808">
        <f t="shared" si="154"/>
        <v>-8.7054923307183785E-5</v>
      </c>
      <c r="AJ381" s="808">
        <f t="shared" si="154"/>
        <v>-9.8902152309898739E-5</v>
      </c>
      <c r="AK381" s="808">
        <f t="shared" si="154"/>
        <v>-4.22131981379259E-3</v>
      </c>
      <c r="AL381" s="808">
        <f t="shared" si="154"/>
        <v>5.811242199694866E-3</v>
      </c>
      <c r="AM381" s="808">
        <f t="shared" si="154"/>
        <v>7.8222515174732887E-3</v>
      </c>
    </row>
  </sheetData>
  <sheetProtection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F11" sqref="F11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5" t="s">
        <v>24</v>
      </c>
      <c r="I1" s="1265"/>
      <c r="J1" s="1265"/>
      <c r="K1" s="1265"/>
      <c r="L1" s="15"/>
      <c r="M1" s="34"/>
      <c r="N1" s="539"/>
      <c r="O1" s="540"/>
      <c r="P1" s="541" t="s">
        <v>4</v>
      </c>
      <c r="Q1" s="419">
        <v>8.0000000000000002E-3</v>
      </c>
      <c r="R1" s="542"/>
      <c r="S1" s="543" t="s">
        <v>105</v>
      </c>
      <c r="T1" s="820">
        <f>PertePVan/365.25</f>
        <v>2.1902806297056812E-5</v>
      </c>
      <c r="U1" s="540"/>
      <c r="V1" s="544"/>
      <c r="W1" s="208"/>
      <c r="X1" s="545"/>
      <c r="Y1" s="537" t="s">
        <v>166</v>
      </c>
      <c r="Z1" s="1263">
        <v>7.0000000000000007E-2</v>
      </c>
      <c r="AA1" s="1264"/>
      <c r="AB1" s="629"/>
      <c r="AC1" s="630"/>
      <c r="AE1" s="537" t="s">
        <v>247</v>
      </c>
      <c r="AF1" s="818">
        <v>0.05</v>
      </c>
      <c r="AG1" s="540"/>
      <c r="AH1" s="208"/>
      <c r="AI1" s="208"/>
      <c r="AJ1" s="208"/>
      <c r="AK1" s="208"/>
      <c r="AL1" s="537" t="s">
        <v>123</v>
      </c>
      <c r="AM1" s="647">
        <v>0.5</v>
      </c>
      <c r="AN1" s="628"/>
      <c r="AO1" s="208"/>
      <c r="AP1" s="208"/>
      <c r="AQ1" s="208"/>
      <c r="AR1" s="537" t="s">
        <v>104</v>
      </c>
      <c r="AS1" s="368">
        <v>0.6</v>
      </c>
      <c r="AT1" s="648" t="s">
        <v>54</v>
      </c>
      <c r="AU1" s="538"/>
    </row>
    <row r="2" spans="1:78" s="534" customFormat="1" ht="18" customHeight="1" thickBot="1" x14ac:dyDescent="0.35">
      <c r="A2" s="83" t="s">
        <v>132</v>
      </c>
      <c r="B2" s="1211" t="str">
        <f>Station</f>
        <v>Garderie Labège</v>
      </c>
      <c r="C2" s="1212"/>
      <c r="D2" s="1212"/>
      <c r="E2" s="1212"/>
      <c r="F2" s="1213"/>
      <c r="G2" s="819" t="s">
        <v>248</v>
      </c>
      <c r="K2" s="81"/>
      <c r="L2" s="535"/>
      <c r="M2" s="38"/>
      <c r="U2" s="35"/>
      <c r="V2" s="35"/>
      <c r="W2" s="35">
        <f>+U5/Recap!L38</f>
        <v>9.6628399146776164E-2</v>
      </c>
      <c r="X2" s="536"/>
      <c r="AA2" s="538"/>
      <c r="AB2" s="538"/>
      <c r="AC2" s="538"/>
      <c r="AD2" s="538"/>
      <c r="AE2" s="537" t="s">
        <v>167</v>
      </c>
      <c r="AF2" s="653">
        <v>3</v>
      </c>
      <c r="AG2" s="654">
        <f>+Tau_i*365</f>
        <v>1095</v>
      </c>
      <c r="AH2" s="544"/>
      <c r="AI2" s="240"/>
      <c r="AJ2" s="545"/>
      <c r="AL2" s="645" t="s">
        <v>198</v>
      </c>
      <c r="AM2" s="1260">
        <v>0.5</v>
      </c>
      <c r="AN2" s="1261"/>
      <c r="AS2" s="209" t="s">
        <v>124</v>
      </c>
      <c r="AT2" s="649">
        <f>H_i</f>
        <v>-2.0026106892122759</v>
      </c>
      <c r="AU2" s="646"/>
      <c r="AY2" s="656"/>
      <c r="AZ2" s="656"/>
      <c r="BB2" s="536"/>
      <c r="BE2" s="31"/>
      <c r="BF2" s="29"/>
      <c r="BH2" s="536"/>
      <c r="BI2" s="536"/>
      <c r="BJ2" s="536"/>
      <c r="BK2" s="70"/>
      <c r="BL2" s="70"/>
      <c r="BM2" s="536"/>
      <c r="BN2" s="536"/>
      <c r="BO2" s="536"/>
      <c r="BP2" s="536"/>
      <c r="BQ2" s="70"/>
      <c r="BR2" s="70"/>
      <c r="BS2" s="536"/>
      <c r="BT2" s="536"/>
      <c r="BU2" s="536"/>
      <c r="BW2" s="31"/>
      <c r="BX2" s="29"/>
      <c r="BZ2" s="536"/>
    </row>
    <row r="3" spans="1:78" s="80" customFormat="1" ht="12.75" customHeight="1" x14ac:dyDescent="0.25">
      <c r="A3" s="1257">
        <f>'2018'!An</f>
        <v>2018</v>
      </c>
      <c r="B3" s="1258"/>
      <c r="C3" s="1258"/>
      <c r="D3" s="1258"/>
      <c r="E3" s="1258"/>
      <c r="F3" s="1259"/>
      <c r="G3" s="1257">
        <f>'2019'!An</f>
        <v>2019</v>
      </c>
      <c r="H3" s="1258"/>
      <c r="I3" s="1258"/>
      <c r="J3" s="1258"/>
      <c r="K3" s="1258"/>
      <c r="L3" s="1259"/>
      <c r="M3" s="1257">
        <f>'2020'!An</f>
        <v>2020</v>
      </c>
      <c r="N3" s="1258"/>
      <c r="O3" s="1258"/>
      <c r="P3" s="1258"/>
      <c r="Q3" s="1258"/>
      <c r="R3" s="1259"/>
      <c r="S3" s="1257">
        <f>'2021'!An</f>
        <v>2021</v>
      </c>
      <c r="T3" s="1258"/>
      <c r="U3" s="1258"/>
      <c r="V3" s="1258"/>
      <c r="W3" s="1258"/>
      <c r="X3" s="1259"/>
      <c r="Y3" s="1257">
        <f>'2022'!An</f>
        <v>2022</v>
      </c>
      <c r="Z3" s="1258"/>
      <c r="AA3" s="1258"/>
      <c r="AB3" s="1258"/>
      <c r="AC3" s="1258"/>
      <c r="AD3" s="1259"/>
      <c r="AE3" s="1257">
        <f>'2023'!An</f>
        <v>2023</v>
      </c>
      <c r="AF3" s="1258"/>
      <c r="AG3" s="1258"/>
      <c r="AH3" s="1258"/>
      <c r="AI3" s="1258"/>
      <c r="AJ3" s="1259"/>
      <c r="AK3" s="1257">
        <f>'2024'!An</f>
        <v>2024</v>
      </c>
      <c r="AL3" s="1258"/>
      <c r="AM3" s="1262"/>
      <c r="AN3" s="1262"/>
      <c r="AO3" s="1258"/>
      <c r="AP3" s="1259"/>
      <c r="AQ3" s="1257">
        <f>'2025'!An</f>
        <v>2025</v>
      </c>
      <c r="AR3" s="1258"/>
      <c r="AS3" s="1258"/>
      <c r="AT3" s="1258"/>
      <c r="AU3" s="1258"/>
      <c r="AV3" s="1259"/>
      <c r="AW3" s="1257">
        <f>'2026'!An</f>
        <v>2026</v>
      </c>
      <c r="AX3" s="1258"/>
      <c r="AY3" s="1258"/>
      <c r="AZ3" s="1258"/>
      <c r="BA3" s="1258"/>
      <c r="BB3" s="1259"/>
      <c r="BC3" s="1257">
        <f>'2027'!An</f>
        <v>2027</v>
      </c>
      <c r="BD3" s="1258"/>
      <c r="BE3" s="1258"/>
      <c r="BF3" s="1258"/>
      <c r="BG3" s="1258"/>
      <c r="BH3" s="1259"/>
      <c r="BI3" s="1253" t="e">
        <v>#NAME?</v>
      </c>
      <c r="BJ3" s="1254"/>
      <c r="BK3" s="1254"/>
      <c r="BL3" s="1254"/>
      <c r="BM3" s="1254"/>
      <c r="BN3" s="1255"/>
      <c r="BO3" s="1253" t="e">
        <v>#NAME?</v>
      </c>
      <c r="BP3" s="1254"/>
      <c r="BQ3" s="1254"/>
      <c r="BR3" s="1254"/>
      <c r="BS3" s="1254"/>
      <c r="BT3" s="1255"/>
      <c r="BU3" s="1253" t="e">
        <v>#NAME?</v>
      </c>
      <c r="BV3" s="1254"/>
      <c r="BW3" s="1254"/>
      <c r="BX3" s="1254"/>
      <c r="BY3" s="1254"/>
      <c r="BZ3" s="1255"/>
    </row>
    <row r="4" spans="1:78" s="428" customFormat="1" ht="15" customHeight="1" x14ac:dyDescent="0.25">
      <c r="A4" s="213" t="s">
        <v>77</v>
      </c>
      <c r="B4" s="442" t="s">
        <v>135</v>
      </c>
      <c r="C4" s="443" t="s">
        <v>135</v>
      </c>
      <c r="D4" s="444" t="s">
        <v>80</v>
      </c>
      <c r="E4" s="577" t="s">
        <v>80</v>
      </c>
      <c r="F4" s="432"/>
      <c r="G4" s="358" t="s">
        <v>92</v>
      </c>
      <c r="H4" s="442" t="s">
        <v>135</v>
      </c>
      <c r="I4" s="443" t="s">
        <v>135</v>
      </c>
      <c r="J4" s="444" t="s">
        <v>80</v>
      </c>
      <c r="K4" s="577" t="s">
        <v>80</v>
      </c>
      <c r="L4" s="432"/>
      <c r="M4" s="358" t="s">
        <v>92</v>
      </c>
      <c r="N4" s="442" t="s">
        <v>135</v>
      </c>
      <c r="O4" s="443" t="s">
        <v>135</v>
      </c>
      <c r="P4" s="444" t="s">
        <v>80</v>
      </c>
      <c r="Q4" s="577" t="s">
        <v>80</v>
      </c>
      <c r="R4" s="432"/>
      <c r="S4" s="358" t="s">
        <v>92</v>
      </c>
      <c r="T4" s="442" t="s">
        <v>135</v>
      </c>
      <c r="U4" s="443" t="s">
        <v>135</v>
      </c>
      <c r="V4" s="444" t="s">
        <v>80</v>
      </c>
      <c r="W4" s="577" t="s">
        <v>80</v>
      </c>
      <c r="X4" s="432"/>
      <c r="Y4" s="358" t="s">
        <v>92</v>
      </c>
      <c r="Z4" s="442" t="s">
        <v>135</v>
      </c>
      <c r="AA4" s="443" t="s">
        <v>135</v>
      </c>
      <c r="AB4" s="444" t="s">
        <v>80</v>
      </c>
      <c r="AC4" s="577" t="s">
        <v>80</v>
      </c>
      <c r="AD4" s="432"/>
      <c r="AE4" s="358" t="s">
        <v>92</v>
      </c>
      <c r="AF4" s="442" t="s">
        <v>135</v>
      </c>
      <c r="AG4" s="443" t="s">
        <v>135</v>
      </c>
      <c r="AH4" s="444" t="s">
        <v>80</v>
      </c>
      <c r="AI4" s="577" t="s">
        <v>80</v>
      </c>
      <c r="AJ4" s="432"/>
      <c r="AK4" s="358" t="s">
        <v>92</v>
      </c>
      <c r="AL4" s="442" t="s">
        <v>135</v>
      </c>
      <c r="AM4" s="443" t="s">
        <v>135</v>
      </c>
      <c r="AN4" s="444" t="s">
        <v>80</v>
      </c>
      <c r="AO4" s="577" t="s">
        <v>80</v>
      </c>
      <c r="AP4" s="432"/>
      <c r="AQ4" s="358" t="s">
        <v>92</v>
      </c>
      <c r="AR4" s="442" t="s">
        <v>135</v>
      </c>
      <c r="AS4" s="443" t="s">
        <v>135</v>
      </c>
      <c r="AT4" s="444" t="s">
        <v>80</v>
      </c>
      <c r="AU4" s="577" t="s">
        <v>80</v>
      </c>
      <c r="AV4" s="432"/>
      <c r="AW4" s="358" t="s">
        <v>92</v>
      </c>
      <c r="AX4" s="442" t="s">
        <v>135</v>
      </c>
      <c r="AY4" s="443" t="s">
        <v>135</v>
      </c>
      <c r="AZ4" s="444" t="s">
        <v>80</v>
      </c>
      <c r="BA4" s="577" t="s">
        <v>80</v>
      </c>
      <c r="BB4" s="432"/>
      <c r="BC4" s="358" t="s">
        <v>92</v>
      </c>
      <c r="BD4" s="442" t="s">
        <v>135</v>
      </c>
      <c r="BE4" s="443" t="s">
        <v>135</v>
      </c>
      <c r="BF4" s="444" t="s">
        <v>80</v>
      </c>
      <c r="BG4" s="577" t="s">
        <v>80</v>
      </c>
      <c r="BH4" s="432"/>
      <c r="BI4" s="358" t="s">
        <v>92</v>
      </c>
      <c r="BJ4" s="442" t="s">
        <v>135</v>
      </c>
      <c r="BK4" s="443" t="s">
        <v>135</v>
      </c>
      <c r="BL4" s="444" t="s">
        <v>80</v>
      </c>
      <c r="BM4" s="577" t="s">
        <v>80</v>
      </c>
      <c r="BN4" s="432"/>
      <c r="BO4" s="358" t="s">
        <v>92</v>
      </c>
      <c r="BP4" s="442" t="s">
        <v>135</v>
      </c>
      <c r="BQ4" s="443" t="s">
        <v>135</v>
      </c>
      <c r="BR4" s="444" t="s">
        <v>80</v>
      </c>
      <c r="BS4" s="577" t="s">
        <v>80</v>
      </c>
      <c r="BT4" s="432"/>
      <c r="BU4" s="358" t="s">
        <v>92</v>
      </c>
      <c r="BV4" s="442" t="s">
        <v>135</v>
      </c>
      <c r="BW4" s="443" t="s">
        <v>135</v>
      </c>
      <c r="BX4" s="444" t="s">
        <v>80</v>
      </c>
      <c r="BY4" s="577" t="s">
        <v>80</v>
      </c>
      <c r="BZ4" s="432"/>
    </row>
    <row r="5" spans="1:78" s="428" customFormat="1" ht="15" customHeight="1" x14ac:dyDescent="0.25">
      <c r="A5" s="213" t="s">
        <v>16</v>
      </c>
      <c r="B5" s="433" t="s">
        <v>135</v>
      </c>
      <c r="C5" s="439" t="s">
        <v>135</v>
      </c>
      <c r="D5" s="440" t="s">
        <v>135</v>
      </c>
      <c r="E5" s="441" t="s">
        <v>135</v>
      </c>
      <c r="F5" s="187"/>
      <c r="G5" s="358" t="s">
        <v>93</v>
      </c>
      <c r="H5" s="433" t="s">
        <v>135</v>
      </c>
      <c r="I5" s="439" t="s">
        <v>135</v>
      </c>
      <c r="J5" s="440" t="s">
        <v>135</v>
      </c>
      <c r="K5" s="441" t="s">
        <v>135</v>
      </c>
      <c r="L5" s="187"/>
      <c r="M5" s="358" t="s">
        <v>93</v>
      </c>
      <c r="N5" s="433">
        <v>43922</v>
      </c>
      <c r="O5" s="439" t="s">
        <v>356</v>
      </c>
      <c r="P5" s="1141">
        <v>0.115</v>
      </c>
      <c r="Q5" s="441" t="s">
        <v>135</v>
      </c>
      <c r="R5" s="187"/>
      <c r="S5" s="358" t="s">
        <v>93</v>
      </c>
      <c r="T5" s="433">
        <v>44307</v>
      </c>
      <c r="U5" s="439">
        <v>5.0000000000000001E-3</v>
      </c>
      <c r="V5" s="440">
        <v>0.1</v>
      </c>
      <c r="W5" s="441" t="s">
        <v>135</v>
      </c>
      <c r="X5" s="187"/>
      <c r="Y5" s="358" t="s">
        <v>93</v>
      </c>
      <c r="Z5" s="433">
        <v>44593</v>
      </c>
      <c r="AA5" s="439" t="s">
        <v>356</v>
      </c>
      <c r="AB5" s="1141">
        <v>0.12</v>
      </c>
      <c r="AC5" s="441" t="s">
        <v>135</v>
      </c>
      <c r="AD5" s="187"/>
      <c r="AE5" s="358" t="s">
        <v>93</v>
      </c>
      <c r="AF5" s="433">
        <v>44927</v>
      </c>
      <c r="AG5" s="439" t="s">
        <v>356</v>
      </c>
      <c r="AH5" s="440">
        <v>0.11</v>
      </c>
      <c r="AI5" s="441">
        <f>Tau_i</f>
        <v>3</v>
      </c>
      <c r="AJ5" s="187"/>
      <c r="AK5" s="358" t="s">
        <v>93</v>
      </c>
      <c r="AL5" s="433" t="s">
        <v>135</v>
      </c>
      <c r="AM5" s="439" t="s">
        <v>135</v>
      </c>
      <c r="AN5" s="440" t="s">
        <v>135</v>
      </c>
      <c r="AO5" s="441" t="s">
        <v>135</v>
      </c>
      <c r="AP5" s="187"/>
      <c r="AQ5" s="358" t="s">
        <v>93</v>
      </c>
      <c r="AR5" s="433" t="s">
        <v>135</v>
      </c>
      <c r="AS5" s="439" t="s">
        <v>135</v>
      </c>
      <c r="AT5" s="440" t="s">
        <v>135</v>
      </c>
      <c r="AU5" s="441" t="s">
        <v>135</v>
      </c>
      <c r="AV5" s="187"/>
      <c r="AW5" s="358" t="s">
        <v>93</v>
      </c>
      <c r="AX5" s="433" t="s">
        <v>135</v>
      </c>
      <c r="AY5" s="439" t="s">
        <v>135</v>
      </c>
      <c r="AZ5" s="440" t="s">
        <v>135</v>
      </c>
      <c r="BA5" s="441" t="s">
        <v>135</v>
      </c>
      <c r="BB5" s="187"/>
      <c r="BC5" s="358" t="s">
        <v>93</v>
      </c>
      <c r="BD5" s="433" t="s">
        <v>135</v>
      </c>
      <c r="BE5" s="439" t="s">
        <v>135</v>
      </c>
      <c r="BF5" s="440" t="s">
        <v>135</v>
      </c>
      <c r="BG5" s="441" t="s">
        <v>135</v>
      </c>
      <c r="BH5" s="187"/>
      <c r="BI5" s="358" t="s">
        <v>93</v>
      </c>
      <c r="BJ5" s="433" t="s">
        <v>135</v>
      </c>
      <c r="BK5" s="439" t="s">
        <v>135</v>
      </c>
      <c r="BL5" s="440" t="s">
        <v>135</v>
      </c>
      <c r="BM5" s="441" t="s">
        <v>135</v>
      </c>
      <c r="BN5" s="187"/>
      <c r="BO5" s="358" t="s">
        <v>93</v>
      </c>
      <c r="BP5" s="433" t="s">
        <v>135</v>
      </c>
      <c r="BQ5" s="439" t="s">
        <v>135</v>
      </c>
      <c r="BR5" s="440" t="s">
        <v>135</v>
      </c>
      <c r="BS5" s="441" t="s">
        <v>135</v>
      </c>
      <c r="BT5" s="187"/>
      <c r="BU5" s="358" t="s">
        <v>93</v>
      </c>
      <c r="BV5" s="433" t="s">
        <v>135</v>
      </c>
      <c r="BW5" s="439" t="s">
        <v>135</v>
      </c>
      <c r="BX5" s="440" t="s">
        <v>135</v>
      </c>
      <c r="BY5" s="441" t="s">
        <v>135</v>
      </c>
      <c r="BZ5" s="187"/>
    </row>
    <row r="6" spans="1:78" s="428" customFormat="1" ht="15" customHeight="1" x14ac:dyDescent="0.25">
      <c r="A6" s="213" t="s">
        <v>18</v>
      </c>
      <c r="B6" s="420" t="s">
        <v>135</v>
      </c>
      <c r="C6" s="434" t="s">
        <v>135</v>
      </c>
      <c r="D6" s="1252" t="s">
        <v>135</v>
      </c>
      <c r="E6" s="1252"/>
      <c r="F6" s="188"/>
      <c r="G6" s="358" t="s">
        <v>94</v>
      </c>
      <c r="H6" s="420" t="s">
        <v>135</v>
      </c>
      <c r="I6" s="434" t="s">
        <v>135</v>
      </c>
      <c r="J6" s="1252" t="s">
        <v>135</v>
      </c>
      <c r="K6" s="1252"/>
      <c r="L6" s="188"/>
      <c r="M6" s="358" t="s">
        <v>94</v>
      </c>
      <c r="N6" s="420" t="s">
        <v>135</v>
      </c>
      <c r="O6" s="434" t="s">
        <v>135</v>
      </c>
      <c r="P6" s="1252" t="s">
        <v>135</v>
      </c>
      <c r="Q6" s="1252"/>
      <c r="R6" s="188"/>
      <c r="S6" s="358" t="s">
        <v>94</v>
      </c>
      <c r="T6" s="420" t="s">
        <v>135</v>
      </c>
      <c r="U6" s="434" t="s">
        <v>135</v>
      </c>
      <c r="V6" s="1252" t="s">
        <v>135</v>
      </c>
      <c r="W6" s="1252"/>
      <c r="X6" s="188"/>
      <c r="Y6" s="358" t="s">
        <v>94</v>
      </c>
      <c r="Z6" s="420" t="s">
        <v>135</v>
      </c>
      <c r="AA6" s="434" t="s">
        <v>135</v>
      </c>
      <c r="AB6" s="1252" t="s">
        <v>135</v>
      </c>
      <c r="AC6" s="1252"/>
      <c r="AD6" s="188"/>
      <c r="AE6" s="358" t="s">
        <v>94</v>
      </c>
      <c r="AF6" s="420" t="s">
        <v>135</v>
      </c>
      <c r="AG6" s="434" t="s">
        <v>135</v>
      </c>
      <c r="AH6" s="1252" t="s">
        <v>135</v>
      </c>
      <c r="AI6" s="1252"/>
      <c r="AJ6" s="188"/>
      <c r="AK6" s="358" t="s">
        <v>94</v>
      </c>
      <c r="AL6" s="420" t="s">
        <v>135</v>
      </c>
      <c r="AM6" s="434" t="s">
        <v>135</v>
      </c>
      <c r="AN6" s="1252" t="s">
        <v>135</v>
      </c>
      <c r="AO6" s="1252"/>
      <c r="AP6" s="188"/>
      <c r="AQ6" s="358" t="s">
        <v>94</v>
      </c>
      <c r="AR6" s="420" t="s">
        <v>135</v>
      </c>
      <c r="AS6" s="434" t="s">
        <v>135</v>
      </c>
      <c r="AT6" s="1252" t="s">
        <v>135</v>
      </c>
      <c r="AU6" s="1252"/>
      <c r="AV6" s="188"/>
      <c r="AW6" s="358" t="s">
        <v>94</v>
      </c>
      <c r="AX6" s="420" t="s">
        <v>135</v>
      </c>
      <c r="AY6" s="434" t="s">
        <v>135</v>
      </c>
      <c r="AZ6" s="1252" t="s">
        <v>135</v>
      </c>
      <c r="BA6" s="1252"/>
      <c r="BB6" s="188"/>
      <c r="BC6" s="358" t="s">
        <v>94</v>
      </c>
      <c r="BD6" s="420" t="s">
        <v>135</v>
      </c>
      <c r="BE6" s="434" t="s">
        <v>135</v>
      </c>
      <c r="BF6" s="1252" t="s">
        <v>135</v>
      </c>
      <c r="BG6" s="1252"/>
      <c r="BH6" s="188"/>
      <c r="BI6" s="358" t="s">
        <v>94</v>
      </c>
      <c r="BJ6" s="420" t="s">
        <v>135</v>
      </c>
      <c r="BK6" s="434" t="s">
        <v>135</v>
      </c>
      <c r="BL6" s="1252" t="s">
        <v>135</v>
      </c>
      <c r="BM6" s="1252"/>
      <c r="BN6" s="188"/>
      <c r="BO6" s="358" t="s">
        <v>94</v>
      </c>
      <c r="BP6" s="420" t="s">
        <v>135</v>
      </c>
      <c r="BQ6" s="434" t="s">
        <v>135</v>
      </c>
      <c r="BR6" s="1252" t="s">
        <v>135</v>
      </c>
      <c r="BS6" s="1252"/>
      <c r="BT6" s="188"/>
      <c r="BU6" s="358" t="s">
        <v>94</v>
      </c>
      <c r="BV6" s="420" t="s">
        <v>135</v>
      </c>
      <c r="BW6" s="434" t="s">
        <v>135</v>
      </c>
      <c r="BX6" s="1252" t="s">
        <v>135</v>
      </c>
      <c r="BY6" s="1252"/>
      <c r="BZ6" s="188"/>
    </row>
    <row r="7" spans="1:78" ht="15.75" x14ac:dyDescent="0.25">
      <c r="A7" s="828" t="s">
        <v>253</v>
      </c>
      <c r="B7" s="431"/>
      <c r="C7" s="431"/>
      <c r="D7" s="221"/>
      <c r="E7" s="1250">
        <f>'2018'!Dépas_env</f>
        <v>8.9659887314030851E-3</v>
      </c>
      <c r="F7" s="1251"/>
      <c r="G7" s="828" t="s">
        <v>252</v>
      </c>
      <c r="H7" s="431"/>
      <c r="I7" s="431"/>
      <c r="J7" s="221"/>
      <c r="K7" s="1250">
        <f>'2019'!Dépas_env</f>
        <v>4.7367195727860301E-2</v>
      </c>
      <c r="L7" s="1251"/>
      <c r="M7" s="828" t="s">
        <v>252</v>
      </c>
      <c r="N7" s="431"/>
      <c r="O7" s="431"/>
      <c r="P7" s="221"/>
      <c r="Q7" s="1250">
        <f>'2020'!Dépas_env</f>
        <v>4.7327367668172693E-2</v>
      </c>
      <c r="R7" s="1251"/>
      <c r="S7" s="828" t="s">
        <v>252</v>
      </c>
      <c r="T7" s="431"/>
      <c r="U7" s="431"/>
      <c r="V7" s="221"/>
      <c r="W7" s="1250">
        <f>'2021'!Dépas_env</f>
        <v>4.6574803264006315E-2</v>
      </c>
      <c r="X7" s="1251"/>
      <c r="Y7" s="828" t="s">
        <v>252</v>
      </c>
      <c r="Z7" s="431"/>
      <c r="AA7" s="431"/>
      <c r="AB7" s="221"/>
      <c r="AC7" s="1250">
        <f>'2022'!Dépas_env</f>
        <v>4.4165880340934383E-2</v>
      </c>
      <c r="AD7" s="1251"/>
      <c r="AE7" s="828" t="s">
        <v>252</v>
      </c>
      <c r="AF7" s="431"/>
      <c r="AG7" s="431"/>
      <c r="AH7" s="221"/>
      <c r="AI7" s="1250">
        <f>'2023'!Dépas_env</f>
        <v>4.416588034093416E-2</v>
      </c>
      <c r="AJ7" s="1251"/>
      <c r="AK7" s="828" t="s">
        <v>252</v>
      </c>
      <c r="AL7" s="431"/>
      <c r="AM7" s="431"/>
      <c r="AN7" s="221"/>
      <c r="AO7" s="1250">
        <f>'2024'!Dépas_env</f>
        <v>4.4165880340934383E-2</v>
      </c>
      <c r="AP7" s="1251"/>
      <c r="AQ7" s="828" t="s">
        <v>252</v>
      </c>
      <c r="AR7" s="431"/>
      <c r="AS7" s="431"/>
      <c r="AT7" s="221"/>
      <c r="AU7" s="1250">
        <f>'2025'!Dépas_env</f>
        <v>4.4165880340934383E-2</v>
      </c>
      <c r="AV7" s="1251"/>
      <c r="AW7" s="828" t="s">
        <v>252</v>
      </c>
      <c r="AX7" s="431"/>
      <c r="AY7" s="431"/>
      <c r="AZ7" s="221"/>
      <c r="BA7" s="1250">
        <f>'2026'!Dépas_env</f>
        <v>4.4165880340934383E-2</v>
      </c>
      <c r="BB7" s="1251"/>
      <c r="BC7" s="828" t="s">
        <v>252</v>
      </c>
      <c r="BD7" s="431"/>
      <c r="BE7" s="431"/>
      <c r="BF7" s="221"/>
      <c r="BG7" s="1250">
        <f>'2027'!Dépas_env</f>
        <v>4.4165880340934383E-2</v>
      </c>
      <c r="BH7" s="1251"/>
      <c r="BI7" s="828" t="s">
        <v>252</v>
      </c>
      <c r="BJ7" s="431"/>
      <c r="BK7" s="431"/>
      <c r="BL7" s="221"/>
      <c r="BM7" s="1250"/>
      <c r="BN7" s="1251"/>
      <c r="BO7" s="828" t="s">
        <v>252</v>
      </c>
      <c r="BP7" s="431"/>
      <c r="BQ7" s="431"/>
      <c r="BR7" s="221"/>
      <c r="BS7" s="1250"/>
      <c r="BT7" s="1251"/>
      <c r="BU7" s="828" t="s">
        <v>252</v>
      </c>
      <c r="BV7" s="431"/>
      <c r="BW7" s="431"/>
      <c r="BX7" s="221"/>
      <c r="BY7" s="1250"/>
      <c r="BZ7" s="1251"/>
    </row>
    <row r="8" spans="1:78" ht="15.75" x14ac:dyDescent="0.25">
      <c r="A8" s="427" t="s">
        <v>134</v>
      </c>
      <c r="T8" s="655" t="s">
        <v>195</v>
      </c>
    </row>
    <row r="9" spans="1:78" s="28" customFormat="1" ht="15" customHeight="1" x14ac:dyDescent="0.25">
      <c r="A9" s="446" t="s">
        <v>77</v>
      </c>
      <c r="B9" s="580">
        <f>IF(B4="D",T0,IF(YEAR(B4)=A3,B4, "err."))</f>
        <v>43259</v>
      </c>
      <c r="C9" s="581">
        <f>IF(B9&gt;T0,IF(C4="D",0,C4),0)</f>
        <v>0</v>
      </c>
      <c r="D9" s="582" t="s">
        <v>80</v>
      </c>
      <c r="E9" s="463" t="s">
        <v>80</v>
      </c>
      <c r="F9" s="1193">
        <f>IF(C5="I",T0,B10)</f>
        <v>43259</v>
      </c>
      <c r="G9" s="447" t="s">
        <v>92</v>
      </c>
      <c r="H9" s="580">
        <f>IF(H4="D",B9,IF(YEAR(H4)=G3,H4, "err."))</f>
        <v>43259</v>
      </c>
      <c r="I9" s="581">
        <f>IF(YEAR(H9)=G3,IF(I4="D",C9,I4),C9)</f>
        <v>0</v>
      </c>
      <c r="J9" s="583" t="s">
        <v>80</v>
      </c>
      <c r="K9" s="451" t="s">
        <v>80</v>
      </c>
      <c r="L9" s="1193">
        <f>IF(I5="I",F9,IF(YEAR(H10)=G3,H10,F9))</f>
        <v>43259</v>
      </c>
      <c r="M9" s="449" t="s">
        <v>92</v>
      </c>
      <c r="N9" s="580">
        <f>IF(N4="D",H9,IF(YEAR(N4)=M3,N4, "err."))</f>
        <v>43259</v>
      </c>
      <c r="O9" s="581">
        <f>IF(YEAR(N9)=M3,IF(O4="D",I9,O4),I9)</f>
        <v>0</v>
      </c>
      <c r="P9" s="583" t="s">
        <v>80</v>
      </c>
      <c r="Q9" s="451" t="s">
        <v>80</v>
      </c>
      <c r="R9" s="1193">
        <f>IF(O5="I",L9,IF(YEAR(N10)=M3,N10,L9))</f>
        <v>43259</v>
      </c>
      <c r="S9" s="447" t="s">
        <v>92</v>
      </c>
      <c r="T9" s="580">
        <f>IF(T4="D",N9,IF(YEAR(T4)=S3,T4, "err."))</f>
        <v>43259</v>
      </c>
      <c r="U9" s="581">
        <f>IF(YEAR(T9)=S3,IF(U4="D",O9,U4),O9)</f>
        <v>0</v>
      </c>
      <c r="V9" s="583" t="s">
        <v>80</v>
      </c>
      <c r="W9" s="451" t="s">
        <v>80</v>
      </c>
      <c r="X9" s="1193">
        <f>IF(U5="I",R9,IF(YEAR(T10)=S3,T10,R9))</f>
        <v>44307</v>
      </c>
      <c r="Y9" s="447" t="s">
        <v>92</v>
      </c>
      <c r="Z9" s="580">
        <f>IF(Z4="D",T9,IF(YEAR(Z4)=Y3,Z4, "err."))</f>
        <v>43259</v>
      </c>
      <c r="AA9" s="581">
        <f>IF(YEAR(Z9)=Y3,IF(AA4="D",U9,AA4),U9)</f>
        <v>0</v>
      </c>
      <c r="AB9" s="583" t="s">
        <v>80</v>
      </c>
      <c r="AC9" s="451" t="s">
        <v>80</v>
      </c>
      <c r="AD9" s="1193">
        <f>IF(AA5="I",X9,IF(YEAR(Z10)=Y3,Z10,X9))</f>
        <v>44307</v>
      </c>
      <c r="AE9" s="447" t="s">
        <v>92</v>
      </c>
      <c r="AF9" s="580">
        <f>IF(AF4="D",Z9,IF(YEAR(AF4)=AE3,AF4, "err."))</f>
        <v>43259</v>
      </c>
      <c r="AG9" s="581">
        <f>IF(YEAR(AF9)=AE3,IF(AG4="D",AA9,AG4),AA9)</f>
        <v>0</v>
      </c>
      <c r="AH9" s="583" t="s">
        <v>80</v>
      </c>
      <c r="AI9" s="451" t="s">
        <v>80</v>
      </c>
      <c r="AJ9" s="1193">
        <f>IF(AG5="I",AD9,IF(YEAR(AF10)=AE3,AF10,AD9))</f>
        <v>44307</v>
      </c>
      <c r="AK9" s="447" t="s">
        <v>92</v>
      </c>
      <c r="AL9" s="596">
        <f>IF(AL4="D",AF9,AL4)</f>
        <v>43259</v>
      </c>
      <c r="AM9" s="597">
        <f>IF(AM4="D",AG9,AM4)</f>
        <v>0</v>
      </c>
      <c r="AN9" s="583" t="s">
        <v>80</v>
      </c>
      <c r="AO9" s="598" t="s">
        <v>80</v>
      </c>
      <c r="AP9" s="1193">
        <f>IF(AM5="I",AJ9,IF(YEAR(AL10)=AK3,AL10,AJ9))</f>
        <v>45412</v>
      </c>
      <c r="AQ9" s="447" t="s">
        <v>92</v>
      </c>
      <c r="AR9" s="580">
        <f>IF(AR4="D",AL9,AR4)</f>
        <v>43259</v>
      </c>
      <c r="AS9" s="581">
        <f>IF(AS4="D",AM9,AS4)</f>
        <v>0</v>
      </c>
      <c r="AT9" s="583" t="s">
        <v>80</v>
      </c>
      <c r="AU9" s="451" t="s">
        <v>80</v>
      </c>
      <c r="AV9" s="1193">
        <f>IF(AS5="I",AP9,IF(YEAR(AR10)=AQ3,AR10,AP9))</f>
        <v>45412</v>
      </c>
      <c r="AW9" s="447" t="s">
        <v>92</v>
      </c>
      <c r="AX9" s="580">
        <f>IF(AX4="D",AR9,AX4)</f>
        <v>43259</v>
      </c>
      <c r="AY9" s="581">
        <f>IF(AY4="D",AS9,AY4)</f>
        <v>0</v>
      </c>
      <c r="AZ9" s="583" t="s">
        <v>80</v>
      </c>
      <c r="BA9" s="451" t="s">
        <v>80</v>
      </c>
      <c r="BB9" s="1193">
        <f>IF(AY5="I",AV9,IF(YEAR(AX10)=AW3,AX10,AV9))</f>
        <v>46142</v>
      </c>
      <c r="BC9" s="447" t="s">
        <v>92</v>
      </c>
      <c r="BD9" s="580">
        <f>IF(BD4="D",AX9,BD4)</f>
        <v>43259</v>
      </c>
      <c r="BE9" s="581">
        <f>IF(BE4="D",AY9,BE4)</f>
        <v>0</v>
      </c>
      <c r="BF9" s="583" t="s">
        <v>80</v>
      </c>
      <c r="BG9" s="451" t="s">
        <v>80</v>
      </c>
      <c r="BH9" s="1193">
        <f>IF(BE5="I",BB9,IF(YEAR(BD10)=BC3,BD10,BB9))</f>
        <v>46142</v>
      </c>
      <c r="BI9" s="447" t="s">
        <v>92</v>
      </c>
      <c r="BJ9" s="580">
        <f>IF(BJ4="D",BD9,BJ4)</f>
        <v>43259</v>
      </c>
      <c r="BK9" s="581">
        <f>IF(BK4="D",BE9,BK4)</f>
        <v>0</v>
      </c>
      <c r="BL9" s="583" t="s">
        <v>80</v>
      </c>
      <c r="BM9" s="451" t="s">
        <v>80</v>
      </c>
      <c r="BN9" s="1193" t="e">
        <f>IF(BK5="I",BH9,IF(YEAR(BJ10)=BI3,BJ10,BH9))</f>
        <v>#NAME?</v>
      </c>
      <c r="BO9" s="447" t="s">
        <v>92</v>
      </c>
      <c r="BP9" s="580">
        <f>IF(BP4="D",BJ9,BP4)</f>
        <v>43259</v>
      </c>
      <c r="BQ9" s="581">
        <f>IF(BQ4="D",BK9,BQ4)</f>
        <v>0</v>
      </c>
      <c r="BR9" s="583" t="s">
        <v>80</v>
      </c>
      <c r="BS9" s="451" t="s">
        <v>80</v>
      </c>
      <c r="BT9" s="1193" t="e">
        <f>IF(BQ5="I",BN9,IF(YEAR(BP10)=BO3,BP10,BN9))</f>
        <v>#NAME?</v>
      </c>
      <c r="BU9" s="447" t="s">
        <v>92</v>
      </c>
      <c r="BV9" s="580">
        <f>IF(BV4="D",BP9,BV4)</f>
        <v>43259</v>
      </c>
      <c r="BW9" s="581">
        <f>IF(BW4="D",BQ9,BW4)</f>
        <v>0</v>
      </c>
      <c r="BX9" s="583" t="s">
        <v>80</v>
      </c>
      <c r="BY9" s="451" t="s">
        <v>80</v>
      </c>
      <c r="BZ9" s="1193" t="e">
        <f>IF(BW5="I",BT9,IF(YEAR(BV10)=BU3,BV10,BT9))</f>
        <v>#NAME?</v>
      </c>
    </row>
    <row r="10" spans="1:78" s="450" customFormat="1" ht="15" customHeight="1" x14ac:dyDescent="0.25">
      <c r="A10" s="464" t="s">
        <v>16</v>
      </c>
      <c r="B10" s="578">
        <f>IF(B5="D",T0,IF(YEAR(B5)=A3,B5, "err."))</f>
        <v>43259</v>
      </c>
      <c r="C10" s="584">
        <f>IF(B10&gt;T0,IF(C5="D",0,C5),0)</f>
        <v>0</v>
      </c>
      <c r="D10" s="585">
        <f>IF(YEAR(B10)=A3,IF(D5="D",Salim_i,D5),Salim_i)</f>
        <v>7.0000000000000007E-2</v>
      </c>
      <c r="E10" s="586">
        <f>IF(E5="D",Tau_i,IF(YEAR(B10)=A3,E5,Tau_i))</f>
        <v>3</v>
      </c>
      <c r="F10" s="1194">
        <f>C10</f>
        <v>0</v>
      </c>
      <c r="G10" s="449" t="s">
        <v>93</v>
      </c>
      <c r="H10" s="578">
        <f>IF(H5="D",IF(AND(G3&gt;=YEAR(F9)+Inter_net,G3&gt;Amaj),DATE(G3,4,30),B10),IF(YEAR(H5)=G3,H5,"err."))</f>
        <v>43259</v>
      </c>
      <c r="I10" s="584">
        <f>IF(G3=YEAR(H10),IF(I5="D",F10,I5),C13)</f>
        <v>0</v>
      </c>
      <c r="J10" s="585">
        <f>IF(G3=YEAR(H10),IF(J5="D",D10,J5),D10)</f>
        <v>7.0000000000000007E-2</v>
      </c>
      <c r="K10" s="586">
        <f>IF(G3=YEAR(H10),IF(K5="D",E10,K5),E10)</f>
        <v>3</v>
      </c>
      <c r="L10" s="1194">
        <f>IF(I5="I",F10,IF(I5="D",F10,I5))</f>
        <v>0</v>
      </c>
      <c r="M10" s="449" t="s">
        <v>93</v>
      </c>
      <c r="N10" s="578">
        <f>IF(N5="D",IF(AND(M3&gt;=YEAR(L9)+Inter_net,M3&gt;Amaj),DATE(M3,4,30),H10),IF(YEAR(N5)=M3,N5,"err."))</f>
        <v>43922</v>
      </c>
      <c r="O10" s="584" t="str">
        <f>IF(M3=YEAR(N10),IF(O5="D",L10,O5),I13)</f>
        <v>I</v>
      </c>
      <c r="P10" s="585">
        <f>IF(M3=YEAR(N10),IF(P5="D",J10,P5),J10)</f>
        <v>0.115</v>
      </c>
      <c r="Q10" s="586">
        <f>IF(M3=YEAR(N10),IF(Q5="D",K10,Q5),K10)</f>
        <v>3</v>
      </c>
      <c r="R10" s="1194">
        <f>IF(O5="I",L10,IF(O5="D",L10,O5))</f>
        <v>0</v>
      </c>
      <c r="S10" s="449" t="s">
        <v>93</v>
      </c>
      <c r="T10" s="578">
        <f>IF(T5="D",IF(AND(S3&gt;=YEAR(R9)+Inter_net,S3&gt;Amaj),DATE(S3,4,30),N10),IF(YEAR(T5)=S3,T5,"err."))</f>
        <v>44307</v>
      </c>
      <c r="U10" s="584">
        <f>IF(S3=YEAR(T10),IF(U5="D",R10,U5),O13)</f>
        <v>5.0000000000000001E-3</v>
      </c>
      <c r="V10" s="585">
        <f>IF(S3=YEAR(T10),IF(V5="D",P10,V5),P10)</f>
        <v>0.1</v>
      </c>
      <c r="W10" s="586">
        <f>IF(S3=YEAR(T10),IF(W5="D",Q10,W5),Q10)</f>
        <v>3</v>
      </c>
      <c r="X10" s="1194">
        <f>IF(U5="I",R10,IF(U5="D",R10,U5))</f>
        <v>5.0000000000000001E-3</v>
      </c>
      <c r="Y10" s="449" t="s">
        <v>93</v>
      </c>
      <c r="Z10" s="578">
        <f>IF(Z5="D",IF(AND(Y3&gt;=YEAR(X9)+Inter_net,Y3&gt;Amaj),DATE(Y3,4,30),T10),IF(YEAR(Z5)=Y3,Z5,"err."))</f>
        <v>44593</v>
      </c>
      <c r="AA10" s="584" t="str">
        <f>IF(Y3=YEAR(Z10),IF(AA5="D",X10,AA5),U13)</f>
        <v>I</v>
      </c>
      <c r="AB10" s="585">
        <f>IF(Y3=YEAR(Z10),IF(AB5="D",V10,AB5),V10)</f>
        <v>0.12</v>
      </c>
      <c r="AC10" s="586">
        <f>IF(Y3=YEAR(Z10),IF(AC5="D",W10,AC5),W10)</f>
        <v>3</v>
      </c>
      <c r="AD10" s="1194">
        <f>IF(AA5="I",X10,IF(AA5="D",X10,AA5))</f>
        <v>5.0000000000000001E-3</v>
      </c>
      <c r="AE10" s="449" t="s">
        <v>93</v>
      </c>
      <c r="AF10" s="578">
        <f>IF(AF5="D",IF(AND(AE3&gt;=YEAR(AD9)+Inter_net,AE3&gt;Amaj),DATE(AE3,4,30),Z10),IF(YEAR(AF5)=AE3,AF5,"err."))</f>
        <v>44927</v>
      </c>
      <c r="AG10" s="584" t="str">
        <f>IF(AE3=YEAR(AF10),IF(AG5="D",AD10,AG5),AA13)</f>
        <v>I</v>
      </c>
      <c r="AH10" s="585">
        <f>IF(AE3=YEAR(AF10),IF(AH5="D",AB10,AH5),AB10)</f>
        <v>0.11</v>
      </c>
      <c r="AI10" s="586">
        <f>IF(AE3=YEAR(AF10),IF(AI5="D",AC10,AI5),AC10)</f>
        <v>3</v>
      </c>
      <c r="AJ10" s="1194">
        <f>IF(AG5="I",AD10,IF(AG5="D",AD10,AG5))</f>
        <v>5.0000000000000001E-3</v>
      </c>
      <c r="AK10" s="449" t="s">
        <v>93</v>
      </c>
      <c r="AL10" s="578">
        <f>IF(AL5="D",IF(AND(AK3&gt;=YEAR(AJ9)+Inter_net,AK3&gt;Amaj),DATE(AK3,4,30),AF10),IF(YEAR(AL5)=AK3,AL5,"err."))</f>
        <v>45412</v>
      </c>
      <c r="AM10" s="584">
        <f>IF(AK3=YEAR(AL10),IF(AM5="D",AJ10,AM5),AG13)</f>
        <v>5.0000000000000001E-3</v>
      </c>
      <c r="AN10" s="585">
        <f>IF(AN5="D",AH10,AN5)</f>
        <v>0.11</v>
      </c>
      <c r="AO10" s="586">
        <f>IF(AO5="D",AI10,AO5)</f>
        <v>3</v>
      </c>
      <c r="AP10" s="1194">
        <f>IF(AM5="I",AJ10,IF(AM5="D",AJ10,AM5))</f>
        <v>5.0000000000000001E-3</v>
      </c>
      <c r="AQ10" s="449" t="s">
        <v>93</v>
      </c>
      <c r="AR10" s="578">
        <f>IF(AR5="D",IF(AND(AQ3&gt;=YEAR(AP9)+Inter_net,AQ3&gt;Amaj),DATE(AQ3,4,30),AL10),IF(YEAR(AR5)=AQ3,AR5,"err."))</f>
        <v>45412</v>
      </c>
      <c r="AS10" s="584">
        <f>IF(AQ3=YEAR(AR10),IF(AS5="D",AP10,AS5),AM13)</f>
        <v>5.0000000000000001E-3</v>
      </c>
      <c r="AT10" s="585">
        <f>IF(AT5="D",AN10,AT5)</f>
        <v>0.11</v>
      </c>
      <c r="AU10" s="586">
        <f>IF(AU5="D",AO10,AU5)</f>
        <v>3</v>
      </c>
      <c r="AV10" s="1194">
        <f>IF(AS5="I",AP10,IF(AS5="D",AP10,AS5))</f>
        <v>5.0000000000000001E-3</v>
      </c>
      <c r="AW10" s="449" t="s">
        <v>93</v>
      </c>
      <c r="AX10" s="578">
        <f>IF(AX5="D",IF(AND(AW3&gt;=YEAR(AV9)+Inter_net,AW3&gt;Amaj),DATE(AW3,4,30),AR10),IF(YEAR(AX5)=AW3,AX5,"err."))</f>
        <v>46142</v>
      </c>
      <c r="AY10" s="584">
        <f>IF(AW3=YEAR(AX10),IF(AY5="D",AV10,AY5),AS13)</f>
        <v>5.0000000000000001E-3</v>
      </c>
      <c r="AZ10" s="585">
        <f>IF(AZ5="D",AT10,AZ5)</f>
        <v>0.11</v>
      </c>
      <c r="BA10" s="586">
        <f>IF(BA5="D",AU10,BA5)</f>
        <v>3</v>
      </c>
      <c r="BB10" s="1194">
        <f>IF(AY5="I",AV10,IF(AY5="D",AV10,AY5))</f>
        <v>5.0000000000000001E-3</v>
      </c>
      <c r="BC10" s="449" t="s">
        <v>93</v>
      </c>
      <c r="BD10" s="578">
        <f>IF(BD5="D",IF(AND(BC3&gt;=YEAR(BB9)+Inter_net,BC3&gt;Amaj),DATE(BC3,4,30),AX10),IF(YEAR(BD5)=BC3,BD5,"err."))</f>
        <v>46142</v>
      </c>
      <c r="BE10" s="584">
        <f>IF(BC3=YEAR(BD10),IF(BE5="D",BB10,BE5),AY13)</f>
        <v>5.0000000000000001E-3</v>
      </c>
      <c r="BF10" s="585">
        <f>IF(BF5="D",AZ10,BF5)</f>
        <v>0.11</v>
      </c>
      <c r="BG10" s="586">
        <f>IF(BG5="D",BA10,BG5)</f>
        <v>3</v>
      </c>
      <c r="BH10" s="1194">
        <f>IF(BE5="I",BB10,IF(BE5="D",BB10,BE5))</f>
        <v>5.0000000000000001E-3</v>
      </c>
      <c r="BI10" s="449" t="s">
        <v>93</v>
      </c>
      <c r="BJ10" s="578" t="e">
        <f>IF(BJ5="D",IF(AND(BI3&gt;=YEAR(BH9)+Inter_net,BI3&gt;Amaj),DATE(BI3,4,30),BD10),IF(YEAR(BJ5)=BI3,BJ5,"err."))</f>
        <v>#NAME?</v>
      </c>
      <c r="BK10" s="584" t="e">
        <f>IF(BI3=YEAR(BJ10),IF(BK5="D",BH10,BK5),BE13)</f>
        <v>#NAME?</v>
      </c>
      <c r="BL10" s="585">
        <f>IF(BL5="D",BF10,BL5)</f>
        <v>0.11</v>
      </c>
      <c r="BM10" s="586">
        <f>IF(BM5="D",BG10,BM5)</f>
        <v>3</v>
      </c>
      <c r="BN10" s="1194">
        <f>IF(BK5="I",BH10,IF(BK5="D",BH10,BK5))</f>
        <v>5.0000000000000001E-3</v>
      </c>
      <c r="BO10" s="449" t="s">
        <v>93</v>
      </c>
      <c r="BP10" s="578" t="e">
        <f>IF(BP5="D",IF(AND(BO3&gt;=YEAR(BN9)+Inter_net,BO3&gt;Amaj),DATE(BO3,4,30),BJ10),IF(YEAR(BP5)=BO3,BP5,"err."))</f>
        <v>#NAME?</v>
      </c>
      <c r="BQ10" s="584" t="e">
        <f>IF(BO3=YEAR(BP10),IF(BQ5="D",BN10,BQ5),BK13)</f>
        <v>#NAME?</v>
      </c>
      <c r="BR10" s="585">
        <f>IF(BR5="D",BL10,BR5)</f>
        <v>0.11</v>
      </c>
      <c r="BS10" s="586">
        <f>IF(BS5="D",BM10,BS5)</f>
        <v>3</v>
      </c>
      <c r="BT10" s="1194">
        <f>IF(BQ5="I",BN10,IF(BQ5="D",BN10,BQ5))</f>
        <v>5.0000000000000001E-3</v>
      </c>
      <c r="BU10" s="449" t="s">
        <v>93</v>
      </c>
      <c r="BV10" s="578" t="e">
        <f>IF(BV5="D",IF(AND(BU3&gt;=YEAR(BT9)+Inter_net,BU3&gt;Amaj),DATE(BU3,4,30),BP10),IF(YEAR(BV5)=BU3,BV5,"err."))</f>
        <v>#NAME?</v>
      </c>
      <c r="BW10" s="584" t="e">
        <f>IF(BU3=YEAR(BV10),IF(BW5="D",BT10,BW5),BQ13)</f>
        <v>#NAME?</v>
      </c>
      <c r="BX10" s="585">
        <f>IF(BX5="D",BR10,BX5)</f>
        <v>0.11</v>
      </c>
      <c r="BY10" s="586">
        <f>IF(BY5="D",BS10,BY5)</f>
        <v>3</v>
      </c>
      <c r="BZ10" s="1194">
        <f>IF(BW5="I",BT10,IF(BW5="D",BT10,BW5))</f>
        <v>5.0000000000000001E-3</v>
      </c>
    </row>
    <row r="11" spans="1:78" s="450" customFormat="1" ht="15" customHeight="1" x14ac:dyDescent="0.25">
      <c r="A11" s="448" t="s">
        <v>18</v>
      </c>
      <c r="B11" s="579">
        <f>IF(B6="D",DATE(A3,1,1),IF(YEAR(B6)=A3,B6, "err."))</f>
        <v>43101</v>
      </c>
      <c r="C11" s="587">
        <f>IF(C6="D",D_i,C6)</f>
        <v>0.5</v>
      </c>
      <c r="D11" s="1256">
        <f>IF(D6="D",IF(B11&gt;DATE(A3,1,1),H_i,H_i+PousHi),D6)</f>
        <v>-1.5026106892122759</v>
      </c>
      <c r="E11" s="1256"/>
      <c r="F11" s="188"/>
      <c r="G11" s="449" t="s">
        <v>94</v>
      </c>
      <c r="H11" s="579">
        <f>IF(H6="D",IF(AND(G3&gt;=YEAR(B11)+Inter_tai,G3&gt;Amaj),DATE(G3,3,31),B11),IF(YEAR(H6)=G3,H6,"err."))</f>
        <v>43101</v>
      </c>
      <c r="I11" s="587">
        <f>IF(I6="D",IF(G3=YEAR(H11),D_i,C11),I6)</f>
        <v>0.5</v>
      </c>
      <c r="J11" s="1256">
        <f>IF(J6="D",IF(G3=YEAR(H11),H_i,D16+E16),J6)</f>
        <v>-1.0026107667502175</v>
      </c>
      <c r="K11" s="1256"/>
      <c r="L11" s="188"/>
      <c r="M11" s="449" t="s">
        <v>94</v>
      </c>
      <c r="N11" s="579">
        <f>IF(N6="D",IF(AND(M3&gt;=YEAR(H11)+Inter_tai,M3&gt;Amaj),DATE(M3,3,31),H11),IF(YEAR(N6)=M3,N6,"err."))</f>
        <v>43101</v>
      </c>
      <c r="O11" s="587">
        <f>IF(O6="D",IF(M3=YEAR(N11),D_i,I11),O6)</f>
        <v>0.5</v>
      </c>
      <c r="P11" s="1256">
        <f>IF(P6="D",IF(M3=YEAR(N11),H_i,J16+K16),P6)</f>
        <v>-0.50261084428815916</v>
      </c>
      <c r="Q11" s="1256"/>
      <c r="R11" s="188"/>
      <c r="S11" s="449" t="s">
        <v>94</v>
      </c>
      <c r="T11" s="579">
        <f>IF(T6="D",IF(AND(S3&gt;=YEAR(N11)+Inter_tai,S3&gt;Amaj),DATE(S3,3,31),N11),IF(YEAR(T6)=S3,T6,"err."))</f>
        <v>43101</v>
      </c>
      <c r="U11" s="587">
        <f>IF(U6="D",IF(S3=YEAR(T11),D_i,O11),U6)</f>
        <v>0.5</v>
      </c>
      <c r="V11" s="1256">
        <f>IF(V6="D",IF(S3=YEAR(T11),H_i,P16+Q16),V6)</f>
        <v>-2.6109218261007872E-3</v>
      </c>
      <c r="W11" s="1256"/>
      <c r="X11" s="188"/>
      <c r="Y11" s="449" t="s">
        <v>94</v>
      </c>
      <c r="Z11" s="579">
        <f>IF(Z6="D",IF(AND(Y3&gt;=YEAR(T11)+Inter_tai,Y3&gt;Amaj),DATE(Y3,3,31),T11),IF(YEAR(Z6)=Y3,Z6,"err."))</f>
        <v>43101</v>
      </c>
      <c r="AA11" s="587">
        <f>IF(AA6="D",IF(Y3=YEAR(Z11),D_i,U11),AA6)</f>
        <v>0.5</v>
      </c>
      <c r="AB11" s="1256">
        <f>IF(AB6="D",IF(Y3=YEAR(Z11),H_i,V16+W16),AB6)</f>
        <v>0.49738900063595753</v>
      </c>
      <c r="AC11" s="1256"/>
      <c r="AD11" s="188"/>
      <c r="AE11" s="449" t="s">
        <v>94</v>
      </c>
      <c r="AF11" s="579">
        <f>IF(AF6="D",IF(AND(AE3&gt;=YEAR(Z11)+Inter_tai,AE3&gt;Amaj),DATE(AE3,3,31),Z11),IF(YEAR(AF6)=AE3,AF6,"err."))</f>
        <v>43101</v>
      </c>
      <c r="AG11" s="587">
        <f>IF(AG6="D",IF(AE3=YEAR(AF11),D_i,AA11),AG6)</f>
        <v>0.5</v>
      </c>
      <c r="AH11" s="1256">
        <f>IF(AH6="D",IF(AE3=YEAR(AF11),H_i,AB16+AC16),AH6)</f>
        <v>0.99738892309801586</v>
      </c>
      <c r="AI11" s="1256"/>
      <c r="AJ11" s="188"/>
      <c r="AK11" s="449" t="s">
        <v>94</v>
      </c>
      <c r="AL11" s="579">
        <f>IF(AL6="D",IF(AND(AK3&gt;=YEAR(AF11)+Inter_tai,AK3&gt;Amaj),DATE(AK3,3,31),AF11),IF(YEAR(AL6)=AK3,AL6,"err."))</f>
        <v>43101</v>
      </c>
      <c r="AM11" s="587">
        <f>IF(AM6="D",IF(AK3=YEAR(AL11),D_i,AG11),AM6)</f>
        <v>0.5</v>
      </c>
      <c r="AN11" s="1256">
        <f>IF(AN6="D",IF(AK3=YEAR(AL11),H_i,AH16+PousHi),AN6)</f>
        <v>1.4973888455600741</v>
      </c>
      <c r="AO11" s="1256"/>
      <c r="AP11" s="188"/>
      <c r="AQ11" s="449" t="s">
        <v>94</v>
      </c>
      <c r="AR11" s="579">
        <f>IF(AR6="D",IF(AND(AQ3&gt;=YEAR(AL11)+Inter_tai,AQ3&gt;Amaj),DATE(AQ3,3,31),AL11),IF(YEAR(AR6)=AQ3,AR6,"err."))</f>
        <v>45747</v>
      </c>
      <c r="AS11" s="587">
        <f>IF(AS6="D",IF(AQ3=YEAR(AR11),D_i,AM11),AS6)</f>
        <v>0.5</v>
      </c>
      <c r="AT11" s="1256">
        <f>IF(AT6="D",IF(AQ3=YEAR(AR11),H_i,AN16+PousHi),AT6)</f>
        <v>-2.0026106892122759</v>
      </c>
      <c r="AU11" s="1256"/>
      <c r="AV11" s="188"/>
      <c r="AW11" s="449" t="s">
        <v>94</v>
      </c>
      <c r="AX11" s="579">
        <f>IF(AX6="D",IF(AND(AW3&gt;=YEAR(AR11)+Inter_tai,AW3&gt;Amaj),DATE(AW3,3,31),AR11),IF(YEAR(AX6)=AW3,AX6,"err."))</f>
        <v>45747</v>
      </c>
      <c r="AY11" s="587">
        <f>IF(AY6="D",IF(AW3=YEAR(AX11),D_i,AS11),AY6)</f>
        <v>0.5</v>
      </c>
      <c r="AZ11" s="1256">
        <f>IF(AZ6="D",IF(AW3=YEAR(AX11),H_i,AT16+PousHi),AZ6)</f>
        <v>-1.027598875889788</v>
      </c>
      <c r="BA11" s="1256"/>
      <c r="BB11" s="188"/>
      <c r="BC11" s="449" t="s">
        <v>94</v>
      </c>
      <c r="BD11" s="579">
        <f>IF(BD6="D",IF(AND(BC3&gt;=YEAR(AX11)+Inter_tai,BC3&gt;Amaj),DATE(BC3,3,31),AX11),IF(YEAR(BD6)=BC3,BD6,"err."))</f>
        <v>45747</v>
      </c>
      <c r="BE11" s="587">
        <f>IF(BE6="D",IF(BC3=YEAR(BD11),D_i,AY11),BE6)</f>
        <v>0.5</v>
      </c>
      <c r="BF11" s="1256">
        <f>IF(BF6="D",IF(BC3=YEAR(BD11),H_i,AZ16+PousHi),BF6)</f>
        <v>-0.52759895342772967</v>
      </c>
      <c r="BG11" s="1256"/>
      <c r="BH11" s="188"/>
      <c r="BI11" s="449" t="s">
        <v>94</v>
      </c>
      <c r="BJ11" s="579" t="e">
        <f>IF(BJ6="D",IF(AND(BI3&gt;=YEAR(BD11)+Inter_tai,BI3&gt;Amaj),DATE(BI3,3,31),BD11),IF(YEAR(BJ6)=BI3,BJ6,"err."))</f>
        <v>#NAME?</v>
      </c>
      <c r="BK11" s="587" t="e">
        <f>IF(BK6="D",IF(BI3=YEAR(BJ11),D_i,BE11),BK6)</f>
        <v>#NAME?</v>
      </c>
      <c r="BL11" s="1256" t="e">
        <f>IF(BL6="D",IF(BI3=YEAR(BJ11),H_i,BF16+PousHi),BL6)</f>
        <v>#NAME?</v>
      </c>
      <c r="BM11" s="1256"/>
      <c r="BN11" s="188"/>
      <c r="BO11" s="449" t="s">
        <v>94</v>
      </c>
      <c r="BP11" s="579" t="e">
        <f>IF(BP6="D",IF(AND(BO3&gt;=YEAR(BJ11)+Inter_tai,BO3&gt;Amaj),DATE(BO3,3,31),BJ11),IF(YEAR(BP6)=BO3,BP6,"err."))</f>
        <v>#NAME?</v>
      </c>
      <c r="BQ11" s="587" t="e">
        <f>IF(BQ6="D",IF(BO3=YEAR(BP11),D_i,BK11),BQ6)</f>
        <v>#NAME?</v>
      </c>
      <c r="BR11" s="1256" t="e">
        <f>IF(BR6="D",IF(BO3=YEAR(BP11),H_i,BL16+PousHi),BR6)</f>
        <v>#NAME?</v>
      </c>
      <c r="BS11" s="1256"/>
      <c r="BT11" s="188"/>
      <c r="BU11" s="449" t="s">
        <v>94</v>
      </c>
      <c r="BV11" s="579" t="e">
        <f>IF(BV6="D",IF(AND(BU3&gt;=YEAR(BP11)+Inter_tai,BU3&gt;Amaj),DATE(BU3,3,31),BP11),IF(YEAR(BV6)=BU3,BV6,"err."))</f>
        <v>#NAME?</v>
      </c>
      <c r="BW11" s="587" t="e">
        <f>IF(BW6="D",IF(BU3=YEAR(BV11),D_i,BQ11),BW6)</f>
        <v>#NAME?</v>
      </c>
      <c r="BX11" s="1256" t="e">
        <f>IF(BX6="D",IF(BU3=YEAR(BV11),H_i,BR16+PousHi),BX6)</f>
        <v>#NAME?</v>
      </c>
      <c r="BY11" s="1256"/>
      <c r="BZ11" s="188"/>
    </row>
    <row r="12" spans="1:78" x14ac:dyDescent="0.25">
      <c r="A12" s="8" t="s">
        <v>165</v>
      </c>
      <c r="B12" s="445"/>
      <c r="C12" s="455"/>
      <c r="D12" s="403"/>
      <c r="E12" s="456"/>
      <c r="H12" s="445"/>
      <c r="L12" s="466"/>
      <c r="M12" s="456"/>
      <c r="AL12" s="456"/>
      <c r="AM12" s="455"/>
      <c r="AN12" s="403"/>
      <c r="AO12" s="456"/>
    </row>
    <row r="13" spans="1:78" s="409" customFormat="1" ht="15" customHeight="1" x14ac:dyDescent="0.25">
      <c r="A13" s="460" t="s">
        <v>16</v>
      </c>
      <c r="B13" s="588">
        <f>+'2018'!Tnet</f>
        <v>43259</v>
      </c>
      <c r="C13" s="589">
        <f>+'2018'!Resal</f>
        <v>0</v>
      </c>
      <c r="D13" s="590">
        <f>+'2018'!Salim</f>
        <v>7.0000000000000007E-2</v>
      </c>
      <c r="E13" s="591">
        <f>+'2018'!Tau_j/365</f>
        <v>3</v>
      </c>
      <c r="F13" s="465"/>
      <c r="G13" s="467" t="s">
        <v>93</v>
      </c>
      <c r="H13" s="588">
        <f>+'2019'!Tnet</f>
        <v>43259</v>
      </c>
      <c r="I13" s="589">
        <f>+'2019'!Resal</f>
        <v>0</v>
      </c>
      <c r="J13" s="590">
        <f>+'2019'!Salim</f>
        <v>7.0000000000000007E-2</v>
      </c>
      <c r="K13" s="591">
        <f>+'2019'!Tau_j/365</f>
        <v>3</v>
      </c>
      <c r="L13" s="468"/>
      <c r="M13" s="449" t="s">
        <v>93</v>
      </c>
      <c r="N13" s="588">
        <f>+'2020'!Tnet</f>
        <v>43922</v>
      </c>
      <c r="O13" s="589">
        <f>+'2020'!Resal</f>
        <v>3.1793112897840876E-2</v>
      </c>
      <c r="P13" s="590">
        <f>+'2020'!Salim</f>
        <v>0.115</v>
      </c>
      <c r="Q13" s="591">
        <f>+'2020'!Tau_j/365</f>
        <v>3</v>
      </c>
      <c r="R13" s="468"/>
      <c r="S13" s="449" t="s">
        <v>93</v>
      </c>
      <c r="T13" s="588">
        <f>+'2021'!Tnet</f>
        <v>44307</v>
      </c>
      <c r="U13" s="589">
        <f>+'2021'!Resal</f>
        <v>5.0000000000000001E-3</v>
      </c>
      <c r="V13" s="590">
        <f>+'2021'!Salim</f>
        <v>0.1</v>
      </c>
      <c r="W13" s="591">
        <f>+'2021'!Tau_j/365</f>
        <v>3</v>
      </c>
      <c r="X13" s="468"/>
      <c r="Y13" s="449" t="s">
        <v>93</v>
      </c>
      <c r="Z13" s="588">
        <f>+'2022'!Tnet</f>
        <v>44593</v>
      </c>
      <c r="AA13" s="589">
        <f>+'2022'!Resal</f>
        <v>2.6837011099374114E-2</v>
      </c>
      <c r="AB13" s="590">
        <f>+'2022'!Salim</f>
        <v>0.12</v>
      </c>
      <c r="AC13" s="591">
        <f>+'2022'!Tau_j/365</f>
        <v>3</v>
      </c>
      <c r="AD13" s="468"/>
      <c r="AE13" s="449" t="s">
        <v>93</v>
      </c>
      <c r="AF13" s="588">
        <f>+'2023'!Tnet</f>
        <v>44927</v>
      </c>
      <c r="AG13" s="589">
        <f>+'2023'!Resal</f>
        <v>5.1328951103225245E-2</v>
      </c>
      <c r="AH13" s="590">
        <f>+'2023'!Salim</f>
        <v>0.11</v>
      </c>
      <c r="AI13" s="591">
        <f>+'2023'!Tau_j/365</f>
        <v>3</v>
      </c>
      <c r="AJ13" s="468"/>
      <c r="AK13" s="449" t="s">
        <v>93</v>
      </c>
      <c r="AL13" s="588">
        <f>+'2024'!Tnet</f>
        <v>45412</v>
      </c>
      <c r="AM13" s="589">
        <f>+'2024'!Resal</f>
        <v>5.0000000000000001E-3</v>
      </c>
      <c r="AN13" s="590">
        <f>+'2024'!Salim</f>
        <v>0.11</v>
      </c>
      <c r="AO13" s="591">
        <f>+'2024'!Tau_j/365</f>
        <v>3</v>
      </c>
      <c r="AP13" s="465"/>
      <c r="AQ13" s="449" t="s">
        <v>93</v>
      </c>
      <c r="AR13" s="588">
        <f>+'2025'!Tnet</f>
        <v>45412</v>
      </c>
      <c r="AS13" s="589">
        <f>+'2025'!Resal</f>
        <v>5.0000000000000001E-3</v>
      </c>
      <c r="AT13" s="590">
        <f>+'2025'!Salim</f>
        <v>0.11</v>
      </c>
      <c r="AU13" s="591">
        <f>+'2025'!Tau_j/365</f>
        <v>3</v>
      </c>
      <c r="AV13" s="465"/>
      <c r="AW13" s="449" t="s">
        <v>93</v>
      </c>
      <c r="AX13" s="588">
        <f>+'2026'!Tnet</f>
        <v>46142</v>
      </c>
      <c r="AY13" s="589">
        <f>+'2026'!Resal</f>
        <v>5.0000000000000001E-3</v>
      </c>
      <c r="AZ13" s="590">
        <f>+'2026'!Salim</f>
        <v>0.11</v>
      </c>
      <c r="BA13" s="591">
        <f>+'2026'!Tau_j/365</f>
        <v>3</v>
      </c>
      <c r="BB13" s="465"/>
      <c r="BC13" s="449" t="s">
        <v>93</v>
      </c>
      <c r="BD13" s="588">
        <f>+'2027'!Tnet</f>
        <v>46142</v>
      </c>
      <c r="BE13" s="589">
        <f>+'2027'!Resal</f>
        <v>5.0000000000000001E-3</v>
      </c>
      <c r="BF13" s="590">
        <f>+'2027'!Salim</f>
        <v>0.11</v>
      </c>
      <c r="BG13" s="591">
        <f>+'2027'!Tau_j/365</f>
        <v>3</v>
      </c>
      <c r="BH13" s="465"/>
      <c r="BI13" s="449" t="s">
        <v>93</v>
      </c>
      <c r="BJ13" s="588">
        <f>+'2018'!Tnet</f>
        <v>43259</v>
      </c>
      <c r="BK13" s="589">
        <f>+'2018'!Resal</f>
        <v>0</v>
      </c>
      <c r="BL13" s="590">
        <f>+'2018'!Salim</f>
        <v>7.0000000000000007E-2</v>
      </c>
      <c r="BM13" s="591">
        <f>+'2018'!Tau_j/365</f>
        <v>3</v>
      </c>
      <c r="BN13" s="465"/>
      <c r="BO13" s="449" t="s">
        <v>93</v>
      </c>
      <c r="BP13" s="588">
        <f>+'2018'!Tnet</f>
        <v>43259</v>
      </c>
      <c r="BQ13" s="589">
        <f>+'2018'!Resal</f>
        <v>0</v>
      </c>
      <c r="BR13" s="590">
        <f>+'2018'!Salim</f>
        <v>7.0000000000000007E-2</v>
      </c>
      <c r="BS13" s="591">
        <f>+'2018'!Tau_j/365</f>
        <v>3</v>
      </c>
      <c r="BT13" s="465"/>
      <c r="BU13" s="449" t="s">
        <v>93</v>
      </c>
      <c r="BV13" s="588">
        <f>+'2018'!Tnet</f>
        <v>43259</v>
      </c>
      <c r="BW13" s="589">
        <f>+'2018'!Resal</f>
        <v>0</v>
      </c>
      <c r="BX13" s="590">
        <f>+'2018'!Salim</f>
        <v>7.0000000000000007E-2</v>
      </c>
      <c r="BY13" s="591">
        <f>+'2018'!Tau_j/365</f>
        <v>3</v>
      </c>
      <c r="BZ13" s="465"/>
    </row>
    <row r="14" spans="1:78" s="459" customFormat="1" ht="12.75" customHeight="1" x14ac:dyDescent="0.25">
      <c r="A14" s="477"/>
      <c r="B14" s="478" t="s">
        <v>2</v>
      </c>
      <c r="C14" s="478" t="s">
        <v>129</v>
      </c>
      <c r="D14" s="478" t="s">
        <v>130</v>
      </c>
      <c r="E14" s="478" t="s">
        <v>131</v>
      </c>
      <c r="F14" s="479"/>
      <c r="G14" s="480"/>
      <c r="H14" s="481" t="s">
        <v>2</v>
      </c>
      <c r="I14" s="481" t="s">
        <v>129</v>
      </c>
      <c r="J14" s="481" t="s">
        <v>130</v>
      </c>
      <c r="K14" s="481" t="s">
        <v>131</v>
      </c>
      <c r="L14" s="482"/>
      <c r="M14" s="483"/>
      <c r="N14" s="481" t="s">
        <v>2</v>
      </c>
      <c r="O14" s="481" t="s">
        <v>129</v>
      </c>
      <c r="P14" s="481" t="s">
        <v>130</v>
      </c>
      <c r="Q14" s="481" t="s">
        <v>131</v>
      </c>
      <c r="R14" s="479"/>
      <c r="S14" s="480"/>
      <c r="T14" s="481" t="s">
        <v>2</v>
      </c>
      <c r="U14" s="481" t="s">
        <v>129</v>
      </c>
      <c r="V14" s="481" t="s">
        <v>130</v>
      </c>
      <c r="W14" s="481" t="s">
        <v>131</v>
      </c>
      <c r="X14" s="479"/>
      <c r="Y14" s="480"/>
      <c r="Z14" s="481" t="s">
        <v>2</v>
      </c>
      <c r="AA14" s="481" t="s">
        <v>129</v>
      </c>
      <c r="AB14" s="481" t="s">
        <v>130</v>
      </c>
      <c r="AC14" s="481" t="s">
        <v>131</v>
      </c>
      <c r="AD14" s="479"/>
      <c r="AE14" s="480"/>
      <c r="AF14" s="481" t="s">
        <v>2</v>
      </c>
      <c r="AG14" s="481" t="s">
        <v>129</v>
      </c>
      <c r="AH14" s="481" t="s">
        <v>130</v>
      </c>
      <c r="AI14" s="481" t="s">
        <v>131</v>
      </c>
      <c r="AJ14" s="479"/>
      <c r="AK14" s="480"/>
      <c r="AL14" s="481" t="s">
        <v>2</v>
      </c>
      <c r="AM14" s="481" t="s">
        <v>129</v>
      </c>
      <c r="AN14" s="481" t="s">
        <v>130</v>
      </c>
      <c r="AO14" s="481" t="s">
        <v>131</v>
      </c>
      <c r="AP14" s="479"/>
      <c r="AQ14" s="480"/>
      <c r="AR14" s="481" t="s">
        <v>2</v>
      </c>
      <c r="AS14" s="481" t="s">
        <v>129</v>
      </c>
      <c r="AT14" s="481" t="s">
        <v>130</v>
      </c>
      <c r="AU14" s="481" t="s">
        <v>131</v>
      </c>
      <c r="AV14" s="479"/>
      <c r="AW14" s="480"/>
      <c r="AX14" s="481" t="s">
        <v>2</v>
      </c>
      <c r="AY14" s="481" t="s">
        <v>129</v>
      </c>
      <c r="AZ14" s="481" t="s">
        <v>130</v>
      </c>
      <c r="BA14" s="481" t="s">
        <v>131</v>
      </c>
      <c r="BB14" s="479"/>
      <c r="BC14" s="480"/>
      <c r="BD14" s="481" t="s">
        <v>2</v>
      </c>
      <c r="BE14" s="481" t="s">
        <v>129</v>
      </c>
      <c r="BF14" s="481" t="s">
        <v>130</v>
      </c>
      <c r="BG14" s="481" t="s">
        <v>131</v>
      </c>
      <c r="BH14" s="479"/>
      <c r="BI14" s="480"/>
      <c r="BJ14" s="481" t="s">
        <v>2</v>
      </c>
      <c r="BK14" s="481" t="s">
        <v>129</v>
      </c>
      <c r="BL14" s="481" t="s">
        <v>130</v>
      </c>
      <c r="BM14" s="481" t="s">
        <v>131</v>
      </c>
      <c r="BN14" s="479"/>
      <c r="BO14" s="480"/>
      <c r="BP14" s="481" t="s">
        <v>2</v>
      </c>
      <c r="BQ14" s="481" t="s">
        <v>129</v>
      </c>
      <c r="BR14" s="481" t="s">
        <v>130</v>
      </c>
      <c r="BS14" s="481" t="s">
        <v>131</v>
      </c>
      <c r="BT14" s="479"/>
      <c r="BU14" s="480"/>
      <c r="BV14" s="481" t="s">
        <v>2</v>
      </c>
      <c r="BW14" s="481" t="s">
        <v>129</v>
      </c>
      <c r="BX14" s="481" t="s">
        <v>130</v>
      </c>
      <c r="BY14" s="481" t="s">
        <v>131</v>
      </c>
      <c r="BZ14" s="479"/>
    </row>
    <row r="15" spans="1:78" s="462" customFormat="1" ht="15" customHeight="1" x14ac:dyDescent="0.25">
      <c r="A15" s="484" t="s">
        <v>125</v>
      </c>
      <c r="B15" s="592">
        <f>B11</f>
        <v>43101</v>
      </c>
      <c r="C15" s="593">
        <f>'2018'!Dd</f>
        <v>0.5</v>
      </c>
      <c r="D15" s="593">
        <f>'2018'!Df</f>
        <v>0.5</v>
      </c>
      <c r="E15" s="593">
        <f>'2018'!PousD</f>
        <v>0</v>
      </c>
      <c r="F15" s="469"/>
      <c r="G15" s="485" t="s">
        <v>128</v>
      </c>
      <c r="H15" s="592">
        <f>H11</f>
        <v>43101</v>
      </c>
      <c r="I15" s="593">
        <f>'2019'!Dd</f>
        <v>0.5</v>
      </c>
      <c r="J15" s="593">
        <f>'2019'!Df</f>
        <v>0.5</v>
      </c>
      <c r="K15" s="593">
        <f>'2019'!PousD</f>
        <v>0</v>
      </c>
      <c r="L15" s="469"/>
      <c r="M15" s="485" t="s">
        <v>128</v>
      </c>
      <c r="N15" s="592">
        <f>N11</f>
        <v>43101</v>
      </c>
      <c r="O15" s="593">
        <f>'2020'!Dd</f>
        <v>0.5</v>
      </c>
      <c r="P15" s="593">
        <f>'2020'!Df</f>
        <v>0.5</v>
      </c>
      <c r="Q15" s="593">
        <f>'2020'!PousD</f>
        <v>0</v>
      </c>
      <c r="R15" s="469"/>
      <c r="S15" s="486" t="s">
        <v>128</v>
      </c>
      <c r="T15" s="592">
        <f>T11</f>
        <v>43101</v>
      </c>
      <c r="U15" s="593">
        <f>'2021'!Dd</f>
        <v>0.5</v>
      </c>
      <c r="V15" s="593">
        <f>'2021'!Df</f>
        <v>0.5</v>
      </c>
      <c r="W15" s="593">
        <f>'2021'!PousD</f>
        <v>0</v>
      </c>
      <c r="X15" s="469"/>
      <c r="Y15" s="486" t="s">
        <v>128</v>
      </c>
      <c r="Z15" s="592">
        <f>Z11</f>
        <v>43101</v>
      </c>
      <c r="AA15" s="593">
        <f>'2022'!Dd</f>
        <v>0.5</v>
      </c>
      <c r="AB15" s="593">
        <f>'2022'!Df</f>
        <v>0.5</v>
      </c>
      <c r="AC15" s="593">
        <f>'2022'!PousD</f>
        <v>0</v>
      </c>
      <c r="AD15" s="469"/>
      <c r="AE15" s="486" t="s">
        <v>128</v>
      </c>
      <c r="AF15" s="592">
        <f>AF11</f>
        <v>43101</v>
      </c>
      <c r="AG15" s="593">
        <f>'2023'!Dd</f>
        <v>0.5</v>
      </c>
      <c r="AH15" s="593">
        <f>'2023'!Df</f>
        <v>0.5</v>
      </c>
      <c r="AI15" s="593">
        <f>'2023'!PousD</f>
        <v>0</v>
      </c>
      <c r="AJ15" s="469"/>
      <c r="AK15" s="486" t="s">
        <v>128</v>
      </c>
      <c r="AL15" s="592">
        <f>AL11</f>
        <v>43101</v>
      </c>
      <c r="AM15" s="593">
        <f>'2024'!Dd</f>
        <v>0.5</v>
      </c>
      <c r="AN15" s="593">
        <f>'2024'!Df</f>
        <v>0.5</v>
      </c>
      <c r="AO15" s="593">
        <f>'2024'!PousD</f>
        <v>0</v>
      </c>
      <c r="AP15" s="469"/>
      <c r="AQ15" s="486" t="s">
        <v>128</v>
      </c>
      <c r="AR15" s="592">
        <f>AR11</f>
        <v>45747</v>
      </c>
      <c r="AS15" s="593">
        <f>'2025'!Dd</f>
        <v>0.5</v>
      </c>
      <c r="AT15" s="593">
        <f>'2025'!Df</f>
        <v>0.5</v>
      </c>
      <c r="AU15" s="593">
        <f>'2025'!PousD</f>
        <v>0</v>
      </c>
      <c r="AV15" s="469"/>
      <c r="AW15" s="486" t="s">
        <v>128</v>
      </c>
      <c r="AX15" s="592">
        <f>AX11</f>
        <v>45747</v>
      </c>
      <c r="AY15" s="593">
        <f>'2026'!Dd</f>
        <v>0.5</v>
      </c>
      <c r="AZ15" s="593">
        <f>'2026'!Df</f>
        <v>0.5</v>
      </c>
      <c r="BA15" s="593">
        <f>'2026'!PousD</f>
        <v>0</v>
      </c>
      <c r="BB15" s="469"/>
      <c r="BC15" s="486" t="s">
        <v>128</v>
      </c>
      <c r="BD15" s="592">
        <f>BD11</f>
        <v>45747</v>
      </c>
      <c r="BE15" s="593">
        <f>'2027'!Dd</f>
        <v>0.5</v>
      </c>
      <c r="BF15" s="593">
        <f>'2027'!Df</f>
        <v>0.5</v>
      </c>
      <c r="BG15" s="593">
        <f>'2027'!PousD</f>
        <v>0</v>
      </c>
      <c r="BH15" s="469"/>
      <c r="BI15" s="486" t="s">
        <v>128</v>
      </c>
      <c r="BJ15" s="592" t="e">
        <f>BJ11</f>
        <v>#NAME?</v>
      </c>
      <c r="BK15" s="593">
        <f>'2018'!Dd</f>
        <v>0.5</v>
      </c>
      <c r="BL15" s="593">
        <f>'2018'!Df</f>
        <v>0.5</v>
      </c>
      <c r="BM15" s="593">
        <f>'2018'!PousD</f>
        <v>0</v>
      </c>
      <c r="BN15" s="469"/>
      <c r="BO15" s="486" t="s">
        <v>128</v>
      </c>
      <c r="BP15" s="592" t="e">
        <f>BP11</f>
        <v>#NAME?</v>
      </c>
      <c r="BQ15" s="593">
        <f>'2018'!Dd</f>
        <v>0.5</v>
      </c>
      <c r="BR15" s="593">
        <f>'2018'!Df</f>
        <v>0.5</v>
      </c>
      <c r="BS15" s="593">
        <f>'2018'!PousD</f>
        <v>0</v>
      </c>
      <c r="BT15" s="469"/>
      <c r="BU15" s="486" t="s">
        <v>128</v>
      </c>
      <c r="BV15" s="592" t="e">
        <f>BV11</f>
        <v>#NAME?</v>
      </c>
      <c r="BW15" s="593">
        <f>'2018'!Dd</f>
        <v>0.5</v>
      </c>
      <c r="BX15" s="593">
        <f>'2018'!Df</f>
        <v>0.5</v>
      </c>
      <c r="BY15" s="593">
        <f>'2018'!PousD</f>
        <v>0</v>
      </c>
      <c r="BZ15" s="469"/>
    </row>
    <row r="16" spans="1:78" s="462" customFormat="1" ht="15" customHeight="1" x14ac:dyDescent="0.25">
      <c r="A16" s="474" t="s">
        <v>126</v>
      </c>
      <c r="B16" s="594"/>
      <c r="C16" s="595">
        <f>'2018'!Hdd</f>
        <v>-2.0026106892122759</v>
      </c>
      <c r="D16" s="595">
        <f>'2018'!Hdf</f>
        <v>-1.5026107667502175</v>
      </c>
      <c r="E16" s="595">
        <f>'2018'!PousH</f>
        <v>0.5</v>
      </c>
      <c r="F16" s="461"/>
      <c r="G16" s="475" t="s">
        <v>127</v>
      </c>
      <c r="H16" s="594"/>
      <c r="I16" s="595">
        <f>'2019'!Hdd</f>
        <v>-1.5026107667502175</v>
      </c>
      <c r="J16" s="595">
        <f>'2019'!Hdf</f>
        <v>-1.0026108442881592</v>
      </c>
      <c r="K16" s="595">
        <f>'2019'!PousH</f>
        <v>0.5</v>
      </c>
      <c r="L16" s="461"/>
      <c r="M16" s="475" t="s">
        <v>127</v>
      </c>
      <c r="N16" s="594"/>
      <c r="O16" s="595">
        <f>'2020'!Hdd</f>
        <v>-1.0026108442881592</v>
      </c>
      <c r="P16" s="595">
        <f>'2020'!Hdf</f>
        <v>-0.50261092182610079</v>
      </c>
      <c r="Q16" s="595">
        <f>'2020'!PousH</f>
        <v>0.5</v>
      </c>
      <c r="R16" s="461"/>
      <c r="S16" s="476" t="s">
        <v>127</v>
      </c>
      <c r="T16" s="594"/>
      <c r="U16" s="595">
        <f>'2021'!Hdd</f>
        <v>-0.50261092182610079</v>
      </c>
      <c r="V16" s="595">
        <f>'2021'!Hdf</f>
        <v>-2.6109993640424656E-3</v>
      </c>
      <c r="W16" s="595">
        <f>'2021'!PousH</f>
        <v>0.5</v>
      </c>
      <c r="X16" s="461"/>
      <c r="Y16" s="476" t="s">
        <v>127</v>
      </c>
      <c r="Z16" s="594"/>
      <c r="AA16" s="595">
        <f>'2022'!Hdd</f>
        <v>-2.6109993640424656E-3</v>
      </c>
      <c r="AB16" s="595">
        <f>'2022'!Hdf</f>
        <v>0.49738892309801586</v>
      </c>
      <c r="AC16" s="595">
        <f>'2022'!PousH</f>
        <v>0.5</v>
      </c>
      <c r="AD16" s="461"/>
      <c r="AE16" s="476" t="s">
        <v>127</v>
      </c>
      <c r="AF16" s="594"/>
      <c r="AG16" s="595">
        <f>'2023'!Hdd</f>
        <v>0.49738892309801586</v>
      </c>
      <c r="AH16" s="595">
        <f>'2023'!Hdf</f>
        <v>0.99738884556007412</v>
      </c>
      <c r="AI16" s="595">
        <f>'2023'!PousH</f>
        <v>0.5</v>
      </c>
      <c r="AJ16" s="461"/>
      <c r="AK16" s="476" t="s">
        <v>127</v>
      </c>
      <c r="AL16" s="594"/>
      <c r="AM16" s="595">
        <f>'2024'!Hdd</f>
        <v>0.99738884556007412</v>
      </c>
      <c r="AN16" s="595">
        <f>'2024'!Hdf</f>
        <v>1.4973887680221325</v>
      </c>
      <c r="AO16" s="595">
        <f>'2024'!PousH</f>
        <v>0.5</v>
      </c>
      <c r="AP16" s="461"/>
      <c r="AQ16" s="476" t="s">
        <v>127</v>
      </c>
      <c r="AR16" s="594"/>
      <c r="AS16" s="595">
        <f>'2025'!Hdd</f>
        <v>1.4973887680221325</v>
      </c>
      <c r="AT16" s="595">
        <f>'2025'!Hdf</f>
        <v>-1.527598875889788</v>
      </c>
      <c r="AU16" s="595">
        <f>'2025'!PousH</f>
        <v>0.5</v>
      </c>
      <c r="AV16" s="461"/>
      <c r="AW16" s="476" t="s">
        <v>127</v>
      </c>
      <c r="AX16" s="594"/>
      <c r="AY16" s="595">
        <f>'2026'!Hdd</f>
        <v>-1.527598875889788</v>
      </c>
      <c r="AZ16" s="595">
        <f>'2026'!Hdf</f>
        <v>-1.0275989534277297</v>
      </c>
      <c r="BA16" s="595">
        <f>'2026'!PousH</f>
        <v>0.5</v>
      </c>
      <c r="BB16" s="461"/>
      <c r="BC16" s="476" t="s">
        <v>127</v>
      </c>
      <c r="BD16" s="594"/>
      <c r="BE16" s="595">
        <f>'2027'!Hdd</f>
        <v>-1.0275989534277297</v>
      </c>
      <c r="BF16" s="595">
        <f>'2027'!Hdf</f>
        <v>-0.52759903096567129</v>
      </c>
      <c r="BG16" s="595">
        <f>'2027'!PousH</f>
        <v>0.5</v>
      </c>
      <c r="BH16" s="461"/>
      <c r="BI16" s="476" t="s">
        <v>127</v>
      </c>
      <c r="BJ16" s="594"/>
      <c r="BK16" s="595">
        <f>'2018'!Hdd</f>
        <v>-2.0026106892122759</v>
      </c>
      <c r="BL16" s="595">
        <f>'2018'!Hdf</f>
        <v>-1.5026107667502175</v>
      </c>
      <c r="BM16" s="595">
        <f>'2018'!PousH</f>
        <v>0.5</v>
      </c>
      <c r="BN16" s="461"/>
      <c r="BO16" s="476" t="s">
        <v>127</v>
      </c>
      <c r="BP16" s="594"/>
      <c r="BQ16" s="595">
        <f>'2018'!Hdd</f>
        <v>-2.0026106892122759</v>
      </c>
      <c r="BR16" s="595">
        <f>'2018'!Hdf</f>
        <v>-1.5026107667502175</v>
      </c>
      <c r="BS16" s="595">
        <f>'2018'!PousH</f>
        <v>0.5</v>
      </c>
      <c r="BT16" s="461"/>
      <c r="BU16" s="476" t="s">
        <v>127</v>
      </c>
      <c r="BV16" s="594"/>
      <c r="BW16" s="595">
        <f>'2018'!Hdd</f>
        <v>-2.0026106892122759</v>
      </c>
      <c r="BX16" s="595">
        <f>'2018'!Hdf</f>
        <v>-1.5026107667502175</v>
      </c>
      <c r="BY16" s="595">
        <f>'2018'!PousH</f>
        <v>0.5</v>
      </c>
      <c r="BZ16" s="461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9" t="s">
        <v>64</v>
      </c>
      <c r="C19" s="430" t="s">
        <v>65</v>
      </c>
      <c r="D19" s="430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9" t="s">
        <v>64</v>
      </c>
      <c r="AG19" s="430" t="s">
        <v>65</v>
      </c>
      <c r="AH19" s="430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4.1435007733138547E-8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3.6170165509940122E-2</v>
      </c>
      <c r="AG20" s="48">
        <f>'2023'!O29</f>
        <v>5.2082614750129937E-2</v>
      </c>
      <c r="AH20" s="66">
        <f>'2023'!P29</f>
        <v>3.9610243284042633E-4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1.6878591957190173E-7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3.6824371309404413E-2</v>
      </c>
      <c r="AG21" s="48">
        <f>'2023'!O60</f>
        <v>5.3700055581703918E-2</v>
      </c>
      <c r="AH21" s="66">
        <f>'2023'!P60</f>
        <v>1.5940704174835892E-4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4.744141382850744E-8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3.7414885194446024E-2</v>
      </c>
      <c r="AG22" s="48">
        <f>'2023'!O88</f>
        <v>5.5147033256296274E-2</v>
      </c>
      <c r="AH22" s="66">
        <f>'2023'!P88</f>
        <v>7.8425582369335802E-5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1.005416582370877E-7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3.8068246132289318E-2</v>
      </c>
      <c r="AG23" s="48">
        <f>'2023'!O119</f>
        <v>5.6925476640600978E-2</v>
      </c>
      <c r="AH23" s="66">
        <f>'2023'!P119</f>
        <v>7.2160729546568929E-6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8.0996584275652909E-6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3.8700108662394483E-2</v>
      </c>
      <c r="AG24" s="48">
        <f>'2023'!O149</f>
        <v>5.9256044390066223E-2</v>
      </c>
      <c r="AH24" s="66">
        <f>'2023'!P149</f>
        <v>1.9604389711942472E-4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1.5330789122347532E-4</v>
      </c>
      <c r="C25" s="48">
        <f>'2018'!O180</f>
        <v>4.6431022939271712E-4</v>
      </c>
      <c r="D25" s="66">
        <f>'2018'!P180</f>
        <v>6.0563716986585196E-6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3.9352597246409049E-2</v>
      </c>
      <c r="AG25" s="48">
        <f>'2023'!O180</f>
        <v>6.1971626799038962E-2</v>
      </c>
      <c r="AH25" s="66">
        <f>'2023'!P180</f>
        <v>7.9989610793033999E-5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8.100755444928609E-4</v>
      </c>
      <c r="C26" s="48">
        <f>'2018'!O210</f>
        <v>2.4409811293287236E-3</v>
      </c>
      <c r="D26" s="66">
        <f>'2018'!P210</f>
        <v>2.1240194479950102E-5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3.9983616126908816E-2</v>
      </c>
      <c r="AG26" s="48">
        <f>'2023'!O210</f>
        <v>6.3916206725274829E-2</v>
      </c>
      <c r="AH26" s="66">
        <f>'2023'!P210</f>
        <v>2.2009095347964242E-4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1.4882822361241832E-3</v>
      </c>
      <c r="C27" s="48">
        <f>'2018'!O241</f>
        <v>4.4235219949964192E-3</v>
      </c>
      <c r="D27" s="66">
        <f>'2018'!P241</f>
        <v>1.2311426017769877E-5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4.0635233521843284E-2</v>
      </c>
      <c r="AG27" s="48">
        <f>'2023'!O241</f>
        <v>6.5353901884810633E-2</v>
      </c>
      <c r="AH27" s="66">
        <f>'2023'!P241</f>
        <v>8.7534246705885964E-5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2.166028590531055E-3</v>
      </c>
      <c r="C28" s="48">
        <f>'2018'!O272</f>
        <v>6.3297407202105097E-3</v>
      </c>
      <c r="D28" s="66">
        <f>'2018'!P272</f>
        <v>3.1950079776936114E-7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4.1286408627212112E-2</v>
      </c>
      <c r="AG28" s="48">
        <f>'2023'!O272</f>
        <v>6.6531348858510184E-2</v>
      </c>
      <c r="AH28" s="66">
        <f>'2023'!P272</f>
        <v>1.9975135012615004E-5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2.8214741512629926E-3</v>
      </c>
      <c r="C29" s="48">
        <f>'2018'!O302</f>
        <v>8.0482361801202697E-3</v>
      </c>
      <c r="D29" s="66">
        <f>'2018'!P302</f>
        <v>3.4241976507128217E-5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4.1916157248208741E-2</v>
      </c>
      <c r="AG29" s="48">
        <f>'2023'!O302</f>
        <v>6.7098268409959638E-2</v>
      </c>
      <c r="AH29" s="66">
        <f>'2023'!P302</f>
        <v>4.437344335249341E-4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3.4983155929440013E-3</v>
      </c>
      <c r="C30" s="48">
        <f>'2018'!O333</f>
        <v>9.643645703789297E-3</v>
      </c>
      <c r="D30" s="66">
        <f>'2018'!P333</f>
        <v>3.9860068594307075E-5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4.2566462918226522E-2</v>
      </c>
      <c r="AG30" s="48">
        <f>'2023'!O333</f>
        <v>6.7002505362906167E-2</v>
      </c>
      <c r="AH30" s="66">
        <f>'2023'!P333</f>
        <v>4.0654523345141062E-4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4.1528860165024328E-3</v>
      </c>
      <c r="C31" s="49">
        <f>'2018'!O363</f>
        <v>1.1172709492835699E-2</v>
      </c>
      <c r="D31" s="67">
        <f>'2018'!P363</f>
        <v>6.8274566339495717E-5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4.3195370712064918E-2</v>
      </c>
      <c r="AG31" s="49">
        <f>'2023'!O363</f>
        <v>6.7435195240834425E-2</v>
      </c>
      <c r="AH31" s="67">
        <f>'2023'!P363</f>
        <v>6.4459845403314108E-4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4.828823753678213E-3</v>
      </c>
      <c r="C32" s="48">
        <f>'2019'!O29</f>
        <v>1.2795470364212238E-2</v>
      </c>
      <c r="D32" s="66">
        <f>'2019'!P29</f>
        <v>5.4038991407247624E-5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4.3844808107583622E-2</v>
      </c>
      <c r="AG32" s="48">
        <f>'2024'!O29</f>
        <v>6.8505353893010532E-2</v>
      </c>
      <c r="AH32" s="66">
        <f>'2024'!P29</f>
        <v>5.097637189674716E-4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5.5043026936972828E-3</v>
      </c>
      <c r="C33" s="48">
        <f>'2019'!O60</f>
        <v>1.4392634780729977E-2</v>
      </c>
      <c r="D33" s="66">
        <f>'2019'!P60</f>
        <v>2.5122634171782563E-5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4.4493804693225503E-2</v>
      </c>
      <c r="AG33" s="48">
        <f>'2024'!O60</f>
        <v>6.9664459578136495E-2</v>
      </c>
      <c r="AH33" s="66">
        <f>'2024'!P60</f>
        <v>2.010414492224515E-4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6.1140186171284583E-3</v>
      </c>
      <c r="C34" s="48">
        <f>'2019'!O88</f>
        <v>1.5804027242006285E-2</v>
      </c>
      <c r="D34" s="66">
        <f>'2019'!P88</f>
        <v>2.0284793388535445E-6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4.5079616521063182E-2</v>
      </c>
      <c r="AG34" s="48">
        <f>'2024'!O88</f>
        <v>7.0715486688120416E-2</v>
      </c>
      <c r="AH34" s="66">
        <f>'2024'!P88</f>
        <v>1.1585992863226694E-4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6.788625222734157E-3</v>
      </c>
      <c r="C35" s="48">
        <f>'2019'!O119</f>
        <v>1.7393019248029599E-2</v>
      </c>
      <c r="D35" s="66">
        <f>'2019'!P119</f>
        <v>1.2106598837944286E-6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4.5727774972424085E-2</v>
      </c>
      <c r="AG35" s="48">
        <f>'2024'!O119</f>
        <v>7.2124882485874911E-2</v>
      </c>
      <c r="AH35" s="66">
        <f>'2024'!P119</f>
        <v>9.7030618688882441E-6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7.4410343460141748E-3</v>
      </c>
      <c r="C36" s="48">
        <f>'2019'!O149</f>
        <v>1.9108365350724466E-2</v>
      </c>
      <c r="D36" s="66">
        <f>'2019'!P149</f>
        <v>4.0126478068677251E-5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4.6354606200409432E-2</v>
      </c>
      <c r="AG36" s="48">
        <f>'2024'!O149</f>
        <v>6.4614108986630735E-3</v>
      </c>
      <c r="AH36" s="66">
        <f>'2024'!P149</f>
        <v>2.428718688621947E-4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8.1147402310209893E-3</v>
      </c>
      <c r="C37" s="48">
        <f>'2019'!O180</f>
        <v>2.0987295406685477E-2</v>
      </c>
      <c r="D37" s="66">
        <f>'2019'!P180</f>
        <v>1.7081038756011629E-5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4.7001899244192624E-2</v>
      </c>
      <c r="AG37" s="48">
        <f>'2024'!O180</f>
        <v>9.6051178888927197E-3</v>
      </c>
      <c r="AH37" s="66">
        <f>'2024'!P180</f>
        <v>1.0576648095736827E-4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8.7662782713150422E-3</v>
      </c>
      <c r="C38" s="48">
        <f>'2019'!O210</f>
        <v>2.257469335652959E-2</v>
      </c>
      <c r="D38" s="66">
        <f>'2019'!P210</f>
        <v>4.760930285659491E-5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4.7627893540261756E-2</v>
      </c>
      <c r="AG38" s="48">
        <f>'2024'!O210</f>
        <v>1.254296781134826E-2</v>
      </c>
      <c r="AH38" s="66">
        <f>'2024'!P210</f>
        <v>3.1906681455454432E-4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9.4390846383460847E-3</v>
      </c>
      <c r="C39" s="48">
        <f>'2019'!O241</f>
        <v>2.3995006470770259E-2</v>
      </c>
      <c r="D39" s="66">
        <f>'2019'!P241</f>
        <v>2.5434131013346175E-5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4.8274322331941177E-2</v>
      </c>
      <c r="AG39" s="48">
        <f>'2024'!O241</f>
        <v>1.5415244943257691E-2</v>
      </c>
      <c r="AH39" s="66">
        <f>'2024'!P241</f>
        <v>1.11429719063795E-4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1.0111434333658353E-2</v>
      </c>
      <c r="C40" s="48">
        <f>'2019'!O272</f>
        <v>2.5291976611363797E-2</v>
      </c>
      <c r="D40" s="66">
        <f>'2019'!P272</f>
        <v>6.461840560257979E-7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4.8920312355853368E-2</v>
      </c>
      <c r="AG40" s="48">
        <f>'2024'!O272</f>
        <v>1.8147252384618902E-2</v>
      </c>
      <c r="AH40" s="66">
        <f>'2024'!P272</f>
        <v>5.702717961173327E-5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1.076166080877905E-2</v>
      </c>
      <c r="C41" s="48">
        <f>'2019'!O302</f>
        <v>2.6295484055748303E-2</v>
      </c>
      <c r="D41" s="66">
        <f>'2019'!P302</f>
        <v>6.8680408470968109E-5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4.9545046507054935E-2</v>
      </c>
      <c r="AG41" s="48">
        <f>'2024'!O302</f>
        <v>2.0538537444409598E-2</v>
      </c>
      <c r="AH41" s="66">
        <f>'2024'!P302</f>
        <v>5.9966667947928382E-4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1.1433112796871647E-2</v>
      </c>
      <c r="C42" s="48">
        <f>'2019'!O333</f>
        <v>2.7018649850843481E-2</v>
      </c>
      <c r="D42" s="66">
        <f>'2019'!P333</f>
        <v>7.9814593081585679E-5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5.0190174018628131E-2</v>
      </c>
      <c r="AG42" s="48">
        <f>'2024'!O333</f>
        <v>2.2668394042334426E-2</v>
      </c>
      <c r="AH42" s="66">
        <f>'2024'!P333</f>
        <v>5.6193620653580416E-4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1.2082471103232573E-2</v>
      </c>
      <c r="C43" s="49">
        <f>'2019'!O363</f>
        <v>2.7887499386700789E-2</v>
      </c>
      <c r="D43" s="67">
        <f>'2019'!P363</f>
        <v>1.3666110033957248E-4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5.0814074037886514E-2</v>
      </c>
      <c r="AG43" s="49">
        <f>'2024'!O363</f>
        <v>2.4785688536675173E-2</v>
      </c>
      <c r="AH43" s="67">
        <f>'2024'!P363</f>
        <v>8.1552542902571501E-4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1.2753026582705385E-2</v>
      </c>
      <c r="C44" s="48">
        <f>'2020'!O29</f>
        <v>2.9014328587288998E-2</v>
      </c>
      <c r="D44" s="66">
        <f>'2020'!P29</f>
        <v>1.0810214325206389E-4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5.1479115685447163E-2</v>
      </c>
      <c r="AG44" s="48">
        <f>'2025'!O29</f>
        <v>2.719693769451062E-2</v>
      </c>
      <c r="AH44" s="66">
        <f>'2025'!P29</f>
        <v>6.5524178661623697E-4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1.3423126918263972E-2</v>
      </c>
      <c r="C45" s="48">
        <f>'2020'!O60</f>
        <v>3.0158847882050904E-2</v>
      </c>
      <c r="D45" s="66">
        <f>'2020'!P60</f>
        <v>5.009593891690376E-5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5.2122930434925108E-2</v>
      </c>
      <c r="AG45" s="48">
        <f>'2025'!O60</f>
        <v>2.9508902158135952E-2</v>
      </c>
      <c r="AH45" s="66">
        <f>'2025'!P60</f>
        <v>2.6937979323633272E-4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1.4027987885321114E-2</v>
      </c>
      <c r="C46" s="48">
        <f>'2020'!O88</f>
        <v>3.1179205326886873E-2</v>
      </c>
      <c r="D46" s="66">
        <f>'2020'!P88</f>
        <v>4.3609294471760607E-6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5.2704064917793669E-2</v>
      </c>
      <c r="AG46" s="48">
        <f>'2025'!O88</f>
        <v>3.1555870966674296E-2</v>
      </c>
      <c r="AH46" s="66">
        <f>'2025'!P88</f>
        <v>2.3246912327997714E-4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1.4697222832562806E-2</v>
      </c>
      <c r="C47" s="48">
        <f>'2020'!O119</f>
        <v>3.2937449511755881E-2</v>
      </c>
      <c r="D47" s="66">
        <f>'2020'!P119</f>
        <v>2.3334586937173329E-6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5.3347048224974158E-2</v>
      </c>
      <c r="AG47" s="48">
        <f>'2025'!O119</f>
        <v>3.3893538910118683E-2</v>
      </c>
      <c r="AH47" s="66">
        <f>'2025'!P119</f>
        <v>4.5062138877446679E-8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1.5344437048329551E-2</v>
      </c>
      <c r="C48" s="48">
        <f>'2020'!O149</f>
        <v>3.5701706956367839E-2</v>
      </c>
      <c r="D48" s="66">
        <f>'2020'!P149</f>
        <v>7.3688431541984008E-5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5.3968874593461336E-2</v>
      </c>
      <c r="AG48" s="48">
        <f>'2025'!O149</f>
        <v>3.6508158294566641E-2</v>
      </c>
      <c r="AH48" s="66">
        <f>'2025'!P149</f>
        <v>6.4990788501831246E-6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1.6012778447097809E-2</v>
      </c>
      <c r="C49" s="48">
        <f>'2020'!O180</f>
        <v>3.8753574703513129E-2</v>
      </c>
      <c r="D49" s="66">
        <f>'2020'!P180</f>
        <v>2.9724410870936343E-5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5.4610999402808114E-2</v>
      </c>
      <c r="AG49" s="48">
        <f>'2025'!O180</f>
        <v>3.940820886943168E-2</v>
      </c>
      <c r="AH49" s="66">
        <f>'2025'!P180</f>
        <v>5.5054004459030325E-6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1.6659128516010369E-2</v>
      </c>
      <c r="C50" s="48">
        <f>'2020'!O210</f>
        <v>4.1280366526841784E-2</v>
      </c>
      <c r="D50" s="66">
        <f>'2020'!P210</f>
        <v>8.2399822894194363E-5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5.5231995521762611E-2</v>
      </c>
      <c r="AG50" s="48">
        <f>'2025'!O210</f>
        <v>4.178076397499636E-2</v>
      </c>
      <c r="AH50" s="66">
        <f>'2025'!P210</f>
        <v>1.9922365959529167E-5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1.7326577559352629E-2</v>
      </c>
      <c r="C51" s="48">
        <f>'2020'!O241</f>
        <v>4.3496639489591774E-2</v>
      </c>
      <c r="D51" s="66">
        <f>'2020'!P241</f>
        <v>3.9426401311730509E-5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5.5873262979523886E-2</v>
      </c>
      <c r="AG51" s="48">
        <f>'2025'!O241</f>
        <v>4.3836584598127358E-2</v>
      </c>
      <c r="AH51" s="66">
        <f>'2025'!P241</f>
        <v>1.1655602746795813E-5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1.7993573567294363E-2</v>
      </c>
      <c r="C52" s="48">
        <f>'2020'!O272</f>
        <v>4.5500484253089876E-2</v>
      </c>
      <c r="D52" s="66">
        <f>'2020'!P272</f>
        <v>2.0083019596102533E-6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5.6514095172807144E-2</v>
      </c>
      <c r="AG52" s="48">
        <f>'2025'!O272</f>
        <v>4.5683852765920296E-2</v>
      </c>
      <c r="AH52" s="66">
        <f>'2025'!P272</f>
        <v>3.031744014147661E-7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1.8638622514572045E-2</v>
      </c>
      <c r="C53" s="48">
        <f>'2020'!O302</f>
        <v>4.7000188737680658E-2</v>
      </c>
      <c r="D53" s="66">
        <f>'2020'!P302</f>
        <v>1.5157430342863253E-4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5.7133841208371172E-2</v>
      </c>
      <c r="AG53" s="48">
        <f>'2025'!O302</f>
        <v>4.7036845750137536E-2</v>
      </c>
      <c r="AH53" s="66">
        <f>'2025'!P302</f>
        <v>3.2520873647210436E-5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1.9304727963425306E-2</v>
      </c>
      <c r="C54" s="48">
        <f>'2020'!O333</f>
        <v>4.8006579340638705E-2</v>
      </c>
      <c r="D54" s="66">
        <f>'2020'!P333</f>
        <v>1.4907616556284408E-4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5.7773817775942815E-2</v>
      </c>
      <c r="AG54" s="48">
        <f>'2025'!O333</f>
        <v>4.7900046499738086E-2</v>
      </c>
      <c r="AH54" s="66">
        <f>'2025'!P333</f>
        <v>3.7863292247639689E-5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1.9948915654869781E-2</v>
      </c>
      <c r="C55" s="49">
        <f>'2020'!O363</f>
        <v>4.9296468181889486E-2</v>
      </c>
      <c r="D55" s="67">
        <f>'2020'!P363</f>
        <v>2.4827991970209813E-4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5.8392736339590967E-2</v>
      </c>
      <c r="AG55" s="49">
        <f>'2025'!O363</f>
        <v>4.9058590340386697E-2</v>
      </c>
      <c r="AH55" s="67">
        <f>'2025'!P363</f>
        <v>6.4856865458950942E-5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2.0635582797733032E-2</v>
      </c>
      <c r="C56" s="48">
        <f>'2021'!O29</f>
        <v>5.1102793913969678E-2</v>
      </c>
      <c r="D56" s="66">
        <f>'2021'!P29</f>
        <v>1.9525745611110383E-4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5.9031858423864492E-2</v>
      </c>
      <c r="AG56" s="48">
        <f>'2026'!O29</f>
        <v>5.0673987097831545E-2</v>
      </c>
      <c r="AH56" s="66">
        <f>'2026'!P29</f>
        <v>5.1337119110797519E-5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2.1300332796742594E-2</v>
      </c>
      <c r="C57" s="48">
        <f>'2021'!O60</f>
        <v>5.2887170691578035E-2</v>
      </c>
      <c r="D57" s="66">
        <f>'2021'!P60</f>
        <v>8.3955085099751185E-5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5.9670546699846283E-2</v>
      </c>
      <c r="AG57" s="48">
        <f>'2026'!O60</f>
        <v>5.2330740711255729E-2</v>
      </c>
      <c r="AH57" s="66">
        <f>'2026'!P60</f>
        <v>2.3875535011230506E-5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2.1900364323240828E-2</v>
      </c>
      <c r="C58" s="48">
        <f>'2021'!O88</f>
        <v>5.4480621028373762E-2</v>
      </c>
      <c r="D58" s="66">
        <f>'2021'!P88</f>
        <v>2.3338313871890215E-5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6.0247053810436491E-2</v>
      </c>
      <c r="AG58" s="48">
        <f>'2026'!O88</f>
        <v>5.3811680254778609E-2</v>
      </c>
      <c r="AH58" s="66">
        <f>'2026'!P88</f>
        <v>1.9294745397399802E-6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2.2564255843523728E-2</v>
      </c>
      <c r="C59" s="48">
        <f>'2021'!O119</f>
        <v>5.6415120448186293E-2</v>
      </c>
      <c r="D59" s="66">
        <f>'2021'!P119</f>
        <v>3.5935500658422817E-6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6.088491726460743E-2</v>
      </c>
      <c r="AG59" s="48">
        <f>'2026'!O119</f>
        <v>5.5621777958798531E-2</v>
      </c>
      <c r="AH59" s="66">
        <f>'2026'!P119</f>
        <v>1.1551803644347876E-6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2.3206302454247041E-2</v>
      </c>
      <c r="C60" s="48">
        <f>'2021'!O149</f>
        <v>7.2016351308054798E-3</v>
      </c>
      <c r="D60" s="66">
        <f>'2021'!P149</f>
        <v>1.1186768748893185E-4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6.150179224544805E-2</v>
      </c>
      <c r="AG60" s="48">
        <f>'2026'!O149</f>
        <v>6.5579446166363874E-3</v>
      </c>
      <c r="AH60" s="66">
        <f>'2026'!P149</f>
        <v>3.8525898491295058E-5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2.3869307560488329E-2</v>
      </c>
      <c r="C61" s="48">
        <f>'2021'!O180</f>
        <v>1.0048784539183489E-2</v>
      </c>
      <c r="D61" s="66">
        <f>'2021'!P180</f>
        <v>4.3716315648815631E-5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6.2138804037705553E-2</v>
      </c>
      <c r="AG61" s="48">
        <f>'2026'!O180</f>
        <v>9.7008687913628065E-3</v>
      </c>
      <c r="AH61" s="66">
        <f>'2026'!P180</f>
        <v>1.6530067503256144E-5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2.4510496924035396E-2</v>
      </c>
      <c r="C62" s="48">
        <f>'2021'!O210</f>
        <v>1.2694579462185033E-2</v>
      </c>
      <c r="D62" s="66">
        <f>'2021'!P210</f>
        <v>1.1925664199042257E-4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6.2754855380002472E-2</v>
      </c>
      <c r="AG62" s="48">
        <f>'2026'!O210</f>
        <v>1.2636902543511901E-2</v>
      </c>
      <c r="AH62" s="66">
        <f>'2026'!P210</f>
        <v>4.6291474336173944E-5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2.5172616799756464E-2</v>
      </c>
      <c r="C63" s="48">
        <f>'2021'!O241</f>
        <v>1.5269665097068671E-2</v>
      </c>
      <c r="D63" s="66">
        <f>'2021'!P241</f>
        <v>5.3481363486176086E-5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6.3391016647467824E-2</v>
      </c>
      <c r="AG63" s="48">
        <f>'2026'!O241</f>
        <v>1.5506556576777165E-2</v>
      </c>
      <c r="AH63" s="66">
        <f>'2026'!P241</f>
        <v>2.4778307742372098E-5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2.5834287257284427E-2</v>
      </c>
      <c r="C64" s="48">
        <f>'2021'!O272</f>
        <v>1.7714215735472411E-2</v>
      </c>
      <c r="D64" s="66">
        <f>'2021'!P272</f>
        <v>3.3949598911836507E-6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6.4026746116315092E-2</v>
      </c>
      <c r="AG64" s="48">
        <f>'2026'!O272</f>
        <v>1.8235721541700282E-2</v>
      </c>
      <c r="AH64" s="66">
        <f>'2026'!P272</f>
        <v>6.2985765967120292E-7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2.6474185887847779E-2</v>
      </c>
      <c r="C65" s="48">
        <f>'2021'!O302</f>
        <v>1.9842233974193449E-2</v>
      </c>
      <c r="D65" s="66">
        <f>'2021'!P302</f>
        <v>2.349716059332298E-4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6.4641557329201849E-2</v>
      </c>
      <c r="AG65" s="48">
        <f>'2026'!O302</f>
        <v>2.0623670793023016E-2</v>
      </c>
      <c r="AH65" s="66">
        <f>'2026'!P302</f>
        <v>6.6959305611050362E-5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2.7134972896850518E-2</v>
      </c>
      <c r="C66" s="48">
        <f>'2021'!O333</f>
        <v>2.1722499647914645E-2</v>
      </c>
      <c r="D66" s="66">
        <f>'2021'!P333</f>
        <v>2.1852664249763073E-4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6.5276437985388291E-2</v>
      </c>
      <c r="AG66" s="48">
        <f>'2026'!O333</f>
        <v>2.2749457898938612E-2</v>
      </c>
      <c r="AH66" s="66">
        <f>'2026'!P333</f>
        <v>7.7817816734918307E-5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2.7774017148175623E-2</v>
      </c>
      <c r="C67" s="49">
        <f>'2021'!O363</f>
        <v>2.3604950117784192E-2</v>
      </c>
      <c r="D67" s="67">
        <f>'2021'!P363</f>
        <v>3.6013049319135907E-4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6.5890428315231064E-2</v>
      </c>
      <c r="AG67" s="49">
        <f>'2026'!O363</f>
        <v>2.4863672134241979E-2</v>
      </c>
      <c r="AH67" s="67">
        <f>'2026'!P363</f>
        <v>1.3324339945902774E-4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2.8433921888215141E-2</v>
      </c>
      <c r="C68" s="48">
        <f>'2022'!O29</f>
        <v>2.5696382573616009E-2</v>
      </c>
      <c r="D68" s="66">
        <f>'2022'!P29</f>
        <v>2.8255024663300618E-4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6.6524461292073456E-2</v>
      </c>
      <c r="AG68" s="48">
        <f>'2027'!O29</f>
        <v>2.719693769451062E-2</v>
      </c>
      <c r="AH68" s="66">
        <f>'2027'!P29</f>
        <v>1.0540027095561374E-4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2.9093378713599405E-2</v>
      </c>
      <c r="C69" s="48">
        <f>'2022'!O60</f>
        <v>2.802516615314354E-2</v>
      </c>
      <c r="D69" s="66">
        <f>'2022'!P60</f>
        <v>1.1783108874033658E-4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6.7158063914888988E-2</v>
      </c>
      <c r="AG69" s="48">
        <f>'2027'!O60</f>
        <v>2.9508902158135952E-2</v>
      </c>
      <c r="AH69" s="66">
        <f>'2027'!P60</f>
        <v>4.8829383263441162E-5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2.9688632397216641E-2</v>
      </c>
      <c r="C70" s="48">
        <f>'2022'!O88</f>
        <v>3.0361557551790489E-2</v>
      </c>
      <c r="D70" s="66">
        <f>'2022'!P88</f>
        <v>4.2662744893979478E-5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6.7729980499360964E-2</v>
      </c>
      <c r="AG70" s="48">
        <f>'2027'!O88</f>
        <v>3.1555870966674296E-2</v>
      </c>
      <c r="AH70" s="66">
        <f>'2027'!P88</f>
        <v>3.9105124647650152E-6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3.0347237579642639E-2</v>
      </c>
      <c r="C71" s="48">
        <f>'2022'!O119</f>
        <v>3.3008054185174759E-2</v>
      </c>
      <c r="D71" s="66">
        <f>'2022'!P119</f>
        <v>4.9395802593220417E-6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6.8362764868135639E-2</v>
      </c>
      <c r="AG71" s="48">
        <f>'2027'!O119</f>
        <v>3.3893538910118683E-2</v>
      </c>
      <c r="AH71" s="66">
        <f>'2027'!P119</f>
        <v>2.2704840824865122E-6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3.0984171795945259E-2</v>
      </c>
      <c r="C72" s="48">
        <f>'2022'!O149</f>
        <v>3.5909287527820501E-2</v>
      </c>
      <c r="D72" s="66">
        <f>'2022'!P149</f>
        <v>1.5160806094519693E-4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6.8974727887511689E-2</v>
      </c>
      <c r="AG72" s="48">
        <f>'2027'!O149</f>
        <v>3.6508158294566641E-2</v>
      </c>
      <c r="AH72" s="66">
        <f>'2027'!P149</f>
        <v>7.1780376417150834E-5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3.1641897622536996E-2</v>
      </c>
      <c r="C73" s="48">
        <f>'2022'!O180</f>
        <v>3.9104749414752178E-2</v>
      </c>
      <c r="D73" s="66">
        <f>'2022'!P180</f>
        <v>6.0634167818528648E-5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6.9606667375861297E-2</v>
      </c>
      <c r="AG73" s="48">
        <f>'2027'!O180</f>
        <v>3.940820886943168E-2</v>
      </c>
      <c r="AH73" s="66">
        <f>'2027'!P180</f>
        <v>2.9025148275177334E-5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3.2277981417625168E-2</v>
      </c>
      <c r="C74" s="48">
        <f>'2022'!O210</f>
        <v>4.1766700117730253E-2</v>
      </c>
      <c r="D74" s="66">
        <f>'2022'!P210</f>
        <v>1.6819198598215515E-4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7.0217813315041622E-2</v>
      </c>
      <c r="AG74" s="48">
        <f>'2027'!O210</f>
        <v>4.178076397499636E-2</v>
      </c>
      <c r="AH74" s="66">
        <f>'2027'!P210</f>
        <v>8.055785817232214E-5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3.2934829062480242E-2</v>
      </c>
      <c r="C75" s="48">
        <f>'2022'!O241</f>
        <v>4.411587125785215E-2</v>
      </c>
      <c r="D75" s="66">
        <f>'2022'!P241</f>
        <v>7.0404416159857401E-5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7.0848909051032916E-2</v>
      </c>
      <c r="AG75" s="48">
        <f>'2027'!O241</f>
        <v>4.3836584598127358E-2</v>
      </c>
      <c r="AH75" s="66">
        <f>'2027'!P241</f>
        <v>3.8723987345267897E-5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3.3591230867703437E-2</v>
      </c>
      <c r="C76" s="48">
        <f>'2022'!O272</f>
        <v>4.6246434015613493E-2</v>
      </c>
      <c r="D76" s="66">
        <f>'2022'!P272</f>
        <v>1.1604198020280126E-5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7.1479576426668689E-2</v>
      </c>
      <c r="AG76" s="48">
        <f>'2027'!O272</f>
        <v>4.5683852765920296E-2</v>
      </c>
      <c r="AH76" s="66">
        <f>'2027'!P272</f>
        <v>1.939002029396691E-6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3.4226034207466949E-2</v>
      </c>
      <c r="C77" s="48">
        <f>'2022'!O302</f>
        <v>4.7857809226203918E-2</v>
      </c>
      <c r="D77" s="66">
        <f>'2022'!P302</f>
        <v>3.3924457695798111E-4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7.2089492111159226E-2</v>
      </c>
      <c r="AG77" s="48">
        <f>'2027'!O302</f>
        <v>4.7036845750137536E-2</v>
      </c>
      <c r="AH77" s="66">
        <f>'2027'!P302</f>
        <v>1.4740642098843315E-4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3.4881559598758938E-2</v>
      </c>
      <c r="C78" s="48">
        <f>'2022'!O333</f>
        <v>4.8964641979021874E-2</v>
      </c>
      <c r="D78" s="66">
        <f>'2022'!P333</f>
        <v>3.1245703901439104E-4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7.2719317432934916E-2</v>
      </c>
      <c r="AG78" s="48">
        <f>'2027'!O333</f>
        <v>4.7900046499738086E-2</v>
      </c>
      <c r="AH78" s="66">
        <f>'2027'!P333</f>
        <v>1.4560529282971204E-4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3.5515515362409711E-2</v>
      </c>
      <c r="C79" s="49">
        <f>'2022'!O363</f>
        <v>5.03535194482055E-2</v>
      </c>
      <c r="D79" s="67">
        <f>'2022'!P363</f>
        <v>5.0228324882412077E-4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7.3328418770788217E-2</v>
      </c>
      <c r="AG79" s="49">
        <f>'2027'!O363</f>
        <v>4.9058590340386697E-2</v>
      </c>
      <c r="AH79" s="67">
        <f>'2027'!P363</f>
        <v>2.4269005015989774E-4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YEAR(E6)</f>
        <v>2018</v>
      </c>
      <c r="K1" s="1271"/>
      <c r="L1" s="113" t="str">
        <f>"Calcul pertes et enveloppes en "&amp;TEXT(An,0)</f>
        <v>Calcul pertes et enveloppes en 2018</v>
      </c>
      <c r="M1" s="243"/>
      <c r="N1" s="243"/>
      <c r="O1" s="458"/>
      <c r="P1" s="458"/>
      <c r="Q1" s="458"/>
      <c r="R1" s="458"/>
      <c r="S1" s="458"/>
      <c r="T1" s="458"/>
      <c r="U1" s="458"/>
      <c r="V1" s="458"/>
      <c r="W1" s="456"/>
      <c r="X1" s="487" t="str">
        <f>"Prévision sans nettoyage ni taille végétation en "&amp;TEXT(An,0)</f>
        <v>Prévision sans nettoyage ni taille végétation en 2018</v>
      </c>
      <c r="Y1" s="488"/>
      <c r="Z1" s="489"/>
      <c r="AA1" s="490"/>
      <c r="AB1" s="491"/>
      <c r="AC1" s="492"/>
      <c r="AD1" s="492"/>
      <c r="AE1" s="492"/>
      <c r="AF1" s="458"/>
      <c r="AG1" s="458"/>
      <c r="AH1" s="458"/>
      <c r="AI1" s="492"/>
      <c r="AL1" s="829" t="s">
        <v>267</v>
      </c>
    </row>
    <row r="2" spans="1:40" s="6" customFormat="1" ht="16.5" thickBot="1" x14ac:dyDescent="0.3"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98"/>
      <c r="AD2" s="498"/>
      <c r="AE2" s="498"/>
      <c r="AF2" s="462"/>
      <c r="AG2" s="499"/>
      <c r="AH2" s="500"/>
      <c r="AI2" s="498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5">
        <v>44926</v>
      </c>
      <c r="F3" s="1276"/>
      <c r="G3" s="615">
        <f>YEAR(Tmaj)</f>
        <v>2022</v>
      </c>
      <c r="H3" s="565"/>
      <c r="I3" s="565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505"/>
      <c r="AD3" s="495"/>
      <c r="AE3" s="505"/>
      <c r="AF3" s="495"/>
      <c r="AG3" s="499"/>
      <c r="AH3" s="500"/>
      <c r="AI3" s="505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thickBot="1" x14ac:dyDescent="0.3">
      <c r="D4" s="105" t="s">
        <v>133</v>
      </c>
      <c r="E4" s="1277" t="s">
        <v>335</v>
      </c>
      <c r="F4" s="1278"/>
      <c r="G4" s="1278"/>
      <c r="H4" s="1278"/>
      <c r="I4" s="1279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505"/>
      <c r="AD4" s="505"/>
      <c r="AE4" s="505"/>
      <c r="AF4" s="495"/>
      <c r="AG4" s="499"/>
      <c r="AH4" s="500"/>
      <c r="AI4" s="505"/>
      <c r="AJ4" s="833">
        <f>AL12-AJ12</f>
        <v>0</v>
      </c>
      <c r="AK4" s="834">
        <f>AM12-AK12</f>
        <v>0</v>
      </c>
      <c r="AL4" s="833"/>
      <c r="AM4" s="834"/>
      <c r="AN4" s="832" t="s">
        <v>269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5">
        <v>43259</v>
      </c>
      <c r="F5" s="1276"/>
      <c r="G5" s="560"/>
      <c r="H5" s="560"/>
      <c r="I5" s="560"/>
      <c r="J5" s="19"/>
      <c r="K5" s="192"/>
      <c r="L5" s="506"/>
      <c r="M5" s="505"/>
      <c r="N5" s="505"/>
      <c r="O5" s="428"/>
      <c r="P5" s="508"/>
      <c r="Q5" s="508"/>
      <c r="R5" s="495"/>
      <c r="S5" s="499"/>
      <c r="T5" s="499"/>
      <c r="U5" s="495"/>
      <c r="V5" s="507"/>
      <c r="W5" s="508"/>
      <c r="X5" s="509"/>
      <c r="Y5" s="510"/>
      <c r="Z5" s="236">
        <f>Wh_Psa_s-Wh_Psa</f>
        <v>0</v>
      </c>
      <c r="AA5" s="237">
        <f>Wh_Pvg_s-Wh_Pvg</f>
        <v>0</v>
      </c>
      <c r="AB5" s="514" t="s">
        <v>6</v>
      </c>
      <c r="AC5" s="495"/>
      <c r="AD5" s="505"/>
      <c r="AE5" s="508"/>
      <c r="AF5" s="495"/>
      <c r="AG5" s="499"/>
      <c r="AH5" s="500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32" t="s">
        <v>265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75">
        <v>43301</v>
      </c>
      <c r="F6" s="1276"/>
      <c r="G6" s="576"/>
      <c r="H6" s="557"/>
      <c r="I6" s="557"/>
      <c r="J6" s="35"/>
      <c r="K6" s="193"/>
      <c r="L6" s="154" t="s">
        <v>83</v>
      </c>
      <c r="M6" s="41"/>
      <c r="N6" s="41"/>
      <c r="O6" s="508"/>
      <c r="P6" s="498"/>
      <c r="Q6" s="498"/>
      <c r="R6" s="515"/>
      <c r="S6" s="499"/>
      <c r="T6" s="499"/>
      <c r="U6" s="515"/>
      <c r="V6" s="500"/>
      <c r="W6" s="462"/>
      <c r="X6" s="497"/>
      <c r="Y6" s="498"/>
      <c r="Z6" s="462"/>
      <c r="AA6" s="462"/>
      <c r="AB6" s="516"/>
      <c r="AC6" s="500"/>
      <c r="AD6" s="515"/>
      <c r="AE6" s="515"/>
      <c r="AF6" s="500"/>
      <c r="AG6" s="499"/>
      <c r="AH6" s="499"/>
      <c r="AI6" s="500"/>
      <c r="AJ6" s="516">
        <f>SUMIF(AJ15:AJ380,"FAUX",Wh)</f>
        <v>4615.3260000000028</v>
      </c>
      <c r="AK6" s="516">
        <f>SUMIF(AK15:AK380,"FAUX",Wh)</f>
        <v>4615.3260000000028</v>
      </c>
      <c r="AL6" s="516">
        <f>SUMIF(AJ15:AJ380,"FAUX",Wh_s)</f>
        <v>4615.3260000000028</v>
      </c>
      <c r="AM6" s="516">
        <f>SUMIF(AK15:AK380,"FAUX",Wh_s)</f>
        <v>4615.3260000000028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498"/>
      <c r="P7" s="248"/>
      <c r="Q7" s="248"/>
      <c r="R7" s="517"/>
      <c r="S7" s="517"/>
      <c r="T7" s="517"/>
      <c r="U7" s="248"/>
      <c r="V7" s="428"/>
      <c r="W7" s="518"/>
      <c r="X7" s="519"/>
      <c r="Y7" s="248"/>
      <c r="Z7" s="518"/>
      <c r="AA7" s="518"/>
      <c r="AB7" s="248"/>
      <c r="AC7" s="498"/>
      <c r="AD7" s="248"/>
      <c r="AE7" s="248"/>
      <c r="AF7" s="493"/>
      <c r="AG7" s="493"/>
      <c r="AH7" s="493"/>
      <c r="AI7" s="493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20" t="s">
        <v>95</v>
      </c>
      <c r="P8" s="498"/>
      <c r="Q8" s="498"/>
      <c r="R8" s="498"/>
      <c r="S8" s="498"/>
      <c r="T8" s="498"/>
      <c r="U8" s="498"/>
      <c r="W8" s="404"/>
      <c r="X8" s="1268" t="s">
        <v>102</v>
      </c>
      <c r="Y8" s="1269"/>
      <c r="Z8" s="498"/>
      <c r="AA8" s="498"/>
      <c r="AB8" s="462"/>
      <c r="AC8" s="520" t="s">
        <v>95</v>
      </c>
      <c r="AD8" s="462"/>
      <c r="AE8" s="462"/>
      <c r="AF8" s="462"/>
      <c r="AG8" s="462"/>
      <c r="AH8" s="462"/>
      <c r="AI8" s="462"/>
      <c r="AJ8" s="516">
        <f>SUMIF(AJ15:AJ380,"FAUX",Wh_pvt)</f>
        <v>4625.9802305126768</v>
      </c>
      <c r="AK8" s="516">
        <f>SUMIF(AK15:AK380,"FAUX",Wh_sa)</f>
        <v>4656.6601299130762</v>
      </c>
      <c r="AL8" s="516">
        <f>SUMIF(AJ15:AJ380,"FAUX",Wh_pvt_s)</f>
        <v>4625.9802305126768</v>
      </c>
      <c r="AM8" s="516">
        <f>SUMIF(AK15:AK380,"FAUX",Wh_sa_s)</f>
        <v>4656.6601299130762</v>
      </c>
      <c r="AN8" s="832" t="s">
        <v>258</v>
      </c>
    </row>
    <row r="9" spans="1:40" s="19" customFormat="1" ht="15" customHeight="1" x14ac:dyDescent="0.25">
      <c r="A9" s="183"/>
      <c r="D9" s="73">
        <f>SUM(D$15:D$380)</f>
        <v>4625.9802305126768</v>
      </c>
      <c r="E9" s="73">
        <f>SUM(E$15:E$380)</f>
        <v>4656.6601299130762</v>
      </c>
      <c r="F9" s="73">
        <f>SUM(F$15:F$380)</f>
        <v>4656.7264910671083</v>
      </c>
      <c r="H9" s="1272">
        <f>+SUM(Wh)</f>
        <v>4615.3260000000028</v>
      </c>
      <c r="I9" s="1273"/>
      <c r="J9" s="1274"/>
      <c r="K9" s="191"/>
      <c r="L9" s="114"/>
      <c r="M9" s="114"/>
      <c r="N9" s="114"/>
      <c r="O9" s="325">
        <f>MAX(T0,Tnet_2018)</f>
        <v>43259</v>
      </c>
      <c r="P9" s="244" t="s">
        <v>112</v>
      </c>
      <c r="Q9" s="245"/>
      <c r="R9" s="245"/>
      <c r="S9" s="245"/>
      <c r="T9" s="245"/>
      <c r="U9" s="245"/>
      <c r="V9" s="462"/>
      <c r="W9" s="521"/>
      <c r="X9" s="1266">
        <f>+SUM(Wh_s)</f>
        <v>4615.3260000000028</v>
      </c>
      <c r="Y9" s="1267"/>
      <c r="Z9" s="516">
        <f>SUM(Z$15:Z$380)</f>
        <v>4625.9802305126768</v>
      </c>
      <c r="AA9" s="516">
        <f>SUM(AA$15:AA$380)</f>
        <v>4656.6601299130762</v>
      </c>
      <c r="AB9" s="516">
        <f>F9</f>
        <v>4656.7264910671083</v>
      </c>
      <c r="AC9" s="325">
        <f>IF(An_Tnet,Tnet,T0)</f>
        <v>43259</v>
      </c>
      <c r="AD9" s="315" t="s">
        <v>103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1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IF(OR(Inflex,GainD),Salim_i*(1-EXP((T0-Tnet)/Tau_ij)),IF(Acti_net,Salim_i*(1-EXP((T0-Tnet)/Tau_ij)),0))</f>
        <v>0</v>
      </c>
      <c r="AD10" s="428"/>
      <c r="AE10" s="428"/>
      <c r="AF10" s="260"/>
      <c r="AG10" s="261"/>
      <c r="AH10" s="262"/>
      <c r="AI10" s="428"/>
      <c r="AJ10" s="516">
        <f>SUMIF(AJ15:AJ380,"FAUX",Wh_sa)</f>
        <v>4656.6601299130762</v>
      </c>
      <c r="AK10" s="516">
        <f>SUMIF(AK15:AK380,"FAUX",Wh_hp)</f>
        <v>4656.7264910671083</v>
      </c>
      <c r="AL10" s="516">
        <f>SUMIF(AJ15:AJ380,"FAUX",Wh_sa_s)</f>
        <v>4656.6601299130762</v>
      </c>
      <c r="AM10" s="516">
        <f>SUMIF(AK15:AK380,"FAUX",Wh_hp)</f>
        <v>4656.7264910671083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218">
        <f>D$9-Prod_an</f>
        <v>10.654230512674076</v>
      </c>
      <c r="E11" s="219">
        <f>(E$9-D$9)*Prod_an/D$9</f>
        <v>30.609239625815459</v>
      </c>
      <c r="F11" s="220">
        <f>(F$9-E$9)*Prod_an/E$9</f>
        <v>6.5772109419627092E-2</v>
      </c>
      <c r="G11" s="185" t="s">
        <v>6</v>
      </c>
      <c r="K11" s="194"/>
      <c r="L11" s="182">
        <f>Tvie_2018</f>
        <v>43259</v>
      </c>
      <c r="M11" s="844"/>
      <c r="N11" s="844"/>
      <c r="O11" s="318">
        <f>Salim_2018</f>
        <v>7.0000000000000007E-2</v>
      </c>
      <c r="P11" s="256">
        <f>Ttai_2018</f>
        <v>43101</v>
      </c>
      <c r="Q11" s="272">
        <f>Dens_2018</f>
        <v>0.5</v>
      </c>
      <c r="R11" s="524"/>
      <c r="S11" s="247"/>
      <c r="T11" s="525"/>
      <c r="U11" s="266">
        <f>Htf_2018</f>
        <v>-1.5026106892122759</v>
      </c>
      <c r="V11" s="428"/>
      <c r="W11" s="519"/>
      <c r="X11" s="526" t="s">
        <v>43</v>
      </c>
      <c r="Y11" s="50">
        <f>Z$9-Prod_an_s</f>
        <v>10.654230512674076</v>
      </c>
      <c r="Z11" s="51">
        <f>(AA$9-Z$9)*Prod_an_s/Z$9</f>
        <v>30.609239625815459</v>
      </c>
      <c r="AA11" s="186">
        <f>(AB$9-AA$9)*Prod_an_s/AA$9</f>
        <v>6.5772109419627092E-2</v>
      </c>
      <c r="AB11" s="527" t="s">
        <v>6</v>
      </c>
      <c r="AC11" s="473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8.9659887314030851E-3</v>
      </c>
      <c r="I12" s="102"/>
      <c r="J12" s="99"/>
      <c r="K12" s="191"/>
      <c r="L12" s="204">
        <f>Pspv_2018</f>
        <v>0</v>
      </c>
      <c r="M12" s="212"/>
      <c r="N12" s="212"/>
      <c r="O12" s="528">
        <f>Tau_2018*365</f>
        <v>1095</v>
      </c>
      <c r="P12" s="529">
        <f>INDEX(Croivg,MIN(MAX(Ttai-$A$15,0)+1,366))</f>
        <v>2.3909964587625958E-6</v>
      </c>
      <c r="Q12" s="296">
        <f>D_i</f>
        <v>0.5</v>
      </c>
      <c r="R12" s="278"/>
      <c r="S12" s="279"/>
      <c r="T12" s="530"/>
      <c r="U12" s="297">
        <f>H_i</f>
        <v>-2.0026106892122759</v>
      </c>
      <c r="V12" s="518"/>
      <c r="W12" s="505"/>
      <c r="X12" s="506"/>
      <c r="Y12" s="505"/>
      <c r="Z12" s="428"/>
      <c r="AA12" s="428"/>
      <c r="AB12" s="505"/>
      <c r="AC12" s="318" t="b">
        <f>NOT(An_Tnet)</f>
        <v>0</v>
      </c>
      <c r="AD12" s="428"/>
      <c r="AE12" s="296">
        <f>D_i</f>
        <v>0.5</v>
      </c>
      <c r="AF12" s="203"/>
      <c r="AG12" s="203"/>
      <c r="AH12" s="203"/>
      <c r="AI12" s="297">
        <f>H_i</f>
        <v>-2.0026106892122759</v>
      </c>
      <c r="AJ12" s="833">
        <f>IF($AJ8=0,0,($AJ10-$AJ8)*$AJ6/$AJ8)</f>
        <v>30.609239625815459</v>
      </c>
      <c r="AK12" s="834">
        <f>IF($AK8=0,0,($AK10-$AK8)*$AK6/$AK8)</f>
        <v>6.5772109419627092E-2</v>
      </c>
      <c r="AL12" s="833">
        <f>IF($AL8=0,0,($AL10-$AL8)*$AL6/$AL8)</f>
        <v>30.609239625815459</v>
      </c>
      <c r="AM12" s="834">
        <f>IF($AM8=0,0,($AM10-$AM8)*$AM6/$AM8)</f>
        <v>6.5772109419627092E-2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119</v>
      </c>
      <c r="Z13" s="124" t="s">
        <v>120</v>
      </c>
      <c r="AA13" s="124" t="s">
        <v>121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30.609239625815459</v>
      </c>
      <c r="AK13" s="73">
        <f>+AK11+AK12</f>
        <v>6.5772109419627092E-2</v>
      </c>
      <c r="AL13" s="73">
        <f>+AL11+AL12</f>
        <v>30.609239625815459</v>
      </c>
      <c r="AM13" s="73">
        <f>+AM11+AM12</f>
        <v>6.5772109419627092E-2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208</v>
      </c>
      <c r="V14" s="45" t="str">
        <f>"Enveloppe "&amp; TEXT(An,0)</f>
        <v>Enveloppe 2018</v>
      </c>
      <c r="W14" s="435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20"/>
      <c r="C15" s="854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7">
        <f t="shared" ref="L15:L78" si="2">IF(t&lt;T0,0,IF(t&lt;Tvie,1-EXP((T0-t)*PertePVj),1-EXP((T0-t)*PertePVj)+Pspv))</f>
        <v>0</v>
      </c>
      <c r="M15" s="856"/>
      <c r="N15" s="856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1.1078790194703113E-10</v>
      </c>
      <c r="Q15" s="303">
        <f>IF(OR(t&lt;Ttai,Notai),Dd+PousD*Croivg,Dens+PousD*(Croivg-Croi_tai))</f>
        <v>0.5</v>
      </c>
      <c r="R15" s="304">
        <f t="shared" ref="R15:R78" si="4">(Hp_vg-S15)/(INDEX(Echel_vg,T15+1)-S15)</f>
        <v>0.99739050628595338</v>
      </c>
      <c r="S15" s="810">
        <f>INDEX(Echel_vg,T15)</f>
        <v>-3</v>
      </c>
      <c r="T15" s="249">
        <f>MIN(MATCH(Hp_vg,Echel_vg),10)</f>
        <v>3</v>
      </c>
      <c r="U15" s="250">
        <f>IF(OR(t&lt;Ttai,Notai),Hdd+PousH*Croivg,Hdtf+PousH*(Croivg-Croi_tai))</f>
        <v>-2.0026094937140466</v>
      </c>
      <c r="V15" s="382">
        <f t="shared" ref="V15:V78" si="5">MaxiM*(1-Ppv)*(1-Pvg)*(1-Psa)</f>
        <v>25.790555706445144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4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1.1078790194703113E-10</v>
      </c>
      <c r="AE15" s="303">
        <f t="shared" ref="AE15:AE78" si="12">Dd+PousD*Croivg</f>
        <v>0.5</v>
      </c>
      <c r="AF15" s="304">
        <f t="shared" ref="AF15:AF78" si="13">(Hp_vg_s-AG15)/(INDEX(Echel_vg,AH15+1)-AG15)</f>
        <v>0.99739050628595338</v>
      </c>
      <c r="AG15" s="810">
        <f>INDEX(Echel_vg,AH15)</f>
        <v>-3</v>
      </c>
      <c r="AH15" s="249">
        <f t="shared" ref="AH15:AH78" si="14">MIN(MATCH(Hp_vg_s,Echel_vg),10)</f>
        <v>3</v>
      </c>
      <c r="AI15" s="224">
        <f t="shared" ref="AI15:AI78" si="15">Hdd+PousH*Croivg</f>
        <v>-2.0026094937140466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8">A15+1</f>
        <v>43102</v>
      </c>
      <c r="B16" s="617"/>
      <c r="C16" s="390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7">
        <f t="shared" si="2"/>
        <v>0</v>
      </c>
      <c r="M16" s="856"/>
      <c r="N16" s="856"/>
      <c r="O16" s="324">
        <f t="shared" si="3"/>
        <v>0</v>
      </c>
      <c r="P16" s="169">
        <f>(INDEX(Models!$BJ16:$BT16,,T16)*(1-R16)+INDEX(Models!$BJ16:$BT16,,T16+1)*R16-ERP_i)*Q16*Ramure*Pc/MaxiM</f>
        <v>2.8069676031460391E-9</v>
      </c>
      <c r="Q16" s="305">
        <f t="shared" ref="Q16:Q78" si="19">IF(OR(t&lt;Ttai,Notai),Dd+PousD*Croivg,Dens+PousD*(Croivg-Croi_tai))</f>
        <v>0.5</v>
      </c>
      <c r="R16" s="177">
        <f t="shared" si="4"/>
        <v>0.99741972089994757</v>
      </c>
      <c r="S16" s="811">
        <f t="shared" ref="S16:S79" si="20">INDEX(Echel_vg,T16)</f>
        <v>-3</v>
      </c>
      <c r="T16" s="176">
        <f t="shared" ref="T16:T78" si="21">MIN(MATCH(Hp_vg,Echel_vg),10)</f>
        <v>3</v>
      </c>
      <c r="U16" s="251">
        <f t="shared" ref="U16:U78" si="22">IF(OR(t&lt;Ttai,Notai),Hdd+PousH*Croivg,Hdtf+PousH*(Croivg-Croi_tai))</f>
        <v>-2.0025802791000524</v>
      </c>
      <c r="V16" s="383">
        <f t="shared" si="5"/>
        <v>25.974722293422804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6">
        <f t="shared" si="11"/>
        <v>0</v>
      </c>
      <c r="AD16" s="169">
        <f>(INDEX(Models!$BJ16:$BT16,,AH16)*(1-AF16)+INDEX(Models!$BJ16:$BT16,,AH16+1)*AF16-ERP_i)*AE16*Ramure*Pc/MaxiM</f>
        <v>2.8069676031460391E-9</v>
      </c>
      <c r="AE16" s="305">
        <f t="shared" si="12"/>
        <v>0.5</v>
      </c>
      <c r="AF16" s="177">
        <f t="shared" si="13"/>
        <v>0.99741972089994757</v>
      </c>
      <c r="AG16" s="811">
        <f t="shared" ref="AG16:AG78" si="23">INDEX(Echel_vg,AH16)</f>
        <v>-3</v>
      </c>
      <c r="AH16" s="176">
        <f t="shared" si="14"/>
        <v>3</v>
      </c>
      <c r="AI16" s="225">
        <f t="shared" si="15"/>
        <v>-2.0025802791000524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8"/>
        <v>43103</v>
      </c>
      <c r="B17" s="617"/>
      <c r="C17" s="390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7">
        <f t="shared" si="2"/>
        <v>0</v>
      </c>
      <c r="M17" s="856"/>
      <c r="N17" s="856"/>
      <c r="O17" s="324">
        <f t="shared" si="3"/>
        <v>0</v>
      </c>
      <c r="P17" s="169">
        <f>(INDEX(Models!$BJ17:$BT17,,T17)*(1-R17)+INDEX(Models!$BJ17:$BT17,,T17+1)*R17-ERP_i)*Q17*Ramure*Pc/MaxiM</f>
        <v>5.586878295912209E-9</v>
      </c>
      <c r="Q17" s="305">
        <f t="shared" si="19"/>
        <v>0.5</v>
      </c>
      <c r="R17" s="177">
        <f t="shared" si="4"/>
        <v>0.99745015749543731</v>
      </c>
      <c r="S17" s="811">
        <f t="shared" si="20"/>
        <v>-3</v>
      </c>
      <c r="T17" s="176">
        <f t="shared" si="21"/>
        <v>3</v>
      </c>
      <c r="U17" s="251">
        <f t="shared" si="22"/>
        <v>-2.0025498425045627</v>
      </c>
      <c r="V17" s="383">
        <f t="shared" si="5"/>
        <v>26.166725524604335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6">
        <f t="shared" si="11"/>
        <v>0</v>
      </c>
      <c r="AD17" s="169">
        <f>(INDEX(Models!$BJ17:$BT17,,AH17)*(1-AF17)+INDEX(Models!$BJ17:$BT17,,AH17+1)*AF17-ERP_i)*AE17*Ramure*Pc/MaxiM</f>
        <v>5.586878295912209E-9</v>
      </c>
      <c r="AE17" s="305">
        <f t="shared" si="12"/>
        <v>0.5</v>
      </c>
      <c r="AF17" s="177">
        <f t="shared" si="13"/>
        <v>0.99745015749543731</v>
      </c>
      <c r="AG17" s="811">
        <f t="shared" si="23"/>
        <v>-3</v>
      </c>
      <c r="AH17" s="176">
        <f t="shared" si="14"/>
        <v>3</v>
      </c>
      <c r="AI17" s="225">
        <f t="shared" si="15"/>
        <v>-2.0025498425045627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8"/>
        <v>43104</v>
      </c>
      <c r="B18" s="617"/>
      <c r="C18" s="390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7">
        <f t="shared" si="2"/>
        <v>0</v>
      </c>
      <c r="M18" s="856"/>
      <c r="N18" s="856"/>
      <c r="O18" s="324">
        <f t="shared" si="3"/>
        <v>0</v>
      </c>
      <c r="P18" s="169">
        <f>(INDEX(Models!$BJ18:$BT18,,T18)*(1-R18)+INDEX(Models!$BJ18:$BT18,,T18+1)*R18-ERP_i)*Q18*Ramure*Pc/MaxiM</f>
        <v>8.4432686909070826E-9</v>
      </c>
      <c r="Q18" s="305">
        <f t="shared" si="19"/>
        <v>0.5</v>
      </c>
      <c r="R18" s="177">
        <f t="shared" si="4"/>
        <v>0.99748186702673225</v>
      </c>
      <c r="S18" s="811">
        <f t="shared" si="20"/>
        <v>-3</v>
      </c>
      <c r="T18" s="176">
        <f t="shared" si="21"/>
        <v>3</v>
      </c>
      <c r="U18" s="251">
        <f t="shared" si="22"/>
        <v>-2.0025181329732678</v>
      </c>
      <c r="V18" s="383">
        <f t="shared" si="5"/>
        <v>26.365339920236455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6">
        <f t="shared" si="11"/>
        <v>0</v>
      </c>
      <c r="AD18" s="169">
        <f>(INDEX(Models!$BJ18:$BT18,,AH18)*(1-AF18)+INDEX(Models!$BJ18:$BT18,,AH18+1)*AF18-ERP_i)*AE18*Ramure*Pc/MaxiM</f>
        <v>8.4432686909070826E-9</v>
      </c>
      <c r="AE18" s="305">
        <f t="shared" si="12"/>
        <v>0.5</v>
      </c>
      <c r="AF18" s="177">
        <f t="shared" si="13"/>
        <v>0.99748186702673225</v>
      </c>
      <c r="AG18" s="811">
        <f t="shared" si="23"/>
        <v>-3</v>
      </c>
      <c r="AH18" s="176">
        <f t="shared" si="14"/>
        <v>3</v>
      </c>
      <c r="AI18" s="225">
        <f t="shared" si="15"/>
        <v>-2.0025181329732678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8"/>
        <v>43105</v>
      </c>
      <c r="B19" s="617"/>
      <c r="C19" s="390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7">
        <f t="shared" si="2"/>
        <v>0</v>
      </c>
      <c r="M19" s="856"/>
      <c r="N19" s="856"/>
      <c r="O19" s="324">
        <f t="shared" si="3"/>
        <v>0</v>
      </c>
      <c r="P19" s="169">
        <f>(INDEX(Models!$BJ19:$BT19,,T19)*(1-R19)+INDEX(Models!$BJ19:$BT19,,T19+1)*R19-ERP_i)*Q19*Ramure*Pc/MaxiM</f>
        <v>1.1368947179606523E-8</v>
      </c>
      <c r="Q19" s="305">
        <f t="shared" si="19"/>
        <v>0.5</v>
      </c>
      <c r="R19" s="177">
        <f t="shared" si="4"/>
        <v>0.9975149025592942</v>
      </c>
      <c r="S19" s="811">
        <f t="shared" si="20"/>
        <v>-3</v>
      </c>
      <c r="T19" s="176">
        <f t="shared" si="21"/>
        <v>3</v>
      </c>
      <c r="U19" s="251">
        <f t="shared" si="22"/>
        <v>-2.0024850974407058</v>
      </c>
      <c r="V19" s="383">
        <f t="shared" si="5"/>
        <v>26.569339993726199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6">
        <f t="shared" si="11"/>
        <v>0</v>
      </c>
      <c r="AD19" s="169">
        <f>(INDEX(Models!$BJ19:$BT19,,AH19)*(1-AF19)+INDEX(Models!$BJ19:$BT19,,AH19+1)*AF19-ERP_i)*AE19*Ramure*Pc/MaxiM</f>
        <v>1.1368947179606523E-8</v>
      </c>
      <c r="AE19" s="305">
        <f t="shared" si="12"/>
        <v>0.5</v>
      </c>
      <c r="AF19" s="177">
        <f t="shared" si="13"/>
        <v>0.9975149025592942</v>
      </c>
      <c r="AG19" s="811">
        <f t="shared" si="23"/>
        <v>-3</v>
      </c>
      <c r="AH19" s="176">
        <f t="shared" si="14"/>
        <v>3</v>
      </c>
      <c r="AI19" s="225">
        <f t="shared" si="15"/>
        <v>-2.0024850974407058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8"/>
        <v>43106</v>
      </c>
      <c r="B20" s="617"/>
      <c r="C20" s="390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7">
        <f t="shared" si="2"/>
        <v>0</v>
      </c>
      <c r="M20" s="856"/>
      <c r="N20" s="856"/>
      <c r="O20" s="324">
        <f t="shared" si="3"/>
        <v>0</v>
      </c>
      <c r="P20" s="169">
        <f>(INDEX(Models!$BJ20:$BT20,,T20)*(1-R20)+INDEX(Models!$BJ20:$BT20,,T20+1)*R20-ERP_i)*Q20*Ramure*Pc/MaxiM</f>
        <v>1.4356785136968867E-8</v>
      </c>
      <c r="Q20" s="305">
        <f t="shared" si="19"/>
        <v>0.5</v>
      </c>
      <c r="R20" s="177">
        <f t="shared" si="4"/>
        <v>0.99754931935604496</v>
      </c>
      <c r="S20" s="811">
        <f t="shared" si="20"/>
        <v>-3</v>
      </c>
      <c r="T20" s="176">
        <f t="shared" si="21"/>
        <v>3</v>
      </c>
      <c r="U20" s="251">
        <f t="shared" si="22"/>
        <v>-2.002450680643955</v>
      </c>
      <c r="V20" s="383">
        <f t="shared" si="5"/>
        <v>26.777500262172229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6">
        <f t="shared" si="11"/>
        <v>0</v>
      </c>
      <c r="AD20" s="169">
        <f>(INDEX(Models!$BJ20:$BT20,,AH20)*(1-AF20)+INDEX(Models!$BJ20:$BT20,,AH20+1)*AF20-ERP_i)*AE20*Ramure*Pc/MaxiM</f>
        <v>1.4356785136968867E-8</v>
      </c>
      <c r="AE20" s="305">
        <f t="shared" si="12"/>
        <v>0.5</v>
      </c>
      <c r="AF20" s="177">
        <f t="shared" si="13"/>
        <v>0.99754931935604496</v>
      </c>
      <c r="AG20" s="811">
        <f t="shared" si="23"/>
        <v>-3</v>
      </c>
      <c r="AH20" s="176">
        <f t="shared" si="14"/>
        <v>3</v>
      </c>
      <c r="AI20" s="225">
        <f t="shared" si="15"/>
        <v>-2.002450680643955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8"/>
        <v>43107</v>
      </c>
      <c r="B21" s="617"/>
      <c r="C21" s="390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7">
        <f t="shared" si="2"/>
        <v>0</v>
      </c>
      <c r="M21" s="856"/>
      <c r="N21" s="856"/>
      <c r="O21" s="324">
        <f t="shared" si="3"/>
        <v>0</v>
      </c>
      <c r="P21" s="169">
        <f>(INDEX(Models!$BJ21:$BT21,,T21)*(1-R21)+INDEX(Models!$BJ21:$BT21,,T21+1)*R21-ERP_i)*Q21*Ramure*Pc/MaxiM</f>
        <v>1.739971117174997E-8</v>
      </c>
      <c r="Q21" s="305">
        <f t="shared" si="19"/>
        <v>0.5</v>
      </c>
      <c r="R21" s="177">
        <f t="shared" si="4"/>
        <v>0.99758517496710786</v>
      </c>
      <c r="S21" s="811">
        <f t="shared" si="20"/>
        <v>-3</v>
      </c>
      <c r="T21" s="176">
        <f t="shared" si="21"/>
        <v>3</v>
      </c>
      <c r="U21" s="251">
        <f t="shared" si="22"/>
        <v>-2.0024148250328921</v>
      </c>
      <c r="V21" s="383">
        <f t="shared" si="5"/>
        <v>26.988595239014856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6">
        <f t="shared" si="11"/>
        <v>0</v>
      </c>
      <c r="AD21" s="169">
        <f>(INDEX(Models!$BJ21:$BT21,,AH21)*(1-AF21)+INDEX(Models!$BJ21:$BT21,,AH21+1)*AF21-ERP_i)*AE21*Ramure*Pc/MaxiM</f>
        <v>1.739971117174997E-8</v>
      </c>
      <c r="AE21" s="305">
        <f t="shared" si="12"/>
        <v>0.5</v>
      </c>
      <c r="AF21" s="177">
        <f t="shared" si="13"/>
        <v>0.99758517496710786</v>
      </c>
      <c r="AG21" s="811">
        <f t="shared" si="23"/>
        <v>-3</v>
      </c>
      <c r="AH21" s="176">
        <f t="shared" si="14"/>
        <v>3</v>
      </c>
      <c r="AI21" s="225">
        <f t="shared" si="15"/>
        <v>-2.0024148250328921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8"/>
        <v>43108</v>
      </c>
      <c r="B22" s="617"/>
      <c r="C22" s="390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7">
        <f t="shared" si="2"/>
        <v>0</v>
      </c>
      <c r="M22" s="856"/>
      <c r="N22" s="856"/>
      <c r="O22" s="324">
        <f t="shared" si="3"/>
        <v>0</v>
      </c>
      <c r="P22" s="169">
        <f>(INDEX(Models!$BJ22:$BT22,,T22)*(1-R22)+INDEX(Models!$BJ22:$BT22,,T22+1)*R22-ERP_i)*Q22*Ramure*Pc/MaxiM</f>
        <v>2.0490696658280013E-8</v>
      </c>
      <c r="Q22" s="305">
        <f t="shared" si="19"/>
        <v>0.5</v>
      </c>
      <c r="R22" s="177">
        <f t="shared" si="4"/>
        <v>0.99762252932310513</v>
      </c>
      <c r="S22" s="811">
        <f t="shared" si="20"/>
        <v>-3</v>
      </c>
      <c r="T22" s="176">
        <f t="shared" si="21"/>
        <v>3</v>
      </c>
      <c r="U22" s="251">
        <f t="shared" si="22"/>
        <v>-2.0023774706768949</v>
      </c>
      <c r="V22" s="383">
        <f t="shared" si="5"/>
        <v>27.201399442481314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6">
        <f t="shared" si="11"/>
        <v>0</v>
      </c>
      <c r="AD22" s="169">
        <f>(INDEX(Models!$BJ22:$BT22,,AH22)*(1-AF22)+INDEX(Models!$BJ22:$BT22,,AH22+1)*AF22-ERP_i)*AE22*Ramure*Pc/MaxiM</f>
        <v>2.0490696658280013E-8</v>
      </c>
      <c r="AE22" s="305">
        <f t="shared" si="12"/>
        <v>0.5</v>
      </c>
      <c r="AF22" s="177">
        <f t="shared" si="13"/>
        <v>0.99762252932310513</v>
      </c>
      <c r="AG22" s="811">
        <f t="shared" si="23"/>
        <v>-3</v>
      </c>
      <c r="AH22" s="176">
        <f t="shared" si="14"/>
        <v>3</v>
      </c>
      <c r="AI22" s="225">
        <f t="shared" si="15"/>
        <v>-2.0023774706768949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8"/>
        <v>43109</v>
      </c>
      <c r="B23" s="617"/>
      <c r="C23" s="390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7">
        <f t="shared" si="2"/>
        <v>0</v>
      </c>
      <c r="M23" s="856"/>
      <c r="N23" s="856"/>
      <c r="O23" s="324">
        <f t="shared" si="3"/>
        <v>0</v>
      </c>
      <c r="P23" s="169">
        <f>(INDEX(Models!$BJ23:$BT23,,T23)*(1-R23)+INDEX(Models!$BJ23:$BT23,,T23+1)*R23-ERP_i)*Q23*Ramure*Pc/MaxiM</f>
        <v>2.3619477346721142E-8</v>
      </c>
      <c r="Q23" s="305">
        <f t="shared" si="19"/>
        <v>0.5</v>
      </c>
      <c r="R23" s="177">
        <f t="shared" si="4"/>
        <v>0.99766144483214036</v>
      </c>
      <c r="S23" s="811">
        <f t="shared" si="20"/>
        <v>-3</v>
      </c>
      <c r="T23" s="176">
        <f t="shared" si="21"/>
        <v>3</v>
      </c>
      <c r="U23" s="251">
        <f t="shared" si="22"/>
        <v>-2.0023385551678596</v>
      </c>
      <c r="V23" s="383">
        <f t="shared" si="5"/>
        <v>27.418466033259609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6">
        <f t="shared" si="11"/>
        <v>0</v>
      </c>
      <c r="AD23" s="169">
        <f>(INDEX(Models!$BJ23:$BT23,,AH23)*(1-AF23)+INDEX(Models!$BJ23:$BT23,,AH23+1)*AF23-ERP_i)*AE23*Ramure*Pc/MaxiM</f>
        <v>2.3619477346721142E-8</v>
      </c>
      <c r="AE23" s="305">
        <f t="shared" si="12"/>
        <v>0.5</v>
      </c>
      <c r="AF23" s="177">
        <f t="shared" si="13"/>
        <v>0.99766144483214036</v>
      </c>
      <c r="AG23" s="811">
        <f t="shared" si="23"/>
        <v>-3</v>
      </c>
      <c r="AH23" s="176">
        <f t="shared" si="14"/>
        <v>3</v>
      </c>
      <c r="AI23" s="225">
        <f t="shared" si="15"/>
        <v>-2.0023385551678596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8"/>
        <v>43110</v>
      </c>
      <c r="B24" s="617"/>
      <c r="C24" s="390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7">
        <f t="shared" si="2"/>
        <v>0</v>
      </c>
      <c r="M24" s="856"/>
      <c r="N24" s="856"/>
      <c r="O24" s="324">
        <f t="shared" si="3"/>
        <v>0</v>
      </c>
      <c r="P24" s="169">
        <f>(INDEX(Models!$BJ24:$BT24,,T24)*(1-R24)+INDEX(Models!$BJ24:$BT24,,T24+1)*R24-ERP_i)*Q24*Ramure*Pc/MaxiM</f>
        <v>2.6747442437372599E-8</v>
      </c>
      <c r="Q24" s="305">
        <f t="shared" si="19"/>
        <v>0.5</v>
      </c>
      <c r="R24" s="177">
        <f t="shared" si="4"/>
        <v>0.99770198648060981</v>
      </c>
      <c r="S24" s="811">
        <f t="shared" si="20"/>
        <v>-3</v>
      </c>
      <c r="T24" s="176">
        <f t="shared" si="21"/>
        <v>3</v>
      </c>
      <c r="U24" s="251">
        <f t="shared" si="22"/>
        <v>-2.0022980135193902</v>
      </c>
      <c r="V24" s="383">
        <f t="shared" si="5"/>
        <v>27.64300802704998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6">
        <f t="shared" si="11"/>
        <v>0</v>
      </c>
      <c r="AD24" s="169">
        <f>(INDEX(Models!$BJ24:$BT24,,AH24)*(1-AF24)+INDEX(Models!$BJ24:$BT24,,AH24+1)*AF24-ERP_i)*AE24*Ramure*Pc/MaxiM</f>
        <v>2.6747442437372599E-8</v>
      </c>
      <c r="AE24" s="305">
        <f t="shared" si="12"/>
        <v>0.5</v>
      </c>
      <c r="AF24" s="177">
        <f t="shared" si="13"/>
        <v>0.99770198648060981</v>
      </c>
      <c r="AG24" s="811">
        <f t="shared" si="23"/>
        <v>-3</v>
      </c>
      <c r="AH24" s="176">
        <f t="shared" si="14"/>
        <v>3</v>
      </c>
      <c r="AI24" s="225">
        <f t="shared" si="15"/>
        <v>-2.0022980135193902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8"/>
        <v>43111</v>
      </c>
      <c r="B25" s="617"/>
      <c r="C25" s="390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7">
        <f t="shared" si="2"/>
        <v>0</v>
      </c>
      <c r="M25" s="856"/>
      <c r="N25" s="856"/>
      <c r="O25" s="324">
        <f t="shared" si="3"/>
        <v>0</v>
      </c>
      <c r="P25" s="169">
        <f>(INDEX(Models!$BJ25:$BT25,,T25)*(1-R25)+INDEX(Models!$BJ25:$BT25,,T25+1)*R25-ERP_i)*Q25*Ramure*Pc/MaxiM</f>
        <v>2.9845603636029566E-8</v>
      </c>
      <c r="Q25" s="305">
        <f t="shared" si="19"/>
        <v>0.5</v>
      </c>
      <c r="R25" s="177">
        <f t="shared" si="4"/>
        <v>0.99774422193797596</v>
      </c>
      <c r="S25" s="811">
        <f t="shared" si="20"/>
        <v>-3</v>
      </c>
      <c r="T25" s="176">
        <f t="shared" si="21"/>
        <v>3</v>
      </c>
      <c r="U25" s="251">
        <f t="shared" si="22"/>
        <v>-2.002255778062024</v>
      </c>
      <c r="V25" s="383">
        <f t="shared" si="5"/>
        <v>27.874789723192336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6">
        <f t="shared" si="11"/>
        <v>0</v>
      </c>
      <c r="AD25" s="169">
        <f>(INDEX(Models!$BJ25:$BT25,,AH25)*(1-AF25)+INDEX(Models!$BJ25:$BT25,,AH25+1)*AF25-ERP_i)*AE25*Ramure*Pc/MaxiM</f>
        <v>2.9845603636029566E-8</v>
      </c>
      <c r="AE25" s="305">
        <f t="shared" si="12"/>
        <v>0.5</v>
      </c>
      <c r="AF25" s="177">
        <f t="shared" si="13"/>
        <v>0.99774422193797596</v>
      </c>
      <c r="AG25" s="811">
        <f t="shared" si="23"/>
        <v>-3</v>
      </c>
      <c r="AH25" s="176">
        <f t="shared" si="14"/>
        <v>3</v>
      </c>
      <c r="AI25" s="225">
        <f t="shared" si="15"/>
        <v>-2.002255778062024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8"/>
        <v>43112</v>
      </c>
      <c r="B26" s="617"/>
      <c r="C26" s="390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7">
        <f t="shared" si="2"/>
        <v>0</v>
      </c>
      <c r="M26" s="856"/>
      <c r="N26" s="856"/>
      <c r="O26" s="324">
        <f t="shared" si="3"/>
        <v>0</v>
      </c>
      <c r="P26" s="169">
        <f>(INDEX(Models!$BJ26:$BT26,,T26)*(1-R26)+INDEX(Models!$BJ26:$BT26,,T26+1)*R26-ERP_i)*Q26*Ramure*Pc/MaxiM</f>
        <v>3.2889550591477093E-8</v>
      </c>
      <c r="Q26" s="305">
        <f t="shared" si="19"/>
        <v>0.5</v>
      </c>
      <c r="R26" s="177">
        <f t="shared" si="4"/>
        <v>0.99778822166564707</v>
      </c>
      <c r="S26" s="811">
        <f t="shared" si="20"/>
        <v>-3</v>
      </c>
      <c r="T26" s="176">
        <f t="shared" si="21"/>
        <v>3</v>
      </c>
      <c r="U26" s="251">
        <f t="shared" si="22"/>
        <v>-2.0022117783343529</v>
      </c>
      <c r="V26" s="383">
        <f t="shared" si="5"/>
        <v>28.113575423057295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6">
        <f t="shared" si="11"/>
        <v>0</v>
      </c>
      <c r="AD26" s="169">
        <f>(INDEX(Models!$BJ26:$BT26,,AH26)*(1-AF26)+INDEX(Models!$BJ26:$BT26,,AH26+1)*AF26-ERP_i)*AE26*Ramure*Pc/MaxiM</f>
        <v>3.2889550591477093E-8</v>
      </c>
      <c r="AE26" s="305">
        <f t="shared" si="12"/>
        <v>0.5</v>
      </c>
      <c r="AF26" s="177">
        <f t="shared" si="13"/>
        <v>0.99778822166564707</v>
      </c>
      <c r="AG26" s="811">
        <f t="shared" si="23"/>
        <v>-3</v>
      </c>
      <c r="AH26" s="176">
        <f t="shared" si="14"/>
        <v>3</v>
      </c>
      <c r="AI26" s="225">
        <f t="shared" si="15"/>
        <v>-2.0022117783343529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8"/>
        <v>43113</v>
      </c>
      <c r="B27" s="617"/>
      <c r="C27" s="390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7">
        <f t="shared" si="2"/>
        <v>0</v>
      </c>
      <c r="M27" s="856"/>
      <c r="N27" s="856"/>
      <c r="O27" s="324">
        <f t="shared" si="3"/>
        <v>0</v>
      </c>
      <c r="P27" s="169">
        <f>(INDEX(Models!$BJ27:$BT27,,T27)*(1-R27)+INDEX(Models!$BJ27:$BT27,,T27+1)*R27-ERP_i)*Q27*Ramure*Pc/MaxiM</f>
        <v>3.5853756829931054E-8</v>
      </c>
      <c r="Q27" s="305">
        <f t="shared" si="19"/>
        <v>0.5</v>
      </c>
      <c r="R27" s="177">
        <f t="shared" si="4"/>
        <v>0.99783405903011602</v>
      </c>
      <c r="S27" s="811">
        <f t="shared" si="20"/>
        <v>-3</v>
      </c>
      <c r="T27" s="176">
        <f t="shared" si="21"/>
        <v>3</v>
      </c>
      <c r="U27" s="251">
        <f t="shared" si="22"/>
        <v>-2.002165940969884</v>
      </c>
      <c r="V27" s="383">
        <f t="shared" si="5"/>
        <v>28.3591294227002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6">
        <f t="shared" si="11"/>
        <v>0</v>
      </c>
      <c r="AD27" s="169">
        <f>(INDEX(Models!$BJ27:$BT27,,AH27)*(1-AF27)+INDEX(Models!$BJ27:$BT27,,AH27+1)*AF27-ERP_i)*AE27*Ramure*Pc/MaxiM</f>
        <v>3.5853756829931054E-8</v>
      </c>
      <c r="AE27" s="305">
        <f t="shared" si="12"/>
        <v>0.5</v>
      </c>
      <c r="AF27" s="177">
        <f t="shared" si="13"/>
        <v>0.99783405903011602</v>
      </c>
      <c r="AG27" s="811">
        <f t="shared" si="23"/>
        <v>-3</v>
      </c>
      <c r="AH27" s="176">
        <f t="shared" si="14"/>
        <v>3</v>
      </c>
      <c r="AI27" s="225">
        <f t="shared" si="15"/>
        <v>-2.002165940969884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8"/>
        <v>43114</v>
      </c>
      <c r="B28" s="617"/>
      <c r="C28" s="390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7">
        <f t="shared" si="2"/>
        <v>0</v>
      </c>
      <c r="M28" s="856"/>
      <c r="N28" s="856"/>
      <c r="O28" s="324">
        <f t="shared" si="3"/>
        <v>0</v>
      </c>
      <c r="P28" s="169">
        <f>(INDEX(Models!$BJ28:$BT28,,T28)*(1-R28)+INDEX(Models!$BJ28:$BT28,,T28+1)*R28-ERP_i)*Q28*Ramure*Pc/MaxiM</f>
        <v>3.8711538670979347E-8</v>
      </c>
      <c r="Q28" s="305">
        <f t="shared" si="19"/>
        <v>0.5</v>
      </c>
      <c r="R28" s="177">
        <f t="shared" si="4"/>
        <v>0.99788181042050539</v>
      </c>
      <c r="S28" s="811">
        <f t="shared" si="20"/>
        <v>-3</v>
      </c>
      <c r="T28" s="176">
        <f t="shared" si="21"/>
        <v>3</v>
      </c>
      <c r="U28" s="251">
        <f t="shared" si="22"/>
        <v>-2.0021181895794946</v>
      </c>
      <c r="V28" s="383">
        <f t="shared" si="5"/>
        <v>28.611216023136379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6">
        <f t="shared" si="11"/>
        <v>0</v>
      </c>
      <c r="AD28" s="169">
        <f>(INDEX(Models!$BJ28:$BT28,,AH28)*(1-AF28)+INDEX(Models!$BJ28:$BT28,,AH28+1)*AF28-ERP_i)*AE28*Ramure*Pc/MaxiM</f>
        <v>3.8711538670979347E-8</v>
      </c>
      <c r="AE28" s="305">
        <f t="shared" si="12"/>
        <v>0.5</v>
      </c>
      <c r="AF28" s="177">
        <f t="shared" si="13"/>
        <v>0.99788181042050539</v>
      </c>
      <c r="AG28" s="811">
        <f t="shared" si="23"/>
        <v>-3</v>
      </c>
      <c r="AH28" s="176">
        <f t="shared" si="14"/>
        <v>3</v>
      </c>
      <c r="AI28" s="225">
        <f t="shared" si="15"/>
        <v>-2.0021181895794946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8"/>
        <v>43115</v>
      </c>
      <c r="B29" s="617"/>
      <c r="C29" s="390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7">
        <f t="shared" si="2"/>
        <v>0</v>
      </c>
      <c r="M29" s="856"/>
      <c r="N29" s="856"/>
      <c r="O29" s="324">
        <f t="shared" si="3"/>
        <v>0</v>
      </c>
      <c r="P29" s="169">
        <f>(INDEX(Models!$BJ29:$BT29,,T29)*(1-R29)+INDEX(Models!$BJ29:$BT29,,T29+1)*R29-ERP_i)*Q29*Ramure*Pc/MaxiM</f>
        <v>4.1435007733138547E-8</v>
      </c>
      <c r="Q29" s="305">
        <f t="shared" si="19"/>
        <v>0.5</v>
      </c>
      <c r="R29" s="177">
        <f t="shared" si="4"/>
        <v>0.99793155537067779</v>
      </c>
      <c r="S29" s="811">
        <f t="shared" si="20"/>
        <v>-3</v>
      </c>
      <c r="T29" s="176">
        <f t="shared" si="21"/>
        <v>3</v>
      </c>
      <c r="U29" s="251">
        <f t="shared" si="22"/>
        <v>-2.0020684446293222</v>
      </c>
      <c r="V29" s="383">
        <f t="shared" si="5"/>
        <v>28.869599522256298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6">
        <f t="shared" si="11"/>
        <v>0</v>
      </c>
      <c r="AD29" s="169">
        <f>(INDEX(Models!$BJ29:$BT29,,AH29)*(1-AF29)+INDEX(Models!$BJ29:$BT29,,AH29+1)*AF29-ERP_i)*AE29*Ramure*Pc/MaxiM</f>
        <v>4.1435007733138547E-8</v>
      </c>
      <c r="AE29" s="305">
        <f t="shared" si="12"/>
        <v>0.5</v>
      </c>
      <c r="AF29" s="177">
        <f t="shared" si="13"/>
        <v>0.99793155537067779</v>
      </c>
      <c r="AG29" s="811">
        <f t="shared" si="23"/>
        <v>-3</v>
      </c>
      <c r="AH29" s="176">
        <f t="shared" si="14"/>
        <v>3</v>
      </c>
      <c r="AI29" s="225">
        <f t="shared" si="15"/>
        <v>-2.0020684446293222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8"/>
        <v>43116</v>
      </c>
      <c r="B30" s="617"/>
      <c r="C30" s="390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7">
        <f t="shared" si="2"/>
        <v>0</v>
      </c>
      <c r="M30" s="856"/>
      <c r="N30" s="856"/>
      <c r="O30" s="324">
        <f t="shared" si="3"/>
        <v>0</v>
      </c>
      <c r="P30" s="169">
        <f>(INDEX(Models!$BJ30:$BT30,,T30)*(1-R30)+INDEX(Models!$BJ30:$BT30,,T30+1)*R30-ERP_i)*Q30*Ramure*Pc/MaxiM</f>
        <v>4.4026741507606822E-8</v>
      </c>
      <c r="Q30" s="305">
        <f t="shared" si="19"/>
        <v>0.5</v>
      </c>
      <c r="R30" s="177">
        <f t="shared" si="4"/>
        <v>0.99798337668607129</v>
      </c>
      <c r="S30" s="811">
        <f t="shared" si="20"/>
        <v>-3</v>
      </c>
      <c r="T30" s="176">
        <f t="shared" si="21"/>
        <v>3</v>
      </c>
      <c r="U30" s="251">
        <f t="shared" si="22"/>
        <v>-2.0020166233139287</v>
      </c>
      <c r="V30" s="383">
        <f t="shared" si="5"/>
        <v>29.134044218269811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6">
        <f t="shared" si="11"/>
        <v>0</v>
      </c>
      <c r="AD30" s="169">
        <f>(INDEX(Models!$BJ30:$BT30,,AH30)*(1-AF30)+INDEX(Models!$BJ30:$BT30,,AH30+1)*AF30-ERP_i)*AE30*Ramure*Pc/MaxiM</f>
        <v>4.4026741507606822E-8</v>
      </c>
      <c r="AE30" s="305">
        <f t="shared" si="12"/>
        <v>0.5</v>
      </c>
      <c r="AF30" s="177">
        <f t="shared" si="13"/>
        <v>0.99798337668607129</v>
      </c>
      <c r="AG30" s="811">
        <f t="shared" si="23"/>
        <v>-3</v>
      </c>
      <c r="AH30" s="176">
        <f t="shared" si="14"/>
        <v>3</v>
      </c>
      <c r="AI30" s="225">
        <f t="shared" si="15"/>
        <v>-2.0020166233139287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43117</v>
      </c>
      <c r="B31" s="617"/>
      <c r="C31" s="390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7">
        <f t="shared" si="2"/>
        <v>0</v>
      </c>
      <c r="M31" s="856"/>
      <c r="N31" s="856"/>
      <c r="O31" s="324">
        <f t="shared" si="3"/>
        <v>0</v>
      </c>
      <c r="P31" s="169">
        <f>(INDEX(Models!$BJ31:$BT31,,T31)*(1-R31)+INDEX(Models!$BJ31:$BT31,,T31+1)*R31-ERP_i)*Q31*Ramure*Pc/MaxiM</f>
        <v>4.6535411700798534E-8</v>
      </c>
      <c r="Q31" s="305">
        <f t="shared" si="19"/>
        <v>0.5</v>
      </c>
      <c r="R31" s="177">
        <f t="shared" si="4"/>
        <v>0.99803736057542514</v>
      </c>
      <c r="S31" s="811">
        <f t="shared" si="20"/>
        <v>-3</v>
      </c>
      <c r="T31" s="176">
        <f t="shared" si="21"/>
        <v>3</v>
      </c>
      <c r="U31" s="251">
        <f t="shared" si="22"/>
        <v>-2.0019626394245749</v>
      </c>
      <c r="V31" s="383">
        <f t="shared" si="5"/>
        <v>29.40431440920678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6">
        <f t="shared" si="11"/>
        <v>0</v>
      </c>
      <c r="AD31" s="169">
        <f>(INDEX(Models!$BJ31:$BT31,,AH31)*(1-AF31)+INDEX(Models!$BJ31:$BT31,,AH31+1)*AF31-ERP_i)*AE31*Ramure*Pc/MaxiM</f>
        <v>4.6535411700798534E-8</v>
      </c>
      <c r="AE31" s="305">
        <f t="shared" si="12"/>
        <v>0.5</v>
      </c>
      <c r="AF31" s="177">
        <f t="shared" si="13"/>
        <v>0.99803736057542514</v>
      </c>
      <c r="AG31" s="811">
        <f t="shared" si="23"/>
        <v>-3</v>
      </c>
      <c r="AH31" s="176">
        <f t="shared" si="14"/>
        <v>3</v>
      </c>
      <c r="AI31" s="225">
        <f t="shared" si="15"/>
        <v>-2.0019626394245749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8"/>
        <v>43118</v>
      </c>
      <c r="B32" s="617"/>
      <c r="C32" s="390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7">
        <f t="shared" si="2"/>
        <v>0</v>
      </c>
      <c r="M32" s="856"/>
      <c r="N32" s="856"/>
      <c r="O32" s="324">
        <f t="shared" si="3"/>
        <v>0</v>
      </c>
      <c r="P32" s="169">
        <f>(INDEX(Models!$BJ32:$BT32,,T32)*(1-R32)+INDEX(Models!$BJ32:$BT32,,T32+1)*R32-ERP_i)*Q32*Ramure*Pc/MaxiM</f>
        <v>4.8953685495978321E-8</v>
      </c>
      <c r="Q32" s="305">
        <f t="shared" si="19"/>
        <v>0.5</v>
      </c>
      <c r="R32" s="177">
        <f t="shared" si="4"/>
        <v>0.99809359678756682</v>
      </c>
      <c r="S32" s="811">
        <f t="shared" si="20"/>
        <v>-3</v>
      </c>
      <c r="T32" s="176">
        <f t="shared" si="21"/>
        <v>3</v>
      </c>
      <c r="U32" s="251">
        <f t="shared" si="22"/>
        <v>-2.0019064032124332</v>
      </c>
      <c r="V32" s="383">
        <f t="shared" si="5"/>
        <v>29.680174391732379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6">
        <f t="shared" si="11"/>
        <v>0</v>
      </c>
      <c r="AD32" s="169">
        <f>(INDEX(Models!$BJ32:$BT32,,AH32)*(1-AF32)+INDEX(Models!$BJ32:$BT32,,AH32+1)*AF32-ERP_i)*AE32*Ramure*Pc/MaxiM</f>
        <v>4.8953685495978321E-8</v>
      </c>
      <c r="AE32" s="305">
        <f t="shared" si="12"/>
        <v>0.5</v>
      </c>
      <c r="AF32" s="177">
        <f t="shared" si="13"/>
        <v>0.99809359678756682</v>
      </c>
      <c r="AG32" s="811">
        <f t="shared" si="23"/>
        <v>-3</v>
      </c>
      <c r="AH32" s="176">
        <f t="shared" si="14"/>
        <v>3</v>
      </c>
      <c r="AI32" s="225">
        <f t="shared" si="15"/>
        <v>-2.0019064032124332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8"/>
        <v>43119</v>
      </c>
      <c r="B33" s="617"/>
      <c r="C33" s="390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7">
        <f t="shared" si="2"/>
        <v>0</v>
      </c>
      <c r="M33" s="856"/>
      <c r="N33" s="856"/>
      <c r="O33" s="324">
        <f t="shared" si="3"/>
        <v>0</v>
      </c>
      <c r="P33" s="169">
        <f>(INDEX(Models!$BJ33:$BT33,,T33)*(1-R33)+INDEX(Models!$BJ33:$BT33,,T33+1)*R33-ERP_i)*Q33*Ramure*Pc/MaxiM</f>
        <v>5.127399145028924E-8</v>
      </c>
      <c r="Q33" s="305">
        <f t="shared" si="19"/>
        <v>0.5</v>
      </c>
      <c r="R33" s="177">
        <f t="shared" si="4"/>
        <v>0.99815217875342777</v>
      </c>
      <c r="S33" s="811">
        <f t="shared" si="20"/>
        <v>-3</v>
      </c>
      <c r="T33" s="176">
        <f t="shared" si="21"/>
        <v>3</v>
      </c>
      <c r="U33" s="251">
        <f t="shared" si="22"/>
        <v>-2.0018478212465722</v>
      </c>
      <c r="V33" s="383">
        <f t="shared" si="5"/>
        <v>29.961388467002607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6">
        <f t="shared" si="11"/>
        <v>0</v>
      </c>
      <c r="AD33" s="169">
        <f>(INDEX(Models!$BJ33:$BT33,,AH33)*(1-AF33)+INDEX(Models!$BJ33:$BT33,,AH33+1)*AF33-ERP_i)*AE33*Ramure*Pc/MaxiM</f>
        <v>5.127399145028924E-8</v>
      </c>
      <c r="AE33" s="305">
        <f t="shared" si="12"/>
        <v>0.5</v>
      </c>
      <c r="AF33" s="177">
        <f t="shared" si="13"/>
        <v>0.99815217875342777</v>
      </c>
      <c r="AG33" s="811">
        <f t="shared" si="23"/>
        <v>-3</v>
      </c>
      <c r="AH33" s="176">
        <f t="shared" si="14"/>
        <v>3</v>
      </c>
      <c r="AI33" s="225">
        <f t="shared" si="15"/>
        <v>-2.0018478212465722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8"/>
        <v>43120</v>
      </c>
      <c r="B34" s="617"/>
      <c r="C34" s="390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7">
        <f t="shared" si="2"/>
        <v>0</v>
      </c>
      <c r="M34" s="856"/>
      <c r="N34" s="856"/>
      <c r="O34" s="324">
        <f t="shared" si="3"/>
        <v>0</v>
      </c>
      <c r="P34" s="169">
        <f>(INDEX(Models!$BJ34:$BT34,,T34)*(1-R34)+INDEX(Models!$BJ34:$BT34,,T34+1)*R34-ERP_i)*Q34*Ramure*Pc/MaxiM</f>
        <v>5.3488793445845321E-8</v>
      </c>
      <c r="Q34" s="305">
        <f t="shared" si="19"/>
        <v>0.5</v>
      </c>
      <c r="R34" s="177">
        <f t="shared" si="4"/>
        <v>0.99821320373347033</v>
      </c>
      <c r="S34" s="811">
        <f t="shared" si="20"/>
        <v>-3</v>
      </c>
      <c r="T34" s="176">
        <f t="shared" si="21"/>
        <v>3</v>
      </c>
      <c r="U34" s="251">
        <f t="shared" si="22"/>
        <v>-2.0017867962665297</v>
      </c>
      <c r="V34" s="383">
        <f t="shared" si="5"/>
        <v>30.247720932248061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6">
        <f t="shared" si="11"/>
        <v>0</v>
      </c>
      <c r="AD34" s="169">
        <f>(INDEX(Models!$BJ34:$BT34,,AH34)*(1-AF34)+INDEX(Models!$BJ34:$BT34,,AH34+1)*AF34-ERP_i)*AE34*Ramure*Pc/MaxiM</f>
        <v>5.3488793445845321E-8</v>
      </c>
      <c r="AE34" s="305">
        <f t="shared" si="12"/>
        <v>0.5</v>
      </c>
      <c r="AF34" s="177">
        <f t="shared" si="13"/>
        <v>0.99821320373347033</v>
      </c>
      <c r="AG34" s="811">
        <f t="shared" si="23"/>
        <v>-3</v>
      </c>
      <c r="AH34" s="176">
        <f t="shared" si="14"/>
        <v>3</v>
      </c>
      <c r="AI34" s="225">
        <f t="shared" si="15"/>
        <v>-2.0017867962665297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8"/>
        <v>43121</v>
      </c>
      <c r="B35" s="617"/>
      <c r="C35" s="390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7">
        <f t="shared" si="2"/>
        <v>0</v>
      </c>
      <c r="M35" s="856"/>
      <c r="N35" s="856"/>
      <c r="O35" s="324">
        <f t="shared" si="3"/>
        <v>0</v>
      </c>
      <c r="P35" s="169">
        <f>(INDEX(Models!$BJ35:$BT35,,T35)*(1-R35)+INDEX(Models!$BJ35:$BT35,,T35+1)*R35-ERP_i)*Q35*Ramure*Pc/MaxiM</f>
        <v>5.5590453340738411E-8</v>
      </c>
      <c r="Q35" s="305">
        <f t="shared" si="19"/>
        <v>0.5</v>
      </c>
      <c r="R35" s="177">
        <f t="shared" si="4"/>
        <v>0.99827677297070672</v>
      </c>
      <c r="S35" s="811">
        <f t="shared" si="20"/>
        <v>-3</v>
      </c>
      <c r="T35" s="176">
        <f t="shared" si="21"/>
        <v>3</v>
      </c>
      <c r="U35" s="251">
        <f t="shared" si="22"/>
        <v>-2.0017232270292933</v>
      </c>
      <c r="V35" s="383">
        <f t="shared" si="5"/>
        <v>30.538936084397072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6">
        <f t="shared" si="11"/>
        <v>0</v>
      </c>
      <c r="AD35" s="169">
        <f>(INDEX(Models!$BJ35:$BT35,,AH35)*(1-AF35)+INDEX(Models!$BJ35:$BT35,,AH35+1)*AF35-ERP_i)*AE35*Ramure*Pc/MaxiM</f>
        <v>5.5590453340738411E-8</v>
      </c>
      <c r="AE35" s="305">
        <f t="shared" si="12"/>
        <v>0.5</v>
      </c>
      <c r="AF35" s="177">
        <f t="shared" si="13"/>
        <v>0.99827677297070672</v>
      </c>
      <c r="AG35" s="811">
        <f t="shared" si="23"/>
        <v>-3</v>
      </c>
      <c r="AH35" s="176">
        <f t="shared" si="14"/>
        <v>3</v>
      </c>
      <c r="AI35" s="225">
        <f t="shared" si="15"/>
        <v>-2.0017232270292933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8"/>
        <v>43122</v>
      </c>
      <c r="B36" s="617"/>
      <c r="C36" s="390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7">
        <f t="shared" si="2"/>
        <v>0</v>
      </c>
      <c r="M36" s="856"/>
      <c r="N36" s="856"/>
      <c r="O36" s="324">
        <f t="shared" si="3"/>
        <v>0</v>
      </c>
      <c r="P36" s="169">
        <f>(INDEX(Models!$BJ36:$BT36,,T36)*(1-R36)+INDEX(Models!$BJ36:$BT36,,T36+1)*R36-ERP_i)*Q36*Ramure*Pc/MaxiM</f>
        <v>5.7570828115218422E-8</v>
      </c>
      <c r="Q36" s="305">
        <f t="shared" si="19"/>
        <v>0.5</v>
      </c>
      <c r="R36" s="177">
        <f t="shared" si="4"/>
        <v>0.99834299184948883</v>
      </c>
      <c r="S36" s="811">
        <f t="shared" si="20"/>
        <v>-3</v>
      </c>
      <c r="T36" s="176">
        <f t="shared" si="21"/>
        <v>3</v>
      </c>
      <c r="U36" s="251">
        <f t="shared" si="22"/>
        <v>-2.0016570081505112</v>
      </c>
      <c r="V36" s="383">
        <f t="shared" si="5"/>
        <v>30.834798224558732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6">
        <f t="shared" si="11"/>
        <v>0</v>
      </c>
      <c r="AD36" s="169">
        <f>(INDEX(Models!$BJ36:$BT36,,AH36)*(1-AF36)+INDEX(Models!$BJ36:$BT36,,AH36+1)*AF36-ERP_i)*AE36*Ramure*Pc/MaxiM</f>
        <v>5.7570828115218422E-8</v>
      </c>
      <c r="AE36" s="305">
        <f t="shared" si="12"/>
        <v>0.5</v>
      </c>
      <c r="AF36" s="177">
        <f t="shared" si="13"/>
        <v>0.99834299184948883</v>
      </c>
      <c r="AG36" s="811">
        <f t="shared" si="23"/>
        <v>-3</v>
      </c>
      <c r="AH36" s="176">
        <f t="shared" si="14"/>
        <v>3</v>
      </c>
      <c r="AI36" s="225">
        <f t="shared" si="15"/>
        <v>-2.0016570081505112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8"/>
        <v>43123</v>
      </c>
      <c r="B37" s="617"/>
      <c r="C37" s="390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7">
        <f t="shared" si="2"/>
        <v>0</v>
      </c>
      <c r="M37" s="856"/>
      <c r="N37" s="856"/>
      <c r="O37" s="324">
        <f t="shared" si="3"/>
        <v>0</v>
      </c>
      <c r="P37" s="169">
        <f>(INDEX(Models!$BJ37:$BT37,,T37)*(1-R37)+INDEX(Models!$BJ37:$BT37,,T37+1)*R37-ERP_i)*Q37*Ramure*Pc/MaxiM</f>
        <v>5.9415883327730236E-8</v>
      </c>
      <c r="Q37" s="305">
        <f t="shared" si="19"/>
        <v>0.5</v>
      </c>
      <c r="R37" s="177">
        <f t="shared" si="4"/>
        <v>0.99841197006026583</v>
      </c>
      <c r="S37" s="811">
        <f t="shared" si="20"/>
        <v>-3</v>
      </c>
      <c r="T37" s="176">
        <f t="shared" si="21"/>
        <v>3</v>
      </c>
      <c r="U37" s="251">
        <f t="shared" si="22"/>
        <v>-2.0015880299397342</v>
      </c>
      <c r="V37" s="383">
        <f t="shared" si="5"/>
        <v>31.13798707073801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6">
        <f t="shared" si="11"/>
        <v>0</v>
      </c>
      <c r="AD37" s="169">
        <f>(INDEX(Models!$BJ37:$BT37,,AH37)*(1-AF37)+INDEX(Models!$BJ37:$BT37,,AH37+1)*AF37-ERP_i)*AE37*Ramure*Pc/MaxiM</f>
        <v>5.9415883327730236E-8</v>
      </c>
      <c r="AE37" s="305">
        <f t="shared" si="12"/>
        <v>0.5</v>
      </c>
      <c r="AF37" s="177">
        <f t="shared" si="13"/>
        <v>0.99841197006026583</v>
      </c>
      <c r="AG37" s="811">
        <f t="shared" si="23"/>
        <v>-3</v>
      </c>
      <c r="AH37" s="176">
        <f t="shared" si="14"/>
        <v>3</v>
      </c>
      <c r="AI37" s="225">
        <f t="shared" si="15"/>
        <v>-2.0015880299397342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8"/>
        <v>43124</v>
      </c>
      <c r="B38" s="617"/>
      <c r="C38" s="390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7">
        <f t="shared" si="2"/>
        <v>0</v>
      </c>
      <c r="M38" s="856"/>
      <c r="N38" s="856"/>
      <c r="O38" s="324">
        <f t="shared" si="3"/>
        <v>0</v>
      </c>
      <c r="P38" s="169">
        <f>(INDEX(Models!$BJ38:$BT38,,T38)*(1-R38)+INDEX(Models!$BJ38:$BT38,,T38+1)*R38-ERP_i)*Q38*Ramure*Pc/MaxiM</f>
        <v>6.1136838789802274E-8</v>
      </c>
      <c r="Q38" s="305">
        <f t="shared" si="19"/>
        <v>0.5</v>
      </c>
      <c r="R38" s="177">
        <f t="shared" si="4"/>
        <v>0.99848382177049544</v>
      </c>
      <c r="S38" s="811">
        <f t="shared" si="20"/>
        <v>-3</v>
      </c>
      <c r="T38" s="176">
        <f t="shared" si="21"/>
        <v>3</v>
      </c>
      <c r="U38" s="251">
        <f t="shared" si="22"/>
        <v>-2.0015161782295046</v>
      </c>
      <c r="V38" s="383">
        <f t="shared" si="5"/>
        <v>31.450623733021573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6">
        <f t="shared" si="11"/>
        <v>0</v>
      </c>
      <c r="AD38" s="169">
        <f>(INDEX(Models!$BJ38:$BT38,,AH38)*(1-AF38)+INDEX(Models!$BJ38:$BT38,,AH38+1)*AF38-ERP_i)*AE38*Ramure*Pc/MaxiM</f>
        <v>6.1136838789802274E-8</v>
      </c>
      <c r="AE38" s="305">
        <f t="shared" si="12"/>
        <v>0.5</v>
      </c>
      <c r="AF38" s="177">
        <f t="shared" si="13"/>
        <v>0.99848382177049544</v>
      </c>
      <c r="AG38" s="811">
        <f t="shared" si="23"/>
        <v>-3</v>
      </c>
      <c r="AH38" s="176">
        <f t="shared" si="14"/>
        <v>3</v>
      </c>
      <c r="AI38" s="225">
        <f t="shared" si="15"/>
        <v>-2.0015161782295046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8"/>
        <v>43125</v>
      </c>
      <c r="B39" s="617"/>
      <c r="C39" s="390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7">
        <f t="shared" si="2"/>
        <v>0</v>
      </c>
      <c r="M39" s="856"/>
      <c r="N39" s="856"/>
      <c r="O39" s="324">
        <f t="shared" si="3"/>
        <v>0</v>
      </c>
      <c r="P39" s="169">
        <f>(INDEX(Models!$BJ39:$BT39,,T39)*(1-R39)+INDEX(Models!$BJ39:$BT39,,T39+1)*R39-ERP_i)*Q39*Ramure*Pc/MaxiM</f>
        <v>6.2814864897523807E-8</v>
      </c>
      <c r="Q39" s="305">
        <f t="shared" si="19"/>
        <v>0.5</v>
      </c>
      <c r="R39" s="177">
        <f t="shared" si="4"/>
        <v>0.99855866580190389</v>
      </c>
      <c r="S39" s="811">
        <f t="shared" si="20"/>
        <v>-3</v>
      </c>
      <c r="T39" s="176">
        <f t="shared" si="21"/>
        <v>3</v>
      </c>
      <c r="U39" s="251">
        <f t="shared" si="22"/>
        <v>-2.0014413341980961</v>
      </c>
      <c r="V39" s="383">
        <f t="shared" si="5"/>
        <v>31.771634593699215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6">
        <f t="shared" si="11"/>
        <v>0</v>
      </c>
      <c r="AD39" s="169">
        <f>(INDEX(Models!$BJ39:$BT39,,AH39)*(1-AF39)+INDEX(Models!$BJ39:$BT39,,AH39+1)*AF39-ERP_i)*AE39*Ramure*Pc/MaxiM</f>
        <v>6.2814864897523807E-8</v>
      </c>
      <c r="AE39" s="305">
        <f t="shared" si="12"/>
        <v>0.5</v>
      </c>
      <c r="AF39" s="177">
        <f t="shared" si="13"/>
        <v>0.99855866580190389</v>
      </c>
      <c r="AG39" s="811">
        <f t="shared" si="23"/>
        <v>-3</v>
      </c>
      <c r="AH39" s="176">
        <f t="shared" si="14"/>
        <v>3</v>
      </c>
      <c r="AI39" s="225">
        <f t="shared" si="15"/>
        <v>-2.0014413341980961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43126</v>
      </c>
      <c r="B40" s="617"/>
      <c r="C40" s="390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7">
        <f t="shared" si="2"/>
        <v>0</v>
      </c>
      <c r="M40" s="856"/>
      <c r="N40" s="856"/>
      <c r="O40" s="324">
        <f t="shared" si="3"/>
        <v>0</v>
      </c>
      <c r="P40" s="169">
        <f>(INDEX(Models!$BJ40:$BT40,,T40)*(1-R40)+INDEX(Models!$BJ40:$BT40,,T40+1)*R40-ERP_i)*Q40*Ramure*Pc/MaxiM</f>
        <v>6.4460490105407824E-8</v>
      </c>
      <c r="Q40" s="305">
        <f t="shared" si="19"/>
        <v>0.5</v>
      </c>
      <c r="R40" s="177">
        <f t="shared" si="4"/>
        <v>0.99863662581429624</v>
      </c>
      <c r="S40" s="811">
        <f t="shared" si="20"/>
        <v>-3</v>
      </c>
      <c r="T40" s="176">
        <f t="shared" si="21"/>
        <v>3</v>
      </c>
      <c r="U40" s="251">
        <f t="shared" si="22"/>
        <v>-2.0013633741857038</v>
      </c>
      <c r="V40" s="383">
        <f t="shared" si="5"/>
        <v>32.099946035079711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6">
        <f t="shared" si="11"/>
        <v>0</v>
      </c>
      <c r="AD40" s="169">
        <f>(INDEX(Models!$BJ40:$BT40,,AH40)*(1-AF40)+INDEX(Models!$BJ40:$BT40,,AH40+1)*AF40-ERP_i)*AE40*Ramure*Pc/MaxiM</f>
        <v>6.4460490105407824E-8</v>
      </c>
      <c r="AE40" s="305">
        <f t="shared" si="12"/>
        <v>0.5</v>
      </c>
      <c r="AF40" s="177">
        <f t="shared" si="13"/>
        <v>0.99863662581429624</v>
      </c>
      <c r="AG40" s="811">
        <f t="shared" si="23"/>
        <v>-3</v>
      </c>
      <c r="AH40" s="176">
        <f t="shared" si="14"/>
        <v>3</v>
      </c>
      <c r="AI40" s="225">
        <f t="shared" si="15"/>
        <v>-2.0013633741857038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8"/>
        <v>43127</v>
      </c>
      <c r="B41" s="617"/>
      <c r="C41" s="390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7">
        <f t="shared" si="2"/>
        <v>0</v>
      </c>
      <c r="M41" s="856"/>
      <c r="N41" s="856"/>
      <c r="O41" s="324">
        <f t="shared" si="3"/>
        <v>0</v>
      </c>
      <c r="P41" s="169">
        <f>(INDEX(Models!$BJ41:$BT41,,T41)*(1-R41)+INDEX(Models!$BJ41:$BT41,,T41+1)*R41-ERP_i)*Q41*Ramure*Pc/MaxiM</f>
        <v>6.6084906512778052E-8</v>
      </c>
      <c r="Q41" s="305">
        <f t="shared" si="19"/>
        <v>0.5</v>
      </c>
      <c r="R41" s="177">
        <f t="shared" si="4"/>
        <v>0.99871783049611818</v>
      </c>
      <c r="S41" s="811">
        <f t="shared" si="20"/>
        <v>-3</v>
      </c>
      <c r="T41" s="176">
        <f t="shared" si="21"/>
        <v>3</v>
      </c>
      <c r="U41" s="251">
        <f t="shared" si="22"/>
        <v>-2.0012821695038818</v>
      </c>
      <c r="V41" s="383">
        <f t="shared" si="5"/>
        <v>32.434484445605264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6">
        <f t="shared" si="11"/>
        <v>0</v>
      </c>
      <c r="AD41" s="169">
        <f>(INDEX(Models!$BJ41:$BT41,,AH41)*(1-AF41)+INDEX(Models!$BJ41:$BT41,,AH41+1)*AF41-ERP_i)*AE41*Ramure*Pc/MaxiM</f>
        <v>6.6084906512778052E-8</v>
      </c>
      <c r="AE41" s="305">
        <f t="shared" si="12"/>
        <v>0.5</v>
      </c>
      <c r="AF41" s="177">
        <f t="shared" si="13"/>
        <v>0.99871783049611818</v>
      </c>
      <c r="AG41" s="811">
        <f t="shared" si="23"/>
        <v>-3</v>
      </c>
      <c r="AH41" s="176">
        <f t="shared" si="14"/>
        <v>3</v>
      </c>
      <c r="AI41" s="225">
        <f t="shared" si="15"/>
        <v>-2.0012821695038818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43128</v>
      </c>
      <c r="B42" s="617"/>
      <c r="C42" s="390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7">
        <f t="shared" si="2"/>
        <v>0</v>
      </c>
      <c r="M42" s="856"/>
      <c r="N42" s="856"/>
      <c r="O42" s="324">
        <f t="shared" si="3"/>
        <v>0</v>
      </c>
      <c r="P42" s="169">
        <f>(INDEX(Models!$BJ42:$BT42,,T42)*(1-R42)+INDEX(Models!$BJ42:$BT42,,T42+1)*R42-ERP_i)*Q42*Ramure*Pc/MaxiM</f>
        <v>6.7699965225424461E-8</v>
      </c>
      <c r="Q42" s="305">
        <f t="shared" si="19"/>
        <v>0.5</v>
      </c>
      <c r="R42" s="177">
        <f t="shared" si="4"/>
        <v>0.99880241376196421</v>
      </c>
      <c r="S42" s="811">
        <f t="shared" si="20"/>
        <v>-3</v>
      </c>
      <c r="T42" s="176">
        <f t="shared" si="21"/>
        <v>3</v>
      </c>
      <c r="U42" s="251">
        <f t="shared" si="22"/>
        <v>-2.0011975862380358</v>
      </c>
      <c r="V42" s="383">
        <f t="shared" si="5"/>
        <v>32.774176206185722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6">
        <f t="shared" si="11"/>
        <v>0</v>
      </c>
      <c r="AD42" s="169">
        <f>(INDEX(Models!$BJ42:$BT42,,AH42)*(1-AF42)+INDEX(Models!$BJ42:$BT42,,AH42+1)*AF42-ERP_i)*AE42*Ramure*Pc/MaxiM</f>
        <v>6.7699965225424461E-8</v>
      </c>
      <c r="AE42" s="305">
        <f t="shared" si="12"/>
        <v>0.5</v>
      </c>
      <c r="AF42" s="177">
        <f t="shared" si="13"/>
        <v>0.99880241376196421</v>
      </c>
      <c r="AG42" s="811">
        <f t="shared" si="23"/>
        <v>-3</v>
      </c>
      <c r="AH42" s="176">
        <f t="shared" si="14"/>
        <v>3</v>
      </c>
      <c r="AI42" s="225">
        <f t="shared" si="15"/>
        <v>-2.0011975862380358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8"/>
        <v>43129</v>
      </c>
      <c r="B43" s="617"/>
      <c r="C43" s="390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7">
        <f t="shared" si="2"/>
        <v>0</v>
      </c>
      <c r="M43" s="856"/>
      <c r="N43" s="856"/>
      <c r="O43" s="324">
        <f t="shared" si="3"/>
        <v>0</v>
      </c>
      <c r="P43" s="169">
        <f>(INDEX(Models!$BJ43:$BT43,,T43)*(1-R43)+INDEX(Models!$BJ43:$BT43,,T43+1)*R43-ERP_i)*Q43*Ramure*Pc/MaxiM</f>
        <v>6.9318181857478684E-8</v>
      </c>
      <c r="Q43" s="305">
        <f t="shared" si="19"/>
        <v>0.5</v>
      </c>
      <c r="R43" s="177">
        <f t="shared" si="4"/>
        <v>0.99889051495724956</v>
      </c>
      <c r="S43" s="811">
        <f t="shared" si="20"/>
        <v>-3</v>
      </c>
      <c r="T43" s="176">
        <f t="shared" si="21"/>
        <v>3</v>
      </c>
      <c r="U43" s="251">
        <f t="shared" si="22"/>
        <v>-2.0011094850427504</v>
      </c>
      <c r="V43" s="383">
        <f t="shared" si="5"/>
        <v>33.117947704053087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6">
        <f t="shared" si="11"/>
        <v>0</v>
      </c>
      <c r="AD43" s="169">
        <f>(INDEX(Models!$BJ43:$BT43,,AH43)*(1-AF43)+INDEX(Models!$BJ43:$BT43,,AH43+1)*AF43-ERP_i)*AE43*Ramure*Pc/MaxiM</f>
        <v>6.9318181857478684E-8</v>
      </c>
      <c r="AE43" s="305">
        <f t="shared" si="12"/>
        <v>0.5</v>
      </c>
      <c r="AF43" s="177">
        <f t="shared" si="13"/>
        <v>0.99889051495724956</v>
      </c>
      <c r="AG43" s="811">
        <f t="shared" si="23"/>
        <v>-3</v>
      </c>
      <c r="AH43" s="176">
        <f t="shared" si="14"/>
        <v>3</v>
      </c>
      <c r="AI43" s="225">
        <f t="shared" si="15"/>
        <v>-2.0011094850427504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43130</v>
      </c>
      <c r="B44" s="617"/>
      <c r="C44" s="390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7">
        <f t="shared" si="2"/>
        <v>0</v>
      </c>
      <c r="M44" s="856"/>
      <c r="N44" s="856"/>
      <c r="O44" s="324">
        <f t="shared" si="3"/>
        <v>0</v>
      </c>
      <c r="P44" s="169">
        <f>(INDEX(Models!$BJ44:$BT44,,T44)*(1-R44)+INDEX(Models!$BJ44:$BT44,,T44+1)*R44-ERP_i)*Q44*Ramure*Pc/MaxiM</f>
        <v>7.1128185659875257E-8</v>
      </c>
      <c r="Q44" s="305">
        <f t="shared" si="19"/>
        <v>0.5</v>
      </c>
      <c r="R44" s="177">
        <f t="shared" si="4"/>
        <v>0.99898227907024273</v>
      </c>
      <c r="S44" s="811">
        <f t="shared" si="20"/>
        <v>-3</v>
      </c>
      <c r="T44" s="176">
        <f t="shared" si="21"/>
        <v>3</v>
      </c>
      <c r="U44" s="251">
        <f t="shared" si="22"/>
        <v>-2.0010177209297573</v>
      </c>
      <c r="V44" s="383">
        <f t="shared" si="5"/>
        <v>33.464725316810338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6">
        <f t="shared" si="11"/>
        <v>0</v>
      </c>
      <c r="AD44" s="169">
        <f>(INDEX(Models!$BJ44:$BT44,,AH44)*(1-AF44)+INDEX(Models!$BJ44:$BT44,,AH44+1)*AF44-ERP_i)*AE44*Ramure*Pc/MaxiM</f>
        <v>7.1128185659875257E-8</v>
      </c>
      <c r="AE44" s="305">
        <f t="shared" si="12"/>
        <v>0.5</v>
      </c>
      <c r="AF44" s="177">
        <f t="shared" si="13"/>
        <v>0.99898227907024273</v>
      </c>
      <c r="AG44" s="811">
        <f t="shared" si="23"/>
        <v>-3</v>
      </c>
      <c r="AH44" s="176">
        <f t="shared" si="14"/>
        <v>3</v>
      </c>
      <c r="AI44" s="225">
        <f t="shared" si="15"/>
        <v>-2.0010177209297573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43131</v>
      </c>
      <c r="B45" s="617"/>
      <c r="C45" s="390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7">
        <f t="shared" si="2"/>
        <v>0</v>
      </c>
      <c r="M45" s="856"/>
      <c r="N45" s="856"/>
      <c r="O45" s="324">
        <f t="shared" si="3"/>
        <v>0</v>
      </c>
      <c r="P45" s="169">
        <f>(INDEX(Models!$BJ45:$BT45,,T45)*(1-R45)+INDEX(Models!$BJ45:$BT45,,T45+1)*R45-ERP_i)*Q45*Ramure*Pc/MaxiM</f>
        <v>7.309202181076072E-8</v>
      </c>
      <c r="Q45" s="305">
        <f t="shared" si="19"/>
        <v>0.5</v>
      </c>
      <c r="R45" s="177">
        <f t="shared" si="4"/>
        <v>0.99907785695167295</v>
      </c>
      <c r="S45" s="811">
        <f t="shared" si="20"/>
        <v>-3</v>
      </c>
      <c r="T45" s="176">
        <f t="shared" si="21"/>
        <v>3</v>
      </c>
      <c r="U45" s="251">
        <f t="shared" si="22"/>
        <v>-2.0009221430483271</v>
      </c>
      <c r="V45" s="383">
        <f t="shared" si="5"/>
        <v>33.813435429173083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6">
        <f t="shared" si="11"/>
        <v>0</v>
      </c>
      <c r="AD45" s="169">
        <f>(INDEX(Models!$BJ45:$BT45,,AH45)*(1-AF45)+INDEX(Models!$BJ45:$BT45,,AH45+1)*AF45-ERP_i)*AE45*Ramure*Pc/MaxiM</f>
        <v>7.309202181076072E-8</v>
      </c>
      <c r="AE45" s="305">
        <f t="shared" si="12"/>
        <v>0.5</v>
      </c>
      <c r="AF45" s="177">
        <f t="shared" si="13"/>
        <v>0.99907785695167295</v>
      </c>
      <c r="AG45" s="811">
        <f t="shared" si="23"/>
        <v>-3</v>
      </c>
      <c r="AH45" s="176">
        <f t="shared" si="14"/>
        <v>3</v>
      </c>
      <c r="AI45" s="225">
        <f t="shared" si="15"/>
        <v>-2.0009221430483271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43132</v>
      </c>
      <c r="B46" s="617"/>
      <c r="C46" s="390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7">
        <f t="shared" si="2"/>
        <v>0</v>
      </c>
      <c r="M46" s="856"/>
      <c r="N46" s="856"/>
      <c r="O46" s="324">
        <f t="shared" si="3"/>
        <v>0</v>
      </c>
      <c r="P46" s="169">
        <f>(INDEX(Models!$BJ46:$BT46,,T46)*(1-R46)+INDEX(Models!$BJ46:$BT46,,T46+1)*R46-ERP_i)*Q46*Ramure*Pc/MaxiM</f>
        <v>7.5240441892098901E-8</v>
      </c>
      <c r="Q46" s="305">
        <f t="shared" si="19"/>
        <v>0.5</v>
      </c>
      <c r="R46" s="177">
        <f t="shared" si="4"/>
        <v>0.99917740554211321</v>
      </c>
      <c r="S46" s="811">
        <f t="shared" si="20"/>
        <v>-3</v>
      </c>
      <c r="T46" s="176">
        <f t="shared" si="21"/>
        <v>3</v>
      </c>
      <c r="U46" s="251">
        <f t="shared" si="22"/>
        <v>-2.0008225944578868</v>
      </c>
      <c r="V46" s="383">
        <f t="shared" si="5"/>
        <v>34.163004426482452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6">
        <f t="shared" si="11"/>
        <v>0</v>
      </c>
      <c r="AD46" s="169">
        <f>(INDEX(Models!$BJ46:$BT46,,AH46)*(1-AF46)+INDEX(Models!$BJ46:$BT46,,AH46+1)*AF46-ERP_i)*AE46*Ramure*Pc/MaxiM</f>
        <v>7.5240441892098901E-8</v>
      </c>
      <c r="AE46" s="305">
        <f t="shared" si="12"/>
        <v>0.5</v>
      </c>
      <c r="AF46" s="177">
        <f t="shared" si="13"/>
        <v>0.99917740554211321</v>
      </c>
      <c r="AG46" s="811">
        <f t="shared" si="23"/>
        <v>-3</v>
      </c>
      <c r="AH46" s="176">
        <f t="shared" si="14"/>
        <v>3</v>
      </c>
      <c r="AI46" s="225">
        <f t="shared" si="15"/>
        <v>-2.0008225944578868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43133</v>
      </c>
      <c r="B47" s="617"/>
      <c r="C47" s="390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7">
        <f t="shared" si="2"/>
        <v>0</v>
      </c>
      <c r="M47" s="856"/>
      <c r="N47" s="856"/>
      <c r="O47" s="324">
        <f t="shared" si="3"/>
        <v>0</v>
      </c>
      <c r="P47" s="169">
        <f>(INDEX(Models!$BJ47:$BT47,,T47)*(1-R47)+INDEX(Models!$BJ47:$BT47,,T47+1)*R47-ERP_i)*Q47*Ramure*Pc/MaxiM</f>
        <v>7.7605974107346932E-8</v>
      </c>
      <c r="Q47" s="305">
        <f t="shared" si="19"/>
        <v>0.5</v>
      </c>
      <c r="R47" s="177">
        <f t="shared" si="4"/>
        <v>0.99928108810735816</v>
      </c>
      <c r="S47" s="811">
        <f t="shared" si="20"/>
        <v>-3</v>
      </c>
      <c r="T47" s="176">
        <f t="shared" si="21"/>
        <v>3</v>
      </c>
      <c r="U47" s="251">
        <f t="shared" si="22"/>
        <v>-2.0007189118926418</v>
      </c>
      <c r="V47" s="383">
        <f t="shared" si="5"/>
        <v>34.512358691754777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6">
        <f t="shared" si="11"/>
        <v>0</v>
      </c>
      <c r="AD47" s="169">
        <f>(INDEX(Models!$BJ47:$BT47,,AH47)*(1-AF47)+INDEX(Models!$BJ47:$BT47,,AH47+1)*AF47-ERP_i)*AE47*Ramure*Pc/MaxiM</f>
        <v>7.7605974107346932E-8</v>
      </c>
      <c r="AE47" s="305">
        <f t="shared" si="12"/>
        <v>0.5</v>
      </c>
      <c r="AF47" s="177">
        <f t="shared" si="13"/>
        <v>0.99928108810735816</v>
      </c>
      <c r="AG47" s="811">
        <f t="shared" si="23"/>
        <v>-3</v>
      </c>
      <c r="AH47" s="176">
        <f t="shared" si="14"/>
        <v>3</v>
      </c>
      <c r="AI47" s="225">
        <f t="shared" si="15"/>
        <v>-2.0007189118926418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43134</v>
      </c>
      <c r="B48" s="617"/>
      <c r="C48" s="390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7">
        <f t="shared" si="2"/>
        <v>0</v>
      </c>
      <c r="M48" s="856"/>
      <c r="N48" s="856"/>
      <c r="O48" s="324">
        <f t="shared" si="3"/>
        <v>0</v>
      </c>
      <c r="P48" s="169">
        <f>(INDEX(Models!$BJ48:$BT48,,T48)*(1-R48)+INDEX(Models!$BJ48:$BT48,,T48+1)*R48-ERP_i)*Q48*Ramure*Pc/MaxiM</f>
        <v>8.0223088299974579E-8</v>
      </c>
      <c r="Q48" s="305">
        <f t="shared" si="19"/>
        <v>0.5</v>
      </c>
      <c r="R48" s="177">
        <f t="shared" si="4"/>
        <v>0.9993890744819911</v>
      </c>
      <c r="S48" s="811">
        <f t="shared" si="20"/>
        <v>-3</v>
      </c>
      <c r="T48" s="176">
        <f t="shared" si="21"/>
        <v>3</v>
      </c>
      <c r="U48" s="251">
        <f t="shared" si="22"/>
        <v>-2.0006109255180089</v>
      </c>
      <c r="V48" s="383">
        <f t="shared" si="5"/>
        <v>34.860424608648287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6">
        <f t="shared" si="11"/>
        <v>0</v>
      </c>
      <c r="AD48" s="169">
        <f>(INDEX(Models!$BJ48:$BT48,,AH48)*(1-AF48)+INDEX(Models!$BJ48:$BT48,,AH48+1)*AF48-ERP_i)*AE48*Ramure*Pc/MaxiM</f>
        <v>8.0223088299974579E-8</v>
      </c>
      <c r="AE48" s="305">
        <f t="shared" si="12"/>
        <v>0.5</v>
      </c>
      <c r="AF48" s="177">
        <f t="shared" si="13"/>
        <v>0.9993890744819911</v>
      </c>
      <c r="AG48" s="811">
        <f t="shared" si="23"/>
        <v>-3</v>
      </c>
      <c r="AH48" s="176">
        <f t="shared" si="14"/>
        <v>3</v>
      </c>
      <c r="AI48" s="225">
        <f t="shared" si="15"/>
        <v>-2.0006109255180089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43135</v>
      </c>
      <c r="B49" s="617"/>
      <c r="C49" s="390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7">
        <f t="shared" si="2"/>
        <v>0</v>
      </c>
      <c r="M49" s="856"/>
      <c r="N49" s="856"/>
      <c r="O49" s="324">
        <f t="shared" si="3"/>
        <v>0</v>
      </c>
      <c r="P49" s="169">
        <f>(INDEX(Models!$BJ49:$BT49,,T49)*(1-R49)+INDEX(Models!$BJ49:$BT49,,T49+1)*R49-ERP_i)*Q49*Ramure*Pc/MaxiM</f>
        <v>8.3128383987659304E-8</v>
      </c>
      <c r="Q49" s="305">
        <f t="shared" si="19"/>
        <v>0.5</v>
      </c>
      <c r="R49" s="177">
        <f t="shared" si="4"/>
        <v>0.99950154132135705</v>
      </c>
      <c r="S49" s="811">
        <f t="shared" si="20"/>
        <v>-3</v>
      </c>
      <c r="T49" s="176">
        <f t="shared" si="21"/>
        <v>3</v>
      </c>
      <c r="U49" s="251">
        <f t="shared" si="22"/>
        <v>-2.000498458678643</v>
      </c>
      <c r="V49" s="383">
        <f t="shared" si="5"/>
        <v>35.206128560185384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6">
        <f t="shared" si="11"/>
        <v>0</v>
      </c>
      <c r="AD49" s="169">
        <f>(INDEX(Models!$BJ49:$BT49,,AH49)*(1-AF49)+INDEX(Models!$BJ49:$BT49,,AH49+1)*AF49-ERP_i)*AE49*Ramure*Pc/MaxiM</f>
        <v>8.3128383987659304E-8</v>
      </c>
      <c r="AE49" s="305">
        <f t="shared" si="12"/>
        <v>0.5</v>
      </c>
      <c r="AF49" s="177">
        <f t="shared" si="13"/>
        <v>0.99950154132135705</v>
      </c>
      <c r="AG49" s="811">
        <f t="shared" si="23"/>
        <v>-3</v>
      </c>
      <c r="AH49" s="176">
        <f t="shared" si="14"/>
        <v>3</v>
      </c>
      <c r="AI49" s="225">
        <f t="shared" si="15"/>
        <v>-2.000498458678643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43136</v>
      </c>
      <c r="B50" s="617"/>
      <c r="C50" s="390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7">
        <f t="shared" si="2"/>
        <v>0</v>
      </c>
      <c r="M50" s="856"/>
      <c r="N50" s="856"/>
      <c r="O50" s="324">
        <f t="shared" si="3"/>
        <v>0</v>
      </c>
      <c r="P50" s="169">
        <f>(INDEX(Models!$BJ50:$BT50,,T50)*(1-R50)+INDEX(Models!$BJ50:$BT50,,T50+1)*R50-ERP_i)*Q50*Ramure*Pc/MaxiM</f>
        <v>8.6360802672192917E-8</v>
      </c>
      <c r="Q50" s="305">
        <f t="shared" si="19"/>
        <v>0.5</v>
      </c>
      <c r="R50" s="177">
        <f t="shared" si="4"/>
        <v>0.99961867236213786</v>
      </c>
      <c r="S50" s="811">
        <f t="shared" si="20"/>
        <v>-3</v>
      </c>
      <c r="T50" s="176">
        <f t="shared" si="21"/>
        <v>3</v>
      </c>
      <c r="U50" s="251">
        <f t="shared" si="22"/>
        <v>-2.0003813276378621</v>
      </c>
      <c r="V50" s="383">
        <f t="shared" si="5"/>
        <v>35.548396929935649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6">
        <f t="shared" si="11"/>
        <v>0</v>
      </c>
      <c r="AD50" s="169">
        <f>(INDEX(Models!$BJ50:$BT50,,AH50)*(1-AF50)+INDEX(Models!$BJ50:$BT50,,AH50+1)*AF50-ERP_i)*AE50*Ramure*Pc/MaxiM</f>
        <v>8.6360802672192917E-8</v>
      </c>
      <c r="AE50" s="305">
        <f t="shared" si="12"/>
        <v>0.5</v>
      </c>
      <c r="AF50" s="177">
        <f t="shared" si="13"/>
        <v>0.99961867236213786</v>
      </c>
      <c r="AG50" s="811">
        <f t="shared" si="23"/>
        <v>-3</v>
      </c>
      <c r="AH50" s="176">
        <f t="shared" si="14"/>
        <v>3</v>
      </c>
      <c r="AI50" s="225">
        <f t="shared" si="15"/>
        <v>-2.0003813276378621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43137</v>
      </c>
      <c r="B51" s="617"/>
      <c r="C51" s="390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7">
        <f t="shared" si="2"/>
        <v>0</v>
      </c>
      <c r="M51" s="856"/>
      <c r="N51" s="856"/>
      <c r="O51" s="324">
        <f t="shared" si="3"/>
        <v>0</v>
      </c>
      <c r="P51" s="169">
        <f>(INDEX(Models!$BJ51:$BT51,,T51)*(1-R51)+INDEX(Models!$BJ51:$BT51,,T51+1)*R51-ERP_i)*Q51*Ramure*Pc/MaxiM</f>
        <v>8.9956304102824763E-8</v>
      </c>
      <c r="Q51" s="305">
        <f t="shared" si="19"/>
        <v>0.5</v>
      </c>
      <c r="R51" s="177">
        <f t="shared" si="4"/>
        <v>0.99974065869173234</v>
      </c>
      <c r="S51" s="811">
        <f t="shared" si="20"/>
        <v>-3</v>
      </c>
      <c r="T51" s="176">
        <f t="shared" si="21"/>
        <v>3</v>
      </c>
      <c r="U51" s="251">
        <f t="shared" si="22"/>
        <v>-2.0002593413082677</v>
      </c>
      <c r="V51" s="383">
        <f t="shared" si="5"/>
        <v>35.888374905724554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6">
        <f t="shared" si="11"/>
        <v>0</v>
      </c>
      <c r="AD51" s="169">
        <f>(INDEX(Models!$BJ51:$BT51,,AH51)*(1-AF51)+INDEX(Models!$BJ51:$BT51,,AH51+1)*AF51-ERP_i)*AE51*Ramure*Pc/MaxiM</f>
        <v>8.9956304102824763E-8</v>
      </c>
      <c r="AE51" s="305">
        <f t="shared" si="12"/>
        <v>0.5</v>
      </c>
      <c r="AF51" s="177">
        <f t="shared" si="13"/>
        <v>0.99974065869173234</v>
      </c>
      <c r="AG51" s="811">
        <f t="shared" si="23"/>
        <v>-3</v>
      </c>
      <c r="AH51" s="176">
        <f t="shared" si="14"/>
        <v>3</v>
      </c>
      <c r="AI51" s="225">
        <f t="shared" si="15"/>
        <v>-2.0002593413082677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43138</v>
      </c>
      <c r="B52" s="617"/>
      <c r="C52" s="390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7">
        <f t="shared" si="2"/>
        <v>0</v>
      </c>
      <c r="M52" s="856"/>
      <c r="N52" s="856"/>
      <c r="O52" s="324">
        <f t="shared" si="3"/>
        <v>0</v>
      </c>
      <c r="P52" s="169">
        <f>(INDEX(Models!$BJ52:$BT52,,T52)*(1-R52)+INDEX(Models!$BJ52:$BT52,,T52+1)*R52-ERP_i)*Q52*Ramure*Pc/MaxiM</f>
        <v>9.4334156621193528E-8</v>
      </c>
      <c r="Q52" s="305">
        <f t="shared" si="19"/>
        <v>0.5</v>
      </c>
      <c r="R52" s="177">
        <f t="shared" si="4"/>
        <v>0.99986769902663353</v>
      </c>
      <c r="S52" s="811">
        <f t="shared" si="20"/>
        <v>-3</v>
      </c>
      <c r="T52" s="176">
        <f t="shared" si="21"/>
        <v>3</v>
      </c>
      <c r="U52" s="251">
        <f t="shared" si="22"/>
        <v>-2.0001323009733665</v>
      </c>
      <c r="V52" s="383">
        <f t="shared" si="5"/>
        <v>36.228066553318783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6">
        <f t="shared" si="11"/>
        <v>0</v>
      </c>
      <c r="AD52" s="169">
        <f>(INDEX(Models!$BJ52:$BT52,,AH52)*(1-AF52)+INDEX(Models!$BJ52:$BT52,,AH52+1)*AF52-ERP_i)*AE52*Ramure*Pc/MaxiM</f>
        <v>9.4334156621193528E-8</v>
      </c>
      <c r="AE52" s="305">
        <f t="shared" si="12"/>
        <v>0.5</v>
      </c>
      <c r="AF52" s="177">
        <f t="shared" si="13"/>
        <v>0.99986769902663353</v>
      </c>
      <c r="AG52" s="811">
        <f t="shared" si="23"/>
        <v>-3</v>
      </c>
      <c r="AH52" s="176">
        <f t="shared" si="14"/>
        <v>3</v>
      </c>
      <c r="AI52" s="225">
        <f t="shared" si="15"/>
        <v>-2.0001323009733665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43139</v>
      </c>
      <c r="B53" s="617"/>
      <c r="C53" s="390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7">
        <f t="shared" si="2"/>
        <v>0</v>
      </c>
      <c r="M53" s="856"/>
      <c r="N53" s="856"/>
      <c r="O53" s="324">
        <f t="shared" si="3"/>
        <v>0</v>
      </c>
      <c r="P53" s="169">
        <f>(INDEX(Models!$BJ53:$BT53,,T53)*(1-R53)+INDEX(Models!$BJ53:$BT53,,T53+1)*R53-ERP_i)*Q53*Ramure*Pc/MaxiM</f>
        <v>9.9535822731655653E-8</v>
      </c>
      <c r="Q53" s="305">
        <f t="shared" si="19"/>
        <v>0.5</v>
      </c>
      <c r="R53" s="177">
        <f t="shared" si="4"/>
        <v>0</v>
      </c>
      <c r="S53" s="811">
        <f t="shared" si="20"/>
        <v>-2</v>
      </c>
      <c r="T53" s="176">
        <f t="shared" si="21"/>
        <v>4</v>
      </c>
      <c r="U53" s="251">
        <f t="shared" si="22"/>
        <v>-2</v>
      </c>
      <c r="V53" s="383">
        <f t="shared" si="5"/>
        <v>36.567686593452486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6">
        <f t="shared" si="11"/>
        <v>0</v>
      </c>
      <c r="AD53" s="169">
        <f>(INDEX(Models!$BJ53:$BT53,,AH53)*(1-AF53)+INDEX(Models!$BJ53:$BT53,,AH53+1)*AF53-ERP_i)*AE53*Ramure*Pc/MaxiM</f>
        <v>9.9535822731655653E-8</v>
      </c>
      <c r="AE53" s="305">
        <f t="shared" si="12"/>
        <v>0.5</v>
      </c>
      <c r="AF53" s="177">
        <f t="shared" si="13"/>
        <v>0</v>
      </c>
      <c r="AG53" s="811">
        <f t="shared" si="23"/>
        <v>-2</v>
      </c>
      <c r="AH53" s="176">
        <f t="shared" si="14"/>
        <v>4</v>
      </c>
      <c r="AI53" s="225">
        <f t="shared" si="15"/>
        <v>-2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43140</v>
      </c>
      <c r="B54" s="617"/>
      <c r="C54" s="390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7">
        <f t="shared" si="2"/>
        <v>0</v>
      </c>
      <c r="M54" s="856"/>
      <c r="N54" s="856"/>
      <c r="O54" s="324">
        <f t="shared" si="3"/>
        <v>0</v>
      </c>
      <c r="P54" s="169">
        <f>(INDEX(Models!$BJ54:$BT54,,T54)*(1-R54)+INDEX(Models!$BJ54:$BT54,,T54+1)*R54-ERP_i)*Q54*Ramure*Pc/MaxiM</f>
        <v>1.065261835364838E-7</v>
      </c>
      <c r="Q54" s="305">
        <f t="shared" si="19"/>
        <v>0.5</v>
      </c>
      <c r="R54" s="177">
        <f t="shared" si="4"/>
        <v>1.3777645859103238E-4</v>
      </c>
      <c r="S54" s="811">
        <f t="shared" si="20"/>
        <v>-2</v>
      </c>
      <c r="T54" s="176">
        <f t="shared" si="21"/>
        <v>4</v>
      </c>
      <c r="U54" s="251">
        <f t="shared" si="22"/>
        <v>-1.999862223541409</v>
      </c>
      <c r="V54" s="383">
        <f t="shared" si="5"/>
        <v>36.90744971275862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6">
        <f t="shared" si="11"/>
        <v>0</v>
      </c>
      <c r="AD54" s="169">
        <f>(INDEX(Models!$BJ54:$BT54,,AH54)*(1-AF54)+INDEX(Models!$BJ54:$BT54,,AH54+1)*AF54-ERP_i)*AE54*Ramure*Pc/MaxiM</f>
        <v>1.065261835364838E-7</v>
      </c>
      <c r="AE54" s="305">
        <f t="shared" si="12"/>
        <v>0.5</v>
      </c>
      <c r="AF54" s="177">
        <f t="shared" si="13"/>
        <v>1.3777645859103238E-4</v>
      </c>
      <c r="AG54" s="811">
        <f t="shared" si="23"/>
        <v>-2</v>
      </c>
      <c r="AH54" s="176">
        <f t="shared" si="14"/>
        <v>4</v>
      </c>
      <c r="AI54" s="225">
        <f t="shared" si="15"/>
        <v>-1.999862223541409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8"/>
        <v>43141</v>
      </c>
      <c r="B55" s="617"/>
      <c r="C55" s="390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7">
        <f t="shared" si="2"/>
        <v>0</v>
      </c>
      <c r="M55" s="856"/>
      <c r="N55" s="856"/>
      <c r="O55" s="324">
        <f t="shared" si="3"/>
        <v>0</v>
      </c>
      <c r="P55" s="169">
        <f>(INDEX(Models!$BJ55:$BT55,,T55)*(1-R55)+INDEX(Models!$BJ55:$BT55,,T55+1)*R55-ERP_i)*Q55*Ramure*Pc/MaxiM</f>
        <v>1.1453503901285794E-7</v>
      </c>
      <c r="Q55" s="305">
        <f t="shared" si="19"/>
        <v>0.5</v>
      </c>
      <c r="R55" s="177">
        <f t="shared" si="4"/>
        <v>2.8125176925364315E-4</v>
      </c>
      <c r="S55" s="811">
        <f t="shared" si="20"/>
        <v>-2</v>
      </c>
      <c r="T55" s="176">
        <f t="shared" si="21"/>
        <v>4</v>
      </c>
      <c r="U55" s="251">
        <f t="shared" si="22"/>
        <v>-1.9997187482307464</v>
      </c>
      <c r="V55" s="383">
        <f t="shared" si="5"/>
        <v>37.247570660933306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6">
        <f t="shared" si="11"/>
        <v>0</v>
      </c>
      <c r="AD55" s="169">
        <f>(INDEX(Models!$BJ55:$BT55,,AH55)*(1-AF55)+INDEX(Models!$BJ55:$BT55,,AH55+1)*AF55-ERP_i)*AE55*Ramure*Pc/MaxiM</f>
        <v>1.1453503901285794E-7</v>
      </c>
      <c r="AE55" s="305">
        <f t="shared" si="12"/>
        <v>0.5</v>
      </c>
      <c r="AF55" s="177">
        <f t="shared" si="13"/>
        <v>2.8125176925364315E-4</v>
      </c>
      <c r="AG55" s="811">
        <f t="shared" si="23"/>
        <v>-2</v>
      </c>
      <c r="AH55" s="176">
        <f t="shared" si="14"/>
        <v>4</v>
      </c>
      <c r="AI55" s="225">
        <f t="shared" si="15"/>
        <v>-1.9997187482307464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8"/>
        <v>43142</v>
      </c>
      <c r="B56" s="617"/>
      <c r="C56" s="390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7">
        <f t="shared" si="2"/>
        <v>0</v>
      </c>
      <c r="M56" s="856"/>
      <c r="N56" s="856"/>
      <c r="O56" s="324">
        <f t="shared" si="3"/>
        <v>0</v>
      </c>
      <c r="P56" s="169">
        <f>(INDEX(Models!$BJ56:$BT56,,T56)*(1-R56)+INDEX(Models!$BJ56:$BT56,,T56+1)*R56-ERP_i)*Q56*Ramure*Pc/MaxiM</f>
        <v>1.2368201098904545E-7</v>
      </c>
      <c r="Q56" s="305">
        <f t="shared" si="19"/>
        <v>0.5</v>
      </c>
      <c r="R56" s="177">
        <f t="shared" si="4"/>
        <v>4.306581351147809E-4</v>
      </c>
      <c r="S56" s="811">
        <f t="shared" si="20"/>
        <v>-2</v>
      </c>
      <c r="T56" s="176">
        <f t="shared" si="21"/>
        <v>4</v>
      </c>
      <c r="U56" s="251">
        <f t="shared" si="22"/>
        <v>-1.9995693418648852</v>
      </c>
      <c r="V56" s="383">
        <f t="shared" si="5"/>
        <v>37.588264155637333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6">
        <f t="shared" si="11"/>
        <v>0</v>
      </c>
      <c r="AD56" s="169">
        <f>(INDEX(Models!$BJ56:$BT56,,AH56)*(1-AF56)+INDEX(Models!$BJ56:$BT56,,AH56+1)*AF56-ERP_i)*AE56*Ramure*Pc/MaxiM</f>
        <v>1.2368201098904545E-7</v>
      </c>
      <c r="AE56" s="305">
        <f t="shared" si="12"/>
        <v>0.5</v>
      </c>
      <c r="AF56" s="177">
        <f t="shared" si="13"/>
        <v>4.306581351147809E-4</v>
      </c>
      <c r="AG56" s="811">
        <f t="shared" si="23"/>
        <v>-2</v>
      </c>
      <c r="AH56" s="176">
        <f t="shared" si="14"/>
        <v>4</v>
      </c>
      <c r="AI56" s="225">
        <f t="shared" si="15"/>
        <v>-1.9995693418648852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8"/>
        <v>43143</v>
      </c>
      <c r="B57" s="617"/>
      <c r="C57" s="390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7">
        <f t="shared" si="2"/>
        <v>0</v>
      </c>
      <c r="M57" s="856"/>
      <c r="N57" s="856"/>
      <c r="O57" s="324">
        <f t="shared" si="3"/>
        <v>0</v>
      </c>
      <c r="P57" s="169">
        <f>(INDEX(Models!$BJ57:$BT57,,T57)*(1-R57)+INDEX(Models!$BJ57:$BT57,,T57+1)*R57-ERP_i)*Q57*Ramure*Pc/MaxiM</f>
        <v>1.3409362298612226E-7</v>
      </c>
      <c r="Q57" s="305">
        <f t="shared" si="19"/>
        <v>0.5</v>
      </c>
      <c r="R57" s="177">
        <f t="shared" si="4"/>
        <v>5.8623692163761731E-4</v>
      </c>
      <c r="S57" s="811">
        <f t="shared" si="20"/>
        <v>-2</v>
      </c>
      <c r="T57" s="176">
        <f t="shared" si="21"/>
        <v>4</v>
      </c>
      <c r="U57" s="251">
        <f t="shared" si="22"/>
        <v>-1.9994137630783624</v>
      </c>
      <c r="V57" s="383">
        <f t="shared" si="5"/>
        <v>37.929744913756231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6">
        <f t="shared" si="11"/>
        <v>0</v>
      </c>
      <c r="AD57" s="169">
        <f>(INDEX(Models!$BJ57:$BT57,,AH57)*(1-AF57)+INDEX(Models!$BJ57:$BT57,,AH57+1)*AF57-ERP_i)*AE57*Ramure*Pc/MaxiM</f>
        <v>1.3409362298612226E-7</v>
      </c>
      <c r="AE57" s="305">
        <f t="shared" si="12"/>
        <v>0.5</v>
      </c>
      <c r="AF57" s="177">
        <f t="shared" si="13"/>
        <v>5.8623692163761731E-4</v>
      </c>
      <c r="AG57" s="811">
        <f t="shared" si="23"/>
        <v>-2</v>
      </c>
      <c r="AH57" s="176">
        <f t="shared" si="14"/>
        <v>4</v>
      </c>
      <c r="AI57" s="225">
        <f t="shared" si="15"/>
        <v>-1.9994137630783624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8"/>
        <v>43144</v>
      </c>
      <c r="B58" s="617"/>
      <c r="C58" s="390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7">
        <f t="shared" si="2"/>
        <v>0</v>
      </c>
      <c r="M58" s="856"/>
      <c r="N58" s="856"/>
      <c r="O58" s="324">
        <f t="shared" si="3"/>
        <v>0</v>
      </c>
      <c r="P58" s="169">
        <f>(INDEX(Models!$BJ58:$BT58,,T58)*(1-R58)+INDEX(Models!$BJ58:$BT58,,T58+1)*R58-ERP_i)*Q58*Ramure*Pc/MaxiM</f>
        <v>1.4523049923609854E-7</v>
      </c>
      <c r="Q58" s="305">
        <f t="shared" si="19"/>
        <v>0.5</v>
      </c>
      <c r="R58" s="177">
        <f t="shared" si="4"/>
        <v>7.4823899267673077E-4</v>
      </c>
      <c r="S58" s="811">
        <f t="shared" si="20"/>
        <v>-2</v>
      </c>
      <c r="T58" s="176">
        <f t="shared" si="21"/>
        <v>4</v>
      </c>
      <c r="U58" s="251">
        <f t="shared" si="22"/>
        <v>-1.9992517610073233</v>
      </c>
      <c r="V58" s="383">
        <f t="shared" si="5"/>
        <v>38.272227677766665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6">
        <f t="shared" si="11"/>
        <v>0</v>
      </c>
      <c r="AD58" s="169">
        <f>(INDEX(Models!$BJ58:$BT58,,AH58)*(1-AF58)+INDEX(Models!$BJ58:$BT58,,AH58+1)*AF58-ERP_i)*AE58*Ramure*Pc/MaxiM</f>
        <v>1.4523049923609854E-7</v>
      </c>
      <c r="AE58" s="305">
        <f t="shared" si="12"/>
        <v>0.5</v>
      </c>
      <c r="AF58" s="177">
        <f t="shared" si="13"/>
        <v>7.4823899267673077E-4</v>
      </c>
      <c r="AG58" s="811">
        <f t="shared" si="23"/>
        <v>-2</v>
      </c>
      <c r="AH58" s="176">
        <f t="shared" si="14"/>
        <v>4</v>
      </c>
      <c r="AI58" s="225">
        <f t="shared" si="15"/>
        <v>-1.9992517610073233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43145</v>
      </c>
      <c r="B59" s="617"/>
      <c r="C59" s="390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7">
        <f t="shared" si="2"/>
        <v>0</v>
      </c>
      <c r="M59" s="856"/>
      <c r="N59" s="856"/>
      <c r="O59" s="324">
        <f t="shared" si="3"/>
        <v>0</v>
      </c>
      <c r="P59" s="169">
        <f>(INDEX(Models!$BJ59:$BT59,,T59)*(1-R59)+INDEX(Models!$BJ59:$BT59,,T59+1)*R59-ERP_i)*Q59*Ramure*Pc/MaxiM</f>
        <v>1.5679239978302694E-7</v>
      </c>
      <c r="Q59" s="305">
        <f t="shared" si="19"/>
        <v>0.5</v>
      </c>
      <c r="R59" s="177">
        <f t="shared" si="4"/>
        <v>9.1692505665852408E-4</v>
      </c>
      <c r="S59" s="811">
        <f t="shared" si="20"/>
        <v>-2</v>
      </c>
      <c r="T59" s="176">
        <f t="shared" si="21"/>
        <v>4</v>
      </c>
      <c r="U59" s="251">
        <f t="shared" si="22"/>
        <v>-1.9990830749433415</v>
      </c>
      <c r="V59" s="383">
        <f t="shared" si="5"/>
        <v>38.615927181468955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6">
        <f t="shared" si="11"/>
        <v>0</v>
      </c>
      <c r="AD59" s="169">
        <f>(INDEX(Models!$BJ59:$BT59,,AH59)*(1-AF59)+INDEX(Models!$BJ59:$BT59,,AH59+1)*AF59-ERP_i)*AE59*Ramure*Pc/MaxiM</f>
        <v>1.5679239978302694E-7</v>
      </c>
      <c r="AE59" s="305">
        <f t="shared" si="12"/>
        <v>0.5</v>
      </c>
      <c r="AF59" s="177">
        <f t="shared" si="13"/>
        <v>9.1692505665852408E-4</v>
      </c>
      <c r="AG59" s="811">
        <f t="shared" si="23"/>
        <v>-2</v>
      </c>
      <c r="AH59" s="176">
        <f t="shared" si="14"/>
        <v>4</v>
      </c>
      <c r="AI59" s="225">
        <f t="shared" si="15"/>
        <v>-1.9990830749433415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43146</v>
      </c>
      <c r="B60" s="617"/>
      <c r="C60" s="390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7">
        <f t="shared" si="2"/>
        <v>0</v>
      </c>
      <c r="M60" s="856"/>
      <c r="N60" s="856"/>
      <c r="O60" s="324">
        <f t="shared" si="3"/>
        <v>0</v>
      </c>
      <c r="P60" s="169">
        <f>(INDEX(Models!$BJ60:$BT60,,T60)*(1-R60)+INDEX(Models!$BJ60:$BT60,,T60+1)*R60-ERP_i)*Q60*Ramure*Pc/MaxiM</f>
        <v>1.6878591957190173E-7</v>
      </c>
      <c r="Q60" s="305">
        <f t="shared" si="19"/>
        <v>0.5</v>
      </c>
      <c r="R60" s="177">
        <f t="shared" si="4"/>
        <v>1.0925660229890166E-3</v>
      </c>
      <c r="S60" s="811">
        <f t="shared" si="20"/>
        <v>-2</v>
      </c>
      <c r="T60" s="176">
        <f t="shared" si="21"/>
        <v>4</v>
      </c>
      <c r="U60" s="251">
        <f t="shared" si="22"/>
        <v>-1.998907433977011</v>
      </c>
      <c r="V60" s="383">
        <f t="shared" si="5"/>
        <v>38.961058147134736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6">
        <f t="shared" si="11"/>
        <v>0</v>
      </c>
      <c r="AD60" s="169">
        <f>(INDEX(Models!$BJ60:$BT60,,AH60)*(1-AF60)+INDEX(Models!$BJ60:$BT60,,AH60+1)*AF60-ERP_i)*AE60*Ramure*Pc/MaxiM</f>
        <v>1.6878591957190173E-7</v>
      </c>
      <c r="AE60" s="305">
        <f t="shared" si="12"/>
        <v>0.5</v>
      </c>
      <c r="AF60" s="177">
        <f t="shared" si="13"/>
        <v>1.0925660229890166E-3</v>
      </c>
      <c r="AG60" s="811">
        <f t="shared" si="23"/>
        <v>-2</v>
      </c>
      <c r="AH60" s="176">
        <f t="shared" si="14"/>
        <v>4</v>
      </c>
      <c r="AI60" s="225">
        <f t="shared" si="15"/>
        <v>-1.998907433977011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8"/>
        <v>43147</v>
      </c>
      <c r="B61" s="617"/>
      <c r="C61" s="390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7">
        <f t="shared" si="2"/>
        <v>0</v>
      </c>
      <c r="M61" s="856"/>
      <c r="N61" s="856"/>
      <c r="O61" s="324">
        <f t="shared" si="3"/>
        <v>0</v>
      </c>
      <c r="P61" s="169">
        <f>(INDEX(Models!$BJ61:$BT61,,T61)*(1-R61)+INDEX(Models!$BJ61:$BT61,,T61+1)*R61-ERP_i)*Q61*Ramure*Pc/MaxiM</f>
        <v>1.81217314779985E-7</v>
      </c>
      <c r="Q61" s="305">
        <f t="shared" si="19"/>
        <v>0.5</v>
      </c>
      <c r="R61" s="177">
        <f t="shared" si="4"/>
        <v>1.2754433687769406E-3</v>
      </c>
      <c r="S61" s="811">
        <f t="shared" si="20"/>
        <v>-2</v>
      </c>
      <c r="T61" s="176">
        <f t="shared" si="21"/>
        <v>4</v>
      </c>
      <c r="U61" s="251">
        <f t="shared" si="22"/>
        <v>-1.9987245566312231</v>
      </c>
      <c r="V61" s="383">
        <f t="shared" si="5"/>
        <v>39.307835296567035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6">
        <f t="shared" si="11"/>
        <v>0</v>
      </c>
      <c r="AD61" s="169">
        <f>(INDEX(Models!$BJ61:$BT61,,AH61)*(1-AF61)+INDEX(Models!$BJ61:$BT61,,AH61+1)*AF61-ERP_i)*AE61*Ramure*Pc/MaxiM</f>
        <v>1.81217314779985E-7</v>
      </c>
      <c r="AE61" s="305">
        <f t="shared" si="12"/>
        <v>0.5</v>
      </c>
      <c r="AF61" s="177">
        <f t="shared" si="13"/>
        <v>1.2754433687769406E-3</v>
      </c>
      <c r="AG61" s="811">
        <f t="shared" si="23"/>
        <v>-2</v>
      </c>
      <c r="AH61" s="176">
        <f t="shared" si="14"/>
        <v>4</v>
      </c>
      <c r="AI61" s="225">
        <f t="shared" si="15"/>
        <v>-1.9987245566312231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43148</v>
      </c>
      <c r="B62" s="617"/>
      <c r="C62" s="390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7">
        <f t="shared" si="2"/>
        <v>0</v>
      </c>
      <c r="M62" s="856"/>
      <c r="N62" s="856"/>
      <c r="O62" s="324">
        <f t="shared" si="3"/>
        <v>0</v>
      </c>
      <c r="P62" s="169">
        <f>(INDEX(Models!$BJ62:$BT62,,T62)*(1-R62)+INDEX(Models!$BJ62:$BT62,,T62+1)*R62-ERP_i)*Q62*Ramure*Pc/MaxiM</f>
        <v>1.9409246932435451E-7</v>
      </c>
      <c r="Q62" s="305">
        <f t="shared" si="19"/>
        <v>0.5</v>
      </c>
      <c r="R62" s="177">
        <f t="shared" si="4"/>
        <v>1.4658495159334262E-3</v>
      </c>
      <c r="S62" s="811">
        <f t="shared" si="20"/>
        <v>-2</v>
      </c>
      <c r="T62" s="176">
        <f t="shared" si="21"/>
        <v>4</v>
      </c>
      <c r="U62" s="251">
        <f t="shared" si="22"/>
        <v>-1.9985341504840666</v>
      </c>
      <c r="V62" s="383">
        <f t="shared" si="5"/>
        <v>39.656473352544729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6">
        <f t="shared" si="11"/>
        <v>0</v>
      </c>
      <c r="AD62" s="169">
        <f>(INDEX(Models!$BJ62:$BT62,,AH62)*(1-AF62)+INDEX(Models!$BJ62:$BT62,,AH62+1)*AF62-ERP_i)*AE62*Ramure*Pc/MaxiM</f>
        <v>1.9409246932435451E-7</v>
      </c>
      <c r="AE62" s="305">
        <f t="shared" si="12"/>
        <v>0.5</v>
      </c>
      <c r="AF62" s="177">
        <f t="shared" si="13"/>
        <v>1.4658495159334262E-3</v>
      </c>
      <c r="AG62" s="811">
        <f t="shared" si="23"/>
        <v>-2</v>
      </c>
      <c r="AH62" s="176">
        <f t="shared" si="14"/>
        <v>4</v>
      </c>
      <c r="AI62" s="225">
        <f t="shared" si="15"/>
        <v>-1.9985341504840666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8"/>
        <v>43149</v>
      </c>
      <c r="B63" s="617"/>
      <c r="C63" s="390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7">
        <f t="shared" si="2"/>
        <v>0</v>
      </c>
      <c r="M63" s="856"/>
      <c r="N63" s="856"/>
      <c r="O63" s="324">
        <f t="shared" si="3"/>
        <v>0</v>
      </c>
      <c r="P63" s="169">
        <f>(INDEX(Models!$BJ63:$BT63,,T63)*(1-R63)+INDEX(Models!$BJ63:$BT63,,T63+1)*R63-ERP_i)*Q63*Ramure*Pc/MaxiM</f>
        <v>2.0741686153298334E-7</v>
      </c>
      <c r="Q63" s="305">
        <f t="shared" si="19"/>
        <v>0.5</v>
      </c>
      <c r="R63" s="177">
        <f t="shared" si="4"/>
        <v>1.6640882186815809E-3</v>
      </c>
      <c r="S63" s="811">
        <f t="shared" si="20"/>
        <v>-2</v>
      </c>
      <c r="T63" s="176">
        <f t="shared" si="21"/>
        <v>4</v>
      </c>
      <c r="U63" s="251">
        <f t="shared" si="22"/>
        <v>-1.9983359117813184</v>
      </c>
      <c r="V63" s="383">
        <f t="shared" si="5"/>
        <v>40.007187037240179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6">
        <f t="shared" si="11"/>
        <v>0</v>
      </c>
      <c r="AD63" s="169">
        <f>(INDEX(Models!$BJ63:$BT63,,AH63)*(1-AF63)+INDEX(Models!$BJ63:$BT63,,AH63+1)*AF63-ERP_i)*AE63*Ramure*Pc/MaxiM</f>
        <v>2.0741686153298334E-7</v>
      </c>
      <c r="AE63" s="305">
        <f t="shared" si="12"/>
        <v>0.5</v>
      </c>
      <c r="AF63" s="177">
        <f t="shared" si="13"/>
        <v>1.6640882186815809E-3</v>
      </c>
      <c r="AG63" s="811">
        <f t="shared" si="23"/>
        <v>-2</v>
      </c>
      <c r="AH63" s="176">
        <f t="shared" si="14"/>
        <v>4</v>
      </c>
      <c r="AI63" s="225">
        <f t="shared" si="15"/>
        <v>-1.9983359117813184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43150</v>
      </c>
      <c r="B64" s="617"/>
      <c r="C64" s="390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7">
        <f t="shared" si="2"/>
        <v>0</v>
      </c>
      <c r="M64" s="856"/>
      <c r="N64" s="856"/>
      <c r="O64" s="324">
        <f t="shared" si="3"/>
        <v>0</v>
      </c>
      <c r="P64" s="169">
        <f>(INDEX(Models!$BJ64:$BT64,,T64)*(1-R64)+INDEX(Models!$BJ64:$BT64,,T64+1)*R64-ERP_i)*Q64*Ramure*Pc/MaxiM</f>
        <v>2.211955310529207E-7</v>
      </c>
      <c r="Q64" s="305">
        <f t="shared" si="19"/>
        <v>0.5</v>
      </c>
      <c r="R64" s="177">
        <f t="shared" si="4"/>
        <v>1.8704749614906202E-3</v>
      </c>
      <c r="S64" s="811">
        <f t="shared" si="20"/>
        <v>-2</v>
      </c>
      <c r="T64" s="176">
        <f t="shared" si="21"/>
        <v>4</v>
      </c>
      <c r="U64" s="251">
        <f t="shared" si="22"/>
        <v>-1.9981295250385094</v>
      </c>
      <c r="V64" s="383">
        <f t="shared" si="5"/>
        <v>40.36019107249966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6">
        <f t="shared" si="11"/>
        <v>0</v>
      </c>
      <c r="AD64" s="169">
        <f>(INDEX(Models!$BJ64:$BT64,,AH64)*(1-AF64)+INDEX(Models!$BJ64:$BT64,,AH64+1)*AF64-ERP_i)*AE64*Ramure*Pc/MaxiM</f>
        <v>2.211955310529207E-7</v>
      </c>
      <c r="AE64" s="305">
        <f t="shared" si="12"/>
        <v>0.5</v>
      </c>
      <c r="AF64" s="177">
        <f t="shared" si="13"/>
        <v>1.8704749614906202E-3</v>
      </c>
      <c r="AG64" s="811">
        <f t="shared" si="23"/>
        <v>-2</v>
      </c>
      <c r="AH64" s="176">
        <f t="shared" si="14"/>
        <v>4</v>
      </c>
      <c r="AI64" s="225">
        <f t="shared" si="15"/>
        <v>-1.9981295250385094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8"/>
        <v>43151</v>
      </c>
      <c r="B65" s="617"/>
      <c r="C65" s="390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7">
        <f t="shared" si="2"/>
        <v>0</v>
      </c>
      <c r="M65" s="856"/>
      <c r="N65" s="856"/>
      <c r="O65" s="324">
        <f t="shared" si="3"/>
        <v>0</v>
      </c>
      <c r="P65" s="169">
        <f>(INDEX(Models!$BJ65:$BT65,,T65)*(1-R65)+INDEX(Models!$BJ65:$BT65,,T65+1)*R65-ERP_i)*Q65*Ramure*Pc/MaxiM</f>
        <v>2.3543211486669674E-7</v>
      </c>
      <c r="Q65" s="305">
        <f t="shared" si="19"/>
        <v>0.5</v>
      </c>
      <c r="R65" s="177">
        <f t="shared" si="4"/>
        <v>2.0853373674007969E-3</v>
      </c>
      <c r="S65" s="811">
        <f t="shared" si="20"/>
        <v>-2</v>
      </c>
      <c r="T65" s="176">
        <f t="shared" si="21"/>
        <v>4</v>
      </c>
      <c r="U65" s="251">
        <f t="shared" si="22"/>
        <v>-1.9979146626325992</v>
      </c>
      <c r="V65" s="383">
        <f t="shared" si="5"/>
        <v>40.715861222981431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6">
        <f t="shared" si="11"/>
        <v>0</v>
      </c>
      <c r="AD65" s="169">
        <f>(INDEX(Models!$BJ65:$BT65,,AH65)*(1-AF65)+INDEX(Models!$BJ65:$BT65,,AH65+1)*AF65-ERP_i)*AE65*Ramure*Pc/MaxiM</f>
        <v>2.3543211486669674E-7</v>
      </c>
      <c r="AE65" s="305">
        <f t="shared" si="12"/>
        <v>0.5</v>
      </c>
      <c r="AF65" s="177">
        <f t="shared" si="13"/>
        <v>2.0853373674007969E-3</v>
      </c>
      <c r="AG65" s="811">
        <f t="shared" si="23"/>
        <v>-2</v>
      </c>
      <c r="AH65" s="176">
        <f t="shared" si="14"/>
        <v>4</v>
      </c>
      <c r="AI65" s="225">
        <f t="shared" si="15"/>
        <v>-1.9979146626325992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8"/>
        <v>43152</v>
      </c>
      <c r="B66" s="617"/>
      <c r="C66" s="390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7">
        <f t="shared" si="2"/>
        <v>0</v>
      </c>
      <c r="M66" s="856"/>
      <c r="N66" s="856"/>
      <c r="O66" s="324">
        <f t="shared" si="3"/>
        <v>0</v>
      </c>
      <c r="P66" s="169">
        <f>(INDEX(Models!$BJ66:$BT66,,T66)*(1-R66)+INDEX(Models!$BJ66:$BT66,,T66+1)*R66-ERP_i)*Q66*Ramure*Pc/MaxiM</f>
        <v>2.4861328547796704E-7</v>
      </c>
      <c r="Q66" s="305">
        <f t="shared" si="19"/>
        <v>0.5</v>
      </c>
      <c r="R66" s="177">
        <f t="shared" si="4"/>
        <v>2.3090156166876152E-3</v>
      </c>
      <c r="S66" s="811">
        <f t="shared" si="20"/>
        <v>-2</v>
      </c>
      <c r="T66" s="176">
        <f t="shared" si="21"/>
        <v>4</v>
      </c>
      <c r="U66" s="251">
        <f t="shared" si="22"/>
        <v>-1.9976909843833124</v>
      </c>
      <c r="V66" s="383">
        <f t="shared" si="5"/>
        <v>41.074215444350791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6">
        <f t="shared" si="11"/>
        <v>0</v>
      </c>
      <c r="AD66" s="169">
        <f>(INDEX(Models!$BJ66:$BT66,,AH66)*(1-AF66)+INDEX(Models!$BJ66:$BT66,,AH66+1)*AF66-ERP_i)*AE66*Ramure*Pc/MaxiM</f>
        <v>2.4861328547796704E-7</v>
      </c>
      <c r="AE66" s="305">
        <f t="shared" si="12"/>
        <v>0.5</v>
      </c>
      <c r="AF66" s="177">
        <f t="shared" si="13"/>
        <v>2.3090156166876152E-3</v>
      </c>
      <c r="AG66" s="811">
        <f t="shared" si="23"/>
        <v>-2</v>
      </c>
      <c r="AH66" s="176">
        <f t="shared" si="14"/>
        <v>4</v>
      </c>
      <c r="AI66" s="225">
        <f t="shared" si="15"/>
        <v>-1.9976909843833124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8"/>
        <v>43153</v>
      </c>
      <c r="B67" s="617"/>
      <c r="C67" s="390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7">
        <f t="shared" si="2"/>
        <v>0</v>
      </c>
      <c r="M67" s="856"/>
      <c r="N67" s="856"/>
      <c r="O67" s="324">
        <f t="shared" si="3"/>
        <v>0</v>
      </c>
      <c r="P67" s="169">
        <f>(INDEX(Models!$BJ67:$BT67,,T67)*(1-R67)+INDEX(Models!$BJ67:$BT67,,T67+1)*R67-ERP_i)*Q67*Ramure*Pc/MaxiM</f>
        <v>2.5981965349891968E-7</v>
      </c>
      <c r="Q67" s="305">
        <f t="shared" si="19"/>
        <v>0.5</v>
      </c>
      <c r="R67" s="177">
        <f t="shared" si="4"/>
        <v>2.5418628757567507E-3</v>
      </c>
      <c r="S67" s="811">
        <f t="shared" si="20"/>
        <v>-2</v>
      </c>
      <c r="T67" s="176">
        <f t="shared" si="21"/>
        <v>4</v>
      </c>
      <c r="U67" s="251">
        <f t="shared" si="22"/>
        <v>-1.9974581371242432</v>
      </c>
      <c r="V67" s="383">
        <f t="shared" si="5"/>
        <v>41.434931690728263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6">
        <f t="shared" si="11"/>
        <v>0</v>
      </c>
      <c r="AD67" s="169">
        <f>(INDEX(Models!$BJ67:$BT67,,AH67)*(1-AF67)+INDEX(Models!$BJ67:$BT67,,AH67+1)*AF67-ERP_i)*AE67*Ramure*Pc/MaxiM</f>
        <v>2.5981965349891968E-7</v>
      </c>
      <c r="AE67" s="305">
        <f t="shared" si="12"/>
        <v>0.5</v>
      </c>
      <c r="AF67" s="177">
        <f t="shared" si="13"/>
        <v>2.5418628757567507E-3</v>
      </c>
      <c r="AG67" s="811">
        <f t="shared" si="23"/>
        <v>-2</v>
      </c>
      <c r="AH67" s="176">
        <f t="shared" si="14"/>
        <v>4</v>
      </c>
      <c r="AI67" s="225">
        <f t="shared" si="15"/>
        <v>-1.9974581371242432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8"/>
        <v>43154</v>
      </c>
      <c r="B68" s="617"/>
      <c r="C68" s="390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7">
        <f t="shared" si="2"/>
        <v>0</v>
      </c>
      <c r="M68" s="856"/>
      <c r="N68" s="856"/>
      <c r="O68" s="324">
        <f t="shared" si="3"/>
        <v>0</v>
      </c>
      <c r="P68" s="169">
        <f>(INDEX(Models!$BJ68:$BT68,,T68)*(1-R68)+INDEX(Models!$BJ68:$BT68,,T68+1)*R68-ERP_i)*Q68*Ramure*Pc/MaxiM</f>
        <v>2.687673289078419E-7</v>
      </c>
      <c r="Q68" s="305">
        <f t="shared" si="19"/>
        <v>0.5</v>
      </c>
      <c r="R68" s="177">
        <f t="shared" si="4"/>
        <v>2.7842457361346717E-3</v>
      </c>
      <c r="S68" s="811">
        <f t="shared" si="20"/>
        <v>-2</v>
      </c>
      <c r="T68" s="176">
        <f t="shared" si="21"/>
        <v>4</v>
      </c>
      <c r="U68" s="251">
        <f t="shared" si="22"/>
        <v>-1.9972157542638653</v>
      </c>
      <c r="V68" s="383">
        <f t="shared" si="5"/>
        <v>41.797687891596084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6">
        <f t="shared" si="11"/>
        <v>0</v>
      </c>
      <c r="AD68" s="169">
        <f>(INDEX(Models!$BJ68:$BT68,,AH68)*(1-AF68)+INDEX(Models!$BJ68:$BT68,,AH68+1)*AF68-ERP_i)*AE68*Ramure*Pc/MaxiM</f>
        <v>2.687673289078419E-7</v>
      </c>
      <c r="AE68" s="305">
        <f t="shared" si="12"/>
        <v>0.5</v>
      </c>
      <c r="AF68" s="177">
        <f t="shared" si="13"/>
        <v>2.7842457361346717E-3</v>
      </c>
      <c r="AG68" s="811">
        <f t="shared" si="23"/>
        <v>-2</v>
      </c>
      <c r="AH68" s="176">
        <f t="shared" si="14"/>
        <v>4</v>
      </c>
      <c r="AI68" s="225">
        <f t="shared" si="15"/>
        <v>-1.9972157542638653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8"/>
        <v>43155</v>
      </c>
      <c r="B69" s="617"/>
      <c r="C69" s="390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7">
        <f t="shared" si="2"/>
        <v>0</v>
      </c>
      <c r="M69" s="856"/>
      <c r="N69" s="856"/>
      <c r="O69" s="324">
        <f t="shared" si="3"/>
        <v>0</v>
      </c>
      <c r="P69" s="169">
        <f>(INDEX(Models!$BJ69:$BT69,,T69)*(1-R69)+INDEX(Models!$BJ69:$BT69,,T69+1)*R69-ERP_i)*Q69*Ramure*Pc/MaxiM</f>
        <v>2.7515563523637082E-7</v>
      </c>
      <c r="Q69" s="305">
        <f t="shared" si="19"/>
        <v>0.5</v>
      </c>
      <c r="R69" s="177">
        <f t="shared" si="4"/>
        <v>3.0365446633529025E-3</v>
      </c>
      <c r="S69" s="811">
        <f t="shared" si="20"/>
        <v>-2</v>
      </c>
      <c r="T69" s="176">
        <f t="shared" si="21"/>
        <v>4</v>
      </c>
      <c r="U69" s="251">
        <f t="shared" si="22"/>
        <v>-1.9969634553366471</v>
      </c>
      <c r="V69" s="383">
        <f t="shared" si="5"/>
        <v>42.162161977476771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6">
        <f t="shared" si="11"/>
        <v>0</v>
      </c>
      <c r="AD69" s="169">
        <f>(INDEX(Models!$BJ69:$BT69,,AH69)*(1-AF69)+INDEX(Models!$BJ69:$BT69,,AH69+1)*AF69-ERP_i)*AE69*Ramure*Pc/MaxiM</f>
        <v>2.7515563523637082E-7</v>
      </c>
      <c r="AE69" s="305">
        <f t="shared" si="12"/>
        <v>0.5</v>
      </c>
      <c r="AF69" s="177">
        <f t="shared" si="13"/>
        <v>3.0365446633529025E-3</v>
      </c>
      <c r="AG69" s="811">
        <f t="shared" si="23"/>
        <v>-2</v>
      </c>
      <c r="AH69" s="176">
        <f t="shared" si="14"/>
        <v>4</v>
      </c>
      <c r="AI69" s="225">
        <f t="shared" si="15"/>
        <v>-1.9969634553366471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8"/>
        <v>43156</v>
      </c>
      <c r="B70" s="617"/>
      <c r="C70" s="390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7">
        <f t="shared" si="2"/>
        <v>0</v>
      </c>
      <c r="M70" s="856"/>
      <c r="N70" s="856"/>
      <c r="O70" s="324">
        <f t="shared" si="3"/>
        <v>0</v>
      </c>
      <c r="P70" s="169">
        <f>(INDEX(Models!$BJ70:$BT70,,T70)*(1-R70)+INDEX(Models!$BJ70:$BT70,,T70+1)*R70-ERP_i)*Q70*Ramure*Pc/MaxiM</f>
        <v>2.7866475106386217E-7</v>
      </c>
      <c r="Q70" s="305">
        <f t="shared" si="19"/>
        <v>0.5</v>
      </c>
      <c r="R70" s="177">
        <f t="shared" si="4"/>
        <v>3.2991544554890062E-3</v>
      </c>
      <c r="S70" s="811">
        <f t="shared" si="20"/>
        <v>-2</v>
      </c>
      <c r="T70" s="176">
        <f t="shared" si="21"/>
        <v>4</v>
      </c>
      <c r="U70" s="251">
        <f t="shared" si="22"/>
        <v>-1.996700845544511</v>
      </c>
      <c r="V70" s="383">
        <f t="shared" si="5"/>
        <v>42.528031880762917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6">
        <f t="shared" si="11"/>
        <v>0</v>
      </c>
      <c r="AD70" s="169">
        <f>(INDEX(Models!$BJ70:$BT70,,AH70)*(1-AF70)+INDEX(Models!$BJ70:$BT70,,AH70+1)*AF70-ERP_i)*AE70*Ramure*Pc/MaxiM</f>
        <v>2.7866475106386217E-7</v>
      </c>
      <c r="AE70" s="305">
        <f t="shared" si="12"/>
        <v>0.5</v>
      </c>
      <c r="AF70" s="177">
        <f t="shared" si="13"/>
        <v>3.2991544554890062E-3</v>
      </c>
      <c r="AG70" s="811">
        <f t="shared" si="23"/>
        <v>-2</v>
      </c>
      <c r="AH70" s="176">
        <f t="shared" si="14"/>
        <v>4</v>
      </c>
      <c r="AI70" s="225">
        <f t="shared" si="15"/>
        <v>-1.996700845544511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43157</v>
      </c>
      <c r="B71" s="617"/>
      <c r="C71" s="390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7">
        <f t="shared" si="2"/>
        <v>0</v>
      </c>
      <c r="M71" s="856"/>
      <c r="N71" s="856"/>
      <c r="O71" s="324">
        <f t="shared" si="3"/>
        <v>0</v>
      </c>
      <c r="P71" s="169">
        <f>(INDEX(Models!$BJ71:$BT71,,T71)*(1-R71)+INDEX(Models!$BJ71:$BT71,,T71+1)*R71-ERP_i)*Q71*Ramure*Pc/MaxiM</f>
        <v>2.7895442976024179E-7</v>
      </c>
      <c r="Q71" s="305">
        <f t="shared" si="19"/>
        <v>0.5</v>
      </c>
      <c r="R71" s="177">
        <f t="shared" si="4"/>
        <v>3.5724847110543134E-3</v>
      </c>
      <c r="S71" s="811">
        <f t="shared" si="20"/>
        <v>-2</v>
      </c>
      <c r="T71" s="176">
        <f t="shared" si="21"/>
        <v>4</v>
      </c>
      <c r="U71" s="251">
        <f t="shared" si="22"/>
        <v>-1.9964275152889457</v>
      </c>
      <c r="V71" s="383">
        <f t="shared" si="5"/>
        <v>42.894975534358565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6">
        <f t="shared" si="11"/>
        <v>0</v>
      </c>
      <c r="AD71" s="169">
        <f>(INDEX(Models!$BJ71:$BT71,,AH71)*(1-AF71)+INDEX(Models!$BJ71:$BT71,,AH71+1)*AF71-ERP_i)*AE71*Ramure*Pc/MaxiM</f>
        <v>2.7895442976024179E-7</v>
      </c>
      <c r="AE71" s="305">
        <f t="shared" si="12"/>
        <v>0.5</v>
      </c>
      <c r="AF71" s="177">
        <f t="shared" si="13"/>
        <v>3.5724847110543134E-3</v>
      </c>
      <c r="AG71" s="811">
        <f t="shared" si="23"/>
        <v>-2</v>
      </c>
      <c r="AH71" s="176">
        <f t="shared" si="14"/>
        <v>4</v>
      </c>
      <c r="AI71" s="225">
        <f t="shared" si="15"/>
        <v>-1.9964275152889457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8"/>
        <v>43158</v>
      </c>
      <c r="B72" s="617"/>
      <c r="C72" s="390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7">
        <f t="shared" si="2"/>
        <v>0</v>
      </c>
      <c r="M72" s="856"/>
      <c r="N72" s="856"/>
      <c r="O72" s="324">
        <f t="shared" si="3"/>
        <v>0</v>
      </c>
      <c r="P72" s="169">
        <f>(INDEX(Models!$BJ72:$BT72,,T72)*(1-R72)+INDEX(Models!$BJ72:$BT72,,T72+1)*R72-ERP_i)*Q72*Ramure*Pc/MaxiM</f>
        <v>2.7645288723687743E-7</v>
      </c>
      <c r="Q72" s="305">
        <f t="shared" si="19"/>
        <v>0.5</v>
      </c>
      <c r="R72" s="177">
        <f t="shared" si="4"/>
        <v>3.8569603058644653E-3</v>
      </c>
      <c r="S72" s="811">
        <f t="shared" si="20"/>
        <v>-2</v>
      </c>
      <c r="T72" s="176">
        <f t="shared" si="21"/>
        <v>4</v>
      </c>
      <c r="U72" s="251">
        <f t="shared" si="22"/>
        <v>-1.9961430396941355</v>
      </c>
      <c r="V72" s="383">
        <f t="shared" si="5"/>
        <v>43.26267083860251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6">
        <f t="shared" si="11"/>
        <v>0</v>
      </c>
      <c r="AD72" s="169">
        <f>(INDEX(Models!$BJ72:$BT72,,AH72)*(1-AF72)+INDEX(Models!$BJ72:$BT72,,AH72+1)*AF72-ERP_i)*AE72*Ramure*Pc/MaxiM</f>
        <v>2.7645288723687743E-7</v>
      </c>
      <c r="AE72" s="305">
        <f t="shared" si="12"/>
        <v>0.5</v>
      </c>
      <c r="AF72" s="177">
        <f t="shared" si="13"/>
        <v>3.8569603058644653E-3</v>
      </c>
      <c r="AG72" s="811">
        <f t="shared" si="23"/>
        <v>-2</v>
      </c>
      <c r="AH72" s="176">
        <f t="shared" si="14"/>
        <v>4</v>
      </c>
      <c r="AI72" s="225">
        <f t="shared" si="15"/>
        <v>-1.9961430396941355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8"/>
        <v>43159</v>
      </c>
      <c r="B73" s="617"/>
      <c r="C73" s="390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7">
        <f t="shared" si="2"/>
        <v>0</v>
      </c>
      <c r="M73" s="856"/>
      <c r="N73" s="856"/>
      <c r="O73" s="324">
        <f t="shared" si="3"/>
        <v>0</v>
      </c>
      <c r="P73" s="169">
        <f>(INDEX(Models!$BJ73:$BT73,,T73)*(1-R73)+INDEX(Models!$BJ73:$BT73,,T73+1)*R73-ERP_i)*Q73*Ramure*Pc/MaxiM</f>
        <v>2.7208040654061552E-7</v>
      </c>
      <c r="Q73" s="305">
        <f t="shared" si="19"/>
        <v>0.5</v>
      </c>
      <c r="R73" s="177">
        <f t="shared" si="4"/>
        <v>4.1530218784520123E-3</v>
      </c>
      <c r="S73" s="811">
        <f t="shared" si="20"/>
        <v>-2</v>
      </c>
      <c r="T73" s="176">
        <f t="shared" si="21"/>
        <v>4</v>
      </c>
      <c r="U73" s="251">
        <f t="shared" si="22"/>
        <v>-1.995846978121548</v>
      </c>
      <c r="V73" s="383">
        <f t="shared" si="5"/>
        <v>43.630795672573271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6">
        <f t="shared" si="11"/>
        <v>0</v>
      </c>
      <c r="AD73" s="169">
        <f>(INDEX(Models!$BJ73:$BT73,,AH73)*(1-AF73)+INDEX(Models!$BJ73:$BT73,,AH73+1)*AF73-ERP_i)*AE73*Ramure*Pc/MaxiM</f>
        <v>2.7208040654061552E-7</v>
      </c>
      <c r="AE73" s="305">
        <f t="shared" si="12"/>
        <v>0.5</v>
      </c>
      <c r="AF73" s="177">
        <f t="shared" si="13"/>
        <v>4.1530218784520123E-3</v>
      </c>
      <c r="AG73" s="811">
        <f t="shared" si="23"/>
        <v>-2</v>
      </c>
      <c r="AH73" s="176">
        <f t="shared" si="14"/>
        <v>4</v>
      </c>
      <c r="AI73" s="225">
        <f t="shared" si="15"/>
        <v>-1.995846978121548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8"/>
        <v>43160</v>
      </c>
      <c r="B74" s="617"/>
      <c r="C74" s="390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7">
        <f t="shared" si="2"/>
        <v>0</v>
      </c>
      <c r="M74" s="856"/>
      <c r="N74" s="856"/>
      <c r="O74" s="324">
        <f t="shared" si="3"/>
        <v>0</v>
      </c>
      <c r="P74" s="169">
        <f>(INDEX(Models!$BJ74:$BT74,,T74)*(1-R74)+INDEX(Models!$BJ74:$BT74,,T74+1)*R74-ERP_i)*Q74*Ramure*Pc/MaxiM</f>
        <v>2.656619445720577E-7</v>
      </c>
      <c r="Q74" s="305">
        <f t="shared" si="19"/>
        <v>0.5</v>
      </c>
      <c r="R74" s="177">
        <f t="shared" si="4"/>
        <v>4.4611263235108112E-3</v>
      </c>
      <c r="S74" s="811">
        <f t="shared" si="20"/>
        <v>-2</v>
      </c>
      <c r="T74" s="176">
        <f t="shared" si="21"/>
        <v>4</v>
      </c>
      <c r="U74" s="251">
        <f t="shared" si="22"/>
        <v>-1.9955388736764892</v>
      </c>
      <c r="V74" s="383">
        <f t="shared" si="5"/>
        <v>43.999027961281286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6">
        <f t="shared" si="11"/>
        <v>0</v>
      </c>
      <c r="AD74" s="169">
        <f>(INDEX(Models!$BJ74:$BT74,,AH74)*(1-AF74)+INDEX(Models!$BJ74:$BT74,,AH74+1)*AF74-ERP_i)*AE74*Ramure*Pc/MaxiM</f>
        <v>2.656619445720577E-7</v>
      </c>
      <c r="AE74" s="305">
        <f t="shared" si="12"/>
        <v>0.5</v>
      </c>
      <c r="AF74" s="177">
        <f t="shared" si="13"/>
        <v>4.4611263235108112E-3</v>
      </c>
      <c r="AG74" s="811">
        <f t="shared" si="23"/>
        <v>-2</v>
      </c>
      <c r="AH74" s="176">
        <f t="shared" si="14"/>
        <v>4</v>
      </c>
      <c r="AI74" s="225">
        <f t="shared" si="15"/>
        <v>-1.9955388736764892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8"/>
        <v>43161</v>
      </c>
      <c r="B75" s="617"/>
      <c r="C75" s="390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7">
        <f t="shared" si="2"/>
        <v>0</v>
      </c>
      <c r="M75" s="856"/>
      <c r="N75" s="856"/>
      <c r="O75" s="324">
        <f t="shared" si="3"/>
        <v>0</v>
      </c>
      <c r="P75" s="169">
        <f>(INDEX(Models!$BJ75:$BT75,,T75)*(1-R75)+INDEX(Models!$BJ75:$BT75,,T75+1)*R75-ERP_i)*Q75*Ramure*Pc/MaxiM</f>
        <v>2.5701132721340359E-7</v>
      </c>
      <c r="Q75" s="305">
        <f t="shared" si="19"/>
        <v>0.5</v>
      </c>
      <c r="R75" s="177">
        <f t="shared" si="4"/>
        <v>4.7817472927724758E-3</v>
      </c>
      <c r="S75" s="811">
        <f t="shared" si="20"/>
        <v>-2</v>
      </c>
      <c r="T75" s="176">
        <f t="shared" si="21"/>
        <v>4</v>
      </c>
      <c r="U75" s="251">
        <f t="shared" si="22"/>
        <v>-1.9952182527072275</v>
      </c>
      <c r="V75" s="383">
        <f t="shared" si="5"/>
        <v>44.367045630721535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6">
        <f t="shared" si="11"/>
        <v>0</v>
      </c>
      <c r="AD75" s="169">
        <f>(INDEX(Models!$BJ75:$BT75,,AH75)*(1-AF75)+INDEX(Models!$BJ75:$BT75,,AH75+1)*AF75-ERP_i)*AE75*Ramure*Pc/MaxiM</f>
        <v>2.5701132721340359E-7</v>
      </c>
      <c r="AE75" s="305">
        <f t="shared" si="12"/>
        <v>0.5</v>
      </c>
      <c r="AF75" s="177">
        <f t="shared" si="13"/>
        <v>4.7817472927724758E-3</v>
      </c>
      <c r="AG75" s="811">
        <f t="shared" si="23"/>
        <v>-2</v>
      </c>
      <c r="AH75" s="176">
        <f t="shared" si="14"/>
        <v>4</v>
      </c>
      <c r="AI75" s="225">
        <f t="shared" si="15"/>
        <v>-1.9952182527072275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8"/>
        <v>43162</v>
      </c>
      <c r="B76" s="617"/>
      <c r="C76" s="390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7">
        <f t="shared" si="2"/>
        <v>0</v>
      </c>
      <c r="M76" s="856"/>
      <c r="N76" s="856"/>
      <c r="O76" s="324">
        <f t="shared" si="3"/>
        <v>0</v>
      </c>
      <c r="P76" s="169">
        <f>(INDEX(Models!$BJ76:$BT76,,T76)*(1-R76)+INDEX(Models!$BJ76:$BT76,,T76+1)*R76-ERP_i)*Q76*Ramure*Pc/MaxiM</f>
        <v>2.4593047950627829E-7</v>
      </c>
      <c r="Q76" s="305">
        <f t="shared" si="19"/>
        <v>0.5</v>
      </c>
      <c r="R76" s="177">
        <f t="shared" si="4"/>
        <v>5.1153757026303204E-3</v>
      </c>
      <c r="S76" s="811">
        <f t="shared" si="20"/>
        <v>-2</v>
      </c>
      <c r="T76" s="176">
        <f t="shared" si="21"/>
        <v>4</v>
      </c>
      <c r="U76" s="251">
        <f t="shared" si="22"/>
        <v>-1.9948846242973697</v>
      </c>
      <c r="V76" s="383">
        <f t="shared" si="5"/>
        <v>44.73452660771359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6">
        <f t="shared" si="11"/>
        <v>0</v>
      </c>
      <c r="AD76" s="169">
        <f>(INDEX(Models!$BJ76:$BT76,,AH76)*(1-AF76)+INDEX(Models!$BJ76:$BT76,,AH76+1)*AF76-ERP_i)*AE76*Ramure*Pc/MaxiM</f>
        <v>2.4593047950627829E-7</v>
      </c>
      <c r="AE76" s="305">
        <f t="shared" si="12"/>
        <v>0.5</v>
      </c>
      <c r="AF76" s="177">
        <f t="shared" si="13"/>
        <v>5.1153757026303204E-3</v>
      </c>
      <c r="AG76" s="811">
        <f t="shared" si="23"/>
        <v>-2</v>
      </c>
      <c r="AH76" s="176">
        <f t="shared" si="14"/>
        <v>4</v>
      </c>
      <c r="AI76" s="225">
        <f t="shared" si="15"/>
        <v>-1.9948846242973697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43163</v>
      </c>
      <c r="B77" s="617"/>
      <c r="C77" s="390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7">
        <f t="shared" si="2"/>
        <v>0</v>
      </c>
      <c r="M77" s="856"/>
      <c r="N77" s="856"/>
      <c r="O77" s="324">
        <f t="shared" si="3"/>
        <v>0</v>
      </c>
      <c r="P77" s="169">
        <f>(INDEX(Models!$BJ77:$BT77,,T77)*(1-R77)+INDEX(Models!$BJ77:$BT77,,T77+1)*R77-ERP_i)*Q77*Ramure*Pc/MaxiM</f>
        <v>2.3220859612360524E-7</v>
      </c>
      <c r="Q77" s="305">
        <f t="shared" si="19"/>
        <v>0.5</v>
      </c>
      <c r="R77" s="177">
        <f t="shared" si="4"/>
        <v>5.4625202477285306E-3</v>
      </c>
      <c r="S77" s="811">
        <f t="shared" si="20"/>
        <v>-2</v>
      </c>
      <c r="T77" s="176">
        <f t="shared" si="21"/>
        <v>4</v>
      </c>
      <c r="U77" s="251">
        <f t="shared" si="22"/>
        <v>-1.9945374797522715</v>
      </c>
      <c r="V77" s="383">
        <f t="shared" si="5"/>
        <v>45.101148820119576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6">
        <f t="shared" si="11"/>
        <v>0</v>
      </c>
      <c r="AD77" s="169">
        <f>(INDEX(Models!$BJ77:$BT77,,AH77)*(1-AF77)+INDEX(Models!$BJ77:$BT77,,AH77+1)*AF77-ERP_i)*AE77*Ramure*Pc/MaxiM</f>
        <v>2.3220859612360524E-7</v>
      </c>
      <c r="AE77" s="305">
        <f t="shared" si="12"/>
        <v>0.5</v>
      </c>
      <c r="AF77" s="177">
        <f t="shared" si="13"/>
        <v>5.4625202477285306E-3</v>
      </c>
      <c r="AG77" s="811">
        <f t="shared" si="23"/>
        <v>-2</v>
      </c>
      <c r="AH77" s="176">
        <f t="shared" si="14"/>
        <v>4</v>
      </c>
      <c r="AI77" s="225">
        <f t="shared" si="15"/>
        <v>-1.9945374797522715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8"/>
        <v>43164</v>
      </c>
      <c r="B78" s="617"/>
      <c r="C78" s="390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7">
        <f t="shared" si="2"/>
        <v>0</v>
      </c>
      <c r="M78" s="856"/>
      <c r="N78" s="856"/>
      <c r="O78" s="324">
        <f t="shared" si="3"/>
        <v>0</v>
      </c>
      <c r="P78" s="169">
        <f>(INDEX(Models!$BJ78:$BT78,,T78)*(1-R78)+INDEX(Models!$BJ78:$BT78,,T78+1)*R78-ERP_i)*Q78*Ramure*Pc/MaxiM</f>
        <v>2.1562124724044263E-7</v>
      </c>
      <c r="Q78" s="305">
        <f t="shared" si="19"/>
        <v>0.5</v>
      </c>
      <c r="R78" s="177">
        <f t="shared" si="4"/>
        <v>5.8237079196241659E-3</v>
      </c>
      <c r="S78" s="811">
        <f t="shared" si="20"/>
        <v>-2</v>
      </c>
      <c r="T78" s="176">
        <f t="shared" si="21"/>
        <v>4</v>
      </c>
      <c r="U78" s="251">
        <f t="shared" si="22"/>
        <v>-1.9941762920803758</v>
      </c>
      <c r="V78" s="383">
        <f t="shared" si="5"/>
        <v>45.466590196437657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6">
        <f t="shared" si="11"/>
        <v>0</v>
      </c>
      <c r="AD78" s="169">
        <f>(INDEX(Models!$BJ78:$BT78,,AH78)*(1-AF78)+INDEX(Models!$BJ78:$BT78,,AH78+1)*AF78-ERP_i)*AE78*Ramure*Pc/MaxiM</f>
        <v>2.1562124724044263E-7</v>
      </c>
      <c r="AE78" s="305">
        <f t="shared" si="12"/>
        <v>0.5</v>
      </c>
      <c r="AF78" s="177">
        <f t="shared" si="13"/>
        <v>5.8237079196241659E-3</v>
      </c>
      <c r="AG78" s="811">
        <f t="shared" si="23"/>
        <v>-2</v>
      </c>
      <c r="AH78" s="176">
        <f t="shared" si="14"/>
        <v>4</v>
      </c>
      <c r="AI78" s="225">
        <f t="shared" si="15"/>
        <v>-1.9941762920803758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43165</v>
      </c>
      <c r="B79" s="617"/>
      <c r="C79" s="390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7">
        <f t="shared" ref="L79:L142" si="26">IF(t&lt;T0,0,IF(t&lt;Tvie,1-EXP((T0-t)*PertePVj),1-EXP((T0-t)*PertePVj)+Pspv))</f>
        <v>0</v>
      </c>
      <c r="M79" s="856"/>
      <c r="N79" s="856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1.959239834422819E-7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6.1994845295223477E-3</v>
      </c>
      <c r="S79" s="811">
        <f t="shared" si="20"/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-1.9938005154704777</v>
      </c>
      <c r="V79" s="383">
        <f t="shared" ref="V79:V142" si="32">MaxiM*(1-Ppv)*(1-Pvg)*(1-Psa)</f>
        <v>45.831799110832513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6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1.959239834422819E-7</v>
      </c>
      <c r="AE79" s="305">
        <f t="shared" ref="AE79:AE142" si="39">Dd+PousD*Croivg</f>
        <v>0.5</v>
      </c>
      <c r="AF79" s="177">
        <f t="shared" ref="AF79:AF142" si="40">(Hp_vg_s-AG79)/(INDEX(Echel_vg,AH79+1)-AG79)</f>
        <v>6.1994845295223477E-3</v>
      </c>
      <c r="AG79" s="811">
        <f t="shared" ref="AG79:AG142" si="41">INDEX(Echel_vg,AH79)</f>
        <v>-2</v>
      </c>
      <c r="AH79" s="176">
        <f t="shared" ref="AH79:AH142" si="42">MIN(MATCH(Hp_vg_s,Echel_vg),10)</f>
        <v>4</v>
      </c>
      <c r="AI79" s="225">
        <f t="shared" ref="AI79:AI142" si="43">Hdd+PousH*Croivg</f>
        <v>-1.9938005154704777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43166</v>
      </c>
      <c r="B80" s="617"/>
      <c r="C80" s="390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7">
        <f t="shared" si="26"/>
        <v>0</v>
      </c>
      <c r="M80" s="856"/>
      <c r="N80" s="856"/>
      <c r="O80" s="324">
        <f t="shared" si="27"/>
        <v>0</v>
      </c>
      <c r="P80" s="169">
        <f>(INDEX(Models!$BJ80:$BT80,,T80)*(1-R80)+INDEX(Models!$BJ80:$BT80,,T80+1)*R80-ERP_i)*Q80*Ramure*Pc/MaxiM</f>
        <v>1.7444694279939666E-7</v>
      </c>
      <c r="Q80" s="305">
        <f t="shared" si="28"/>
        <v>0.5</v>
      </c>
      <c r="R80" s="177">
        <f t="shared" si="29"/>
        <v>6.5904152339579802E-3</v>
      </c>
      <c r="S80" s="811">
        <f t="shared" ref="S80:S143" si="47">INDEX(Echel_vg,T80)</f>
        <v>-2</v>
      </c>
      <c r="T80" s="176">
        <f t="shared" si="30"/>
        <v>4</v>
      </c>
      <c r="U80" s="251">
        <f t="shared" si="31"/>
        <v>-1.993409584766042</v>
      </c>
      <c r="V80" s="383">
        <f t="shared" si="32"/>
        <v>46.197795439487862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6">
        <f t="shared" si="38"/>
        <v>0</v>
      </c>
      <c r="AD80" s="169">
        <f>(INDEX(Models!$BJ80:$BT80,,AH80)*(1-AF80)+INDEX(Models!$BJ80:$BT80,,AH80+1)*AF80-ERP_i)*AE80*Ramure*Pc/MaxiM</f>
        <v>1.7444694279939666E-7</v>
      </c>
      <c r="AE80" s="305">
        <f t="shared" si="39"/>
        <v>0.5</v>
      </c>
      <c r="AF80" s="177">
        <f t="shared" si="40"/>
        <v>6.5904152339579802E-3</v>
      </c>
      <c r="AG80" s="811">
        <f t="shared" si="41"/>
        <v>-2</v>
      </c>
      <c r="AH80" s="176">
        <f t="shared" si="42"/>
        <v>4</v>
      </c>
      <c r="AI80" s="225">
        <f t="shared" si="43"/>
        <v>-1.993409584766042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43167</v>
      </c>
      <c r="B81" s="617"/>
      <c r="C81" s="390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7">
        <f t="shared" si="26"/>
        <v>0</v>
      </c>
      <c r="M81" s="856"/>
      <c r="N81" s="856"/>
      <c r="O81" s="324">
        <f t="shared" si="27"/>
        <v>0</v>
      </c>
      <c r="P81" s="169">
        <f>(INDEX(Models!$BJ81:$BT81,,T81)*(1-R81)+INDEX(Models!$BJ81:$BT81,,T81+1)*R81-ERP_i)*Q81*Ramure*Pc/MaxiM</f>
        <v>1.5379742793377542E-7</v>
      </c>
      <c r="Q81" s="305">
        <f t="shared" si="28"/>
        <v>0.5</v>
      </c>
      <c r="R81" s="177">
        <f t="shared" si="29"/>
        <v>6.997085062168118E-3</v>
      </c>
      <c r="S81" s="811">
        <f t="shared" si="47"/>
        <v>-2</v>
      </c>
      <c r="T81" s="176">
        <f t="shared" si="30"/>
        <v>4</v>
      </c>
      <c r="U81" s="251">
        <f t="shared" si="31"/>
        <v>-1.9930029149378319</v>
      </c>
      <c r="V81" s="383">
        <f t="shared" si="32"/>
        <v>46.564364339948476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6">
        <f t="shared" si="38"/>
        <v>0</v>
      </c>
      <c r="AD81" s="169">
        <f>(INDEX(Models!$BJ81:$BT81,,AH81)*(1-AF81)+INDEX(Models!$BJ81:$BT81,,AH81+1)*AF81-ERP_i)*AE81*Ramure*Pc/MaxiM</f>
        <v>1.5379742793377542E-7</v>
      </c>
      <c r="AE81" s="305">
        <f t="shared" si="39"/>
        <v>0.5</v>
      </c>
      <c r="AF81" s="177">
        <f t="shared" si="40"/>
        <v>6.997085062168118E-3</v>
      </c>
      <c r="AG81" s="811">
        <f t="shared" si="41"/>
        <v>-2</v>
      </c>
      <c r="AH81" s="176">
        <f t="shared" si="42"/>
        <v>4</v>
      </c>
      <c r="AI81" s="225">
        <f t="shared" si="43"/>
        <v>-1.9930029149378319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43168</v>
      </c>
      <c r="B82" s="617"/>
      <c r="C82" s="390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7">
        <f t="shared" si="26"/>
        <v>0</v>
      </c>
      <c r="M82" s="856"/>
      <c r="N82" s="856"/>
      <c r="O82" s="324">
        <f t="shared" si="27"/>
        <v>0</v>
      </c>
      <c r="P82" s="169">
        <f>(INDEX(Models!$BJ82:$BT82,,T82)*(1-R82)+INDEX(Models!$BJ82:$BT82,,T82+1)*R82-ERP_i)*Q82*Ramure*Pc/MaxiM</f>
        <v>1.3418346670458099E-7</v>
      </c>
      <c r="Q82" s="305">
        <f t="shared" si="28"/>
        <v>0.5</v>
      </c>
      <c r="R82" s="177">
        <f t="shared" si="29"/>
        <v>7.4200994437549905E-3</v>
      </c>
      <c r="S82" s="811">
        <f t="shared" si="47"/>
        <v>-2</v>
      </c>
      <c r="T82" s="176">
        <f t="shared" si="30"/>
        <v>4</v>
      </c>
      <c r="U82" s="251">
        <f t="shared" si="31"/>
        <v>-1.992579900556245</v>
      </c>
      <c r="V82" s="383">
        <f t="shared" si="32"/>
        <v>46.931291078682072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6">
        <f t="shared" si="38"/>
        <v>0</v>
      </c>
      <c r="AD82" s="169">
        <f>(INDEX(Models!$BJ82:$BT82,,AH82)*(1-AF82)+INDEX(Models!$BJ82:$BT82,,AH82+1)*AF82-ERP_i)*AE82*Ramure*Pc/MaxiM</f>
        <v>1.3418346670458099E-7</v>
      </c>
      <c r="AE82" s="305">
        <f t="shared" si="39"/>
        <v>0.5</v>
      </c>
      <c r="AF82" s="177">
        <f t="shared" si="40"/>
        <v>7.4200994437549905E-3</v>
      </c>
      <c r="AG82" s="811">
        <f t="shared" si="41"/>
        <v>-2</v>
      </c>
      <c r="AH82" s="176">
        <f t="shared" si="42"/>
        <v>4</v>
      </c>
      <c r="AI82" s="225">
        <f t="shared" si="43"/>
        <v>-1.992579900556245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6"/>
        <v>43169</v>
      </c>
      <c r="B83" s="617"/>
      <c r="C83" s="390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7">
        <f t="shared" si="26"/>
        <v>0</v>
      </c>
      <c r="M83" s="856"/>
      <c r="N83" s="856"/>
      <c r="O83" s="324">
        <f t="shared" si="27"/>
        <v>0</v>
      </c>
      <c r="P83" s="169">
        <f>(INDEX(Models!$BJ83:$BT83,,T83)*(1-R83)+INDEX(Models!$BJ83:$BT83,,T83+1)*R83-ERP_i)*Q83*Ramure*Pc/MaxiM</f>
        <v>1.1582819885022864E-7</v>
      </c>
      <c r="Q83" s="305">
        <f t="shared" si="28"/>
        <v>0.5</v>
      </c>
      <c r="R83" s="177">
        <f t="shared" si="29"/>
        <v>7.8600847350918102E-3</v>
      </c>
      <c r="S83" s="811">
        <f t="shared" si="47"/>
        <v>-2</v>
      </c>
      <c r="T83" s="176">
        <f t="shared" si="30"/>
        <v>4</v>
      </c>
      <c r="U83" s="251">
        <f t="shared" si="31"/>
        <v>-1.9921399152649082</v>
      </c>
      <c r="V83" s="383">
        <f t="shared" si="32"/>
        <v>47.29836092093764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6">
        <f t="shared" si="38"/>
        <v>0</v>
      </c>
      <c r="AD83" s="169">
        <f>(INDEX(Models!$BJ83:$BT83,,AH83)*(1-AF83)+INDEX(Models!$BJ83:$BT83,,AH83+1)*AF83-ERP_i)*AE83*Ramure*Pc/MaxiM</f>
        <v>1.1582819885022864E-7</v>
      </c>
      <c r="AE83" s="305">
        <f t="shared" si="39"/>
        <v>0.5</v>
      </c>
      <c r="AF83" s="177">
        <f t="shared" si="40"/>
        <v>7.8600847350918102E-3</v>
      </c>
      <c r="AG83" s="811">
        <f t="shared" si="41"/>
        <v>-2</v>
      </c>
      <c r="AH83" s="176">
        <f t="shared" si="42"/>
        <v>4</v>
      </c>
      <c r="AI83" s="225">
        <f t="shared" si="43"/>
        <v>-1.9921399152649082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6"/>
        <v>43170</v>
      </c>
      <c r="B84" s="617"/>
      <c r="C84" s="390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7">
        <f t="shared" si="26"/>
        <v>0</v>
      </c>
      <c r="M84" s="856"/>
      <c r="N84" s="856"/>
      <c r="O84" s="324">
        <f t="shared" si="27"/>
        <v>0</v>
      </c>
      <c r="P84" s="169">
        <f>(INDEX(Models!$BJ84:$BT84,,T84)*(1-R84)+INDEX(Models!$BJ84:$BT84,,T84+1)*R84-ERP_i)*Q84*Ramure*Pc/MaxiM</f>
        <v>9.8970926949630253E-8</v>
      </c>
      <c r="Q84" s="305">
        <f t="shared" si="28"/>
        <v>0.5</v>
      </c>
      <c r="R84" s="177">
        <f t="shared" si="29"/>
        <v>8.3176887427565127E-3</v>
      </c>
      <c r="S84" s="811">
        <f t="shared" si="47"/>
        <v>-2</v>
      </c>
      <c r="T84" s="176">
        <f t="shared" si="30"/>
        <v>4</v>
      </c>
      <c r="U84" s="251">
        <f t="shared" si="31"/>
        <v>-1.9916823112572435</v>
      </c>
      <c r="V84" s="383">
        <f t="shared" si="32"/>
        <v>47.665359130908747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6">
        <f t="shared" si="38"/>
        <v>0</v>
      </c>
      <c r="AD84" s="169">
        <f>(INDEX(Models!$BJ84:$BT84,,AH84)*(1-AF84)+INDEX(Models!$BJ84:$BT84,,AH84+1)*AF84-ERP_i)*AE84*Ramure*Pc/MaxiM</f>
        <v>9.8970926949630253E-8</v>
      </c>
      <c r="AE84" s="305">
        <f t="shared" si="39"/>
        <v>0.5</v>
      </c>
      <c r="AF84" s="177">
        <f t="shared" si="40"/>
        <v>8.3176887427565127E-3</v>
      </c>
      <c r="AG84" s="811">
        <f t="shared" si="41"/>
        <v>-2</v>
      </c>
      <c r="AH84" s="176">
        <f t="shared" si="42"/>
        <v>4</v>
      </c>
      <c r="AI84" s="225">
        <f t="shared" si="43"/>
        <v>-1.9916823112572435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6"/>
        <v>43171</v>
      </c>
      <c r="B85" s="617"/>
      <c r="C85" s="390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7">
        <f t="shared" si="26"/>
        <v>0</v>
      </c>
      <c r="M85" s="856"/>
      <c r="N85" s="856"/>
      <c r="O85" s="324">
        <f t="shared" si="27"/>
        <v>0</v>
      </c>
      <c r="P85" s="169">
        <f>(INDEX(Models!$BJ85:$BT85,,T85)*(1-R85)+INDEX(Models!$BJ85:$BT85,,T85+1)*R85-ERP_i)*Q85*Ramure*Pc/MaxiM</f>
        <v>8.3868250469578721E-8</v>
      </c>
      <c r="Q85" s="305">
        <f t="shared" si="28"/>
        <v>0.5</v>
      </c>
      <c r="R85" s="177">
        <f t="shared" si="29"/>
        <v>8.7935812421118253E-3</v>
      </c>
      <c r="S85" s="811">
        <f t="shared" si="47"/>
        <v>-2</v>
      </c>
      <c r="T85" s="176">
        <f t="shared" si="30"/>
        <v>4</v>
      </c>
      <c r="U85" s="251">
        <f t="shared" si="31"/>
        <v>-1.9912064187578882</v>
      </c>
      <c r="V85" s="383">
        <f t="shared" si="32"/>
        <v>48.032070971683275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6">
        <f t="shared" si="38"/>
        <v>0</v>
      </c>
      <c r="AD85" s="169">
        <f>(INDEX(Models!$BJ85:$BT85,,AH85)*(1-AF85)+INDEX(Models!$BJ85:$BT85,,AH85+1)*AF85-ERP_i)*AE85*Ramure*Pc/MaxiM</f>
        <v>8.3868250469578721E-8</v>
      </c>
      <c r="AE85" s="305">
        <f t="shared" si="39"/>
        <v>0.5</v>
      </c>
      <c r="AF85" s="177">
        <f t="shared" si="40"/>
        <v>8.7935812421118253E-3</v>
      </c>
      <c r="AG85" s="811">
        <f t="shared" si="41"/>
        <v>-2</v>
      </c>
      <c r="AH85" s="176">
        <f t="shared" si="42"/>
        <v>4</v>
      </c>
      <c r="AI85" s="225">
        <f t="shared" si="43"/>
        <v>-1.9912064187578882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6"/>
        <v>43172</v>
      </c>
      <c r="B86" s="617"/>
      <c r="C86" s="390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7">
        <f t="shared" si="26"/>
        <v>0</v>
      </c>
      <c r="M86" s="856"/>
      <c r="N86" s="856"/>
      <c r="O86" s="324">
        <f t="shared" si="27"/>
        <v>0</v>
      </c>
      <c r="P86" s="169">
        <f>(INDEX(Models!$BJ86:$BT86,,T86)*(1-R86)+INDEX(Models!$BJ86:$BT86,,T86+1)*R86-ERP_i)*Q86*Ramure*Pc/MaxiM</f>
        <v>7.0759510619007882E-8</v>
      </c>
      <c r="Q86" s="305">
        <f t="shared" si="28"/>
        <v>0.5</v>
      </c>
      <c r="R86" s="177">
        <f t="shared" si="29"/>
        <v>9.2884544889575427E-3</v>
      </c>
      <c r="S86" s="811">
        <f t="shared" si="47"/>
        <v>-2</v>
      </c>
      <c r="T86" s="176">
        <f t="shared" si="30"/>
        <v>4</v>
      </c>
      <c r="U86" s="251">
        <f t="shared" si="31"/>
        <v>-1.9907115455110425</v>
      </c>
      <c r="V86" s="383">
        <f t="shared" si="32"/>
        <v>48.398281706637633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6">
        <f t="shared" si="38"/>
        <v>0</v>
      </c>
      <c r="AD86" s="169">
        <f>(INDEX(Models!$BJ86:$BT86,,AH86)*(1-AF86)+INDEX(Models!$BJ86:$BT86,,AH86+1)*AF86-ERP_i)*AE86*Ramure*Pc/MaxiM</f>
        <v>7.0759510619007882E-8</v>
      </c>
      <c r="AE86" s="305">
        <f t="shared" si="39"/>
        <v>0.5</v>
      </c>
      <c r="AF86" s="177">
        <f t="shared" si="40"/>
        <v>9.2884544889575427E-3</v>
      </c>
      <c r="AG86" s="811">
        <f t="shared" si="41"/>
        <v>-2</v>
      </c>
      <c r="AH86" s="176">
        <f t="shared" si="42"/>
        <v>4</v>
      </c>
      <c r="AI86" s="225">
        <f t="shared" si="43"/>
        <v>-1.9907115455110425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6"/>
        <v>43173</v>
      </c>
      <c r="B87" s="617"/>
      <c r="C87" s="390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7">
        <f t="shared" si="26"/>
        <v>0</v>
      </c>
      <c r="M87" s="856"/>
      <c r="N87" s="856"/>
      <c r="O87" s="324">
        <f t="shared" si="27"/>
        <v>0</v>
      </c>
      <c r="P87" s="169">
        <f>(INDEX(Models!$BJ87:$BT87,,T87)*(1-R87)+INDEX(Models!$BJ87:$BT87,,T87+1)*R87-ERP_i)*Q87*Ramure*Pc/MaxiM</f>
        <v>5.8563557410872821E-8</v>
      </c>
      <c r="Q87" s="305">
        <f t="shared" si="28"/>
        <v>0.5</v>
      </c>
      <c r="R87" s="177">
        <f t="shared" si="29"/>
        <v>9.8030237219952632E-3</v>
      </c>
      <c r="S87" s="811">
        <f t="shared" si="47"/>
        <v>-2</v>
      </c>
      <c r="T87" s="176">
        <f t="shared" si="30"/>
        <v>4</v>
      </c>
      <c r="U87" s="251">
        <f t="shared" si="31"/>
        <v>-1.9901969762780047</v>
      </c>
      <c r="V87" s="383">
        <f t="shared" si="32"/>
        <v>48.763776663131296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6">
        <f t="shared" si="38"/>
        <v>0</v>
      </c>
      <c r="AD87" s="169">
        <f>(INDEX(Models!$BJ87:$BT87,,AH87)*(1-AF87)+INDEX(Models!$BJ87:$BT87,,AH87+1)*AF87-ERP_i)*AE87*Ramure*Pc/MaxiM</f>
        <v>5.8563557410872821E-8</v>
      </c>
      <c r="AE87" s="305">
        <f t="shared" si="39"/>
        <v>0.5</v>
      </c>
      <c r="AF87" s="177">
        <f t="shared" si="40"/>
        <v>9.8030237219952632E-3</v>
      </c>
      <c r="AG87" s="811">
        <f t="shared" si="41"/>
        <v>-2</v>
      </c>
      <c r="AH87" s="176">
        <f t="shared" si="42"/>
        <v>4</v>
      </c>
      <c r="AI87" s="225">
        <f t="shared" si="43"/>
        <v>-1.9901969762780047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43174</v>
      </c>
      <c r="B88" s="617"/>
      <c r="C88" s="390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7">
        <f t="shared" si="26"/>
        <v>0</v>
      </c>
      <c r="M88" s="856"/>
      <c r="N88" s="856"/>
      <c r="O88" s="324">
        <f t="shared" si="27"/>
        <v>0</v>
      </c>
      <c r="P88" s="169">
        <f>(INDEX(Models!$BJ88:$BT88,,T88)*(1-R88)+INDEX(Models!$BJ88:$BT88,,T88+1)*R88-ERP_i)*Q88*Ramure*Pc/MaxiM</f>
        <v>4.744141382850744E-8</v>
      </c>
      <c r="Q88" s="305">
        <f t="shared" si="28"/>
        <v>0.5</v>
      </c>
      <c r="R88" s="177">
        <f t="shared" si="29"/>
        <v>1.0338027653626902E-2</v>
      </c>
      <c r="S88" s="811">
        <f t="shared" si="47"/>
        <v>-2</v>
      </c>
      <c r="T88" s="176">
        <f t="shared" si="30"/>
        <v>4</v>
      </c>
      <c r="U88" s="251">
        <f t="shared" si="31"/>
        <v>-1.9896619723463731</v>
      </c>
      <c r="V88" s="383">
        <f t="shared" si="32"/>
        <v>49.12834110941521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6">
        <f t="shared" si="38"/>
        <v>0</v>
      </c>
      <c r="AD88" s="169">
        <f>(INDEX(Models!$BJ88:$BT88,,AH88)*(1-AF88)+INDEX(Models!$BJ88:$BT88,,AH88+1)*AF88-ERP_i)*AE88*Ramure*Pc/MaxiM</f>
        <v>4.744141382850744E-8</v>
      </c>
      <c r="AE88" s="305">
        <f t="shared" si="39"/>
        <v>0.5</v>
      </c>
      <c r="AF88" s="177">
        <f t="shared" si="40"/>
        <v>1.0338027653626902E-2</v>
      </c>
      <c r="AG88" s="811">
        <f t="shared" si="41"/>
        <v>-2</v>
      </c>
      <c r="AH88" s="176">
        <f t="shared" si="42"/>
        <v>4</v>
      </c>
      <c r="AI88" s="225">
        <f t="shared" si="43"/>
        <v>-1.9896619723463731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6"/>
        <v>43175</v>
      </c>
      <c r="B89" s="617"/>
      <c r="C89" s="390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7">
        <f t="shared" si="26"/>
        <v>0</v>
      </c>
      <c r="M89" s="856"/>
      <c r="N89" s="856"/>
      <c r="O89" s="324">
        <f t="shared" si="27"/>
        <v>0</v>
      </c>
      <c r="P89" s="169">
        <f>(INDEX(Models!$BJ89:$BT89,,T89)*(1-R89)+INDEX(Models!$BJ89:$BT89,,T89+1)*R89-ERP_i)*Q89*Ramure*Pc/MaxiM</f>
        <v>3.7566086589559238E-8</v>
      </c>
      <c r="Q89" s="305">
        <f t="shared" si="28"/>
        <v>0.5</v>
      </c>
      <c r="R89" s="177">
        <f t="shared" si="29"/>
        <v>1.0894228946398687E-2</v>
      </c>
      <c r="S89" s="811">
        <f t="shared" si="47"/>
        <v>-2</v>
      </c>
      <c r="T89" s="176">
        <f t="shared" si="30"/>
        <v>4</v>
      </c>
      <c r="U89" s="251">
        <f t="shared" si="31"/>
        <v>-1.9891057710536013</v>
      </c>
      <c r="V89" s="383">
        <f t="shared" si="32"/>
        <v>49.491760312871762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6">
        <f t="shared" si="38"/>
        <v>0</v>
      </c>
      <c r="AD89" s="169">
        <f>(INDEX(Models!$BJ89:$BT89,,AH89)*(1-AF89)+INDEX(Models!$BJ89:$BT89,,AH89+1)*AF89-ERP_i)*AE89*Ramure*Pc/MaxiM</f>
        <v>3.7566086589559238E-8</v>
      </c>
      <c r="AE89" s="305">
        <f t="shared" si="39"/>
        <v>0.5</v>
      </c>
      <c r="AF89" s="177">
        <f t="shared" si="40"/>
        <v>1.0894228946398687E-2</v>
      </c>
      <c r="AG89" s="811">
        <f t="shared" si="41"/>
        <v>-2</v>
      </c>
      <c r="AH89" s="176">
        <f t="shared" si="42"/>
        <v>4</v>
      </c>
      <c r="AI89" s="225">
        <f t="shared" si="43"/>
        <v>-1.9891057710536013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6"/>
        <v>43176</v>
      </c>
      <c r="B90" s="617"/>
      <c r="C90" s="390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7">
        <f t="shared" si="26"/>
        <v>0</v>
      </c>
      <c r="M90" s="856"/>
      <c r="N90" s="856"/>
      <c r="O90" s="324">
        <f t="shared" si="27"/>
        <v>0</v>
      </c>
      <c r="P90" s="169">
        <f>(INDEX(Models!$BJ90:$BT90,,T90)*(1-R90)+INDEX(Models!$BJ90:$BT90,,T90+1)*R90-ERP_i)*Q90*Ramure*Pc/MaxiM</f>
        <v>2.9123447703036386E-8</v>
      </c>
      <c r="Q90" s="305">
        <f t="shared" si="28"/>
        <v>0.5</v>
      </c>
      <c r="R90" s="177">
        <f t="shared" si="29"/>
        <v>1.1472414672162978E-2</v>
      </c>
      <c r="S90" s="811">
        <f t="shared" si="47"/>
        <v>-2</v>
      </c>
      <c r="T90" s="176">
        <f t="shared" si="30"/>
        <v>4</v>
      </c>
      <c r="U90" s="251">
        <f t="shared" si="31"/>
        <v>-1.988527585327837</v>
      </c>
      <c r="V90" s="383">
        <f t="shared" si="32"/>
        <v>49.853819539403062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6">
        <f t="shared" si="38"/>
        <v>0</v>
      </c>
      <c r="AD90" s="169">
        <f>(INDEX(Models!$BJ90:$BT90,,AH90)*(1-AF90)+INDEX(Models!$BJ90:$BT90,,AH90+1)*AF90-ERP_i)*AE90*Ramure*Pc/MaxiM</f>
        <v>2.9123447703036386E-8</v>
      </c>
      <c r="AE90" s="305">
        <f t="shared" si="39"/>
        <v>0.5</v>
      </c>
      <c r="AF90" s="177">
        <f t="shared" si="40"/>
        <v>1.1472414672162978E-2</v>
      </c>
      <c r="AG90" s="811">
        <f t="shared" si="41"/>
        <v>-2</v>
      </c>
      <c r="AH90" s="176">
        <f t="shared" si="42"/>
        <v>4</v>
      </c>
      <c r="AI90" s="225">
        <f t="shared" si="43"/>
        <v>-1.988527585327837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6"/>
        <v>43177</v>
      </c>
      <c r="B91" s="617"/>
      <c r="C91" s="390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7">
        <f t="shared" si="26"/>
        <v>0</v>
      </c>
      <c r="M91" s="856"/>
      <c r="N91" s="856"/>
      <c r="O91" s="324">
        <f t="shared" si="27"/>
        <v>0</v>
      </c>
      <c r="P91" s="169">
        <f>(INDEX(Models!$BJ91:$BT91,,T91)*(1-R91)+INDEX(Models!$BJ91:$BT91,,T91+1)*R91-ERP_i)*Q91*Ramure*Pc/MaxiM</f>
        <v>2.2313185590197343E-8</v>
      </c>
      <c r="Q91" s="305">
        <f t="shared" si="28"/>
        <v>0.5</v>
      </c>
      <c r="R91" s="177">
        <f t="shared" si="29"/>
        <v>1.2073396750788445E-2</v>
      </c>
      <c r="S91" s="811">
        <f t="shared" si="47"/>
        <v>-2</v>
      </c>
      <c r="T91" s="176">
        <f t="shared" si="30"/>
        <v>4</v>
      </c>
      <c r="U91" s="251">
        <f t="shared" si="31"/>
        <v>-1.9879266032492116</v>
      </c>
      <c r="V91" s="383">
        <f t="shared" si="32"/>
        <v>50.214304054656971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6">
        <f t="shared" si="38"/>
        <v>0</v>
      </c>
      <c r="AD91" s="169">
        <f>(INDEX(Models!$BJ91:$BT91,,AH91)*(1-AF91)+INDEX(Models!$BJ91:$BT91,,AH91+1)*AF91-ERP_i)*AE91*Ramure*Pc/MaxiM</f>
        <v>2.2313185590197343E-8</v>
      </c>
      <c r="AE91" s="305">
        <f t="shared" si="39"/>
        <v>0.5</v>
      </c>
      <c r="AF91" s="177">
        <f t="shared" si="40"/>
        <v>1.2073396750788445E-2</v>
      </c>
      <c r="AG91" s="811">
        <f t="shared" si="41"/>
        <v>-2</v>
      </c>
      <c r="AH91" s="176">
        <f t="shared" si="42"/>
        <v>4</v>
      </c>
      <c r="AI91" s="225">
        <f t="shared" si="43"/>
        <v>-1.9879266032492116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6"/>
        <v>43178</v>
      </c>
      <c r="B92" s="617"/>
      <c r="C92" s="390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7">
        <f t="shared" si="26"/>
        <v>0</v>
      </c>
      <c r="M92" s="856"/>
      <c r="N92" s="856"/>
      <c r="O92" s="324">
        <f t="shared" si="27"/>
        <v>0</v>
      </c>
      <c r="P92" s="169">
        <f>(INDEX(Models!$BJ92:$BT92,,T92)*(1-R92)+INDEX(Models!$BJ92:$BT92,,T92+1)*R92-ERP_i)*Q92*Ramure*Pc/MaxiM</f>
        <v>1.7349830638845946E-8</v>
      </c>
      <c r="Q92" s="305">
        <f t="shared" si="28"/>
        <v>0.5</v>
      </c>
      <c r="R92" s="177">
        <f t="shared" si="29"/>
        <v>1.2698012364994904E-2</v>
      </c>
      <c r="S92" s="811">
        <f t="shared" si="47"/>
        <v>-2</v>
      </c>
      <c r="T92" s="176">
        <f t="shared" si="30"/>
        <v>4</v>
      </c>
      <c r="U92" s="251">
        <f t="shared" si="31"/>
        <v>-1.9873019876350051</v>
      </c>
      <c r="V92" s="383">
        <f t="shared" si="32"/>
        <v>50.572999122239189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6">
        <f t="shared" si="38"/>
        <v>0</v>
      </c>
      <c r="AD92" s="169">
        <f>(INDEX(Models!$BJ92:$BT92,,AH92)*(1-AF92)+INDEX(Models!$BJ92:$BT92,,AH92+1)*AF92-ERP_i)*AE92*Ramure*Pc/MaxiM</f>
        <v>1.7349830638845946E-8</v>
      </c>
      <c r="AE92" s="305">
        <f t="shared" si="39"/>
        <v>0.5</v>
      </c>
      <c r="AF92" s="177">
        <f t="shared" si="40"/>
        <v>1.2698012364994904E-2</v>
      </c>
      <c r="AG92" s="811">
        <f t="shared" si="41"/>
        <v>-2</v>
      </c>
      <c r="AH92" s="176">
        <f t="shared" si="42"/>
        <v>4</v>
      </c>
      <c r="AI92" s="225">
        <f t="shared" si="43"/>
        <v>-1.9873019876350051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43179</v>
      </c>
      <c r="B93" s="617"/>
      <c r="C93" s="390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7">
        <f t="shared" si="26"/>
        <v>0</v>
      </c>
      <c r="M93" s="856"/>
      <c r="N93" s="856"/>
      <c r="O93" s="324">
        <f t="shared" si="27"/>
        <v>0</v>
      </c>
      <c r="P93" s="169">
        <f>(INDEX(Models!$BJ93:$BT93,,T93)*(1-R93)+INDEX(Models!$BJ93:$BT93,,T93+1)*R93-ERP_i)*Q93*Ramure*Pc/MaxiM</f>
        <v>1.4463047712914037E-8</v>
      </c>
      <c r="Q93" s="305">
        <f t="shared" si="28"/>
        <v>0.5</v>
      </c>
      <c r="R93" s="177">
        <f t="shared" si="29"/>
        <v>1.3347124347616424E-2</v>
      </c>
      <c r="S93" s="811">
        <f t="shared" si="47"/>
        <v>-2</v>
      </c>
      <c r="T93" s="176">
        <f t="shared" si="30"/>
        <v>4</v>
      </c>
      <c r="U93" s="251">
        <f t="shared" si="31"/>
        <v>-1.9866528756523836</v>
      </c>
      <c r="V93" s="383">
        <f t="shared" si="32"/>
        <v>50.932552980481525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6">
        <f t="shared" si="38"/>
        <v>0</v>
      </c>
      <c r="AD93" s="169">
        <f>(INDEX(Models!$BJ93:$BT93,,AH93)*(1-AF93)+INDEX(Models!$BJ93:$BT93,,AH93+1)*AF93-ERP_i)*AE93*Ramure*Pc/MaxiM</f>
        <v>1.4463047712914037E-8</v>
      </c>
      <c r="AE93" s="305">
        <f t="shared" si="39"/>
        <v>0.5</v>
      </c>
      <c r="AF93" s="177">
        <f t="shared" si="40"/>
        <v>1.3347124347616424E-2</v>
      </c>
      <c r="AG93" s="811">
        <f t="shared" si="41"/>
        <v>-2</v>
      </c>
      <c r="AH93" s="176">
        <f t="shared" si="42"/>
        <v>4</v>
      </c>
      <c r="AI93" s="225">
        <f t="shared" si="43"/>
        <v>-1.9866528756523836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6"/>
        <v>43180</v>
      </c>
      <c r="B94" s="617"/>
      <c r="C94" s="390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7">
        <f t="shared" si="26"/>
        <v>0</v>
      </c>
      <c r="M94" s="856"/>
      <c r="N94" s="856"/>
      <c r="O94" s="324">
        <f t="shared" si="27"/>
        <v>0</v>
      </c>
      <c r="P94" s="169">
        <f>(INDEX(Models!$BJ94:$BT94,,T94)*(1-R94)+INDEX(Models!$BJ94:$BT94,,T94+1)*R94-ERP_i)*Q94*Ramure*Pc/MaxiM</f>
        <v>1.3959517007245869E-8</v>
      </c>
      <c r="Q94" s="305">
        <f t="shared" si="28"/>
        <v>0.5</v>
      </c>
      <c r="R94" s="177">
        <f t="shared" si="29"/>
        <v>1.4021621537316786E-2</v>
      </c>
      <c r="S94" s="811">
        <f t="shared" si="47"/>
        <v>-2</v>
      </c>
      <c r="T94" s="176">
        <f t="shared" si="30"/>
        <v>4</v>
      </c>
      <c r="U94" s="251">
        <f t="shared" si="31"/>
        <v>-1.9859783784626832</v>
      </c>
      <c r="V94" s="383">
        <f t="shared" si="32"/>
        <v>51.295041266562691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6">
        <f t="shared" si="38"/>
        <v>0</v>
      </c>
      <c r="AD94" s="169">
        <f>(INDEX(Models!$BJ94:$BT94,,AH94)*(1-AF94)+INDEX(Models!$BJ94:$BT94,,AH94+1)*AF94-ERP_i)*AE94*Ramure*Pc/MaxiM</f>
        <v>1.3959517007245869E-8</v>
      </c>
      <c r="AE94" s="305">
        <f t="shared" si="39"/>
        <v>0.5</v>
      </c>
      <c r="AF94" s="177">
        <f t="shared" si="40"/>
        <v>1.4021621537316786E-2</v>
      </c>
      <c r="AG94" s="811">
        <f t="shared" si="41"/>
        <v>-2</v>
      </c>
      <c r="AH94" s="176">
        <f t="shared" si="42"/>
        <v>4</v>
      </c>
      <c r="AI94" s="225">
        <f t="shared" si="43"/>
        <v>-1.9859783784626832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6"/>
        <v>43181</v>
      </c>
      <c r="B95" s="617"/>
      <c r="C95" s="390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7">
        <f t="shared" si="26"/>
        <v>0</v>
      </c>
      <c r="M95" s="856"/>
      <c r="N95" s="856"/>
      <c r="O95" s="324">
        <f t="shared" si="27"/>
        <v>0</v>
      </c>
      <c r="P95" s="169">
        <f>(INDEX(Models!$BJ95:$BT95,,T95)*(1-R95)+INDEX(Models!$BJ95:$BT95,,T95+1)*R95-ERP_i)*Q95*Ramure*Pc/MaxiM</f>
        <v>1.3390949514054627E-8</v>
      </c>
      <c r="Q95" s="305">
        <f t="shared" si="28"/>
        <v>0.5</v>
      </c>
      <c r="R95" s="177">
        <f t="shared" si="29"/>
        <v>1.4722419098491368E-2</v>
      </c>
      <c r="S95" s="811">
        <f t="shared" si="47"/>
        <v>-2</v>
      </c>
      <c r="T95" s="176">
        <f t="shared" si="30"/>
        <v>4</v>
      </c>
      <c r="U95" s="251">
        <f t="shared" si="31"/>
        <v>-1.9852775809015086</v>
      </c>
      <c r="V95" s="383">
        <f t="shared" si="32"/>
        <v>51.659390489482469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6">
        <f t="shared" si="38"/>
        <v>0</v>
      </c>
      <c r="AD95" s="169">
        <f>(INDEX(Models!$BJ95:$BT95,,AH95)*(1-AF95)+INDEX(Models!$BJ95:$BT95,,AH95+1)*AF95-ERP_i)*AE95*Ramure*Pc/MaxiM</f>
        <v>1.3390949514054627E-8</v>
      </c>
      <c r="AE95" s="305">
        <f t="shared" si="39"/>
        <v>0.5</v>
      </c>
      <c r="AF95" s="177">
        <f t="shared" si="40"/>
        <v>1.4722419098491368E-2</v>
      </c>
      <c r="AG95" s="811">
        <f t="shared" si="41"/>
        <v>-2</v>
      </c>
      <c r="AH95" s="176">
        <f t="shared" si="42"/>
        <v>4</v>
      </c>
      <c r="AI95" s="225">
        <f t="shared" si="43"/>
        <v>-1.9852775809015086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43182</v>
      </c>
      <c r="B96" s="617"/>
      <c r="C96" s="390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7">
        <f t="shared" si="26"/>
        <v>0</v>
      </c>
      <c r="M96" s="856"/>
      <c r="N96" s="856"/>
      <c r="O96" s="324">
        <f t="shared" si="27"/>
        <v>0</v>
      </c>
      <c r="P96" s="169">
        <f>(INDEX(Models!$BJ96:$BT96,,T96)*(1-R96)+INDEX(Models!$BJ96:$BT96,,T96+1)*R96-ERP_i)*Q96*Ramure*Pc/MaxiM</f>
        <v>1.2754845009811668E-8</v>
      </c>
      <c r="Q96" s="305">
        <f t="shared" si="28"/>
        <v>0.5</v>
      </c>
      <c r="R96" s="177">
        <f t="shared" si="29"/>
        <v>1.5450458800785993E-2</v>
      </c>
      <c r="S96" s="811">
        <f t="shared" si="47"/>
        <v>-2</v>
      </c>
      <c r="T96" s="176">
        <f t="shared" si="30"/>
        <v>4</v>
      </c>
      <c r="U96" s="251">
        <f t="shared" si="31"/>
        <v>-1.984549541199214</v>
      </c>
      <c r="V96" s="383">
        <f t="shared" si="32"/>
        <v>52.024527033700366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6">
        <f t="shared" si="38"/>
        <v>0</v>
      </c>
      <c r="AD96" s="169">
        <f>(INDEX(Models!$BJ96:$BT96,,AH96)*(1-AF96)+INDEX(Models!$BJ96:$BT96,,AH96+1)*AF96-ERP_i)*AE96*Ramure*Pc/MaxiM</f>
        <v>1.2754845009811668E-8</v>
      </c>
      <c r="AE96" s="305">
        <f t="shared" si="39"/>
        <v>0.5</v>
      </c>
      <c r="AF96" s="177">
        <f t="shared" si="40"/>
        <v>1.5450458800785993E-2</v>
      </c>
      <c r="AG96" s="811">
        <f t="shared" si="41"/>
        <v>-2</v>
      </c>
      <c r="AH96" s="176">
        <f t="shared" si="42"/>
        <v>4</v>
      </c>
      <c r="AI96" s="225">
        <f t="shared" si="43"/>
        <v>-1.984549541199214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6"/>
        <v>43183</v>
      </c>
      <c r="B97" s="617"/>
      <c r="C97" s="390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7">
        <f t="shared" si="26"/>
        <v>0</v>
      </c>
      <c r="M97" s="856"/>
      <c r="N97" s="856"/>
      <c r="O97" s="324">
        <f t="shared" si="27"/>
        <v>0</v>
      </c>
      <c r="P97" s="169">
        <f>(INDEX(Models!$BJ97:$BT97,,T97)*(1-R97)+INDEX(Models!$BJ97:$BT97,,T97+1)*R97-ERP_i)*Q97*Ramure*Pc/MaxiM</f>
        <v>1.2048507430346505E-8</v>
      </c>
      <c r="Q97" s="305">
        <f t="shared" si="28"/>
        <v>0.5</v>
      </c>
      <c r="R97" s="177">
        <f t="shared" si="29"/>
        <v>1.6206709253345775E-2</v>
      </c>
      <c r="S97" s="811">
        <f t="shared" si="47"/>
        <v>-2</v>
      </c>
      <c r="T97" s="176">
        <f t="shared" si="30"/>
        <v>4</v>
      </c>
      <c r="U97" s="251">
        <f t="shared" si="31"/>
        <v>-1.9837932907466542</v>
      </c>
      <c r="V97" s="383">
        <f t="shared" si="32"/>
        <v>52.389377285084464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6">
        <f t="shared" si="38"/>
        <v>0</v>
      </c>
      <c r="AD97" s="169">
        <f>(INDEX(Models!$BJ97:$BT97,,AH97)*(1-AF97)+INDEX(Models!$BJ97:$BT97,,AH97+1)*AF97-ERP_i)*AE97*Ramure*Pc/MaxiM</f>
        <v>1.2048507430346505E-8</v>
      </c>
      <c r="AE97" s="305">
        <f t="shared" si="39"/>
        <v>0.5</v>
      </c>
      <c r="AF97" s="177">
        <f t="shared" si="40"/>
        <v>1.6206709253345775E-2</v>
      </c>
      <c r="AG97" s="811">
        <f t="shared" si="41"/>
        <v>-2</v>
      </c>
      <c r="AH97" s="176">
        <f t="shared" si="42"/>
        <v>4</v>
      </c>
      <c r="AI97" s="225">
        <f t="shared" si="43"/>
        <v>-1.9837932907466542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43184</v>
      </c>
      <c r="B98" s="617"/>
      <c r="C98" s="390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7">
        <f t="shared" si="26"/>
        <v>0</v>
      </c>
      <c r="M98" s="856"/>
      <c r="N98" s="856"/>
      <c r="O98" s="324">
        <f t="shared" si="27"/>
        <v>0</v>
      </c>
      <c r="P98" s="169">
        <f>(INDEX(Models!$BJ98:$BT98,,T98)*(1-R98)+INDEX(Models!$BJ98:$BT98,,T98+1)*R98-ERP_i)*Q98*Ramure*Pc/MaxiM</f>
        <v>1.1269025926029549E-8</v>
      </c>
      <c r="Q98" s="305">
        <f t="shared" si="28"/>
        <v>0.5</v>
      </c>
      <c r="R98" s="177">
        <f t="shared" si="29"/>
        <v>1.6992166088592997E-2</v>
      </c>
      <c r="S98" s="811">
        <f t="shared" si="47"/>
        <v>-2</v>
      </c>
      <c r="T98" s="176">
        <f t="shared" si="30"/>
        <v>4</v>
      </c>
      <c r="U98" s="251">
        <f t="shared" si="31"/>
        <v>-1.983007833911407</v>
      </c>
      <c r="V98" s="383">
        <f t="shared" si="32"/>
        <v>52.75286762797181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6">
        <f t="shared" si="38"/>
        <v>0</v>
      </c>
      <c r="AD98" s="169">
        <f>(INDEX(Models!$BJ98:$BT98,,AH98)*(1-AF98)+INDEX(Models!$BJ98:$BT98,,AH98+1)*AF98-ERP_i)*AE98*Ramure*Pc/MaxiM</f>
        <v>1.1269025926029549E-8</v>
      </c>
      <c r="AE98" s="305">
        <f t="shared" si="39"/>
        <v>0.5</v>
      </c>
      <c r="AF98" s="177">
        <f t="shared" si="40"/>
        <v>1.6992166088592997E-2</v>
      </c>
      <c r="AG98" s="811">
        <f t="shared" si="41"/>
        <v>-2</v>
      </c>
      <c r="AH98" s="176">
        <f t="shared" si="42"/>
        <v>4</v>
      </c>
      <c r="AI98" s="225">
        <f t="shared" si="43"/>
        <v>-1.983007833911407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43185</v>
      </c>
      <c r="B99" s="617"/>
      <c r="C99" s="390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7">
        <f t="shared" si="26"/>
        <v>0</v>
      </c>
      <c r="M99" s="856"/>
      <c r="N99" s="856"/>
      <c r="O99" s="324">
        <f t="shared" si="27"/>
        <v>0</v>
      </c>
      <c r="P99" s="169">
        <f>(INDEX(Models!$BJ99:$BT99,,T99)*(1-R99)+INDEX(Models!$BJ99:$BT99,,T99+1)*R99-ERP_i)*Q99*Ramure*Pc/MaxiM</f>
        <v>1.0413255106117048E-8</v>
      </c>
      <c r="Q99" s="305">
        <f t="shared" si="28"/>
        <v>0.5</v>
      </c>
      <c r="R99" s="177">
        <f t="shared" si="29"/>
        <v>1.780785208999669E-2</v>
      </c>
      <c r="S99" s="811">
        <f t="shared" si="47"/>
        <v>-2</v>
      </c>
      <c r="T99" s="176">
        <f t="shared" si="30"/>
        <v>4</v>
      </c>
      <c r="U99" s="251">
        <f t="shared" si="31"/>
        <v>-1.9821921479100033</v>
      </c>
      <c r="V99" s="383">
        <f t="shared" si="32"/>
        <v>53.113924447563818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6">
        <f t="shared" si="38"/>
        <v>0</v>
      </c>
      <c r="AD99" s="169">
        <f>(INDEX(Models!$BJ99:$BT99,,AH99)*(1-AF99)+INDEX(Models!$BJ99:$BT99,,AH99+1)*AF99-ERP_i)*AE99*Ramure*Pc/MaxiM</f>
        <v>1.0413255106117048E-8</v>
      </c>
      <c r="AE99" s="305">
        <f t="shared" si="39"/>
        <v>0.5</v>
      </c>
      <c r="AF99" s="177">
        <f t="shared" si="40"/>
        <v>1.780785208999669E-2</v>
      </c>
      <c r="AG99" s="811">
        <f t="shared" si="41"/>
        <v>-2</v>
      </c>
      <c r="AH99" s="176">
        <f t="shared" si="42"/>
        <v>4</v>
      </c>
      <c r="AI99" s="225">
        <f t="shared" si="43"/>
        <v>-1.9821921479100033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43186</v>
      </c>
      <c r="B100" s="617"/>
      <c r="C100" s="390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7">
        <f t="shared" si="26"/>
        <v>0</v>
      </c>
      <c r="M100" s="856"/>
      <c r="N100" s="856"/>
      <c r="O100" s="324">
        <f t="shared" si="27"/>
        <v>0</v>
      </c>
      <c r="P100" s="169">
        <f>(INDEX(Models!$BJ100:$BT100,,T100)*(1-R100)+INDEX(Models!$BJ100:$BT100,,T100+1)*R100-ERP_i)*Q100*Ramure*Pc/MaxiM</f>
        <v>9.5942597357184428E-9</v>
      </c>
      <c r="Q100" s="305">
        <f t="shared" si="28"/>
        <v>0.5</v>
      </c>
      <c r="R100" s="177">
        <f t="shared" si="29"/>
        <v>1.8654817257961254E-2</v>
      </c>
      <c r="S100" s="811">
        <f t="shared" si="47"/>
        <v>-2</v>
      </c>
      <c r="T100" s="176">
        <f t="shared" si="30"/>
        <v>4</v>
      </c>
      <c r="U100" s="251">
        <f t="shared" si="31"/>
        <v>-1.9813451827420387</v>
      </c>
      <c r="V100" s="383">
        <f t="shared" si="32"/>
        <v>53.471474123353502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6">
        <f t="shared" si="38"/>
        <v>0</v>
      </c>
      <c r="AD100" s="169">
        <f>(INDEX(Models!$BJ100:$BT100,,AH100)*(1-AF100)+INDEX(Models!$BJ100:$BT100,,AH100+1)*AF100-ERP_i)*AE100*Ramure*Pc/MaxiM</f>
        <v>9.5942597357184428E-9</v>
      </c>
      <c r="AE100" s="305">
        <f t="shared" si="39"/>
        <v>0.5</v>
      </c>
      <c r="AF100" s="177">
        <f t="shared" si="40"/>
        <v>1.8654817257961254E-2</v>
      </c>
      <c r="AG100" s="811">
        <f t="shared" si="41"/>
        <v>-2</v>
      </c>
      <c r="AH100" s="176">
        <f t="shared" si="42"/>
        <v>4</v>
      </c>
      <c r="AI100" s="225">
        <f t="shared" si="43"/>
        <v>-1.9813451827420387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43187</v>
      </c>
      <c r="B101" s="617"/>
      <c r="C101" s="390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7">
        <f t="shared" si="26"/>
        <v>0</v>
      </c>
      <c r="M101" s="856"/>
      <c r="N101" s="856"/>
      <c r="O101" s="324">
        <f t="shared" si="27"/>
        <v>0</v>
      </c>
      <c r="P101" s="169">
        <f>(INDEX(Models!$BJ101:$BT101,,T101)*(1-R101)+INDEX(Models!$BJ101:$BT101,,T101+1)*R101-ERP_i)*Q101*Ramure*Pc/MaxiM</f>
        <v>8.888581927523545E-9</v>
      </c>
      <c r="Q101" s="305">
        <f t="shared" si="28"/>
        <v>0.5</v>
      </c>
      <c r="R101" s="177">
        <f t="shared" si="29"/>
        <v>1.9534138807625556E-2</v>
      </c>
      <c r="S101" s="811">
        <f t="shared" si="47"/>
        <v>-2</v>
      </c>
      <c r="T101" s="176">
        <f t="shared" si="30"/>
        <v>4</v>
      </c>
      <c r="U101" s="251">
        <f t="shared" si="31"/>
        <v>-1.9804658611923744</v>
      </c>
      <c r="V101" s="383">
        <f t="shared" si="32"/>
        <v>53.824443035490368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6">
        <f t="shared" si="38"/>
        <v>0</v>
      </c>
      <c r="AD101" s="169">
        <f>(INDEX(Models!$BJ101:$BT101,,AH101)*(1-AF101)+INDEX(Models!$BJ101:$BT101,,AH101+1)*AF101-ERP_i)*AE101*Ramure*Pc/MaxiM</f>
        <v>8.888581927523545E-9</v>
      </c>
      <c r="AE101" s="305">
        <f t="shared" si="39"/>
        <v>0.5</v>
      </c>
      <c r="AF101" s="177">
        <f t="shared" si="40"/>
        <v>1.9534138807625556E-2</v>
      </c>
      <c r="AG101" s="811">
        <f t="shared" si="41"/>
        <v>-2</v>
      </c>
      <c r="AH101" s="176">
        <f t="shared" si="42"/>
        <v>4</v>
      </c>
      <c r="AI101" s="225">
        <f t="shared" si="43"/>
        <v>-1.9804658611923744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43188</v>
      </c>
      <c r="B102" s="617"/>
      <c r="C102" s="390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7">
        <f t="shared" si="26"/>
        <v>0</v>
      </c>
      <c r="M102" s="856"/>
      <c r="N102" s="856"/>
      <c r="O102" s="324">
        <f t="shared" si="27"/>
        <v>0</v>
      </c>
      <c r="P102" s="169">
        <f>(INDEX(Models!$BJ102:$BT102,,T102)*(1-R102)+INDEX(Models!$BJ102:$BT102,,T102+1)*R102-ERP_i)*Q102*Ramure*Pc/MaxiM</f>
        <v>8.3146310375956982E-9</v>
      </c>
      <c r="Q102" s="305">
        <f t="shared" si="28"/>
        <v>0.5</v>
      </c>
      <c r="R102" s="177">
        <f t="shared" si="29"/>
        <v>2.044692109201196E-2</v>
      </c>
      <c r="S102" s="811">
        <f t="shared" si="47"/>
        <v>-2</v>
      </c>
      <c r="T102" s="176">
        <f t="shared" si="30"/>
        <v>4</v>
      </c>
      <c r="U102" s="251">
        <f t="shared" si="31"/>
        <v>-1.979553078907988</v>
      </c>
      <c r="V102" s="383">
        <f t="shared" si="32"/>
        <v>54.171757567590127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6">
        <f t="shared" si="38"/>
        <v>0</v>
      </c>
      <c r="AD102" s="169">
        <f>(INDEX(Models!$BJ102:$BT102,,AH102)*(1-AF102)+INDEX(Models!$BJ102:$BT102,,AH102+1)*AF102-ERP_i)*AE102*Ramure*Pc/MaxiM</f>
        <v>8.3146310375956982E-9</v>
      </c>
      <c r="AE102" s="305">
        <f t="shared" si="39"/>
        <v>0.5</v>
      </c>
      <c r="AF102" s="177">
        <f t="shared" si="40"/>
        <v>2.044692109201196E-2</v>
      </c>
      <c r="AG102" s="811">
        <f t="shared" si="41"/>
        <v>-2</v>
      </c>
      <c r="AH102" s="176">
        <f t="shared" si="42"/>
        <v>4</v>
      </c>
      <c r="AI102" s="225">
        <f t="shared" si="43"/>
        <v>-1.979553078907988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43189</v>
      </c>
      <c r="B103" s="617"/>
      <c r="C103" s="390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7">
        <f t="shared" si="26"/>
        <v>0</v>
      </c>
      <c r="M103" s="856"/>
      <c r="N103" s="856"/>
      <c r="O103" s="324">
        <f t="shared" si="27"/>
        <v>0</v>
      </c>
      <c r="P103" s="169">
        <f>(INDEX(Models!$BJ103:$BT103,,T103)*(1-R103)+INDEX(Models!$BJ103:$BT103,,T103+1)*R103-ERP_i)*Q103*Ramure*Pc/MaxiM</f>
        <v>7.892254596466768E-9</v>
      </c>
      <c r="Q103" s="305">
        <f t="shared" si="28"/>
        <v>0.5</v>
      </c>
      <c r="R103" s="177">
        <f t="shared" si="29"/>
        <v>2.139429544363014E-2</v>
      </c>
      <c r="S103" s="811">
        <f t="shared" si="47"/>
        <v>-2</v>
      </c>
      <c r="T103" s="176">
        <f t="shared" si="30"/>
        <v>4</v>
      </c>
      <c r="U103" s="251">
        <f t="shared" si="31"/>
        <v>-1.9786057045563699</v>
      </c>
      <c r="V103" s="383">
        <f t="shared" si="32"/>
        <v>54.512344104882288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6">
        <f t="shared" si="38"/>
        <v>0</v>
      </c>
      <c r="AD103" s="169">
        <f>(INDEX(Models!$BJ103:$BT103,,AH103)*(1-AF103)+INDEX(Models!$BJ103:$BT103,,AH103+1)*AF103-ERP_i)*AE103*Ramure*Pc/MaxiM</f>
        <v>7.892254596466768E-9</v>
      </c>
      <c r="AE103" s="305">
        <f t="shared" si="39"/>
        <v>0.5</v>
      </c>
      <c r="AF103" s="177">
        <f t="shared" si="40"/>
        <v>2.139429544363014E-2</v>
      </c>
      <c r="AG103" s="811">
        <f t="shared" si="41"/>
        <v>-2</v>
      </c>
      <c r="AH103" s="176">
        <f t="shared" si="42"/>
        <v>4</v>
      </c>
      <c r="AI103" s="225">
        <f t="shared" si="43"/>
        <v>-1.9786057045563699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43190</v>
      </c>
      <c r="B104" s="617"/>
      <c r="C104" s="390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7">
        <f t="shared" si="26"/>
        <v>0</v>
      </c>
      <c r="M104" s="856"/>
      <c r="N104" s="856"/>
      <c r="O104" s="324">
        <f t="shared" si="27"/>
        <v>0</v>
      </c>
      <c r="P104" s="169">
        <f>(INDEX(Models!$BJ104:$BT104,,T104)*(1-R104)+INDEX(Models!$BJ104:$BT104,,T104+1)*R104-ERP_i)*Q104*Ramure*Pc/MaxiM</f>
        <v>7.6428853296955449E-9</v>
      </c>
      <c r="Q104" s="305">
        <f t="shared" si="28"/>
        <v>0.5</v>
      </c>
      <c r="R104" s="177">
        <f t="shared" si="29"/>
        <v>2.2377419927294584E-2</v>
      </c>
      <c r="S104" s="811">
        <f t="shared" si="47"/>
        <v>-2</v>
      </c>
      <c r="T104" s="176">
        <f t="shared" si="30"/>
        <v>4</v>
      </c>
      <c r="U104" s="251">
        <f t="shared" si="31"/>
        <v>-1.9776225800727054</v>
      </c>
      <c r="V104" s="383">
        <f t="shared" si="32"/>
        <v>54.845129029319708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6">
        <f t="shared" si="38"/>
        <v>0</v>
      </c>
      <c r="AD104" s="169">
        <f>(INDEX(Models!$BJ104:$BT104,,AH104)*(1-AF104)+INDEX(Models!$BJ104:$BT104,,AH104+1)*AF104-ERP_i)*AE104*Ramure*Pc/MaxiM</f>
        <v>7.6428853296955449E-9</v>
      </c>
      <c r="AE104" s="305">
        <f t="shared" si="39"/>
        <v>0.5</v>
      </c>
      <c r="AF104" s="177">
        <f t="shared" si="40"/>
        <v>2.2377419927294584E-2</v>
      </c>
      <c r="AG104" s="811">
        <f t="shared" si="41"/>
        <v>-2</v>
      </c>
      <c r="AH104" s="176">
        <f t="shared" si="42"/>
        <v>4</v>
      </c>
      <c r="AI104" s="225">
        <f t="shared" si="43"/>
        <v>-1.9776225800727054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6"/>
        <v>43191</v>
      </c>
      <c r="B105" s="617"/>
      <c r="C105" s="390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7">
        <f t="shared" si="26"/>
        <v>0</v>
      </c>
      <c r="M105" s="856"/>
      <c r="N105" s="856"/>
      <c r="O105" s="324">
        <f t="shared" si="27"/>
        <v>0</v>
      </c>
      <c r="P105" s="169">
        <f>(INDEX(Models!$BJ105:$BT105,,T105)*(1-R105)+INDEX(Models!$BJ105:$BT105,,T105+1)*R105-ERP_i)*Q105*Ramure*Pc/MaxiM</f>
        <v>7.5897031240188717E-9</v>
      </c>
      <c r="Q105" s="305">
        <f t="shared" si="28"/>
        <v>0.5</v>
      </c>
      <c r="R105" s="177">
        <f t="shared" si="29"/>
        <v>2.3397478996579846E-2</v>
      </c>
      <c r="S105" s="811">
        <f t="shared" si="47"/>
        <v>-2</v>
      </c>
      <c r="T105" s="176">
        <f t="shared" si="30"/>
        <v>4</v>
      </c>
      <c r="U105" s="251">
        <f t="shared" si="31"/>
        <v>-1.9766025210034202</v>
      </c>
      <c r="V105" s="383">
        <f t="shared" si="32"/>
        <v>55.169038722976133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6">
        <f t="shared" si="38"/>
        <v>0</v>
      </c>
      <c r="AD105" s="169">
        <f>(INDEX(Models!$BJ105:$BT105,,AH105)*(1-AF105)+INDEX(Models!$BJ105:$BT105,,AH105+1)*AF105-ERP_i)*AE105*Ramure*Pc/MaxiM</f>
        <v>7.5897031240188717E-9</v>
      </c>
      <c r="AE105" s="305">
        <f t="shared" si="39"/>
        <v>0.5</v>
      </c>
      <c r="AF105" s="177">
        <f t="shared" si="40"/>
        <v>2.3397478996579846E-2</v>
      </c>
      <c r="AG105" s="811">
        <f t="shared" si="41"/>
        <v>-2</v>
      </c>
      <c r="AH105" s="176">
        <f t="shared" si="42"/>
        <v>4</v>
      </c>
      <c r="AI105" s="225">
        <f t="shared" si="43"/>
        <v>-1.9766025210034202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6"/>
        <v>43192</v>
      </c>
      <c r="B106" s="617"/>
      <c r="C106" s="390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7">
        <f t="shared" si="26"/>
        <v>0</v>
      </c>
      <c r="M106" s="856"/>
      <c r="N106" s="856"/>
      <c r="O106" s="324">
        <f t="shared" si="27"/>
        <v>0</v>
      </c>
      <c r="P106" s="169">
        <f>(INDEX(Models!$BJ106:$BT106,,T106)*(1-R106)+INDEX(Models!$BJ106:$BT106,,T106+1)*R106-ERP_i)*Q106*Ramure*Pc/MaxiM</f>
        <v>7.7578132882321141E-9</v>
      </c>
      <c r="Q106" s="305">
        <f t="shared" si="28"/>
        <v>0.5</v>
      </c>
      <c r="R106" s="177">
        <f t="shared" si="29"/>
        <v>2.4455683046019194E-2</v>
      </c>
      <c r="S106" s="811">
        <f t="shared" si="47"/>
        <v>-2</v>
      </c>
      <c r="T106" s="176">
        <f t="shared" si="30"/>
        <v>4</v>
      </c>
      <c r="U106" s="251">
        <f t="shared" si="31"/>
        <v>-1.9755443169539808</v>
      </c>
      <c r="V106" s="383">
        <f t="shared" si="32"/>
        <v>55.482999571629605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6">
        <f t="shared" si="38"/>
        <v>0</v>
      </c>
      <c r="AD106" s="169">
        <f>(INDEX(Models!$BJ106:$BT106,,AH106)*(1-AF106)+INDEX(Models!$BJ106:$BT106,,AH106+1)*AF106-ERP_i)*AE106*Ramure*Pc/MaxiM</f>
        <v>7.7578132882321141E-9</v>
      </c>
      <c r="AE106" s="305">
        <f t="shared" si="39"/>
        <v>0.5</v>
      </c>
      <c r="AF106" s="177">
        <f t="shared" si="40"/>
        <v>2.4455683046019194E-2</v>
      </c>
      <c r="AG106" s="811">
        <f t="shared" si="41"/>
        <v>-2</v>
      </c>
      <c r="AH106" s="176">
        <f t="shared" si="42"/>
        <v>4</v>
      </c>
      <c r="AI106" s="225">
        <f t="shared" si="43"/>
        <v>-1.9755443169539808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43193</v>
      </c>
      <c r="B107" s="617"/>
      <c r="C107" s="390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7">
        <f t="shared" si="26"/>
        <v>0</v>
      </c>
      <c r="M107" s="856"/>
      <c r="N107" s="856"/>
      <c r="O107" s="324">
        <f t="shared" si="27"/>
        <v>0</v>
      </c>
      <c r="P107" s="169">
        <f>(INDEX(Models!$BJ107:$BT107,,T107)*(1-R107)+INDEX(Models!$BJ107:$BT107,,T107+1)*R107-ERP_i)*Q107*Ramure*Pc/MaxiM</f>
        <v>8.1740152656363391E-9</v>
      </c>
      <c r="Q107" s="305">
        <f t="shared" si="28"/>
        <v>0.5</v>
      </c>
      <c r="R107" s="177">
        <f t="shared" si="29"/>
        <v>2.5553267850832562E-2</v>
      </c>
      <c r="S107" s="811">
        <f t="shared" si="47"/>
        <v>-2</v>
      </c>
      <c r="T107" s="176">
        <f t="shared" si="30"/>
        <v>4</v>
      </c>
      <c r="U107" s="251">
        <f t="shared" si="31"/>
        <v>-1.9744467321491674</v>
      </c>
      <c r="V107" s="383">
        <f t="shared" si="32"/>
        <v>55.788854611195845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6">
        <f t="shared" si="38"/>
        <v>0</v>
      </c>
      <c r="AD107" s="169">
        <f>(INDEX(Models!$BJ107:$BT107,,AH107)*(1-AF107)+INDEX(Models!$BJ107:$BT107,,AH107+1)*AF107-ERP_i)*AE107*Ramure*Pc/MaxiM</f>
        <v>8.1740152656363391E-9</v>
      </c>
      <c r="AE107" s="305">
        <f t="shared" si="39"/>
        <v>0.5</v>
      </c>
      <c r="AF107" s="177">
        <f t="shared" si="40"/>
        <v>2.5553267850832562E-2</v>
      </c>
      <c r="AG107" s="811">
        <f t="shared" si="41"/>
        <v>-2</v>
      </c>
      <c r="AH107" s="176">
        <f t="shared" si="42"/>
        <v>4</v>
      </c>
      <c r="AI107" s="225">
        <f t="shared" si="43"/>
        <v>-1.9744467321491674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43194</v>
      </c>
      <c r="B108" s="617"/>
      <c r="C108" s="390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7">
        <f t="shared" si="26"/>
        <v>0</v>
      </c>
      <c r="M108" s="856"/>
      <c r="N108" s="856"/>
      <c r="O108" s="324">
        <f t="shared" si="27"/>
        <v>0</v>
      </c>
      <c r="P108" s="169">
        <f>(INDEX(Models!$BJ108:$BT108,,T108)*(1-R108)+INDEX(Models!$BJ108:$BT108,,T108+1)*R108-ERP_i)*Q108*Ramure*Pc/MaxiM</f>
        <v>9.185875115036448E-9</v>
      </c>
      <c r="Q108" s="305">
        <f t="shared" si="28"/>
        <v>0.5</v>
      </c>
      <c r="R108" s="177">
        <f t="shared" si="29"/>
        <v>2.6691493885685258E-2</v>
      </c>
      <c r="S108" s="811">
        <f t="shared" si="47"/>
        <v>-2</v>
      </c>
      <c r="T108" s="176">
        <f t="shared" si="30"/>
        <v>4</v>
      </c>
      <c r="U108" s="251">
        <f t="shared" si="31"/>
        <v>-1.9733085061143147</v>
      </c>
      <c r="V108" s="383">
        <f t="shared" si="32"/>
        <v>56.089091030754638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6">
        <f t="shared" si="38"/>
        <v>0</v>
      </c>
      <c r="AD108" s="169">
        <f>(INDEX(Models!$BJ108:$BT108,,AH108)*(1-AF108)+INDEX(Models!$BJ108:$BT108,,AH108+1)*AF108-ERP_i)*AE108*Ramure*Pc/MaxiM</f>
        <v>9.185875115036448E-9</v>
      </c>
      <c r="AE108" s="305">
        <f t="shared" si="39"/>
        <v>0.5</v>
      </c>
      <c r="AF108" s="177">
        <f t="shared" si="40"/>
        <v>2.6691493885685258E-2</v>
      </c>
      <c r="AG108" s="811">
        <f t="shared" si="41"/>
        <v>-2</v>
      </c>
      <c r="AH108" s="176">
        <f t="shared" si="42"/>
        <v>4</v>
      </c>
      <c r="AI108" s="225">
        <f t="shared" si="43"/>
        <v>-1.9733085061143147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43195</v>
      </c>
      <c r="B109" s="617"/>
      <c r="C109" s="390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7">
        <f t="shared" si="26"/>
        <v>0</v>
      </c>
      <c r="M109" s="856"/>
      <c r="N109" s="856"/>
      <c r="O109" s="324">
        <f t="shared" si="27"/>
        <v>0</v>
      </c>
      <c r="P109" s="169">
        <f>(INDEX(Models!$BJ109:$BT109,,T109)*(1-R109)+INDEX(Models!$BJ109:$BT109,,T109+1)*R109-ERP_i)*Q109*Ramure*Pc/MaxiM</f>
        <v>1.0751368965695591E-8</v>
      </c>
      <c r="Q109" s="305">
        <f t="shared" si="28"/>
        <v>0.5</v>
      </c>
      <c r="R109" s="177">
        <f t="shared" si="29"/>
        <v>2.7871645513704024E-2</v>
      </c>
      <c r="S109" s="811">
        <f t="shared" si="47"/>
        <v>-2</v>
      </c>
      <c r="T109" s="176">
        <f t="shared" si="30"/>
        <v>4</v>
      </c>
      <c r="U109" s="251">
        <f t="shared" si="31"/>
        <v>-1.972128354486296</v>
      </c>
      <c r="V109" s="383">
        <f t="shared" si="32"/>
        <v>56.383601471579112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6">
        <f t="shared" si="38"/>
        <v>0</v>
      </c>
      <c r="AD109" s="169">
        <f>(INDEX(Models!$BJ109:$BT109,,AH109)*(1-AF109)+INDEX(Models!$BJ109:$BT109,,AH109+1)*AF109-ERP_i)*AE109*Ramure*Pc/MaxiM</f>
        <v>1.0751368965695591E-8</v>
      </c>
      <c r="AE109" s="305">
        <f t="shared" si="39"/>
        <v>0.5</v>
      </c>
      <c r="AF109" s="177">
        <f t="shared" si="40"/>
        <v>2.7871645513704024E-2</v>
      </c>
      <c r="AG109" s="811">
        <f t="shared" si="41"/>
        <v>-2</v>
      </c>
      <c r="AH109" s="176">
        <f t="shared" si="42"/>
        <v>4</v>
      </c>
      <c r="AI109" s="225">
        <f t="shared" si="43"/>
        <v>-1.972128354486296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6"/>
        <v>43196</v>
      </c>
      <c r="B110" s="617"/>
      <c r="C110" s="390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7">
        <f t="shared" si="26"/>
        <v>0</v>
      </c>
      <c r="M110" s="856"/>
      <c r="N110" s="856"/>
      <c r="O110" s="324">
        <f t="shared" si="27"/>
        <v>0</v>
      </c>
      <c r="P110" s="169">
        <f>(INDEX(Models!$BJ110:$BT110,,T110)*(1-R110)+INDEX(Models!$BJ110:$BT110,,T110+1)*R110-ERP_i)*Q110*Ramure*Pc/MaxiM</f>
        <v>1.2929138791811407E-8</v>
      </c>
      <c r="Q110" s="305">
        <f t="shared" si="28"/>
        <v>0.5</v>
      </c>
      <c r="R110" s="177">
        <f t="shared" si="29"/>
        <v>2.9095030036744296E-2</v>
      </c>
      <c r="S110" s="811">
        <f t="shared" si="47"/>
        <v>-2</v>
      </c>
      <c r="T110" s="176">
        <f t="shared" si="30"/>
        <v>4</v>
      </c>
      <c r="U110" s="251">
        <f t="shared" si="31"/>
        <v>-1.9709049699632557</v>
      </c>
      <c r="V110" s="383">
        <f t="shared" si="32"/>
        <v>56.672278568668418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6">
        <f t="shared" si="38"/>
        <v>0</v>
      </c>
      <c r="AD110" s="169">
        <f>(INDEX(Models!$BJ110:$BT110,,AH110)*(1-AF110)+INDEX(Models!$BJ110:$BT110,,AH110+1)*AF110-ERP_i)*AE110*Ramure*Pc/MaxiM</f>
        <v>1.2929138791811407E-8</v>
      </c>
      <c r="AE110" s="305">
        <f t="shared" si="39"/>
        <v>0.5</v>
      </c>
      <c r="AF110" s="177">
        <f t="shared" si="40"/>
        <v>2.9095030036744296E-2</v>
      </c>
      <c r="AG110" s="811">
        <f t="shared" si="41"/>
        <v>-2</v>
      </c>
      <c r="AH110" s="176">
        <f t="shared" si="42"/>
        <v>4</v>
      </c>
      <c r="AI110" s="225">
        <f t="shared" si="43"/>
        <v>-1.9709049699632557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43197</v>
      </c>
      <c r="B111" s="617"/>
      <c r="C111" s="390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7">
        <f t="shared" si="26"/>
        <v>0</v>
      </c>
      <c r="M111" s="856"/>
      <c r="N111" s="856"/>
      <c r="O111" s="324">
        <f t="shared" si="27"/>
        <v>0</v>
      </c>
      <c r="P111" s="169">
        <f>(INDEX(Models!$BJ111:$BT111,,T111)*(1-R111)+INDEX(Models!$BJ111:$BT111,,T111+1)*R111-ERP_i)*Q111*Ramure*Pc/MaxiM</f>
        <v>1.5782525070707651E-8</v>
      </c>
      <c r="Q111" s="305">
        <f t="shared" si="28"/>
        <v>0.5</v>
      </c>
      <c r="R111" s="177">
        <f t="shared" si="29"/>
        <v>3.0362976597693381E-2</v>
      </c>
      <c r="S111" s="811">
        <f t="shared" si="47"/>
        <v>-2</v>
      </c>
      <c r="T111" s="176">
        <f t="shared" si="30"/>
        <v>4</v>
      </c>
      <c r="U111" s="251">
        <f t="shared" si="31"/>
        <v>-1.9696370234023066</v>
      </c>
      <c r="V111" s="383">
        <f t="shared" si="32"/>
        <v>56.955014954419504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6">
        <f t="shared" si="38"/>
        <v>0</v>
      </c>
      <c r="AD111" s="169">
        <f>(INDEX(Models!$BJ111:$BT111,,AH111)*(1-AF111)+INDEX(Models!$BJ111:$BT111,,AH111+1)*AF111-ERP_i)*AE111*Ramure*Pc/MaxiM</f>
        <v>1.5782525070707651E-8</v>
      </c>
      <c r="AE111" s="305">
        <f t="shared" si="39"/>
        <v>0.5</v>
      </c>
      <c r="AF111" s="177">
        <f t="shared" si="40"/>
        <v>3.0362976597693381E-2</v>
      </c>
      <c r="AG111" s="811">
        <f t="shared" si="41"/>
        <v>-2</v>
      </c>
      <c r="AH111" s="176">
        <f t="shared" si="42"/>
        <v>4</v>
      </c>
      <c r="AI111" s="225">
        <f t="shared" si="43"/>
        <v>-1.9696370234023066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6"/>
        <v>43198</v>
      </c>
      <c r="B112" s="617"/>
      <c r="C112" s="390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7">
        <f t="shared" si="26"/>
        <v>0</v>
      </c>
      <c r="M112" s="856"/>
      <c r="N112" s="856"/>
      <c r="O112" s="324">
        <f t="shared" si="27"/>
        <v>0</v>
      </c>
      <c r="P112" s="169">
        <f>(INDEX(Models!$BJ112:$BT112,,T112)*(1-R112)+INDEX(Models!$BJ112:$BT112,,T112+1)*R112-ERP_i)*Q112*Ramure*Pc/MaxiM</f>
        <v>1.9379906819416674E-8</v>
      </c>
      <c r="Q112" s="305">
        <f t="shared" si="28"/>
        <v>0.5</v>
      </c>
      <c r="R112" s="177">
        <f t="shared" si="29"/>
        <v>3.1676834925436825E-2</v>
      </c>
      <c r="S112" s="811">
        <f t="shared" si="47"/>
        <v>-2</v>
      </c>
      <c r="T112" s="176">
        <f t="shared" si="30"/>
        <v>4</v>
      </c>
      <c r="U112" s="251">
        <f t="shared" si="31"/>
        <v>-1.9683231650745632</v>
      </c>
      <c r="V112" s="383">
        <f t="shared" si="32"/>
        <v>57.231703265151232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6">
        <f t="shared" si="38"/>
        <v>0</v>
      </c>
      <c r="AD112" s="169">
        <f>(INDEX(Models!$BJ112:$BT112,,AH112)*(1-AF112)+INDEX(Models!$BJ112:$BT112,,AH112+1)*AF112-ERP_i)*AE112*Ramure*Pc/MaxiM</f>
        <v>1.9379906819416674E-8</v>
      </c>
      <c r="AE112" s="305">
        <f t="shared" si="39"/>
        <v>0.5</v>
      </c>
      <c r="AF112" s="177">
        <f t="shared" si="40"/>
        <v>3.1676834925436825E-2</v>
      </c>
      <c r="AG112" s="811">
        <f t="shared" si="41"/>
        <v>-2</v>
      </c>
      <c r="AH112" s="176">
        <f t="shared" si="42"/>
        <v>4</v>
      </c>
      <c r="AI112" s="225">
        <f t="shared" si="43"/>
        <v>-1.9683231650745632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43199</v>
      </c>
      <c r="B113" s="617"/>
      <c r="C113" s="390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7">
        <f t="shared" si="26"/>
        <v>0</v>
      </c>
      <c r="M113" s="856"/>
      <c r="N113" s="856"/>
      <c r="O113" s="324">
        <f t="shared" si="27"/>
        <v>0</v>
      </c>
      <c r="P113" s="169">
        <f>(INDEX(Models!$BJ113:$BT113,,T113)*(1-R113)+INDEX(Models!$BJ113:$BT113,,T113+1)*R113-ERP_i)*Q113*Ramure*Pc/MaxiM</f>
        <v>2.37950618369659E-8</v>
      </c>
      <c r="Q113" s="305">
        <f t="shared" si="28"/>
        <v>0.5</v>
      </c>
      <c r="R113" s="177">
        <f t="shared" si="29"/>
        <v>3.3037973913002894E-2</v>
      </c>
      <c r="S113" s="811">
        <f t="shared" si="47"/>
        <v>-2</v>
      </c>
      <c r="T113" s="176">
        <f t="shared" si="30"/>
        <v>4</v>
      </c>
      <c r="U113" s="251">
        <f t="shared" si="31"/>
        <v>-1.9669620260869971</v>
      </c>
      <c r="V113" s="383">
        <f t="shared" si="32"/>
        <v>57.502236131981043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6">
        <f t="shared" si="38"/>
        <v>0</v>
      </c>
      <c r="AD113" s="169">
        <f>(INDEX(Models!$BJ113:$BT113,,AH113)*(1-AF113)+INDEX(Models!$BJ113:$BT113,,AH113+1)*AF113-ERP_i)*AE113*Ramure*Pc/MaxiM</f>
        <v>2.37950618369659E-8</v>
      </c>
      <c r="AE113" s="305">
        <f t="shared" si="39"/>
        <v>0.5</v>
      </c>
      <c r="AF113" s="177">
        <f t="shared" si="40"/>
        <v>3.3037973913002894E-2</v>
      </c>
      <c r="AG113" s="811">
        <f t="shared" si="41"/>
        <v>-2</v>
      </c>
      <c r="AH113" s="176">
        <f t="shared" si="42"/>
        <v>4</v>
      </c>
      <c r="AI113" s="225">
        <f t="shared" si="43"/>
        <v>-1.9669620260869971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43200</v>
      </c>
      <c r="B114" s="617"/>
      <c r="C114" s="390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7">
        <f t="shared" si="26"/>
        <v>0</v>
      </c>
      <c r="M114" s="856"/>
      <c r="N114" s="856"/>
      <c r="O114" s="324">
        <f t="shared" si="27"/>
        <v>0</v>
      </c>
      <c r="P114" s="169">
        <f>(INDEX(Models!$BJ114:$BT114,,T114)*(1-R114)+INDEX(Models!$BJ114:$BT114,,T114+1)*R114-ERP_i)*Q114*Ramure*Pc/MaxiM</f>
        <v>3.036624960089836E-8</v>
      </c>
      <c r="Q114" s="305">
        <f t="shared" si="28"/>
        <v>0.5</v>
      </c>
      <c r="R114" s="177">
        <f t="shared" si="29"/>
        <v>3.4447780019345453E-2</v>
      </c>
      <c r="S114" s="811">
        <f t="shared" si="47"/>
        <v>-2</v>
      </c>
      <c r="T114" s="176">
        <f t="shared" si="30"/>
        <v>4</v>
      </c>
      <c r="U114" s="251">
        <f t="shared" si="31"/>
        <v>-1.9655522199806545</v>
      </c>
      <c r="V114" s="383">
        <f t="shared" si="32"/>
        <v>57.766506117828975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6">
        <f t="shared" si="38"/>
        <v>0</v>
      </c>
      <c r="AD114" s="169">
        <f>(INDEX(Models!$BJ114:$BT114,,AH114)*(1-AF114)+INDEX(Models!$BJ114:$BT114,,AH114+1)*AF114-ERP_i)*AE114*Ramure*Pc/MaxiM</f>
        <v>3.036624960089836E-8</v>
      </c>
      <c r="AE114" s="305">
        <f t="shared" si="39"/>
        <v>0.5</v>
      </c>
      <c r="AF114" s="177">
        <f t="shared" si="40"/>
        <v>3.4447780019345453E-2</v>
      </c>
      <c r="AG114" s="811">
        <f t="shared" si="41"/>
        <v>-2</v>
      </c>
      <c r="AH114" s="176">
        <f t="shared" si="42"/>
        <v>4</v>
      </c>
      <c r="AI114" s="225">
        <f t="shared" si="43"/>
        <v>-1.9655522199806545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43201</v>
      </c>
      <c r="B115" s="617"/>
      <c r="C115" s="390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7">
        <f t="shared" si="26"/>
        <v>0</v>
      </c>
      <c r="M115" s="856"/>
      <c r="N115" s="856"/>
      <c r="O115" s="324">
        <f t="shared" si="27"/>
        <v>0</v>
      </c>
      <c r="P115" s="169">
        <f>(INDEX(Models!$BJ115:$BT115,,T115)*(1-R115)+INDEX(Models!$BJ115:$BT115,,T115+1)*R115-ERP_i)*Q115*Ramure*Pc/MaxiM</f>
        <v>3.9114225241371704E-8</v>
      </c>
      <c r="Q115" s="305">
        <f t="shared" si="28"/>
        <v>0.5</v>
      </c>
      <c r="R115" s="177">
        <f t="shared" si="29"/>
        <v>3.590765548524244E-2</v>
      </c>
      <c r="S115" s="811">
        <f t="shared" si="47"/>
        <v>-2</v>
      </c>
      <c r="T115" s="176">
        <f t="shared" si="30"/>
        <v>4</v>
      </c>
      <c r="U115" s="251">
        <f t="shared" si="31"/>
        <v>-1.9640923445147576</v>
      </c>
      <c r="V115" s="383">
        <f t="shared" si="32"/>
        <v>58.024405857255537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6">
        <f t="shared" si="38"/>
        <v>0</v>
      </c>
      <c r="AD115" s="169">
        <f>(INDEX(Models!$BJ115:$BT115,,AH115)*(1-AF115)+INDEX(Models!$BJ115:$BT115,,AH115+1)*AF115-ERP_i)*AE115*Ramure*Pc/MaxiM</f>
        <v>3.9114225241371704E-8</v>
      </c>
      <c r="AE115" s="305">
        <f t="shared" si="39"/>
        <v>0.5</v>
      </c>
      <c r="AF115" s="177">
        <f t="shared" si="40"/>
        <v>3.590765548524244E-2</v>
      </c>
      <c r="AG115" s="811">
        <f t="shared" si="41"/>
        <v>-2</v>
      </c>
      <c r="AH115" s="176">
        <f t="shared" si="42"/>
        <v>4</v>
      </c>
      <c r="AI115" s="225">
        <f t="shared" si="43"/>
        <v>-1.9640923445147576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43202</v>
      </c>
      <c r="B116" s="617"/>
      <c r="C116" s="390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7">
        <f t="shared" si="26"/>
        <v>0</v>
      </c>
      <c r="M116" s="856"/>
      <c r="N116" s="856"/>
      <c r="O116" s="324">
        <f t="shared" si="27"/>
        <v>0</v>
      </c>
      <c r="P116" s="169">
        <f>(INDEX(Models!$BJ116:$BT116,,T116)*(1-R116)+INDEX(Models!$BJ116:$BT116,,T116+1)*R116-ERP_i)*Q116*Ramure*Pc/MaxiM</f>
        <v>5.0258856610785156E-8</v>
      </c>
      <c r="Q116" s="305">
        <f t="shared" si="28"/>
        <v>0.5</v>
      </c>
      <c r="R116" s="177">
        <f t="shared" si="29"/>
        <v>3.7419016353870793E-2</v>
      </c>
      <c r="S116" s="811">
        <f t="shared" si="47"/>
        <v>-2</v>
      </c>
      <c r="T116" s="176">
        <f t="shared" si="30"/>
        <v>4</v>
      </c>
      <c r="U116" s="251">
        <f t="shared" si="31"/>
        <v>-1.9625809836461292</v>
      </c>
      <c r="V116" s="383">
        <f t="shared" si="32"/>
        <v>58.275827974985575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6">
        <f t="shared" si="38"/>
        <v>0</v>
      </c>
      <c r="AD116" s="169">
        <f>(INDEX(Models!$BJ116:$BT116,,AH116)*(1-AF116)+INDEX(Models!$BJ116:$BT116,,AH116+1)*AF116-ERP_i)*AE116*Ramure*Pc/MaxiM</f>
        <v>5.0258856610785156E-8</v>
      </c>
      <c r="AE116" s="305">
        <f t="shared" si="39"/>
        <v>0.5</v>
      </c>
      <c r="AF116" s="177">
        <f t="shared" si="40"/>
        <v>3.7419016353870793E-2</v>
      </c>
      <c r="AG116" s="811">
        <f t="shared" si="41"/>
        <v>-2</v>
      </c>
      <c r="AH116" s="176">
        <f t="shared" si="42"/>
        <v>4</v>
      </c>
      <c r="AI116" s="225">
        <f t="shared" si="43"/>
        <v>-1.9625809836461292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43203</v>
      </c>
      <c r="B117" s="617"/>
      <c r="C117" s="390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7">
        <f t="shared" si="26"/>
        <v>0</v>
      </c>
      <c r="M117" s="856"/>
      <c r="N117" s="856"/>
      <c r="O117" s="324">
        <f t="shared" si="27"/>
        <v>0</v>
      </c>
      <c r="P117" s="169">
        <f>(INDEX(Models!$BJ117:$BT117,,T117)*(1-R117)+INDEX(Models!$BJ117:$BT117,,T117+1)*R117-ERP_i)*Q117*Ramure*Pc/MaxiM</f>
        <v>6.4037545302240121E-8</v>
      </c>
      <c r="Q117" s="305">
        <f t="shared" si="28"/>
        <v>0.5</v>
      </c>
      <c r="R117" s="177">
        <f t="shared" si="29"/>
        <v>3.8983290286792371E-2</v>
      </c>
      <c r="S117" s="811">
        <f t="shared" si="47"/>
        <v>-2</v>
      </c>
      <c r="T117" s="176">
        <f t="shared" si="30"/>
        <v>4</v>
      </c>
      <c r="U117" s="251">
        <f t="shared" si="31"/>
        <v>-1.9610167097132076</v>
      </c>
      <c r="V117" s="383">
        <f t="shared" si="32"/>
        <v>58.520665093793049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6">
        <f t="shared" si="38"/>
        <v>0</v>
      </c>
      <c r="AD117" s="169">
        <f>(INDEX(Models!$BJ117:$BT117,,AH117)*(1-AF117)+INDEX(Models!$BJ117:$BT117,,AH117+1)*AF117-ERP_i)*AE117*Ramure*Pc/MaxiM</f>
        <v>6.4037545302240121E-8</v>
      </c>
      <c r="AE117" s="305">
        <f t="shared" si="39"/>
        <v>0.5</v>
      </c>
      <c r="AF117" s="177">
        <f t="shared" si="40"/>
        <v>3.8983290286792371E-2</v>
      </c>
      <c r="AG117" s="811">
        <f t="shared" si="41"/>
        <v>-2</v>
      </c>
      <c r="AH117" s="176">
        <f t="shared" si="42"/>
        <v>4</v>
      </c>
      <c r="AI117" s="225">
        <f t="shared" si="43"/>
        <v>-1.9610167097132076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43204</v>
      </c>
      <c r="B118" s="617"/>
      <c r="C118" s="390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7">
        <f t="shared" si="26"/>
        <v>0</v>
      </c>
      <c r="M118" s="856"/>
      <c r="N118" s="856"/>
      <c r="O118" s="324">
        <f t="shared" si="27"/>
        <v>0</v>
      </c>
      <c r="P118" s="169">
        <f>(INDEX(Models!$BJ118:$BT118,,T118)*(1-R118)+INDEX(Models!$BJ118:$BT118,,T118+1)*R118-ERP_i)*Q118*Ramure*Pc/MaxiM</f>
        <v>8.0706431120662394E-8</v>
      </c>
      <c r="Q118" s="305">
        <f t="shared" si="28"/>
        <v>0.5</v>
      </c>
      <c r="R118" s="177">
        <f t="shared" si="29"/>
        <v>4.0601914166356057E-2</v>
      </c>
      <c r="S118" s="811">
        <f t="shared" si="47"/>
        <v>-2</v>
      </c>
      <c r="T118" s="176">
        <f t="shared" si="30"/>
        <v>4</v>
      </c>
      <c r="U118" s="251">
        <f t="shared" si="31"/>
        <v>-1.9593980858336439</v>
      </c>
      <c r="V118" s="383">
        <f t="shared" si="32"/>
        <v>58.758809834799031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6">
        <f t="shared" si="38"/>
        <v>0</v>
      </c>
      <c r="AD118" s="169">
        <f>(INDEX(Models!$BJ118:$BT118,,AH118)*(1-AF118)+INDEX(Models!$BJ118:$BT118,,AH118+1)*AF118-ERP_i)*AE118*Ramure*Pc/MaxiM</f>
        <v>8.0706431120662394E-8</v>
      </c>
      <c r="AE118" s="305">
        <f t="shared" si="39"/>
        <v>0.5</v>
      </c>
      <c r="AF118" s="177">
        <f t="shared" si="40"/>
        <v>4.0601914166356057E-2</v>
      </c>
      <c r="AG118" s="811">
        <f t="shared" si="41"/>
        <v>-2</v>
      </c>
      <c r="AH118" s="176">
        <f t="shared" si="42"/>
        <v>4</v>
      </c>
      <c r="AI118" s="225">
        <f t="shared" si="43"/>
        <v>-1.9593980858336439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6"/>
        <v>43205</v>
      </c>
      <c r="B119" s="617"/>
      <c r="C119" s="390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7">
        <f t="shared" si="26"/>
        <v>0</v>
      </c>
      <c r="M119" s="856"/>
      <c r="N119" s="856"/>
      <c r="O119" s="324">
        <f t="shared" si="27"/>
        <v>0</v>
      </c>
      <c r="P119" s="169">
        <f>(INDEX(Models!$BJ119:$BT119,,T119)*(1-R119)+INDEX(Models!$BJ119:$BT119,,T119+1)*R119-ERP_i)*Q119*Ramure*Pc/MaxiM</f>
        <v>1.005416582370877E-7</v>
      </c>
      <c r="Q119" s="305">
        <f t="shared" si="28"/>
        <v>0.5</v>
      </c>
      <c r="R119" s="177">
        <f t="shared" si="29"/>
        <v>4.2276331475887385E-2</v>
      </c>
      <c r="S119" s="811">
        <f t="shared" si="47"/>
        <v>-2</v>
      </c>
      <c r="T119" s="176">
        <f t="shared" si="30"/>
        <v>4</v>
      </c>
      <c r="U119" s="251">
        <f t="shared" si="31"/>
        <v>-1.9577236685241126</v>
      </c>
      <c r="V119" s="383">
        <f t="shared" si="32"/>
        <v>58.990154818617981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6">
        <f t="shared" si="38"/>
        <v>0</v>
      </c>
      <c r="AD119" s="169">
        <f>(INDEX(Models!$BJ119:$BT119,,AH119)*(1-AF119)+INDEX(Models!$BJ119:$BT119,,AH119+1)*AF119-ERP_i)*AE119*Ramure*Pc/MaxiM</f>
        <v>1.005416582370877E-7</v>
      </c>
      <c r="AE119" s="305">
        <f t="shared" si="39"/>
        <v>0.5</v>
      </c>
      <c r="AF119" s="177">
        <f t="shared" si="40"/>
        <v>4.2276331475887385E-2</v>
      </c>
      <c r="AG119" s="811">
        <f t="shared" si="41"/>
        <v>-2</v>
      </c>
      <c r="AH119" s="176">
        <f t="shared" si="42"/>
        <v>4</v>
      </c>
      <c r="AI119" s="225">
        <f t="shared" si="43"/>
        <v>-1.9577236685241126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43206</v>
      </c>
      <c r="B120" s="617"/>
      <c r="C120" s="390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7">
        <f t="shared" si="26"/>
        <v>0</v>
      </c>
      <c r="M120" s="856"/>
      <c r="N120" s="856"/>
      <c r="O120" s="324">
        <f t="shared" si="27"/>
        <v>0</v>
      </c>
      <c r="P120" s="169">
        <f>(INDEX(Models!$BJ120:$BT120,,T120)*(1-R120)+INDEX(Models!$BJ120:$BT120,,T120+1)*R120-ERP_i)*Q120*Ramure*Pc/MaxiM</f>
        <v>1.238407035693078E-7</v>
      </c>
      <c r="Q120" s="305">
        <f t="shared" si="28"/>
        <v>0.5</v>
      </c>
      <c r="R120" s="177">
        <f t="shared" si="29"/>
        <v>4.4007989449529772E-2</v>
      </c>
      <c r="S120" s="811">
        <f t="shared" si="47"/>
        <v>-2</v>
      </c>
      <c r="T120" s="176">
        <f t="shared" si="30"/>
        <v>4</v>
      </c>
      <c r="U120" s="251">
        <f t="shared" si="31"/>
        <v>-1.9559920105504702</v>
      </c>
      <c r="V120" s="383">
        <f t="shared" si="32"/>
        <v>59.214592665117578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6">
        <f t="shared" si="38"/>
        <v>0</v>
      </c>
      <c r="AD120" s="169">
        <f>(INDEX(Models!$BJ120:$BT120,,AH120)*(1-AF120)+INDEX(Models!$BJ120:$BT120,,AH120+1)*AF120-ERP_i)*AE120*Ramure*Pc/MaxiM</f>
        <v>1.238407035693078E-7</v>
      </c>
      <c r="AE120" s="305">
        <f t="shared" si="39"/>
        <v>0.5</v>
      </c>
      <c r="AF120" s="177">
        <f t="shared" si="40"/>
        <v>4.4007989449529772E-2</v>
      </c>
      <c r="AG120" s="811">
        <f t="shared" si="41"/>
        <v>-2</v>
      </c>
      <c r="AH120" s="176">
        <f t="shared" si="42"/>
        <v>4</v>
      </c>
      <c r="AI120" s="225">
        <f t="shared" si="43"/>
        <v>-1.9559920105504702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43207</v>
      </c>
      <c r="B121" s="617"/>
      <c r="C121" s="390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7">
        <f t="shared" si="26"/>
        <v>0</v>
      </c>
      <c r="M121" s="856"/>
      <c r="N121" s="856"/>
      <c r="O121" s="324">
        <f t="shared" si="27"/>
        <v>0</v>
      </c>
      <c r="P121" s="169">
        <f>(INDEX(Models!$BJ121:$BT121,,T121)*(1-R121)+INDEX(Models!$BJ121:$BT121,,T121+1)*R121-ERP_i)*Q121*Ramure*Pc/MaxiM</f>
        <v>1.5092485811749143E-7</v>
      </c>
      <c r="Q121" s="305">
        <f t="shared" si="28"/>
        <v>0.5</v>
      </c>
      <c r="R121" s="177">
        <f t="shared" si="29"/>
        <v>4.5798335984206684E-2</v>
      </c>
      <c r="S121" s="811">
        <f t="shared" si="47"/>
        <v>-2</v>
      </c>
      <c r="T121" s="176">
        <f t="shared" si="30"/>
        <v>4</v>
      </c>
      <c r="U121" s="251">
        <f t="shared" si="31"/>
        <v>-1.9542016640157933</v>
      </c>
      <c r="V121" s="383">
        <f t="shared" si="32"/>
        <v>59.431586546393277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6">
        <f t="shared" si="38"/>
        <v>0</v>
      </c>
      <c r="AD121" s="169">
        <f>(INDEX(Models!$BJ121:$BT121,,AH121)*(1-AF121)+INDEX(Models!$BJ121:$BT121,,AH121+1)*AF121-ERP_i)*AE121*Ramure*Pc/MaxiM</f>
        <v>1.5092485811749143E-7</v>
      </c>
      <c r="AE121" s="305">
        <f t="shared" si="39"/>
        <v>0.5</v>
      </c>
      <c r="AF121" s="177">
        <f t="shared" si="40"/>
        <v>4.5798335984206684E-2</v>
      </c>
      <c r="AG121" s="811">
        <f t="shared" si="41"/>
        <v>-2</v>
      </c>
      <c r="AH121" s="176">
        <f t="shared" si="42"/>
        <v>4</v>
      </c>
      <c r="AI121" s="225">
        <f t="shared" si="43"/>
        <v>-1.9542016640157933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43208</v>
      </c>
      <c r="B122" s="617"/>
      <c r="C122" s="390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3">
        <f t="shared" si="26"/>
        <v>0</v>
      </c>
      <c r="M122" s="856"/>
      <c r="N122" s="856"/>
      <c r="O122" s="324">
        <f t="shared" si="27"/>
        <v>0</v>
      </c>
      <c r="P122" s="169">
        <f>(INDEX(Models!$BJ122:$BT122,,T122)*(1-R122)+INDEX(Models!$BJ122:$BT122,,T122+1)*R122-ERP_i)*Q122*Ramure*Pc/MaxiM</f>
        <v>1.8487583794429955E-7</v>
      </c>
      <c r="Q122" s="305">
        <f t="shared" si="28"/>
        <v>0.5</v>
      </c>
      <c r="R122" s="177">
        <f t="shared" si="29"/>
        <v>4.764881630692952E-2</v>
      </c>
      <c r="S122" s="811">
        <f t="shared" si="47"/>
        <v>-2</v>
      </c>
      <c r="T122" s="176">
        <f t="shared" si="30"/>
        <v>4</v>
      </c>
      <c r="U122" s="251">
        <f t="shared" si="31"/>
        <v>-1.9523511836930705</v>
      </c>
      <c r="V122" s="383">
        <f t="shared" si="32"/>
        <v>59.640885765804001</v>
      </c>
      <c r="W122" s="435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2">
        <f t="shared" si="38"/>
        <v>0</v>
      </c>
      <c r="AD122" s="169">
        <f>(INDEX(Models!$BJ122:$BT122,,AH122)*(1-AF122)+INDEX(Models!$BJ122:$BT122,,AH122+1)*AF122-ERP_i)*AE122*Ramure*Pc/MaxiM</f>
        <v>1.8487583794429955E-7</v>
      </c>
      <c r="AE122" s="305">
        <f t="shared" si="39"/>
        <v>0.5</v>
      </c>
      <c r="AF122" s="177">
        <f t="shared" si="40"/>
        <v>4.764881630692952E-2</v>
      </c>
      <c r="AG122" s="811">
        <f t="shared" si="41"/>
        <v>-2</v>
      </c>
      <c r="AH122" s="176">
        <f t="shared" si="42"/>
        <v>4</v>
      </c>
      <c r="AI122" s="225">
        <f t="shared" si="43"/>
        <v>-1.9523511836930705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43209</v>
      </c>
      <c r="B123" s="617"/>
      <c r="C123" s="390"/>
      <c r="D123" s="393"/>
      <c r="E123" s="385"/>
      <c r="F123" s="385"/>
      <c r="G123" s="110"/>
      <c r="H123" s="436"/>
      <c r="I123" s="380">
        <f t="shared" si="24"/>
        <v>0</v>
      </c>
      <c r="J123" s="85">
        <v>2018</v>
      </c>
      <c r="K123" s="197">
        <f t="shared" si="25"/>
        <v>43209</v>
      </c>
      <c r="L123" s="437">
        <f t="shared" si="26"/>
        <v>0</v>
      </c>
      <c r="M123" s="856"/>
      <c r="N123" s="856"/>
      <c r="O123" s="324">
        <f t="shared" si="27"/>
        <v>0</v>
      </c>
      <c r="P123" s="169">
        <f>(INDEX(Models!$BJ123:$BT123,,T123)*(1-R123)+INDEX(Models!$BJ123:$BT123,,T123+1)*R123-ERP_i)*Q123*Ramure*Pc/MaxiM</f>
        <v>2.2583307433398833E-7</v>
      </c>
      <c r="Q123" s="305">
        <f t="shared" si="28"/>
        <v>0.5</v>
      </c>
      <c r="R123" s="177">
        <f t="shared" si="29"/>
        <v>4.9560869391566342E-2</v>
      </c>
      <c r="S123" s="811">
        <f t="shared" si="47"/>
        <v>-2</v>
      </c>
      <c r="T123" s="176">
        <f t="shared" si="30"/>
        <v>4</v>
      </c>
      <c r="U123" s="251">
        <f t="shared" si="31"/>
        <v>-1.9504391306084337</v>
      </c>
      <c r="V123" s="383">
        <f t="shared" si="32"/>
        <v>59.842812396119335</v>
      </c>
      <c r="W123" s="435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8">
        <f t="shared" si="38"/>
        <v>0</v>
      </c>
      <c r="AD123" s="169">
        <f>(INDEX(Models!$BJ123:$BT123,,AH123)*(1-AF123)+INDEX(Models!$BJ123:$BT123,,AH123+1)*AF123-ERP_i)*AE123*Ramure*Pc/MaxiM</f>
        <v>2.2583307433398833E-7</v>
      </c>
      <c r="AE123" s="305">
        <f t="shared" si="39"/>
        <v>0.5</v>
      </c>
      <c r="AF123" s="177">
        <f t="shared" si="40"/>
        <v>4.9560869391566342E-2</v>
      </c>
      <c r="AG123" s="811">
        <f t="shared" si="41"/>
        <v>-2</v>
      </c>
      <c r="AH123" s="176">
        <f t="shared" si="42"/>
        <v>4</v>
      </c>
      <c r="AI123" s="225">
        <f t="shared" si="43"/>
        <v>-1.9504391306084337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6"/>
        <v>43210</v>
      </c>
      <c r="B124" s="617"/>
      <c r="C124" s="390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7">
        <f t="shared" si="26"/>
        <v>0</v>
      </c>
      <c r="M124" s="856"/>
      <c r="N124" s="856"/>
      <c r="O124" s="324">
        <f t="shared" si="27"/>
        <v>0</v>
      </c>
      <c r="P124" s="169">
        <f>(INDEX(Models!$BJ124:$BT124,,T124)*(1-R124)+INDEX(Models!$BJ124:$BT124,,T124+1)*R124-ERP_i)*Q124*Ramure*Pc/MaxiM</f>
        <v>2.7447847770092817E-7</v>
      </c>
      <c r="Q124" s="305">
        <f t="shared" si="28"/>
        <v>0.5</v>
      </c>
      <c r="R124" s="177">
        <f t="shared" si="29"/>
        <v>5.1535924120235554E-2</v>
      </c>
      <c r="S124" s="811">
        <f t="shared" si="47"/>
        <v>-2</v>
      </c>
      <c r="T124" s="176">
        <f t="shared" si="30"/>
        <v>4</v>
      </c>
      <c r="U124" s="251">
        <f t="shared" si="31"/>
        <v>-1.9484640758797644</v>
      </c>
      <c r="V124" s="383">
        <f t="shared" si="32"/>
        <v>60.037688476835037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6">
        <f t="shared" si="38"/>
        <v>0</v>
      </c>
      <c r="AD124" s="169">
        <f>(INDEX(Models!$BJ124:$BT124,,AH124)*(1-AF124)+INDEX(Models!$BJ124:$BT124,,AH124+1)*AF124-ERP_i)*AE124*Ramure*Pc/MaxiM</f>
        <v>2.7447847770092817E-7</v>
      </c>
      <c r="AE124" s="305">
        <f t="shared" si="39"/>
        <v>0.5</v>
      </c>
      <c r="AF124" s="177">
        <f t="shared" si="40"/>
        <v>5.1535924120235554E-2</v>
      </c>
      <c r="AG124" s="811">
        <f t="shared" si="41"/>
        <v>-2</v>
      </c>
      <c r="AH124" s="176">
        <f t="shared" si="42"/>
        <v>4</v>
      </c>
      <c r="AI124" s="225">
        <f t="shared" si="43"/>
        <v>-1.9484640758797644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43211</v>
      </c>
      <c r="B125" s="617"/>
      <c r="C125" s="390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7">
        <f t="shared" si="26"/>
        <v>0</v>
      </c>
      <c r="M125" s="856"/>
      <c r="N125" s="856"/>
      <c r="O125" s="324">
        <f t="shared" si="27"/>
        <v>0</v>
      </c>
      <c r="P125" s="169">
        <f>(INDEX(Models!$BJ125:$BT125,,T125)*(1-R125)+INDEX(Models!$BJ125:$BT125,,T125+1)*R125-ERP_i)*Q125*Ramure*Pc/MaxiM</f>
        <v>3.3154560674687249E-7</v>
      </c>
      <c r="Q125" s="305">
        <f t="shared" si="28"/>
        <v>0.5</v>
      </c>
      <c r="R125" s="177">
        <f t="shared" si="29"/>
        <v>5.3575395185708752E-2</v>
      </c>
      <c r="S125" s="811">
        <f t="shared" si="47"/>
        <v>-2</v>
      </c>
      <c r="T125" s="176">
        <f t="shared" si="30"/>
        <v>4</v>
      </c>
      <c r="U125" s="251">
        <f t="shared" si="31"/>
        <v>-1.9464246048142912</v>
      </c>
      <c r="V125" s="383">
        <f t="shared" si="32"/>
        <v>60.225836044700834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6">
        <f t="shared" si="38"/>
        <v>0</v>
      </c>
      <c r="AD125" s="169">
        <f>(INDEX(Models!$BJ125:$BT125,,AH125)*(1-AF125)+INDEX(Models!$BJ125:$BT125,,AH125+1)*AF125-ERP_i)*AE125*Ramure*Pc/MaxiM</f>
        <v>3.3154560674687249E-7</v>
      </c>
      <c r="AE125" s="305">
        <f t="shared" si="39"/>
        <v>0.5</v>
      </c>
      <c r="AF125" s="177">
        <f t="shared" si="40"/>
        <v>5.3575395185708752E-2</v>
      </c>
      <c r="AG125" s="811">
        <f t="shared" si="41"/>
        <v>-2</v>
      </c>
      <c r="AH125" s="176">
        <f t="shared" si="42"/>
        <v>4</v>
      </c>
      <c r="AI125" s="225">
        <f t="shared" si="43"/>
        <v>-1.9464246048142912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6"/>
        <v>43212</v>
      </c>
      <c r="B126" s="617"/>
      <c r="C126" s="390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7">
        <f t="shared" si="26"/>
        <v>0</v>
      </c>
      <c r="M126" s="856"/>
      <c r="N126" s="856"/>
      <c r="O126" s="324">
        <f t="shared" si="27"/>
        <v>0</v>
      </c>
      <c r="P126" s="169">
        <f>(INDEX(Models!$BJ126:$BT126,,T126)*(1-R126)+INDEX(Models!$BJ126:$BT126,,T126+1)*R126-ERP_i)*Q126*Ramure*Pc/MaxiM</f>
        <v>3.978221083036679E-7</v>
      </c>
      <c r="Q126" s="305">
        <f t="shared" si="28"/>
        <v>0.5</v>
      </c>
      <c r="R126" s="177">
        <f t="shared" si="29"/>
        <v>5.5680678732591193E-2</v>
      </c>
      <c r="S126" s="811">
        <f t="shared" si="47"/>
        <v>-2</v>
      </c>
      <c r="T126" s="176">
        <f t="shared" si="30"/>
        <v>4</v>
      </c>
      <c r="U126" s="251">
        <f t="shared" si="31"/>
        <v>-1.9443193212674088</v>
      </c>
      <c r="V126" s="383">
        <f t="shared" si="32"/>
        <v>60.40757713461155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6">
        <f t="shared" si="38"/>
        <v>0</v>
      </c>
      <c r="AD126" s="169">
        <f>(INDEX(Models!$BJ126:$BT126,,AH126)*(1-AF126)+INDEX(Models!$BJ126:$BT126,,AH126+1)*AF126-ERP_i)*AE126*Ramure*Pc/MaxiM</f>
        <v>3.978221083036679E-7</v>
      </c>
      <c r="AE126" s="305">
        <f t="shared" si="39"/>
        <v>0.5</v>
      </c>
      <c r="AF126" s="177">
        <f t="shared" si="40"/>
        <v>5.5680678732591193E-2</v>
      </c>
      <c r="AG126" s="811">
        <f t="shared" si="41"/>
        <v>-2</v>
      </c>
      <c r="AH126" s="176">
        <f t="shared" si="42"/>
        <v>4</v>
      </c>
      <c r="AI126" s="225">
        <f t="shared" si="43"/>
        <v>-1.9443193212674088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6"/>
        <v>43213</v>
      </c>
      <c r="B127" s="617"/>
      <c r="C127" s="390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7">
        <f t="shared" si="26"/>
        <v>0</v>
      </c>
      <c r="M127" s="856"/>
      <c r="N127" s="856"/>
      <c r="O127" s="324">
        <f t="shared" si="27"/>
        <v>0</v>
      </c>
      <c r="P127" s="169">
        <f>(INDEX(Models!$BJ127:$BT127,,T127)*(1-R127)+INDEX(Models!$BJ127:$BT127,,T127+1)*R127-ERP_i)*Q127*Ramure*Pc/MaxiM</f>
        <v>4.7415126736851432E-7</v>
      </c>
      <c r="Q127" s="305">
        <f t="shared" si="28"/>
        <v>0.5</v>
      </c>
      <c r="R127" s="177">
        <f t="shared" si="29"/>
        <v>5.7853147736624644E-2</v>
      </c>
      <c r="S127" s="811">
        <f t="shared" si="47"/>
        <v>-2</v>
      </c>
      <c r="T127" s="176">
        <f t="shared" si="30"/>
        <v>4</v>
      </c>
      <c r="U127" s="251">
        <f t="shared" si="31"/>
        <v>-1.9421468522633754</v>
      </c>
      <c r="V127" s="383">
        <f t="shared" si="32"/>
        <v>60.583233773791143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6">
        <f t="shared" si="38"/>
        <v>0</v>
      </c>
      <c r="AD127" s="169">
        <f>(INDEX(Models!$BJ127:$BT127,,AH127)*(1-AF127)+INDEX(Models!$BJ127:$BT127,,AH127+1)*AF127-ERP_i)*AE127*Ramure*Pc/MaxiM</f>
        <v>4.7415126736851432E-7</v>
      </c>
      <c r="AE127" s="305">
        <f t="shared" si="39"/>
        <v>0.5</v>
      </c>
      <c r="AF127" s="177">
        <f t="shared" si="40"/>
        <v>5.7853147736624644E-2</v>
      </c>
      <c r="AG127" s="811">
        <f t="shared" si="41"/>
        <v>-2</v>
      </c>
      <c r="AH127" s="176">
        <f t="shared" si="42"/>
        <v>4</v>
      </c>
      <c r="AI127" s="225">
        <f t="shared" si="43"/>
        <v>-1.9421468522633754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6"/>
        <v>43214</v>
      </c>
      <c r="B128" s="617"/>
      <c r="C128" s="390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7">
        <f t="shared" si="26"/>
        <v>0</v>
      </c>
      <c r="M128" s="856"/>
      <c r="N128" s="856"/>
      <c r="O128" s="324">
        <f t="shared" si="27"/>
        <v>0</v>
      </c>
      <c r="P128" s="169">
        <f>(INDEX(Models!$BJ128:$BT128,,T128)*(1-R128)+INDEX(Models!$BJ128:$BT128,,T128+1)*R128-ERP_i)*Q128*Ramure*Pc/MaxiM</f>
        <v>5.6670162996712156E-7</v>
      </c>
      <c r="Q128" s="305">
        <f t="shared" si="28"/>
        <v>0.5</v>
      </c>
      <c r="R128" s="177">
        <f t="shared" si="29"/>
        <v>6.0094147123206154E-2</v>
      </c>
      <c r="S128" s="811">
        <f t="shared" si="47"/>
        <v>-2</v>
      </c>
      <c r="T128" s="176">
        <f t="shared" si="30"/>
        <v>4</v>
      </c>
      <c r="U128" s="251">
        <f t="shared" si="31"/>
        <v>-1.9399058528767938</v>
      </c>
      <c r="V128" s="383">
        <f t="shared" si="32"/>
        <v>60.75312767061147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6">
        <f t="shared" si="38"/>
        <v>0</v>
      </c>
      <c r="AD128" s="169">
        <f>(INDEX(Models!$BJ128:$BT128,,AH128)*(1-AF128)+INDEX(Models!$BJ128:$BT128,,AH128+1)*AF128-ERP_i)*AE128*Ramure*Pc/MaxiM</f>
        <v>5.6670162996712156E-7</v>
      </c>
      <c r="AE128" s="305">
        <f t="shared" si="39"/>
        <v>0.5</v>
      </c>
      <c r="AF128" s="177">
        <f t="shared" si="40"/>
        <v>6.0094147123206154E-2</v>
      </c>
      <c r="AG128" s="811">
        <f t="shared" si="41"/>
        <v>-2</v>
      </c>
      <c r="AH128" s="176">
        <f t="shared" si="42"/>
        <v>4</v>
      </c>
      <c r="AI128" s="225">
        <f t="shared" si="43"/>
        <v>-1.9399058528767938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6"/>
        <v>43215</v>
      </c>
      <c r="B129" s="617"/>
      <c r="C129" s="390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7">
        <f t="shared" si="26"/>
        <v>0</v>
      </c>
      <c r="M129" s="856"/>
      <c r="N129" s="856"/>
      <c r="O129" s="324">
        <f t="shared" si="27"/>
        <v>0</v>
      </c>
      <c r="P129" s="169">
        <f>(INDEX(Models!$BJ129:$BT129,,T129)*(1-R129)+INDEX(Models!$BJ129:$BT129,,T129+1)*R129-ERP_i)*Q129*Ramure*Pc/MaxiM</f>
        <v>6.7486447131476905E-7</v>
      </c>
      <c r="Q129" s="305">
        <f t="shared" si="28"/>
        <v>0.5</v>
      </c>
      <c r="R129" s="177">
        <f t="shared" si="29"/>
        <v>6.2404988628171898E-2</v>
      </c>
      <c r="S129" s="811">
        <f t="shared" si="47"/>
        <v>-2</v>
      </c>
      <c r="T129" s="176">
        <f t="shared" si="30"/>
        <v>4</v>
      </c>
      <c r="U129" s="251">
        <f t="shared" si="31"/>
        <v>-1.9375950113718281</v>
      </c>
      <c r="V129" s="383">
        <f t="shared" si="32"/>
        <v>60.917580937268994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6">
        <f t="shared" si="38"/>
        <v>0</v>
      </c>
      <c r="AD129" s="169">
        <f>(INDEX(Models!$BJ129:$BT129,,AH129)*(1-AF129)+INDEX(Models!$BJ129:$BT129,,AH129+1)*AF129-ERP_i)*AE129*Ramure*Pc/MaxiM</f>
        <v>6.7486447131476905E-7</v>
      </c>
      <c r="AE129" s="305">
        <f t="shared" si="39"/>
        <v>0.5</v>
      </c>
      <c r="AF129" s="177">
        <f t="shared" si="40"/>
        <v>6.2404988628171898E-2</v>
      </c>
      <c r="AG129" s="811">
        <f t="shared" si="41"/>
        <v>-2</v>
      </c>
      <c r="AH129" s="176">
        <f t="shared" si="42"/>
        <v>4</v>
      </c>
      <c r="AI129" s="225">
        <f t="shared" si="43"/>
        <v>-1.9375950113718281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6"/>
        <v>43216</v>
      </c>
      <c r="B130" s="617"/>
      <c r="C130" s="390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7">
        <f t="shared" si="26"/>
        <v>0</v>
      </c>
      <c r="M130" s="856"/>
      <c r="N130" s="856"/>
      <c r="O130" s="324">
        <f t="shared" si="27"/>
        <v>0</v>
      </c>
      <c r="P130" s="169">
        <f>(INDEX(Models!$BJ130:$BT130,,T130)*(1-R130)+INDEX(Models!$BJ130:$BT130,,T130+1)*R130-ERP_i)*Q130*Ramure*Pc/MaxiM</f>
        <v>8.0009199029008563E-7</v>
      </c>
      <c r="Q130" s="305">
        <f t="shared" si="28"/>
        <v>0.5</v>
      </c>
      <c r="R130" s="177">
        <f t="shared" si="29"/>
        <v>6.4786945406030805E-2</v>
      </c>
      <c r="S130" s="811">
        <f t="shared" si="47"/>
        <v>-2</v>
      </c>
      <c r="T130" s="176">
        <f t="shared" si="30"/>
        <v>4</v>
      </c>
      <c r="U130" s="251">
        <f t="shared" si="31"/>
        <v>-1.9352130545939692</v>
      </c>
      <c r="V130" s="383">
        <f t="shared" si="32"/>
        <v>61.076915564491763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6">
        <f t="shared" si="38"/>
        <v>0</v>
      </c>
      <c r="AD130" s="169">
        <f>(INDEX(Models!$BJ130:$BT130,,AH130)*(1-AF130)+INDEX(Models!$BJ130:$BT130,,AH130+1)*AF130-ERP_i)*AE130*Ramure*Pc/MaxiM</f>
        <v>8.0009199029008563E-7</v>
      </c>
      <c r="AE130" s="305">
        <f t="shared" si="39"/>
        <v>0.5</v>
      </c>
      <c r="AF130" s="177">
        <f t="shared" si="40"/>
        <v>6.4786945406030805E-2</v>
      </c>
      <c r="AG130" s="811">
        <f t="shared" si="41"/>
        <v>-2</v>
      </c>
      <c r="AH130" s="176">
        <f t="shared" si="42"/>
        <v>4</v>
      </c>
      <c r="AI130" s="225">
        <f t="shared" si="43"/>
        <v>-1.9352130545939692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6"/>
        <v>43217</v>
      </c>
      <c r="B131" s="617"/>
      <c r="C131" s="390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7">
        <f t="shared" si="26"/>
        <v>0</v>
      </c>
      <c r="M131" s="856"/>
      <c r="N131" s="856"/>
      <c r="O131" s="324">
        <f t="shared" si="27"/>
        <v>0</v>
      </c>
      <c r="P131" s="169">
        <f>(INDEX(Models!$BJ131:$BT131,,T131)*(1-R131)+INDEX(Models!$BJ131:$BT131,,T131+1)*R131-ERP_i)*Q131*Ramure*Pc/MaxiM</f>
        <v>9.4393531086635943E-7</v>
      </c>
      <c r="Q131" s="305">
        <f t="shared" si="28"/>
        <v>0.5</v>
      </c>
      <c r="R131" s="177">
        <f t="shared" si="29"/>
        <v>6.7241246393165754E-2</v>
      </c>
      <c r="S131" s="811">
        <f t="shared" si="47"/>
        <v>-2</v>
      </c>
      <c r="T131" s="176">
        <f t="shared" si="30"/>
        <v>4</v>
      </c>
      <c r="U131" s="251">
        <f t="shared" si="31"/>
        <v>-1.9327587536068342</v>
      </c>
      <c r="V131" s="383">
        <f t="shared" si="32"/>
        <v>61.231453534999098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6">
        <f t="shared" si="38"/>
        <v>0</v>
      </c>
      <c r="AD131" s="169">
        <f>(INDEX(Models!$BJ131:$BT131,,AH131)*(1-AF131)+INDEX(Models!$BJ131:$BT131,,AH131+1)*AF131-ERP_i)*AE131*Ramure*Pc/MaxiM</f>
        <v>9.4393531086635943E-7</v>
      </c>
      <c r="AE131" s="305">
        <f t="shared" si="39"/>
        <v>0.5</v>
      </c>
      <c r="AF131" s="177">
        <f t="shared" si="40"/>
        <v>6.7241246393165754E-2</v>
      </c>
      <c r="AG131" s="811">
        <f t="shared" si="41"/>
        <v>-2</v>
      </c>
      <c r="AH131" s="176">
        <f t="shared" si="42"/>
        <v>4</v>
      </c>
      <c r="AI131" s="225">
        <f t="shared" si="43"/>
        <v>-1.9327587536068342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6"/>
        <v>43218</v>
      </c>
      <c r="B132" s="617"/>
      <c r="C132" s="390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7">
        <f t="shared" si="26"/>
        <v>0</v>
      </c>
      <c r="M132" s="856"/>
      <c r="N132" s="856"/>
      <c r="O132" s="324">
        <f t="shared" si="27"/>
        <v>0</v>
      </c>
      <c r="P132" s="169">
        <f>(INDEX(Models!$BJ132:$BT132,,T132)*(1-R132)+INDEX(Models!$BJ132:$BT132,,T132+1)*R132-ERP_i)*Q132*Ramure*Pc/MaxiM</f>
        <v>1.1080483422388593E-6</v>
      </c>
      <c r="Q132" s="305">
        <f t="shared" si="28"/>
        <v>0.5</v>
      </c>
      <c r="R132" s="177">
        <f t="shared" si="29"/>
        <v>6.976907043604319E-2</v>
      </c>
      <c r="S132" s="811">
        <f t="shared" si="47"/>
        <v>-2</v>
      </c>
      <c r="T132" s="176">
        <f t="shared" si="30"/>
        <v>4</v>
      </c>
      <c r="U132" s="251">
        <f t="shared" si="31"/>
        <v>-1.9302309295639568</v>
      </c>
      <c r="V132" s="383">
        <f t="shared" si="32"/>
        <v>61.381516825227337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6">
        <f t="shared" si="38"/>
        <v>0</v>
      </c>
      <c r="AD132" s="169">
        <f>(INDEX(Models!$BJ132:$BT132,,AH132)*(1-AF132)+INDEX(Models!$BJ132:$BT132,,AH132+1)*AF132-ERP_i)*AE132*Ramure*Pc/MaxiM</f>
        <v>1.1080483422388593E-6</v>
      </c>
      <c r="AE132" s="305">
        <f t="shared" si="39"/>
        <v>0.5</v>
      </c>
      <c r="AF132" s="177">
        <f t="shared" si="40"/>
        <v>6.976907043604319E-2</v>
      </c>
      <c r="AG132" s="811">
        <f t="shared" si="41"/>
        <v>-2</v>
      </c>
      <c r="AH132" s="176">
        <f t="shared" si="42"/>
        <v>4</v>
      </c>
      <c r="AI132" s="225">
        <f t="shared" si="43"/>
        <v>-1.9302309295639568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6"/>
        <v>43219</v>
      </c>
      <c r="B133" s="617"/>
      <c r="C133" s="390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7">
        <f t="shared" si="26"/>
        <v>0</v>
      </c>
      <c r="M133" s="856"/>
      <c r="N133" s="856"/>
      <c r="O133" s="324">
        <f t="shared" si="27"/>
        <v>0</v>
      </c>
      <c r="P133" s="169">
        <f>(INDEX(Models!$BJ133:$BT133,,T133)*(1-R133)+INDEX(Models!$BJ133:$BT133,,T133+1)*R133-ERP_i)*Q133*Ramure*Pc/MaxiM</f>
        <v>1.2941914463115427E-6</v>
      </c>
      <c r="Q133" s="305">
        <f t="shared" si="28"/>
        <v>0.5</v>
      </c>
      <c r="R133" s="177">
        <f t="shared" si="29"/>
        <v>7.2371540197175177E-2</v>
      </c>
      <c r="S133" s="811">
        <f t="shared" si="47"/>
        <v>-2</v>
      </c>
      <c r="T133" s="176">
        <f t="shared" si="30"/>
        <v>4</v>
      </c>
      <c r="U133" s="251">
        <f t="shared" si="31"/>
        <v>-1.9276284598028248</v>
      </c>
      <c r="V133" s="383">
        <f t="shared" si="32"/>
        <v>61.527427404932183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6">
        <f t="shared" si="38"/>
        <v>0</v>
      </c>
      <c r="AD133" s="169">
        <f>(INDEX(Models!$BJ133:$BT133,,AH133)*(1-AF133)+INDEX(Models!$BJ133:$BT133,,AH133+1)*AF133-ERP_i)*AE133*Ramure*Pc/MaxiM</f>
        <v>1.2941914463115427E-6</v>
      </c>
      <c r="AE133" s="305">
        <f t="shared" si="39"/>
        <v>0.5</v>
      </c>
      <c r="AF133" s="177">
        <f t="shared" si="40"/>
        <v>7.2371540197175177E-2</v>
      </c>
      <c r="AG133" s="811">
        <f t="shared" si="41"/>
        <v>-2</v>
      </c>
      <c r="AH133" s="176">
        <f t="shared" si="42"/>
        <v>4</v>
      </c>
      <c r="AI133" s="225">
        <f t="shared" si="43"/>
        <v>-1.9276284598028248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6"/>
        <v>43220</v>
      </c>
      <c r="B134" s="617"/>
      <c r="C134" s="390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7">
        <f t="shared" si="26"/>
        <v>0</v>
      </c>
      <c r="M134" s="856"/>
      <c r="N134" s="856"/>
      <c r="O134" s="324">
        <f t="shared" si="27"/>
        <v>0</v>
      </c>
      <c r="P134" s="169">
        <f>(INDEX(Models!$BJ134:$BT134,,T134)*(1-R134)+INDEX(Models!$BJ134:$BT134,,T134+1)*R134-ERP_i)*Q134*Ramure*Pc/MaxiM</f>
        <v>1.504234857006496E-6</v>
      </c>
      <c r="Q134" s="305">
        <f t="shared" si="28"/>
        <v>0.5</v>
      </c>
      <c r="R134" s="177">
        <f t="shared" si="29"/>
        <v>7.5049715854454302E-2</v>
      </c>
      <c r="S134" s="811">
        <f t="shared" si="47"/>
        <v>-2</v>
      </c>
      <c r="T134" s="176">
        <f t="shared" si="30"/>
        <v>4</v>
      </c>
      <c r="U134" s="251">
        <f t="shared" si="31"/>
        <v>-1.9249502841455457</v>
      </c>
      <c r="V134" s="383">
        <f t="shared" si="32"/>
        <v>61.66950723541558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6">
        <f t="shared" si="38"/>
        <v>0</v>
      </c>
      <c r="AD134" s="169">
        <f>(INDEX(Models!$BJ134:$BT134,,AH134)*(1-AF134)+INDEX(Models!$BJ134:$BT134,,AH134+1)*AF134-ERP_i)*AE134*Ramure*Pc/MaxiM</f>
        <v>1.504234857006496E-6</v>
      </c>
      <c r="AE134" s="305">
        <f t="shared" si="39"/>
        <v>0.5</v>
      </c>
      <c r="AF134" s="177">
        <f t="shared" si="40"/>
        <v>7.5049715854454302E-2</v>
      </c>
      <c r="AG134" s="811">
        <f t="shared" si="41"/>
        <v>-2</v>
      </c>
      <c r="AH134" s="176">
        <f t="shared" si="42"/>
        <v>4</v>
      </c>
      <c r="AI134" s="225">
        <f t="shared" si="43"/>
        <v>-1.9249502841455457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6"/>
        <v>43221</v>
      </c>
      <c r="B135" s="617"/>
      <c r="C135" s="390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7">
        <f t="shared" si="26"/>
        <v>0</v>
      </c>
      <c r="M135" s="856"/>
      <c r="N135" s="856"/>
      <c r="O135" s="324">
        <f t="shared" si="27"/>
        <v>0</v>
      </c>
      <c r="P135" s="169">
        <f>(INDEX(Models!$BJ135:$BT135,,T135)*(1-R135)+INDEX(Models!$BJ135:$BT135,,T135+1)*R135-ERP_i)*Q135*Ramure*Pc/MaxiM</f>
        <v>1.7401910106520272E-6</v>
      </c>
      <c r="Q135" s="305">
        <f t="shared" si="28"/>
        <v>0.5</v>
      </c>
      <c r="R135" s="177">
        <f t="shared" si="29"/>
        <v>7.7804588612514269E-2</v>
      </c>
      <c r="S135" s="811">
        <f t="shared" si="47"/>
        <v>-2</v>
      </c>
      <c r="T135" s="176">
        <f t="shared" si="30"/>
        <v>4</v>
      </c>
      <c r="U135" s="251">
        <f t="shared" si="31"/>
        <v>-1.9221954113874857</v>
      </c>
      <c r="V135" s="383">
        <f t="shared" si="32"/>
        <v>61.807040439990701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6">
        <f t="shared" si="38"/>
        <v>0</v>
      </c>
      <c r="AD135" s="169">
        <f>(INDEX(Models!$BJ135:$BT135,,AH135)*(1-AF135)+INDEX(Models!$BJ135:$BT135,,AH135+1)*AF135-ERP_i)*AE135*Ramure*Pc/MaxiM</f>
        <v>1.7401910106520272E-6</v>
      </c>
      <c r="AE135" s="305">
        <f t="shared" si="39"/>
        <v>0.5</v>
      </c>
      <c r="AF135" s="177">
        <f t="shared" si="40"/>
        <v>7.7804588612514269E-2</v>
      </c>
      <c r="AG135" s="811">
        <f t="shared" si="41"/>
        <v>-2</v>
      </c>
      <c r="AH135" s="176">
        <f t="shared" si="42"/>
        <v>4</v>
      </c>
      <c r="AI135" s="225">
        <f t="shared" si="43"/>
        <v>-1.9221954113874857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6"/>
        <v>43222</v>
      </c>
      <c r="B136" s="617"/>
      <c r="C136" s="390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7">
        <f t="shared" si="26"/>
        <v>0</v>
      </c>
      <c r="M136" s="856"/>
      <c r="N136" s="856"/>
      <c r="O136" s="324">
        <f t="shared" si="27"/>
        <v>0</v>
      </c>
      <c r="P136" s="169">
        <f>(INDEX(Models!$BJ136:$BT136,,T136)*(1-R136)+INDEX(Models!$BJ136:$BT136,,T136+1)*R136-ERP_i)*Q136*Ramure*Pc/MaxiM</f>
        <v>2.0106042760765181E-6</v>
      </c>
      <c r="Q136" s="305">
        <f t="shared" si="28"/>
        <v>0.5</v>
      </c>
      <c r="R136" s="177">
        <f t="shared" si="29"/>
        <v>8.0637074047949397E-2</v>
      </c>
      <c r="S136" s="811">
        <f t="shared" si="47"/>
        <v>-2</v>
      </c>
      <c r="T136" s="176">
        <f t="shared" si="30"/>
        <v>4</v>
      </c>
      <c r="U136" s="251">
        <f t="shared" si="31"/>
        <v>-1.9193629259520506</v>
      </c>
      <c r="V136" s="383">
        <f t="shared" si="32"/>
        <v>61.939167593297817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6">
        <f t="shared" si="38"/>
        <v>0</v>
      </c>
      <c r="AD136" s="169">
        <f>(INDEX(Models!$BJ136:$BT136,,AH136)*(1-AF136)+INDEX(Models!$BJ136:$BT136,,AH136+1)*AF136-ERP_i)*AE136*Ramure*Pc/MaxiM</f>
        <v>2.0106042760765181E-6</v>
      </c>
      <c r="AE136" s="305">
        <f t="shared" si="39"/>
        <v>0.5</v>
      </c>
      <c r="AF136" s="177">
        <f t="shared" si="40"/>
        <v>8.0637074047949397E-2</v>
      </c>
      <c r="AG136" s="811">
        <f t="shared" si="41"/>
        <v>-2</v>
      </c>
      <c r="AH136" s="176">
        <f t="shared" si="42"/>
        <v>4</v>
      </c>
      <c r="AI136" s="225">
        <f t="shared" si="43"/>
        <v>-1.9193629259520506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6"/>
        <v>43223</v>
      </c>
      <c r="B137" s="617"/>
      <c r="C137" s="390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7">
        <f t="shared" si="26"/>
        <v>0</v>
      </c>
      <c r="M137" s="856"/>
      <c r="N137" s="856"/>
      <c r="O137" s="324">
        <f t="shared" si="27"/>
        <v>0</v>
      </c>
      <c r="P137" s="169">
        <f>(INDEX(Models!$BJ137:$BT137,,T137)*(1-R137)+INDEX(Models!$BJ137:$BT137,,T137+1)*R137-ERP_i)*Q137*Ramure*Pc/MaxiM</f>
        <v>2.3136235596615376E-6</v>
      </c>
      <c r="Q137" s="305">
        <f t="shared" si="28"/>
        <v>0.5</v>
      </c>
      <c r="R137" s="177">
        <f t="shared" si="29"/>
        <v>8.3548005313513141E-2</v>
      </c>
      <c r="S137" s="811">
        <f t="shared" si="47"/>
        <v>-2</v>
      </c>
      <c r="T137" s="176">
        <f t="shared" si="30"/>
        <v>4</v>
      </c>
      <c r="U137" s="251">
        <f t="shared" si="31"/>
        <v>-1.9164519946864869</v>
      </c>
      <c r="V137" s="383">
        <f t="shared" si="32"/>
        <v>62.065996162025513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6">
        <f t="shared" si="38"/>
        <v>0</v>
      </c>
      <c r="AD137" s="169">
        <f>(INDEX(Models!$BJ137:$BT137,,AH137)*(1-AF137)+INDEX(Models!$BJ137:$BT137,,AH137+1)*AF137-ERP_i)*AE137*Ramure*Pc/MaxiM</f>
        <v>2.3136235596615376E-6</v>
      </c>
      <c r="AE137" s="305">
        <f t="shared" si="39"/>
        <v>0.5</v>
      </c>
      <c r="AF137" s="177">
        <f t="shared" si="40"/>
        <v>8.3548005313513141E-2</v>
      </c>
      <c r="AG137" s="811">
        <f t="shared" si="41"/>
        <v>-2</v>
      </c>
      <c r="AH137" s="176">
        <f t="shared" si="42"/>
        <v>4</v>
      </c>
      <c r="AI137" s="225">
        <f t="shared" si="43"/>
        <v>-1.9164519946864869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6"/>
        <v>43224</v>
      </c>
      <c r="B138" s="617"/>
      <c r="C138" s="390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7">
        <f t="shared" si="26"/>
        <v>0</v>
      </c>
      <c r="M138" s="856"/>
      <c r="N138" s="856"/>
      <c r="O138" s="324">
        <f t="shared" si="27"/>
        <v>0</v>
      </c>
      <c r="P138" s="169">
        <f>(INDEX(Models!$BJ138:$BT138,,T138)*(1-R138)+INDEX(Models!$BJ138:$BT138,,T138+1)*R138-ERP_i)*Q138*Ramure*Pc/MaxiM</f>
        <v>2.6519059800945527E-6</v>
      </c>
      <c r="Q138" s="305">
        <f t="shared" si="28"/>
        <v>0.5</v>
      </c>
      <c r="R138" s="177">
        <f t="shared" si="29"/>
        <v>8.6538126229803503E-2</v>
      </c>
      <c r="S138" s="811">
        <f t="shared" si="47"/>
        <v>-2</v>
      </c>
      <c r="T138" s="176">
        <f t="shared" si="30"/>
        <v>4</v>
      </c>
      <c r="U138" s="251">
        <f t="shared" si="31"/>
        <v>-1.9134618737701965</v>
      </c>
      <c r="V138" s="383">
        <f t="shared" si="32"/>
        <v>62.187633334591823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6">
        <f t="shared" si="38"/>
        <v>0</v>
      </c>
      <c r="AD138" s="169">
        <f>(INDEX(Models!$BJ138:$BT138,,AH138)*(1-AF138)+INDEX(Models!$BJ138:$BT138,,AH138+1)*AF138-ERP_i)*AE138*Ramure*Pc/MaxiM</f>
        <v>2.6519059800945527E-6</v>
      </c>
      <c r="AE138" s="305">
        <f t="shared" si="39"/>
        <v>0.5</v>
      </c>
      <c r="AF138" s="177">
        <f t="shared" si="40"/>
        <v>8.6538126229803503E-2</v>
      </c>
      <c r="AG138" s="811">
        <f t="shared" si="41"/>
        <v>-2</v>
      </c>
      <c r="AH138" s="176">
        <f t="shared" si="42"/>
        <v>4</v>
      </c>
      <c r="AI138" s="225">
        <f t="shared" si="43"/>
        <v>-1.9134618737701965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6"/>
        <v>43225</v>
      </c>
      <c r="B139" s="617"/>
      <c r="C139" s="390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7">
        <f t="shared" si="26"/>
        <v>0</v>
      </c>
      <c r="M139" s="856"/>
      <c r="N139" s="856"/>
      <c r="O139" s="324">
        <f t="shared" si="27"/>
        <v>0</v>
      </c>
      <c r="P139" s="169">
        <f>(INDEX(Models!$BJ139:$BT139,,T139)*(1-R139)+INDEX(Models!$BJ139:$BT139,,T139+1)*R139-ERP_i)*Q139*Ramure*Pc/MaxiM</f>
        <v>3.0282615015386734E-6</v>
      </c>
      <c r="Q139" s="305">
        <f t="shared" si="28"/>
        <v>0.5</v>
      </c>
      <c r="R139" s="177">
        <f t="shared" si="29"/>
        <v>8.9608084296380008E-2</v>
      </c>
      <c r="S139" s="811">
        <f t="shared" si="47"/>
        <v>-2</v>
      </c>
      <c r="T139" s="176">
        <f t="shared" si="30"/>
        <v>4</v>
      </c>
      <c r="U139" s="251">
        <f t="shared" si="31"/>
        <v>-1.91039191570362</v>
      </c>
      <c r="V139" s="383">
        <f t="shared" si="32"/>
        <v>62.304186289264699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6">
        <f t="shared" si="38"/>
        <v>0</v>
      </c>
      <c r="AD139" s="169">
        <f>(INDEX(Models!$BJ139:$BT139,,AH139)*(1-AF139)+INDEX(Models!$BJ139:$BT139,,AH139+1)*AF139-ERP_i)*AE139*Ramure*Pc/MaxiM</f>
        <v>3.0282615015386734E-6</v>
      </c>
      <c r="AE139" s="305">
        <f t="shared" si="39"/>
        <v>0.5</v>
      </c>
      <c r="AF139" s="177">
        <f t="shared" si="40"/>
        <v>8.9608084296380008E-2</v>
      </c>
      <c r="AG139" s="811">
        <f t="shared" si="41"/>
        <v>-2</v>
      </c>
      <c r="AH139" s="176">
        <f t="shared" si="42"/>
        <v>4</v>
      </c>
      <c r="AI139" s="225">
        <f t="shared" si="43"/>
        <v>-1.91039191570362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6"/>
        <v>43226</v>
      </c>
      <c r="B140" s="617"/>
      <c r="C140" s="390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7">
        <f t="shared" si="26"/>
        <v>0</v>
      </c>
      <c r="M140" s="856"/>
      <c r="N140" s="856"/>
      <c r="O140" s="324">
        <f t="shared" si="27"/>
        <v>0</v>
      </c>
      <c r="P140" s="169">
        <f>(INDEX(Models!$BJ140:$BT140,,T140)*(1-R140)+INDEX(Models!$BJ140:$BT140,,T140+1)*R140-ERP_i)*Q140*Ramure*Pc/MaxiM</f>
        <v>3.4456563626553144E-6</v>
      </c>
      <c r="Q140" s="305">
        <f t="shared" si="28"/>
        <v>0.5</v>
      </c>
      <c r="R140" s="177">
        <f t="shared" si="29"/>
        <v>9.2758423657721245E-2</v>
      </c>
      <c r="S140" s="811">
        <f t="shared" si="47"/>
        <v>-2</v>
      </c>
      <c r="T140" s="176">
        <f t="shared" si="30"/>
        <v>4</v>
      </c>
      <c r="U140" s="251">
        <f t="shared" si="31"/>
        <v>-1.9072415763422788</v>
      </c>
      <c r="V140" s="383">
        <f t="shared" si="32"/>
        <v>62.415762195822587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6">
        <f t="shared" si="38"/>
        <v>0</v>
      </c>
      <c r="AD140" s="169">
        <f>(INDEX(Models!$BJ140:$BT140,,AH140)*(1-AF140)+INDEX(Models!$BJ140:$BT140,,AH140+1)*AF140-ERP_i)*AE140*Ramure*Pc/MaxiM</f>
        <v>3.4456563626553144E-6</v>
      </c>
      <c r="AE140" s="305">
        <f t="shared" si="39"/>
        <v>0.5</v>
      </c>
      <c r="AF140" s="177">
        <f t="shared" si="40"/>
        <v>9.2758423657721245E-2</v>
      </c>
      <c r="AG140" s="811">
        <f t="shared" si="41"/>
        <v>-2</v>
      </c>
      <c r="AH140" s="176">
        <f t="shared" si="42"/>
        <v>4</v>
      </c>
      <c r="AI140" s="225">
        <f t="shared" si="43"/>
        <v>-1.9072415763422788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6"/>
        <v>43227</v>
      </c>
      <c r="B141" s="617"/>
      <c r="C141" s="390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7">
        <f t="shared" si="26"/>
        <v>0</v>
      </c>
      <c r="M141" s="856"/>
      <c r="N141" s="856"/>
      <c r="O141" s="324">
        <f t="shared" si="27"/>
        <v>0</v>
      </c>
      <c r="P141" s="169">
        <f>(INDEX(Models!$BJ141:$BT141,,T141)*(1-R141)+INDEX(Models!$BJ141:$BT141,,T141+1)*R141-ERP_i)*Q141*Ramure*Pc/MaxiM</f>
        <v>3.9072159454113168E-6</v>
      </c>
      <c r="Q141" s="305">
        <f t="shared" si="28"/>
        <v>0.5</v>
      </c>
      <c r="R141" s="177">
        <f t="shared" si="29"/>
        <v>9.5989578062873671E-2</v>
      </c>
      <c r="S141" s="811">
        <f t="shared" si="47"/>
        <v>-2</v>
      </c>
      <c r="T141" s="176">
        <f t="shared" si="30"/>
        <v>4</v>
      </c>
      <c r="U141" s="251">
        <f t="shared" si="31"/>
        <v>-1.9040104219371263</v>
      </c>
      <c r="V141" s="383">
        <f t="shared" si="32"/>
        <v>62.522468211026684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6">
        <f t="shared" si="38"/>
        <v>0</v>
      </c>
      <c r="AD141" s="169">
        <f>(INDEX(Models!$BJ141:$BT141,,AH141)*(1-AF141)+INDEX(Models!$BJ141:$BT141,,AH141+1)*AF141-ERP_i)*AE141*Ramure*Pc/MaxiM</f>
        <v>3.9072159454113168E-6</v>
      </c>
      <c r="AE141" s="305">
        <f t="shared" si="39"/>
        <v>0.5</v>
      </c>
      <c r="AF141" s="177">
        <f t="shared" si="40"/>
        <v>9.5989578062873671E-2</v>
      </c>
      <c r="AG141" s="811">
        <f t="shared" si="41"/>
        <v>-2</v>
      </c>
      <c r="AH141" s="176">
        <f t="shared" si="42"/>
        <v>4</v>
      </c>
      <c r="AI141" s="225">
        <f t="shared" si="43"/>
        <v>-1.9040104219371263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6"/>
        <v>43228</v>
      </c>
      <c r="B142" s="617"/>
      <c r="C142" s="390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7">
        <f t="shared" si="26"/>
        <v>0</v>
      </c>
      <c r="M142" s="856"/>
      <c r="N142" s="856"/>
      <c r="O142" s="324">
        <f t="shared" si="27"/>
        <v>0</v>
      </c>
      <c r="P142" s="169">
        <f>(INDEX(Models!$BJ142:$BT142,,T142)*(1-R142)+INDEX(Models!$BJ142:$BT142,,T142+1)*R142-ERP_i)*Q142*Ramure*Pc/MaxiM</f>
        <v>4.3907910729356184E-6</v>
      </c>
      <c r="Q142" s="305">
        <f t="shared" si="28"/>
        <v>0.5</v>
      </c>
      <c r="R142" s="177">
        <f t="shared" si="29"/>
        <v>9.930186386100659E-2</v>
      </c>
      <c r="S142" s="811">
        <f t="shared" si="47"/>
        <v>-2</v>
      </c>
      <c r="T142" s="176">
        <f t="shared" si="30"/>
        <v>4</v>
      </c>
      <c r="U142" s="251">
        <f t="shared" si="31"/>
        <v>-1.9006981361389934</v>
      </c>
      <c r="V142" s="383">
        <f t="shared" si="32"/>
        <v>62.624413074823657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6">
        <f t="shared" si="38"/>
        <v>0</v>
      </c>
      <c r="AD142" s="169">
        <f>(INDEX(Models!$BJ142:$BT142,,AH142)*(1-AF142)+INDEX(Models!$BJ142:$BT142,,AH142+1)*AF142-ERP_i)*AE142*Ramure*Pc/MaxiM</f>
        <v>4.3907910729356184E-6</v>
      </c>
      <c r="AE142" s="305">
        <f t="shared" si="39"/>
        <v>0.5</v>
      </c>
      <c r="AF142" s="177">
        <f t="shared" si="40"/>
        <v>9.930186386100659E-2</v>
      </c>
      <c r="AG142" s="811">
        <f t="shared" si="41"/>
        <v>-2</v>
      </c>
      <c r="AH142" s="176">
        <f t="shared" si="42"/>
        <v>4</v>
      </c>
      <c r="AI142" s="225">
        <f t="shared" si="43"/>
        <v>-1.9006981361389934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6"/>
        <v>43229</v>
      </c>
      <c r="B143" s="617"/>
      <c r="C143" s="390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7">
        <f t="shared" ref="L143:L206" si="50">IF(t&lt;T0,0,IF(t&lt;Tvie,1-EXP((T0-t)*PertePVj),1-EXP((T0-t)*PertePVj)+Pspv))</f>
        <v>0</v>
      </c>
      <c r="M143" s="856"/>
      <c r="N143" s="856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4.8874716227919995E-6</v>
      </c>
      <c r="Q143" s="305">
        <f t="shared" ref="Q143:Q206" si="52">IF(OR(t&lt;Ttai,Notai),Dd+PousD*Croivg,Dens+PousD*(Croivg-Croi_tai))</f>
        <v>0.5</v>
      </c>
      <c r="R143" s="177">
        <f t="shared" ref="R143:R206" si="53">(Hp_vg-S143)/(INDEX(Echel_vg,T143+1)-S143)</f>
        <v>0.10269547307835203</v>
      </c>
      <c r="S143" s="811">
        <f t="shared" si="47"/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-1.897304526921648</v>
      </c>
      <c r="V143" s="383">
        <f t="shared" ref="V143:V206" si="56">MaxiM*(1-Ppv)*(1-Pvg)*(1-Psa)</f>
        <v>62.721704708265619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6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4.8874716227919995E-6</v>
      </c>
      <c r="AE143" s="305">
        <f t="shared" ref="AE143:AE206" si="63">Dd+PousD*Croivg</f>
        <v>0.5</v>
      </c>
      <c r="AF143" s="177">
        <f t="shared" ref="AF143:AF206" si="64">(Hp_vg_s-AG143)/(INDEX(Echel_vg,AH143+1)-AG143)</f>
        <v>0.10269547307835203</v>
      </c>
      <c r="AG143" s="811">
        <f t="shared" ref="AG143:AG206" si="65">INDEX(Echel_vg,AH143)</f>
        <v>-2</v>
      </c>
      <c r="AH143" s="176">
        <f t="shared" ref="AH143:AH206" si="66">MIN(MATCH(Hp_vg_s,Echel_vg),10)</f>
        <v>4</v>
      </c>
      <c r="AI143" s="225">
        <f t="shared" ref="AI143:AI206" si="67">Hdd+PousH*Croivg</f>
        <v>-1.897304526921648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0" si="70">A143+1</f>
        <v>43230</v>
      </c>
      <c r="B144" s="617"/>
      <c r="C144" s="390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7">
        <f t="shared" si="50"/>
        <v>0</v>
      </c>
      <c r="M144" s="856"/>
      <c r="N144" s="856"/>
      <c r="O144" s="324">
        <f t="shared" si="51"/>
        <v>0</v>
      </c>
      <c r="P144" s="169">
        <f>(INDEX(Models!$BJ144:$BT144,,T144)*(1-R144)+INDEX(Models!$BJ144:$BT144,,T144+1)*R144-ERP_i)*Q144*Ramure*Pc/MaxiM</f>
        <v>5.3966384827004274E-6</v>
      </c>
      <c r="Q144" s="305">
        <f t="shared" si="52"/>
        <v>0.5</v>
      </c>
      <c r="R144" s="177">
        <f t="shared" si="53"/>
        <v>0.10617046662507024</v>
      </c>
      <c r="S144" s="811">
        <f t="shared" ref="S144:S207" si="71">INDEX(Echel_vg,T144)</f>
        <v>-2</v>
      </c>
      <c r="T144" s="176">
        <f t="shared" si="54"/>
        <v>4</v>
      </c>
      <c r="U144" s="251">
        <f t="shared" si="55"/>
        <v>-1.8938295333749298</v>
      </c>
      <c r="V144" s="383">
        <f t="shared" si="56"/>
        <v>62.814450516060397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6">
        <f t="shared" si="62"/>
        <v>0</v>
      </c>
      <c r="AD144" s="169">
        <f>(INDEX(Models!$BJ144:$BT144,,AH144)*(1-AF144)+INDEX(Models!$BJ144:$BT144,,AH144+1)*AF144-ERP_i)*AE144*Ramure*Pc/MaxiM</f>
        <v>5.3966384827004274E-6</v>
      </c>
      <c r="AE144" s="305">
        <f t="shared" si="63"/>
        <v>0.5</v>
      </c>
      <c r="AF144" s="177">
        <f t="shared" si="64"/>
        <v>0.10617046662507024</v>
      </c>
      <c r="AG144" s="811">
        <f t="shared" si="65"/>
        <v>-2</v>
      </c>
      <c r="AH144" s="176">
        <f t="shared" si="66"/>
        <v>4</v>
      </c>
      <c r="AI144" s="225">
        <f t="shared" si="67"/>
        <v>-1.8938295333749298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0"/>
        <v>43231</v>
      </c>
      <c r="B145" s="617"/>
      <c r="C145" s="390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7">
        <f t="shared" si="50"/>
        <v>0</v>
      </c>
      <c r="M145" s="856"/>
      <c r="N145" s="856"/>
      <c r="O145" s="324">
        <f t="shared" si="51"/>
        <v>0</v>
      </c>
      <c r="P145" s="169">
        <f>(INDEX(Models!$BJ145:$BT145,,T145)*(1-R145)+INDEX(Models!$BJ145:$BT145,,T145+1)*R145-ERP_i)*Q145*Ramure*Pc/MaxiM</f>
        <v>5.9175564751570963E-6</v>
      </c>
      <c r="Q145" s="305">
        <f t="shared" si="52"/>
        <v>0.5</v>
      </c>
      <c r="R145" s="177">
        <f t="shared" si="53"/>
        <v>0.10972676768343459</v>
      </c>
      <c r="S145" s="811">
        <f t="shared" si="71"/>
        <v>-2</v>
      </c>
      <c r="T145" s="176">
        <f t="shared" si="54"/>
        <v>4</v>
      </c>
      <c r="U145" s="251">
        <f t="shared" si="55"/>
        <v>-1.8902732323165654</v>
      </c>
      <c r="V145" s="383">
        <f t="shared" si="56"/>
        <v>62.902757905254973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6">
        <f t="shared" si="62"/>
        <v>0</v>
      </c>
      <c r="AD145" s="169">
        <f>(INDEX(Models!$BJ145:$BT145,,AH145)*(1-AF145)+INDEX(Models!$BJ145:$BT145,,AH145+1)*AF145-ERP_i)*AE145*Ramure*Pc/MaxiM</f>
        <v>5.9175564751570963E-6</v>
      </c>
      <c r="AE145" s="305">
        <f t="shared" si="63"/>
        <v>0.5</v>
      </c>
      <c r="AF145" s="177">
        <f t="shared" si="64"/>
        <v>0.10972676768343459</v>
      </c>
      <c r="AG145" s="811">
        <f t="shared" si="65"/>
        <v>-2</v>
      </c>
      <c r="AH145" s="176">
        <f t="shared" si="66"/>
        <v>4</v>
      </c>
      <c r="AI145" s="225">
        <f t="shared" si="67"/>
        <v>-1.8902732323165654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0"/>
        <v>43232</v>
      </c>
      <c r="B146" s="617"/>
      <c r="C146" s="390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7">
        <f t="shared" si="50"/>
        <v>0</v>
      </c>
      <c r="M146" s="856"/>
      <c r="N146" s="856"/>
      <c r="O146" s="324">
        <f t="shared" si="51"/>
        <v>0</v>
      </c>
      <c r="P146" s="169">
        <f>(INDEX(Models!$BJ146:$BT146,,T146)*(1-R146)+INDEX(Models!$BJ146:$BT146,,T146+1)*R146-ERP_i)*Q146*Ramure*Pc/MaxiM</f>
        <v>6.4493669718607729E-6</v>
      </c>
      <c r="Q146" s="305">
        <f t="shared" si="52"/>
        <v>0.5</v>
      </c>
      <c r="R146" s="177">
        <f t="shared" si="53"/>
        <v>0.11336415533126321</v>
      </c>
      <c r="S146" s="811">
        <f t="shared" si="71"/>
        <v>-2</v>
      </c>
      <c r="T146" s="176">
        <f t="shared" si="54"/>
        <v>4</v>
      </c>
      <c r="U146" s="251">
        <f t="shared" si="55"/>
        <v>-1.8866358446687368</v>
      </c>
      <c r="V146" s="383">
        <f t="shared" si="56"/>
        <v>62.986734297522929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6">
        <f t="shared" si="62"/>
        <v>0</v>
      </c>
      <c r="AD146" s="169">
        <f>(INDEX(Models!$BJ146:$BT146,,AH146)*(1-AF146)+INDEX(Models!$BJ146:$BT146,,AH146+1)*AF146-ERP_i)*AE146*Ramure*Pc/MaxiM</f>
        <v>6.4493669718607729E-6</v>
      </c>
      <c r="AE146" s="305">
        <f t="shared" si="63"/>
        <v>0.5</v>
      </c>
      <c r="AF146" s="177">
        <f t="shared" si="64"/>
        <v>0.11336415533126321</v>
      </c>
      <c r="AG146" s="811">
        <f t="shared" si="65"/>
        <v>-2</v>
      </c>
      <c r="AH146" s="176">
        <f t="shared" si="66"/>
        <v>4</v>
      </c>
      <c r="AI146" s="225">
        <f t="shared" si="67"/>
        <v>-1.8866358446687368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0"/>
        <v>43233</v>
      </c>
      <c r="B147" s="617"/>
      <c r="C147" s="390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7">
        <f t="shared" si="50"/>
        <v>0</v>
      </c>
      <c r="M147" s="856"/>
      <c r="N147" s="856"/>
      <c r="O147" s="324">
        <f t="shared" si="51"/>
        <v>0</v>
      </c>
      <c r="P147" s="169">
        <f>(INDEX(Models!$BJ147:$BT147,,T147)*(1-R147)+INDEX(Models!$BJ147:$BT147,,T147+1)*R147-ERP_i)*Q147*Ramure*Pc/MaxiM</f>
        <v>6.9910806326308921E-6</v>
      </c>
      <c r="Q147" s="305">
        <f t="shared" si="52"/>
        <v>0.5</v>
      </c>
      <c r="R147" s="177">
        <f t="shared" si="53"/>
        <v>0.11708225845671527</v>
      </c>
      <c r="S147" s="811">
        <f t="shared" si="71"/>
        <v>-2</v>
      </c>
      <c r="T147" s="176">
        <f t="shared" si="54"/>
        <v>4</v>
      </c>
      <c r="U147" s="251">
        <f t="shared" si="55"/>
        <v>-1.8829177415432847</v>
      </c>
      <c r="V147" s="383">
        <f t="shared" si="56"/>
        <v>63.066487118504511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6">
        <f t="shared" si="62"/>
        <v>0</v>
      </c>
      <c r="AD147" s="169">
        <f>(INDEX(Models!$BJ147:$BT147,,AH147)*(1-AF147)+INDEX(Models!$BJ147:$BT147,,AH147+1)*AF147-ERP_i)*AE147*Ramure*Pc/MaxiM</f>
        <v>6.9910806326308921E-6</v>
      </c>
      <c r="AE147" s="305">
        <f t="shared" si="63"/>
        <v>0.5</v>
      </c>
      <c r="AF147" s="177">
        <f t="shared" si="64"/>
        <v>0.11708225845671527</v>
      </c>
      <c r="AG147" s="811">
        <f t="shared" si="65"/>
        <v>-2</v>
      </c>
      <c r="AH147" s="176">
        <f t="shared" si="66"/>
        <v>4</v>
      </c>
      <c r="AI147" s="225">
        <f t="shared" si="67"/>
        <v>-1.8829177415432847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0"/>
        <v>43234</v>
      </c>
      <c r="B148" s="617"/>
      <c r="C148" s="390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7">
        <f t="shared" si="50"/>
        <v>0</v>
      </c>
      <c r="M148" s="856"/>
      <c r="N148" s="856"/>
      <c r="O148" s="324">
        <f t="shared" si="51"/>
        <v>0</v>
      </c>
      <c r="P148" s="169">
        <f>(INDEX(Models!$BJ148:$BT148,,T148)*(1-R148)+INDEX(Models!$BJ148:$BT148,,T148+1)*R148-ERP_i)*Q148*Ramure*Pc/MaxiM</f>
        <v>7.5415703416652332E-6</v>
      </c>
      <c r="Q148" s="305">
        <f t="shared" si="52"/>
        <v>0.5</v>
      </c>
      <c r="R148" s="177">
        <f t="shared" si="53"/>
        <v>0.12088055002231779</v>
      </c>
      <c r="S148" s="811">
        <f t="shared" si="71"/>
        <v>-2</v>
      </c>
      <c r="T148" s="176">
        <f t="shared" si="54"/>
        <v>4</v>
      </c>
      <c r="U148" s="251">
        <f t="shared" si="55"/>
        <v>-1.8791194499776822</v>
      </c>
      <c r="V148" s="383">
        <f t="shared" si="56"/>
        <v>63.142123806290236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6">
        <f t="shared" si="62"/>
        <v>0</v>
      </c>
      <c r="AD148" s="169">
        <f>(INDEX(Models!$BJ148:$BT148,,AH148)*(1-AF148)+INDEX(Models!$BJ148:$BT148,,AH148+1)*AF148-ERP_i)*AE148*Ramure*Pc/MaxiM</f>
        <v>7.5415703416652332E-6</v>
      </c>
      <c r="AE148" s="305">
        <f t="shared" si="63"/>
        <v>0.5</v>
      </c>
      <c r="AF148" s="177">
        <f t="shared" si="64"/>
        <v>0.12088055002231779</v>
      </c>
      <c r="AG148" s="811">
        <f t="shared" si="65"/>
        <v>-2</v>
      </c>
      <c r="AH148" s="176">
        <f t="shared" si="66"/>
        <v>4</v>
      </c>
      <c r="AI148" s="225">
        <f t="shared" si="67"/>
        <v>-1.8791194499776822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0"/>
        <v>43235</v>
      </c>
      <c r="B149" s="617"/>
      <c r="C149" s="390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7">
        <f t="shared" si="50"/>
        <v>0</v>
      </c>
      <c r="M149" s="856"/>
      <c r="N149" s="856"/>
      <c r="O149" s="324">
        <f t="shared" si="51"/>
        <v>0</v>
      </c>
      <c r="P149" s="169">
        <f>(INDEX(Models!$BJ149:$BT149,,T149)*(1-R149)+INDEX(Models!$BJ149:$BT149,,T149+1)*R149-ERP_i)*Q149*Ramure*Pc/MaxiM</f>
        <v>8.0996584275652909E-6</v>
      </c>
      <c r="Q149" s="305">
        <f t="shared" si="52"/>
        <v>0.5</v>
      </c>
      <c r="R149" s="177">
        <f t="shared" si="53"/>
        <v>0.12475834173735745</v>
      </c>
      <c r="S149" s="811">
        <f t="shared" si="71"/>
        <v>-2</v>
      </c>
      <c r="T149" s="176">
        <f t="shared" si="54"/>
        <v>4</v>
      </c>
      <c r="U149" s="251">
        <f t="shared" si="55"/>
        <v>-1.8752416582626426</v>
      </c>
      <c r="V149" s="383">
        <f t="shared" si="56"/>
        <v>63.213018166347695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6">
        <f t="shared" si="62"/>
        <v>0</v>
      </c>
      <c r="AD149" s="169">
        <f>(INDEX(Models!$BJ149:$BT149,,AH149)*(1-AF149)+INDEX(Models!$BJ149:$BT149,,AH149+1)*AF149-ERP_i)*AE149*Ramure*Pc/MaxiM</f>
        <v>8.0996584275652909E-6</v>
      </c>
      <c r="AE149" s="305">
        <f t="shared" si="63"/>
        <v>0.5</v>
      </c>
      <c r="AF149" s="177">
        <f t="shared" si="64"/>
        <v>0.12475834173735745</v>
      </c>
      <c r="AG149" s="811">
        <f t="shared" si="65"/>
        <v>-2</v>
      </c>
      <c r="AH149" s="176">
        <f t="shared" si="66"/>
        <v>4</v>
      </c>
      <c r="AI149" s="225">
        <f t="shared" si="67"/>
        <v>-1.8752416582626426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0"/>
        <v>43236</v>
      </c>
      <c r="B150" s="617"/>
      <c r="C150" s="390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7">
        <f t="shared" si="50"/>
        <v>0</v>
      </c>
      <c r="M150" s="856"/>
      <c r="N150" s="856"/>
      <c r="O150" s="324">
        <f t="shared" si="51"/>
        <v>0</v>
      </c>
      <c r="P150" s="169">
        <f>(INDEX(Models!$BJ150:$BT150,,T150)*(1-R150)+INDEX(Models!$BJ150:$BT150,,T150+1)*R150-ERP_i)*Q150*Ramure*Pc/MaxiM</f>
        <v>8.6186631034596279E-6</v>
      </c>
      <c r="Q150" s="305">
        <f t="shared" si="52"/>
        <v>0.5</v>
      </c>
      <c r="R150" s="177">
        <f t="shared" si="53"/>
        <v>0.12871477919848351</v>
      </c>
      <c r="S150" s="811">
        <f t="shared" si="71"/>
        <v>-2</v>
      </c>
      <c r="T150" s="176">
        <f t="shared" si="54"/>
        <v>4</v>
      </c>
      <c r="U150" s="251">
        <f t="shared" si="55"/>
        <v>-1.8712852208015165</v>
      </c>
      <c r="V150" s="383">
        <f t="shared" si="56"/>
        <v>63.27861846628187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6">
        <f t="shared" si="62"/>
        <v>0</v>
      </c>
      <c r="AD150" s="169">
        <f>(INDEX(Models!$BJ150:$BT150,,AH150)*(1-AF150)+INDEX(Models!$BJ150:$BT150,,AH150+1)*AF150-ERP_i)*AE150*Ramure*Pc/MaxiM</f>
        <v>8.6186631034596279E-6</v>
      </c>
      <c r="AE150" s="305">
        <f t="shared" si="63"/>
        <v>0.5</v>
      </c>
      <c r="AF150" s="177">
        <f t="shared" si="64"/>
        <v>0.12871477919848351</v>
      </c>
      <c r="AG150" s="811">
        <f t="shared" si="65"/>
        <v>-2</v>
      </c>
      <c r="AH150" s="176">
        <f t="shared" si="66"/>
        <v>4</v>
      </c>
      <c r="AI150" s="225">
        <f t="shared" si="67"/>
        <v>-1.8712852208015165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0"/>
        <v>43237</v>
      </c>
      <c r="B151" s="617"/>
      <c r="C151" s="390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7">
        <f t="shared" si="50"/>
        <v>0</v>
      </c>
      <c r="M151" s="856"/>
      <c r="N151" s="856"/>
      <c r="O151" s="324">
        <f t="shared" si="51"/>
        <v>0</v>
      </c>
      <c r="P151" s="169">
        <f>(INDEX(Models!$BJ151:$BT151,,T151)*(1-R151)+INDEX(Models!$BJ151:$BT151,,T151+1)*R151-ERP_i)*Q151*Ramure*Pc/MaxiM</f>
        <v>9.0804948011882893E-6</v>
      </c>
      <c r="Q151" s="305">
        <f t="shared" si="52"/>
        <v>0.5</v>
      </c>
      <c r="R151" s="177">
        <f t="shared" si="53"/>
        <v>0.13274883755845734</v>
      </c>
      <c r="S151" s="811">
        <f t="shared" si="71"/>
        <v>-2</v>
      </c>
      <c r="T151" s="176">
        <f t="shared" si="54"/>
        <v>4</v>
      </c>
      <c r="U151" s="251">
        <f t="shared" si="55"/>
        <v>-1.8672511624415427</v>
      </c>
      <c r="V151" s="383">
        <f t="shared" si="56"/>
        <v>63.339140587850416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6">
        <f t="shared" si="62"/>
        <v>0</v>
      </c>
      <c r="AD151" s="169">
        <f>(INDEX(Models!$BJ151:$BT151,,AH151)*(1-AF151)+INDEX(Models!$BJ151:$BT151,,AH151+1)*AF151-ERP_i)*AE151*Ramure*Pc/MaxiM</f>
        <v>9.0804948011882893E-6</v>
      </c>
      <c r="AE151" s="305">
        <f t="shared" si="63"/>
        <v>0.5</v>
      </c>
      <c r="AF151" s="177">
        <f t="shared" si="64"/>
        <v>0.13274883755845734</v>
      </c>
      <c r="AG151" s="811">
        <f t="shared" si="65"/>
        <v>-2</v>
      </c>
      <c r="AH151" s="176">
        <f t="shared" si="66"/>
        <v>4</v>
      </c>
      <c r="AI151" s="225">
        <f t="shared" si="67"/>
        <v>-1.8672511624415427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0"/>
        <v>43238</v>
      </c>
      <c r="B152" s="617"/>
      <c r="C152" s="390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7">
        <f t="shared" si="50"/>
        <v>0</v>
      </c>
      <c r="M152" s="856"/>
      <c r="N152" s="856"/>
      <c r="O152" s="324">
        <f t="shared" si="51"/>
        <v>0</v>
      </c>
      <c r="P152" s="169">
        <f>(INDEX(Models!$BJ152:$BT152,,T152)*(1-R152)+INDEX(Models!$BJ152:$BT152,,T152+1)*R152-ERP_i)*Q152*Ramure*Pc/MaxiM</f>
        <v>9.4767626211978088E-6</v>
      </c>
      <c r="Q152" s="305">
        <f t="shared" si="52"/>
        <v>0.5</v>
      </c>
      <c r="R152" s="177">
        <f t="shared" si="53"/>
        <v>0.13685931778241445</v>
      </c>
      <c r="S152" s="811">
        <f t="shared" si="71"/>
        <v>-2</v>
      </c>
      <c r="T152" s="176">
        <f t="shared" si="54"/>
        <v>4</v>
      </c>
      <c r="U152" s="251">
        <f t="shared" si="55"/>
        <v>-1.8631406822175856</v>
      </c>
      <c r="V152" s="383">
        <f t="shared" si="56"/>
        <v>63.394799799729959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6">
        <f t="shared" si="62"/>
        <v>0</v>
      </c>
      <c r="AD152" s="169">
        <f>(INDEX(Models!$BJ152:$BT152,,AH152)*(1-AF152)+INDEX(Models!$BJ152:$BT152,,AH152+1)*AF152-ERP_i)*AE152*Ramure*Pc/MaxiM</f>
        <v>9.4767626211978088E-6</v>
      </c>
      <c r="AE152" s="305">
        <f t="shared" si="63"/>
        <v>0.5</v>
      </c>
      <c r="AF152" s="177">
        <f t="shared" si="64"/>
        <v>0.13685931778241445</v>
      </c>
      <c r="AG152" s="811">
        <f t="shared" si="65"/>
        <v>-2</v>
      </c>
      <c r="AH152" s="176">
        <f t="shared" si="66"/>
        <v>4</v>
      </c>
      <c r="AI152" s="225">
        <f t="shared" si="67"/>
        <v>-1.8631406822175856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0"/>
        <v>43239</v>
      </c>
      <c r="B153" s="617"/>
      <c r="C153" s="390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7">
        <f t="shared" si="50"/>
        <v>0</v>
      </c>
      <c r="M153" s="856"/>
      <c r="N153" s="856"/>
      <c r="O153" s="324">
        <f t="shared" si="51"/>
        <v>0</v>
      </c>
      <c r="P153" s="169">
        <f>(INDEX(Models!$BJ153:$BT153,,T153)*(1-R153)+INDEX(Models!$BJ153:$BT153,,T153+1)*R153-ERP_i)*Q153*Ramure*Pc/MaxiM</f>
        <v>9.7985354315470831E-6</v>
      </c>
      <c r="Q153" s="305">
        <f t="shared" si="52"/>
        <v>0.5</v>
      </c>
      <c r="R153" s="177">
        <f t="shared" si="53"/>
        <v>0.14104484354971092</v>
      </c>
      <c r="S153" s="811">
        <f t="shared" si="71"/>
        <v>-2</v>
      </c>
      <c r="T153" s="176">
        <f t="shared" si="54"/>
        <v>4</v>
      </c>
      <c r="U153" s="251">
        <f t="shared" si="55"/>
        <v>-1.8589551564502891</v>
      </c>
      <c r="V153" s="383">
        <f t="shared" si="56"/>
        <v>63.445811408482193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6">
        <f t="shared" si="62"/>
        <v>0</v>
      </c>
      <c r="AD153" s="169">
        <f>(INDEX(Models!$BJ153:$BT153,,AH153)*(1-AF153)+INDEX(Models!$BJ153:$BT153,,AH153+1)*AF153-ERP_i)*AE153*Ramure*Pc/MaxiM</f>
        <v>9.7985354315470831E-6</v>
      </c>
      <c r="AE153" s="305">
        <f t="shared" si="63"/>
        <v>0.5</v>
      </c>
      <c r="AF153" s="177">
        <f t="shared" si="64"/>
        <v>0.14104484354971092</v>
      </c>
      <c r="AG153" s="811">
        <f t="shared" si="65"/>
        <v>-2</v>
      </c>
      <c r="AH153" s="176">
        <f t="shared" si="66"/>
        <v>4</v>
      </c>
      <c r="AI153" s="225">
        <f t="shared" si="67"/>
        <v>-1.8589551564502891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0"/>
        <v>43240</v>
      </c>
      <c r="B154" s="617"/>
      <c r="C154" s="390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7">
        <f t="shared" si="50"/>
        <v>0</v>
      </c>
      <c r="M154" s="856"/>
      <c r="N154" s="856"/>
      <c r="O154" s="324">
        <f t="shared" si="51"/>
        <v>0</v>
      </c>
      <c r="P154" s="169">
        <f>(INDEX(Models!$BJ154:$BT154,,T154)*(1-R154)+INDEX(Models!$BJ154:$BT154,,T154+1)*R154-ERP_i)*Q154*Ramure*Pc/MaxiM</f>
        <v>1.0036340156188641E-5</v>
      </c>
      <c r="Q154" s="305">
        <f t="shared" si="52"/>
        <v>0.5</v>
      </c>
      <c r="R154" s="177">
        <f t="shared" si="53"/>
        <v>0.14530385885737163</v>
      </c>
      <c r="S154" s="811">
        <f t="shared" si="71"/>
        <v>-2</v>
      </c>
      <c r="T154" s="176">
        <f t="shared" si="54"/>
        <v>4</v>
      </c>
      <c r="U154" s="251">
        <f t="shared" si="55"/>
        <v>-1.8546961411426284</v>
      </c>
      <c r="V154" s="383">
        <f t="shared" si="56"/>
        <v>63.492390750769076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6">
        <f t="shared" si="62"/>
        <v>0</v>
      </c>
      <c r="AD154" s="169">
        <f>(INDEX(Models!$BJ154:$BT154,,AH154)*(1-AF154)+INDEX(Models!$BJ154:$BT154,,AH154+1)*AF154-ERP_i)*AE154*Ramure*Pc/MaxiM</f>
        <v>1.0036340156188641E-5</v>
      </c>
      <c r="AE154" s="305">
        <f t="shared" si="63"/>
        <v>0.5</v>
      </c>
      <c r="AF154" s="177">
        <f t="shared" si="64"/>
        <v>0.14530385885737163</v>
      </c>
      <c r="AG154" s="811">
        <f t="shared" si="65"/>
        <v>-2</v>
      </c>
      <c r="AH154" s="176">
        <f t="shared" si="66"/>
        <v>4</v>
      </c>
      <c r="AI154" s="225">
        <f t="shared" si="67"/>
        <v>-1.8546961411426284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0"/>
        <v>43241</v>
      </c>
      <c r="B155" s="617"/>
      <c r="C155" s="390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7">
        <f t="shared" si="50"/>
        <v>0</v>
      </c>
      <c r="M155" s="856"/>
      <c r="N155" s="856"/>
      <c r="O155" s="324">
        <f t="shared" si="51"/>
        <v>0</v>
      </c>
      <c r="P155" s="169">
        <f>(INDEX(Models!$BJ155:$BT155,,T155)*(1-R155)+INDEX(Models!$BJ155:$BT155,,T155+1)*R155-ERP_i)*Q155*Ramure*Pc/MaxiM</f>
        <v>1.0180163614289867E-5</v>
      </c>
      <c r="Q155" s="305">
        <f t="shared" si="52"/>
        <v>0.5</v>
      </c>
      <c r="R155" s="177">
        <f t="shared" si="53"/>
        <v>0.14963462637831437</v>
      </c>
      <c r="S155" s="811">
        <f t="shared" si="71"/>
        <v>-2</v>
      </c>
      <c r="T155" s="176">
        <f t="shared" si="54"/>
        <v>4</v>
      </c>
      <c r="U155" s="251">
        <f t="shared" si="55"/>
        <v>-1.8503653736216856</v>
      </c>
      <c r="V155" s="383">
        <f t="shared" si="56"/>
        <v>63.534753199261012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6">
        <f t="shared" si="62"/>
        <v>0</v>
      </c>
      <c r="AD155" s="169">
        <f>(INDEX(Models!$BJ155:$BT155,,AH155)*(1-AF155)+INDEX(Models!$BJ155:$BT155,,AH155+1)*AF155-ERP_i)*AE155*Ramure*Pc/MaxiM</f>
        <v>1.0180163614289867E-5</v>
      </c>
      <c r="AE155" s="305">
        <f t="shared" si="63"/>
        <v>0.5</v>
      </c>
      <c r="AF155" s="177">
        <f t="shared" si="64"/>
        <v>0.14963462637831437</v>
      </c>
      <c r="AG155" s="811">
        <f t="shared" si="65"/>
        <v>-2</v>
      </c>
      <c r="AH155" s="176">
        <f t="shared" si="66"/>
        <v>4</v>
      </c>
      <c r="AI155" s="225">
        <f t="shared" si="67"/>
        <v>-1.8503653736216856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0"/>
        <v>43242</v>
      </c>
      <c r="B156" s="617"/>
      <c r="C156" s="390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7">
        <f t="shared" si="50"/>
        <v>0</v>
      </c>
      <c r="M156" s="856"/>
      <c r="N156" s="856"/>
      <c r="O156" s="324">
        <f t="shared" si="51"/>
        <v>0</v>
      </c>
      <c r="P156" s="169">
        <f>(INDEX(Models!$BJ156:$BT156,,T156)*(1-R156)+INDEX(Models!$BJ156:$BT156,,T156+1)*R156-ERP_i)*Q156*Ramure*Pc/MaxiM</f>
        <v>1.0237795718187613E-5</v>
      </c>
      <c r="Q156" s="305">
        <f t="shared" si="52"/>
        <v>0.5</v>
      </c>
      <c r="R156" s="177">
        <f t="shared" si="53"/>
        <v>0.15403522662387004</v>
      </c>
      <c r="S156" s="811">
        <f t="shared" si="71"/>
        <v>-2</v>
      </c>
      <c r="T156" s="176">
        <f t="shared" si="54"/>
        <v>4</v>
      </c>
      <c r="U156" s="251">
        <f t="shared" si="55"/>
        <v>-1.84596477337613</v>
      </c>
      <c r="V156" s="383">
        <f t="shared" si="56"/>
        <v>63.57311299331456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6">
        <f t="shared" si="62"/>
        <v>0</v>
      </c>
      <c r="AD156" s="169">
        <f>(INDEX(Models!$BJ156:$BT156,,AH156)*(1-AF156)+INDEX(Models!$BJ156:$BT156,,AH156+1)*AF156-ERP_i)*AE156*Ramure*Pc/MaxiM</f>
        <v>1.0237795718187613E-5</v>
      </c>
      <c r="AE156" s="305">
        <f t="shared" si="63"/>
        <v>0.5</v>
      </c>
      <c r="AF156" s="177">
        <f t="shared" si="64"/>
        <v>0.15403522662387004</v>
      </c>
      <c r="AG156" s="811">
        <f t="shared" si="65"/>
        <v>-2</v>
      </c>
      <c r="AH156" s="176">
        <f t="shared" si="66"/>
        <v>4</v>
      </c>
      <c r="AI156" s="225">
        <f t="shared" si="67"/>
        <v>-1.84596477337613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0"/>
        <v>43243</v>
      </c>
      <c r="B157" s="617"/>
      <c r="C157" s="390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7">
        <f t="shared" si="50"/>
        <v>0</v>
      </c>
      <c r="M157" s="856"/>
      <c r="N157" s="856"/>
      <c r="O157" s="324">
        <f t="shared" si="51"/>
        <v>0</v>
      </c>
      <c r="P157" s="169">
        <f>(INDEX(Models!$BJ157:$BT157,,T157)*(1-R157)+INDEX(Models!$BJ157:$BT157,,T157+1)*R157-ERP_i)*Q157*Ramure*Pc/MaxiM</f>
        <v>1.02438544885819E-5</v>
      </c>
      <c r="Q157" s="305">
        <f t="shared" si="52"/>
        <v>0.5</v>
      </c>
      <c r="R157" s="177">
        <f t="shared" si="53"/>
        <v>0.15850355795564242</v>
      </c>
      <c r="S157" s="811">
        <f t="shared" si="71"/>
        <v>-2</v>
      </c>
      <c r="T157" s="176">
        <f t="shared" si="54"/>
        <v>4</v>
      </c>
      <c r="U157" s="251">
        <f t="shared" si="55"/>
        <v>-1.8414964420443576</v>
      </c>
      <c r="V157" s="383">
        <f t="shared" si="56"/>
        <v>63.607682662108409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6">
        <f t="shared" si="62"/>
        <v>0</v>
      </c>
      <c r="AD157" s="169">
        <f>(INDEX(Models!$BJ157:$BT157,,AH157)*(1-AF157)+INDEX(Models!$BJ157:$BT157,,AH157+1)*AF157-ERP_i)*AE157*Ramure*Pc/MaxiM</f>
        <v>1.02438544885819E-5</v>
      </c>
      <c r="AE157" s="305">
        <f t="shared" si="63"/>
        <v>0.5</v>
      </c>
      <c r="AF157" s="177">
        <f t="shared" si="64"/>
        <v>0.15850355795564242</v>
      </c>
      <c r="AG157" s="811">
        <f t="shared" si="65"/>
        <v>-2</v>
      </c>
      <c r="AH157" s="176">
        <f t="shared" si="66"/>
        <v>4</v>
      </c>
      <c r="AI157" s="225">
        <f t="shared" si="67"/>
        <v>-1.8414964420443576</v>
      </c>
      <c r="AJ157" s="265" t="b">
        <f t="shared" si="68"/>
        <v>1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0"/>
        <v>43244</v>
      </c>
      <c r="B158" s="617"/>
      <c r="C158" s="390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7">
        <f t="shared" si="50"/>
        <v>0</v>
      </c>
      <c r="M158" s="856"/>
      <c r="N158" s="856"/>
      <c r="O158" s="324">
        <f t="shared" si="51"/>
        <v>0</v>
      </c>
      <c r="P158" s="169">
        <f>(INDEX(Models!$BJ158:$BT158,,T158)*(1-R158)+INDEX(Models!$BJ158:$BT158,,T158+1)*R158-ERP_i)*Q158*Ramure*Pc/MaxiM</f>
        <v>1.019325839084607E-5</v>
      </c>
      <c r="Q158" s="305">
        <f t="shared" si="52"/>
        <v>0.5</v>
      </c>
      <c r="R158" s="177">
        <f t="shared" si="53"/>
        <v>0.16303733748647176</v>
      </c>
      <c r="S158" s="811">
        <f t="shared" si="71"/>
        <v>-2</v>
      </c>
      <c r="T158" s="176">
        <f t="shared" si="54"/>
        <v>4</v>
      </c>
      <c r="U158" s="251">
        <f t="shared" si="55"/>
        <v>-1.8369626625135282</v>
      </c>
      <c r="V158" s="383">
        <f t="shared" si="56"/>
        <v>63.638677255859925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6">
        <f t="shared" si="62"/>
        <v>0</v>
      </c>
      <c r="AD158" s="169">
        <f>(INDEX(Models!$BJ158:$BT158,,AH158)*(1-AF158)+INDEX(Models!$BJ158:$BT158,,AH158+1)*AF158-ERP_i)*AE158*Ramure*Pc/MaxiM</f>
        <v>1.019325839084607E-5</v>
      </c>
      <c r="AE158" s="305">
        <f t="shared" si="63"/>
        <v>0.5</v>
      </c>
      <c r="AF158" s="177">
        <f t="shared" si="64"/>
        <v>0.16303733748647176</v>
      </c>
      <c r="AG158" s="811">
        <f t="shared" si="65"/>
        <v>-2</v>
      </c>
      <c r="AH158" s="176">
        <f t="shared" si="66"/>
        <v>4</v>
      </c>
      <c r="AI158" s="225">
        <f t="shared" si="67"/>
        <v>-1.8369626625135282</v>
      </c>
      <c r="AJ158" s="265" t="b">
        <f t="shared" si="68"/>
        <v>1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0"/>
        <v>43245</v>
      </c>
      <c r="B159" s="617"/>
      <c r="C159" s="390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7">
        <f t="shared" si="50"/>
        <v>0</v>
      </c>
      <c r="M159" s="856"/>
      <c r="N159" s="856"/>
      <c r="O159" s="324">
        <f t="shared" si="51"/>
        <v>0</v>
      </c>
      <c r="P159" s="169">
        <f>(INDEX(Models!$BJ159:$BT159,,T159)*(1-R159)+INDEX(Models!$BJ159:$BT159,,T159+1)*R159-ERP_i)*Q159*Ramure*Pc/MaxiM</f>
        <v>1.0080791784787741E-5</v>
      </c>
      <c r="Q159" s="305">
        <f t="shared" si="52"/>
        <v>0.5</v>
      </c>
      <c r="R159" s="177">
        <f t="shared" si="53"/>
        <v>0.16763410290418901</v>
      </c>
      <c r="S159" s="811">
        <f t="shared" si="71"/>
        <v>-2</v>
      </c>
      <c r="T159" s="176">
        <f t="shared" si="54"/>
        <v>4</v>
      </c>
      <c r="U159" s="251">
        <f t="shared" si="55"/>
        <v>-1.832365897095811</v>
      </c>
      <c r="V159" s="383">
        <f t="shared" si="56"/>
        <v>63.666311831305556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6">
        <f t="shared" si="62"/>
        <v>0</v>
      </c>
      <c r="AD159" s="169">
        <f>(INDEX(Models!$BJ159:$BT159,,AH159)*(1-AF159)+INDEX(Models!$BJ159:$BT159,,AH159+1)*AF159-ERP_i)*AE159*Ramure*Pc/MaxiM</f>
        <v>1.0080791784787741E-5</v>
      </c>
      <c r="AE159" s="305">
        <f t="shared" si="63"/>
        <v>0.5</v>
      </c>
      <c r="AF159" s="177">
        <f t="shared" si="64"/>
        <v>0.16763410290418901</v>
      </c>
      <c r="AG159" s="811">
        <f t="shared" si="65"/>
        <v>-2</v>
      </c>
      <c r="AH159" s="176">
        <f t="shared" si="66"/>
        <v>4</v>
      </c>
      <c r="AI159" s="225">
        <f t="shared" si="67"/>
        <v>-1.832365897095811</v>
      </c>
      <c r="AJ159" s="265" t="b">
        <f t="shared" si="68"/>
        <v>1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0"/>
        <v>43246</v>
      </c>
      <c r="B160" s="617"/>
      <c r="C160" s="390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7">
        <f t="shared" si="50"/>
        <v>0</v>
      </c>
      <c r="M160" s="856"/>
      <c r="N160" s="856"/>
      <c r="O160" s="324">
        <f t="shared" si="51"/>
        <v>0</v>
      </c>
      <c r="P160" s="169">
        <f>(INDEX(Models!$BJ160:$BT160,,T160)*(1-R160)+INDEX(Models!$BJ160:$BT160,,T160+1)*R160-ERP_i)*Q160*Ramure*Pc/MaxiM</f>
        <v>9.9010543969798478E-6</v>
      </c>
      <c r="Q160" s="305">
        <f t="shared" si="52"/>
        <v>0.5</v>
      </c>
      <c r="R160" s="177">
        <f t="shared" si="53"/>
        <v>0.17229121524502133</v>
      </c>
      <c r="S160" s="811">
        <f t="shared" si="71"/>
        <v>-2</v>
      </c>
      <c r="T160" s="176">
        <f t="shared" si="54"/>
        <v>4</v>
      </c>
      <c r="U160" s="251">
        <f t="shared" si="55"/>
        <v>-1.8277087847549787</v>
      </c>
      <c r="V160" s="383">
        <f t="shared" si="56"/>
        <v>63.690801457866371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6">
        <f t="shared" si="62"/>
        <v>0</v>
      </c>
      <c r="AD160" s="169">
        <f>(INDEX(Models!$BJ160:$BT160,,AH160)*(1-AF160)+INDEX(Models!$BJ160:$BT160,,AH160+1)*AF160-ERP_i)*AE160*Ramure*Pc/MaxiM</f>
        <v>9.9010543969798478E-6</v>
      </c>
      <c r="AE160" s="305">
        <f t="shared" si="63"/>
        <v>0.5</v>
      </c>
      <c r="AF160" s="177">
        <f t="shared" si="64"/>
        <v>0.17229121524502133</v>
      </c>
      <c r="AG160" s="811">
        <f t="shared" si="65"/>
        <v>-2</v>
      </c>
      <c r="AH160" s="176">
        <f t="shared" si="66"/>
        <v>4</v>
      </c>
      <c r="AI160" s="225">
        <f t="shared" si="67"/>
        <v>-1.8277087847549787</v>
      </c>
      <c r="AJ160" s="265" t="b">
        <f t="shared" si="68"/>
        <v>1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0"/>
        <v>43247</v>
      </c>
      <c r="B161" s="617"/>
      <c r="C161" s="390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7">
        <f t="shared" si="50"/>
        <v>0</v>
      </c>
      <c r="M161" s="856"/>
      <c r="N161" s="856"/>
      <c r="O161" s="324">
        <f t="shared" si="51"/>
        <v>0</v>
      </c>
      <c r="P161" s="169">
        <f>(INDEX(Models!$BJ161:$BT161,,T161)*(1-R161)+INDEX(Models!$BJ161:$BT161,,T161+1)*R161-ERP_i)*Q161*Ramure*Pc/MaxiM</f>
        <v>9.6484739821432814E-6</v>
      </c>
      <c r="Q161" s="305">
        <f t="shared" si="52"/>
        <v>0.5</v>
      </c>
      <c r="R161" s="177">
        <f t="shared" si="53"/>
        <v>0.17700586263599716</v>
      </c>
      <c r="S161" s="811">
        <f t="shared" si="71"/>
        <v>-2</v>
      </c>
      <c r="T161" s="176">
        <f t="shared" si="54"/>
        <v>4</v>
      </c>
      <c r="U161" s="251">
        <f t="shared" si="55"/>
        <v>-1.8229941373640028</v>
      </c>
      <c r="V161" s="383">
        <f t="shared" si="56"/>
        <v>63.712361214887437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6">
        <f t="shared" si="62"/>
        <v>0</v>
      </c>
      <c r="AD161" s="169">
        <f>(INDEX(Models!$BJ161:$BT161,,AH161)*(1-AF161)+INDEX(Models!$BJ161:$BT161,,AH161+1)*AF161-ERP_i)*AE161*Ramure*Pc/MaxiM</f>
        <v>9.6484739821432814E-6</v>
      </c>
      <c r="AE161" s="305">
        <f t="shared" si="63"/>
        <v>0.5</v>
      </c>
      <c r="AF161" s="177">
        <f t="shared" si="64"/>
        <v>0.17700586263599716</v>
      </c>
      <c r="AG161" s="811">
        <f t="shared" si="65"/>
        <v>-2</v>
      </c>
      <c r="AH161" s="176">
        <f t="shared" si="66"/>
        <v>4</v>
      </c>
      <c r="AI161" s="225">
        <f t="shared" si="67"/>
        <v>-1.8229941373640028</v>
      </c>
      <c r="AJ161" s="265" t="b">
        <f t="shared" si="68"/>
        <v>1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0"/>
        <v>43248</v>
      </c>
      <c r="B162" s="617"/>
      <c r="C162" s="390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7">
        <f t="shared" si="50"/>
        <v>0</v>
      </c>
      <c r="M162" s="856"/>
      <c r="N162" s="856"/>
      <c r="O162" s="324">
        <f t="shared" si="51"/>
        <v>0</v>
      </c>
      <c r="P162" s="169">
        <f>(INDEX(Models!$BJ162:$BT162,,T162)*(1-R162)+INDEX(Models!$BJ162:$BT162,,T162+1)*R162-ERP_i)*Q162*Ramure*Pc/MaxiM</f>
        <v>9.3173208793032367E-6</v>
      </c>
      <c r="Q162" s="305">
        <f t="shared" si="52"/>
        <v>0.5</v>
      </c>
      <c r="R162" s="177">
        <f t="shared" si="53"/>
        <v>0.18177506501753937</v>
      </c>
      <c r="S162" s="811">
        <f t="shared" si="71"/>
        <v>-2</v>
      </c>
      <c r="T162" s="176">
        <f t="shared" si="54"/>
        <v>4</v>
      </c>
      <c r="U162" s="251">
        <f t="shared" si="55"/>
        <v>-1.8182249349824606</v>
      </c>
      <c r="V162" s="383">
        <f t="shared" si="56"/>
        <v>63.731206190366208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6">
        <f t="shared" si="62"/>
        <v>0</v>
      </c>
      <c r="AD162" s="169">
        <f>(INDEX(Models!$BJ162:$BT162,,AH162)*(1-AF162)+INDEX(Models!$BJ162:$BT162,,AH162+1)*AF162-ERP_i)*AE162*Ramure*Pc/MaxiM</f>
        <v>9.3173208793032367E-6</v>
      </c>
      <c r="AE162" s="305">
        <f t="shared" si="63"/>
        <v>0.5</v>
      </c>
      <c r="AF162" s="177">
        <f t="shared" si="64"/>
        <v>0.18177506501753937</v>
      </c>
      <c r="AG162" s="811">
        <f t="shared" si="65"/>
        <v>-2</v>
      </c>
      <c r="AH162" s="176">
        <f t="shared" si="66"/>
        <v>4</v>
      </c>
      <c r="AI162" s="225">
        <f t="shared" si="67"/>
        <v>-1.8182249349824606</v>
      </c>
      <c r="AJ162" s="265" t="b">
        <f t="shared" si="68"/>
        <v>1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0"/>
        <v>43249</v>
      </c>
      <c r="B163" s="617"/>
      <c r="C163" s="390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7">
        <f t="shared" si="50"/>
        <v>0</v>
      </c>
      <c r="M163" s="856"/>
      <c r="N163" s="856"/>
      <c r="O163" s="324">
        <f t="shared" si="51"/>
        <v>0</v>
      </c>
      <c r="P163" s="169">
        <f>(INDEX(Models!$BJ163:$BT163,,T163)*(1-R163)+INDEX(Models!$BJ163:$BT163,,T163+1)*R163-ERP_i)*Q163*Ramure*Pc/MaxiM</f>
        <v>8.9017669199616035E-6</v>
      </c>
      <c r="Q163" s="305">
        <f t="shared" si="52"/>
        <v>0.5</v>
      </c>
      <c r="R163" s="177">
        <f t="shared" si="53"/>
        <v>0.18659567984876135</v>
      </c>
      <c r="S163" s="811">
        <f t="shared" si="71"/>
        <v>-2</v>
      </c>
      <c r="T163" s="176">
        <f t="shared" si="54"/>
        <v>4</v>
      </c>
      <c r="U163" s="251">
        <f t="shared" si="55"/>
        <v>-1.8134043201512386</v>
      </c>
      <c r="V163" s="383">
        <f t="shared" si="56"/>
        <v>63.747247291317009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6">
        <f t="shared" si="62"/>
        <v>0</v>
      </c>
      <c r="AD163" s="169">
        <f>(INDEX(Models!$BJ163:$BT163,,AH163)*(1-AF163)+INDEX(Models!$BJ163:$BT163,,AH163+1)*AF163-ERP_i)*AE163*Ramure*Pc/MaxiM</f>
        <v>8.9017669199616035E-6</v>
      </c>
      <c r="AE163" s="305">
        <f t="shared" si="63"/>
        <v>0.5</v>
      </c>
      <c r="AF163" s="177">
        <f t="shared" si="64"/>
        <v>0.18659567984876135</v>
      </c>
      <c r="AG163" s="811">
        <f t="shared" si="65"/>
        <v>-2</v>
      </c>
      <c r="AH163" s="176">
        <f t="shared" si="66"/>
        <v>4</v>
      </c>
      <c r="AI163" s="225">
        <f t="shared" si="67"/>
        <v>-1.8134043201512386</v>
      </c>
      <c r="AJ163" s="265" t="b">
        <f t="shared" si="68"/>
        <v>1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0"/>
        <v>43250</v>
      </c>
      <c r="B164" s="617"/>
      <c r="C164" s="390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7">
        <f t="shared" si="50"/>
        <v>0</v>
      </c>
      <c r="M164" s="856"/>
      <c r="N164" s="856"/>
      <c r="O164" s="324">
        <f t="shared" si="51"/>
        <v>0</v>
      </c>
      <c r="P164" s="169">
        <f>(INDEX(Models!$BJ164:$BT164,,T164)*(1-R164)+INDEX(Models!$BJ164:$BT164,,T164+1)*R164-ERP_i)*Q164*Ramure*Pc/MaxiM</f>
        <v>8.4355512116930715E-6</v>
      </c>
      <c r="Q164" s="305">
        <f t="shared" si="52"/>
        <v>0.5</v>
      </c>
      <c r="R164" s="177">
        <f t="shared" si="53"/>
        <v>0.19146440878884907</v>
      </c>
      <c r="S164" s="811">
        <f t="shared" si="71"/>
        <v>-2</v>
      </c>
      <c r="T164" s="176">
        <f t="shared" si="54"/>
        <v>4</v>
      </c>
      <c r="U164" s="251">
        <f t="shared" si="55"/>
        <v>-1.8085355912111509</v>
      </c>
      <c r="V164" s="383">
        <f t="shared" si="56"/>
        <v>63.760178178325205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6">
        <f t="shared" si="62"/>
        <v>0</v>
      </c>
      <c r="AD164" s="169">
        <f>(INDEX(Models!$BJ164:$BT164,,AH164)*(1-AF164)+INDEX(Models!$BJ164:$BT164,,AH164+1)*AF164-ERP_i)*AE164*Ramure*Pc/MaxiM</f>
        <v>8.4355512116930715E-6</v>
      </c>
      <c r="AE164" s="305">
        <f t="shared" si="63"/>
        <v>0.5</v>
      </c>
      <c r="AF164" s="177">
        <f t="shared" si="64"/>
        <v>0.19146440878884907</v>
      </c>
      <c r="AG164" s="811">
        <f t="shared" si="65"/>
        <v>-2</v>
      </c>
      <c r="AH164" s="176">
        <f t="shared" si="66"/>
        <v>4</v>
      </c>
      <c r="AI164" s="225">
        <f t="shared" si="67"/>
        <v>-1.8085355912111509</v>
      </c>
      <c r="AJ164" s="265" t="b">
        <f t="shared" si="68"/>
        <v>1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0"/>
        <v>43251</v>
      </c>
      <c r="B165" s="617"/>
      <c r="C165" s="390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7">
        <f t="shared" si="50"/>
        <v>0</v>
      </c>
      <c r="M165" s="856"/>
      <c r="N165" s="856"/>
      <c r="O165" s="324">
        <f t="shared" si="51"/>
        <v>0</v>
      </c>
      <c r="P165" s="169">
        <f>(INDEX(Models!$BJ165:$BT165,,T165)*(1-R165)+INDEX(Models!$BJ165:$BT165,,T165+1)*R165-ERP_i)*Q165*Ramure*Pc/MaxiM</f>
        <v>7.9920945011587132E-6</v>
      </c>
      <c r="Q165" s="305">
        <f t="shared" si="52"/>
        <v>0.5</v>
      </c>
      <c r="R165" s="177">
        <f t="shared" si="53"/>
        <v>0.19637780533847571</v>
      </c>
      <c r="S165" s="811">
        <f t="shared" si="71"/>
        <v>-2</v>
      </c>
      <c r="T165" s="176">
        <f t="shared" si="54"/>
        <v>4</v>
      </c>
      <c r="U165" s="251">
        <f t="shared" si="55"/>
        <v>-1.8036221946615243</v>
      </c>
      <c r="V165" s="383">
        <f t="shared" si="56"/>
        <v>63.769886806187834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6">
        <f t="shared" si="62"/>
        <v>0</v>
      </c>
      <c r="AD165" s="169">
        <f>(INDEX(Models!$BJ165:$BT165,,AH165)*(1-AF165)+INDEX(Models!$BJ165:$BT165,,AH165+1)*AF165-ERP_i)*AE165*Ramure*Pc/MaxiM</f>
        <v>7.9920945011587132E-6</v>
      </c>
      <c r="AE165" s="305">
        <f t="shared" si="63"/>
        <v>0.5</v>
      </c>
      <c r="AF165" s="177">
        <f t="shared" si="64"/>
        <v>0.19637780533847571</v>
      </c>
      <c r="AG165" s="811">
        <f t="shared" si="65"/>
        <v>-2</v>
      </c>
      <c r="AH165" s="176">
        <f t="shared" si="66"/>
        <v>4</v>
      </c>
      <c r="AI165" s="225">
        <f t="shared" si="67"/>
        <v>-1.8036221946615243</v>
      </c>
      <c r="AJ165" s="265" t="b">
        <f t="shared" si="68"/>
        <v>1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0"/>
        <v>43252</v>
      </c>
      <c r="B166" s="617"/>
      <c r="C166" s="390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7">
        <f t="shared" si="50"/>
        <v>0</v>
      </c>
      <c r="M166" s="856"/>
      <c r="N166" s="856"/>
      <c r="O166" s="324">
        <f t="shared" si="51"/>
        <v>0</v>
      </c>
      <c r="P166" s="169">
        <f>(INDEX(Models!$BJ166:$BT166,,T166)*(1-R166)+INDEX(Models!$BJ166:$BT166,,T166+1)*R166-ERP_i)*Q166*Ramure*Pc/MaxiM</f>
        <v>7.5761915470099386E-6</v>
      </c>
      <c r="Q166" s="305">
        <f t="shared" si="52"/>
        <v>0.5</v>
      </c>
      <c r="R166" s="177">
        <f t="shared" si="53"/>
        <v>0.20133228341555798</v>
      </c>
      <c r="S166" s="811">
        <f t="shared" si="71"/>
        <v>-2</v>
      </c>
      <c r="T166" s="176">
        <f t="shared" si="54"/>
        <v>4</v>
      </c>
      <c r="U166" s="251">
        <f t="shared" si="55"/>
        <v>-1.798667716584442</v>
      </c>
      <c r="V166" s="383">
        <f t="shared" si="56"/>
        <v>63.776265503335381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6">
        <f t="shared" si="62"/>
        <v>0</v>
      </c>
      <c r="AD166" s="169">
        <f>(INDEX(Models!$BJ166:$BT166,,AH166)*(1-AF166)+INDEX(Models!$BJ166:$BT166,,AH166+1)*AF166-ERP_i)*AE166*Ramure*Pc/MaxiM</f>
        <v>7.5761915470099386E-6</v>
      </c>
      <c r="AE166" s="305">
        <f t="shared" si="63"/>
        <v>0.5</v>
      </c>
      <c r="AF166" s="177">
        <f t="shared" si="64"/>
        <v>0.20133228341555798</v>
      </c>
      <c r="AG166" s="811">
        <f t="shared" si="65"/>
        <v>-2</v>
      </c>
      <c r="AH166" s="176">
        <f t="shared" si="66"/>
        <v>4</v>
      </c>
      <c r="AI166" s="225">
        <f t="shared" si="67"/>
        <v>-1.798667716584442</v>
      </c>
      <c r="AJ166" s="265" t="b">
        <f t="shared" si="68"/>
        <v>1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0"/>
        <v>43253</v>
      </c>
      <c r="B167" s="617"/>
      <c r="C167" s="390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7">
        <f t="shared" si="50"/>
        <v>0</v>
      </c>
      <c r="M167" s="856"/>
      <c r="N167" s="856"/>
      <c r="O167" s="324">
        <f t="shared" si="51"/>
        <v>0</v>
      </c>
      <c r="P167" s="169">
        <f>(INDEX(Models!$BJ167:$BT167,,T167)*(1-R167)+INDEX(Models!$BJ167:$BT167,,T167+1)*R167-ERP_i)*Q167*Ramure*Pc/MaxiM</f>
        <v>7.1928709745367336E-6</v>
      </c>
      <c r="Q167" s="305">
        <f t="shared" si="52"/>
        <v>0.5</v>
      </c>
      <c r="R167" s="177">
        <f t="shared" si="53"/>
        <v>0.20632412682997048</v>
      </c>
      <c r="S167" s="811">
        <f t="shared" si="71"/>
        <v>-2</v>
      </c>
      <c r="T167" s="176">
        <f t="shared" si="54"/>
        <v>4</v>
      </c>
      <c r="U167" s="251">
        <f t="shared" si="55"/>
        <v>-1.7936758731700295</v>
      </c>
      <c r="V167" s="383">
        <f t="shared" si="56"/>
        <v>63.779206583947804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6">
        <f t="shared" si="62"/>
        <v>0</v>
      </c>
      <c r="AD167" s="169">
        <f>(INDEX(Models!$BJ167:$BT167,,AH167)*(1-AF167)+INDEX(Models!$BJ167:$BT167,,AH167+1)*AF167-ERP_i)*AE167*Ramure*Pc/MaxiM</f>
        <v>7.1928709745367336E-6</v>
      </c>
      <c r="AE167" s="305">
        <f t="shared" si="63"/>
        <v>0.5</v>
      </c>
      <c r="AF167" s="177">
        <f t="shared" si="64"/>
        <v>0.20632412682997048</v>
      </c>
      <c r="AG167" s="811">
        <f t="shared" si="65"/>
        <v>-2</v>
      </c>
      <c r="AH167" s="176">
        <f t="shared" si="66"/>
        <v>4</v>
      </c>
      <c r="AI167" s="225">
        <f t="shared" si="67"/>
        <v>-1.7936758731700295</v>
      </c>
      <c r="AJ167" s="265" t="b">
        <f t="shared" si="68"/>
        <v>1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0"/>
        <v>43254</v>
      </c>
      <c r="B168" s="617"/>
      <c r="C168" s="390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7">
        <f t="shared" si="50"/>
        <v>0</v>
      </c>
      <c r="M168" s="856"/>
      <c r="N168" s="856"/>
      <c r="O168" s="324">
        <f t="shared" si="51"/>
        <v>0</v>
      </c>
      <c r="P168" s="169">
        <f>(INDEX(Models!$BJ168:$BT168,,T168)*(1-R168)+INDEX(Models!$BJ168:$BT168,,T168+1)*R168-ERP_i)*Q168*Ramure*Pc/MaxiM</f>
        <v>6.8473862671690349E-6</v>
      </c>
      <c r="Q168" s="305">
        <f t="shared" si="52"/>
        <v>0.5</v>
      </c>
      <c r="R168" s="177">
        <f t="shared" si="53"/>
        <v>0.21134949961224248</v>
      </c>
      <c r="S168" s="811">
        <f t="shared" si="71"/>
        <v>-2</v>
      </c>
      <c r="T168" s="176">
        <f t="shared" si="54"/>
        <v>4</v>
      </c>
      <c r="U168" s="251">
        <f t="shared" si="55"/>
        <v>-1.7886505003877575</v>
      </c>
      <c r="V168" s="383">
        <f t="shared" si="56"/>
        <v>63.778602347313715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6">
        <f t="shared" si="62"/>
        <v>0</v>
      </c>
      <c r="AD168" s="169">
        <f>(INDEX(Models!$BJ168:$BT168,,AH168)*(1-AF168)+INDEX(Models!$BJ168:$BT168,,AH168+1)*AF168-ERP_i)*AE168*Ramure*Pc/MaxiM</f>
        <v>6.8473862671690349E-6</v>
      </c>
      <c r="AE168" s="305">
        <f t="shared" si="63"/>
        <v>0.5</v>
      </c>
      <c r="AF168" s="177">
        <f t="shared" si="64"/>
        <v>0.21134949961224248</v>
      </c>
      <c r="AG168" s="811">
        <f t="shared" si="65"/>
        <v>-2</v>
      </c>
      <c r="AH168" s="176">
        <f t="shared" si="66"/>
        <v>4</v>
      </c>
      <c r="AI168" s="225">
        <f t="shared" si="67"/>
        <v>-1.7886505003877575</v>
      </c>
      <c r="AJ168" s="265" t="b">
        <f t="shared" si="68"/>
        <v>1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0"/>
        <v>43255</v>
      </c>
      <c r="B169" s="617"/>
      <c r="C169" s="390"/>
      <c r="D169" s="393"/>
      <c r="E169" s="385"/>
      <c r="F169" s="385"/>
      <c r="G169" s="110"/>
      <c r="I169" s="380">
        <f t="shared" si="48"/>
        <v>0</v>
      </c>
      <c r="J169" s="85">
        <v>2018</v>
      </c>
      <c r="K169" s="197">
        <f t="shared" si="49"/>
        <v>43255</v>
      </c>
      <c r="L169" s="437">
        <f t="shared" si="50"/>
        <v>0</v>
      </c>
      <c r="M169" s="856"/>
      <c r="N169" s="856"/>
      <c r="O169" s="324">
        <f t="shared" si="51"/>
        <v>0</v>
      </c>
      <c r="P169" s="169">
        <f>(INDEX(Models!$BJ169:$BT169,,T169)*(1-R169)+INDEX(Models!$BJ169:$BT169,,T169+1)*R169-ERP_i)*Q169*Ramure*Pc/MaxiM</f>
        <v>6.5452052608212362E-6</v>
      </c>
      <c r="Q169" s="305">
        <f t="shared" si="52"/>
        <v>0.5</v>
      </c>
      <c r="R169" s="177">
        <f t="shared" si="53"/>
        <v>0.21640445714190237</v>
      </c>
      <c r="S169" s="811">
        <f t="shared" si="71"/>
        <v>-2</v>
      </c>
      <c r="T169" s="176">
        <f t="shared" si="54"/>
        <v>4</v>
      </c>
      <c r="U169" s="251">
        <f t="shared" si="55"/>
        <v>-1.7835955428580976</v>
      </c>
      <c r="V169" s="383">
        <f t="shared" si="56"/>
        <v>63.774345081538996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6">
        <f t="shared" si="62"/>
        <v>0</v>
      </c>
      <c r="AD169" s="169">
        <f>(INDEX(Models!$BJ169:$BT169,,AH169)*(1-AF169)+INDEX(Models!$BJ169:$BT169,,AH169+1)*AF169-ERP_i)*AE169*Ramure*Pc/MaxiM</f>
        <v>6.5452052608212362E-6</v>
      </c>
      <c r="AE169" s="305">
        <f t="shared" si="63"/>
        <v>0.5</v>
      </c>
      <c r="AF169" s="177">
        <f t="shared" si="64"/>
        <v>0.21640445714190237</v>
      </c>
      <c r="AG169" s="811">
        <f t="shared" si="65"/>
        <v>-2</v>
      </c>
      <c r="AH169" s="176">
        <f t="shared" si="66"/>
        <v>4</v>
      </c>
      <c r="AI169" s="225">
        <f t="shared" si="67"/>
        <v>-1.7835955428580976</v>
      </c>
      <c r="AJ169" s="265" t="b">
        <f t="shared" si="68"/>
        <v>1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0"/>
        <v>43256</v>
      </c>
      <c r="B170" s="617"/>
      <c r="C170" s="390"/>
      <c r="D170" s="393"/>
      <c r="E170" s="385"/>
      <c r="F170" s="385"/>
      <c r="G170" s="110"/>
      <c r="I170" s="380">
        <f t="shared" si="48"/>
        <v>0</v>
      </c>
      <c r="J170" s="85">
        <v>2018</v>
      </c>
      <c r="K170" s="197">
        <f t="shared" si="49"/>
        <v>43256</v>
      </c>
      <c r="L170" s="437">
        <f t="shared" si="50"/>
        <v>0</v>
      </c>
      <c r="M170" s="856"/>
      <c r="N170" s="856"/>
      <c r="O170" s="324">
        <f t="shared" si="51"/>
        <v>0</v>
      </c>
      <c r="P170" s="169">
        <f>(INDEX(Models!$BJ170:$BT170,,T170)*(1-R170)+INDEX(Models!$BJ170:$BT170,,T170+1)*R170-ERP_i)*Q170*Ramure*Pc/MaxiM</f>
        <v>6.2973728645414928E-6</v>
      </c>
      <c r="Q170" s="305">
        <f t="shared" si="52"/>
        <v>0.5</v>
      </c>
      <c r="R170" s="177">
        <f t="shared" si="53"/>
        <v>0.22148495801217427</v>
      </c>
      <c r="S170" s="811">
        <f t="shared" si="71"/>
        <v>-2</v>
      </c>
      <c r="T170" s="176">
        <f t="shared" si="54"/>
        <v>4</v>
      </c>
      <c r="U170" s="251">
        <f t="shared" si="55"/>
        <v>-1.7785150419878257</v>
      </c>
      <c r="V170" s="383">
        <f t="shared" si="56"/>
        <v>63.766326717780004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6">
        <f t="shared" si="62"/>
        <v>0</v>
      </c>
      <c r="AD170" s="169">
        <f>(INDEX(Models!$BJ170:$BT170,,AH170)*(1-AF170)+INDEX(Models!$BJ170:$BT170,,AH170+1)*AF170-ERP_i)*AE170*Ramure*Pc/MaxiM</f>
        <v>6.2973728645414928E-6</v>
      </c>
      <c r="AE170" s="305">
        <f t="shared" si="63"/>
        <v>0.5</v>
      </c>
      <c r="AF170" s="177">
        <f t="shared" si="64"/>
        <v>0.22148495801217427</v>
      </c>
      <c r="AG170" s="811">
        <f t="shared" si="65"/>
        <v>-2</v>
      </c>
      <c r="AH170" s="176">
        <f t="shared" si="66"/>
        <v>4</v>
      </c>
      <c r="AI170" s="225">
        <f t="shared" si="67"/>
        <v>-1.7785150419878257</v>
      </c>
      <c r="AJ170" s="265" t="b">
        <f t="shared" si="68"/>
        <v>1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0"/>
        <v>43257</v>
      </c>
      <c r="B171" s="617"/>
      <c r="C171" s="390"/>
      <c r="D171" s="393"/>
      <c r="E171" s="385"/>
      <c r="F171" s="385"/>
      <c r="G171" s="110"/>
      <c r="I171" s="380">
        <f t="shared" si="48"/>
        <v>0</v>
      </c>
      <c r="J171" s="85">
        <v>2018</v>
      </c>
      <c r="K171" s="197">
        <f t="shared" si="49"/>
        <v>43257</v>
      </c>
      <c r="L171" s="437">
        <f t="shared" si="50"/>
        <v>0</v>
      </c>
      <c r="M171" s="856"/>
      <c r="N171" s="856"/>
      <c r="O171" s="324">
        <f t="shared" si="51"/>
        <v>0</v>
      </c>
      <c r="P171" s="169">
        <f>(INDEX(Models!$BJ171:$BT171,,T171)*(1-R171)+INDEX(Models!$BJ171:$BT171,,T171+1)*R171-ERP_i)*Q171*Ramure*Pc/MaxiM</f>
        <v>6.0809217191260014E-6</v>
      </c>
      <c r="Q171" s="305">
        <f t="shared" si="52"/>
        <v>0.5</v>
      </c>
      <c r="R171" s="177">
        <f t="shared" si="53"/>
        <v>0.2265868765593142</v>
      </c>
      <c r="S171" s="811">
        <f t="shared" si="71"/>
        <v>-2</v>
      </c>
      <c r="T171" s="176">
        <f t="shared" si="54"/>
        <v>4</v>
      </c>
      <c r="U171" s="251">
        <f t="shared" si="55"/>
        <v>-1.7734131234406858</v>
      </c>
      <c r="V171" s="383">
        <f t="shared" si="56"/>
        <v>63.754441357553176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6">
        <f t="shared" si="62"/>
        <v>0</v>
      </c>
      <c r="AD171" s="169">
        <f>(INDEX(Models!$BJ171:$BT171,,AH171)*(1-AF171)+INDEX(Models!$BJ171:$BT171,,AH171+1)*AF171-ERP_i)*AE171*Ramure*Pc/MaxiM</f>
        <v>6.0809217191260014E-6</v>
      </c>
      <c r="AE171" s="305">
        <f t="shared" si="63"/>
        <v>0.5</v>
      </c>
      <c r="AF171" s="177">
        <f t="shared" si="64"/>
        <v>0.2265868765593142</v>
      </c>
      <c r="AG171" s="811">
        <f t="shared" si="65"/>
        <v>-2</v>
      </c>
      <c r="AH171" s="176">
        <f t="shared" si="66"/>
        <v>4</v>
      </c>
      <c r="AI171" s="225">
        <f t="shared" si="67"/>
        <v>-1.7734131234406858</v>
      </c>
      <c r="AJ171" s="265" t="b">
        <f t="shared" si="68"/>
        <v>1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0"/>
        <v>43258</v>
      </c>
      <c r="B172" s="617"/>
      <c r="C172" s="390"/>
      <c r="D172" s="393"/>
      <c r="E172" s="385"/>
      <c r="F172" s="385"/>
      <c r="G172" s="110"/>
      <c r="I172" s="380">
        <f t="shared" si="48"/>
        <v>0</v>
      </c>
      <c r="J172" s="85">
        <v>2018</v>
      </c>
      <c r="K172" s="197">
        <f t="shared" si="49"/>
        <v>43258</v>
      </c>
      <c r="L172" s="437">
        <f t="shared" si="50"/>
        <v>0</v>
      </c>
      <c r="M172" s="856"/>
      <c r="N172" s="856"/>
      <c r="O172" s="324">
        <f t="shared" si="51"/>
        <v>0</v>
      </c>
      <c r="P172" s="169">
        <f>(INDEX(Models!$BJ172:$BT172,,T172)*(1-R172)+INDEX(Models!$BJ172:$BT172,,T172+1)*R172-ERP_i)*Q172*Ramure*Pc/MaxiM</f>
        <v>5.8999085944957647E-6</v>
      </c>
      <c r="Q172" s="305">
        <f t="shared" si="52"/>
        <v>0.5</v>
      </c>
      <c r="R172" s="177">
        <f t="shared" si="53"/>
        <v>0.23170601597714024</v>
      </c>
      <c r="S172" s="811">
        <f t="shared" si="71"/>
        <v>-2</v>
      </c>
      <c r="T172" s="176">
        <f t="shared" si="54"/>
        <v>4</v>
      </c>
      <c r="U172" s="251">
        <f t="shared" si="55"/>
        <v>-1.7682939840228598</v>
      </c>
      <c r="V172" s="383">
        <f t="shared" si="56"/>
        <v>63.738581380763449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6">
        <f t="shared" si="62"/>
        <v>0</v>
      </c>
      <c r="AD172" s="169">
        <f>(INDEX(Models!$BJ172:$BT172,,AH172)*(1-AF172)+INDEX(Models!$BJ172:$BT172,,AH172+1)*AF172-ERP_i)*AE172*Ramure*Pc/MaxiM</f>
        <v>5.8999085944957647E-6</v>
      </c>
      <c r="AE172" s="305">
        <f t="shared" si="63"/>
        <v>0.5</v>
      </c>
      <c r="AF172" s="177">
        <f t="shared" si="64"/>
        <v>0.23170601597714024</v>
      </c>
      <c r="AG172" s="811">
        <f t="shared" si="65"/>
        <v>-2</v>
      </c>
      <c r="AH172" s="176">
        <f t="shared" si="66"/>
        <v>4</v>
      </c>
      <c r="AI172" s="225">
        <f t="shared" si="67"/>
        <v>-1.7682939840228598</v>
      </c>
      <c r="AJ172" s="265" t="b">
        <f t="shared" si="68"/>
        <v>1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0"/>
        <v>43259</v>
      </c>
      <c r="B173" s="617"/>
      <c r="C173" s="390"/>
      <c r="D173" s="393"/>
      <c r="E173" s="385"/>
      <c r="F173" s="385"/>
      <c r="G173" s="110"/>
      <c r="I173" s="380">
        <f t="shared" si="48"/>
        <v>0</v>
      </c>
      <c r="J173" s="85">
        <v>2018</v>
      </c>
      <c r="K173" s="197">
        <f t="shared" si="49"/>
        <v>43259</v>
      </c>
      <c r="L173" s="437">
        <f t="shared" si="50"/>
        <v>0</v>
      </c>
      <c r="M173" s="856"/>
      <c r="N173" s="856"/>
      <c r="O173" s="324">
        <f t="shared" si="51"/>
        <v>0</v>
      </c>
      <c r="P173" s="169">
        <f>(INDEX(Models!$BJ173:$BT173,,T173)*(1-R173)+INDEX(Models!$BJ173:$BT173,,T173+1)*R173-ERP_i)*Q173*Ramure*Pc/MaxiM</f>
        <v>5.7585125791566435E-6</v>
      </c>
      <c r="Q173" s="305">
        <f t="shared" si="52"/>
        <v>0.5</v>
      </c>
      <c r="R173" s="177">
        <f t="shared" si="53"/>
        <v>0.23683812193040676</v>
      </c>
      <c r="S173" s="811">
        <f t="shared" si="71"/>
        <v>-2</v>
      </c>
      <c r="T173" s="176">
        <f t="shared" si="54"/>
        <v>4</v>
      </c>
      <c r="U173" s="251">
        <f t="shared" si="55"/>
        <v>-1.7631618780695932</v>
      </c>
      <c r="V173" s="383">
        <f t="shared" si="56"/>
        <v>63.718639160108019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6">
        <f t="shared" si="62"/>
        <v>0</v>
      </c>
      <c r="AD173" s="169">
        <f>(INDEX(Models!$BJ173:$BT173,,AH173)*(1-AF173)+INDEX(Models!$BJ173:$BT173,,AH173+1)*AF173-ERP_i)*AE173*Ramure*Pc/MaxiM</f>
        <v>5.7585125791566435E-6</v>
      </c>
      <c r="AE173" s="305">
        <f t="shared" si="63"/>
        <v>0.5</v>
      </c>
      <c r="AF173" s="177">
        <f t="shared" si="64"/>
        <v>0.23683812193040676</v>
      </c>
      <c r="AG173" s="811">
        <f t="shared" si="65"/>
        <v>-2</v>
      </c>
      <c r="AH173" s="176">
        <f t="shared" si="66"/>
        <v>4</v>
      </c>
      <c r="AI173" s="225">
        <f t="shared" si="67"/>
        <v>-1.7631618780695932</v>
      </c>
      <c r="AJ173" s="265" t="b">
        <f t="shared" si="68"/>
        <v>0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0"/>
        <v>43260</v>
      </c>
      <c r="B174" s="617"/>
      <c r="C174" s="390"/>
      <c r="D174" s="393"/>
      <c r="E174" s="385"/>
      <c r="F174" s="385"/>
      <c r="G174" s="110"/>
      <c r="I174" s="380">
        <f t="shared" si="48"/>
        <v>0</v>
      </c>
      <c r="J174" s="85">
        <v>2018</v>
      </c>
      <c r="K174" s="197">
        <f t="shared" si="49"/>
        <v>43260</v>
      </c>
      <c r="L174" s="437">
        <f t="shared" si="50"/>
        <v>2.1902566432308035E-5</v>
      </c>
      <c r="M174" s="856"/>
      <c r="N174" s="856"/>
      <c r="O174" s="324">
        <f t="shared" si="51"/>
        <v>6.62907971666148E-5</v>
      </c>
      <c r="P174" s="169">
        <f>(INDEX(Models!$BJ174:$BT174,,T174)*(1-R174)+INDEX(Models!$BJ174:$BT174,,T174+1)*R174-ERP_i)*Q174*Ramure*Pc/MaxiM</f>
        <v>5.6610241946786995E-6</v>
      </c>
      <c r="Q174" s="305">
        <f t="shared" si="52"/>
        <v>0.5</v>
      </c>
      <c r="R174" s="177">
        <f t="shared" si="53"/>
        <v>0.2419788965747125</v>
      </c>
      <c r="S174" s="811">
        <f t="shared" si="71"/>
        <v>-2</v>
      </c>
      <c r="T174" s="176">
        <f t="shared" si="54"/>
        <v>4</v>
      </c>
      <c r="U174" s="251">
        <f t="shared" si="55"/>
        <v>-1.7580211034252875</v>
      </c>
      <c r="V174" s="383">
        <f t="shared" si="56"/>
        <v>63.688889721036141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6">
        <f t="shared" si="62"/>
        <v>6.62907971666148E-5</v>
      </c>
      <c r="AD174" s="169">
        <f>(INDEX(Models!$BJ174:$BT174,,AH174)*(1-AF174)+INDEX(Models!$BJ174:$BT174,,AH174+1)*AF174-ERP_i)*AE174*Ramure*Pc/MaxiM</f>
        <v>5.6610241946786995E-6</v>
      </c>
      <c r="AE174" s="305">
        <f t="shared" si="63"/>
        <v>0.5</v>
      </c>
      <c r="AF174" s="177">
        <f t="shared" si="64"/>
        <v>0.2419788965747125</v>
      </c>
      <c r="AG174" s="811">
        <f t="shared" si="65"/>
        <v>-2</v>
      </c>
      <c r="AH174" s="176">
        <f t="shared" si="66"/>
        <v>4</v>
      </c>
      <c r="AI174" s="225">
        <f t="shared" si="67"/>
        <v>-1.7580211034252875</v>
      </c>
      <c r="AJ174" s="265" t="b">
        <f t="shared" si="68"/>
        <v>0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0"/>
        <v>43261</v>
      </c>
      <c r="B175" s="617"/>
      <c r="C175" s="390"/>
      <c r="D175" s="393"/>
      <c r="E175" s="385"/>
      <c r="F175" s="385"/>
      <c r="G175" s="110"/>
      <c r="I175" s="380">
        <f t="shared" si="48"/>
        <v>0</v>
      </c>
      <c r="J175" s="85">
        <v>2018</v>
      </c>
      <c r="K175" s="197">
        <f t="shared" si="49"/>
        <v>43261</v>
      </c>
      <c r="L175" s="437">
        <f t="shared" si="50"/>
        <v>4.3804653142243133E-5</v>
      </c>
      <c r="M175" s="856"/>
      <c r="N175" s="856"/>
      <c r="O175" s="324">
        <f t="shared" si="51"/>
        <v>1.3259922725903167E-4</v>
      </c>
      <c r="P175" s="169">
        <f>(INDEX(Models!$BJ175:$BT175,,T175)*(1-R175)+INDEX(Models!$BJ175:$BT175,,T175+1)*R175-ERP_i)*Q175*Ramure*Pc/MaxiM</f>
        <v>5.6118339226161557E-6</v>
      </c>
      <c r="Q175" s="305">
        <f t="shared" si="52"/>
        <v>0.5</v>
      </c>
      <c r="R175" s="177">
        <f t="shared" si="53"/>
        <v>0.24712401288572416</v>
      </c>
      <c r="S175" s="811">
        <f t="shared" si="71"/>
        <v>-2</v>
      </c>
      <c r="T175" s="176">
        <f t="shared" si="54"/>
        <v>4</v>
      </c>
      <c r="U175" s="251">
        <f t="shared" si="55"/>
        <v>-1.7528759871142758</v>
      </c>
      <c r="V175" s="383">
        <f t="shared" si="56"/>
        <v>63.654846871343167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6">
        <f t="shared" si="62"/>
        <v>1.3259922725903167E-4</v>
      </c>
      <c r="AD175" s="169">
        <f>(INDEX(Models!$BJ175:$BT175,,AH175)*(1-AF175)+INDEX(Models!$BJ175:$BT175,,AH175+1)*AF175-ERP_i)*AE175*Ramure*Pc/MaxiM</f>
        <v>5.6118339226161557E-6</v>
      </c>
      <c r="AE175" s="305">
        <f t="shared" si="63"/>
        <v>0.5</v>
      </c>
      <c r="AF175" s="177">
        <f t="shared" si="64"/>
        <v>0.24712401288572416</v>
      </c>
      <c r="AG175" s="811">
        <f t="shared" si="65"/>
        <v>-2</v>
      </c>
      <c r="AH175" s="176">
        <f t="shared" si="66"/>
        <v>4</v>
      </c>
      <c r="AI175" s="225">
        <f t="shared" si="67"/>
        <v>-1.7528759871142758</v>
      </c>
      <c r="AJ175" s="265" t="b">
        <f t="shared" si="68"/>
        <v>0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0"/>
        <v>43262</v>
      </c>
      <c r="B176" s="617"/>
      <c r="C176" s="390"/>
      <c r="D176" s="393"/>
      <c r="E176" s="385"/>
      <c r="F176" s="385"/>
      <c r="G176" s="110"/>
      <c r="I176" s="380">
        <f t="shared" si="48"/>
        <v>0</v>
      </c>
      <c r="J176" s="85">
        <v>2018</v>
      </c>
      <c r="K176" s="197">
        <f t="shared" si="49"/>
        <v>43262</v>
      </c>
      <c r="L176" s="437">
        <f t="shared" si="50"/>
        <v>6.570626014024139E-5</v>
      </c>
      <c r="M176" s="856"/>
      <c r="N176" s="856"/>
      <c r="O176" s="324">
        <f t="shared" si="51"/>
        <v>1.9892269897931305E-4</v>
      </c>
      <c r="P176" s="169">
        <f>(INDEX(Models!$BJ176:$BT176,,T176)*(1-R176)+INDEX(Models!$BJ176:$BT176,,T176+1)*R176-ERP_i)*Q176*Ramure*Pc/MaxiM</f>
        <v>5.6154202730195459E-6</v>
      </c>
      <c r="Q176" s="305">
        <f t="shared" si="52"/>
        <v>0.5</v>
      </c>
      <c r="R176" s="177">
        <f t="shared" si="53"/>
        <v>0.25226912919673561</v>
      </c>
      <c r="S176" s="811">
        <f t="shared" si="71"/>
        <v>-2</v>
      </c>
      <c r="T176" s="176">
        <f t="shared" si="54"/>
        <v>4</v>
      </c>
      <c r="U176" s="251">
        <f t="shared" si="55"/>
        <v>-1.7477308708032644</v>
      </c>
      <c r="V176" s="383">
        <f t="shared" si="56"/>
        <v>63.616404303827352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6">
        <f t="shared" si="62"/>
        <v>1.9892269897931305E-4</v>
      </c>
      <c r="AD176" s="169">
        <f>(INDEX(Models!$BJ176:$BT176,,AH176)*(1-AF176)+INDEX(Models!$BJ176:$BT176,,AH176+1)*AF176-ERP_i)*AE176*Ramure*Pc/MaxiM</f>
        <v>5.6154202730195459E-6</v>
      </c>
      <c r="AE176" s="305">
        <f t="shared" si="63"/>
        <v>0.5</v>
      </c>
      <c r="AF176" s="177">
        <f t="shared" si="64"/>
        <v>0.25226912919673561</v>
      </c>
      <c r="AG176" s="811">
        <f t="shared" si="65"/>
        <v>-2</v>
      </c>
      <c r="AH176" s="176">
        <f t="shared" si="66"/>
        <v>4</v>
      </c>
      <c r="AI176" s="225">
        <f t="shared" si="67"/>
        <v>-1.7477308708032644</v>
      </c>
      <c r="AJ176" s="265" t="b">
        <f t="shared" si="68"/>
        <v>0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0"/>
        <v>43263</v>
      </c>
      <c r="B177" s="617"/>
      <c r="C177" s="390"/>
      <c r="D177" s="393"/>
      <c r="E177" s="385"/>
      <c r="F177" s="385"/>
      <c r="G177" s="110"/>
      <c r="I177" s="380">
        <f t="shared" si="48"/>
        <v>0</v>
      </c>
      <c r="J177" s="85">
        <v>2018</v>
      </c>
      <c r="K177" s="197">
        <f t="shared" si="49"/>
        <v>43263</v>
      </c>
      <c r="L177" s="437">
        <f t="shared" si="50"/>
        <v>8.7607387436960948E-5</v>
      </c>
      <c r="M177" s="856"/>
      <c r="N177" s="856"/>
      <c r="O177" s="324">
        <f t="shared" si="51"/>
        <v>2.6525847144756457E-4</v>
      </c>
      <c r="P177" s="169">
        <f>(INDEX(Models!$BJ177:$BT177,,T177)*(1-R177)+INDEX(Models!$BJ177:$BT177,,T177+1)*R177-ERP_i)*Q177*Ramure*Pc/MaxiM</f>
        <v>5.6763966298284989E-6</v>
      </c>
      <c r="Q177" s="305">
        <f t="shared" si="52"/>
        <v>0.5</v>
      </c>
      <c r="R177" s="177">
        <f t="shared" si="53"/>
        <v>0.25740990384104157</v>
      </c>
      <c r="S177" s="811">
        <f t="shared" si="71"/>
        <v>-2</v>
      </c>
      <c r="T177" s="176">
        <f t="shared" si="54"/>
        <v>4</v>
      </c>
      <c r="U177" s="251">
        <f t="shared" si="55"/>
        <v>-1.7425900961589584</v>
      </c>
      <c r="V177" s="383">
        <f t="shared" si="56"/>
        <v>63.572793921411112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6">
        <f t="shared" si="62"/>
        <v>2.6525847144756457E-4</v>
      </c>
      <c r="AD177" s="169">
        <f>(INDEX(Models!$BJ177:$BT177,,AH177)*(1-AF177)+INDEX(Models!$BJ177:$BT177,,AH177+1)*AF177-ERP_i)*AE177*Ramure*Pc/MaxiM</f>
        <v>5.6763966298284989E-6</v>
      </c>
      <c r="AE177" s="305">
        <f t="shared" si="63"/>
        <v>0.5</v>
      </c>
      <c r="AF177" s="177">
        <f t="shared" si="64"/>
        <v>0.25740990384104157</v>
      </c>
      <c r="AG177" s="811">
        <f t="shared" si="65"/>
        <v>-2</v>
      </c>
      <c r="AH177" s="176">
        <f t="shared" si="66"/>
        <v>4</v>
      </c>
      <c r="AI177" s="225">
        <f t="shared" si="67"/>
        <v>-1.7425900961589584</v>
      </c>
      <c r="AJ177" s="265" t="b">
        <f t="shared" si="68"/>
        <v>0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0"/>
        <v>43264</v>
      </c>
      <c r="B178" s="617"/>
      <c r="C178" s="390"/>
      <c r="D178" s="393"/>
      <c r="E178" s="385"/>
      <c r="F178" s="385"/>
      <c r="G178" s="110"/>
      <c r="I178" s="380">
        <f t="shared" si="48"/>
        <v>0</v>
      </c>
      <c r="J178" s="85">
        <v>2018</v>
      </c>
      <c r="K178" s="197">
        <f t="shared" si="49"/>
        <v>43264</v>
      </c>
      <c r="L178" s="437">
        <f t="shared" si="50"/>
        <v>1.0950803504261586E-4</v>
      </c>
      <c r="M178" s="856"/>
      <c r="N178" s="856"/>
      <c r="O178" s="324">
        <f t="shared" si="51"/>
        <v>3.31603667693792E-4</v>
      </c>
      <c r="P178" s="169">
        <f>(INDEX(Models!$BJ178:$BT178,,T178)*(1-R178)+INDEX(Models!$BJ178:$BT178,,T178+1)*R178-ERP_i)*Q178*Ramure*Pc/MaxiM</f>
        <v>5.7979915788186531E-6</v>
      </c>
      <c r="Q178" s="305">
        <f t="shared" si="52"/>
        <v>0.5</v>
      </c>
      <c r="R178" s="177">
        <f t="shared" si="53"/>
        <v>0.26254200979430808</v>
      </c>
      <c r="S178" s="811">
        <f t="shared" si="71"/>
        <v>-2</v>
      </c>
      <c r="T178" s="176">
        <f t="shared" si="54"/>
        <v>4</v>
      </c>
      <c r="U178" s="251">
        <f t="shared" si="55"/>
        <v>-1.7374579902056919</v>
      </c>
      <c r="V178" s="383">
        <f t="shared" si="56"/>
        <v>63.523605710839014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6">
        <f t="shared" si="62"/>
        <v>3.31603667693792E-4</v>
      </c>
      <c r="AD178" s="169">
        <f>(INDEX(Models!$BJ178:$BT178,,AH178)*(1-AF178)+INDEX(Models!$BJ178:$BT178,,AH178+1)*AF178-ERP_i)*AE178*Ramure*Pc/MaxiM</f>
        <v>5.7979915788186531E-6</v>
      </c>
      <c r="AE178" s="305">
        <f t="shared" si="63"/>
        <v>0.5</v>
      </c>
      <c r="AF178" s="177">
        <f t="shared" si="64"/>
        <v>0.26254200979430808</v>
      </c>
      <c r="AG178" s="811">
        <f t="shared" si="65"/>
        <v>-2</v>
      </c>
      <c r="AH178" s="176">
        <f t="shared" si="66"/>
        <v>4</v>
      </c>
      <c r="AI178" s="225">
        <f t="shared" si="67"/>
        <v>-1.7374579902056919</v>
      </c>
      <c r="AJ178" s="265" t="b">
        <f t="shared" si="68"/>
        <v>0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0"/>
        <v>43265</v>
      </c>
      <c r="B179" s="617"/>
      <c r="C179" s="390"/>
      <c r="D179" s="393"/>
      <c r="E179" s="385"/>
      <c r="F179" s="385"/>
      <c r="G179" s="110"/>
      <c r="I179" s="380">
        <f t="shared" si="48"/>
        <v>0</v>
      </c>
      <c r="J179" s="85">
        <v>2018</v>
      </c>
      <c r="K179" s="197">
        <f t="shared" si="49"/>
        <v>43265</v>
      </c>
      <c r="L179" s="437">
        <f t="shared" si="50"/>
        <v>1.3140820296797528E-4</v>
      </c>
      <c r="M179" s="856"/>
      <c r="N179" s="856"/>
      <c r="O179" s="324">
        <f t="shared" si="51"/>
        <v>3.9795528891446312E-4</v>
      </c>
      <c r="P179" s="169">
        <f>(INDEX(Models!$BJ179:$BT179,,T179)*(1-R179)+INDEX(Models!$BJ179:$BT179,,T179+1)*R179-ERP_i)*Q179*Ramure*Pc/MaxiM</f>
        <v>5.9245768417484961E-6</v>
      </c>
      <c r="Q179" s="305">
        <f t="shared" si="52"/>
        <v>0.5</v>
      </c>
      <c r="R179" s="177">
        <f t="shared" si="53"/>
        <v>0.26766114921213391</v>
      </c>
      <c r="S179" s="811">
        <f t="shared" si="71"/>
        <v>-2</v>
      </c>
      <c r="T179" s="176">
        <f t="shared" si="54"/>
        <v>4</v>
      </c>
      <c r="U179" s="251">
        <f t="shared" si="55"/>
        <v>-1.7323388507878661</v>
      </c>
      <c r="V179" s="383">
        <f t="shared" si="56"/>
        <v>63.46927410082094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6">
        <f t="shared" si="62"/>
        <v>3.9795528891446312E-4</v>
      </c>
      <c r="AD179" s="169">
        <f>(INDEX(Models!$BJ179:$BT179,,AH179)*(1-AF179)+INDEX(Models!$BJ179:$BT179,,AH179+1)*AF179-ERP_i)*AE179*Ramure*Pc/MaxiM</f>
        <v>5.9245768417484961E-6</v>
      </c>
      <c r="AE179" s="305">
        <f t="shared" si="63"/>
        <v>0.5</v>
      </c>
      <c r="AF179" s="177">
        <f t="shared" si="64"/>
        <v>0.26766114921213391</v>
      </c>
      <c r="AG179" s="811">
        <f t="shared" si="65"/>
        <v>-2</v>
      </c>
      <c r="AH179" s="176">
        <f t="shared" si="66"/>
        <v>4</v>
      </c>
      <c r="AI179" s="225">
        <f t="shared" si="67"/>
        <v>-1.7323388507878661</v>
      </c>
      <c r="AJ179" s="265" t="b">
        <f t="shared" si="68"/>
        <v>0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0"/>
        <v>43266</v>
      </c>
      <c r="B180" s="617"/>
      <c r="C180" s="390"/>
      <c r="D180" s="393"/>
      <c r="E180" s="385"/>
      <c r="F180" s="385"/>
      <c r="G180" s="110"/>
      <c r="I180" s="380">
        <f t="shared" si="48"/>
        <v>0</v>
      </c>
      <c r="J180" s="85">
        <v>2018</v>
      </c>
      <c r="K180" s="197">
        <f t="shared" si="49"/>
        <v>43266</v>
      </c>
      <c r="L180" s="437">
        <f t="shared" si="50"/>
        <v>1.5330789122347532E-4</v>
      </c>
      <c r="M180" s="856"/>
      <c r="N180" s="856"/>
      <c r="O180" s="324">
        <f t="shared" si="51"/>
        <v>4.6431022939271712E-4</v>
      </c>
      <c r="P180" s="169">
        <f>(INDEX(Models!$BJ180:$BT180,,T180)*(1-R180)+INDEX(Models!$BJ180:$BT180,,T180+1)*R180-ERP_i)*Q180*Ramure*Pc/MaxiM</f>
        <v>6.0563716986585196E-6</v>
      </c>
      <c r="Q180" s="305">
        <f t="shared" si="52"/>
        <v>0.5</v>
      </c>
      <c r="R180" s="177">
        <f t="shared" si="53"/>
        <v>0.27276306775927406</v>
      </c>
      <c r="S180" s="811">
        <f t="shared" si="71"/>
        <v>-2</v>
      </c>
      <c r="T180" s="176">
        <f t="shared" si="54"/>
        <v>4</v>
      </c>
      <c r="U180" s="251">
        <f t="shared" si="55"/>
        <v>-1.7272369322407259</v>
      </c>
      <c r="V180" s="383">
        <f t="shared" si="56"/>
        <v>63.410229818974315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6">
        <f t="shared" si="62"/>
        <v>4.6431022939271712E-4</v>
      </c>
      <c r="AD180" s="169">
        <f>(INDEX(Models!$BJ180:$BT180,,AH180)*(1-AF180)+INDEX(Models!$BJ180:$BT180,,AH180+1)*AF180-ERP_i)*AE180*Ramure*Pc/MaxiM</f>
        <v>6.0563716986585196E-6</v>
      </c>
      <c r="AE180" s="305">
        <f t="shared" si="63"/>
        <v>0.5</v>
      </c>
      <c r="AF180" s="177">
        <f t="shared" si="64"/>
        <v>0.27276306775927406</v>
      </c>
      <c r="AG180" s="811">
        <f t="shared" si="65"/>
        <v>-2</v>
      </c>
      <c r="AH180" s="176">
        <f t="shared" si="66"/>
        <v>4</v>
      </c>
      <c r="AI180" s="225">
        <f t="shared" si="67"/>
        <v>-1.7272369322407259</v>
      </c>
      <c r="AJ180" s="265" t="b">
        <f t="shared" si="68"/>
        <v>0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0"/>
        <v>43267</v>
      </c>
      <c r="B181" s="617"/>
      <c r="C181" s="390"/>
      <c r="D181" s="393"/>
      <c r="E181" s="385"/>
      <c r="F181" s="385"/>
      <c r="G181" s="110"/>
      <c r="I181" s="380">
        <f t="shared" si="48"/>
        <v>0</v>
      </c>
      <c r="J181" s="85">
        <v>2018</v>
      </c>
      <c r="K181" s="197">
        <f t="shared" si="49"/>
        <v>43267</v>
      </c>
      <c r="L181" s="437">
        <f t="shared" si="50"/>
        <v>1.7520709981955207E-4</v>
      </c>
      <c r="M181" s="856"/>
      <c r="N181" s="856"/>
      <c r="O181" s="324">
        <f t="shared" si="51"/>
        <v>5.3066529197402746E-4</v>
      </c>
      <c r="P181" s="169">
        <f>(INDEX(Models!$BJ181:$BT181,,T181)*(1-R181)+INDEX(Models!$BJ181:$BT181,,T181+1)*R181-ERP_i)*Q181*Ramure*Pc/MaxiM</f>
        <v>6.1935966472201046E-6</v>
      </c>
      <c r="Q181" s="305">
        <f t="shared" si="52"/>
        <v>0.5</v>
      </c>
      <c r="R181" s="177">
        <f t="shared" si="53"/>
        <v>0.27784356862954596</v>
      </c>
      <c r="S181" s="811">
        <f t="shared" si="71"/>
        <v>-2</v>
      </c>
      <c r="T181" s="176">
        <f t="shared" si="54"/>
        <v>4</v>
      </c>
      <c r="U181" s="251">
        <f t="shared" si="55"/>
        <v>-1.722156431370454</v>
      </c>
      <c r="V181" s="383">
        <f t="shared" si="56"/>
        <v>63.346903447293158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6">
        <f t="shared" si="62"/>
        <v>5.3066529197402746E-4</v>
      </c>
      <c r="AD181" s="169">
        <f>(INDEX(Models!$BJ181:$BT181,,AH181)*(1-AF181)+INDEX(Models!$BJ181:$BT181,,AH181+1)*AF181-ERP_i)*AE181*Ramure*Pc/MaxiM</f>
        <v>6.1935966472201046E-6</v>
      </c>
      <c r="AE181" s="305">
        <f t="shared" si="63"/>
        <v>0.5</v>
      </c>
      <c r="AF181" s="177">
        <f t="shared" si="64"/>
        <v>0.27784356862954596</v>
      </c>
      <c r="AG181" s="811">
        <f t="shared" si="65"/>
        <v>-2</v>
      </c>
      <c r="AH181" s="176">
        <f t="shared" si="66"/>
        <v>4</v>
      </c>
      <c r="AI181" s="225">
        <f t="shared" si="67"/>
        <v>-1.722156431370454</v>
      </c>
      <c r="AJ181" s="265" t="b">
        <f t="shared" si="68"/>
        <v>0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0"/>
        <v>43268</v>
      </c>
      <c r="B182" s="617"/>
      <c r="C182" s="390"/>
      <c r="D182" s="393"/>
      <c r="E182" s="385"/>
      <c r="F182" s="385"/>
      <c r="G182" s="110"/>
      <c r="I182" s="380">
        <f t="shared" si="48"/>
        <v>0</v>
      </c>
      <c r="J182" s="85">
        <v>2018</v>
      </c>
      <c r="K182" s="197">
        <f t="shared" si="49"/>
        <v>43268</v>
      </c>
      <c r="L182" s="437">
        <f t="shared" si="50"/>
        <v>1.9710582876675264E-4</v>
      </c>
      <c r="M182" s="856"/>
      <c r="N182" s="856"/>
      <c r="O182" s="324">
        <f t="shared" si="51"/>
        <v>5.9701720398370702E-4</v>
      </c>
      <c r="P182" s="169">
        <f>(INDEX(Models!$BJ182:$BT182,,T182)*(1-R182)+INDEX(Models!$BJ182:$BT182,,T182+1)*R182-ERP_i)*Q182*Ramure*Pc/MaxiM</f>
        <v>6.3364725484592835E-6</v>
      </c>
      <c r="Q182" s="305">
        <f t="shared" si="52"/>
        <v>0.5</v>
      </c>
      <c r="R182" s="177">
        <f t="shared" si="53"/>
        <v>0.28289852615920563</v>
      </c>
      <c r="S182" s="811">
        <f t="shared" si="71"/>
        <v>-2</v>
      </c>
      <c r="T182" s="176">
        <f t="shared" si="54"/>
        <v>4</v>
      </c>
      <c r="U182" s="251">
        <f t="shared" si="55"/>
        <v>-1.7171014738407944</v>
      </c>
      <c r="V182" s="383">
        <f t="shared" si="56"/>
        <v>63.279725420168653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6">
        <f t="shared" si="62"/>
        <v>5.9701720398370702E-4</v>
      </c>
      <c r="AD182" s="169">
        <f>(INDEX(Models!$BJ182:$BT182,,AH182)*(1-AF182)+INDEX(Models!$BJ182:$BT182,,AH182+1)*AF182-ERP_i)*AE182*Ramure*Pc/MaxiM</f>
        <v>6.3364725484592835E-6</v>
      </c>
      <c r="AE182" s="305">
        <f t="shared" si="63"/>
        <v>0.5</v>
      </c>
      <c r="AF182" s="177">
        <f t="shared" si="64"/>
        <v>0.28289852615920563</v>
      </c>
      <c r="AG182" s="811">
        <f t="shared" si="65"/>
        <v>-2</v>
      </c>
      <c r="AH182" s="176">
        <f t="shared" si="66"/>
        <v>4</v>
      </c>
      <c r="AI182" s="225">
        <f t="shared" si="67"/>
        <v>-1.7171014738407944</v>
      </c>
      <c r="AJ182" s="265" t="b">
        <f t="shared" si="68"/>
        <v>0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0"/>
        <v>43269</v>
      </c>
      <c r="B183" s="617"/>
      <c r="C183" s="390"/>
      <c r="D183" s="393"/>
      <c r="E183" s="385"/>
      <c r="F183" s="385"/>
      <c r="G183" s="110"/>
      <c r="I183" s="380">
        <f t="shared" si="48"/>
        <v>0</v>
      </c>
      <c r="J183" s="85">
        <v>2018</v>
      </c>
      <c r="K183" s="197">
        <f t="shared" si="49"/>
        <v>43269</v>
      </c>
      <c r="L183" s="437">
        <f t="shared" si="50"/>
        <v>2.1900407807551314E-4</v>
      </c>
      <c r="M183" s="856"/>
      <c r="N183" s="856"/>
      <c r="O183" s="324">
        <f t="shared" si="51"/>
        <v>6.6336263346727248E-4</v>
      </c>
      <c r="P183" s="169">
        <f>(INDEX(Models!$BJ183:$BT183,,T183)*(1-R183)+INDEX(Models!$BJ183:$BT183,,T183+1)*R183-ERP_i)*Q183*Ramure*Pc/MaxiM</f>
        <v>6.4852197494351731E-6</v>
      </c>
      <c r="Q183" s="305">
        <f t="shared" si="52"/>
        <v>0.5</v>
      </c>
      <c r="R183" s="177">
        <f t="shared" si="53"/>
        <v>0.28792389894147763</v>
      </c>
      <c r="S183" s="811">
        <f t="shared" si="71"/>
        <v>-2</v>
      </c>
      <c r="T183" s="176">
        <f t="shared" si="54"/>
        <v>4</v>
      </c>
      <c r="U183" s="251">
        <f t="shared" si="55"/>
        <v>-1.7120761010585224</v>
      </c>
      <c r="V183" s="383">
        <f t="shared" si="56"/>
        <v>63.209126024570978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6">
        <f t="shared" si="62"/>
        <v>6.6336263346727248E-4</v>
      </c>
      <c r="AD183" s="169">
        <f>(INDEX(Models!$BJ183:$BT183,,AH183)*(1-AF183)+INDEX(Models!$BJ183:$BT183,,AH183+1)*AF183-ERP_i)*AE183*Ramure*Pc/MaxiM</f>
        <v>6.4852197494351731E-6</v>
      </c>
      <c r="AE183" s="305">
        <f t="shared" si="63"/>
        <v>0.5</v>
      </c>
      <c r="AF183" s="177">
        <f t="shared" si="64"/>
        <v>0.28792389894147763</v>
      </c>
      <c r="AG183" s="811">
        <f t="shared" si="65"/>
        <v>-2</v>
      </c>
      <c r="AH183" s="176">
        <f t="shared" si="66"/>
        <v>4</v>
      </c>
      <c r="AI183" s="225">
        <f t="shared" si="67"/>
        <v>-1.7120761010585224</v>
      </c>
      <c r="AJ183" s="265" t="b">
        <f t="shared" si="68"/>
        <v>0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0"/>
        <v>43270</v>
      </c>
      <c r="B184" s="617"/>
      <c r="C184" s="390"/>
      <c r="D184" s="393"/>
      <c r="E184" s="385"/>
      <c r="F184" s="385"/>
      <c r="G184" s="110"/>
      <c r="I184" s="380">
        <f t="shared" si="48"/>
        <v>0</v>
      </c>
      <c r="J184" s="85">
        <v>2018</v>
      </c>
      <c r="K184" s="197">
        <f t="shared" si="49"/>
        <v>43270</v>
      </c>
      <c r="L184" s="437">
        <f t="shared" si="50"/>
        <v>2.409018477564917E-4</v>
      </c>
      <c r="M184" s="856"/>
      <c r="N184" s="856"/>
      <c r="O184" s="324">
        <f t="shared" si="51"/>
        <v>7.296982056316342E-4</v>
      </c>
      <c r="P184" s="169">
        <f>(INDEX(Models!$BJ184:$BT184,,T184)*(1-R184)+INDEX(Models!$BJ184:$BT184,,T184+1)*R184-ERP_i)*Q184*Ramure*Pc/MaxiM</f>
        <v>6.6384228815509959E-6</v>
      </c>
      <c r="Q184" s="305">
        <f t="shared" si="52"/>
        <v>0.5</v>
      </c>
      <c r="R184" s="177">
        <f t="shared" si="53"/>
        <v>0.29291574235589013</v>
      </c>
      <c r="S184" s="811">
        <f t="shared" si="71"/>
        <v>-2</v>
      </c>
      <c r="T184" s="176">
        <f t="shared" si="54"/>
        <v>4</v>
      </c>
      <c r="U184" s="251">
        <f t="shared" si="55"/>
        <v>-1.7070842576441099</v>
      </c>
      <c r="V184" s="383">
        <f t="shared" si="56"/>
        <v>63.135535499177358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6">
        <f t="shared" si="62"/>
        <v>7.296982056316342E-4</v>
      </c>
      <c r="AD184" s="169">
        <f>(INDEX(Models!$BJ184:$BT184,,AH184)*(1-AF184)+INDEX(Models!$BJ184:$BT184,,AH184+1)*AF184-ERP_i)*AE184*Ramure*Pc/MaxiM</f>
        <v>6.6384228815509959E-6</v>
      </c>
      <c r="AE184" s="305">
        <f t="shared" si="63"/>
        <v>0.5</v>
      </c>
      <c r="AF184" s="177">
        <f t="shared" si="64"/>
        <v>0.29291574235589013</v>
      </c>
      <c r="AG184" s="811">
        <f t="shared" si="65"/>
        <v>-2</v>
      </c>
      <c r="AH184" s="176">
        <f t="shared" si="66"/>
        <v>4</v>
      </c>
      <c r="AI184" s="225">
        <f t="shared" si="67"/>
        <v>-1.7070842576441099</v>
      </c>
      <c r="AJ184" s="265" t="b">
        <f t="shared" si="68"/>
        <v>0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0"/>
        <v>43271</v>
      </c>
      <c r="B185" s="617"/>
      <c r="C185" s="390"/>
      <c r="D185" s="393"/>
      <c r="E185" s="385"/>
      <c r="F185" s="385"/>
      <c r="G185" s="110"/>
      <c r="I185" s="380">
        <f t="shared" si="48"/>
        <v>0</v>
      </c>
      <c r="J185" s="85">
        <v>2018</v>
      </c>
      <c r="K185" s="197">
        <f t="shared" si="49"/>
        <v>43271</v>
      </c>
      <c r="L185" s="437">
        <f t="shared" si="50"/>
        <v>2.6279913782012443E-4</v>
      </c>
      <c r="M185" s="856"/>
      <c r="N185" s="856"/>
      <c r="O185" s="324">
        <f t="shared" si="51"/>
        <v>7.9602051936207671E-4</v>
      </c>
      <c r="P185" s="169">
        <f>(INDEX(Models!$BJ185:$BT185,,T185)*(1-R185)+INDEX(Models!$BJ185:$BT185,,T185+1)*R185-ERP_i)*Q185*Ramure*Pc/MaxiM</f>
        <v>6.7883959591362981E-6</v>
      </c>
      <c r="Q185" s="305">
        <f t="shared" si="52"/>
        <v>0.5</v>
      </c>
      <c r="R185" s="177">
        <f t="shared" si="53"/>
        <v>0.2978702204329724</v>
      </c>
      <c r="S185" s="811">
        <f t="shared" si="71"/>
        <v>-2</v>
      </c>
      <c r="T185" s="176">
        <f t="shared" si="54"/>
        <v>4</v>
      </c>
      <c r="U185" s="251">
        <f t="shared" si="55"/>
        <v>-1.7021297795670276</v>
      </c>
      <c r="V185" s="383">
        <f t="shared" si="56"/>
        <v>63.059384325769393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6">
        <f t="shared" si="62"/>
        <v>7.9602051936207671E-4</v>
      </c>
      <c r="AD185" s="169">
        <f>(INDEX(Models!$BJ185:$BT185,,AH185)*(1-AF185)+INDEX(Models!$BJ185:$BT185,,AH185+1)*AF185-ERP_i)*AE185*Ramure*Pc/MaxiM</f>
        <v>6.7883959591362981E-6</v>
      </c>
      <c r="AE185" s="305">
        <f t="shared" si="63"/>
        <v>0.5</v>
      </c>
      <c r="AF185" s="177">
        <f t="shared" si="64"/>
        <v>0.2978702204329724</v>
      </c>
      <c r="AG185" s="811">
        <f t="shared" si="65"/>
        <v>-2</v>
      </c>
      <c r="AH185" s="176">
        <f t="shared" si="66"/>
        <v>4</v>
      </c>
      <c r="AI185" s="225">
        <f t="shared" si="67"/>
        <v>-1.7021297795670276</v>
      </c>
      <c r="AJ185" s="265" t="b">
        <f t="shared" si="68"/>
        <v>0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0"/>
        <v>43272</v>
      </c>
      <c r="B186" s="617"/>
      <c r="C186" s="390"/>
      <c r="D186" s="393"/>
      <c r="E186" s="385"/>
      <c r="F186" s="385"/>
      <c r="G186" s="110"/>
      <c r="I186" s="380">
        <f t="shared" si="48"/>
        <v>0</v>
      </c>
      <c r="J186" s="85">
        <v>2018</v>
      </c>
      <c r="K186" s="197">
        <f t="shared" si="49"/>
        <v>43272</v>
      </c>
      <c r="L186" s="437">
        <f t="shared" si="50"/>
        <v>2.8469594827695843E-4</v>
      </c>
      <c r="M186" s="856"/>
      <c r="N186" s="856"/>
      <c r="O186" s="324">
        <f t="shared" si="51"/>
        <v>8.6232616368908232E-4</v>
      </c>
      <c r="P186" s="169">
        <f>(INDEX(Models!$BJ186:$BT186,,T186)*(1-R186)+INDEX(Models!$BJ186:$BT186,,T186+1)*R186-ERP_i)*Q186*Ramure*Pc/MaxiM</f>
        <v>6.9347572853886687E-6</v>
      </c>
      <c r="Q186" s="305">
        <f t="shared" si="52"/>
        <v>0.5</v>
      </c>
      <c r="R186" s="177">
        <f t="shared" si="53"/>
        <v>0.30278361698259904</v>
      </c>
      <c r="S186" s="811">
        <f t="shared" si="71"/>
        <v>-2</v>
      </c>
      <c r="T186" s="176">
        <f t="shared" si="54"/>
        <v>4</v>
      </c>
      <c r="U186" s="251">
        <f t="shared" si="55"/>
        <v>-1.697216383017401</v>
      </c>
      <c r="V186" s="383">
        <f t="shared" si="56"/>
        <v>62.981102373574757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6">
        <f t="shared" si="62"/>
        <v>8.6232616368908232E-4</v>
      </c>
      <c r="AD186" s="169">
        <f>(INDEX(Models!$BJ186:$BT186,,AH186)*(1-AF186)+INDEX(Models!$BJ186:$BT186,,AH186+1)*AF186-ERP_i)*AE186*Ramure*Pc/MaxiM</f>
        <v>6.9347572853886687E-6</v>
      </c>
      <c r="AE186" s="305">
        <f t="shared" si="63"/>
        <v>0.5</v>
      </c>
      <c r="AF186" s="177">
        <f t="shared" si="64"/>
        <v>0.30278361698259904</v>
      </c>
      <c r="AG186" s="811">
        <f t="shared" si="65"/>
        <v>-2</v>
      </c>
      <c r="AH186" s="176">
        <f t="shared" si="66"/>
        <v>4</v>
      </c>
      <c r="AI186" s="225">
        <f t="shared" si="67"/>
        <v>-1.697216383017401</v>
      </c>
      <c r="AJ186" s="265" t="b">
        <f t="shared" si="68"/>
        <v>0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0"/>
        <v>43273</v>
      </c>
      <c r="B187" s="617"/>
      <c r="C187" s="390"/>
      <c r="D187" s="393"/>
      <c r="E187" s="385"/>
      <c r="F187" s="385"/>
      <c r="G187" s="110"/>
      <c r="I187" s="380">
        <f t="shared" si="48"/>
        <v>0</v>
      </c>
      <c r="J187" s="85">
        <v>2018</v>
      </c>
      <c r="K187" s="197">
        <f t="shared" si="49"/>
        <v>43273</v>
      </c>
      <c r="L187" s="437">
        <f t="shared" si="50"/>
        <v>3.0659227913731879E-4</v>
      </c>
      <c r="M187" s="856"/>
      <c r="N187" s="856"/>
      <c r="O187" s="324">
        <f t="shared" si="51"/>
        <v>9.2861173407892989E-4</v>
      </c>
      <c r="P187" s="169">
        <f>(INDEX(Models!$BJ187:$BT187,,T187)*(1-R187)+INDEX(Models!$BJ187:$BT187,,T187+1)*R187-ERP_i)*Q187*Ramure*Pc/MaxiM</f>
        <v>7.0771272453216201E-6</v>
      </c>
      <c r="Q187" s="305">
        <f t="shared" si="52"/>
        <v>0.5</v>
      </c>
      <c r="R187" s="177">
        <f t="shared" si="53"/>
        <v>0.30765234592268675</v>
      </c>
      <c r="S187" s="811">
        <f t="shared" si="71"/>
        <v>-2</v>
      </c>
      <c r="T187" s="176">
        <f t="shared" si="54"/>
        <v>4</v>
      </c>
      <c r="U187" s="251">
        <f t="shared" si="55"/>
        <v>-1.6923476540773132</v>
      </c>
      <c r="V187" s="383">
        <f t="shared" si="56"/>
        <v>62.901119357615926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6">
        <f t="shared" si="62"/>
        <v>9.2861173407892989E-4</v>
      </c>
      <c r="AD187" s="169">
        <f>(INDEX(Models!$BJ187:$BT187,,AH187)*(1-AF187)+INDEX(Models!$BJ187:$BT187,,AH187+1)*AF187-ERP_i)*AE187*Ramure*Pc/MaxiM</f>
        <v>7.0771272453216201E-6</v>
      </c>
      <c r="AE187" s="305">
        <f t="shared" si="63"/>
        <v>0.5</v>
      </c>
      <c r="AF187" s="177">
        <f t="shared" si="64"/>
        <v>0.30765234592268675</v>
      </c>
      <c r="AG187" s="811">
        <f t="shared" si="65"/>
        <v>-2</v>
      </c>
      <c r="AH187" s="176">
        <f t="shared" si="66"/>
        <v>4</v>
      </c>
      <c r="AI187" s="225">
        <f t="shared" si="67"/>
        <v>-1.6923476540773132</v>
      </c>
      <c r="AJ187" s="265" t="b">
        <f t="shared" si="68"/>
        <v>0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0"/>
        <v>43274</v>
      </c>
      <c r="B188" s="617"/>
      <c r="C188" s="390"/>
      <c r="D188" s="393"/>
      <c r="E188" s="385"/>
      <c r="F188" s="385"/>
      <c r="G188" s="110"/>
      <c r="I188" s="380">
        <f t="shared" si="48"/>
        <v>0</v>
      </c>
      <c r="J188" s="85">
        <v>2018</v>
      </c>
      <c r="K188" s="197">
        <f t="shared" si="49"/>
        <v>43274</v>
      </c>
      <c r="L188" s="437">
        <f t="shared" si="50"/>
        <v>3.2848813041197467E-4</v>
      </c>
      <c r="M188" s="856"/>
      <c r="N188" s="856"/>
      <c r="O188" s="324">
        <f t="shared" si="51"/>
        <v>9.9487384842316751E-4</v>
      </c>
      <c r="P188" s="169">
        <f>(INDEX(Models!$BJ188:$BT188,,T188)*(1-R188)+INDEX(Models!$BJ188:$BT188,,T188+1)*R188-ERP_i)*Q188*Ramure*Pc/MaxiM</f>
        <v>7.2150559310527287E-6</v>
      </c>
      <c r="Q188" s="305">
        <f t="shared" si="52"/>
        <v>0.5</v>
      </c>
      <c r="R188" s="177">
        <f t="shared" si="53"/>
        <v>0.31247296075390874</v>
      </c>
      <c r="S188" s="811">
        <f t="shared" si="71"/>
        <v>-2</v>
      </c>
      <c r="T188" s="176">
        <f t="shared" si="54"/>
        <v>4</v>
      </c>
      <c r="U188" s="251">
        <f t="shared" si="55"/>
        <v>-1.6875270392460913</v>
      </c>
      <c r="V188" s="383">
        <f t="shared" si="56"/>
        <v>62.819864840697207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6">
        <f t="shared" si="62"/>
        <v>9.9487384842316751E-4</v>
      </c>
      <c r="AD188" s="169">
        <f>(INDEX(Models!$BJ188:$BT188,,AH188)*(1-AF188)+INDEX(Models!$BJ188:$BT188,,AH188+1)*AF188-ERP_i)*AE188*Ramure*Pc/MaxiM</f>
        <v>7.2150559310527287E-6</v>
      </c>
      <c r="AE188" s="305">
        <f t="shared" si="63"/>
        <v>0.5</v>
      </c>
      <c r="AF188" s="177">
        <f t="shared" si="64"/>
        <v>0.31247296075390874</v>
      </c>
      <c r="AG188" s="811">
        <f t="shared" si="65"/>
        <v>-2</v>
      </c>
      <c r="AH188" s="176">
        <f t="shared" si="66"/>
        <v>4</v>
      </c>
      <c r="AI188" s="225">
        <f t="shared" si="67"/>
        <v>-1.6875270392460913</v>
      </c>
      <c r="AJ188" s="265" t="b">
        <f t="shared" si="68"/>
        <v>0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0"/>
        <v>43275</v>
      </c>
      <c r="B189" s="617"/>
      <c r="C189" s="390"/>
      <c r="D189" s="393"/>
      <c r="E189" s="385"/>
      <c r="F189" s="385"/>
      <c r="G189" s="110"/>
      <c r="I189" s="380">
        <f t="shared" si="48"/>
        <v>0</v>
      </c>
      <c r="J189" s="85">
        <v>2018</v>
      </c>
      <c r="K189" s="197">
        <f t="shared" si="49"/>
        <v>43275</v>
      </c>
      <c r="L189" s="437">
        <f t="shared" si="50"/>
        <v>3.5038350211114011E-4</v>
      </c>
      <c r="M189" s="856"/>
      <c r="N189" s="856"/>
      <c r="O189" s="324">
        <f t="shared" si="51"/>
        <v>1.0611091626047174E-3</v>
      </c>
      <c r="P189" s="169">
        <f>(INDEX(Models!$BJ189:$BT189,,T189)*(1-R189)+INDEX(Models!$BJ189:$BT189,,T189+1)*R189-ERP_i)*Q189*Ramure*Pc/MaxiM</f>
        <v>7.3480888682665442E-6</v>
      </c>
      <c r="Q189" s="305">
        <f t="shared" si="52"/>
        <v>0.5</v>
      </c>
      <c r="R189" s="177">
        <f t="shared" si="53"/>
        <v>0.31724216313545117</v>
      </c>
      <c r="S189" s="811">
        <f t="shared" si="71"/>
        <v>-2</v>
      </c>
      <c r="T189" s="176">
        <f t="shared" si="54"/>
        <v>4</v>
      </c>
      <c r="U189" s="251">
        <f t="shared" si="55"/>
        <v>-1.6827578368645488</v>
      </c>
      <c r="V189" s="383">
        <f t="shared" si="56"/>
        <v>62.737768232870998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6">
        <f t="shared" si="62"/>
        <v>1.0611091626047174E-3</v>
      </c>
      <c r="AD189" s="169">
        <f>(INDEX(Models!$BJ189:$BT189,,AH189)*(1-AF189)+INDEX(Models!$BJ189:$BT189,,AH189+1)*AF189-ERP_i)*AE189*Ramure*Pc/MaxiM</f>
        <v>7.3480888682665442E-6</v>
      </c>
      <c r="AE189" s="305">
        <f t="shared" si="63"/>
        <v>0.5</v>
      </c>
      <c r="AF189" s="177">
        <f t="shared" si="64"/>
        <v>0.31724216313545117</v>
      </c>
      <c r="AG189" s="811">
        <f t="shared" si="65"/>
        <v>-2</v>
      </c>
      <c r="AH189" s="176">
        <f t="shared" si="66"/>
        <v>4</v>
      </c>
      <c r="AI189" s="225">
        <f t="shared" si="67"/>
        <v>-1.6827578368645488</v>
      </c>
      <c r="AJ189" s="265" t="b">
        <f t="shared" si="68"/>
        <v>0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0"/>
        <v>43276</v>
      </c>
      <c r="B190" s="617"/>
      <c r="C190" s="390"/>
      <c r="D190" s="393"/>
      <c r="E190" s="385"/>
      <c r="F190" s="385"/>
      <c r="G190" s="110"/>
      <c r="I190" s="380">
        <f t="shared" si="48"/>
        <v>0</v>
      </c>
      <c r="J190" s="85">
        <v>2018</v>
      </c>
      <c r="K190" s="197">
        <f t="shared" si="49"/>
        <v>43276</v>
      </c>
      <c r="L190" s="437">
        <f t="shared" si="50"/>
        <v>3.7227839424558429E-4</v>
      </c>
      <c r="M190" s="856"/>
      <c r="N190" s="856"/>
      <c r="O190" s="324">
        <f t="shared" si="51"/>
        <v>1.1273143855219593E-3</v>
      </c>
      <c r="P190" s="169">
        <f>(INDEX(Models!$BJ190:$BT190,,T190)*(1-R190)+INDEX(Models!$BJ190:$BT190,,T190+1)*R190-ERP_i)*Q190*Ramure*Pc/MaxiM</f>
        <v>7.475847004799934E-6</v>
      </c>
      <c r="Q190" s="305">
        <f t="shared" si="52"/>
        <v>0.5</v>
      </c>
      <c r="R190" s="177">
        <f t="shared" si="53"/>
        <v>0.321956810526427</v>
      </c>
      <c r="S190" s="811">
        <f t="shared" si="71"/>
        <v>-2</v>
      </c>
      <c r="T190" s="176">
        <f t="shared" si="54"/>
        <v>4</v>
      </c>
      <c r="U190" s="251">
        <f t="shared" si="55"/>
        <v>-1.678043189473573</v>
      </c>
      <c r="V190" s="383">
        <f t="shared" si="56"/>
        <v>62.655258782462106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6">
        <f t="shared" si="62"/>
        <v>1.1273143855219593E-3</v>
      </c>
      <c r="AD190" s="169">
        <f>(INDEX(Models!$BJ190:$BT190,,AH190)*(1-AF190)+INDEX(Models!$BJ190:$BT190,,AH190+1)*AF190-ERP_i)*AE190*Ramure*Pc/MaxiM</f>
        <v>7.475847004799934E-6</v>
      </c>
      <c r="AE190" s="305">
        <f t="shared" si="63"/>
        <v>0.5</v>
      </c>
      <c r="AF190" s="177">
        <f t="shared" si="64"/>
        <v>0.321956810526427</v>
      </c>
      <c r="AG190" s="811">
        <f t="shared" si="65"/>
        <v>-2</v>
      </c>
      <c r="AH190" s="176">
        <f t="shared" si="66"/>
        <v>4</v>
      </c>
      <c r="AI190" s="225">
        <f t="shared" si="67"/>
        <v>-1.678043189473573</v>
      </c>
      <c r="AJ190" s="265" t="b">
        <f t="shared" si="68"/>
        <v>0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0"/>
        <v>43277</v>
      </c>
      <c r="B191" s="617"/>
      <c r="C191" s="390"/>
      <c r="D191" s="393"/>
      <c r="E191" s="385"/>
      <c r="F191" s="385"/>
      <c r="G191" s="110"/>
      <c r="I191" s="380">
        <f t="shared" si="48"/>
        <v>0</v>
      </c>
      <c r="J191" s="85">
        <v>2018</v>
      </c>
      <c r="K191" s="197">
        <f t="shared" si="49"/>
        <v>43277</v>
      </c>
      <c r="L191" s="437">
        <f t="shared" si="50"/>
        <v>3.9417280682563227E-4</v>
      </c>
      <c r="M191" s="856"/>
      <c r="N191" s="856"/>
      <c r="O191" s="324">
        <f t="shared" si="51"/>
        <v>1.193486293457243E-3</v>
      </c>
      <c r="P191" s="169">
        <f>(INDEX(Models!$BJ191:$BT191,,T191)*(1-R191)+INDEX(Models!$BJ191:$BT191,,T191+1)*R191-ERP_i)*Q191*Ramure*Pc/MaxiM</f>
        <v>7.598089227593118E-6</v>
      </c>
      <c r="Q191" s="305">
        <f t="shared" si="52"/>
        <v>0.5</v>
      </c>
      <c r="R191" s="177">
        <f t="shared" si="53"/>
        <v>0.3266139228672591</v>
      </c>
      <c r="S191" s="811">
        <f t="shared" si="71"/>
        <v>-2</v>
      </c>
      <c r="T191" s="176">
        <f t="shared" si="54"/>
        <v>4</v>
      </c>
      <c r="U191" s="251">
        <f t="shared" si="55"/>
        <v>-1.6733860771327409</v>
      </c>
      <c r="V191" s="383">
        <f t="shared" si="56"/>
        <v>62.571693669798606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6">
        <f t="shared" si="62"/>
        <v>1.193486293457243E-3</v>
      </c>
      <c r="AD191" s="169">
        <f>(INDEX(Models!$BJ191:$BT191,,AH191)*(1-AF191)+INDEX(Models!$BJ191:$BT191,,AH191+1)*AF191-ERP_i)*AE191*Ramure*Pc/MaxiM</f>
        <v>7.598089227593118E-6</v>
      </c>
      <c r="AE191" s="305">
        <f t="shared" si="63"/>
        <v>0.5</v>
      </c>
      <c r="AF191" s="177">
        <f t="shared" si="64"/>
        <v>0.3266139228672591</v>
      </c>
      <c r="AG191" s="811">
        <f t="shared" si="65"/>
        <v>-2</v>
      </c>
      <c r="AH191" s="176">
        <f t="shared" si="66"/>
        <v>4</v>
      </c>
      <c r="AI191" s="225">
        <f t="shared" si="67"/>
        <v>-1.6733860771327409</v>
      </c>
      <c r="AJ191" s="265" t="b">
        <f t="shared" si="68"/>
        <v>0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0"/>
        <v>43278</v>
      </c>
      <c r="B192" s="617"/>
      <c r="C192" s="390"/>
      <c r="D192" s="393"/>
      <c r="E192" s="385"/>
      <c r="F192" s="385"/>
      <c r="G192" s="110"/>
      <c r="I192" s="380">
        <f t="shared" si="48"/>
        <v>0</v>
      </c>
      <c r="J192" s="85">
        <v>2018</v>
      </c>
      <c r="K192" s="197">
        <f t="shared" si="49"/>
        <v>43278</v>
      </c>
      <c r="L192" s="437">
        <f t="shared" si="50"/>
        <v>4.160667398619422E-4</v>
      </c>
      <c r="M192" s="856"/>
      <c r="N192" s="856"/>
      <c r="O192" s="324">
        <f t="shared" si="51"/>
        <v>1.2596217436821175E-3</v>
      </c>
      <c r="P192" s="169">
        <f>(INDEX(Models!$BJ192:$BT192,,T192)*(1-R192)+INDEX(Models!$BJ192:$BT192,,T192+1)*R192-ERP_i)*Q192*Ramure*Pc/MaxiM</f>
        <v>7.7235398415397064E-6</v>
      </c>
      <c r="Q192" s="305">
        <f t="shared" si="52"/>
        <v>0.5</v>
      </c>
      <c r="R192" s="177">
        <f t="shared" si="53"/>
        <v>0.33121068828497635</v>
      </c>
      <c r="S192" s="811">
        <f t="shared" si="71"/>
        <v>-2</v>
      </c>
      <c r="T192" s="176">
        <f t="shared" si="54"/>
        <v>4</v>
      </c>
      <c r="U192" s="251">
        <f t="shared" si="55"/>
        <v>-1.6687893117150236</v>
      </c>
      <c r="V192" s="383">
        <f t="shared" si="56"/>
        <v>62.486143917931912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6">
        <f t="shared" si="62"/>
        <v>1.2596217436821175E-3</v>
      </c>
      <c r="AD192" s="169">
        <f>(INDEX(Models!$BJ192:$BT192,,AH192)*(1-AF192)+INDEX(Models!$BJ192:$BT192,,AH192+1)*AF192-ERP_i)*AE192*Ramure*Pc/MaxiM</f>
        <v>7.7235398415397064E-6</v>
      </c>
      <c r="AE192" s="305">
        <f t="shared" si="63"/>
        <v>0.5</v>
      </c>
      <c r="AF192" s="177">
        <f t="shared" si="64"/>
        <v>0.33121068828497635</v>
      </c>
      <c r="AG192" s="811">
        <f t="shared" si="65"/>
        <v>-2</v>
      </c>
      <c r="AH192" s="176">
        <f t="shared" si="66"/>
        <v>4</v>
      </c>
      <c r="AI192" s="225">
        <f t="shared" si="67"/>
        <v>-1.6687893117150236</v>
      </c>
      <c r="AJ192" s="265" t="b">
        <f t="shared" si="68"/>
        <v>0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0"/>
        <v>43279</v>
      </c>
      <c r="B193" s="617"/>
      <c r="C193" s="390"/>
      <c r="D193" s="393"/>
      <c r="E193" s="385"/>
      <c r="F193" s="385"/>
      <c r="G193" s="110"/>
      <c r="I193" s="380">
        <f t="shared" si="48"/>
        <v>0</v>
      </c>
      <c r="J193" s="85">
        <v>2018</v>
      </c>
      <c r="K193" s="197">
        <f t="shared" si="49"/>
        <v>43279</v>
      </c>
      <c r="L193" s="437">
        <f t="shared" si="50"/>
        <v>4.3796019336483916E-4</v>
      </c>
      <c r="M193" s="856"/>
      <c r="N193" s="856"/>
      <c r="O193" s="324">
        <f t="shared" si="51"/>
        <v>1.3257176871990595E-3</v>
      </c>
      <c r="P193" s="169">
        <f>(INDEX(Models!$BJ193:$BT193,,T193)*(1-R193)+INDEX(Models!$BJ193:$BT193,,T193+1)*R193-ERP_i)*Q193*Ramure*Pc/MaxiM</f>
        <v>7.8543192822904897E-6</v>
      </c>
      <c r="Q193" s="305">
        <f t="shared" si="52"/>
        <v>0.5</v>
      </c>
      <c r="R193" s="177">
        <f t="shared" si="53"/>
        <v>0.33574446781580591</v>
      </c>
      <c r="S193" s="811">
        <f t="shared" si="71"/>
        <v>-2</v>
      </c>
      <c r="T193" s="176">
        <f t="shared" si="54"/>
        <v>4</v>
      </c>
      <c r="U193" s="251">
        <f t="shared" si="55"/>
        <v>-1.6642555321841941</v>
      </c>
      <c r="V193" s="383">
        <f t="shared" si="56"/>
        <v>62.398610107679545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6">
        <f t="shared" si="62"/>
        <v>1.3257176871990595E-3</v>
      </c>
      <c r="AD193" s="169">
        <f>(INDEX(Models!$BJ193:$BT193,,AH193)*(1-AF193)+INDEX(Models!$BJ193:$BT193,,AH193+1)*AF193-ERP_i)*AE193*Ramure*Pc/MaxiM</f>
        <v>7.8543192822904897E-6</v>
      </c>
      <c r="AE193" s="305">
        <f t="shared" si="63"/>
        <v>0.5</v>
      </c>
      <c r="AF193" s="177">
        <f t="shared" si="64"/>
        <v>0.33574446781580591</v>
      </c>
      <c r="AG193" s="811">
        <f t="shared" si="65"/>
        <v>-2</v>
      </c>
      <c r="AH193" s="176">
        <f t="shared" si="66"/>
        <v>4</v>
      </c>
      <c r="AI193" s="225">
        <f t="shared" si="67"/>
        <v>-1.6642555321841941</v>
      </c>
      <c r="AJ193" s="265" t="b">
        <f t="shared" si="68"/>
        <v>0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0"/>
        <v>43280</v>
      </c>
      <c r="B194" s="617"/>
      <c r="C194" s="390"/>
      <c r="D194" s="393"/>
      <c r="E194" s="385"/>
      <c r="F194" s="385"/>
      <c r="G194" s="110"/>
      <c r="I194" s="380">
        <f t="shared" si="48"/>
        <v>0</v>
      </c>
      <c r="J194" s="85">
        <v>2018</v>
      </c>
      <c r="K194" s="197">
        <f t="shared" si="49"/>
        <v>43280</v>
      </c>
      <c r="L194" s="437">
        <f t="shared" si="50"/>
        <v>4.5985316734498127E-4</v>
      </c>
      <c r="M194" s="856"/>
      <c r="N194" s="856"/>
      <c r="O194" s="324">
        <f t="shared" si="51"/>
        <v>1.3917711805274198E-3</v>
      </c>
      <c r="P194" s="169">
        <f>(INDEX(Models!$BJ194:$BT194,,T194)*(1-R194)+INDEX(Models!$BJ194:$BT194,,T194+1)*R194-ERP_i)*Q194*Ramure*Pc/MaxiM</f>
        <v>7.9907036818664212E-6</v>
      </c>
      <c r="Q194" s="305">
        <f t="shared" si="52"/>
        <v>0.5</v>
      </c>
      <c r="R194" s="177">
        <f t="shared" si="53"/>
        <v>0.34021279914757807</v>
      </c>
      <c r="S194" s="811">
        <f t="shared" si="71"/>
        <v>-2</v>
      </c>
      <c r="T194" s="176">
        <f t="shared" si="54"/>
        <v>4</v>
      </c>
      <c r="U194" s="251">
        <f t="shared" si="55"/>
        <v>-1.6597872008524219</v>
      </c>
      <c r="V194" s="383">
        <f t="shared" si="56"/>
        <v>62.309092924175218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6">
        <f t="shared" si="62"/>
        <v>1.3917711805274198E-3</v>
      </c>
      <c r="AD194" s="169">
        <f>(INDEX(Models!$BJ194:$BT194,,AH194)*(1-AF194)+INDEX(Models!$BJ194:$BT194,,AH194+1)*AF194-ERP_i)*AE194*Ramure*Pc/MaxiM</f>
        <v>7.9907036818664212E-6</v>
      </c>
      <c r="AE194" s="305">
        <f t="shared" si="63"/>
        <v>0.5</v>
      </c>
      <c r="AF194" s="177">
        <f t="shared" si="64"/>
        <v>0.34021279914757807</v>
      </c>
      <c r="AG194" s="811">
        <f t="shared" si="65"/>
        <v>-2</v>
      </c>
      <c r="AH194" s="176">
        <f t="shared" si="66"/>
        <v>4</v>
      </c>
      <c r="AI194" s="225">
        <f t="shared" si="67"/>
        <v>-1.6597872008524219</v>
      </c>
      <c r="AJ194" s="265" t="b">
        <f t="shared" si="68"/>
        <v>0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0"/>
        <v>43281</v>
      </c>
      <c r="B195" s="617"/>
      <c r="C195" s="390"/>
      <c r="D195" s="393"/>
      <c r="E195" s="385"/>
      <c r="F195" s="385"/>
      <c r="G195" s="110"/>
      <c r="I195" s="380">
        <f t="shared" si="48"/>
        <v>0</v>
      </c>
      <c r="J195" s="85">
        <v>2018</v>
      </c>
      <c r="K195" s="197">
        <f t="shared" si="49"/>
        <v>43281</v>
      </c>
      <c r="L195" s="437">
        <f t="shared" si="50"/>
        <v>4.8174566181280465E-4</v>
      </c>
      <c r="M195" s="856"/>
      <c r="N195" s="856"/>
      <c r="O195" s="324">
        <f t="shared" si="51"/>
        <v>1.4577793964506373E-3</v>
      </c>
      <c r="P195" s="169">
        <f>(INDEX(Models!$BJ195:$BT195,,T195)*(1-R195)+INDEX(Models!$BJ195:$BT195,,T195+1)*R195-ERP_i)*Q195*Ramure*Pc/MaxiM</f>
        <v>8.1329685713587823E-6</v>
      </c>
      <c r="Q195" s="305">
        <f t="shared" si="52"/>
        <v>0.5</v>
      </c>
      <c r="R195" s="177">
        <f t="shared" si="53"/>
        <v>0.34461339939313373</v>
      </c>
      <c r="S195" s="811">
        <f t="shared" si="71"/>
        <v>-2</v>
      </c>
      <c r="T195" s="176">
        <f t="shared" si="54"/>
        <v>4</v>
      </c>
      <c r="U195" s="251">
        <f t="shared" si="55"/>
        <v>-1.6553866006068663</v>
      </c>
      <c r="V195" s="383">
        <f t="shared" si="56"/>
        <v>62.217593045240498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6">
        <f t="shared" si="62"/>
        <v>1.4577793964506373E-3</v>
      </c>
      <c r="AD195" s="169">
        <f>(INDEX(Models!$BJ195:$BT195,,AH195)*(1-AF195)+INDEX(Models!$BJ195:$BT195,,AH195+1)*AF195-ERP_i)*AE195*Ramure*Pc/MaxiM</f>
        <v>8.1329685713587823E-6</v>
      </c>
      <c r="AE195" s="305">
        <f t="shared" si="63"/>
        <v>0.5</v>
      </c>
      <c r="AF195" s="177">
        <f t="shared" si="64"/>
        <v>0.34461339939313373</v>
      </c>
      <c r="AG195" s="811">
        <f t="shared" si="65"/>
        <v>-2</v>
      </c>
      <c r="AH195" s="176">
        <f t="shared" si="66"/>
        <v>4</v>
      </c>
      <c r="AI195" s="225">
        <f t="shared" si="67"/>
        <v>-1.6553866006068663</v>
      </c>
      <c r="AJ195" s="265" t="b">
        <f t="shared" si="68"/>
        <v>0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0"/>
        <v>43282</v>
      </c>
      <c r="B196" s="617"/>
      <c r="C196" s="390"/>
      <c r="D196" s="393"/>
      <c r="E196" s="385"/>
      <c r="F196" s="385"/>
      <c r="G196" s="110"/>
      <c r="I196" s="380">
        <f t="shared" si="48"/>
        <v>0</v>
      </c>
      <c r="J196" s="85">
        <v>2018</v>
      </c>
      <c r="K196" s="197">
        <f t="shared" si="49"/>
        <v>43282</v>
      </c>
      <c r="L196" s="437">
        <f t="shared" si="50"/>
        <v>5.0363767677874538E-4</v>
      </c>
      <c r="M196" s="856"/>
      <c r="N196" s="856"/>
      <c r="O196" s="324">
        <f t="shared" si="51"/>
        <v>1.5237396336515766E-3</v>
      </c>
      <c r="P196" s="169">
        <f>(INDEX(Models!$BJ196:$BT196,,T196)*(1-R196)+INDEX(Models!$BJ196:$BT196,,T196+1)*R196-ERP_i)*Q196*Ramure*Pc/MaxiM</f>
        <v>8.2813883705813195E-6</v>
      </c>
      <c r="Q196" s="305">
        <f t="shared" si="52"/>
        <v>0.5</v>
      </c>
      <c r="R196" s="177">
        <f t="shared" si="53"/>
        <v>0.3489441669140767</v>
      </c>
      <c r="S196" s="811">
        <f t="shared" si="71"/>
        <v>-2</v>
      </c>
      <c r="T196" s="176">
        <f t="shared" si="54"/>
        <v>4</v>
      </c>
      <c r="U196" s="251">
        <f t="shared" si="55"/>
        <v>-1.6510558330859233</v>
      </c>
      <c r="V196" s="383">
        <f t="shared" si="56"/>
        <v>62.124111141027186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6">
        <f t="shared" si="62"/>
        <v>1.5237396336515766E-3</v>
      </c>
      <c r="AD196" s="169">
        <f>(INDEX(Models!$BJ196:$BT196,,AH196)*(1-AF196)+INDEX(Models!$BJ196:$BT196,,AH196+1)*AF196-ERP_i)*AE196*Ramure*Pc/MaxiM</f>
        <v>8.2813883705813195E-6</v>
      </c>
      <c r="AE196" s="305">
        <f t="shared" si="63"/>
        <v>0.5</v>
      </c>
      <c r="AF196" s="177">
        <f t="shared" si="64"/>
        <v>0.3489441669140767</v>
      </c>
      <c r="AG196" s="811">
        <f t="shared" si="65"/>
        <v>-2</v>
      </c>
      <c r="AH196" s="176">
        <f t="shared" si="66"/>
        <v>4</v>
      </c>
      <c r="AI196" s="225">
        <f t="shared" si="67"/>
        <v>-1.6510558330859233</v>
      </c>
      <c r="AJ196" s="265" t="b">
        <f t="shared" si="68"/>
        <v>0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0"/>
        <v>43283</v>
      </c>
      <c r="B197" s="617"/>
      <c r="C197" s="390"/>
      <c r="D197" s="393"/>
      <c r="E197" s="385"/>
      <c r="F197" s="385"/>
      <c r="G197" s="110"/>
      <c r="I197" s="380">
        <f t="shared" si="48"/>
        <v>0</v>
      </c>
      <c r="J197" s="85">
        <v>2018</v>
      </c>
      <c r="K197" s="197">
        <f t="shared" si="49"/>
        <v>43283</v>
      </c>
      <c r="L197" s="437">
        <f t="shared" si="50"/>
        <v>5.2552921225346161E-4</v>
      </c>
      <c r="M197" s="856"/>
      <c r="N197" s="856"/>
      <c r="O197" s="324">
        <f t="shared" si="51"/>
        <v>1.5896493251737016E-3</v>
      </c>
      <c r="P197" s="169">
        <f>(INDEX(Models!$BJ197:$BT197,,T197)*(1-R197)+INDEX(Models!$BJ197:$BT197,,T197+1)*R197-ERP_i)*Q197*Ramure*Pc/MaxiM</f>
        <v>8.4362359309723569E-6</v>
      </c>
      <c r="Q197" s="305">
        <f t="shared" si="52"/>
        <v>0.5</v>
      </c>
      <c r="R197" s="177">
        <f t="shared" si="53"/>
        <v>0.35320318222173741</v>
      </c>
      <c r="S197" s="811">
        <f t="shared" si="71"/>
        <v>-2</v>
      </c>
      <c r="T197" s="176">
        <f t="shared" si="54"/>
        <v>4</v>
      </c>
      <c r="U197" s="251">
        <f t="shared" si="55"/>
        <v>-1.6467968177782626</v>
      </c>
      <c r="V197" s="383">
        <f t="shared" si="56"/>
        <v>62.028647869755005</v>
      </c>
      <c r="W197" s="58"/>
      <c r="X197" s="157">
        <f t="shared" si="57"/>
        <v>43283</v>
      </c>
      <c r="Y197" s="385">
        <f t="shared" si="58"/>
        <v>0</v>
      </c>
      <c r="Z197" s="385">
        <f t="shared" si="59"/>
        <v>0</v>
      </c>
      <c r="AA197" s="386">
        <f t="shared" si="60"/>
        <v>0</v>
      </c>
      <c r="AB197" s="197">
        <f t="shared" si="61"/>
        <v>43283</v>
      </c>
      <c r="AC197" s="426">
        <f t="shared" si="62"/>
        <v>1.5896493251737016E-3</v>
      </c>
      <c r="AD197" s="169">
        <f>(INDEX(Models!$BJ197:$BT197,,AH197)*(1-AF197)+INDEX(Models!$BJ197:$BT197,,AH197+1)*AF197-ERP_i)*AE197*Ramure*Pc/MaxiM</f>
        <v>8.4362359309723569E-6</v>
      </c>
      <c r="AE197" s="305">
        <f t="shared" si="63"/>
        <v>0.5</v>
      </c>
      <c r="AF197" s="177">
        <f t="shared" si="64"/>
        <v>0.35320318222173741</v>
      </c>
      <c r="AG197" s="811">
        <f t="shared" si="65"/>
        <v>-2</v>
      </c>
      <c r="AH197" s="176">
        <f t="shared" si="66"/>
        <v>4</v>
      </c>
      <c r="AI197" s="225">
        <f t="shared" si="67"/>
        <v>-1.6467968177782626</v>
      </c>
      <c r="AJ197" s="265" t="b">
        <f t="shared" si="68"/>
        <v>0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0"/>
        <v>43284</v>
      </c>
      <c r="B198" s="617"/>
      <c r="C198" s="390"/>
      <c r="D198" s="393"/>
      <c r="E198" s="385"/>
      <c r="F198" s="385"/>
      <c r="G198" s="110"/>
      <c r="I198" s="380">
        <f t="shared" si="48"/>
        <v>0</v>
      </c>
      <c r="J198" s="85">
        <v>2018</v>
      </c>
      <c r="K198" s="197">
        <f t="shared" si="49"/>
        <v>43284</v>
      </c>
      <c r="L198" s="437">
        <f t="shared" si="50"/>
        <v>5.4742026824727841E-4</v>
      </c>
      <c r="M198" s="856"/>
      <c r="N198" s="856"/>
      <c r="O198" s="324">
        <f t="shared" si="51"/>
        <v>1.6555060456569918E-3</v>
      </c>
      <c r="P198" s="169">
        <f>(INDEX(Models!$BJ198:$BT198,,T198)*(1-R198)+INDEX(Models!$BJ198:$BT198,,T198+1)*R198-ERP_i)*Q198*Ramure*Pc/MaxiM</f>
        <v>8.6843071641118661E-6</v>
      </c>
      <c r="Q198" s="305">
        <f t="shared" si="52"/>
        <v>0.5</v>
      </c>
      <c r="R198" s="177">
        <f t="shared" si="53"/>
        <v>0.35738870798903388</v>
      </c>
      <c r="S198" s="811">
        <f t="shared" si="71"/>
        <v>-2</v>
      </c>
      <c r="T198" s="176">
        <f t="shared" si="54"/>
        <v>4</v>
      </c>
      <c r="U198" s="251">
        <f t="shared" si="55"/>
        <v>-1.6426112920109661</v>
      </c>
      <c r="V198" s="383">
        <f t="shared" si="56"/>
        <v>61.931198522001985</v>
      </c>
      <c r="W198" s="58"/>
      <c r="X198" s="157">
        <f t="shared" si="57"/>
        <v>43284</v>
      </c>
      <c r="Y198" s="385">
        <f t="shared" si="58"/>
        <v>0</v>
      </c>
      <c r="Z198" s="385">
        <f t="shared" si="59"/>
        <v>0</v>
      </c>
      <c r="AA198" s="386">
        <f t="shared" si="60"/>
        <v>0</v>
      </c>
      <c r="AB198" s="197">
        <f t="shared" si="61"/>
        <v>43284</v>
      </c>
      <c r="AC198" s="426">
        <f t="shared" si="62"/>
        <v>1.6555060456569918E-3</v>
      </c>
      <c r="AD198" s="169">
        <f>(INDEX(Models!$BJ198:$BT198,,AH198)*(1-AF198)+INDEX(Models!$BJ198:$BT198,,AH198+1)*AF198-ERP_i)*AE198*Ramure*Pc/MaxiM</f>
        <v>8.6843071641118661E-6</v>
      </c>
      <c r="AE198" s="305">
        <f t="shared" si="63"/>
        <v>0.5</v>
      </c>
      <c r="AF198" s="177">
        <f t="shared" si="64"/>
        <v>0.35738870798903388</v>
      </c>
      <c r="AG198" s="811">
        <f t="shared" si="65"/>
        <v>-2</v>
      </c>
      <c r="AH198" s="176">
        <f t="shared" si="66"/>
        <v>4</v>
      </c>
      <c r="AI198" s="225">
        <f t="shared" si="67"/>
        <v>-1.6426112920109661</v>
      </c>
      <c r="AJ198" s="265" t="b">
        <f t="shared" si="68"/>
        <v>0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0"/>
        <v>43285</v>
      </c>
      <c r="B199" s="617"/>
      <c r="C199" s="390"/>
      <c r="D199" s="393"/>
      <c r="E199" s="385"/>
      <c r="F199" s="385"/>
      <c r="G199" s="110"/>
      <c r="I199" s="380">
        <f t="shared" si="48"/>
        <v>0</v>
      </c>
      <c r="J199" s="85">
        <v>2018</v>
      </c>
      <c r="K199" s="197">
        <f t="shared" si="49"/>
        <v>43285</v>
      </c>
      <c r="L199" s="437">
        <f t="shared" si="50"/>
        <v>5.6931084477085392E-4</v>
      </c>
      <c r="M199" s="856"/>
      <c r="N199" s="856"/>
      <c r="O199" s="324">
        <f t="shared" si="51"/>
        <v>1.7213075173093781E-3</v>
      </c>
      <c r="P199" s="169">
        <f>(INDEX(Models!$BJ199:$BT199,,T199)*(1-R199)+INDEX(Models!$BJ199:$BT199,,T199+1)*R199-ERP_i)*Q199*Ramure*Pc/MaxiM</f>
        <v>9.0317369918237551E-6</v>
      </c>
      <c r="Q199" s="305">
        <f t="shared" si="52"/>
        <v>0.5</v>
      </c>
      <c r="R199" s="177">
        <f t="shared" si="53"/>
        <v>0.36149918821299076</v>
      </c>
      <c r="S199" s="811">
        <f t="shared" si="71"/>
        <v>-2</v>
      </c>
      <c r="T199" s="176">
        <f t="shared" si="54"/>
        <v>4</v>
      </c>
      <c r="U199" s="251">
        <f t="shared" si="55"/>
        <v>-1.6385008117870092</v>
      </c>
      <c r="V199" s="383">
        <f t="shared" si="56"/>
        <v>61.83176339968027</v>
      </c>
      <c r="W199" s="58"/>
      <c r="X199" s="157">
        <f t="shared" si="57"/>
        <v>43285</v>
      </c>
      <c r="Y199" s="385">
        <f t="shared" si="58"/>
        <v>0</v>
      </c>
      <c r="Z199" s="385">
        <f t="shared" si="59"/>
        <v>0</v>
      </c>
      <c r="AA199" s="386">
        <f t="shared" si="60"/>
        <v>0</v>
      </c>
      <c r="AB199" s="197">
        <f t="shared" si="61"/>
        <v>43285</v>
      </c>
      <c r="AC199" s="426">
        <f t="shared" si="62"/>
        <v>1.7213075173093781E-3</v>
      </c>
      <c r="AD199" s="169">
        <f>(INDEX(Models!$BJ199:$BT199,,AH199)*(1-AF199)+INDEX(Models!$BJ199:$BT199,,AH199+1)*AF199-ERP_i)*AE199*Ramure*Pc/MaxiM</f>
        <v>9.0317369918237551E-6</v>
      </c>
      <c r="AE199" s="305">
        <f t="shared" si="63"/>
        <v>0.5</v>
      </c>
      <c r="AF199" s="177">
        <f t="shared" si="64"/>
        <v>0.36149918821299076</v>
      </c>
      <c r="AG199" s="811">
        <f t="shared" si="65"/>
        <v>-2</v>
      </c>
      <c r="AH199" s="176">
        <f t="shared" si="66"/>
        <v>4</v>
      </c>
      <c r="AI199" s="225">
        <f t="shared" si="67"/>
        <v>-1.6385008117870092</v>
      </c>
      <c r="AJ199" s="265" t="b">
        <f t="shared" si="68"/>
        <v>0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0"/>
        <v>43286</v>
      </c>
      <c r="B200" s="617"/>
      <c r="C200" s="390"/>
      <c r="D200" s="393"/>
      <c r="E200" s="385"/>
      <c r="F200" s="385"/>
      <c r="G200" s="110"/>
      <c r="I200" s="380">
        <f t="shared" si="48"/>
        <v>0</v>
      </c>
      <c r="J200" s="85">
        <v>2018</v>
      </c>
      <c r="K200" s="197">
        <f t="shared" si="49"/>
        <v>43286</v>
      </c>
      <c r="L200" s="437">
        <f t="shared" si="50"/>
        <v>5.9120094183462424E-4</v>
      </c>
      <c r="M200" s="856"/>
      <c r="N200" s="856"/>
      <c r="O200" s="324">
        <f t="shared" si="51"/>
        <v>1.7870516145866145E-3</v>
      </c>
      <c r="P200" s="169">
        <f>(INDEX(Models!$BJ200:$BT200,,T200)*(1-R200)+INDEX(Models!$BJ200:$BT200,,T200+1)*R200-ERP_i)*Q200*Ramure*Pc/MaxiM</f>
        <v>9.4824949844131427E-6</v>
      </c>
      <c r="Q200" s="305">
        <f t="shared" si="52"/>
        <v>0.5</v>
      </c>
      <c r="R200" s="177">
        <f t="shared" si="53"/>
        <v>0.36553324657296482</v>
      </c>
      <c r="S200" s="811">
        <f t="shared" si="71"/>
        <v>-2</v>
      </c>
      <c r="T200" s="176">
        <f t="shared" si="54"/>
        <v>4</v>
      </c>
      <c r="U200" s="251">
        <f t="shared" si="55"/>
        <v>-1.6344667534270352</v>
      </c>
      <c r="V200" s="383">
        <f t="shared" si="56"/>
        <v>61.730342930933659</v>
      </c>
      <c r="W200" s="58"/>
      <c r="X200" s="157">
        <f t="shared" si="57"/>
        <v>43286</v>
      </c>
      <c r="Y200" s="385">
        <f t="shared" si="58"/>
        <v>0</v>
      </c>
      <c r="Z200" s="385">
        <f t="shared" si="59"/>
        <v>0</v>
      </c>
      <c r="AA200" s="386">
        <f t="shared" si="60"/>
        <v>0</v>
      </c>
      <c r="AB200" s="197">
        <f t="shared" si="61"/>
        <v>43286</v>
      </c>
      <c r="AC200" s="426">
        <f t="shared" si="62"/>
        <v>1.7870516145866145E-3</v>
      </c>
      <c r="AD200" s="169">
        <f>(INDEX(Models!$BJ200:$BT200,,AH200)*(1-AF200)+INDEX(Models!$BJ200:$BT200,,AH200+1)*AF200-ERP_i)*AE200*Ramure*Pc/MaxiM</f>
        <v>9.4824949844131427E-6</v>
      </c>
      <c r="AE200" s="305">
        <f t="shared" si="63"/>
        <v>0.5</v>
      </c>
      <c r="AF200" s="177">
        <f t="shared" si="64"/>
        <v>0.36553324657296482</v>
      </c>
      <c r="AG200" s="811">
        <f t="shared" si="65"/>
        <v>-2</v>
      </c>
      <c r="AH200" s="176">
        <f t="shared" si="66"/>
        <v>4</v>
      </c>
      <c r="AI200" s="225">
        <f t="shared" si="67"/>
        <v>-1.6344667534270352</v>
      </c>
      <c r="AJ200" s="265" t="b">
        <f t="shared" si="68"/>
        <v>0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7"/>
      <c r="C201" s="390"/>
      <c r="D201" s="393"/>
      <c r="E201" s="385"/>
      <c r="F201" s="385"/>
      <c r="G201" s="110"/>
      <c r="I201" s="380">
        <f t="shared" si="48"/>
        <v>0</v>
      </c>
      <c r="J201" s="85">
        <v>2018</v>
      </c>
      <c r="K201" s="197">
        <f t="shared" si="49"/>
        <v>43287</v>
      </c>
      <c r="L201" s="437">
        <f t="shared" si="50"/>
        <v>6.1309055944902546E-4</v>
      </c>
      <c r="M201" s="856"/>
      <c r="N201" s="856"/>
      <c r="O201" s="324">
        <f t="shared" si="51"/>
        <v>1.8527363675658378E-3</v>
      </c>
      <c r="P201" s="169">
        <f>(INDEX(Models!$BJ201:$BT201,,T201)*(1-R201)+INDEX(Models!$BJ201:$BT201,,T201+1)*R201-ERP_i)*Q201*Ramure*Pc/MaxiM</f>
        <v>1.0040424574391466E-5</v>
      </c>
      <c r="Q201" s="305">
        <f t="shared" si="52"/>
        <v>0.5</v>
      </c>
      <c r="R201" s="177">
        <f t="shared" si="53"/>
        <v>0.36948968403409088</v>
      </c>
      <c r="S201" s="811">
        <f t="shared" si="71"/>
        <v>-2</v>
      </c>
      <c r="T201" s="176">
        <f t="shared" si="54"/>
        <v>4</v>
      </c>
      <c r="U201" s="251">
        <f t="shared" si="55"/>
        <v>-1.6305103159659091</v>
      </c>
      <c r="V201" s="383">
        <f t="shared" si="56"/>
        <v>61.626937543740709</v>
      </c>
      <c r="W201" s="58"/>
      <c r="X201" s="157">
        <f t="shared" si="57"/>
        <v>43287</v>
      </c>
      <c r="Y201" s="385">
        <f t="shared" si="58"/>
        <v>0</v>
      </c>
      <c r="Z201" s="385">
        <f t="shared" si="59"/>
        <v>0</v>
      </c>
      <c r="AA201" s="386">
        <f t="shared" si="60"/>
        <v>0</v>
      </c>
      <c r="AB201" s="197">
        <f t="shared" si="61"/>
        <v>43287</v>
      </c>
      <c r="AC201" s="426">
        <f t="shared" si="62"/>
        <v>1.8527363675658378E-3</v>
      </c>
      <c r="AD201" s="169">
        <f>(INDEX(Models!$BJ201:$BT201,,AH201)*(1-AF201)+INDEX(Models!$BJ201:$BT201,,AH201+1)*AF201-ERP_i)*AE201*Ramure*Pc/MaxiM</f>
        <v>1.0040424574391466E-5</v>
      </c>
      <c r="AE201" s="305">
        <f t="shared" si="63"/>
        <v>0.5</v>
      </c>
      <c r="AF201" s="177">
        <f t="shared" si="64"/>
        <v>0.36948968403409088</v>
      </c>
      <c r="AG201" s="811">
        <f t="shared" si="65"/>
        <v>-2</v>
      </c>
      <c r="AH201" s="176">
        <f t="shared" si="66"/>
        <v>4</v>
      </c>
      <c r="AI201" s="225">
        <f t="shared" si="67"/>
        <v>-1.6305103159659091</v>
      </c>
      <c r="AJ201" s="265" t="b">
        <f t="shared" si="68"/>
        <v>0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43288</v>
      </c>
      <c r="B202" s="617"/>
      <c r="C202" s="390"/>
      <c r="D202" s="393"/>
      <c r="E202" s="385"/>
      <c r="F202" s="385"/>
      <c r="G202" s="110"/>
      <c r="I202" s="380">
        <f t="shared" si="48"/>
        <v>0</v>
      </c>
      <c r="J202" s="85">
        <v>2018</v>
      </c>
      <c r="K202" s="197">
        <f t="shared" si="49"/>
        <v>43288</v>
      </c>
      <c r="L202" s="437">
        <f t="shared" si="50"/>
        <v>6.3497969762471573E-4</v>
      </c>
      <c r="M202" s="856"/>
      <c r="N202" s="856"/>
      <c r="O202" s="324">
        <f t="shared" si="51"/>
        <v>1.9183599640106561E-3</v>
      </c>
      <c r="P202" s="169">
        <f>(INDEX(Models!$BJ202:$BT202,,T202)*(1-R202)+INDEX(Models!$BJ202:$BT202,,T202+1)*R202-ERP_i)*Q202*Ramure*Pc/MaxiM</f>
        <v>1.0709241287813652E-5</v>
      </c>
      <c r="Q202" s="305">
        <f t="shared" si="52"/>
        <v>0.5</v>
      </c>
      <c r="R202" s="177">
        <f t="shared" si="53"/>
        <v>0.37336747574913032</v>
      </c>
      <c r="S202" s="811">
        <f t="shared" si="71"/>
        <v>-2</v>
      </c>
      <c r="T202" s="176">
        <f t="shared" si="54"/>
        <v>4</v>
      </c>
      <c r="U202" s="251">
        <f t="shared" si="55"/>
        <v>-1.6266325242508697</v>
      </c>
      <c r="V202" s="383">
        <f t="shared" si="56"/>
        <v>61.521547663794365</v>
      </c>
      <c r="W202" s="58"/>
      <c r="X202" s="157">
        <f t="shared" si="57"/>
        <v>43288</v>
      </c>
      <c r="Y202" s="385">
        <f t="shared" si="58"/>
        <v>0</v>
      </c>
      <c r="Z202" s="385">
        <f t="shared" si="59"/>
        <v>0</v>
      </c>
      <c r="AA202" s="386">
        <f t="shared" si="60"/>
        <v>0</v>
      </c>
      <c r="AB202" s="197">
        <f t="shared" si="61"/>
        <v>43288</v>
      </c>
      <c r="AC202" s="426">
        <f t="shared" si="62"/>
        <v>1.9183599640106561E-3</v>
      </c>
      <c r="AD202" s="169">
        <f>(INDEX(Models!$BJ202:$BT202,,AH202)*(1-AF202)+INDEX(Models!$BJ202:$BT202,,AH202+1)*AF202-ERP_i)*AE202*Ramure*Pc/MaxiM</f>
        <v>1.0709241287813652E-5</v>
      </c>
      <c r="AE202" s="305">
        <f t="shared" si="63"/>
        <v>0.5</v>
      </c>
      <c r="AF202" s="177">
        <f t="shared" si="64"/>
        <v>0.37336747574913032</v>
      </c>
      <c r="AG202" s="811">
        <f t="shared" si="65"/>
        <v>-2</v>
      </c>
      <c r="AH202" s="176">
        <f t="shared" si="66"/>
        <v>4</v>
      </c>
      <c r="AI202" s="225">
        <f t="shared" si="67"/>
        <v>-1.6266325242508697</v>
      </c>
      <c r="AJ202" s="265" t="b">
        <f t="shared" si="68"/>
        <v>0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43289</v>
      </c>
      <c r="B203" s="617"/>
      <c r="C203" s="390"/>
      <c r="D203" s="393"/>
      <c r="E203" s="385"/>
      <c r="F203" s="385"/>
      <c r="G203" s="110"/>
      <c r="I203" s="380">
        <f t="shared" si="48"/>
        <v>0</v>
      </c>
      <c r="J203" s="85">
        <v>2018</v>
      </c>
      <c r="K203" s="197">
        <f t="shared" si="49"/>
        <v>43289</v>
      </c>
      <c r="L203" s="437">
        <f t="shared" si="50"/>
        <v>6.5686835637202012E-4</v>
      </c>
      <c r="M203" s="856"/>
      <c r="N203" s="856"/>
      <c r="O203" s="324">
        <f t="shared" si="51"/>
        <v>1.9839207501378036E-3</v>
      </c>
      <c r="P203" s="169">
        <f>(INDEX(Models!$BJ203:$BT203,,T203)*(1-R203)+INDEX(Models!$BJ203:$BT203,,T203+1)*R203-ERP_i)*Q203*Ramure*Pc/MaxiM</f>
        <v>1.1492532231280943E-5</v>
      </c>
      <c r="Q203" s="305">
        <f t="shared" si="52"/>
        <v>0.5</v>
      </c>
      <c r="R203" s="177">
        <f t="shared" si="53"/>
        <v>0.37716576731473284</v>
      </c>
      <c r="S203" s="811">
        <f t="shared" si="71"/>
        <v>-2</v>
      </c>
      <c r="T203" s="176">
        <f t="shared" si="54"/>
        <v>4</v>
      </c>
      <c r="U203" s="251">
        <f t="shared" si="55"/>
        <v>-1.6228342326852672</v>
      </c>
      <c r="V203" s="383">
        <f t="shared" si="56"/>
        <v>61.414173719180276</v>
      </c>
      <c r="W203" s="58"/>
      <c r="X203" s="157">
        <f t="shared" si="57"/>
        <v>43289</v>
      </c>
      <c r="Y203" s="385">
        <f t="shared" si="58"/>
        <v>0</v>
      </c>
      <c r="Z203" s="385">
        <f t="shared" si="59"/>
        <v>0</v>
      </c>
      <c r="AA203" s="386">
        <f t="shared" si="60"/>
        <v>0</v>
      </c>
      <c r="AB203" s="197">
        <f t="shared" si="61"/>
        <v>43289</v>
      </c>
      <c r="AC203" s="426">
        <f t="shared" si="62"/>
        <v>1.9839207501378036E-3</v>
      </c>
      <c r="AD203" s="169">
        <f>(INDEX(Models!$BJ203:$BT203,,AH203)*(1-AF203)+INDEX(Models!$BJ203:$BT203,,AH203+1)*AF203-ERP_i)*AE203*Ramure*Pc/MaxiM</f>
        <v>1.1492532231280943E-5</v>
      </c>
      <c r="AE203" s="305">
        <f t="shared" si="63"/>
        <v>0.5</v>
      </c>
      <c r="AF203" s="177">
        <f t="shared" si="64"/>
        <v>0.37716576731473284</v>
      </c>
      <c r="AG203" s="811">
        <f t="shared" si="65"/>
        <v>-2</v>
      </c>
      <c r="AH203" s="176">
        <f t="shared" si="66"/>
        <v>4</v>
      </c>
      <c r="AI203" s="225">
        <f t="shared" si="67"/>
        <v>-1.6228342326852672</v>
      </c>
      <c r="AJ203" s="265" t="b">
        <f t="shared" si="68"/>
        <v>0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43290</v>
      </c>
      <c r="B204" s="617"/>
      <c r="C204" s="390"/>
      <c r="D204" s="393"/>
      <c r="E204" s="385"/>
      <c r="F204" s="385"/>
      <c r="G204" s="110"/>
      <c r="I204" s="380">
        <f t="shared" si="48"/>
        <v>0</v>
      </c>
      <c r="J204" s="85">
        <v>2018</v>
      </c>
      <c r="K204" s="197">
        <f t="shared" si="49"/>
        <v>43290</v>
      </c>
      <c r="L204" s="437">
        <f t="shared" si="50"/>
        <v>6.7875653570159677E-4</v>
      </c>
      <c r="M204" s="856"/>
      <c r="N204" s="856"/>
      <c r="O204" s="324">
        <f t="shared" si="51"/>
        <v>2.0494172301078382E-3</v>
      </c>
      <c r="P204" s="169">
        <f>(INDEX(Models!$BJ204:$BT204,,T204)*(1-R204)+INDEX(Models!$BJ204:$BT204,,T204+1)*R204-ERP_i)*Q204*Ramure*Pc/MaxiM</f>
        <v>1.2393756772797236E-5</v>
      </c>
      <c r="Q204" s="305">
        <f t="shared" si="52"/>
        <v>0.5</v>
      </c>
      <c r="R204" s="177">
        <f t="shared" si="53"/>
        <v>0.3808838704401849</v>
      </c>
      <c r="S204" s="811">
        <f t="shared" si="71"/>
        <v>-2</v>
      </c>
      <c r="T204" s="176">
        <f t="shared" si="54"/>
        <v>4</v>
      </c>
      <c r="U204" s="251">
        <f t="shared" si="55"/>
        <v>-1.6191161295598151</v>
      </c>
      <c r="V204" s="383">
        <f t="shared" si="56"/>
        <v>61.304816134391466</v>
      </c>
      <c r="W204" s="58"/>
      <c r="X204" s="157">
        <f t="shared" si="57"/>
        <v>43290</v>
      </c>
      <c r="Y204" s="385">
        <f t="shared" si="58"/>
        <v>0</v>
      </c>
      <c r="Z204" s="385">
        <f t="shared" si="59"/>
        <v>0</v>
      </c>
      <c r="AA204" s="386">
        <f t="shared" si="60"/>
        <v>0</v>
      </c>
      <c r="AB204" s="197">
        <f t="shared" si="61"/>
        <v>43290</v>
      </c>
      <c r="AC204" s="426">
        <f t="shared" si="62"/>
        <v>2.0494172301078382E-3</v>
      </c>
      <c r="AD204" s="169">
        <f>(INDEX(Models!$BJ204:$BT204,,AH204)*(1-AF204)+INDEX(Models!$BJ204:$BT204,,AH204+1)*AF204-ERP_i)*AE204*Ramure*Pc/MaxiM</f>
        <v>1.2393756772797236E-5</v>
      </c>
      <c r="AE204" s="305">
        <f t="shared" si="63"/>
        <v>0.5</v>
      </c>
      <c r="AF204" s="177">
        <f t="shared" si="64"/>
        <v>0.3808838704401849</v>
      </c>
      <c r="AG204" s="811">
        <f t="shared" si="65"/>
        <v>-2</v>
      </c>
      <c r="AH204" s="176">
        <f t="shared" si="66"/>
        <v>4</v>
      </c>
      <c r="AI204" s="225">
        <f t="shared" si="67"/>
        <v>-1.6191161295598151</v>
      </c>
      <c r="AJ204" s="265" t="b">
        <f t="shared" si="68"/>
        <v>0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43291</v>
      </c>
      <c r="B205" s="617"/>
      <c r="C205" s="390"/>
      <c r="D205" s="393"/>
      <c r="E205" s="385"/>
      <c r="F205" s="385"/>
      <c r="G205" s="110"/>
      <c r="I205" s="380">
        <f t="shared" si="48"/>
        <v>0</v>
      </c>
      <c r="J205" s="85">
        <v>2018</v>
      </c>
      <c r="K205" s="197">
        <f t="shared" si="49"/>
        <v>43291</v>
      </c>
      <c r="L205" s="437">
        <f t="shared" si="50"/>
        <v>7.0064423562377076E-4</v>
      </c>
      <c r="M205" s="856"/>
      <c r="N205" s="856"/>
      <c r="O205" s="324">
        <f t="shared" si="51"/>
        <v>2.1148480642740981E-3</v>
      </c>
      <c r="P205" s="169">
        <f>(INDEX(Models!$BJ205:$BT205,,T205)*(1-R205)+INDEX(Models!$BJ205:$BT205,,T205+1)*R205-ERP_i)*Q205*Ramure*Pc/MaxiM</f>
        <v>1.3416299193208914E-5</v>
      </c>
      <c r="Q205" s="305">
        <f t="shared" si="52"/>
        <v>0.5</v>
      </c>
      <c r="R205" s="177">
        <f t="shared" si="53"/>
        <v>0.38452125808801352</v>
      </c>
      <c r="S205" s="811">
        <f t="shared" si="71"/>
        <v>-2</v>
      </c>
      <c r="T205" s="176">
        <f t="shared" si="54"/>
        <v>4</v>
      </c>
      <c r="U205" s="251">
        <f t="shared" si="55"/>
        <v>-1.6154787419119865</v>
      </c>
      <c r="V205" s="383">
        <f t="shared" si="56"/>
        <v>61.193243374334948</v>
      </c>
      <c r="W205" s="58"/>
      <c r="X205" s="157">
        <f t="shared" si="57"/>
        <v>43291</v>
      </c>
      <c r="Y205" s="385">
        <f t="shared" si="58"/>
        <v>0</v>
      </c>
      <c r="Z205" s="385">
        <f t="shared" si="59"/>
        <v>0</v>
      </c>
      <c r="AA205" s="386">
        <f t="shared" si="60"/>
        <v>0</v>
      </c>
      <c r="AB205" s="197">
        <f t="shared" si="61"/>
        <v>43291</v>
      </c>
      <c r="AC205" s="426">
        <f t="shared" si="62"/>
        <v>2.1148480642740981E-3</v>
      </c>
      <c r="AD205" s="169">
        <f>(INDEX(Models!$BJ205:$BT205,,AH205)*(1-AF205)+INDEX(Models!$BJ205:$BT205,,AH205+1)*AF205-ERP_i)*AE205*Ramure*Pc/MaxiM</f>
        <v>1.3416299193208914E-5</v>
      </c>
      <c r="AE205" s="305">
        <f t="shared" si="63"/>
        <v>0.5</v>
      </c>
      <c r="AF205" s="177">
        <f t="shared" si="64"/>
        <v>0.38452125808801352</v>
      </c>
      <c r="AG205" s="811">
        <f t="shared" si="65"/>
        <v>-2</v>
      </c>
      <c r="AH205" s="176">
        <f t="shared" si="66"/>
        <v>4</v>
      </c>
      <c r="AI205" s="225">
        <f t="shared" si="67"/>
        <v>-1.6154787419119865</v>
      </c>
      <c r="AJ205" s="265" t="b">
        <f t="shared" si="68"/>
        <v>0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43292</v>
      </c>
      <c r="B206" s="617"/>
      <c r="C206" s="390"/>
      <c r="D206" s="393"/>
      <c r="E206" s="385"/>
      <c r="F206" s="385"/>
      <c r="G206" s="110"/>
      <c r="I206" s="380">
        <f t="shared" si="48"/>
        <v>0</v>
      </c>
      <c r="J206" s="85">
        <v>2018</v>
      </c>
      <c r="K206" s="197">
        <f t="shared" si="49"/>
        <v>43292</v>
      </c>
      <c r="L206" s="437">
        <f t="shared" si="50"/>
        <v>7.2253145614920022E-4</v>
      </c>
      <c r="M206" s="856"/>
      <c r="N206" s="856"/>
      <c r="O206" s="324">
        <f t="shared" si="51"/>
        <v>2.1802120662356098E-3</v>
      </c>
      <c r="P206" s="169">
        <f>(INDEX(Models!$BJ206:$BT206,,T206)*(1-R206)+INDEX(Models!$BJ206:$BT206,,T206+1)*R206-ERP_i)*Q206*Ramure*Pc/MaxiM</f>
        <v>1.4620644471560134E-5</v>
      </c>
      <c r="Q206" s="305">
        <f t="shared" si="52"/>
        <v>0.5</v>
      </c>
      <c r="R206" s="177">
        <f t="shared" si="53"/>
        <v>0.38807755914637787</v>
      </c>
      <c r="S206" s="811">
        <f t="shared" si="71"/>
        <v>-2</v>
      </c>
      <c r="T206" s="176">
        <f t="shared" si="54"/>
        <v>4</v>
      </c>
      <c r="U206" s="251">
        <f t="shared" si="55"/>
        <v>-1.6119224408536221</v>
      </c>
      <c r="V206" s="383">
        <f t="shared" si="56"/>
        <v>61.079291853832252</v>
      </c>
      <c r="W206" s="58"/>
      <c r="X206" s="157">
        <f t="shared" si="57"/>
        <v>43292</v>
      </c>
      <c r="Y206" s="385">
        <f t="shared" si="58"/>
        <v>0</v>
      </c>
      <c r="Z206" s="385">
        <f t="shared" si="59"/>
        <v>0</v>
      </c>
      <c r="AA206" s="386">
        <f t="shared" si="60"/>
        <v>0</v>
      </c>
      <c r="AB206" s="197">
        <f t="shared" si="61"/>
        <v>43292</v>
      </c>
      <c r="AC206" s="426">
        <f t="shared" si="62"/>
        <v>2.1802120662356098E-3</v>
      </c>
      <c r="AD206" s="169">
        <f>(INDEX(Models!$BJ206:$BT206,,AH206)*(1-AF206)+INDEX(Models!$BJ206:$BT206,,AH206+1)*AF206-ERP_i)*AE206*Ramure*Pc/MaxiM</f>
        <v>1.4620644471560134E-5</v>
      </c>
      <c r="AE206" s="305">
        <f t="shared" si="63"/>
        <v>0.5</v>
      </c>
      <c r="AF206" s="177">
        <f t="shared" si="64"/>
        <v>0.38807755914637787</v>
      </c>
      <c r="AG206" s="811">
        <f t="shared" si="65"/>
        <v>-2</v>
      </c>
      <c r="AH206" s="176">
        <f t="shared" si="66"/>
        <v>4</v>
      </c>
      <c r="AI206" s="225">
        <f t="shared" si="67"/>
        <v>-1.6119224408536221</v>
      </c>
      <c r="AJ206" s="265" t="b">
        <f t="shared" si="68"/>
        <v>0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43293</v>
      </c>
      <c r="B207" s="617"/>
      <c r="C207" s="390"/>
      <c r="D207" s="393"/>
      <c r="E207" s="385"/>
      <c r="F207" s="385"/>
      <c r="G207" s="110"/>
      <c r="I207" s="380">
        <f t="shared" ref="I207:I270" si="73">Wh_hp</f>
        <v>0</v>
      </c>
      <c r="J207" s="85">
        <v>2018</v>
      </c>
      <c r="K207" s="197">
        <f t="shared" ref="K207:K270" si="74">t</f>
        <v>43293</v>
      </c>
      <c r="L207" s="437">
        <f t="shared" ref="L207:L270" si="75">IF(t&lt;T0,0,IF(t&lt;Tvie,1-EXP((T0-t)*PertePVj),1-EXP((T0-t)*PertePVj)+Pspv))</f>
        <v>7.4441819728832126E-4</v>
      </c>
      <c r="M207" s="856"/>
      <c r="N207" s="856"/>
      <c r="O207" s="324">
        <f t="shared" ref="O207:O270" si="76">IF(t&lt;T0,0,IF(t&lt;Tnet,Salim_i*(1-EXP((T0-t)/Tau_ij)),Resal+(Salim-Resal)*(1-EXP((Tnet-t)/(Tau_j)))))*Salcycl</f>
        <v>2.2455081987503415E-3</v>
      </c>
      <c r="P207" s="169">
        <f>(INDEX(Models!$BJ207:$BT207,,T207)*(1-R207)+INDEX(Models!$BJ207:$BT207,,T207+1)*R207-ERP_i)*Q207*Ramure*Pc/MaxiM</f>
        <v>1.6000822173725635E-5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0.39155255269309608</v>
      </c>
      <c r="S207" s="811">
        <f t="shared" si="71"/>
        <v>-2</v>
      </c>
      <c r="T207" s="176">
        <f t="shared" ref="T207:T270" si="79">MIN(MATCH(Hp_vg,Echel_vg),10)</f>
        <v>4</v>
      </c>
      <c r="U207" s="251">
        <f t="shared" ref="U207:U270" si="80">IF(OR(t&lt;Ttai,Notai),Hdd+PousH*Croivg,Hdtf+PousH*(Croivg-Croi_tai))</f>
        <v>-1.6084474473069039</v>
      </c>
      <c r="V207" s="383">
        <f t="shared" ref="V207:V270" si="81">MaxiM*(1-Ppv)*(1-Pvg)*(1-Psa)</f>
        <v>60.963069714649009</v>
      </c>
      <c r="W207" s="58"/>
      <c r="X207" s="157">
        <f t="shared" ref="X207:X270" si="82">t</f>
        <v>43293</v>
      </c>
      <c r="Y207" s="385">
        <f t="shared" ref="Y207:Y270" si="83">Wh_pvt_s*(1-Ppv)</f>
        <v>0</v>
      </c>
      <c r="Z207" s="385">
        <f t="shared" ref="Z207:Z270" si="84">Wh_sa_s*(1-Psa_s)</f>
        <v>0</v>
      </c>
      <c r="AA207" s="386">
        <f t="shared" ref="AA207:AA270" si="85">Wh_hp*(1-Pvg_s*MEDIAN((-Sdif+Wh/Env_an)/Csdif,0,1))</f>
        <v>0</v>
      </c>
      <c r="AB207" s="197">
        <f t="shared" ref="AB207:AB270" si="86">t</f>
        <v>43293</v>
      </c>
      <c r="AC207" s="426">
        <f t="shared" ref="AC207:AC270" si="87">IF(t&lt;T0,0,IF(OR(t&lt;Tnet,NoTnet),Salim_i*(1-EXP((T0-t)/Tau_ij)),Resal_s+(Salim-Resal_s)*(1-EXP((Tnet_s-t)/Tau_j))))*Salcycl</f>
        <v>2.2455081987503415E-3</v>
      </c>
      <c r="AD207" s="169">
        <f>(INDEX(Models!$BJ207:$BT207,,AH207)*(1-AF207)+INDEX(Models!$BJ207:$BT207,,AH207+1)*AF207-ERP_i)*AE207*Ramure*Pc/MaxiM</f>
        <v>1.6000822173725635E-5</v>
      </c>
      <c r="AE207" s="305">
        <f t="shared" ref="AE207:AE270" si="88">Dd+PousD*Croivg</f>
        <v>0.5</v>
      </c>
      <c r="AF207" s="177">
        <f t="shared" ref="AF207:AF270" si="89">(Hp_vg_s-AG207)/(INDEX(Echel_vg,AH207+1)-AG207)</f>
        <v>0.39155255269309608</v>
      </c>
      <c r="AG207" s="811">
        <f t="shared" ref="AG207:AG270" si="90">INDEX(Echel_vg,AH207)</f>
        <v>-2</v>
      </c>
      <c r="AH207" s="176">
        <f t="shared" ref="AH207:AH270" si="91">MIN(MATCH(Hp_vg_s,Echel_vg),10)</f>
        <v>4</v>
      </c>
      <c r="AI207" s="225">
        <f t="shared" ref="AI207:AI270" si="92">Hdd+PousH*Croivg</f>
        <v>-1.6084474473069039</v>
      </c>
      <c r="AJ207" s="265" t="b">
        <f t="shared" ref="AJ207:AJ270" si="93">t&lt;Tnet</f>
        <v>0</v>
      </c>
      <c r="AK207" s="265" t="b">
        <f t="shared" ref="AK207:AK270" si="94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7"/>
      <c r="C208" s="390"/>
      <c r="D208" s="393"/>
      <c r="E208" s="385"/>
      <c r="F208" s="385"/>
      <c r="G208" s="110"/>
      <c r="I208" s="380">
        <f t="shared" si="73"/>
        <v>0</v>
      </c>
      <c r="J208" s="85">
        <v>2018</v>
      </c>
      <c r="K208" s="197">
        <f t="shared" si="74"/>
        <v>43294</v>
      </c>
      <c r="L208" s="437">
        <f t="shared" si="75"/>
        <v>7.6630445905168099E-4</v>
      </c>
      <c r="M208" s="856"/>
      <c r="N208" s="856"/>
      <c r="O208" s="324">
        <f t="shared" si="76"/>
        <v>2.3107355685755395E-3</v>
      </c>
      <c r="P208" s="169">
        <f>(INDEX(Models!$BJ208:$BT208,,T208)*(1-R208)+INDEX(Models!$BJ208:$BT208,,T208+1)*R208-ERP_i)*Q208*Ramure*Pc/MaxiM</f>
        <v>1.7561302025635838E-5</v>
      </c>
      <c r="Q208" s="305">
        <f t="shared" si="77"/>
        <v>0.5</v>
      </c>
      <c r="R208" s="177">
        <f t="shared" si="78"/>
        <v>0.39494616191044152</v>
      </c>
      <c r="S208" s="811">
        <f t="shared" ref="S208:S271" si="96">INDEX(Echel_vg,T208)</f>
        <v>-2</v>
      </c>
      <c r="T208" s="176">
        <f t="shared" si="79"/>
        <v>4</v>
      </c>
      <c r="U208" s="251">
        <f t="shared" si="80"/>
        <v>-1.6050538380895585</v>
      </c>
      <c r="V208" s="383">
        <f t="shared" si="81"/>
        <v>60.844684413381273</v>
      </c>
      <c r="W208" s="58"/>
      <c r="X208" s="157">
        <f t="shared" si="82"/>
        <v>43294</v>
      </c>
      <c r="Y208" s="385">
        <f t="shared" si="83"/>
        <v>0</v>
      </c>
      <c r="Z208" s="385">
        <f t="shared" si="84"/>
        <v>0</v>
      </c>
      <c r="AA208" s="386">
        <f t="shared" si="85"/>
        <v>0</v>
      </c>
      <c r="AB208" s="197">
        <f t="shared" si="86"/>
        <v>43294</v>
      </c>
      <c r="AC208" s="426">
        <f t="shared" si="87"/>
        <v>2.3107355685755395E-3</v>
      </c>
      <c r="AD208" s="169">
        <f>(INDEX(Models!$BJ208:$BT208,,AH208)*(1-AF208)+INDEX(Models!$BJ208:$BT208,,AH208+1)*AF208-ERP_i)*AE208*Ramure*Pc/MaxiM</f>
        <v>1.7561302025635838E-5</v>
      </c>
      <c r="AE208" s="305">
        <f t="shared" si="88"/>
        <v>0.5</v>
      </c>
      <c r="AF208" s="177">
        <f t="shared" si="89"/>
        <v>0.39494616191044152</v>
      </c>
      <c r="AG208" s="811">
        <f t="shared" si="90"/>
        <v>-2</v>
      </c>
      <c r="AH208" s="176">
        <f t="shared" si="91"/>
        <v>4</v>
      </c>
      <c r="AI208" s="225">
        <f t="shared" si="92"/>
        <v>-1.6050538380895585</v>
      </c>
      <c r="AJ208" s="265" t="b">
        <f t="shared" si="93"/>
        <v>0</v>
      </c>
      <c r="AK208" s="265" t="b">
        <f t="shared" si="94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5"/>
        <v>43295</v>
      </c>
      <c r="B209" s="617"/>
      <c r="C209" s="390"/>
      <c r="D209" s="393"/>
      <c r="E209" s="385"/>
      <c r="F209" s="385"/>
      <c r="G209" s="110"/>
      <c r="I209" s="380">
        <f t="shared" si="73"/>
        <v>0</v>
      </c>
      <c r="J209" s="85">
        <v>2018</v>
      </c>
      <c r="K209" s="197">
        <f t="shared" si="74"/>
        <v>43295</v>
      </c>
      <c r="L209" s="437">
        <f t="shared" si="75"/>
        <v>7.881902414497155E-4</v>
      </c>
      <c r="M209" s="856"/>
      <c r="N209" s="856"/>
      <c r="O209" s="324">
        <f t="shared" si="76"/>
        <v>2.3758934203108946E-3</v>
      </c>
      <c r="P209" s="169">
        <f>(INDEX(Models!$BJ209:$BT209,,T209)*(1-R209)+INDEX(Models!$BJ209:$BT209,,T209+1)*R209-ERP_i)*Q209*Ramure*Pc/MaxiM</f>
        <v>1.9306382316326049E-5</v>
      </c>
      <c r="Q209" s="305">
        <f t="shared" si="77"/>
        <v>0.5</v>
      </c>
      <c r="R209" s="177">
        <f t="shared" si="78"/>
        <v>0.39825844770857444</v>
      </c>
      <c r="S209" s="811">
        <f t="shared" si="96"/>
        <v>-2</v>
      </c>
      <c r="T209" s="176">
        <f t="shared" si="79"/>
        <v>4</v>
      </c>
      <c r="U209" s="251">
        <f t="shared" si="80"/>
        <v>-1.6017415522914256</v>
      </c>
      <c r="V209" s="383">
        <f t="shared" si="81"/>
        <v>60.724243373268472</v>
      </c>
      <c r="W209" s="58"/>
      <c r="X209" s="157">
        <f t="shared" si="82"/>
        <v>43295</v>
      </c>
      <c r="Y209" s="385">
        <f t="shared" si="83"/>
        <v>0</v>
      </c>
      <c r="Z209" s="385">
        <f t="shared" si="84"/>
        <v>0</v>
      </c>
      <c r="AA209" s="386">
        <f t="shared" si="85"/>
        <v>0</v>
      </c>
      <c r="AB209" s="197">
        <f t="shared" si="86"/>
        <v>43295</v>
      </c>
      <c r="AC209" s="426">
        <f t="shared" si="87"/>
        <v>2.3758934203108946E-3</v>
      </c>
      <c r="AD209" s="169">
        <f>(INDEX(Models!$BJ209:$BT209,,AH209)*(1-AF209)+INDEX(Models!$BJ209:$BT209,,AH209+1)*AF209-ERP_i)*AE209*Ramure*Pc/MaxiM</f>
        <v>1.9306382316326049E-5</v>
      </c>
      <c r="AE209" s="305">
        <f t="shared" si="88"/>
        <v>0.5</v>
      </c>
      <c r="AF209" s="177">
        <f t="shared" si="89"/>
        <v>0.39825844770857444</v>
      </c>
      <c r="AG209" s="811">
        <f t="shared" si="90"/>
        <v>-2</v>
      </c>
      <c r="AH209" s="176">
        <f t="shared" si="91"/>
        <v>4</v>
      </c>
      <c r="AI209" s="225">
        <f t="shared" si="92"/>
        <v>-1.6017415522914256</v>
      </c>
      <c r="AJ209" s="265" t="b">
        <f t="shared" si="93"/>
        <v>0</v>
      </c>
      <c r="AK209" s="265" t="b">
        <f t="shared" si="94"/>
        <v>0</v>
      </c>
      <c r="AL209" s="265"/>
      <c r="AM209" s="265"/>
      <c r="AN209" s="75"/>
    </row>
    <row r="210" spans="1:40" s="6" customFormat="1" ht="11.25" x14ac:dyDescent="0.2">
      <c r="A210" s="56">
        <f t="shared" si="95"/>
        <v>43296</v>
      </c>
      <c r="B210" s="617"/>
      <c r="C210" s="390"/>
      <c r="D210" s="393"/>
      <c r="E210" s="385"/>
      <c r="F210" s="385"/>
      <c r="G210" s="110"/>
      <c r="I210" s="380">
        <f t="shared" si="73"/>
        <v>0</v>
      </c>
      <c r="J210" s="85">
        <v>2018</v>
      </c>
      <c r="K210" s="197">
        <f t="shared" si="74"/>
        <v>43296</v>
      </c>
      <c r="L210" s="437">
        <f t="shared" si="75"/>
        <v>8.100755444928609E-4</v>
      </c>
      <c r="M210" s="856"/>
      <c r="N210" s="856"/>
      <c r="O210" s="324">
        <f t="shared" si="76"/>
        <v>2.4409811293287236E-3</v>
      </c>
      <c r="P210" s="169">
        <f>(INDEX(Models!$BJ210:$BT210,,T210)*(1-R210)+INDEX(Models!$BJ210:$BT210,,T210+1)*R210-ERP_i)*Q210*Ramure*Pc/MaxiM</f>
        <v>2.1240194479950102E-5</v>
      </c>
      <c r="Q210" s="305">
        <f t="shared" si="77"/>
        <v>0.5</v>
      </c>
      <c r="R210" s="177">
        <f t="shared" si="78"/>
        <v>0.40148960211372686</v>
      </c>
      <c r="S210" s="811">
        <f t="shared" si="96"/>
        <v>-2</v>
      </c>
      <c r="T210" s="176">
        <f t="shared" si="79"/>
        <v>4</v>
      </c>
      <c r="U210" s="251">
        <f t="shared" si="80"/>
        <v>-1.5985103978862731</v>
      </c>
      <c r="V210" s="383">
        <f t="shared" si="81"/>
        <v>60.601853986467091</v>
      </c>
      <c r="W210" s="58"/>
      <c r="X210" s="157">
        <f t="shared" si="82"/>
        <v>43296</v>
      </c>
      <c r="Y210" s="385">
        <f t="shared" si="83"/>
        <v>0</v>
      </c>
      <c r="Z210" s="385">
        <f t="shared" si="84"/>
        <v>0</v>
      </c>
      <c r="AA210" s="386">
        <f t="shared" si="85"/>
        <v>0</v>
      </c>
      <c r="AB210" s="197">
        <f t="shared" si="86"/>
        <v>43296</v>
      </c>
      <c r="AC210" s="426">
        <f t="shared" si="87"/>
        <v>2.4409811293287236E-3</v>
      </c>
      <c r="AD210" s="169">
        <f>(INDEX(Models!$BJ210:$BT210,,AH210)*(1-AF210)+INDEX(Models!$BJ210:$BT210,,AH210+1)*AF210-ERP_i)*AE210*Ramure*Pc/MaxiM</f>
        <v>2.1240194479950102E-5</v>
      </c>
      <c r="AE210" s="305">
        <f t="shared" si="88"/>
        <v>0.5</v>
      </c>
      <c r="AF210" s="177">
        <f t="shared" si="89"/>
        <v>0.40148960211372686</v>
      </c>
      <c r="AG210" s="811">
        <f t="shared" si="90"/>
        <v>-2</v>
      </c>
      <c r="AH210" s="176">
        <f t="shared" si="91"/>
        <v>4</v>
      </c>
      <c r="AI210" s="225">
        <f t="shared" si="92"/>
        <v>-1.5985103978862731</v>
      </c>
      <c r="AJ210" s="265" t="b">
        <f t="shared" si="93"/>
        <v>0</v>
      </c>
      <c r="AK210" s="265" t="b">
        <f t="shared" si="94"/>
        <v>0</v>
      </c>
      <c r="AL210" s="265"/>
      <c r="AM210" s="265"/>
      <c r="AN210" s="75"/>
    </row>
    <row r="211" spans="1:40" s="6" customFormat="1" ht="11.25" x14ac:dyDescent="0.2">
      <c r="A211" s="56">
        <f t="shared" si="95"/>
        <v>43297</v>
      </c>
      <c r="B211" s="617"/>
      <c r="C211" s="390"/>
      <c r="D211" s="393"/>
      <c r="E211" s="385"/>
      <c r="F211" s="385"/>
      <c r="G211" s="110"/>
      <c r="I211" s="380">
        <f t="shared" si="73"/>
        <v>0</v>
      </c>
      <c r="J211" s="85">
        <v>2018</v>
      </c>
      <c r="K211" s="197">
        <f t="shared" si="74"/>
        <v>43297</v>
      </c>
      <c r="L211" s="437">
        <f t="shared" si="75"/>
        <v>8.3196036819188635E-4</v>
      </c>
      <c r="M211" s="856"/>
      <c r="N211" s="856"/>
      <c r="O211" s="324">
        <f t="shared" si="76"/>
        <v>2.50599819388271E-3</v>
      </c>
      <c r="P211" s="169">
        <f>(INDEX(Models!$BJ211:$BT211,,T211)*(1-R211)+INDEX(Models!$BJ211:$BT211,,T211+1)*R211-ERP_i)*Q211*Ramure*Pc/MaxiM</f>
        <v>2.3366708345642744E-5</v>
      </c>
      <c r="Q211" s="305">
        <f t="shared" si="77"/>
        <v>0.5</v>
      </c>
      <c r="R211" s="177">
        <f t="shared" si="78"/>
        <v>0.40463994147506832</v>
      </c>
      <c r="S211" s="811">
        <f t="shared" si="96"/>
        <v>-2</v>
      </c>
      <c r="T211" s="176">
        <f t="shared" si="79"/>
        <v>4</v>
      </c>
      <c r="U211" s="251">
        <f t="shared" si="80"/>
        <v>-1.5953600585249317</v>
      </c>
      <c r="V211" s="383">
        <f t="shared" si="81"/>
        <v>60.477623610978696</v>
      </c>
      <c r="W211" s="58"/>
      <c r="X211" s="157">
        <f t="shared" si="82"/>
        <v>43297</v>
      </c>
      <c r="Y211" s="385">
        <f t="shared" si="83"/>
        <v>0</v>
      </c>
      <c r="Z211" s="385">
        <f t="shared" si="84"/>
        <v>0</v>
      </c>
      <c r="AA211" s="386">
        <f t="shared" si="85"/>
        <v>0</v>
      </c>
      <c r="AB211" s="197">
        <f t="shared" si="86"/>
        <v>43297</v>
      </c>
      <c r="AC211" s="426">
        <f t="shared" si="87"/>
        <v>2.50599819388271E-3</v>
      </c>
      <c r="AD211" s="169">
        <f>(INDEX(Models!$BJ211:$BT211,,AH211)*(1-AF211)+INDEX(Models!$BJ211:$BT211,,AH211+1)*AF211-ERP_i)*AE211*Ramure*Pc/MaxiM</f>
        <v>2.3366708345642744E-5</v>
      </c>
      <c r="AE211" s="305">
        <f t="shared" si="88"/>
        <v>0.5</v>
      </c>
      <c r="AF211" s="177">
        <f t="shared" si="89"/>
        <v>0.40463994147506832</v>
      </c>
      <c r="AG211" s="811">
        <f t="shared" si="90"/>
        <v>-2</v>
      </c>
      <c r="AH211" s="176">
        <f t="shared" si="91"/>
        <v>4</v>
      </c>
      <c r="AI211" s="225">
        <f t="shared" si="92"/>
        <v>-1.5953600585249317</v>
      </c>
      <c r="AJ211" s="265" t="b">
        <f t="shared" si="93"/>
        <v>0</v>
      </c>
      <c r="AK211" s="265" t="b">
        <f t="shared" si="94"/>
        <v>0</v>
      </c>
      <c r="AL211" s="265"/>
      <c r="AM211" s="265"/>
      <c r="AN211" s="75"/>
    </row>
    <row r="212" spans="1:40" s="6" customFormat="1" ht="11.25" x14ac:dyDescent="0.2">
      <c r="A212" s="56">
        <f t="shared" si="95"/>
        <v>43298</v>
      </c>
      <c r="B212" s="617"/>
      <c r="C212" s="390"/>
      <c r="D212" s="393"/>
      <c r="E212" s="385"/>
      <c r="F212" s="385"/>
      <c r="G212" s="110"/>
      <c r="I212" s="380">
        <f t="shared" si="73"/>
        <v>0</v>
      </c>
      <c r="J212" s="85">
        <v>2018</v>
      </c>
      <c r="K212" s="197">
        <f t="shared" si="74"/>
        <v>43298</v>
      </c>
      <c r="L212" s="437">
        <f t="shared" si="75"/>
        <v>8.5384471255689487E-4</v>
      </c>
      <c r="M212" s="856"/>
      <c r="N212" s="856"/>
      <c r="O212" s="324">
        <f t="shared" si="76"/>
        <v>2.5709442264929406E-3</v>
      </c>
      <c r="P212" s="169">
        <f>(INDEX(Models!$BJ212:$BT212,,T212)*(1-R212)+INDEX(Models!$BJ212:$BT212,,T212+1)*R212-ERP_i)*Q212*Ramure*Pc/MaxiM</f>
        <v>2.5500695980729571E-5</v>
      </c>
      <c r="Q212" s="305">
        <f t="shared" si="77"/>
        <v>0.5</v>
      </c>
      <c r="R212" s="177">
        <f t="shared" si="78"/>
        <v>0.4077098995416446</v>
      </c>
      <c r="S212" s="811">
        <f t="shared" si="96"/>
        <v>-2</v>
      </c>
      <c r="T212" s="176">
        <f t="shared" si="79"/>
        <v>4</v>
      </c>
      <c r="U212" s="251">
        <f t="shared" si="80"/>
        <v>-1.5922901004583554</v>
      </c>
      <c r="V212" s="383">
        <f t="shared" si="81"/>
        <v>60.351670982172514</v>
      </c>
      <c r="W212" s="58"/>
      <c r="X212" s="157">
        <f t="shared" si="82"/>
        <v>43298</v>
      </c>
      <c r="Y212" s="385">
        <f t="shared" si="83"/>
        <v>0</v>
      </c>
      <c r="Z212" s="385">
        <f t="shared" si="84"/>
        <v>0</v>
      </c>
      <c r="AA212" s="386">
        <f t="shared" si="85"/>
        <v>0</v>
      </c>
      <c r="AB212" s="197">
        <f t="shared" si="86"/>
        <v>43298</v>
      </c>
      <c r="AC212" s="426">
        <f t="shared" si="87"/>
        <v>2.5709442264929406E-3</v>
      </c>
      <c r="AD212" s="169">
        <f>(INDEX(Models!$BJ212:$BT212,,AH212)*(1-AF212)+INDEX(Models!$BJ212:$BT212,,AH212+1)*AF212-ERP_i)*AE212*Ramure*Pc/MaxiM</f>
        <v>2.5500695980729571E-5</v>
      </c>
      <c r="AE212" s="305">
        <f t="shared" si="88"/>
        <v>0.5</v>
      </c>
      <c r="AF212" s="177">
        <f t="shared" si="89"/>
        <v>0.4077098995416446</v>
      </c>
      <c r="AG212" s="811">
        <f t="shared" si="90"/>
        <v>-2</v>
      </c>
      <c r="AH212" s="176">
        <f t="shared" si="91"/>
        <v>4</v>
      </c>
      <c r="AI212" s="225">
        <f t="shared" si="92"/>
        <v>-1.5922901004583554</v>
      </c>
      <c r="AJ212" s="265" t="b">
        <f t="shared" si="93"/>
        <v>0</v>
      </c>
      <c r="AK212" s="265" t="b">
        <f t="shared" si="94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5"/>
        <v>43299</v>
      </c>
      <c r="B213" s="617"/>
      <c r="C213" s="390"/>
      <c r="D213" s="393"/>
      <c r="E213" s="385"/>
      <c r="F213" s="385"/>
      <c r="G213" s="110"/>
      <c r="I213" s="380">
        <f t="shared" si="73"/>
        <v>0</v>
      </c>
      <c r="J213" s="85">
        <v>2018</v>
      </c>
      <c r="K213" s="197">
        <f t="shared" si="74"/>
        <v>43299</v>
      </c>
      <c r="L213" s="437">
        <f t="shared" si="75"/>
        <v>8.7572857759876666E-4</v>
      </c>
      <c r="M213" s="856"/>
      <c r="N213" s="856"/>
      <c r="O213" s="324">
        <f t="shared" si="76"/>
        <v>2.6358189447098362E-3</v>
      </c>
      <c r="P213" s="169">
        <f>(INDEX(Models!$BJ213:$BT213,,T213)*(1-R213)+INDEX(Models!$BJ213:$BT213,,T213+1)*R213-ERP_i)*Q213*Ramure*Pc/MaxiM</f>
        <v>2.7537316101672375E-5</v>
      </c>
      <c r="Q213" s="305">
        <f t="shared" si="77"/>
        <v>0.5</v>
      </c>
      <c r="R213" s="177">
        <f t="shared" si="78"/>
        <v>0.41070002045793497</v>
      </c>
      <c r="S213" s="811">
        <f t="shared" si="96"/>
        <v>-2</v>
      </c>
      <c r="T213" s="176">
        <f t="shared" si="79"/>
        <v>4</v>
      </c>
      <c r="U213" s="251">
        <f t="shared" si="80"/>
        <v>-1.589299979542065</v>
      </c>
      <c r="V213" s="383">
        <f t="shared" si="81"/>
        <v>60.224109855639476</v>
      </c>
      <c r="W213" s="58"/>
      <c r="X213" s="157">
        <f t="shared" si="82"/>
        <v>43299</v>
      </c>
      <c r="Y213" s="385">
        <f t="shared" si="83"/>
        <v>0</v>
      </c>
      <c r="Z213" s="385">
        <f t="shared" si="84"/>
        <v>0</v>
      </c>
      <c r="AA213" s="386">
        <f t="shared" si="85"/>
        <v>0</v>
      </c>
      <c r="AB213" s="197">
        <f t="shared" si="86"/>
        <v>43299</v>
      </c>
      <c r="AC213" s="426">
        <f t="shared" si="87"/>
        <v>2.6358189447098362E-3</v>
      </c>
      <c r="AD213" s="169">
        <f>(INDEX(Models!$BJ213:$BT213,,AH213)*(1-AF213)+INDEX(Models!$BJ213:$BT213,,AH213+1)*AF213-ERP_i)*AE213*Ramure*Pc/MaxiM</f>
        <v>2.7537316101672375E-5</v>
      </c>
      <c r="AE213" s="305">
        <f t="shared" si="88"/>
        <v>0.5</v>
      </c>
      <c r="AF213" s="177">
        <f t="shared" si="89"/>
        <v>0.41070002045793497</v>
      </c>
      <c r="AG213" s="811">
        <f t="shared" si="90"/>
        <v>-2</v>
      </c>
      <c r="AH213" s="176">
        <f t="shared" si="91"/>
        <v>4</v>
      </c>
      <c r="AI213" s="225">
        <f t="shared" si="92"/>
        <v>-1.589299979542065</v>
      </c>
      <c r="AJ213" s="265" t="b">
        <f t="shared" si="93"/>
        <v>0</v>
      </c>
      <c r="AK213" s="265" t="b">
        <f t="shared" si="94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5"/>
        <v>43300</v>
      </c>
      <c r="B214" s="617"/>
      <c r="C214" s="390"/>
      <c r="D214" s="393"/>
      <c r="E214" s="385"/>
      <c r="F214" s="385"/>
      <c r="G214" s="110"/>
      <c r="I214" s="380">
        <f t="shared" si="73"/>
        <v>0</v>
      </c>
      <c r="J214" s="85">
        <v>2018</v>
      </c>
      <c r="K214" s="197">
        <f t="shared" si="74"/>
        <v>43300</v>
      </c>
      <c r="L214" s="437">
        <f t="shared" si="75"/>
        <v>8.9761196332771576E-4</v>
      </c>
      <c r="M214" s="856"/>
      <c r="N214" s="856"/>
      <c r="O214" s="324">
        <f t="shared" si="76"/>
        <v>2.700622161363533E-3</v>
      </c>
      <c r="P214" s="169">
        <f>(INDEX(Models!$BJ214:$BT214,,T214)*(1-R214)+INDEX(Models!$BJ214:$BT214,,T214+1)*R214-ERP_i)*Q214*Ramure*Pc/MaxiM</f>
        <v>2.9472034303319356E-5</v>
      </c>
      <c r="Q214" s="305">
        <f t="shared" si="77"/>
        <v>0.5</v>
      </c>
      <c r="R214" s="177">
        <f t="shared" si="78"/>
        <v>0.41361095172349871</v>
      </c>
      <c r="S214" s="811">
        <f t="shared" si="96"/>
        <v>-2</v>
      </c>
      <c r="T214" s="176">
        <f t="shared" si="79"/>
        <v>4</v>
      </c>
      <c r="U214" s="251">
        <f t="shared" si="80"/>
        <v>-1.5863890482765013</v>
      </c>
      <c r="V214" s="383">
        <f t="shared" si="81"/>
        <v>60.09504786042902</v>
      </c>
      <c r="W214" s="58"/>
      <c r="X214" s="157">
        <f t="shared" si="82"/>
        <v>43300</v>
      </c>
      <c r="Y214" s="385">
        <f t="shared" si="83"/>
        <v>0</v>
      </c>
      <c r="Z214" s="385">
        <f t="shared" si="84"/>
        <v>0</v>
      </c>
      <c r="AA214" s="386">
        <f t="shared" si="85"/>
        <v>0</v>
      </c>
      <c r="AB214" s="197">
        <f t="shared" si="86"/>
        <v>43300</v>
      </c>
      <c r="AC214" s="426">
        <f t="shared" si="87"/>
        <v>2.700622161363533E-3</v>
      </c>
      <c r="AD214" s="169">
        <f>(INDEX(Models!$BJ214:$BT214,,AH214)*(1-AF214)+INDEX(Models!$BJ214:$BT214,,AH214+1)*AF214-ERP_i)*AE214*Ramure*Pc/MaxiM</f>
        <v>2.9472034303319356E-5</v>
      </c>
      <c r="AE214" s="305">
        <f t="shared" si="88"/>
        <v>0.5</v>
      </c>
      <c r="AF214" s="177">
        <f t="shared" si="89"/>
        <v>0.41361095172349871</v>
      </c>
      <c r="AG214" s="811">
        <f t="shared" si="90"/>
        <v>-2</v>
      </c>
      <c r="AH214" s="176">
        <f t="shared" si="91"/>
        <v>4</v>
      </c>
      <c r="AI214" s="225">
        <f t="shared" si="92"/>
        <v>-1.5863890482765013</v>
      </c>
      <c r="AJ214" s="265" t="b">
        <f t="shared" si="93"/>
        <v>0</v>
      </c>
      <c r="AK214" s="265" t="b">
        <f t="shared" si="94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5"/>
        <v>43301</v>
      </c>
      <c r="B215" s="617"/>
      <c r="C215" s="390"/>
      <c r="D215" s="393"/>
      <c r="E215" s="385"/>
      <c r="F215" s="385"/>
      <c r="G215" s="110"/>
      <c r="I215" s="380">
        <f t="shared" si="73"/>
        <v>0</v>
      </c>
      <c r="J215" s="85">
        <v>2018</v>
      </c>
      <c r="K215" s="197">
        <f t="shared" si="74"/>
        <v>43301</v>
      </c>
      <c r="L215" s="437">
        <f t="shared" si="75"/>
        <v>9.1949486975440031E-4</v>
      </c>
      <c r="M215" s="856"/>
      <c r="N215" s="856"/>
      <c r="O215" s="324">
        <f t="shared" si="76"/>
        <v>2.7653537744078346E-3</v>
      </c>
      <c r="P215" s="169">
        <f>(INDEX(Models!$BJ215:$BT215,,T215)*(1-R215)+INDEX(Models!$BJ215:$BT215,,T215+1)*R215-ERP_i)*Q215*Ramure*Pc/MaxiM</f>
        <v>3.1300479594933532E-5</v>
      </c>
      <c r="Q215" s="305">
        <f t="shared" si="77"/>
        <v>0.5</v>
      </c>
      <c r="R215" s="177">
        <f t="shared" si="78"/>
        <v>0.41644343715893384</v>
      </c>
      <c r="S215" s="811">
        <f t="shared" si="96"/>
        <v>-2</v>
      </c>
      <c r="T215" s="176">
        <f t="shared" si="79"/>
        <v>4</v>
      </c>
      <c r="U215" s="251">
        <f t="shared" si="80"/>
        <v>-1.5835565628410662</v>
      </c>
      <c r="V215" s="383">
        <f t="shared" si="81"/>
        <v>59.964592568653295</v>
      </c>
      <c r="W215" s="58"/>
      <c r="X215" s="157">
        <f t="shared" si="82"/>
        <v>43301</v>
      </c>
      <c r="Y215" s="385">
        <f t="shared" si="83"/>
        <v>0</v>
      </c>
      <c r="Z215" s="385">
        <f t="shared" si="84"/>
        <v>0</v>
      </c>
      <c r="AA215" s="386">
        <f t="shared" si="85"/>
        <v>0</v>
      </c>
      <c r="AB215" s="197">
        <f t="shared" si="86"/>
        <v>43301</v>
      </c>
      <c r="AC215" s="426">
        <f t="shared" si="87"/>
        <v>2.7653537744078346E-3</v>
      </c>
      <c r="AD215" s="169">
        <f>(INDEX(Models!$BJ215:$BT215,,AH215)*(1-AF215)+INDEX(Models!$BJ215:$BT215,,AH215+1)*AF215-ERP_i)*AE215*Ramure*Pc/MaxiM</f>
        <v>3.1300479594933532E-5</v>
      </c>
      <c r="AE215" s="305">
        <f t="shared" si="88"/>
        <v>0.5</v>
      </c>
      <c r="AF215" s="177">
        <f t="shared" si="89"/>
        <v>0.41644343715893384</v>
      </c>
      <c r="AG215" s="811">
        <f t="shared" si="90"/>
        <v>-2</v>
      </c>
      <c r="AH215" s="176">
        <f t="shared" si="91"/>
        <v>4</v>
      </c>
      <c r="AI215" s="225">
        <f t="shared" si="92"/>
        <v>-1.5835565628410662</v>
      </c>
      <c r="AJ215" s="265" t="b">
        <f t="shared" si="93"/>
        <v>0</v>
      </c>
      <c r="AK215" s="265" t="b">
        <f t="shared" si="94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5"/>
        <v>43302</v>
      </c>
      <c r="B216" s="617"/>
      <c r="C216" s="390"/>
      <c r="D216" s="393"/>
      <c r="E216" s="385"/>
      <c r="F216" s="385"/>
      <c r="G216" s="110"/>
      <c r="I216" s="380">
        <f t="shared" si="73"/>
        <v>0</v>
      </c>
      <c r="J216" s="85">
        <v>2018</v>
      </c>
      <c r="K216" s="197">
        <f t="shared" si="74"/>
        <v>43302</v>
      </c>
      <c r="L216" s="437">
        <f t="shared" si="75"/>
        <v>9.4137729688936744E-4</v>
      </c>
      <c r="M216" s="856"/>
      <c r="N216" s="856"/>
      <c r="O216" s="324">
        <f t="shared" si="76"/>
        <v>2.8300137564688734E-3</v>
      </c>
      <c r="P216" s="169">
        <f>(INDEX(Models!$BJ216:$BT216,,T216)*(1-R216)+INDEX(Models!$BJ216:$BT216,,T216+1)*R216-ERP_i)*Q216*Ramure*Pc/MaxiM</f>
        <v>3.3018440787486726E-5</v>
      </c>
      <c r="Q216" s="305">
        <f t="shared" si="77"/>
        <v>0.5</v>
      </c>
      <c r="R216" s="177">
        <f t="shared" si="78"/>
        <v>0.41919830991699381</v>
      </c>
      <c r="S216" s="811">
        <f t="shared" si="96"/>
        <v>-2</v>
      </c>
      <c r="T216" s="176">
        <f t="shared" si="79"/>
        <v>4</v>
      </c>
      <c r="U216" s="251">
        <f t="shared" si="80"/>
        <v>-1.5808016900830062</v>
      </c>
      <c r="V216" s="383">
        <f t="shared" si="81"/>
        <v>59.832851496139313</v>
      </c>
      <c r="W216" s="58"/>
      <c r="X216" s="157">
        <f t="shared" si="82"/>
        <v>43302</v>
      </c>
      <c r="Y216" s="385">
        <f t="shared" si="83"/>
        <v>0</v>
      </c>
      <c r="Z216" s="385">
        <f t="shared" si="84"/>
        <v>0</v>
      </c>
      <c r="AA216" s="386">
        <f t="shared" si="85"/>
        <v>0</v>
      </c>
      <c r="AB216" s="197">
        <f t="shared" si="86"/>
        <v>43302</v>
      </c>
      <c r="AC216" s="426">
        <f t="shared" si="87"/>
        <v>2.8300137564688734E-3</v>
      </c>
      <c r="AD216" s="169">
        <f>(INDEX(Models!$BJ216:$BT216,,AH216)*(1-AF216)+INDEX(Models!$BJ216:$BT216,,AH216+1)*AF216-ERP_i)*AE216*Ramure*Pc/MaxiM</f>
        <v>3.3018440787486726E-5</v>
      </c>
      <c r="AE216" s="305">
        <f t="shared" si="88"/>
        <v>0.5</v>
      </c>
      <c r="AF216" s="177">
        <f t="shared" si="89"/>
        <v>0.41919830991699381</v>
      </c>
      <c r="AG216" s="811">
        <f t="shared" si="90"/>
        <v>-2</v>
      </c>
      <c r="AH216" s="176">
        <f t="shared" si="91"/>
        <v>4</v>
      </c>
      <c r="AI216" s="225">
        <f t="shared" si="92"/>
        <v>-1.5808016900830062</v>
      </c>
      <c r="AJ216" s="265" t="b">
        <f t="shared" si="93"/>
        <v>0</v>
      </c>
      <c r="AK216" s="265" t="b">
        <f t="shared" si="94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5"/>
        <v>43303</v>
      </c>
      <c r="B217" s="617"/>
      <c r="C217" s="390"/>
      <c r="D217" s="393"/>
      <c r="E217" s="385"/>
      <c r="F217" s="385"/>
      <c r="G217" s="110"/>
      <c r="I217" s="380">
        <f t="shared" si="73"/>
        <v>0</v>
      </c>
      <c r="J217" s="85">
        <v>2018</v>
      </c>
      <c r="K217" s="197">
        <f t="shared" si="74"/>
        <v>43303</v>
      </c>
      <c r="L217" s="437">
        <f t="shared" si="75"/>
        <v>9.632592447428312E-4</v>
      </c>
      <c r="M217" s="856"/>
      <c r="N217" s="856"/>
      <c r="O217" s="324">
        <f t="shared" si="76"/>
        <v>2.8946021442087127E-3</v>
      </c>
      <c r="P217" s="169">
        <f>(INDEX(Models!$BJ217:$BT217,,T217)*(1-R217)+INDEX(Models!$BJ217:$BT217,,T217+1)*R217-ERP_i)*Q217*Ramure*Pc/MaxiM</f>
        <v>3.4621862168237193E-5</v>
      </c>
      <c r="Q217" s="305">
        <f t="shared" si="77"/>
        <v>0.5</v>
      </c>
      <c r="R217" s="177">
        <f t="shared" si="78"/>
        <v>0.42187648557427293</v>
      </c>
      <c r="S217" s="811">
        <f t="shared" si="96"/>
        <v>-2</v>
      </c>
      <c r="T217" s="176">
        <f t="shared" si="79"/>
        <v>4</v>
      </c>
      <c r="U217" s="251">
        <f t="shared" si="80"/>
        <v>-1.5781235144257271</v>
      </c>
      <c r="V217" s="383">
        <f t="shared" si="81"/>
        <v>59.699932104013307</v>
      </c>
      <c r="W217" s="58"/>
      <c r="X217" s="157">
        <f t="shared" si="82"/>
        <v>43303</v>
      </c>
      <c r="Y217" s="385">
        <f t="shared" si="83"/>
        <v>0</v>
      </c>
      <c r="Z217" s="385">
        <f t="shared" si="84"/>
        <v>0</v>
      </c>
      <c r="AA217" s="386">
        <f t="shared" si="85"/>
        <v>0</v>
      </c>
      <c r="AB217" s="197">
        <f t="shared" si="86"/>
        <v>43303</v>
      </c>
      <c r="AC217" s="426">
        <f t="shared" si="87"/>
        <v>2.8946021442087127E-3</v>
      </c>
      <c r="AD217" s="169">
        <f>(INDEX(Models!$BJ217:$BT217,,AH217)*(1-AF217)+INDEX(Models!$BJ217:$BT217,,AH217+1)*AF217-ERP_i)*AE217*Ramure*Pc/MaxiM</f>
        <v>3.4621862168237193E-5</v>
      </c>
      <c r="AE217" s="305">
        <f t="shared" si="88"/>
        <v>0.5</v>
      </c>
      <c r="AF217" s="177">
        <f t="shared" si="89"/>
        <v>0.42187648557427293</v>
      </c>
      <c r="AG217" s="811">
        <f t="shared" si="90"/>
        <v>-2</v>
      </c>
      <c r="AH217" s="176">
        <f t="shared" si="91"/>
        <v>4</v>
      </c>
      <c r="AI217" s="225">
        <f t="shared" si="92"/>
        <v>-1.5781235144257271</v>
      </c>
      <c r="AJ217" s="265" t="b">
        <f t="shared" si="93"/>
        <v>0</v>
      </c>
      <c r="AK217" s="265" t="b">
        <f t="shared" si="94"/>
        <v>0</v>
      </c>
      <c r="AL217" s="265"/>
      <c r="AM217" s="265"/>
      <c r="AN217" s="75"/>
    </row>
    <row r="218" spans="1:40" s="6" customFormat="1" ht="11.25" x14ac:dyDescent="0.2">
      <c r="A218" s="56">
        <f t="shared" si="95"/>
        <v>43304</v>
      </c>
      <c r="B218" s="617"/>
      <c r="C218" s="390"/>
      <c r="D218" s="393"/>
      <c r="E218" s="385"/>
      <c r="F218" s="385"/>
      <c r="G218" s="110"/>
      <c r="I218" s="380">
        <f t="shared" si="73"/>
        <v>0</v>
      </c>
      <c r="J218" s="85">
        <v>2018</v>
      </c>
      <c r="K218" s="197">
        <f t="shared" si="74"/>
        <v>43304</v>
      </c>
      <c r="L218" s="437">
        <f t="shared" si="75"/>
        <v>9.8514071332567177E-4</v>
      </c>
      <c r="M218" s="856"/>
      <c r="N218" s="856"/>
      <c r="O218" s="324">
        <f t="shared" si="76"/>
        <v>2.9591190276127446E-3</v>
      </c>
      <c r="P218" s="169">
        <f>(INDEX(Models!$BJ218:$BT218,,T218)*(1-R218)+INDEX(Models!$BJ218:$BT218,,T218+1)*R218-ERP_i)*Q218*Ramure*Pc/MaxiM</f>
        <v>3.6106838594876269E-5</v>
      </c>
      <c r="Q218" s="305">
        <f t="shared" si="77"/>
        <v>0.5</v>
      </c>
      <c r="R218" s="177">
        <f t="shared" si="78"/>
        <v>0.42447895533540514</v>
      </c>
      <c r="S218" s="811">
        <f t="shared" si="96"/>
        <v>-2</v>
      </c>
      <c r="T218" s="176">
        <f t="shared" si="79"/>
        <v>4</v>
      </c>
      <c r="U218" s="251">
        <f t="shared" si="80"/>
        <v>-1.5755210446645949</v>
      </c>
      <c r="V218" s="383">
        <f t="shared" si="81"/>
        <v>59.56594180064328</v>
      </c>
      <c r="W218" s="58"/>
      <c r="X218" s="157">
        <f t="shared" si="82"/>
        <v>43304</v>
      </c>
      <c r="Y218" s="385">
        <f t="shared" si="83"/>
        <v>0</v>
      </c>
      <c r="Z218" s="385">
        <f t="shared" si="84"/>
        <v>0</v>
      </c>
      <c r="AA218" s="386">
        <f t="shared" si="85"/>
        <v>0</v>
      </c>
      <c r="AB218" s="197">
        <f t="shared" si="86"/>
        <v>43304</v>
      </c>
      <c r="AC218" s="426">
        <f t="shared" si="87"/>
        <v>2.9591190276127446E-3</v>
      </c>
      <c r="AD218" s="169">
        <f>(INDEX(Models!$BJ218:$BT218,,AH218)*(1-AF218)+INDEX(Models!$BJ218:$BT218,,AH218+1)*AF218-ERP_i)*AE218*Ramure*Pc/MaxiM</f>
        <v>3.6106838594876269E-5</v>
      </c>
      <c r="AE218" s="305">
        <f t="shared" si="88"/>
        <v>0.5</v>
      </c>
      <c r="AF218" s="177">
        <f t="shared" si="89"/>
        <v>0.42447895533540514</v>
      </c>
      <c r="AG218" s="811">
        <f t="shared" si="90"/>
        <v>-2</v>
      </c>
      <c r="AH218" s="176">
        <f t="shared" si="91"/>
        <v>4</v>
      </c>
      <c r="AI218" s="225">
        <f t="shared" si="92"/>
        <v>-1.5755210446645949</v>
      </c>
      <c r="AJ218" s="265" t="b">
        <f t="shared" si="93"/>
        <v>0</v>
      </c>
      <c r="AK218" s="265" t="b">
        <f t="shared" si="94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5"/>
        <v>43305</v>
      </c>
      <c r="B219" s="617"/>
      <c r="C219" s="390"/>
      <c r="D219" s="393"/>
      <c r="E219" s="385"/>
      <c r="F219" s="385"/>
      <c r="G219" s="110"/>
      <c r="I219" s="380">
        <f t="shared" si="73"/>
        <v>0</v>
      </c>
      <c r="J219" s="85">
        <v>2018</v>
      </c>
      <c r="K219" s="197">
        <f t="shared" si="74"/>
        <v>43305</v>
      </c>
      <c r="L219" s="437">
        <f t="shared" si="75"/>
        <v>1.0070217026481032E-3</v>
      </c>
      <c r="M219" s="856"/>
      <c r="N219" s="856"/>
      <c r="O219" s="324">
        <f t="shared" si="76"/>
        <v>3.0235645393070485E-3</v>
      </c>
      <c r="P219" s="169">
        <f>(INDEX(Models!$BJ219:$BT219,,T219)*(1-R219)+INDEX(Models!$BJ219:$BT219,,T219+1)*R219-ERP_i)*Q219*Ramure*Pc/MaxiM</f>
        <v>3.7469718164163205E-5</v>
      </c>
      <c r="Q219" s="305">
        <f t="shared" si="77"/>
        <v>0.5</v>
      </c>
      <c r="R219" s="177">
        <f t="shared" si="78"/>
        <v>0.42700677937828235</v>
      </c>
      <c r="S219" s="811">
        <f t="shared" si="96"/>
        <v>-2</v>
      </c>
      <c r="T219" s="176">
        <f t="shared" si="79"/>
        <v>4</v>
      </c>
      <c r="U219" s="251">
        <f t="shared" si="80"/>
        <v>-1.5729932206217176</v>
      </c>
      <c r="V219" s="383">
        <f t="shared" si="81"/>
        <v>59.430720622515274</v>
      </c>
      <c r="W219" s="58"/>
      <c r="X219" s="157">
        <f t="shared" si="82"/>
        <v>43305</v>
      </c>
      <c r="Y219" s="385">
        <f t="shared" si="83"/>
        <v>0</v>
      </c>
      <c r="Z219" s="385">
        <f t="shared" si="84"/>
        <v>0</v>
      </c>
      <c r="AA219" s="386">
        <f t="shared" si="85"/>
        <v>0</v>
      </c>
      <c r="AB219" s="197">
        <f t="shared" si="86"/>
        <v>43305</v>
      </c>
      <c r="AC219" s="426">
        <f t="shared" si="87"/>
        <v>3.0235645393070485E-3</v>
      </c>
      <c r="AD219" s="169">
        <f>(INDEX(Models!$BJ219:$BT219,,AH219)*(1-AF219)+INDEX(Models!$BJ219:$BT219,,AH219+1)*AF219-ERP_i)*AE219*Ramure*Pc/MaxiM</f>
        <v>3.7469718164163205E-5</v>
      </c>
      <c r="AE219" s="305">
        <f t="shared" si="88"/>
        <v>0.5</v>
      </c>
      <c r="AF219" s="177">
        <f t="shared" si="89"/>
        <v>0.42700677937828235</v>
      </c>
      <c r="AG219" s="811">
        <f t="shared" si="90"/>
        <v>-2</v>
      </c>
      <c r="AH219" s="176">
        <f t="shared" si="91"/>
        <v>4</v>
      </c>
      <c r="AI219" s="225">
        <f t="shared" si="92"/>
        <v>-1.5729932206217176</v>
      </c>
      <c r="AJ219" s="265" t="b">
        <f t="shared" si="93"/>
        <v>0</v>
      </c>
      <c r="AK219" s="265" t="b">
        <f t="shared" si="94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5"/>
        <v>43306</v>
      </c>
      <c r="B220" s="617">
        <v>22.574000000000002</v>
      </c>
      <c r="C220" s="390"/>
      <c r="D220" s="393">
        <f t="shared" ref="D220:D270" si="97">Wh/(1-Ppv)</f>
        <v>22.597250360897732</v>
      </c>
      <c r="E220" s="385">
        <f t="shared" ref="E220:E232" si="98">Wh_pvt/(1-Psa)</f>
        <v>22.667245428543193</v>
      </c>
      <c r="F220" s="385">
        <f t="shared" ref="F220:F228" si="99">Wh_sa/(1-Pvg*MEDIAN((-Sdif+Wh/Env_an)/Csdif,0,1))</f>
        <v>22.667346199571174</v>
      </c>
      <c r="G220" s="110">
        <f t="shared" ref="G220:G232" si="100">+Wh_hp/MaxiM</f>
        <v>0.38069977322522336</v>
      </c>
      <c r="I220" s="380">
        <f t="shared" si="73"/>
        <v>22.667346199571174</v>
      </c>
      <c r="J220" s="85">
        <v>2018</v>
      </c>
      <c r="K220" s="197">
        <f t="shared" si="74"/>
        <v>43306</v>
      </c>
      <c r="L220" s="437">
        <f t="shared" si="75"/>
        <v>1.0289022127206726E-3</v>
      </c>
      <c r="M220" s="856"/>
      <c r="N220" s="856"/>
      <c r="O220" s="324">
        <f t="shared" si="76"/>
        <v>3.0879388440080749E-3</v>
      </c>
      <c r="P220" s="169">
        <f>(INDEX(Models!$BJ220:$BT220,,T220)*(1-R220)+INDEX(Models!$BJ220:$BT220,,T220+1)*R220-ERP_i)*Q220*Ramure*Pc/MaxiM</f>
        <v>3.8555900919134263E-5</v>
      </c>
      <c r="Q220" s="305">
        <f t="shared" si="77"/>
        <v>0.5</v>
      </c>
      <c r="R220" s="177">
        <f t="shared" si="78"/>
        <v>0.4294610803654173</v>
      </c>
      <c r="S220" s="811">
        <f t="shared" si="96"/>
        <v>-2</v>
      </c>
      <c r="T220" s="176">
        <f t="shared" si="79"/>
        <v>4</v>
      </c>
      <c r="U220" s="251">
        <f t="shared" si="80"/>
        <v>-1.5705389196345827</v>
      </c>
      <c r="V220" s="383">
        <f t="shared" si="81"/>
        <v>59.294046330725699</v>
      </c>
      <c r="W220" s="58"/>
      <c r="X220" s="157">
        <f t="shared" si="82"/>
        <v>43306</v>
      </c>
      <c r="Y220" s="385">
        <f t="shared" si="83"/>
        <v>22.574000000000002</v>
      </c>
      <c r="Z220" s="385">
        <f t="shared" si="84"/>
        <v>22.597250360897732</v>
      </c>
      <c r="AA220" s="386">
        <f t="shared" si="85"/>
        <v>22.667245428543193</v>
      </c>
      <c r="AB220" s="197">
        <f t="shared" si="86"/>
        <v>43306</v>
      </c>
      <c r="AC220" s="426">
        <f t="shared" si="87"/>
        <v>3.0879388440080749E-3</v>
      </c>
      <c r="AD220" s="169">
        <f>(INDEX(Models!$BJ220:$BT220,,AH220)*(1-AF220)+INDEX(Models!$BJ220:$BT220,,AH220+1)*AF220-ERP_i)*AE220*Ramure*Pc/MaxiM</f>
        <v>3.8555900919134263E-5</v>
      </c>
      <c r="AE220" s="305">
        <f t="shared" si="88"/>
        <v>0.5</v>
      </c>
      <c r="AF220" s="177">
        <f t="shared" si="89"/>
        <v>0.4294610803654173</v>
      </c>
      <c r="AG220" s="811">
        <f t="shared" si="90"/>
        <v>-2</v>
      </c>
      <c r="AH220" s="176">
        <f t="shared" si="91"/>
        <v>4</v>
      </c>
      <c r="AI220" s="225">
        <f t="shared" si="92"/>
        <v>-1.5705389196345827</v>
      </c>
      <c r="AJ220" s="265" t="b">
        <f t="shared" si="93"/>
        <v>0</v>
      </c>
      <c r="AK220" s="265" t="b">
        <f t="shared" si="94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5"/>
        <v>43307</v>
      </c>
      <c r="B221" s="617">
        <v>56.448</v>
      </c>
      <c r="C221" s="390"/>
      <c r="D221" s="393">
        <f t="shared" si="97"/>
        <v>56.507376948327114</v>
      </c>
      <c r="E221" s="385">
        <f t="shared" si="98"/>
        <v>56.686065150978031</v>
      </c>
      <c r="F221" s="385">
        <f t="shared" si="99"/>
        <v>56.688146923000261</v>
      </c>
      <c r="G221" s="110">
        <f t="shared" si="100"/>
        <v>0.95422151574674041</v>
      </c>
      <c r="I221" s="380">
        <f t="shared" si="73"/>
        <v>56.688146923000261</v>
      </c>
      <c r="J221" s="85">
        <v>2018</v>
      </c>
      <c r="K221" s="197">
        <f t="shared" si="74"/>
        <v>43307</v>
      </c>
      <c r="L221" s="437">
        <f t="shared" si="75"/>
        <v>1.0507822435539271E-3</v>
      </c>
      <c r="M221" s="856"/>
      <c r="N221" s="856"/>
      <c r="O221" s="324">
        <f t="shared" si="76"/>
        <v>3.1522421282019594E-3</v>
      </c>
      <c r="P221" s="169">
        <f>(INDEX(Models!$BJ221:$BT221,,T221)*(1-R221)+INDEX(Models!$BJ221:$BT221,,T221+1)*R221-ERP_i)*Q221*Ramure*Pc/MaxiM</f>
        <v>3.9292756454864415E-5</v>
      </c>
      <c r="Q221" s="305">
        <f t="shared" si="77"/>
        <v>0.5</v>
      </c>
      <c r="R221" s="177">
        <f t="shared" si="78"/>
        <v>0.43184303714327621</v>
      </c>
      <c r="S221" s="811">
        <f t="shared" si="96"/>
        <v>-2</v>
      </c>
      <c r="T221" s="176">
        <f t="shared" si="79"/>
        <v>4</v>
      </c>
      <c r="U221" s="251">
        <f t="shared" si="80"/>
        <v>-1.5681569628567238</v>
      </c>
      <c r="V221" s="383">
        <f t="shared" si="81"/>
        <v>59.155923460847212</v>
      </c>
      <c r="W221" s="58"/>
      <c r="X221" s="157">
        <f t="shared" si="82"/>
        <v>43307</v>
      </c>
      <c r="Y221" s="385">
        <f t="shared" si="83"/>
        <v>56.448</v>
      </c>
      <c r="Z221" s="385">
        <f t="shared" si="84"/>
        <v>56.507376948327114</v>
      </c>
      <c r="AA221" s="386">
        <f t="shared" si="85"/>
        <v>56.686065150978031</v>
      </c>
      <c r="AB221" s="197">
        <f t="shared" si="86"/>
        <v>43307</v>
      </c>
      <c r="AC221" s="426">
        <f t="shared" si="87"/>
        <v>3.1522421282019594E-3</v>
      </c>
      <c r="AD221" s="169">
        <f>(INDEX(Models!$BJ221:$BT221,,AH221)*(1-AF221)+INDEX(Models!$BJ221:$BT221,,AH221+1)*AF221-ERP_i)*AE221*Ramure*Pc/MaxiM</f>
        <v>3.9292756454864415E-5</v>
      </c>
      <c r="AE221" s="305">
        <f t="shared" si="88"/>
        <v>0.5</v>
      </c>
      <c r="AF221" s="177">
        <f t="shared" si="89"/>
        <v>0.43184303714327621</v>
      </c>
      <c r="AG221" s="811">
        <f t="shared" si="90"/>
        <v>-2</v>
      </c>
      <c r="AH221" s="176">
        <f t="shared" si="91"/>
        <v>4</v>
      </c>
      <c r="AI221" s="225">
        <f t="shared" si="92"/>
        <v>-1.5681569628567238</v>
      </c>
      <c r="AJ221" s="265" t="b">
        <f t="shared" si="93"/>
        <v>0</v>
      </c>
      <c r="AK221" s="265" t="b">
        <f t="shared" si="94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5"/>
        <v>43308</v>
      </c>
      <c r="B222" s="617">
        <v>50.113</v>
      </c>
      <c r="C222" s="390"/>
      <c r="D222" s="393">
        <f t="shared" si="97"/>
        <v>50.166812022641579</v>
      </c>
      <c r="E222" s="385">
        <f t="shared" si="98"/>
        <v>50.328692984782322</v>
      </c>
      <c r="F222" s="385">
        <f t="shared" si="99"/>
        <v>50.330259368541505</v>
      </c>
      <c r="G222" s="110">
        <f t="shared" si="100"/>
        <v>0.84913027029679478</v>
      </c>
      <c r="I222" s="380">
        <f t="shared" si="73"/>
        <v>50.330259368541505</v>
      </c>
      <c r="J222" s="85">
        <v>2018</v>
      </c>
      <c r="K222" s="197">
        <f t="shared" si="74"/>
        <v>43308</v>
      </c>
      <c r="L222" s="437">
        <f t="shared" si="75"/>
        <v>1.0726617951584139E-3</v>
      </c>
      <c r="M222" s="856"/>
      <c r="N222" s="856"/>
      <c r="O222" s="324">
        <f t="shared" si="76"/>
        <v>3.2164745901445929E-3</v>
      </c>
      <c r="P222" s="169">
        <f>(INDEX(Models!$BJ222:$BT222,,T222)*(1-R222)+INDEX(Models!$BJ222:$BT222,,T222+1)*R222-ERP_i)*Q222*Ramure*Pc/MaxiM</f>
        <v>3.9672166375775626E-5</v>
      </c>
      <c r="Q222" s="305">
        <f t="shared" si="77"/>
        <v>0.5</v>
      </c>
      <c r="R222" s="177">
        <f t="shared" si="78"/>
        <v>0.43415387864824218</v>
      </c>
      <c r="S222" s="811">
        <f t="shared" si="96"/>
        <v>-2</v>
      </c>
      <c r="T222" s="176">
        <f t="shared" si="79"/>
        <v>4</v>
      </c>
      <c r="U222" s="251">
        <f t="shared" si="80"/>
        <v>-1.5658461213517578</v>
      </c>
      <c r="V222" s="383">
        <f t="shared" si="81"/>
        <v>59.016352697054444</v>
      </c>
      <c r="W222" s="58"/>
      <c r="X222" s="157">
        <f t="shared" si="82"/>
        <v>43308</v>
      </c>
      <c r="Y222" s="385">
        <f t="shared" si="83"/>
        <v>50.113</v>
      </c>
      <c r="Z222" s="385">
        <f t="shared" si="84"/>
        <v>50.166812022641579</v>
      </c>
      <c r="AA222" s="386">
        <f t="shared" si="85"/>
        <v>50.328692984782322</v>
      </c>
      <c r="AB222" s="197">
        <f t="shared" si="86"/>
        <v>43308</v>
      </c>
      <c r="AC222" s="426">
        <f t="shared" si="87"/>
        <v>3.2164745901445929E-3</v>
      </c>
      <c r="AD222" s="169">
        <f>(INDEX(Models!$BJ222:$BT222,,AH222)*(1-AF222)+INDEX(Models!$BJ222:$BT222,,AH222+1)*AF222-ERP_i)*AE222*Ramure*Pc/MaxiM</f>
        <v>3.9672166375775626E-5</v>
      </c>
      <c r="AE222" s="305">
        <f t="shared" si="88"/>
        <v>0.5</v>
      </c>
      <c r="AF222" s="177">
        <f t="shared" si="89"/>
        <v>0.43415387864824218</v>
      </c>
      <c r="AG222" s="811">
        <f t="shared" si="90"/>
        <v>-2</v>
      </c>
      <c r="AH222" s="176">
        <f t="shared" si="91"/>
        <v>4</v>
      </c>
      <c r="AI222" s="225">
        <f t="shared" si="92"/>
        <v>-1.5658461213517578</v>
      </c>
      <c r="AJ222" s="265" t="b">
        <f t="shared" si="93"/>
        <v>0</v>
      </c>
      <c r="AK222" s="265" t="b">
        <f t="shared" si="94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5"/>
        <v>43309</v>
      </c>
      <c r="B223" s="617">
        <v>26.641999999999999</v>
      </c>
      <c r="C223" s="390"/>
      <c r="D223" s="393">
        <f t="shared" si="97"/>
        <v>26.671192710407695</v>
      </c>
      <c r="E223" s="385">
        <f t="shared" si="98"/>
        <v>26.75897919238297</v>
      </c>
      <c r="F223" s="385">
        <f t="shared" si="99"/>
        <v>26.759210574434082</v>
      </c>
      <c r="G223" s="110">
        <f t="shared" si="100"/>
        <v>0.45250142824443479</v>
      </c>
      <c r="I223" s="380">
        <f t="shared" si="73"/>
        <v>26.759210574434082</v>
      </c>
      <c r="J223" s="85">
        <v>2018</v>
      </c>
      <c r="K223" s="197">
        <f t="shared" si="74"/>
        <v>43309</v>
      </c>
      <c r="L223" s="437">
        <f t="shared" si="75"/>
        <v>1.0945408675444579E-3</v>
      </c>
      <c r="M223" s="856"/>
      <c r="N223" s="856"/>
      <c r="O223" s="324">
        <f t="shared" si="76"/>
        <v>3.2806364302665259E-3</v>
      </c>
      <c r="P223" s="169">
        <f>(INDEX(Models!$BJ223:$BT223,,T223)*(1-R223)+INDEX(Models!$BJ223:$BT223,,T223+1)*R223-ERP_i)*Q223*Ramure*Pc/MaxiM</f>
        <v>3.9686289863499799E-5</v>
      </c>
      <c r="Q223" s="305">
        <f t="shared" si="77"/>
        <v>0.5</v>
      </c>
      <c r="R223" s="177">
        <f t="shared" si="78"/>
        <v>0.43639487803482369</v>
      </c>
      <c r="S223" s="811">
        <f t="shared" si="96"/>
        <v>-2</v>
      </c>
      <c r="T223" s="176">
        <f t="shared" si="79"/>
        <v>4</v>
      </c>
      <c r="U223" s="251">
        <f t="shared" si="80"/>
        <v>-1.5636051219651763</v>
      </c>
      <c r="V223" s="383">
        <f t="shared" si="81"/>
        <v>58.875334698117648</v>
      </c>
      <c r="W223" s="58"/>
      <c r="X223" s="157">
        <f t="shared" si="82"/>
        <v>43309</v>
      </c>
      <c r="Y223" s="385">
        <f t="shared" si="83"/>
        <v>26.641999999999999</v>
      </c>
      <c r="Z223" s="385">
        <f t="shared" si="84"/>
        <v>26.671192710407695</v>
      </c>
      <c r="AA223" s="386">
        <f t="shared" si="85"/>
        <v>26.75897919238297</v>
      </c>
      <c r="AB223" s="197">
        <f t="shared" si="86"/>
        <v>43309</v>
      </c>
      <c r="AC223" s="426">
        <f t="shared" si="87"/>
        <v>3.2806364302665259E-3</v>
      </c>
      <c r="AD223" s="169">
        <f>(INDEX(Models!$BJ223:$BT223,,AH223)*(1-AF223)+INDEX(Models!$BJ223:$BT223,,AH223+1)*AF223-ERP_i)*AE223*Ramure*Pc/MaxiM</f>
        <v>3.9686289863499799E-5</v>
      </c>
      <c r="AE223" s="305">
        <f t="shared" si="88"/>
        <v>0.5</v>
      </c>
      <c r="AF223" s="177">
        <f t="shared" si="89"/>
        <v>0.43639487803482369</v>
      </c>
      <c r="AG223" s="811">
        <f t="shared" si="90"/>
        <v>-2</v>
      </c>
      <c r="AH223" s="176">
        <f t="shared" si="91"/>
        <v>4</v>
      </c>
      <c r="AI223" s="225">
        <f t="shared" si="92"/>
        <v>-1.5636051219651763</v>
      </c>
      <c r="AJ223" s="265" t="b">
        <f t="shared" si="93"/>
        <v>0</v>
      </c>
      <c r="AK223" s="265" t="b">
        <f t="shared" si="94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5"/>
        <v>43310</v>
      </c>
      <c r="B224" s="617">
        <v>54.991</v>
      </c>
      <c r="C224" s="390"/>
      <c r="D224" s="393">
        <f t="shared" si="97"/>
        <v>55.052461639535075</v>
      </c>
      <c r="E224" s="385">
        <f t="shared" si="98"/>
        <v>55.237215090766945</v>
      </c>
      <c r="F224" s="385">
        <f t="shared" si="99"/>
        <v>55.239189791207465</v>
      </c>
      <c r="G224" s="110">
        <f t="shared" si="100"/>
        <v>0.93628666649438574</v>
      </c>
      <c r="I224" s="380">
        <f t="shared" si="73"/>
        <v>55.239189791207465</v>
      </c>
      <c r="J224" s="85">
        <v>2018</v>
      </c>
      <c r="K224" s="197">
        <f t="shared" si="74"/>
        <v>43310</v>
      </c>
      <c r="L224" s="437">
        <f t="shared" si="75"/>
        <v>1.1164194607228284E-3</v>
      </c>
      <c r="M224" s="856"/>
      <c r="N224" s="856"/>
      <c r="O224" s="324">
        <f t="shared" si="76"/>
        <v>3.3447278420585856E-3</v>
      </c>
      <c r="P224" s="169">
        <f>(INDEX(Models!$BJ224:$BT224,,T224)*(1-R224)+INDEX(Models!$BJ224:$BT224,,T224+1)*R224-ERP_i)*Q224*Ramure*Pc/MaxiM</f>
        <v>3.9327546471573862E-5</v>
      </c>
      <c r="Q224" s="305">
        <f t="shared" si="77"/>
        <v>0.5</v>
      </c>
      <c r="R224" s="177">
        <f t="shared" si="78"/>
        <v>0.43856734703885714</v>
      </c>
      <c r="S224" s="811">
        <f t="shared" si="96"/>
        <v>-2</v>
      </c>
      <c r="T224" s="176">
        <f t="shared" si="79"/>
        <v>4</v>
      </c>
      <c r="U224" s="251">
        <f t="shared" si="80"/>
        <v>-1.5614326529611429</v>
      </c>
      <c r="V224" s="383">
        <f t="shared" si="81"/>
        <v>58.732870100412249</v>
      </c>
      <c r="W224" s="58"/>
      <c r="X224" s="157">
        <f t="shared" si="82"/>
        <v>43310</v>
      </c>
      <c r="Y224" s="385">
        <f t="shared" si="83"/>
        <v>54.991</v>
      </c>
      <c r="Z224" s="385">
        <f t="shared" si="84"/>
        <v>55.052461639535075</v>
      </c>
      <c r="AA224" s="386">
        <f t="shared" si="85"/>
        <v>55.237215090766945</v>
      </c>
      <c r="AB224" s="197">
        <f t="shared" si="86"/>
        <v>43310</v>
      </c>
      <c r="AC224" s="426">
        <f t="shared" si="87"/>
        <v>3.3447278420585856E-3</v>
      </c>
      <c r="AD224" s="169">
        <f>(INDEX(Models!$BJ224:$BT224,,AH224)*(1-AF224)+INDEX(Models!$BJ224:$BT224,,AH224+1)*AF224-ERP_i)*AE224*Ramure*Pc/MaxiM</f>
        <v>3.9327546471573862E-5</v>
      </c>
      <c r="AE224" s="305">
        <f t="shared" si="88"/>
        <v>0.5</v>
      </c>
      <c r="AF224" s="177">
        <f t="shared" si="89"/>
        <v>0.43856734703885714</v>
      </c>
      <c r="AG224" s="811">
        <f t="shared" si="90"/>
        <v>-2</v>
      </c>
      <c r="AH224" s="176">
        <f t="shared" si="91"/>
        <v>4</v>
      </c>
      <c r="AI224" s="225">
        <f t="shared" si="92"/>
        <v>-1.5614326529611429</v>
      </c>
      <c r="AJ224" s="265" t="b">
        <f t="shared" si="93"/>
        <v>0</v>
      </c>
      <c r="AK224" s="265" t="b">
        <f t="shared" si="94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5"/>
        <v>43311</v>
      </c>
      <c r="B225" s="617">
        <v>55.738</v>
      </c>
      <c r="C225" s="390"/>
      <c r="D225" s="393">
        <f t="shared" si="97"/>
        <v>55.80151873343906</v>
      </c>
      <c r="E225" s="385">
        <f t="shared" si="98"/>
        <v>55.992382712213207</v>
      </c>
      <c r="F225" s="385">
        <f t="shared" si="99"/>
        <v>55.994393253662331</v>
      </c>
      <c r="G225" s="110">
        <f t="shared" si="100"/>
        <v>0.95133709382215237</v>
      </c>
      <c r="I225" s="380">
        <f t="shared" si="73"/>
        <v>55.994393253662331</v>
      </c>
      <c r="J225" s="85">
        <v>2018</v>
      </c>
      <c r="K225" s="197">
        <f t="shared" si="74"/>
        <v>43311</v>
      </c>
      <c r="L225" s="437">
        <f t="shared" si="75"/>
        <v>1.1382975747037394E-3</v>
      </c>
      <c r="M225" s="856"/>
      <c r="N225" s="856"/>
      <c r="O225" s="324">
        <f t="shared" si="76"/>
        <v>3.4087490035052434E-3</v>
      </c>
      <c r="P225" s="169">
        <f>(INDEX(Models!$BJ225:$BT225,,T225)*(1-R225)+INDEX(Models!$BJ225:$BT225,,T225+1)*R225-ERP_i)*Q225*Ramure*Pc/MaxiM</f>
        <v>3.858859925101144E-5</v>
      </c>
      <c r="Q225" s="305">
        <f t="shared" si="77"/>
        <v>0.5</v>
      </c>
      <c r="R225" s="177">
        <f t="shared" si="78"/>
        <v>0.44067263058573936</v>
      </c>
      <c r="S225" s="811">
        <f t="shared" si="96"/>
        <v>-2</v>
      </c>
      <c r="T225" s="176">
        <f t="shared" si="79"/>
        <v>4</v>
      </c>
      <c r="U225" s="251">
        <f t="shared" si="80"/>
        <v>-1.5593273694142606</v>
      </c>
      <c r="V225" s="383">
        <f t="shared" si="81"/>
        <v>58.588959518767702</v>
      </c>
      <c r="W225" s="58"/>
      <c r="X225" s="157">
        <f t="shared" si="82"/>
        <v>43311</v>
      </c>
      <c r="Y225" s="385">
        <f t="shared" si="83"/>
        <v>55.738</v>
      </c>
      <c r="Z225" s="385">
        <f t="shared" si="84"/>
        <v>55.80151873343906</v>
      </c>
      <c r="AA225" s="386">
        <f t="shared" si="85"/>
        <v>55.992382712213207</v>
      </c>
      <c r="AB225" s="197">
        <f t="shared" si="86"/>
        <v>43311</v>
      </c>
      <c r="AC225" s="426">
        <f t="shared" si="87"/>
        <v>3.4087490035052434E-3</v>
      </c>
      <c r="AD225" s="169">
        <f>(INDEX(Models!$BJ225:$BT225,,AH225)*(1-AF225)+INDEX(Models!$BJ225:$BT225,,AH225+1)*AF225-ERP_i)*AE225*Ramure*Pc/MaxiM</f>
        <v>3.858859925101144E-5</v>
      </c>
      <c r="AE225" s="305">
        <f t="shared" si="88"/>
        <v>0.5</v>
      </c>
      <c r="AF225" s="177">
        <f t="shared" si="89"/>
        <v>0.44067263058573936</v>
      </c>
      <c r="AG225" s="811">
        <f t="shared" si="90"/>
        <v>-2</v>
      </c>
      <c r="AH225" s="176">
        <f t="shared" si="91"/>
        <v>4</v>
      </c>
      <c r="AI225" s="225">
        <f t="shared" si="92"/>
        <v>-1.5593273694142606</v>
      </c>
      <c r="AJ225" s="265" t="b">
        <f t="shared" si="93"/>
        <v>0</v>
      </c>
      <c r="AK225" s="265" t="b">
        <f t="shared" si="94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5"/>
        <v>43312</v>
      </c>
      <c r="B226" s="617">
        <v>50.475000000000001</v>
      </c>
      <c r="C226" s="390"/>
      <c r="D226" s="393">
        <f t="shared" si="97"/>
        <v>50.533627862291823</v>
      </c>
      <c r="E226" s="385">
        <f t="shared" si="98"/>
        <v>50.709727536613435</v>
      </c>
      <c r="F226" s="385">
        <f t="shared" si="99"/>
        <v>50.711259384595515</v>
      </c>
      <c r="G226" s="110">
        <f t="shared" si="100"/>
        <v>0.86364684455593976</v>
      </c>
      <c r="I226" s="380">
        <f t="shared" si="73"/>
        <v>50.711259384595515</v>
      </c>
      <c r="J226" s="85">
        <v>2018</v>
      </c>
      <c r="K226" s="197">
        <f t="shared" si="74"/>
        <v>43312</v>
      </c>
      <c r="L226" s="437">
        <f t="shared" si="75"/>
        <v>1.160175209497849E-3</v>
      </c>
      <c r="M226" s="856"/>
      <c r="N226" s="856"/>
      <c r="O226" s="324">
        <f t="shared" si="76"/>
        <v>3.4727000691231989E-3</v>
      </c>
      <c r="P226" s="169">
        <f>(INDEX(Models!$BJ226:$BT226,,T226)*(1-R226)+INDEX(Models!$BJ226:$BT226,,T226+1)*R226-ERP_i)*Q226*Ramure*Pc/MaxiM</f>
        <v>3.751434516663811E-5</v>
      </c>
      <c r="Q226" s="305">
        <f t="shared" si="77"/>
        <v>0.5</v>
      </c>
      <c r="R226" s="177">
        <f t="shared" si="78"/>
        <v>0.44271210165121255</v>
      </c>
      <c r="S226" s="811">
        <f t="shared" si="96"/>
        <v>-2</v>
      </c>
      <c r="T226" s="176">
        <f t="shared" si="79"/>
        <v>4</v>
      </c>
      <c r="U226" s="251">
        <f t="shared" si="80"/>
        <v>-1.5572878983487874</v>
      </c>
      <c r="V226" s="383">
        <f t="shared" si="81"/>
        <v>58.443600508345611</v>
      </c>
      <c r="W226" s="58"/>
      <c r="X226" s="157">
        <f t="shared" si="82"/>
        <v>43312</v>
      </c>
      <c r="Y226" s="385">
        <f t="shared" si="83"/>
        <v>50.475000000000001</v>
      </c>
      <c r="Z226" s="385">
        <f t="shared" si="84"/>
        <v>50.533627862291823</v>
      </c>
      <c r="AA226" s="386">
        <f t="shared" si="85"/>
        <v>50.709727536613435</v>
      </c>
      <c r="AB226" s="197">
        <f t="shared" si="86"/>
        <v>43312</v>
      </c>
      <c r="AC226" s="426">
        <f t="shared" si="87"/>
        <v>3.4727000691231989E-3</v>
      </c>
      <c r="AD226" s="169">
        <f>(INDEX(Models!$BJ226:$BT226,,AH226)*(1-AF226)+INDEX(Models!$BJ226:$BT226,,AH226+1)*AF226-ERP_i)*AE226*Ramure*Pc/MaxiM</f>
        <v>3.751434516663811E-5</v>
      </c>
      <c r="AE226" s="305">
        <f t="shared" si="88"/>
        <v>0.5</v>
      </c>
      <c r="AF226" s="177">
        <f t="shared" si="89"/>
        <v>0.44271210165121255</v>
      </c>
      <c r="AG226" s="811">
        <f t="shared" si="90"/>
        <v>-2</v>
      </c>
      <c r="AH226" s="176">
        <f t="shared" si="91"/>
        <v>4</v>
      </c>
      <c r="AI226" s="225">
        <f t="shared" si="92"/>
        <v>-1.5572878983487874</v>
      </c>
      <c r="AJ226" s="265" t="b">
        <f t="shared" si="93"/>
        <v>0</v>
      </c>
      <c r="AK226" s="265" t="b">
        <f t="shared" si="94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5"/>
        <v>43313</v>
      </c>
      <c r="B227" s="617">
        <v>54.503</v>
      </c>
      <c r="C227" s="390"/>
      <c r="D227" s="393">
        <f t="shared" si="97"/>
        <v>54.567501644377188</v>
      </c>
      <c r="E227" s="385">
        <f t="shared" si="98"/>
        <v>54.76116896297647</v>
      </c>
      <c r="F227" s="385">
        <f t="shared" si="99"/>
        <v>54.762972636889117</v>
      </c>
      <c r="G227" s="110">
        <f t="shared" si="100"/>
        <v>0.93491981691902348</v>
      </c>
      <c r="I227" s="380">
        <f t="shared" si="73"/>
        <v>54.762972636889117</v>
      </c>
      <c r="J227" s="85">
        <v>2018</v>
      </c>
      <c r="K227" s="197">
        <f t="shared" si="74"/>
        <v>43313</v>
      </c>
      <c r="L227" s="437">
        <f t="shared" si="75"/>
        <v>1.1820523651155934E-3</v>
      </c>
      <c r="M227" s="856"/>
      <c r="N227" s="856"/>
      <c r="O227" s="324">
        <f t="shared" si="76"/>
        <v>3.536581162652346E-3</v>
      </c>
      <c r="P227" s="169">
        <f>(INDEX(Models!$BJ227:$BT227,,T227)*(1-R227)+INDEX(Models!$BJ227:$BT227,,T227+1)*R227-ERP_i)*Q227*Ramure*Pc/MaxiM</f>
        <v>3.6311819277419179E-5</v>
      </c>
      <c r="Q227" s="305">
        <f t="shared" si="77"/>
        <v>0.5</v>
      </c>
      <c r="R227" s="177">
        <f t="shared" si="78"/>
        <v>0.44468715637988177</v>
      </c>
      <c r="S227" s="811">
        <f t="shared" si="96"/>
        <v>-2</v>
      </c>
      <c r="T227" s="176">
        <f t="shared" si="79"/>
        <v>4</v>
      </c>
      <c r="U227" s="251">
        <f t="shared" si="80"/>
        <v>-1.5553128436201182</v>
      </c>
      <c r="V227" s="383">
        <f t="shared" si="81"/>
        <v>58.296781195542088</v>
      </c>
      <c r="W227" s="58"/>
      <c r="X227" s="157">
        <f t="shared" si="82"/>
        <v>43313</v>
      </c>
      <c r="Y227" s="385">
        <f t="shared" si="83"/>
        <v>54.503</v>
      </c>
      <c r="Z227" s="385">
        <f t="shared" si="84"/>
        <v>54.567501644377188</v>
      </c>
      <c r="AA227" s="386">
        <f t="shared" si="85"/>
        <v>54.76116896297647</v>
      </c>
      <c r="AB227" s="197">
        <f t="shared" si="86"/>
        <v>43313</v>
      </c>
      <c r="AC227" s="426">
        <f t="shared" si="87"/>
        <v>3.536581162652346E-3</v>
      </c>
      <c r="AD227" s="169">
        <f>(INDEX(Models!$BJ227:$BT227,,AH227)*(1-AF227)+INDEX(Models!$BJ227:$BT227,,AH227+1)*AF227-ERP_i)*AE227*Ramure*Pc/MaxiM</f>
        <v>3.6311819277419179E-5</v>
      </c>
      <c r="AE227" s="305">
        <f t="shared" si="88"/>
        <v>0.5</v>
      </c>
      <c r="AF227" s="177">
        <f t="shared" si="89"/>
        <v>0.44468715637988177</v>
      </c>
      <c r="AG227" s="811">
        <f t="shared" si="90"/>
        <v>-2</v>
      </c>
      <c r="AH227" s="176">
        <f t="shared" si="91"/>
        <v>4</v>
      </c>
      <c r="AI227" s="225">
        <f t="shared" si="92"/>
        <v>-1.5553128436201182</v>
      </c>
      <c r="AJ227" s="265" t="b">
        <f t="shared" si="93"/>
        <v>0</v>
      </c>
      <c r="AK227" s="265" t="b">
        <f t="shared" si="94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5"/>
        <v>43314</v>
      </c>
      <c r="B228" s="617">
        <v>54.073999999999998</v>
      </c>
      <c r="C228" s="390"/>
      <c r="D228" s="393">
        <f t="shared" si="97"/>
        <v>54.139179730764511</v>
      </c>
      <c r="E228" s="385">
        <f t="shared" si="98"/>
        <v>54.334806353006989</v>
      </c>
      <c r="F228" s="385">
        <f t="shared" si="99"/>
        <v>54.336516759019119</v>
      </c>
      <c r="G228" s="110">
        <f t="shared" si="100"/>
        <v>0.92992611736140196</v>
      </c>
      <c r="I228" s="380">
        <f t="shared" si="73"/>
        <v>54.336516759019119</v>
      </c>
      <c r="J228" s="85">
        <v>2018</v>
      </c>
      <c r="K228" s="197">
        <f t="shared" si="74"/>
        <v>43314</v>
      </c>
      <c r="L228" s="437">
        <f t="shared" si="75"/>
        <v>1.2039290415675197E-3</v>
      </c>
      <c r="M228" s="856"/>
      <c r="N228" s="856"/>
      <c r="O228" s="324">
        <f t="shared" si="76"/>
        <v>3.6003923704358578E-3</v>
      </c>
      <c r="P228" s="169">
        <f>(INDEX(Models!$BJ228:$BT228,,T228)*(1-R228)+INDEX(Models!$BJ228:$BT228,,T228+1)*R228-ERP_i)*Q228*Ramure*Pc/MaxiM</f>
        <v>3.4979500208848665E-5</v>
      </c>
      <c r="Q228" s="305">
        <f t="shared" si="77"/>
        <v>0.5</v>
      </c>
      <c r="R228" s="177">
        <f t="shared" si="78"/>
        <v>0.44659920946451859</v>
      </c>
      <c r="S228" s="811">
        <f t="shared" si="96"/>
        <v>-2</v>
      </c>
      <c r="T228" s="176">
        <f t="shared" si="79"/>
        <v>4</v>
      </c>
      <c r="U228" s="251">
        <f t="shared" si="80"/>
        <v>-1.5534007905354814</v>
      </c>
      <c r="V228" s="383">
        <f t="shared" si="81"/>
        <v>58.148501956779235</v>
      </c>
      <c r="W228" s="58"/>
      <c r="X228" s="157">
        <f t="shared" si="82"/>
        <v>43314</v>
      </c>
      <c r="Y228" s="385">
        <f t="shared" si="83"/>
        <v>54.073999999999998</v>
      </c>
      <c r="Z228" s="385">
        <f t="shared" si="84"/>
        <v>54.139179730764511</v>
      </c>
      <c r="AA228" s="386">
        <f t="shared" si="85"/>
        <v>54.334806353006989</v>
      </c>
      <c r="AB228" s="197">
        <f t="shared" si="86"/>
        <v>43314</v>
      </c>
      <c r="AC228" s="426">
        <f t="shared" si="87"/>
        <v>3.6003923704358578E-3</v>
      </c>
      <c r="AD228" s="169">
        <f>(INDEX(Models!$BJ228:$BT228,,AH228)*(1-AF228)+INDEX(Models!$BJ228:$BT228,,AH228+1)*AF228-ERP_i)*AE228*Ramure*Pc/MaxiM</f>
        <v>3.4979500208848665E-5</v>
      </c>
      <c r="AE228" s="305">
        <f t="shared" si="88"/>
        <v>0.5</v>
      </c>
      <c r="AF228" s="177">
        <f t="shared" si="89"/>
        <v>0.44659920946451859</v>
      </c>
      <c r="AG228" s="811">
        <f t="shared" si="90"/>
        <v>-2</v>
      </c>
      <c r="AH228" s="176">
        <f t="shared" si="91"/>
        <v>4</v>
      </c>
      <c r="AI228" s="225">
        <f t="shared" si="92"/>
        <v>-1.5534007905354814</v>
      </c>
      <c r="AJ228" s="265" t="b">
        <f t="shared" si="93"/>
        <v>0</v>
      </c>
      <c r="AK228" s="265" t="b">
        <f t="shared" si="94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5"/>
        <v>43315</v>
      </c>
      <c r="B229" s="617">
        <v>55.127000000000002</v>
      </c>
      <c r="C229" s="390"/>
      <c r="D229" s="393">
        <f t="shared" si="97"/>
        <v>55.194657900812125</v>
      </c>
      <c r="E229" s="385">
        <f t="shared" si="98"/>
        <v>55.397642270724283</v>
      </c>
      <c r="F229" s="385">
        <f t="shared" ref="F229:F260" si="101">Wh_sa/(1-Pvg*MEDIAN((-Sdif+Wh/Env_an)/Csdif,0,1))</f>
        <v>55.399367693262619</v>
      </c>
      <c r="G229" s="110">
        <f t="shared" si="100"/>
        <v>0.95048353267231123</v>
      </c>
      <c r="I229" s="380">
        <f t="shared" si="73"/>
        <v>55.399367693262619</v>
      </c>
      <c r="J229" s="85">
        <v>2018</v>
      </c>
      <c r="K229" s="197">
        <f t="shared" si="74"/>
        <v>43315</v>
      </c>
      <c r="L229" s="437">
        <f t="shared" si="75"/>
        <v>1.2258052388639529E-3</v>
      </c>
      <c r="M229" s="856"/>
      <c r="N229" s="856"/>
      <c r="O229" s="324">
        <f t="shared" si="76"/>
        <v>3.6641337355150525E-3</v>
      </c>
      <c r="P229" s="169">
        <f>(INDEX(Models!$BJ229:$BT229,,T229)*(1-R229)+INDEX(Models!$BJ229:$BT229,,T229+1)*R229-ERP_i)*Q229*Ramure*Pc/MaxiM</f>
        <v>3.3515900134034055E-5</v>
      </c>
      <c r="Q229" s="305">
        <f t="shared" si="77"/>
        <v>0.5</v>
      </c>
      <c r="R229" s="177">
        <f t="shared" si="78"/>
        <v>0.44844968978724165</v>
      </c>
      <c r="S229" s="811">
        <f t="shared" si="96"/>
        <v>-2</v>
      </c>
      <c r="T229" s="176">
        <f t="shared" si="79"/>
        <v>4</v>
      </c>
      <c r="U229" s="251">
        <f t="shared" si="80"/>
        <v>-1.5515503102127584</v>
      </c>
      <c r="V229" s="383">
        <f t="shared" si="81"/>
        <v>57.99876316585221</v>
      </c>
      <c r="W229" s="58"/>
      <c r="X229" s="157">
        <f t="shared" si="82"/>
        <v>43315</v>
      </c>
      <c r="Y229" s="385">
        <f t="shared" si="83"/>
        <v>55.127000000000002</v>
      </c>
      <c r="Z229" s="385">
        <f t="shared" si="84"/>
        <v>55.194657900812125</v>
      </c>
      <c r="AA229" s="386">
        <f t="shared" si="85"/>
        <v>55.397642270724283</v>
      </c>
      <c r="AB229" s="197">
        <f t="shared" si="86"/>
        <v>43315</v>
      </c>
      <c r="AC229" s="426">
        <f t="shared" si="87"/>
        <v>3.6641337355150525E-3</v>
      </c>
      <c r="AD229" s="169">
        <f>(INDEX(Models!$BJ229:$BT229,,AH229)*(1-AF229)+INDEX(Models!$BJ229:$BT229,,AH229+1)*AF229-ERP_i)*AE229*Ramure*Pc/MaxiM</f>
        <v>3.3515900134034055E-5</v>
      </c>
      <c r="AE229" s="305">
        <f t="shared" si="88"/>
        <v>0.5</v>
      </c>
      <c r="AF229" s="177">
        <f t="shared" si="89"/>
        <v>0.44844968978724165</v>
      </c>
      <c r="AG229" s="811">
        <f t="shared" si="90"/>
        <v>-2</v>
      </c>
      <c r="AH229" s="176">
        <f t="shared" si="91"/>
        <v>4</v>
      </c>
      <c r="AI229" s="225">
        <f t="shared" si="92"/>
        <v>-1.5515503102127584</v>
      </c>
      <c r="AJ229" s="265" t="b">
        <f t="shared" si="93"/>
        <v>0</v>
      </c>
      <c r="AK229" s="265" t="b">
        <f t="shared" si="94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5"/>
        <v>43316</v>
      </c>
      <c r="B230" s="617">
        <v>53.386000000000003</v>
      </c>
      <c r="C230" s="390"/>
      <c r="D230" s="393">
        <f t="shared" si="97"/>
        <v>53.452691905792086</v>
      </c>
      <c r="E230" s="385">
        <f t="shared" si="98"/>
        <v>53.652698717880924</v>
      </c>
      <c r="F230" s="385">
        <f t="shared" si="101"/>
        <v>53.654222640154664</v>
      </c>
      <c r="G230" s="110">
        <f t="shared" si="100"/>
        <v>0.92287051426785371</v>
      </c>
      <c r="I230" s="380">
        <f t="shared" si="73"/>
        <v>53.654222640154664</v>
      </c>
      <c r="J230" s="85">
        <v>2018</v>
      </c>
      <c r="K230" s="197">
        <f t="shared" si="74"/>
        <v>43316</v>
      </c>
      <c r="L230" s="437">
        <f t="shared" si="75"/>
        <v>1.2476809570156622E-3</v>
      </c>
      <c r="M230" s="856"/>
      <c r="N230" s="856"/>
      <c r="O230" s="324">
        <f t="shared" si="76"/>
        <v>3.7278052524537817E-3</v>
      </c>
      <c r="P230" s="169">
        <f>(INDEX(Models!$BJ230:$BT230,,T230)*(1-R230)+INDEX(Models!$BJ230:$BT230,,T230+1)*R230-ERP_i)*Q230*Ramure*Pc/MaxiM</f>
        <v>3.1919561323261097E-5</v>
      </c>
      <c r="Q230" s="305">
        <f t="shared" si="77"/>
        <v>0.5</v>
      </c>
      <c r="R230" s="177">
        <f t="shared" si="78"/>
        <v>0.45024003632191834</v>
      </c>
      <c r="S230" s="811">
        <f t="shared" si="96"/>
        <v>-2</v>
      </c>
      <c r="T230" s="176">
        <f t="shared" si="79"/>
        <v>4</v>
      </c>
      <c r="U230" s="251">
        <f t="shared" si="80"/>
        <v>-1.5497599636780817</v>
      </c>
      <c r="V230" s="383">
        <f t="shared" si="81"/>
        <v>57.847565195382103</v>
      </c>
      <c r="W230" s="58"/>
      <c r="X230" s="157">
        <f t="shared" si="82"/>
        <v>43316</v>
      </c>
      <c r="Y230" s="385">
        <f t="shared" si="83"/>
        <v>53.386000000000003</v>
      </c>
      <c r="Z230" s="385">
        <f t="shared" si="84"/>
        <v>53.452691905792086</v>
      </c>
      <c r="AA230" s="386">
        <f t="shared" si="85"/>
        <v>53.652698717880924</v>
      </c>
      <c r="AB230" s="197">
        <f t="shared" si="86"/>
        <v>43316</v>
      </c>
      <c r="AC230" s="426">
        <f t="shared" si="87"/>
        <v>3.7278052524537817E-3</v>
      </c>
      <c r="AD230" s="169">
        <f>(INDEX(Models!$BJ230:$BT230,,AH230)*(1-AF230)+INDEX(Models!$BJ230:$BT230,,AH230+1)*AF230-ERP_i)*AE230*Ramure*Pc/MaxiM</f>
        <v>3.1919561323261097E-5</v>
      </c>
      <c r="AE230" s="305">
        <f t="shared" si="88"/>
        <v>0.5</v>
      </c>
      <c r="AF230" s="177">
        <f t="shared" si="89"/>
        <v>0.45024003632191834</v>
      </c>
      <c r="AG230" s="811">
        <f t="shared" si="90"/>
        <v>-2</v>
      </c>
      <c r="AH230" s="176">
        <f t="shared" si="91"/>
        <v>4</v>
      </c>
      <c r="AI230" s="225">
        <f t="shared" si="92"/>
        <v>-1.5497599636780817</v>
      </c>
      <c r="AJ230" s="265" t="b">
        <f t="shared" si="93"/>
        <v>0</v>
      </c>
      <c r="AK230" s="265" t="b">
        <f t="shared" si="94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5"/>
        <v>43317</v>
      </c>
      <c r="B231" s="617">
        <v>52.420999999999999</v>
      </c>
      <c r="C231" s="390"/>
      <c r="D231" s="393">
        <f t="shared" si="97"/>
        <v>52.487636003503368</v>
      </c>
      <c r="E231" s="385">
        <f t="shared" si="98"/>
        <v>52.687395355843627</v>
      </c>
      <c r="F231" s="385">
        <f t="shared" si="101"/>
        <v>52.688778266689816</v>
      </c>
      <c r="G231" s="110">
        <f t="shared" si="100"/>
        <v>0.90858612615189316</v>
      </c>
      <c r="I231" s="380">
        <f t="shared" si="73"/>
        <v>52.688778266689816</v>
      </c>
      <c r="J231" s="85">
        <v>2018</v>
      </c>
      <c r="K231" s="197">
        <f t="shared" si="74"/>
        <v>43317</v>
      </c>
      <c r="L231" s="437">
        <f t="shared" si="75"/>
        <v>1.2695561960329727E-3</v>
      </c>
      <c r="M231" s="856"/>
      <c r="N231" s="856"/>
      <c r="O231" s="324">
        <f t="shared" si="76"/>
        <v>3.7914068628959359E-3</v>
      </c>
      <c r="P231" s="169">
        <f>(INDEX(Models!$BJ231:$BT231,,T231)*(1-R231)+INDEX(Models!$BJ231:$BT231,,T231+1)*R231-ERP_i)*Q231*Ramure*Pc/MaxiM</f>
        <v>3.0189053058782338E-5</v>
      </c>
      <c r="Q231" s="305">
        <f t="shared" si="77"/>
        <v>0.5</v>
      </c>
      <c r="R231" s="177">
        <f t="shared" si="78"/>
        <v>0.45197169429556072</v>
      </c>
      <c r="S231" s="811">
        <f t="shared" si="96"/>
        <v>-2</v>
      </c>
      <c r="T231" s="176">
        <f t="shared" si="79"/>
        <v>4</v>
      </c>
      <c r="U231" s="251">
        <f t="shared" si="80"/>
        <v>-1.5480283057044393</v>
      </c>
      <c r="V231" s="383">
        <f t="shared" si="81"/>
        <v>57.694908416409667</v>
      </c>
      <c r="W231" s="58"/>
      <c r="X231" s="157">
        <f t="shared" si="82"/>
        <v>43317</v>
      </c>
      <c r="Y231" s="385">
        <f t="shared" si="83"/>
        <v>52.420999999999999</v>
      </c>
      <c r="Z231" s="385">
        <f t="shared" si="84"/>
        <v>52.487636003503368</v>
      </c>
      <c r="AA231" s="386">
        <f t="shared" si="85"/>
        <v>52.687395355843627</v>
      </c>
      <c r="AB231" s="197">
        <f t="shared" si="86"/>
        <v>43317</v>
      </c>
      <c r="AC231" s="426">
        <f t="shared" si="87"/>
        <v>3.7914068628959359E-3</v>
      </c>
      <c r="AD231" s="169">
        <f>(INDEX(Models!$BJ231:$BT231,,AH231)*(1-AF231)+INDEX(Models!$BJ231:$BT231,,AH231+1)*AF231-ERP_i)*AE231*Ramure*Pc/MaxiM</f>
        <v>3.0189053058782338E-5</v>
      </c>
      <c r="AE231" s="305">
        <f t="shared" si="88"/>
        <v>0.5</v>
      </c>
      <c r="AF231" s="177">
        <f t="shared" si="89"/>
        <v>0.45197169429556072</v>
      </c>
      <c r="AG231" s="811">
        <f t="shared" si="90"/>
        <v>-2</v>
      </c>
      <c r="AH231" s="176">
        <f t="shared" si="91"/>
        <v>4</v>
      </c>
      <c r="AI231" s="225">
        <f t="shared" si="92"/>
        <v>-1.5480283057044393</v>
      </c>
      <c r="AJ231" s="265" t="b">
        <f t="shared" si="93"/>
        <v>0</v>
      </c>
      <c r="AK231" s="265" t="b">
        <f t="shared" si="94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5"/>
        <v>43318</v>
      </c>
      <c r="B232" s="617">
        <v>53.904000000000003</v>
      </c>
      <c r="C232" s="390"/>
      <c r="D232" s="393">
        <f t="shared" si="97"/>
        <v>53.973703311262156</v>
      </c>
      <c r="E232" s="385">
        <f t="shared" si="98"/>
        <v>54.182573798417806</v>
      </c>
      <c r="F232" s="385">
        <f t="shared" si="101"/>
        <v>54.183969884065412</v>
      </c>
      <c r="G232" s="110">
        <f t="shared" si="100"/>
        <v>0.93679386657736063</v>
      </c>
      <c r="I232" s="380">
        <f t="shared" si="73"/>
        <v>54.183969884065412</v>
      </c>
      <c r="J232" s="85">
        <v>2018</v>
      </c>
      <c r="K232" s="197">
        <f t="shared" si="74"/>
        <v>43318</v>
      </c>
      <c r="L232" s="437">
        <f t="shared" si="75"/>
        <v>1.2914309559264314E-3</v>
      </c>
      <c r="M232" s="856"/>
      <c r="N232" s="856"/>
      <c r="O232" s="324">
        <f t="shared" si="76"/>
        <v>3.8549384518486878E-3</v>
      </c>
      <c r="P232" s="169">
        <f>(INDEX(Models!$BJ232:$BT232,,T232)*(1-R232)+INDEX(Models!$BJ232:$BT232,,T232+1)*R232-ERP_i)*Q232*Ramure*Pc/MaxiM</f>
        <v>2.8322968903457385E-5</v>
      </c>
      <c r="Q232" s="305">
        <f t="shared" si="77"/>
        <v>0.5</v>
      </c>
      <c r="R232" s="177">
        <f t="shared" si="78"/>
        <v>0.45364611160509227</v>
      </c>
      <c r="S232" s="811">
        <f t="shared" si="96"/>
        <v>-2</v>
      </c>
      <c r="T232" s="176">
        <f t="shared" si="79"/>
        <v>4</v>
      </c>
      <c r="U232" s="251">
        <f t="shared" si="80"/>
        <v>-1.5463538883949077</v>
      </c>
      <c r="V232" s="383">
        <f t="shared" si="81"/>
        <v>57.540793199375891</v>
      </c>
      <c r="W232" s="58"/>
      <c r="X232" s="157">
        <f t="shared" si="82"/>
        <v>43318</v>
      </c>
      <c r="Y232" s="385">
        <f t="shared" si="83"/>
        <v>53.904000000000003</v>
      </c>
      <c r="Z232" s="385">
        <f t="shared" si="84"/>
        <v>53.973703311262156</v>
      </c>
      <c r="AA232" s="386">
        <f t="shared" si="85"/>
        <v>54.182573798417806</v>
      </c>
      <c r="AB232" s="197">
        <f t="shared" si="86"/>
        <v>43318</v>
      </c>
      <c r="AC232" s="426">
        <f t="shared" si="87"/>
        <v>3.8549384518486878E-3</v>
      </c>
      <c r="AD232" s="169">
        <f>(INDEX(Models!$BJ232:$BT232,,AH232)*(1-AF232)+INDEX(Models!$BJ232:$BT232,,AH232+1)*AF232-ERP_i)*AE232*Ramure*Pc/MaxiM</f>
        <v>2.8322968903457385E-5</v>
      </c>
      <c r="AE232" s="305">
        <f t="shared" si="88"/>
        <v>0.5</v>
      </c>
      <c r="AF232" s="177">
        <f t="shared" si="89"/>
        <v>0.45364611160509227</v>
      </c>
      <c r="AG232" s="811">
        <f t="shared" si="90"/>
        <v>-2</v>
      </c>
      <c r="AH232" s="176">
        <f t="shared" si="91"/>
        <v>4</v>
      </c>
      <c r="AI232" s="225">
        <f t="shared" si="92"/>
        <v>-1.5463538883949077</v>
      </c>
      <c r="AJ232" s="265" t="b">
        <f t="shared" si="93"/>
        <v>0</v>
      </c>
      <c r="AK232" s="265" t="b">
        <f t="shared" si="94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5"/>
        <v>43319</v>
      </c>
      <c r="B233" s="617">
        <v>35.893999999999998</v>
      </c>
      <c r="C233" s="390"/>
      <c r="D233" s="393">
        <f t="shared" si="97"/>
        <v>35.941201768496086</v>
      </c>
      <c r="E233" s="385">
        <f t="shared" ref="E233:E296" si="102">Wh_pvt/(1-Psa)</f>
        <v>36.082587774828404</v>
      </c>
      <c r="F233" s="385">
        <f t="shared" si="101"/>
        <v>36.08302937057713</v>
      </c>
      <c r="G233" s="110">
        <f t="shared" ref="G233:G296" si="103">+Wh_hp/MaxiM</f>
        <v>0.62548073998555376</v>
      </c>
      <c r="I233" s="380">
        <f t="shared" si="73"/>
        <v>36.08302937057713</v>
      </c>
      <c r="J233" s="85">
        <v>2018</v>
      </c>
      <c r="K233" s="197">
        <f t="shared" si="74"/>
        <v>43319</v>
      </c>
      <c r="L233" s="437">
        <f t="shared" si="75"/>
        <v>1.3133052367064746E-3</v>
      </c>
      <c r="M233" s="856"/>
      <c r="N233" s="856"/>
      <c r="O233" s="324">
        <f t="shared" si="76"/>
        <v>3.9183998446737749E-3</v>
      </c>
      <c r="P233" s="169">
        <f>(INDEX(Models!$BJ233:$BT233,,T233)*(1-R233)+INDEX(Models!$BJ233:$BT233,,T233+1)*R233-ERP_i)*Q233*Ramure*Pc/MaxiM</f>
        <v>2.631981818097148E-5</v>
      </c>
      <c r="Q233" s="305">
        <f t="shared" si="77"/>
        <v>0.5</v>
      </c>
      <c r="R233" s="177">
        <f t="shared" si="78"/>
        <v>0.45526473548465574</v>
      </c>
      <c r="S233" s="811">
        <f t="shared" si="96"/>
        <v>-2</v>
      </c>
      <c r="T233" s="176">
        <f t="shared" si="79"/>
        <v>4</v>
      </c>
      <c r="U233" s="251">
        <f t="shared" si="80"/>
        <v>-1.5447352645153443</v>
      </c>
      <c r="V233" s="383">
        <f t="shared" si="81"/>
        <v>57.385451314513247</v>
      </c>
      <c r="W233" s="58"/>
      <c r="X233" s="157">
        <f t="shared" si="82"/>
        <v>43319</v>
      </c>
      <c r="Y233" s="385">
        <f t="shared" si="83"/>
        <v>35.893999999999998</v>
      </c>
      <c r="Z233" s="385">
        <f t="shared" si="84"/>
        <v>35.941201768496086</v>
      </c>
      <c r="AA233" s="386">
        <f t="shared" si="85"/>
        <v>36.082587774828404</v>
      </c>
      <c r="AB233" s="197">
        <f t="shared" si="86"/>
        <v>43319</v>
      </c>
      <c r="AC233" s="426">
        <f t="shared" si="87"/>
        <v>3.9183998446737749E-3</v>
      </c>
      <c r="AD233" s="169">
        <f>(INDEX(Models!$BJ233:$BT233,,AH233)*(1-AF233)+INDEX(Models!$BJ233:$BT233,,AH233+1)*AF233-ERP_i)*AE233*Ramure*Pc/MaxiM</f>
        <v>2.631981818097148E-5</v>
      </c>
      <c r="AE233" s="305">
        <f t="shared" si="88"/>
        <v>0.5</v>
      </c>
      <c r="AF233" s="177">
        <f t="shared" si="89"/>
        <v>0.45526473548465574</v>
      </c>
      <c r="AG233" s="811">
        <f t="shared" si="90"/>
        <v>-2</v>
      </c>
      <c r="AH233" s="176">
        <f t="shared" si="91"/>
        <v>4</v>
      </c>
      <c r="AI233" s="225">
        <f t="shared" si="92"/>
        <v>-1.5447352645153443</v>
      </c>
      <c r="AJ233" s="265" t="b">
        <f t="shared" si="93"/>
        <v>0</v>
      </c>
      <c r="AK233" s="265" t="b">
        <f t="shared" si="94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5"/>
        <v>43320</v>
      </c>
      <c r="B234" s="617">
        <v>47.079000000000001</v>
      </c>
      <c r="C234" s="390"/>
      <c r="D234" s="393">
        <f t="shared" si="97"/>
        <v>47.141942934034198</v>
      </c>
      <c r="E234" s="385">
        <f t="shared" si="102"/>
        <v>47.33040269627574</v>
      </c>
      <c r="F234" s="385">
        <f t="shared" si="101"/>
        <v>47.331259231893632</v>
      </c>
      <c r="G234" s="110">
        <f t="shared" si="103"/>
        <v>0.82263674175524837</v>
      </c>
      <c r="I234" s="380">
        <f t="shared" si="73"/>
        <v>47.331259231893632</v>
      </c>
      <c r="J234" s="85">
        <v>2018</v>
      </c>
      <c r="K234" s="197">
        <f t="shared" si="74"/>
        <v>43320</v>
      </c>
      <c r="L234" s="437">
        <f t="shared" si="75"/>
        <v>1.3351790383835382E-3</v>
      </c>
      <c r="M234" s="856"/>
      <c r="N234" s="856"/>
      <c r="O234" s="324">
        <f t="shared" si="76"/>
        <v>3.9817908047583839E-3</v>
      </c>
      <c r="P234" s="169">
        <f>(INDEX(Models!$BJ234:$BT234,,T234)*(1-R234)+INDEX(Models!$BJ234:$BT234,,T234+1)*R234-ERP_i)*Q234*Ramure*Pc/MaxiM</f>
        <v>2.423769257307381E-5</v>
      </c>
      <c r="Q234" s="305">
        <f t="shared" si="77"/>
        <v>0.5</v>
      </c>
      <c r="R234" s="177">
        <f t="shared" si="78"/>
        <v>0.45682900941757731</v>
      </c>
      <c r="S234" s="811">
        <f t="shared" si="96"/>
        <v>-2</v>
      </c>
      <c r="T234" s="176">
        <f t="shared" si="79"/>
        <v>4</v>
      </c>
      <c r="U234" s="251">
        <f t="shared" si="80"/>
        <v>-1.5431709905824227</v>
      </c>
      <c r="V234" s="383">
        <f t="shared" si="81"/>
        <v>57.229039853687475</v>
      </c>
      <c r="W234" s="58"/>
      <c r="X234" s="157">
        <f t="shared" si="82"/>
        <v>43320</v>
      </c>
      <c r="Y234" s="385">
        <f t="shared" si="83"/>
        <v>47.079000000000001</v>
      </c>
      <c r="Z234" s="385">
        <f t="shared" si="84"/>
        <v>47.141942934034198</v>
      </c>
      <c r="AA234" s="386">
        <f t="shared" si="85"/>
        <v>47.33040269627574</v>
      </c>
      <c r="AB234" s="197">
        <f t="shared" si="86"/>
        <v>43320</v>
      </c>
      <c r="AC234" s="426">
        <f t="shared" si="87"/>
        <v>3.9817908047583839E-3</v>
      </c>
      <c r="AD234" s="169">
        <f>(INDEX(Models!$BJ234:$BT234,,AH234)*(1-AF234)+INDEX(Models!$BJ234:$BT234,,AH234+1)*AF234-ERP_i)*AE234*Ramure*Pc/MaxiM</f>
        <v>2.423769257307381E-5</v>
      </c>
      <c r="AE234" s="305">
        <f t="shared" si="88"/>
        <v>0.5</v>
      </c>
      <c r="AF234" s="177">
        <f t="shared" si="89"/>
        <v>0.45682900941757731</v>
      </c>
      <c r="AG234" s="811">
        <f t="shared" si="90"/>
        <v>-2</v>
      </c>
      <c r="AH234" s="176">
        <f t="shared" si="91"/>
        <v>4</v>
      </c>
      <c r="AI234" s="225">
        <f t="shared" si="92"/>
        <v>-1.5431709905824227</v>
      </c>
      <c r="AJ234" s="265" t="b">
        <f t="shared" si="93"/>
        <v>0</v>
      </c>
      <c r="AK234" s="265" t="b">
        <f t="shared" si="94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5"/>
        <v>43321</v>
      </c>
      <c r="B235" s="617">
        <v>13.209</v>
      </c>
      <c r="C235" s="390"/>
      <c r="D235" s="393">
        <f t="shared" si="97"/>
        <v>13.226949663268948</v>
      </c>
      <c r="E235" s="385">
        <f t="shared" si="102"/>
        <v>13.280671453877114</v>
      </c>
      <c r="F235" s="385">
        <f t="shared" si="101"/>
        <v>13.280671453877114</v>
      </c>
      <c r="G235" s="110">
        <f t="shared" si="103"/>
        <v>0.23144160288924956</v>
      </c>
      <c r="I235" s="380">
        <f t="shared" si="73"/>
        <v>13.280671453877114</v>
      </c>
      <c r="J235" s="85">
        <v>2018</v>
      </c>
      <c r="K235" s="197">
        <f t="shared" si="74"/>
        <v>43321</v>
      </c>
      <c r="L235" s="437">
        <f t="shared" si="75"/>
        <v>1.3570523609683915E-3</v>
      </c>
      <c r="M235" s="856"/>
      <c r="N235" s="856"/>
      <c r="O235" s="324">
        <f t="shared" si="76"/>
        <v>4.0451110318282394E-3</v>
      </c>
      <c r="P235" s="169">
        <f>(INDEX(Models!$BJ235:$BT235,,T235)*(1-R235)+INDEX(Models!$BJ235:$BT235,,T235+1)*R235-ERP_i)*Q235*Ramure*Pc/MaxiM</f>
        <v>2.2243052169718758E-5</v>
      </c>
      <c r="Q235" s="305">
        <f t="shared" si="77"/>
        <v>0.5</v>
      </c>
      <c r="R235" s="177">
        <f t="shared" si="78"/>
        <v>0.45834037028620567</v>
      </c>
      <c r="S235" s="811">
        <f t="shared" si="96"/>
        <v>-2</v>
      </c>
      <c r="T235" s="176">
        <f t="shared" si="79"/>
        <v>4</v>
      </c>
      <c r="U235" s="251">
        <f t="shared" si="80"/>
        <v>-1.5416596297137943</v>
      </c>
      <c r="V235" s="383">
        <f t="shared" si="81"/>
        <v>57.071442759772872</v>
      </c>
      <c r="W235" s="58"/>
      <c r="X235" s="157">
        <f t="shared" si="82"/>
        <v>43321</v>
      </c>
      <c r="Y235" s="385">
        <f t="shared" si="83"/>
        <v>13.209</v>
      </c>
      <c r="Z235" s="385">
        <f t="shared" si="84"/>
        <v>13.226949663268948</v>
      </c>
      <c r="AA235" s="386">
        <f t="shared" si="85"/>
        <v>13.280671453877114</v>
      </c>
      <c r="AB235" s="197">
        <f t="shared" si="86"/>
        <v>43321</v>
      </c>
      <c r="AC235" s="426">
        <f t="shared" si="87"/>
        <v>4.0451110318282394E-3</v>
      </c>
      <c r="AD235" s="169">
        <f>(INDEX(Models!$BJ235:$BT235,,AH235)*(1-AF235)+INDEX(Models!$BJ235:$BT235,,AH235+1)*AF235-ERP_i)*AE235*Ramure*Pc/MaxiM</f>
        <v>2.2243052169718758E-5</v>
      </c>
      <c r="AE235" s="305">
        <f t="shared" si="88"/>
        <v>0.5</v>
      </c>
      <c r="AF235" s="177">
        <f t="shared" si="89"/>
        <v>0.45834037028620567</v>
      </c>
      <c r="AG235" s="811">
        <f t="shared" si="90"/>
        <v>-2</v>
      </c>
      <c r="AH235" s="176">
        <f t="shared" si="91"/>
        <v>4</v>
      </c>
      <c r="AI235" s="225">
        <f t="shared" si="92"/>
        <v>-1.5416596297137943</v>
      </c>
      <c r="AJ235" s="265" t="b">
        <f t="shared" si="93"/>
        <v>0</v>
      </c>
      <c r="AK235" s="265" t="b">
        <f t="shared" si="94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5"/>
        <v>43322</v>
      </c>
      <c r="B236" s="617">
        <v>51.738</v>
      </c>
      <c r="C236" s="390"/>
      <c r="D236" s="393">
        <f t="shared" si="97"/>
        <v>51.809441344499504</v>
      </c>
      <c r="E236" s="385">
        <f t="shared" si="102"/>
        <v>52.023171268781553</v>
      </c>
      <c r="F236" s="385">
        <f t="shared" si="101"/>
        <v>52.024091924029669</v>
      </c>
      <c r="G236" s="110">
        <f t="shared" si="103"/>
        <v>0.90907647233229449</v>
      </c>
      <c r="I236" s="380">
        <f t="shared" si="73"/>
        <v>52.024091924029669</v>
      </c>
      <c r="J236" s="85">
        <v>2018</v>
      </c>
      <c r="K236" s="197">
        <f t="shared" si="74"/>
        <v>43322</v>
      </c>
      <c r="L236" s="437">
        <f t="shared" si="75"/>
        <v>1.3789252044712486E-3</v>
      </c>
      <c r="M236" s="856"/>
      <c r="N236" s="856"/>
      <c r="O236" s="324">
        <f t="shared" si="76"/>
        <v>4.1083601608559494E-3</v>
      </c>
      <c r="P236" s="169">
        <f>(INDEX(Models!$BJ236:$BT236,,T236)*(1-R236)+INDEX(Models!$BJ236:$BT236,,T236+1)*R236-ERP_i)*Q236*Ramure*Pc/MaxiM</f>
        <v>2.0338411437802299E-5</v>
      </c>
      <c r="Q236" s="305">
        <f t="shared" si="77"/>
        <v>0.5</v>
      </c>
      <c r="R236" s="177">
        <f t="shared" si="78"/>
        <v>0.45980024575210265</v>
      </c>
      <c r="S236" s="811">
        <f t="shared" si="96"/>
        <v>-2</v>
      </c>
      <c r="T236" s="176">
        <f t="shared" si="79"/>
        <v>4</v>
      </c>
      <c r="U236" s="251">
        <f t="shared" si="80"/>
        <v>-1.5401997542478973</v>
      </c>
      <c r="V236" s="383">
        <f t="shared" si="81"/>
        <v>56.912553449409863</v>
      </c>
      <c r="W236" s="58"/>
      <c r="X236" s="157">
        <f t="shared" si="82"/>
        <v>43322</v>
      </c>
      <c r="Y236" s="385">
        <f t="shared" si="83"/>
        <v>51.738</v>
      </c>
      <c r="Z236" s="385">
        <f t="shared" si="84"/>
        <v>51.809441344499504</v>
      </c>
      <c r="AA236" s="386">
        <f t="shared" si="85"/>
        <v>52.023171268781553</v>
      </c>
      <c r="AB236" s="197">
        <f t="shared" si="86"/>
        <v>43322</v>
      </c>
      <c r="AC236" s="426">
        <f t="shared" si="87"/>
        <v>4.1083601608559494E-3</v>
      </c>
      <c r="AD236" s="169">
        <f>(INDEX(Models!$BJ236:$BT236,,AH236)*(1-AF236)+INDEX(Models!$BJ236:$BT236,,AH236+1)*AF236-ERP_i)*AE236*Ramure*Pc/MaxiM</f>
        <v>2.0338411437802299E-5</v>
      </c>
      <c r="AE236" s="305">
        <f t="shared" si="88"/>
        <v>0.5</v>
      </c>
      <c r="AF236" s="177">
        <f t="shared" si="89"/>
        <v>0.45980024575210265</v>
      </c>
      <c r="AG236" s="811">
        <f t="shared" si="90"/>
        <v>-2</v>
      </c>
      <c r="AH236" s="176">
        <f t="shared" si="91"/>
        <v>4</v>
      </c>
      <c r="AI236" s="225">
        <f t="shared" si="92"/>
        <v>-1.5401997542478973</v>
      </c>
      <c r="AJ236" s="265" t="b">
        <f t="shared" si="93"/>
        <v>0</v>
      </c>
      <c r="AK236" s="265" t="b">
        <f t="shared" si="94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5"/>
        <v>43323</v>
      </c>
      <c r="B237" s="617">
        <v>54.628</v>
      </c>
      <c r="C237" s="390"/>
      <c r="D237" s="393">
        <f t="shared" si="97"/>
        <v>54.704630112869829</v>
      </c>
      <c r="E237" s="385">
        <f t="shared" si="102"/>
        <v>54.93378848592166</v>
      </c>
      <c r="F237" s="385">
        <f t="shared" si="101"/>
        <v>54.934751797677123</v>
      </c>
      <c r="G237" s="110">
        <f t="shared" si="103"/>
        <v>0.96256855141876208</v>
      </c>
      <c r="I237" s="380">
        <f t="shared" si="73"/>
        <v>54.934751797677123</v>
      </c>
      <c r="J237" s="85">
        <v>2018</v>
      </c>
      <c r="K237" s="197">
        <f t="shared" si="74"/>
        <v>43323</v>
      </c>
      <c r="L237" s="437">
        <f t="shared" si="75"/>
        <v>1.4007975689026564E-3</v>
      </c>
      <c r="M237" s="856"/>
      <c r="N237" s="856"/>
      <c r="O237" s="324">
        <f t="shared" si="76"/>
        <v>4.1715377615100871E-3</v>
      </c>
      <c r="P237" s="169">
        <f>(INDEX(Models!$BJ237:$BT237,,T237)*(1-R237)+INDEX(Models!$BJ237:$BT237,,T237+1)*R237-ERP_i)*Q237*Ramure*Pc/MaxiM</f>
        <v>1.8526197518510847E-5</v>
      </c>
      <c r="Q237" s="305">
        <f t="shared" si="77"/>
        <v>0.5</v>
      </c>
      <c r="R237" s="177">
        <f t="shared" si="78"/>
        <v>0.46121005185844521</v>
      </c>
      <c r="S237" s="811">
        <f t="shared" si="96"/>
        <v>-2</v>
      </c>
      <c r="T237" s="176">
        <f t="shared" si="79"/>
        <v>4</v>
      </c>
      <c r="U237" s="251">
        <f t="shared" si="80"/>
        <v>-1.5387899481415548</v>
      </c>
      <c r="V237" s="383">
        <f t="shared" si="81"/>
        <v>56.752265386299257</v>
      </c>
      <c r="W237" s="58"/>
      <c r="X237" s="157">
        <f t="shared" si="82"/>
        <v>43323</v>
      </c>
      <c r="Y237" s="385">
        <f t="shared" si="83"/>
        <v>54.628</v>
      </c>
      <c r="Z237" s="385">
        <f t="shared" si="84"/>
        <v>54.704630112869829</v>
      </c>
      <c r="AA237" s="386">
        <f t="shared" si="85"/>
        <v>54.93378848592166</v>
      </c>
      <c r="AB237" s="197">
        <f t="shared" si="86"/>
        <v>43323</v>
      </c>
      <c r="AC237" s="426">
        <f t="shared" si="87"/>
        <v>4.1715377615100871E-3</v>
      </c>
      <c r="AD237" s="169">
        <f>(INDEX(Models!$BJ237:$BT237,,AH237)*(1-AF237)+INDEX(Models!$BJ237:$BT237,,AH237+1)*AF237-ERP_i)*AE237*Ramure*Pc/MaxiM</f>
        <v>1.8526197518510847E-5</v>
      </c>
      <c r="AE237" s="305">
        <f t="shared" si="88"/>
        <v>0.5</v>
      </c>
      <c r="AF237" s="177">
        <f t="shared" si="89"/>
        <v>0.46121005185844521</v>
      </c>
      <c r="AG237" s="811">
        <f t="shared" si="90"/>
        <v>-2</v>
      </c>
      <c r="AH237" s="176">
        <f t="shared" si="91"/>
        <v>4</v>
      </c>
      <c r="AI237" s="225">
        <f t="shared" si="92"/>
        <v>-1.5387899481415548</v>
      </c>
      <c r="AJ237" s="265" t="b">
        <f t="shared" si="93"/>
        <v>0</v>
      </c>
      <c r="AK237" s="265" t="b">
        <f t="shared" si="94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5"/>
        <v>43324</v>
      </c>
      <c r="B238" s="617">
        <v>51.902999999999999</v>
      </c>
      <c r="C238" s="390"/>
      <c r="D238" s="393">
        <f t="shared" si="97"/>
        <v>51.976946013419699</v>
      </c>
      <c r="E238" s="385">
        <f t="shared" si="102"/>
        <v>52.197985866530757</v>
      </c>
      <c r="F238" s="385">
        <f t="shared" si="101"/>
        <v>52.198759439863373</v>
      </c>
      <c r="G238" s="110">
        <f t="shared" si="103"/>
        <v>0.91716670416995161</v>
      </c>
      <c r="I238" s="380">
        <f t="shared" si="73"/>
        <v>52.198759439863373</v>
      </c>
      <c r="J238" s="85">
        <v>2018</v>
      </c>
      <c r="K238" s="197">
        <f t="shared" si="74"/>
        <v>43324</v>
      </c>
      <c r="L238" s="437">
        <f t="shared" si="75"/>
        <v>1.4226694542731622E-3</v>
      </c>
      <c r="M238" s="856"/>
      <c r="N238" s="856"/>
      <c r="O238" s="324">
        <f t="shared" si="76"/>
        <v>4.2346433380830491E-3</v>
      </c>
      <c r="P238" s="169">
        <f>(INDEX(Models!$BJ238:$BT238,,T238)*(1-R238)+INDEX(Models!$BJ238:$BT238,,T238+1)*R238-ERP_i)*Q238*Ramure*Pc/MaxiM</f>
        <v>1.6808756138927471E-5</v>
      </c>
      <c r="Q238" s="305">
        <f t="shared" si="77"/>
        <v>0.5</v>
      </c>
      <c r="R238" s="177">
        <f t="shared" si="78"/>
        <v>0.46257119084601128</v>
      </c>
      <c r="S238" s="811">
        <f t="shared" si="96"/>
        <v>-2</v>
      </c>
      <c r="T238" s="176">
        <f t="shared" si="79"/>
        <v>4</v>
      </c>
      <c r="U238" s="251">
        <f t="shared" si="80"/>
        <v>-1.5374288091539887</v>
      </c>
      <c r="V238" s="383">
        <f t="shared" si="81"/>
        <v>56.590472078704948</v>
      </c>
      <c r="W238" s="58"/>
      <c r="X238" s="157">
        <f t="shared" si="82"/>
        <v>43324</v>
      </c>
      <c r="Y238" s="385">
        <f t="shared" si="83"/>
        <v>51.902999999999999</v>
      </c>
      <c r="Z238" s="385">
        <f t="shared" si="84"/>
        <v>51.976946013419699</v>
      </c>
      <c r="AA238" s="386">
        <f t="shared" si="85"/>
        <v>52.197985866530757</v>
      </c>
      <c r="AB238" s="197">
        <f t="shared" si="86"/>
        <v>43324</v>
      </c>
      <c r="AC238" s="426">
        <f t="shared" si="87"/>
        <v>4.2346433380830491E-3</v>
      </c>
      <c r="AD238" s="169">
        <f>(INDEX(Models!$BJ238:$BT238,,AH238)*(1-AF238)+INDEX(Models!$BJ238:$BT238,,AH238+1)*AF238-ERP_i)*AE238*Ramure*Pc/MaxiM</f>
        <v>1.6808756138927471E-5</v>
      </c>
      <c r="AE238" s="305">
        <f t="shared" si="88"/>
        <v>0.5</v>
      </c>
      <c r="AF238" s="177">
        <f t="shared" si="89"/>
        <v>0.46257119084601128</v>
      </c>
      <c r="AG238" s="811">
        <f t="shared" si="90"/>
        <v>-2</v>
      </c>
      <c r="AH238" s="176">
        <f t="shared" si="91"/>
        <v>4</v>
      </c>
      <c r="AI238" s="225">
        <f t="shared" si="92"/>
        <v>-1.5374288091539887</v>
      </c>
      <c r="AJ238" s="265" t="b">
        <f t="shared" si="93"/>
        <v>0</v>
      </c>
      <c r="AK238" s="265" t="b">
        <f t="shared" si="94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5"/>
        <v>43325</v>
      </c>
      <c r="B239" s="617">
        <v>32.011000000000003</v>
      </c>
      <c r="C239" s="390"/>
      <c r="D239" s="393">
        <f t="shared" si="97"/>
        <v>32.057308091418683</v>
      </c>
      <c r="E239" s="385">
        <f t="shared" si="102"/>
        <v>32.1956746804156</v>
      </c>
      <c r="F239" s="385">
        <f t="shared" si="101"/>
        <v>32.195861408486827</v>
      </c>
      <c r="G239" s="110">
        <f t="shared" si="103"/>
        <v>0.56729334194312209</v>
      </c>
      <c r="I239" s="380">
        <f t="shared" si="73"/>
        <v>32.195861408486827</v>
      </c>
      <c r="J239" s="85">
        <v>2018</v>
      </c>
      <c r="K239" s="197">
        <f t="shared" si="74"/>
        <v>43325</v>
      </c>
      <c r="L239" s="437">
        <f t="shared" si="75"/>
        <v>1.444540860593313E-3</v>
      </c>
      <c r="M239" s="856"/>
      <c r="N239" s="856"/>
      <c r="O239" s="324">
        <f t="shared" si="76"/>
        <v>4.2976763298297176E-3</v>
      </c>
      <c r="P239" s="169">
        <f>(INDEX(Models!$BJ239:$BT239,,T239)*(1-R239)+INDEX(Models!$BJ239:$BT239,,T239+1)*R239-ERP_i)*Q239*Ramure*Pc/MaxiM</f>
        <v>1.5188357372478374E-5</v>
      </c>
      <c r="Q239" s="305">
        <f t="shared" si="77"/>
        <v>0.5</v>
      </c>
      <c r="R239" s="177">
        <f t="shared" si="78"/>
        <v>0.46388504917375495</v>
      </c>
      <c r="S239" s="811">
        <f t="shared" si="96"/>
        <v>-2</v>
      </c>
      <c r="T239" s="176">
        <f t="shared" si="79"/>
        <v>4</v>
      </c>
      <c r="U239" s="251">
        <f t="shared" si="80"/>
        <v>-1.5361149508262451</v>
      </c>
      <c r="V239" s="383">
        <f t="shared" si="81"/>
        <v>56.427067079661072</v>
      </c>
      <c r="W239" s="58"/>
      <c r="X239" s="157">
        <f t="shared" si="82"/>
        <v>43325</v>
      </c>
      <c r="Y239" s="385">
        <f t="shared" si="83"/>
        <v>32.011000000000003</v>
      </c>
      <c r="Z239" s="385">
        <f t="shared" si="84"/>
        <v>32.057308091418683</v>
      </c>
      <c r="AA239" s="386">
        <f t="shared" si="85"/>
        <v>32.1956746804156</v>
      </c>
      <c r="AB239" s="197">
        <f t="shared" si="86"/>
        <v>43325</v>
      </c>
      <c r="AC239" s="426">
        <f t="shared" si="87"/>
        <v>4.2976763298297176E-3</v>
      </c>
      <c r="AD239" s="169">
        <f>(INDEX(Models!$BJ239:$BT239,,AH239)*(1-AF239)+INDEX(Models!$BJ239:$BT239,,AH239+1)*AF239-ERP_i)*AE239*Ramure*Pc/MaxiM</f>
        <v>1.5188357372478374E-5</v>
      </c>
      <c r="AE239" s="305">
        <f t="shared" si="88"/>
        <v>0.5</v>
      </c>
      <c r="AF239" s="177">
        <f t="shared" si="89"/>
        <v>0.46388504917375495</v>
      </c>
      <c r="AG239" s="811">
        <f t="shared" si="90"/>
        <v>-2</v>
      </c>
      <c r="AH239" s="176">
        <f t="shared" si="91"/>
        <v>4</v>
      </c>
      <c r="AI239" s="225">
        <f t="shared" si="92"/>
        <v>-1.5361149508262451</v>
      </c>
      <c r="AJ239" s="265" t="b">
        <f t="shared" si="93"/>
        <v>0</v>
      </c>
      <c r="AK239" s="265" t="b">
        <f t="shared" si="94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5"/>
        <v>43326</v>
      </c>
      <c r="B240" s="617">
        <v>34.433</v>
      </c>
      <c r="C240" s="390"/>
      <c r="D240" s="393">
        <f t="shared" si="97"/>
        <v>34.483567109296999</v>
      </c>
      <c r="E240" s="385">
        <f t="shared" si="102"/>
        <v>34.634595979236252</v>
      </c>
      <c r="F240" s="385">
        <f t="shared" si="101"/>
        <v>34.634807589521465</v>
      </c>
      <c r="G240" s="110">
        <f t="shared" si="103"/>
        <v>0.61200764374897887</v>
      </c>
      <c r="I240" s="380">
        <f t="shared" si="73"/>
        <v>34.634807589521465</v>
      </c>
      <c r="J240" s="85">
        <v>2018</v>
      </c>
      <c r="K240" s="197">
        <f t="shared" si="74"/>
        <v>43326</v>
      </c>
      <c r="L240" s="437">
        <f t="shared" si="75"/>
        <v>1.466411787873434E-3</v>
      </c>
      <c r="M240" s="856"/>
      <c r="N240" s="856"/>
      <c r="O240" s="324">
        <f t="shared" si="76"/>
        <v>4.360636111643966E-3</v>
      </c>
      <c r="P240" s="169">
        <f>(INDEX(Models!$BJ240:$BT240,,T240)*(1-R240)+INDEX(Models!$BJ240:$BT240,,T240+1)*R240-ERP_i)*Q240*Ramure*Pc/MaxiM</f>
        <v>1.3707249798417095E-5</v>
      </c>
      <c r="Q240" s="305">
        <f t="shared" si="77"/>
        <v>0.5</v>
      </c>
      <c r="R240" s="177">
        <f t="shared" si="78"/>
        <v>0.46515299573470381</v>
      </c>
      <c r="S240" s="811">
        <f t="shared" si="96"/>
        <v>-2</v>
      </c>
      <c r="T240" s="176">
        <f t="shared" si="79"/>
        <v>4</v>
      </c>
      <c r="U240" s="251">
        <f t="shared" si="80"/>
        <v>-1.5348470042652962</v>
      </c>
      <c r="V240" s="383">
        <f t="shared" si="81"/>
        <v>56.2619417349663</v>
      </c>
      <c r="W240" s="58"/>
      <c r="X240" s="157">
        <f t="shared" si="82"/>
        <v>43326</v>
      </c>
      <c r="Y240" s="385">
        <f t="shared" si="83"/>
        <v>34.433</v>
      </c>
      <c r="Z240" s="385">
        <f t="shared" si="84"/>
        <v>34.483567109296999</v>
      </c>
      <c r="AA240" s="386">
        <f t="shared" si="85"/>
        <v>34.634595979236252</v>
      </c>
      <c r="AB240" s="197">
        <f t="shared" si="86"/>
        <v>43326</v>
      </c>
      <c r="AC240" s="426">
        <f t="shared" si="87"/>
        <v>4.360636111643966E-3</v>
      </c>
      <c r="AD240" s="169">
        <f>(INDEX(Models!$BJ240:$BT240,,AH240)*(1-AF240)+INDEX(Models!$BJ240:$BT240,,AH240+1)*AF240-ERP_i)*AE240*Ramure*Pc/MaxiM</f>
        <v>1.3707249798417095E-5</v>
      </c>
      <c r="AE240" s="305">
        <f t="shared" si="88"/>
        <v>0.5</v>
      </c>
      <c r="AF240" s="177">
        <f t="shared" si="89"/>
        <v>0.46515299573470381</v>
      </c>
      <c r="AG240" s="811">
        <f t="shared" si="90"/>
        <v>-2</v>
      </c>
      <c r="AH240" s="176">
        <f t="shared" si="91"/>
        <v>4</v>
      </c>
      <c r="AI240" s="225">
        <f t="shared" si="92"/>
        <v>-1.5348470042652962</v>
      </c>
      <c r="AJ240" s="265" t="b">
        <f t="shared" si="93"/>
        <v>0</v>
      </c>
      <c r="AK240" s="265" t="b">
        <f t="shared" si="94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5"/>
        <v>43327</v>
      </c>
      <c r="B241" s="617">
        <v>55.966999999999999</v>
      </c>
      <c r="C241" s="390"/>
      <c r="D241" s="393">
        <f t="shared" si="97"/>
        <v>56.050418842690895</v>
      </c>
      <c r="E241" s="385">
        <f t="shared" si="102"/>
        <v>56.299460745605515</v>
      </c>
      <c r="F241" s="385">
        <f t="shared" si="101"/>
        <v>56.300151621417385</v>
      </c>
      <c r="G241" s="110">
        <f t="shared" si="103"/>
        <v>0.99771824373255835</v>
      </c>
      <c r="I241" s="380">
        <f t="shared" si="73"/>
        <v>56.300151621417385</v>
      </c>
      <c r="J241" s="85">
        <v>2018</v>
      </c>
      <c r="K241" s="197">
        <f t="shared" si="74"/>
        <v>43327</v>
      </c>
      <c r="L241" s="437">
        <f t="shared" si="75"/>
        <v>1.4882822361241832E-3</v>
      </c>
      <c r="M241" s="856"/>
      <c r="N241" s="856"/>
      <c r="O241" s="324">
        <f t="shared" si="76"/>
        <v>4.4235219949964192E-3</v>
      </c>
      <c r="P241" s="169">
        <f>(INDEX(Models!$BJ241:$BT241,,T241)*(1-R241)+INDEX(Models!$BJ241:$BT241,,T241+1)*R241-ERP_i)*Q241*Ramure*Pc/MaxiM</f>
        <v>1.2311426017769877E-5</v>
      </c>
      <c r="Q241" s="305">
        <f t="shared" si="77"/>
        <v>0.5</v>
      </c>
      <c r="R241" s="177">
        <f t="shared" si="78"/>
        <v>0.46637638025774408</v>
      </c>
      <c r="S241" s="811">
        <f t="shared" si="96"/>
        <v>-2</v>
      </c>
      <c r="T241" s="176">
        <f t="shared" si="79"/>
        <v>4</v>
      </c>
      <c r="U241" s="251">
        <f t="shared" si="80"/>
        <v>-1.5336236197422559</v>
      </c>
      <c r="V241" s="383">
        <f t="shared" si="81"/>
        <v>56.09499285552247</v>
      </c>
      <c r="W241" s="58"/>
      <c r="X241" s="157">
        <f t="shared" si="82"/>
        <v>43327</v>
      </c>
      <c r="Y241" s="385">
        <f t="shared" si="83"/>
        <v>55.966999999999999</v>
      </c>
      <c r="Z241" s="385">
        <f t="shared" si="84"/>
        <v>56.050418842690895</v>
      </c>
      <c r="AA241" s="386">
        <f t="shared" si="85"/>
        <v>56.299460745605515</v>
      </c>
      <c r="AB241" s="197">
        <f t="shared" si="86"/>
        <v>43327</v>
      </c>
      <c r="AC241" s="426">
        <f t="shared" si="87"/>
        <v>4.4235219949964192E-3</v>
      </c>
      <c r="AD241" s="169">
        <f>(INDEX(Models!$BJ241:$BT241,,AH241)*(1-AF241)+INDEX(Models!$BJ241:$BT241,,AH241+1)*AF241-ERP_i)*AE241*Ramure*Pc/MaxiM</f>
        <v>1.2311426017769877E-5</v>
      </c>
      <c r="AE241" s="305">
        <f t="shared" si="88"/>
        <v>0.5</v>
      </c>
      <c r="AF241" s="177">
        <f t="shared" si="89"/>
        <v>0.46637638025774408</v>
      </c>
      <c r="AG241" s="811">
        <f t="shared" si="90"/>
        <v>-2</v>
      </c>
      <c r="AH241" s="176">
        <f t="shared" si="91"/>
        <v>4</v>
      </c>
      <c r="AI241" s="225">
        <f t="shared" si="92"/>
        <v>-1.5336236197422559</v>
      </c>
      <c r="AJ241" s="265" t="b">
        <f t="shared" si="93"/>
        <v>0</v>
      </c>
      <c r="AK241" s="265" t="b">
        <f t="shared" si="94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5"/>
        <v>43328</v>
      </c>
      <c r="B242" s="617">
        <v>51.036999999999999</v>
      </c>
      <c r="C242" s="390"/>
      <c r="D242" s="393">
        <f t="shared" si="97"/>
        <v>51.114190207066187</v>
      </c>
      <c r="E242" s="385">
        <f t="shared" si="102"/>
        <v>51.344538918145126</v>
      </c>
      <c r="F242" s="385">
        <f t="shared" si="101"/>
        <v>51.345033299303957</v>
      </c>
      <c r="G242" s="110">
        <f t="shared" si="103"/>
        <v>0.91257779410736095</v>
      </c>
      <c r="I242" s="380">
        <f t="shared" si="73"/>
        <v>51.345033299303957</v>
      </c>
      <c r="J242" s="85">
        <v>2018</v>
      </c>
      <c r="K242" s="197">
        <f t="shared" si="74"/>
        <v>43328</v>
      </c>
      <c r="L242" s="437">
        <f t="shared" si="75"/>
        <v>1.5101522053559968E-3</v>
      </c>
      <c r="M242" s="856"/>
      <c r="N242" s="856"/>
      <c r="O242" s="324">
        <f t="shared" si="76"/>
        <v>4.4863332290541605E-3</v>
      </c>
      <c r="P242" s="169">
        <f>(INDEX(Models!$BJ242:$BT242,,T242)*(1-R242)+INDEX(Models!$BJ242:$BT242,,T242+1)*R242-ERP_i)*Q242*Ramure*Pc/MaxiM</f>
        <v>1.100270256021137E-5</v>
      </c>
      <c r="Q242" s="305">
        <f t="shared" si="77"/>
        <v>0.5</v>
      </c>
      <c r="R242" s="177">
        <f t="shared" si="78"/>
        <v>0.46755653188576285</v>
      </c>
      <c r="S242" s="811">
        <f t="shared" si="96"/>
        <v>-2</v>
      </c>
      <c r="T242" s="176">
        <f t="shared" si="79"/>
        <v>4</v>
      </c>
      <c r="U242" s="251">
        <f t="shared" si="80"/>
        <v>-1.5324434681142372</v>
      </c>
      <c r="V242" s="383">
        <f t="shared" si="81"/>
        <v>55.92611413424013</v>
      </c>
      <c r="W242" s="58"/>
      <c r="X242" s="157">
        <f t="shared" si="82"/>
        <v>43328</v>
      </c>
      <c r="Y242" s="385">
        <f t="shared" si="83"/>
        <v>51.036999999999999</v>
      </c>
      <c r="Z242" s="385">
        <f t="shared" si="84"/>
        <v>51.114190207066187</v>
      </c>
      <c r="AA242" s="386">
        <f t="shared" si="85"/>
        <v>51.344538918145126</v>
      </c>
      <c r="AB242" s="197">
        <f t="shared" si="86"/>
        <v>43328</v>
      </c>
      <c r="AC242" s="426">
        <f t="shared" si="87"/>
        <v>4.4863332290541605E-3</v>
      </c>
      <c r="AD242" s="169">
        <f>(INDEX(Models!$BJ242:$BT242,,AH242)*(1-AF242)+INDEX(Models!$BJ242:$BT242,,AH242+1)*AF242-ERP_i)*AE242*Ramure*Pc/MaxiM</f>
        <v>1.100270256021137E-5</v>
      </c>
      <c r="AE242" s="305">
        <f t="shared" si="88"/>
        <v>0.5</v>
      </c>
      <c r="AF242" s="177">
        <f t="shared" si="89"/>
        <v>0.46755653188576285</v>
      </c>
      <c r="AG242" s="811">
        <f t="shared" si="90"/>
        <v>-2</v>
      </c>
      <c r="AH242" s="176">
        <f t="shared" si="91"/>
        <v>4</v>
      </c>
      <c r="AI242" s="225">
        <f t="shared" si="92"/>
        <v>-1.5324434681142372</v>
      </c>
      <c r="AJ242" s="265" t="b">
        <f t="shared" si="93"/>
        <v>0</v>
      </c>
      <c r="AK242" s="265" t="b">
        <f t="shared" si="94"/>
        <v>0</v>
      </c>
      <c r="AL242" s="265"/>
      <c r="AM242" s="265"/>
      <c r="AN242" s="75"/>
    </row>
    <row r="243" spans="1:40" s="6" customFormat="1" ht="11.25" x14ac:dyDescent="0.2">
      <c r="A243" s="56">
        <f t="shared" si="95"/>
        <v>43329</v>
      </c>
      <c r="B243" s="617">
        <v>33.29</v>
      </c>
      <c r="C243" s="390"/>
      <c r="D243" s="393">
        <f t="shared" si="97"/>
        <v>33.341079256775409</v>
      </c>
      <c r="E243" s="385">
        <f t="shared" si="102"/>
        <v>33.493443241190874</v>
      </c>
      <c r="F243" s="385">
        <f t="shared" si="101"/>
        <v>33.493582298548738</v>
      </c>
      <c r="G243" s="110">
        <f t="shared" si="103"/>
        <v>0.59707099884502213</v>
      </c>
      <c r="I243" s="380">
        <f t="shared" si="73"/>
        <v>33.493582298548738</v>
      </c>
      <c r="J243" s="85">
        <v>2018</v>
      </c>
      <c r="K243" s="197">
        <f t="shared" si="74"/>
        <v>43329</v>
      </c>
      <c r="L243" s="437">
        <f t="shared" si="75"/>
        <v>1.5320216955794219E-3</v>
      </c>
      <c r="M243" s="856"/>
      <c r="N243" s="856"/>
      <c r="O243" s="324">
        <f t="shared" si="76"/>
        <v>4.5490690019020751E-3</v>
      </c>
      <c r="P243" s="169">
        <f>(INDEX(Models!$BJ243:$BT243,,T243)*(1-R243)+INDEX(Models!$BJ243:$BT243,,T243+1)*R243-ERP_i)*Q243*Ramure*Pc/MaxiM</f>
        <v>9.7828465594455103E-6</v>
      </c>
      <c r="Q243" s="305">
        <f t="shared" si="77"/>
        <v>0.5</v>
      </c>
      <c r="R243" s="177">
        <f t="shared" si="78"/>
        <v>0.46869475792061555</v>
      </c>
      <c r="S243" s="811">
        <f t="shared" si="96"/>
        <v>-2</v>
      </c>
      <c r="T243" s="176">
        <f t="shared" si="79"/>
        <v>4</v>
      </c>
      <c r="U243" s="251">
        <f t="shared" si="80"/>
        <v>-1.5313052420793845</v>
      </c>
      <c r="V243" s="383">
        <f t="shared" si="81"/>
        <v>55.755199305925977</v>
      </c>
      <c r="W243" s="58"/>
      <c r="X243" s="157">
        <f t="shared" si="82"/>
        <v>43329</v>
      </c>
      <c r="Y243" s="385">
        <f t="shared" si="83"/>
        <v>33.29</v>
      </c>
      <c r="Z243" s="385">
        <f t="shared" si="84"/>
        <v>33.341079256775409</v>
      </c>
      <c r="AA243" s="386">
        <f t="shared" si="85"/>
        <v>33.493443241190874</v>
      </c>
      <c r="AB243" s="197">
        <f t="shared" si="86"/>
        <v>43329</v>
      </c>
      <c r="AC243" s="426">
        <f t="shared" si="87"/>
        <v>4.5490690019020751E-3</v>
      </c>
      <c r="AD243" s="169">
        <f>(INDEX(Models!$BJ243:$BT243,,AH243)*(1-AF243)+INDEX(Models!$BJ243:$BT243,,AH243+1)*AF243-ERP_i)*AE243*Ramure*Pc/MaxiM</f>
        <v>9.7828465594455103E-6</v>
      </c>
      <c r="AE243" s="305">
        <f t="shared" si="88"/>
        <v>0.5</v>
      </c>
      <c r="AF243" s="177">
        <f t="shared" si="89"/>
        <v>0.46869475792061555</v>
      </c>
      <c r="AG243" s="811">
        <f t="shared" si="90"/>
        <v>-2</v>
      </c>
      <c r="AH243" s="176">
        <f t="shared" si="91"/>
        <v>4</v>
      </c>
      <c r="AI243" s="225">
        <f t="shared" si="92"/>
        <v>-1.5313052420793845</v>
      </c>
      <c r="AJ243" s="265" t="b">
        <f t="shared" si="93"/>
        <v>0</v>
      </c>
      <c r="AK243" s="265" t="b">
        <f t="shared" si="94"/>
        <v>0</v>
      </c>
      <c r="AL243" s="265"/>
      <c r="AM243" s="265"/>
      <c r="AN243" s="75"/>
    </row>
    <row r="244" spans="1:40" s="6" customFormat="1" ht="11.25" x14ac:dyDescent="0.2">
      <c r="A244" s="56">
        <f t="shared" si="95"/>
        <v>43330</v>
      </c>
      <c r="B244" s="617">
        <v>30.518999999999998</v>
      </c>
      <c r="C244" s="390"/>
      <c r="D244" s="393">
        <f t="shared" si="97"/>
        <v>30.566496995621069</v>
      </c>
      <c r="E244" s="385">
        <f t="shared" si="102"/>
        <v>30.708114480564699</v>
      </c>
      <c r="F244" s="385">
        <f t="shared" si="101"/>
        <v>30.708209036715964</v>
      </c>
      <c r="G244" s="110">
        <f t="shared" si="103"/>
        <v>0.54907617257616514</v>
      </c>
      <c r="I244" s="380">
        <f t="shared" si="73"/>
        <v>30.708209036715964</v>
      </c>
      <c r="J244" s="85">
        <v>2018</v>
      </c>
      <c r="K244" s="197">
        <f t="shared" si="74"/>
        <v>43330</v>
      </c>
      <c r="L244" s="437">
        <f t="shared" si="75"/>
        <v>1.5538907068047836E-3</v>
      </c>
      <c r="M244" s="856"/>
      <c r="N244" s="856"/>
      <c r="O244" s="324">
        <f t="shared" si="76"/>
        <v>4.6117284417857389E-3</v>
      </c>
      <c r="P244" s="169">
        <f>(INDEX(Models!$BJ244:$BT244,,T244)*(1-R244)+INDEX(Models!$BJ244:$BT244,,T244+1)*R244-ERP_i)*Q244*Ramure*Pc/MaxiM</f>
        <v>8.6535801025284E-6</v>
      </c>
      <c r="Q244" s="305">
        <f t="shared" si="77"/>
        <v>0.5</v>
      </c>
      <c r="R244" s="177">
        <f t="shared" si="78"/>
        <v>0.46979234272542914</v>
      </c>
      <c r="S244" s="811">
        <f t="shared" si="96"/>
        <v>-2</v>
      </c>
      <c r="T244" s="176">
        <f t="shared" si="79"/>
        <v>4</v>
      </c>
      <c r="U244" s="251">
        <f t="shared" si="80"/>
        <v>-1.5302076572745709</v>
      </c>
      <c r="V244" s="383">
        <f t="shared" si="81"/>
        <v>55.5821421483626</v>
      </c>
      <c r="W244" s="58"/>
      <c r="X244" s="157">
        <f t="shared" si="82"/>
        <v>43330</v>
      </c>
      <c r="Y244" s="385">
        <f t="shared" si="83"/>
        <v>30.518999999999998</v>
      </c>
      <c r="Z244" s="385">
        <f t="shared" si="84"/>
        <v>30.566496995621069</v>
      </c>
      <c r="AA244" s="386">
        <f t="shared" si="85"/>
        <v>30.708114480564699</v>
      </c>
      <c r="AB244" s="197">
        <f t="shared" si="86"/>
        <v>43330</v>
      </c>
      <c r="AC244" s="426">
        <f t="shared" si="87"/>
        <v>4.6117284417857389E-3</v>
      </c>
      <c r="AD244" s="169">
        <f>(INDEX(Models!$BJ244:$BT244,,AH244)*(1-AF244)+INDEX(Models!$BJ244:$BT244,,AH244+1)*AF244-ERP_i)*AE244*Ramure*Pc/MaxiM</f>
        <v>8.6535801025284E-6</v>
      </c>
      <c r="AE244" s="305">
        <f t="shared" si="88"/>
        <v>0.5</v>
      </c>
      <c r="AF244" s="177">
        <f t="shared" si="89"/>
        <v>0.46979234272542914</v>
      </c>
      <c r="AG244" s="811">
        <f t="shared" si="90"/>
        <v>-2</v>
      </c>
      <c r="AH244" s="176">
        <f t="shared" si="91"/>
        <v>4</v>
      </c>
      <c r="AI244" s="225">
        <f t="shared" si="92"/>
        <v>-1.5302076572745709</v>
      </c>
      <c r="AJ244" s="265" t="b">
        <f t="shared" si="93"/>
        <v>0</v>
      </c>
      <c r="AK244" s="265" t="b">
        <f t="shared" si="94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5"/>
        <v>43331</v>
      </c>
      <c r="B245" s="617">
        <v>52.744999999999997</v>
      </c>
      <c r="C245" s="390"/>
      <c r="D245" s="393">
        <f t="shared" si="97"/>
        <v>52.828244594502188</v>
      </c>
      <c r="E245" s="385">
        <f t="shared" si="102"/>
        <v>53.0763398936474</v>
      </c>
      <c r="F245" s="385">
        <f t="shared" si="101"/>
        <v>53.076716411968974</v>
      </c>
      <c r="G245" s="110">
        <f t="shared" si="103"/>
        <v>0.95195784089258861</v>
      </c>
      <c r="I245" s="380">
        <f t="shared" si="73"/>
        <v>53.076716411968974</v>
      </c>
      <c r="J245" s="85">
        <v>2018</v>
      </c>
      <c r="K245" s="197">
        <f t="shared" si="74"/>
        <v>43331</v>
      </c>
      <c r="L245" s="437">
        <f t="shared" si="75"/>
        <v>1.5757592390426289E-3</v>
      </c>
      <c r="M245" s="856"/>
      <c r="N245" s="856"/>
      <c r="O245" s="324">
        <f t="shared" si="76"/>
        <v>4.6743106182969762E-3</v>
      </c>
      <c r="P245" s="169">
        <f>(INDEX(Models!$BJ245:$BT245,,T245)*(1-R245)+INDEX(Models!$BJ245:$BT245,,T245+1)*R245-ERP_i)*Q245*Ramure*Pc/MaxiM</f>
        <v>7.6165844601065551E-6</v>
      </c>
      <c r="Q245" s="305">
        <f t="shared" si="77"/>
        <v>0.5</v>
      </c>
      <c r="R245" s="177">
        <f t="shared" si="78"/>
        <v>0.47085054677486848</v>
      </c>
      <c r="S245" s="811">
        <f t="shared" si="96"/>
        <v>-2</v>
      </c>
      <c r="T245" s="176">
        <f t="shared" si="79"/>
        <v>4</v>
      </c>
      <c r="U245" s="251">
        <f t="shared" si="80"/>
        <v>-1.5291494532251315</v>
      </c>
      <c r="V245" s="383">
        <f t="shared" si="81"/>
        <v>55.406836482145359</v>
      </c>
      <c r="W245" s="58"/>
      <c r="X245" s="157">
        <f t="shared" si="82"/>
        <v>43331</v>
      </c>
      <c r="Y245" s="385">
        <f t="shared" si="83"/>
        <v>52.744999999999997</v>
      </c>
      <c r="Z245" s="385">
        <f t="shared" si="84"/>
        <v>52.828244594502188</v>
      </c>
      <c r="AA245" s="386">
        <f t="shared" si="85"/>
        <v>53.0763398936474</v>
      </c>
      <c r="AB245" s="197">
        <f t="shared" si="86"/>
        <v>43331</v>
      </c>
      <c r="AC245" s="426">
        <f t="shared" si="87"/>
        <v>4.6743106182969762E-3</v>
      </c>
      <c r="AD245" s="169">
        <f>(INDEX(Models!$BJ245:$BT245,,AH245)*(1-AF245)+INDEX(Models!$BJ245:$BT245,,AH245+1)*AF245-ERP_i)*AE245*Ramure*Pc/MaxiM</f>
        <v>7.6165844601065551E-6</v>
      </c>
      <c r="AE245" s="305">
        <f t="shared" si="88"/>
        <v>0.5</v>
      </c>
      <c r="AF245" s="177">
        <f t="shared" si="89"/>
        <v>0.47085054677486848</v>
      </c>
      <c r="AG245" s="811">
        <f t="shared" si="90"/>
        <v>-2</v>
      </c>
      <c r="AH245" s="176">
        <f t="shared" si="91"/>
        <v>4</v>
      </c>
      <c r="AI245" s="225">
        <f t="shared" si="92"/>
        <v>-1.5291494532251315</v>
      </c>
      <c r="AJ245" s="265" t="b">
        <f t="shared" si="93"/>
        <v>0</v>
      </c>
      <c r="AK245" s="265" t="b">
        <f t="shared" si="94"/>
        <v>0</v>
      </c>
      <c r="AL245" s="265"/>
      <c r="AM245" s="265"/>
      <c r="AN245" s="75"/>
    </row>
    <row r="246" spans="1:40" s="6" customFormat="1" ht="11.25" x14ac:dyDescent="0.2">
      <c r="A246" s="56">
        <f t="shared" si="95"/>
        <v>43332</v>
      </c>
      <c r="B246" s="617">
        <v>53.317</v>
      </c>
      <c r="C246" s="390"/>
      <c r="D246" s="393">
        <f t="shared" si="97"/>
        <v>53.402316999110027</v>
      </c>
      <c r="E246" s="385">
        <f t="shared" si="102"/>
        <v>53.65647778342359</v>
      </c>
      <c r="F246" s="385">
        <f t="shared" si="101"/>
        <v>53.656818151544883</v>
      </c>
      <c r="G246" s="110">
        <f t="shared" si="103"/>
        <v>0.96537710864974258</v>
      </c>
      <c r="I246" s="380">
        <f t="shared" si="73"/>
        <v>53.656818151544883</v>
      </c>
      <c r="J246" s="85">
        <v>2018</v>
      </c>
      <c r="K246" s="197">
        <f t="shared" si="74"/>
        <v>43332</v>
      </c>
      <c r="L246" s="437">
        <f t="shared" si="75"/>
        <v>1.5976272923036161E-3</v>
      </c>
      <c r="M246" s="856"/>
      <c r="N246" s="856"/>
      <c r="O246" s="324">
        <f t="shared" si="76"/>
        <v>4.736814543426439E-3</v>
      </c>
      <c r="P246" s="169">
        <f>(INDEX(Models!$BJ246:$BT246,,T246)*(1-R246)+INDEX(Models!$BJ246:$BT246,,T246+1)*R246-ERP_i)*Q246*Ramure*Pc/MaxiM</f>
        <v>6.6735042071405552E-6</v>
      </c>
      <c r="Q246" s="305">
        <f t="shared" si="77"/>
        <v>0.5</v>
      </c>
      <c r="R246" s="177">
        <f t="shared" si="78"/>
        <v>0.47187060584415375</v>
      </c>
      <c r="S246" s="811">
        <f t="shared" si="96"/>
        <v>-2</v>
      </c>
      <c r="T246" s="176">
        <f t="shared" si="79"/>
        <v>4</v>
      </c>
      <c r="U246" s="251">
        <f t="shared" si="80"/>
        <v>-1.5281293941558463</v>
      </c>
      <c r="V246" s="383">
        <f t="shared" si="81"/>
        <v>55.229176166967271</v>
      </c>
      <c r="W246" s="58"/>
      <c r="X246" s="157">
        <f t="shared" si="82"/>
        <v>43332</v>
      </c>
      <c r="Y246" s="385">
        <f t="shared" si="83"/>
        <v>53.317</v>
      </c>
      <c r="Z246" s="385">
        <f t="shared" si="84"/>
        <v>53.402316999110027</v>
      </c>
      <c r="AA246" s="386">
        <f t="shared" si="85"/>
        <v>53.65647778342359</v>
      </c>
      <c r="AB246" s="197">
        <f t="shared" si="86"/>
        <v>43332</v>
      </c>
      <c r="AC246" s="426">
        <f t="shared" si="87"/>
        <v>4.736814543426439E-3</v>
      </c>
      <c r="AD246" s="169">
        <f>(INDEX(Models!$BJ246:$BT246,,AH246)*(1-AF246)+INDEX(Models!$BJ246:$BT246,,AH246+1)*AF246-ERP_i)*AE246*Ramure*Pc/MaxiM</f>
        <v>6.6735042071405552E-6</v>
      </c>
      <c r="AE246" s="305">
        <f t="shared" si="88"/>
        <v>0.5</v>
      </c>
      <c r="AF246" s="177">
        <f t="shared" si="89"/>
        <v>0.47187060584415375</v>
      </c>
      <c r="AG246" s="811">
        <f t="shared" si="90"/>
        <v>-2</v>
      </c>
      <c r="AH246" s="176">
        <f t="shared" si="91"/>
        <v>4</v>
      </c>
      <c r="AI246" s="225">
        <f t="shared" si="92"/>
        <v>-1.5281293941558463</v>
      </c>
      <c r="AJ246" s="265" t="b">
        <f t="shared" si="93"/>
        <v>0</v>
      </c>
      <c r="AK246" s="265" t="b">
        <f t="shared" si="94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5"/>
        <v>43333</v>
      </c>
      <c r="B247" s="617">
        <v>52.478999999999999</v>
      </c>
      <c r="C247" s="390"/>
      <c r="D247" s="393">
        <f t="shared" si="97"/>
        <v>52.56412733438524</v>
      </c>
      <c r="E247" s="385">
        <f t="shared" si="102"/>
        <v>52.817611685378928</v>
      </c>
      <c r="F247" s="385">
        <f t="shared" si="101"/>
        <v>52.817898849662711</v>
      </c>
      <c r="G247" s="110">
        <f t="shared" si="103"/>
        <v>0.95327635794074916</v>
      </c>
      <c r="I247" s="380">
        <f t="shared" si="73"/>
        <v>52.817898849662711</v>
      </c>
      <c r="J247" s="85">
        <v>2018</v>
      </c>
      <c r="K247" s="197">
        <f t="shared" si="74"/>
        <v>43333</v>
      </c>
      <c r="L247" s="437">
        <f t="shared" si="75"/>
        <v>1.6194948665980702E-3</v>
      </c>
      <c r="M247" s="856"/>
      <c r="N247" s="856"/>
      <c r="O247" s="324">
        <f t="shared" si="76"/>
        <v>4.7992391724114413E-3</v>
      </c>
      <c r="P247" s="169">
        <f>(INDEX(Models!$BJ247:$BT247,,T247)*(1-R247)+INDEX(Models!$BJ247:$BT247,,T247+1)*R247-ERP_i)*Q247*Ramure*Pc/MaxiM</f>
        <v>5.8257273453579201E-6</v>
      </c>
      <c r="Q247" s="305">
        <f t="shared" si="77"/>
        <v>0.5</v>
      </c>
      <c r="R247" s="177">
        <f t="shared" si="78"/>
        <v>0.47285373032781797</v>
      </c>
      <c r="S247" s="811">
        <f t="shared" si="96"/>
        <v>-2</v>
      </c>
      <c r="T247" s="176">
        <f t="shared" si="79"/>
        <v>4</v>
      </c>
      <c r="U247" s="251">
        <f t="shared" si="80"/>
        <v>-1.527146269672182</v>
      </c>
      <c r="V247" s="383">
        <f t="shared" si="81"/>
        <v>55.051170792320029</v>
      </c>
      <c r="W247" s="58"/>
      <c r="X247" s="157">
        <f t="shared" si="82"/>
        <v>43333</v>
      </c>
      <c r="Y247" s="385">
        <f t="shared" si="83"/>
        <v>52.478999999999999</v>
      </c>
      <c r="Z247" s="385">
        <f t="shared" si="84"/>
        <v>52.56412733438524</v>
      </c>
      <c r="AA247" s="386">
        <f t="shared" si="85"/>
        <v>52.817611685378928</v>
      </c>
      <c r="AB247" s="197">
        <f t="shared" si="86"/>
        <v>43333</v>
      </c>
      <c r="AC247" s="426">
        <f t="shared" si="87"/>
        <v>4.7992391724114413E-3</v>
      </c>
      <c r="AD247" s="169">
        <f>(INDEX(Models!$BJ247:$BT247,,AH247)*(1-AF247)+INDEX(Models!$BJ247:$BT247,,AH247+1)*AF247-ERP_i)*AE247*Ramure*Pc/MaxiM</f>
        <v>5.8257273453579201E-6</v>
      </c>
      <c r="AE247" s="305">
        <f t="shared" si="88"/>
        <v>0.5</v>
      </c>
      <c r="AF247" s="177">
        <f t="shared" si="89"/>
        <v>0.47285373032781797</v>
      </c>
      <c r="AG247" s="811">
        <f t="shared" si="90"/>
        <v>-2</v>
      </c>
      <c r="AH247" s="176">
        <f t="shared" si="91"/>
        <v>4</v>
      </c>
      <c r="AI247" s="225">
        <f t="shared" si="92"/>
        <v>-1.527146269672182</v>
      </c>
      <c r="AJ247" s="265" t="b">
        <f t="shared" si="93"/>
        <v>0</v>
      </c>
      <c r="AK247" s="265" t="b">
        <f t="shared" si="94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5"/>
        <v>43334</v>
      </c>
      <c r="B248" s="617">
        <v>51.447000000000003</v>
      </c>
      <c r="C248" s="390"/>
      <c r="D248" s="393">
        <f t="shared" si="97"/>
        <v>51.531581978497925</v>
      </c>
      <c r="E248" s="385">
        <f t="shared" si="102"/>
        <v>51.78333096091756</v>
      </c>
      <c r="F248" s="385">
        <f t="shared" si="101"/>
        <v>51.783571484946684</v>
      </c>
      <c r="G248" s="110">
        <f t="shared" si="103"/>
        <v>0.93754176986274862</v>
      </c>
      <c r="I248" s="380">
        <f t="shared" si="73"/>
        <v>51.783571484946684</v>
      </c>
      <c r="J248" s="85">
        <v>2018</v>
      </c>
      <c r="K248" s="197">
        <f t="shared" si="74"/>
        <v>43334</v>
      </c>
      <c r="L248" s="437">
        <f t="shared" si="75"/>
        <v>1.6413619619365383E-3</v>
      </c>
      <c r="M248" s="856"/>
      <c r="N248" s="856"/>
      <c r="O248" s="324">
        <f t="shared" si="76"/>
        <v>4.8615834043128723E-3</v>
      </c>
      <c r="P248" s="169">
        <f>(INDEX(Models!$BJ248:$BT248,,T248)*(1-R248)+INDEX(Models!$BJ248:$BT248,,T248+1)*R248-ERP_i)*Q248*Ramure*Pc/MaxiM</f>
        <v>5.0998285485009273E-6</v>
      </c>
      <c r="Q248" s="305">
        <f t="shared" si="77"/>
        <v>0.5</v>
      </c>
      <c r="R248" s="177">
        <f t="shared" si="78"/>
        <v>0.47380110467943637</v>
      </c>
      <c r="S248" s="811">
        <f t="shared" si="96"/>
        <v>-2</v>
      </c>
      <c r="T248" s="176">
        <f t="shared" si="79"/>
        <v>4</v>
      </c>
      <c r="U248" s="251">
        <f t="shared" si="80"/>
        <v>-1.5261988953205636</v>
      </c>
      <c r="V248" s="383">
        <f t="shared" si="81"/>
        <v>54.874330129597716</v>
      </c>
      <c r="W248" s="58"/>
      <c r="X248" s="157">
        <f t="shared" si="82"/>
        <v>43334</v>
      </c>
      <c r="Y248" s="385">
        <f t="shared" si="83"/>
        <v>51.447000000000003</v>
      </c>
      <c r="Z248" s="385">
        <f t="shared" si="84"/>
        <v>51.531581978497925</v>
      </c>
      <c r="AA248" s="386">
        <f t="shared" si="85"/>
        <v>51.78333096091756</v>
      </c>
      <c r="AB248" s="197">
        <f t="shared" si="86"/>
        <v>43334</v>
      </c>
      <c r="AC248" s="426">
        <f t="shared" si="87"/>
        <v>4.8615834043128723E-3</v>
      </c>
      <c r="AD248" s="169">
        <f>(INDEX(Models!$BJ248:$BT248,,AH248)*(1-AF248)+INDEX(Models!$BJ248:$BT248,,AH248+1)*AF248-ERP_i)*AE248*Ramure*Pc/MaxiM</f>
        <v>5.0998285485009273E-6</v>
      </c>
      <c r="AE248" s="305">
        <f t="shared" si="88"/>
        <v>0.5</v>
      </c>
      <c r="AF248" s="177">
        <f t="shared" si="89"/>
        <v>0.47380110467943637</v>
      </c>
      <c r="AG248" s="811">
        <f t="shared" si="90"/>
        <v>-2</v>
      </c>
      <c r="AH248" s="176">
        <f t="shared" si="91"/>
        <v>4</v>
      </c>
      <c r="AI248" s="225">
        <f t="shared" si="92"/>
        <v>-1.5261988953205636</v>
      </c>
      <c r="AJ248" s="265" t="b">
        <f t="shared" si="93"/>
        <v>0</v>
      </c>
      <c r="AK248" s="265" t="b">
        <f t="shared" si="94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5"/>
        <v>43335</v>
      </c>
      <c r="B249" s="617">
        <v>45.555</v>
      </c>
      <c r="C249" s="390"/>
      <c r="D249" s="393">
        <f t="shared" si="97"/>
        <v>45.630894607966709</v>
      </c>
      <c r="E249" s="385">
        <f t="shared" si="102"/>
        <v>45.856685871038323</v>
      </c>
      <c r="F249" s="385">
        <f t="shared" si="101"/>
        <v>45.856840636518925</v>
      </c>
      <c r="G249" s="110">
        <f t="shared" si="103"/>
        <v>0.83284790838918432</v>
      </c>
      <c r="I249" s="380">
        <f t="shared" si="73"/>
        <v>45.856840636518925</v>
      </c>
      <c r="J249" s="85">
        <v>2018</v>
      </c>
      <c r="K249" s="197">
        <f t="shared" si="74"/>
        <v>43335</v>
      </c>
      <c r="L249" s="437">
        <f t="shared" si="75"/>
        <v>1.6632285783294565E-3</v>
      </c>
      <c r="M249" s="856"/>
      <c r="N249" s="856"/>
      <c r="O249" s="324">
        <f t="shared" si="76"/>
        <v>4.9238460822615716E-3</v>
      </c>
      <c r="P249" s="169">
        <f>(INDEX(Models!$BJ249:$BT249,,T249)*(1-R249)+INDEX(Models!$BJ249:$BT249,,T249+1)*R249-ERP_i)*Q249*Ramure*Pc/MaxiM</f>
        <v>4.4336767507484529E-6</v>
      </c>
      <c r="Q249" s="305">
        <f t="shared" si="77"/>
        <v>0.5</v>
      </c>
      <c r="R249" s="177">
        <f t="shared" si="78"/>
        <v>0.47471388696382255</v>
      </c>
      <c r="S249" s="811">
        <f t="shared" si="96"/>
        <v>-2</v>
      </c>
      <c r="T249" s="176">
        <f t="shared" si="79"/>
        <v>4</v>
      </c>
      <c r="U249" s="251">
        <f t="shared" si="80"/>
        <v>-1.5252861130361774</v>
      </c>
      <c r="V249" s="383">
        <f t="shared" si="81"/>
        <v>54.697804138787255</v>
      </c>
      <c r="W249" s="58"/>
      <c r="X249" s="157">
        <f t="shared" si="82"/>
        <v>43335</v>
      </c>
      <c r="Y249" s="385">
        <f t="shared" si="83"/>
        <v>45.555</v>
      </c>
      <c r="Z249" s="385">
        <f t="shared" si="84"/>
        <v>45.630894607966709</v>
      </c>
      <c r="AA249" s="386">
        <f t="shared" si="85"/>
        <v>45.856685871038323</v>
      </c>
      <c r="AB249" s="197">
        <f t="shared" si="86"/>
        <v>43335</v>
      </c>
      <c r="AC249" s="426">
        <f t="shared" si="87"/>
        <v>4.9238460822615716E-3</v>
      </c>
      <c r="AD249" s="169">
        <f>(INDEX(Models!$BJ249:$BT249,,AH249)*(1-AF249)+INDEX(Models!$BJ249:$BT249,,AH249+1)*AF249-ERP_i)*AE249*Ramure*Pc/MaxiM</f>
        <v>4.4336767507484529E-6</v>
      </c>
      <c r="AE249" s="305">
        <f t="shared" si="88"/>
        <v>0.5</v>
      </c>
      <c r="AF249" s="177">
        <f t="shared" si="89"/>
        <v>0.47471388696382255</v>
      </c>
      <c r="AG249" s="811">
        <f t="shared" si="90"/>
        <v>-2</v>
      </c>
      <c r="AH249" s="176">
        <f t="shared" si="91"/>
        <v>4</v>
      </c>
      <c r="AI249" s="225">
        <f t="shared" si="92"/>
        <v>-1.5252861130361774</v>
      </c>
      <c r="AJ249" s="265" t="b">
        <f t="shared" si="93"/>
        <v>0</v>
      </c>
      <c r="AK249" s="265" t="b">
        <f t="shared" si="94"/>
        <v>0</v>
      </c>
      <c r="AL249" s="265"/>
      <c r="AM249" s="265"/>
      <c r="AN249" s="75"/>
    </row>
    <row r="250" spans="1:40" s="6" customFormat="1" ht="11.25" x14ac:dyDescent="0.2">
      <c r="A250" s="56">
        <f t="shared" si="95"/>
        <v>43336</v>
      </c>
      <c r="B250" s="617">
        <v>36.588000000000001</v>
      </c>
      <c r="C250" s="390"/>
      <c r="D250" s="393">
        <f t="shared" si="97"/>
        <v>36.649758314069928</v>
      </c>
      <c r="E250" s="385">
        <f t="shared" si="102"/>
        <v>36.833410657028594</v>
      </c>
      <c r="F250" s="385">
        <f t="shared" si="101"/>
        <v>36.833485410924524</v>
      </c>
      <c r="G250" s="110">
        <f t="shared" si="103"/>
        <v>0.67108286622719782</v>
      </c>
      <c r="I250" s="380">
        <f t="shared" si="73"/>
        <v>36.833485410924524</v>
      </c>
      <c r="J250" s="85">
        <v>2018</v>
      </c>
      <c r="K250" s="197">
        <f t="shared" si="74"/>
        <v>43336</v>
      </c>
      <c r="L250" s="437">
        <f t="shared" si="75"/>
        <v>1.6850947157873719E-3</v>
      </c>
      <c r="M250" s="856"/>
      <c r="N250" s="856"/>
      <c r="O250" s="324">
        <f t="shared" si="76"/>
        <v>4.9860259933224294E-3</v>
      </c>
      <c r="P250" s="169">
        <f>(INDEX(Models!$BJ250:$BT250,,T250)*(1-R250)+INDEX(Models!$BJ250:$BT250,,T250+1)*R250-ERP_i)*Q250*Ramure*Pc/MaxiM</f>
        <v>3.828394996480264E-6</v>
      </c>
      <c r="Q250" s="305">
        <f t="shared" si="77"/>
        <v>0.5</v>
      </c>
      <c r="R250" s="177">
        <f t="shared" si="78"/>
        <v>0.47559320851348685</v>
      </c>
      <c r="S250" s="811">
        <f t="shared" si="96"/>
        <v>-2</v>
      </c>
      <c r="T250" s="176">
        <f t="shared" si="79"/>
        <v>4</v>
      </c>
      <c r="U250" s="251">
        <f t="shared" si="80"/>
        <v>-1.5244067914865131</v>
      </c>
      <c r="V250" s="383">
        <f t="shared" si="81"/>
        <v>54.520739574126374</v>
      </c>
      <c r="W250" s="58"/>
      <c r="X250" s="157">
        <f t="shared" si="82"/>
        <v>43336</v>
      </c>
      <c r="Y250" s="385">
        <f t="shared" si="83"/>
        <v>36.588000000000001</v>
      </c>
      <c r="Z250" s="385">
        <f t="shared" si="84"/>
        <v>36.649758314069928</v>
      </c>
      <c r="AA250" s="386">
        <f t="shared" si="85"/>
        <v>36.833410657028594</v>
      </c>
      <c r="AB250" s="197">
        <f t="shared" si="86"/>
        <v>43336</v>
      </c>
      <c r="AC250" s="426">
        <f t="shared" si="87"/>
        <v>4.9860259933224294E-3</v>
      </c>
      <c r="AD250" s="169">
        <f>(INDEX(Models!$BJ250:$BT250,,AH250)*(1-AF250)+INDEX(Models!$BJ250:$BT250,,AH250+1)*AF250-ERP_i)*AE250*Ramure*Pc/MaxiM</f>
        <v>3.828394996480264E-6</v>
      </c>
      <c r="AE250" s="305">
        <f t="shared" si="88"/>
        <v>0.5</v>
      </c>
      <c r="AF250" s="177">
        <f t="shared" si="89"/>
        <v>0.47559320851348685</v>
      </c>
      <c r="AG250" s="811">
        <f t="shared" si="90"/>
        <v>-2</v>
      </c>
      <c r="AH250" s="176">
        <f t="shared" si="91"/>
        <v>4</v>
      </c>
      <c r="AI250" s="225">
        <f t="shared" si="92"/>
        <v>-1.5244067914865131</v>
      </c>
      <c r="AJ250" s="265" t="b">
        <f t="shared" si="93"/>
        <v>0</v>
      </c>
      <c r="AK250" s="265" t="b">
        <f t="shared" si="94"/>
        <v>0</v>
      </c>
      <c r="AL250" s="265"/>
      <c r="AM250" s="265"/>
      <c r="AN250" s="75"/>
    </row>
    <row r="251" spans="1:40" s="6" customFormat="1" ht="11.25" x14ac:dyDescent="0.2">
      <c r="A251" s="56">
        <f t="shared" si="95"/>
        <v>43337</v>
      </c>
      <c r="B251" s="617">
        <v>24.291</v>
      </c>
      <c r="C251" s="390"/>
      <c r="D251" s="393">
        <f t="shared" si="97"/>
        <v>24.332534672492731</v>
      </c>
      <c r="E251" s="385">
        <f t="shared" si="102"/>
        <v>24.455991497975649</v>
      </c>
      <c r="F251" s="385">
        <f t="shared" si="101"/>
        <v>24.456008369167709</v>
      </c>
      <c r="G251" s="110">
        <f t="shared" si="103"/>
        <v>0.44699882675565072</v>
      </c>
      <c r="I251" s="380">
        <f t="shared" si="73"/>
        <v>24.456008369167709</v>
      </c>
      <c r="J251" s="85">
        <v>2018</v>
      </c>
      <c r="K251" s="197">
        <f t="shared" si="74"/>
        <v>43337</v>
      </c>
      <c r="L251" s="437">
        <f t="shared" si="75"/>
        <v>1.7069603743207207E-3</v>
      </c>
      <c r="M251" s="856"/>
      <c r="N251" s="856"/>
      <c r="O251" s="324">
        <f t="shared" si="76"/>
        <v>5.0481218679331369E-3</v>
      </c>
      <c r="P251" s="169">
        <f>(INDEX(Models!$BJ251:$BT251,,T251)*(1-R251)+INDEX(Models!$BJ251:$BT251,,T251+1)*R251-ERP_i)*Q251*Ramure*Pc/MaxiM</f>
        <v>3.2850420968264019E-6</v>
      </c>
      <c r="Q251" s="305">
        <f t="shared" si="77"/>
        <v>0.5</v>
      </c>
      <c r="R251" s="177">
        <f t="shared" si="78"/>
        <v>0.47644017368145142</v>
      </c>
      <c r="S251" s="811">
        <f t="shared" si="96"/>
        <v>-2</v>
      </c>
      <c r="T251" s="176">
        <f t="shared" si="79"/>
        <v>4</v>
      </c>
      <c r="U251" s="251">
        <f t="shared" si="80"/>
        <v>-1.5235598263185486</v>
      </c>
      <c r="V251" s="383">
        <f t="shared" si="81"/>
        <v>54.342283483524724</v>
      </c>
      <c r="W251" s="58"/>
      <c r="X251" s="157">
        <f t="shared" si="82"/>
        <v>43337</v>
      </c>
      <c r="Y251" s="385">
        <f t="shared" si="83"/>
        <v>24.291</v>
      </c>
      <c r="Z251" s="385">
        <f t="shared" si="84"/>
        <v>24.332534672492731</v>
      </c>
      <c r="AA251" s="386">
        <f t="shared" si="85"/>
        <v>24.455991497975649</v>
      </c>
      <c r="AB251" s="197">
        <f t="shared" si="86"/>
        <v>43337</v>
      </c>
      <c r="AC251" s="426">
        <f t="shared" si="87"/>
        <v>5.0481218679331369E-3</v>
      </c>
      <c r="AD251" s="169">
        <f>(INDEX(Models!$BJ251:$BT251,,AH251)*(1-AF251)+INDEX(Models!$BJ251:$BT251,,AH251+1)*AF251-ERP_i)*AE251*Ramure*Pc/MaxiM</f>
        <v>3.2850420968264019E-6</v>
      </c>
      <c r="AE251" s="305">
        <f t="shared" si="88"/>
        <v>0.5</v>
      </c>
      <c r="AF251" s="177">
        <f t="shared" si="89"/>
        <v>0.47644017368145142</v>
      </c>
      <c r="AG251" s="811">
        <f t="shared" si="90"/>
        <v>-2</v>
      </c>
      <c r="AH251" s="176">
        <f t="shared" si="91"/>
        <v>4</v>
      </c>
      <c r="AI251" s="225">
        <f t="shared" si="92"/>
        <v>-1.5235598263185486</v>
      </c>
      <c r="AJ251" s="265" t="b">
        <f t="shared" si="93"/>
        <v>0</v>
      </c>
      <c r="AK251" s="265" t="b">
        <f t="shared" si="94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5"/>
        <v>43338</v>
      </c>
      <c r="B252" s="617">
        <v>54.216000000000001</v>
      </c>
      <c r="C252" s="390"/>
      <c r="D252" s="393">
        <f t="shared" si="97"/>
        <v>54.309892329691301</v>
      </c>
      <c r="E252" s="385">
        <f t="shared" si="102"/>
        <v>54.588848572306659</v>
      </c>
      <c r="F252" s="385">
        <f t="shared" si="101"/>
        <v>54.589001673677714</v>
      </c>
      <c r="G252" s="110">
        <f t="shared" si="103"/>
        <v>1.0010047120290759</v>
      </c>
      <c r="I252" s="380">
        <f t="shared" si="73"/>
        <v>54.589001673677714</v>
      </c>
      <c r="J252" s="85">
        <v>2018</v>
      </c>
      <c r="K252" s="197">
        <f t="shared" si="74"/>
        <v>43338</v>
      </c>
      <c r="L252" s="437">
        <f t="shared" si="75"/>
        <v>1.7288255539400499E-3</v>
      </c>
      <c r="M252" s="856"/>
      <c r="N252" s="856"/>
      <c r="O252" s="324">
        <f t="shared" si="76"/>
        <v>5.1101323788844038E-3</v>
      </c>
      <c r="P252" s="169">
        <f>(INDEX(Models!$BJ252:$BT252,,T252)*(1-R252)+INDEX(Models!$BJ252:$BT252,,T252+1)*R252-ERP_i)*Q252*Ramure*Pc/MaxiM</f>
        <v>2.8046193621932607E-6</v>
      </c>
      <c r="Q252" s="305">
        <f t="shared" si="77"/>
        <v>0.5</v>
      </c>
      <c r="R252" s="177">
        <f t="shared" si="78"/>
        <v>0.47725585968285511</v>
      </c>
      <c r="S252" s="811">
        <f t="shared" si="96"/>
        <v>-2</v>
      </c>
      <c r="T252" s="176">
        <f t="shared" si="79"/>
        <v>4</v>
      </c>
      <c r="U252" s="251">
        <f t="shared" si="80"/>
        <v>-1.5227441403171449</v>
      </c>
      <c r="V252" s="383">
        <f t="shared" si="81"/>
        <v>54.161583205839293</v>
      </c>
      <c r="W252" s="58"/>
      <c r="X252" s="157">
        <f t="shared" si="82"/>
        <v>43338</v>
      </c>
      <c r="Y252" s="385">
        <f t="shared" si="83"/>
        <v>54.216000000000001</v>
      </c>
      <c r="Z252" s="385">
        <f t="shared" si="84"/>
        <v>54.309892329691301</v>
      </c>
      <c r="AA252" s="386">
        <f t="shared" si="85"/>
        <v>54.588848572306659</v>
      </c>
      <c r="AB252" s="197">
        <f t="shared" si="86"/>
        <v>43338</v>
      </c>
      <c r="AC252" s="426">
        <f t="shared" si="87"/>
        <v>5.1101323788844038E-3</v>
      </c>
      <c r="AD252" s="169">
        <f>(INDEX(Models!$BJ252:$BT252,,AH252)*(1-AF252)+INDEX(Models!$BJ252:$BT252,,AH252+1)*AF252-ERP_i)*AE252*Ramure*Pc/MaxiM</f>
        <v>2.8046193621932607E-6</v>
      </c>
      <c r="AE252" s="305">
        <f t="shared" si="88"/>
        <v>0.5</v>
      </c>
      <c r="AF252" s="177">
        <f t="shared" si="89"/>
        <v>0.47725585968285511</v>
      </c>
      <c r="AG252" s="811">
        <f t="shared" si="90"/>
        <v>-2</v>
      </c>
      <c r="AH252" s="176">
        <f t="shared" si="91"/>
        <v>4</v>
      </c>
      <c r="AI252" s="225">
        <f t="shared" si="92"/>
        <v>-1.5227441403171449</v>
      </c>
      <c r="AJ252" s="265" t="b">
        <f t="shared" si="93"/>
        <v>0</v>
      </c>
      <c r="AK252" s="265" t="b">
        <f t="shared" si="94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5"/>
        <v>43339</v>
      </c>
      <c r="B253" s="617">
        <v>51.69</v>
      </c>
      <c r="C253" s="390"/>
      <c r="D253" s="393">
        <f t="shared" si="97"/>
        <v>51.78065188263065</v>
      </c>
      <c r="E253" s="385">
        <f t="shared" si="102"/>
        <v>52.049856663363094</v>
      </c>
      <c r="F253" s="385">
        <f t="shared" si="101"/>
        <v>52.049973436944512</v>
      </c>
      <c r="G253" s="110">
        <f t="shared" si="103"/>
        <v>0.95761601208722447</v>
      </c>
      <c r="I253" s="380">
        <f t="shared" si="73"/>
        <v>52.049973436944512</v>
      </c>
      <c r="J253" s="85">
        <v>2018</v>
      </c>
      <c r="K253" s="197">
        <f t="shared" si="74"/>
        <v>43339</v>
      </c>
      <c r="L253" s="437">
        <f t="shared" si="75"/>
        <v>1.7506902546559067E-3</v>
      </c>
      <c r="M253" s="856"/>
      <c r="N253" s="856"/>
      <c r="O253" s="324">
        <f t="shared" si="76"/>
        <v>5.1720561398189997E-3</v>
      </c>
      <c r="P253" s="169">
        <f>(INDEX(Models!$BJ253:$BT253,,T253)*(1-R253)+INDEX(Models!$BJ253:$BT253,,T253+1)*R253-ERP_i)*Q253*Ramure*Pc/MaxiM</f>
        <v>2.3880843213202371E-6</v>
      </c>
      <c r="Q253" s="305">
        <f t="shared" si="77"/>
        <v>0.5</v>
      </c>
      <c r="R253" s="177">
        <f t="shared" si="78"/>
        <v>0.47804131651810233</v>
      </c>
      <c r="S253" s="811">
        <f t="shared" si="96"/>
        <v>-2</v>
      </c>
      <c r="T253" s="176">
        <f t="shared" si="79"/>
        <v>4</v>
      </c>
      <c r="U253" s="251">
        <f t="shared" si="80"/>
        <v>-1.5219586834818977</v>
      </c>
      <c r="V253" s="383">
        <f t="shared" si="81"/>
        <v>53.977786370996043</v>
      </c>
      <c r="W253" s="58"/>
      <c r="X253" s="157">
        <f t="shared" si="82"/>
        <v>43339</v>
      </c>
      <c r="Y253" s="385">
        <f t="shared" si="83"/>
        <v>51.69</v>
      </c>
      <c r="Z253" s="385">
        <f t="shared" si="84"/>
        <v>51.78065188263065</v>
      </c>
      <c r="AA253" s="386">
        <f t="shared" si="85"/>
        <v>52.049856663363094</v>
      </c>
      <c r="AB253" s="197">
        <f t="shared" si="86"/>
        <v>43339</v>
      </c>
      <c r="AC253" s="426">
        <f t="shared" si="87"/>
        <v>5.1720561398189997E-3</v>
      </c>
      <c r="AD253" s="169">
        <f>(INDEX(Models!$BJ253:$BT253,,AH253)*(1-AF253)+INDEX(Models!$BJ253:$BT253,,AH253+1)*AF253-ERP_i)*AE253*Ramure*Pc/MaxiM</f>
        <v>2.3880843213202371E-6</v>
      </c>
      <c r="AE253" s="305">
        <f t="shared" si="88"/>
        <v>0.5</v>
      </c>
      <c r="AF253" s="177">
        <f t="shared" si="89"/>
        <v>0.47804131651810233</v>
      </c>
      <c r="AG253" s="811">
        <f t="shared" si="90"/>
        <v>-2</v>
      </c>
      <c r="AH253" s="176">
        <f t="shared" si="91"/>
        <v>4</v>
      </c>
      <c r="AI253" s="225">
        <f t="shared" si="92"/>
        <v>-1.5219586834818977</v>
      </c>
      <c r="AJ253" s="265" t="b">
        <f t="shared" si="93"/>
        <v>0</v>
      </c>
      <c r="AK253" s="265" t="b">
        <f t="shared" si="94"/>
        <v>0</v>
      </c>
      <c r="AL253" s="265"/>
      <c r="AM253" s="265"/>
      <c r="AN253" s="75"/>
    </row>
    <row r="254" spans="1:40" s="6" customFormat="1" ht="11.25" x14ac:dyDescent="0.2">
      <c r="A254" s="56">
        <f t="shared" si="95"/>
        <v>43340</v>
      </c>
      <c r="B254" s="617">
        <v>42.238</v>
      </c>
      <c r="C254" s="390"/>
      <c r="D254" s="393">
        <f t="shared" si="97"/>
        <v>42.313002101287886</v>
      </c>
      <c r="E254" s="385">
        <f t="shared" si="102"/>
        <v>42.535628976882002</v>
      </c>
      <c r="F254" s="385">
        <f t="shared" si="101"/>
        <v>42.53568926066756</v>
      </c>
      <c r="G254" s="110">
        <f t="shared" si="103"/>
        <v>0.78523780878732108</v>
      </c>
      <c r="I254" s="380">
        <f t="shared" si="73"/>
        <v>42.53568926066756</v>
      </c>
      <c r="J254" s="85">
        <v>2018</v>
      </c>
      <c r="K254" s="197">
        <f t="shared" si="74"/>
        <v>43340</v>
      </c>
      <c r="L254" s="437">
        <f t="shared" si="75"/>
        <v>1.7725544764786161E-3</v>
      </c>
      <c r="M254" s="856"/>
      <c r="N254" s="856"/>
      <c r="O254" s="324">
        <f t="shared" si="76"/>
        <v>5.2338917032381032E-3</v>
      </c>
      <c r="P254" s="169">
        <f>(INDEX(Models!$BJ254:$BT254,,T254)*(1-R254)+INDEX(Models!$BJ254:$BT254,,T254+1)*R254-ERP_i)*Q254*Ramure*Pc/MaxiM</f>
        <v>2.0445136195137281E-6</v>
      </c>
      <c r="Q254" s="305">
        <f t="shared" si="77"/>
        <v>0.5</v>
      </c>
      <c r="R254" s="177">
        <f t="shared" si="78"/>
        <v>0.47879756697066211</v>
      </c>
      <c r="S254" s="811">
        <f t="shared" si="96"/>
        <v>-2</v>
      </c>
      <c r="T254" s="176">
        <f t="shared" si="79"/>
        <v>4</v>
      </c>
      <c r="U254" s="251">
        <f t="shared" si="80"/>
        <v>-1.5212024330293379</v>
      </c>
      <c r="V254" s="383">
        <f t="shared" si="81"/>
        <v>53.790040460368473</v>
      </c>
      <c r="W254" s="58"/>
      <c r="X254" s="157">
        <f t="shared" si="82"/>
        <v>43340</v>
      </c>
      <c r="Y254" s="385">
        <f t="shared" si="83"/>
        <v>42.238</v>
      </c>
      <c r="Z254" s="385">
        <f t="shared" si="84"/>
        <v>42.313002101287886</v>
      </c>
      <c r="AA254" s="386">
        <f t="shared" si="85"/>
        <v>42.535628976882002</v>
      </c>
      <c r="AB254" s="197">
        <f t="shared" si="86"/>
        <v>43340</v>
      </c>
      <c r="AC254" s="426">
        <f t="shared" si="87"/>
        <v>5.2338917032381032E-3</v>
      </c>
      <c r="AD254" s="169">
        <f>(INDEX(Models!$BJ254:$BT254,,AH254)*(1-AF254)+INDEX(Models!$BJ254:$BT254,,AH254+1)*AF254-ERP_i)*AE254*Ramure*Pc/MaxiM</f>
        <v>2.0445136195137281E-6</v>
      </c>
      <c r="AE254" s="305">
        <f t="shared" si="88"/>
        <v>0.5</v>
      </c>
      <c r="AF254" s="177">
        <f t="shared" si="89"/>
        <v>0.47879756697066211</v>
      </c>
      <c r="AG254" s="811">
        <f t="shared" si="90"/>
        <v>-2</v>
      </c>
      <c r="AH254" s="176">
        <f t="shared" si="91"/>
        <v>4</v>
      </c>
      <c r="AI254" s="225">
        <f t="shared" si="92"/>
        <v>-1.5212024330293379</v>
      </c>
      <c r="AJ254" s="265" t="b">
        <f t="shared" si="93"/>
        <v>0</v>
      </c>
      <c r="AK254" s="265" t="b">
        <f t="shared" si="94"/>
        <v>0</v>
      </c>
      <c r="AL254" s="265"/>
      <c r="AM254" s="265"/>
      <c r="AN254" s="75"/>
    </row>
    <row r="255" spans="1:40" s="6" customFormat="1" ht="11.25" x14ac:dyDescent="0.2">
      <c r="A255" s="56">
        <f t="shared" si="95"/>
        <v>43341</v>
      </c>
      <c r="B255" s="617">
        <v>36.993000000000002</v>
      </c>
      <c r="C255" s="390"/>
      <c r="D255" s="393">
        <f t="shared" si="97"/>
        <v>37.059500242437586</v>
      </c>
      <c r="E255" s="385">
        <f t="shared" si="102"/>
        <v>37.256798745163891</v>
      </c>
      <c r="F255" s="385">
        <f t="shared" si="101"/>
        <v>37.256834714777483</v>
      </c>
      <c r="G255" s="110">
        <f t="shared" si="103"/>
        <v>0.6901996252786069</v>
      </c>
      <c r="I255" s="380">
        <f t="shared" si="73"/>
        <v>37.256834714777483</v>
      </c>
      <c r="J255" s="85">
        <v>2018</v>
      </c>
      <c r="K255" s="197">
        <f t="shared" si="74"/>
        <v>43341</v>
      </c>
      <c r="L255" s="437">
        <f t="shared" si="75"/>
        <v>1.7944182194188363E-3</v>
      </c>
      <c r="M255" s="856"/>
      <c r="N255" s="856"/>
      <c r="O255" s="324">
        <f t="shared" si="76"/>
        <v>5.2956375580152232E-3</v>
      </c>
      <c r="P255" s="169">
        <f>(INDEX(Models!$BJ255:$BT255,,T255)*(1-R255)+INDEX(Models!$BJ255:$BT255,,T255+1)*R255-ERP_i)*Q255*Ramure*Pc/MaxiM</f>
        <v>1.7319702202972993E-6</v>
      </c>
      <c r="Q255" s="305">
        <f t="shared" si="77"/>
        <v>0.5</v>
      </c>
      <c r="R255" s="177">
        <f t="shared" si="78"/>
        <v>0.47952560667295674</v>
      </c>
      <c r="S255" s="811">
        <f t="shared" si="96"/>
        <v>-2</v>
      </c>
      <c r="T255" s="176">
        <f t="shared" si="79"/>
        <v>4</v>
      </c>
      <c r="U255" s="251">
        <f t="shared" si="80"/>
        <v>-1.5204743933270433</v>
      </c>
      <c r="V255" s="383">
        <f t="shared" si="81"/>
        <v>53.597495984092987</v>
      </c>
      <c r="W255" s="58"/>
      <c r="X255" s="157">
        <f t="shared" si="82"/>
        <v>43341</v>
      </c>
      <c r="Y255" s="385">
        <f t="shared" si="83"/>
        <v>36.993000000000002</v>
      </c>
      <c r="Z255" s="385">
        <f t="shared" si="84"/>
        <v>37.059500242437586</v>
      </c>
      <c r="AA255" s="386">
        <f t="shared" si="85"/>
        <v>37.256798745163891</v>
      </c>
      <c r="AB255" s="197">
        <f t="shared" si="86"/>
        <v>43341</v>
      </c>
      <c r="AC255" s="426">
        <f t="shared" si="87"/>
        <v>5.2956375580152232E-3</v>
      </c>
      <c r="AD255" s="169">
        <f>(INDEX(Models!$BJ255:$BT255,,AH255)*(1-AF255)+INDEX(Models!$BJ255:$BT255,,AH255+1)*AF255-ERP_i)*AE255*Ramure*Pc/MaxiM</f>
        <v>1.7319702202972993E-6</v>
      </c>
      <c r="AE255" s="305">
        <f t="shared" si="88"/>
        <v>0.5</v>
      </c>
      <c r="AF255" s="177">
        <f t="shared" si="89"/>
        <v>0.47952560667295674</v>
      </c>
      <c r="AG255" s="811">
        <f t="shared" si="90"/>
        <v>-2</v>
      </c>
      <c r="AH255" s="176">
        <f t="shared" si="91"/>
        <v>4</v>
      </c>
      <c r="AI255" s="225">
        <f t="shared" si="92"/>
        <v>-1.5204743933270433</v>
      </c>
      <c r="AJ255" s="265" t="b">
        <f t="shared" si="93"/>
        <v>0</v>
      </c>
      <c r="AK255" s="265" t="b">
        <f t="shared" si="94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5"/>
        <v>43342</v>
      </c>
      <c r="B256" s="617">
        <v>44.899000000000001</v>
      </c>
      <c r="C256" s="390"/>
      <c r="D256" s="393">
        <f t="shared" si="97"/>
        <v>44.980697608180058</v>
      </c>
      <c r="E256" s="385">
        <f t="shared" si="102"/>
        <v>45.222970270745314</v>
      </c>
      <c r="F256" s="385">
        <f t="shared" si="101"/>
        <v>45.223020963545331</v>
      </c>
      <c r="G256" s="110">
        <f t="shared" si="103"/>
        <v>0.84081596523988489</v>
      </c>
      <c r="I256" s="380">
        <f t="shared" si="73"/>
        <v>45.223020963545331</v>
      </c>
      <c r="J256" s="85">
        <v>2018</v>
      </c>
      <c r="K256" s="197">
        <f t="shared" si="74"/>
        <v>43342</v>
      </c>
      <c r="L256" s="437">
        <f t="shared" si="75"/>
        <v>1.8162814834868923E-3</v>
      </c>
      <c r="M256" s="856"/>
      <c r="N256" s="856"/>
      <c r="O256" s="324">
        <f t="shared" si="76"/>
        <v>5.3572921264303016E-3</v>
      </c>
      <c r="P256" s="169">
        <f>(INDEX(Models!$BJ256:$BT256,,T256)*(1-R256)+INDEX(Models!$BJ256:$BT256,,T256+1)*R256-ERP_i)*Q256*Ramure*Pc/MaxiM</f>
        <v>1.4508917896442439E-6</v>
      </c>
      <c r="Q256" s="305">
        <f t="shared" si="77"/>
        <v>0.5</v>
      </c>
      <c r="R256" s="177">
        <f t="shared" si="78"/>
        <v>0.48022640423413154</v>
      </c>
      <c r="S256" s="811">
        <f t="shared" si="96"/>
        <v>-2</v>
      </c>
      <c r="T256" s="176">
        <f t="shared" si="79"/>
        <v>4</v>
      </c>
      <c r="U256" s="251">
        <f t="shared" si="80"/>
        <v>-1.5197735957658685</v>
      </c>
      <c r="V256" s="383">
        <f t="shared" si="81"/>
        <v>53.399301443059031</v>
      </c>
      <c r="W256" s="58"/>
      <c r="X256" s="157">
        <f t="shared" si="82"/>
        <v>43342</v>
      </c>
      <c r="Y256" s="385">
        <f t="shared" si="83"/>
        <v>44.899000000000001</v>
      </c>
      <c r="Z256" s="385">
        <f t="shared" si="84"/>
        <v>44.980697608180058</v>
      </c>
      <c r="AA256" s="386">
        <f t="shared" si="85"/>
        <v>45.222970270745314</v>
      </c>
      <c r="AB256" s="197">
        <f t="shared" si="86"/>
        <v>43342</v>
      </c>
      <c r="AC256" s="426">
        <f t="shared" si="87"/>
        <v>5.3572921264303016E-3</v>
      </c>
      <c r="AD256" s="169">
        <f>(INDEX(Models!$BJ256:$BT256,,AH256)*(1-AF256)+INDEX(Models!$BJ256:$BT256,,AH256+1)*AF256-ERP_i)*AE256*Ramure*Pc/MaxiM</f>
        <v>1.4508917896442439E-6</v>
      </c>
      <c r="AE256" s="305">
        <f t="shared" si="88"/>
        <v>0.5</v>
      </c>
      <c r="AF256" s="177">
        <f t="shared" si="89"/>
        <v>0.48022640423413154</v>
      </c>
      <c r="AG256" s="811">
        <f t="shared" si="90"/>
        <v>-2</v>
      </c>
      <c r="AH256" s="176">
        <f t="shared" si="91"/>
        <v>4</v>
      </c>
      <c r="AI256" s="225">
        <f t="shared" si="92"/>
        <v>-1.5197735957658685</v>
      </c>
      <c r="AJ256" s="265" t="b">
        <f t="shared" si="93"/>
        <v>0</v>
      </c>
      <c r="AK256" s="265" t="b">
        <f t="shared" si="94"/>
        <v>0</v>
      </c>
      <c r="AL256" s="265"/>
      <c r="AM256" s="265"/>
      <c r="AN256" s="75"/>
    </row>
    <row r="257" spans="1:40" s="6" customFormat="1" ht="11.25" x14ac:dyDescent="0.2">
      <c r="A257" s="56">
        <f t="shared" si="95"/>
        <v>43343</v>
      </c>
      <c r="B257" s="617">
        <v>46.54</v>
      </c>
      <c r="C257" s="390"/>
      <c r="D257" s="393">
        <f t="shared" si="97"/>
        <v>46.625704772000439</v>
      </c>
      <c r="E257" s="385">
        <f t="shared" si="102"/>
        <v>46.879739223192949</v>
      </c>
      <c r="F257" s="385">
        <f t="shared" si="101"/>
        <v>46.879785490908496</v>
      </c>
      <c r="G257" s="110">
        <f t="shared" si="103"/>
        <v>0.87490055536974121</v>
      </c>
      <c r="I257" s="380">
        <f t="shared" si="73"/>
        <v>46.879785490908496</v>
      </c>
      <c r="J257" s="85">
        <v>2018</v>
      </c>
      <c r="K257" s="197">
        <f t="shared" si="74"/>
        <v>43343</v>
      </c>
      <c r="L257" s="437">
        <f t="shared" si="75"/>
        <v>1.8381442686933314E-3</v>
      </c>
      <c r="M257" s="856"/>
      <c r="N257" s="856"/>
      <c r="O257" s="324">
        <f t="shared" si="76"/>
        <v>5.4188537607485661E-3</v>
      </c>
      <c r="P257" s="169">
        <f>(INDEX(Models!$BJ257:$BT257,,T257)*(1-R257)+INDEX(Models!$BJ257:$BT257,,T257+1)*R257-ERP_i)*Q257*Ramure*Pc/MaxiM</f>
        <v>1.2017042882940906E-6</v>
      </c>
      <c r="Q257" s="305">
        <f t="shared" si="77"/>
        <v>0.5</v>
      </c>
      <c r="R257" s="177">
        <f t="shared" si="78"/>
        <v>0.48090090142383168</v>
      </c>
      <c r="S257" s="811">
        <f t="shared" si="96"/>
        <v>-2</v>
      </c>
      <c r="T257" s="176">
        <f t="shared" si="79"/>
        <v>4</v>
      </c>
      <c r="U257" s="251">
        <f t="shared" si="80"/>
        <v>-1.5190990985761683</v>
      </c>
      <c r="V257" s="383">
        <f t="shared" si="81"/>
        <v>53.194605626202474</v>
      </c>
      <c r="W257" s="58"/>
      <c r="X257" s="157">
        <f t="shared" si="82"/>
        <v>43343</v>
      </c>
      <c r="Y257" s="385">
        <f t="shared" si="83"/>
        <v>46.54</v>
      </c>
      <c r="Z257" s="385">
        <f t="shared" si="84"/>
        <v>46.625704772000439</v>
      </c>
      <c r="AA257" s="386">
        <f t="shared" si="85"/>
        <v>46.879739223192949</v>
      </c>
      <c r="AB257" s="197">
        <f t="shared" si="86"/>
        <v>43343</v>
      </c>
      <c r="AC257" s="426">
        <f t="shared" si="87"/>
        <v>5.4188537607485661E-3</v>
      </c>
      <c r="AD257" s="169">
        <f>(INDEX(Models!$BJ257:$BT257,,AH257)*(1-AF257)+INDEX(Models!$BJ257:$BT257,,AH257+1)*AF257-ERP_i)*AE257*Ramure*Pc/MaxiM</f>
        <v>1.2017042882940906E-6</v>
      </c>
      <c r="AE257" s="305">
        <f t="shared" si="88"/>
        <v>0.5</v>
      </c>
      <c r="AF257" s="177">
        <f t="shared" si="89"/>
        <v>0.48090090142383168</v>
      </c>
      <c r="AG257" s="811">
        <f t="shared" si="90"/>
        <v>-2</v>
      </c>
      <c r="AH257" s="176">
        <f t="shared" si="91"/>
        <v>4</v>
      </c>
      <c r="AI257" s="225">
        <f t="shared" si="92"/>
        <v>-1.5190990985761683</v>
      </c>
      <c r="AJ257" s="265" t="b">
        <f t="shared" si="93"/>
        <v>0</v>
      </c>
      <c r="AK257" s="265" t="b">
        <f t="shared" si="94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5"/>
        <v>43344</v>
      </c>
      <c r="B258" s="617">
        <v>53.082999999999998</v>
      </c>
      <c r="C258" s="390"/>
      <c r="D258" s="393">
        <f t="shared" si="97"/>
        <v>53.181918718490103</v>
      </c>
      <c r="E258" s="385">
        <f t="shared" si="102"/>
        <v>53.474978753591387</v>
      </c>
      <c r="F258" s="385">
        <f t="shared" si="101"/>
        <v>53.475031417285187</v>
      </c>
      <c r="G258" s="110">
        <f t="shared" si="103"/>
        <v>1.0018957634004628</v>
      </c>
      <c r="I258" s="380">
        <f t="shared" si="73"/>
        <v>53.475031417285187</v>
      </c>
      <c r="J258" s="85">
        <v>2018</v>
      </c>
      <c r="K258" s="197">
        <f t="shared" si="74"/>
        <v>43344</v>
      </c>
      <c r="L258" s="437">
        <f t="shared" si="75"/>
        <v>1.8600065750488115E-3</v>
      </c>
      <c r="M258" s="856"/>
      <c r="N258" s="856"/>
      <c r="O258" s="324">
        <f t="shared" si="76"/>
        <v>5.4803207393813698E-3</v>
      </c>
      <c r="P258" s="169">
        <f>(INDEX(Models!$BJ258:$BT258,,T258)*(1-R258)+INDEX(Models!$BJ258:$BT258,,T258+1)*R258-ERP_i)*Q258*Ramure*Pc/MaxiM</f>
        <v>9.8482772993118269E-7</v>
      </c>
      <c r="Q258" s="305">
        <f t="shared" si="77"/>
        <v>0.5</v>
      </c>
      <c r="R258" s="177">
        <f t="shared" si="78"/>
        <v>0.4815500134064532</v>
      </c>
      <c r="S258" s="811">
        <f t="shared" si="96"/>
        <v>-2</v>
      </c>
      <c r="T258" s="176">
        <f t="shared" si="79"/>
        <v>4</v>
      </c>
      <c r="U258" s="251">
        <f t="shared" si="80"/>
        <v>-1.5184499865935468</v>
      </c>
      <c r="V258" s="383">
        <f t="shared" si="81"/>
        <v>52.982557606426823</v>
      </c>
      <c r="W258" s="58"/>
      <c r="X258" s="157">
        <f t="shared" si="82"/>
        <v>43344</v>
      </c>
      <c r="Y258" s="385">
        <f t="shared" si="83"/>
        <v>53.082999999999998</v>
      </c>
      <c r="Z258" s="385">
        <f t="shared" si="84"/>
        <v>53.181918718490103</v>
      </c>
      <c r="AA258" s="386">
        <f t="shared" si="85"/>
        <v>53.474978753591387</v>
      </c>
      <c r="AB258" s="197">
        <f t="shared" si="86"/>
        <v>43344</v>
      </c>
      <c r="AC258" s="426">
        <f t="shared" si="87"/>
        <v>5.4803207393813698E-3</v>
      </c>
      <c r="AD258" s="169">
        <f>(INDEX(Models!$BJ258:$BT258,,AH258)*(1-AF258)+INDEX(Models!$BJ258:$BT258,,AH258+1)*AF258-ERP_i)*AE258*Ramure*Pc/MaxiM</f>
        <v>9.8482772993118269E-7</v>
      </c>
      <c r="AE258" s="305">
        <f t="shared" si="88"/>
        <v>0.5</v>
      </c>
      <c r="AF258" s="177">
        <f t="shared" si="89"/>
        <v>0.4815500134064532</v>
      </c>
      <c r="AG258" s="811">
        <f t="shared" si="90"/>
        <v>-2</v>
      </c>
      <c r="AH258" s="176">
        <f t="shared" si="91"/>
        <v>4</v>
      </c>
      <c r="AI258" s="225">
        <f t="shared" si="92"/>
        <v>-1.5184499865935468</v>
      </c>
      <c r="AJ258" s="265" t="b">
        <f t="shared" si="93"/>
        <v>0</v>
      </c>
      <c r="AK258" s="265" t="b">
        <f t="shared" si="94"/>
        <v>0</v>
      </c>
      <c r="AL258" s="265"/>
      <c r="AM258" s="265"/>
      <c r="AN258" s="75"/>
    </row>
    <row r="259" spans="1:40" s="6" customFormat="1" ht="11.25" x14ac:dyDescent="0.2">
      <c r="A259" s="56">
        <f t="shared" si="95"/>
        <v>43345</v>
      </c>
      <c r="B259" s="617">
        <v>50.27</v>
      </c>
      <c r="C259" s="390"/>
      <c r="D259" s="393">
        <f t="shared" si="97"/>
        <v>50.364779887873063</v>
      </c>
      <c r="E259" s="385">
        <f t="shared" si="102"/>
        <v>50.645441287349662</v>
      </c>
      <c r="F259" s="385">
        <f t="shared" si="101"/>
        <v>50.645479101874479</v>
      </c>
      <c r="G259" s="110">
        <f t="shared" si="103"/>
        <v>0.95276344773702315</v>
      </c>
      <c r="I259" s="380">
        <f t="shared" si="73"/>
        <v>50.645479101874479</v>
      </c>
      <c r="J259" s="85">
        <v>2018</v>
      </c>
      <c r="K259" s="197">
        <f t="shared" si="74"/>
        <v>43345</v>
      </c>
      <c r="L259" s="437">
        <f t="shared" si="75"/>
        <v>1.8818684025635468E-3</v>
      </c>
      <c r="M259" s="856"/>
      <c r="N259" s="856"/>
      <c r="O259" s="324">
        <f t="shared" si="76"/>
        <v>5.5416912626784793E-3</v>
      </c>
      <c r="P259" s="169">
        <f>(INDEX(Models!$BJ259:$BT259,,T259)*(1-R259)+INDEX(Models!$BJ259:$BT259,,T259+1)*R259-ERP_i)*Q259*Ramure*Pc/MaxiM</f>
        <v>8.0068214073209759E-7</v>
      </c>
      <c r="Q259" s="305">
        <f t="shared" si="77"/>
        <v>0.5</v>
      </c>
      <c r="R259" s="177">
        <f t="shared" si="78"/>
        <v>0.48217462902065966</v>
      </c>
      <c r="S259" s="811">
        <f t="shared" si="96"/>
        <v>-2</v>
      </c>
      <c r="T259" s="176">
        <f t="shared" si="79"/>
        <v>4</v>
      </c>
      <c r="U259" s="251">
        <f t="shared" si="80"/>
        <v>-1.5178253709793403</v>
      </c>
      <c r="V259" s="383">
        <f t="shared" si="81"/>
        <v>52.762306743903132</v>
      </c>
      <c r="W259" s="58"/>
      <c r="X259" s="157">
        <f t="shared" si="82"/>
        <v>43345</v>
      </c>
      <c r="Y259" s="385">
        <f t="shared" si="83"/>
        <v>50.27</v>
      </c>
      <c r="Z259" s="385">
        <f t="shared" si="84"/>
        <v>50.364779887873063</v>
      </c>
      <c r="AA259" s="386">
        <f t="shared" si="85"/>
        <v>50.645441287349662</v>
      </c>
      <c r="AB259" s="197">
        <f t="shared" si="86"/>
        <v>43345</v>
      </c>
      <c r="AC259" s="426">
        <f t="shared" si="87"/>
        <v>5.5416912626784793E-3</v>
      </c>
      <c r="AD259" s="169">
        <f>(INDEX(Models!$BJ259:$BT259,,AH259)*(1-AF259)+INDEX(Models!$BJ259:$BT259,,AH259+1)*AF259-ERP_i)*AE259*Ramure*Pc/MaxiM</f>
        <v>8.0068214073209759E-7</v>
      </c>
      <c r="AE259" s="305">
        <f t="shared" si="88"/>
        <v>0.5</v>
      </c>
      <c r="AF259" s="177">
        <f t="shared" si="89"/>
        <v>0.48217462902065966</v>
      </c>
      <c r="AG259" s="811">
        <f t="shared" si="90"/>
        <v>-2</v>
      </c>
      <c r="AH259" s="176">
        <f t="shared" si="91"/>
        <v>4</v>
      </c>
      <c r="AI259" s="225">
        <f t="shared" si="92"/>
        <v>-1.5178253709793403</v>
      </c>
      <c r="AJ259" s="265" t="b">
        <f t="shared" si="93"/>
        <v>0</v>
      </c>
      <c r="AK259" s="265" t="b">
        <f t="shared" si="94"/>
        <v>0</v>
      </c>
      <c r="AL259" s="265"/>
      <c r="AM259" s="265"/>
      <c r="AN259" s="75"/>
    </row>
    <row r="260" spans="1:40" s="6" customFormat="1" ht="11.25" x14ac:dyDescent="0.2">
      <c r="A260" s="56">
        <f t="shared" si="95"/>
        <v>43346</v>
      </c>
      <c r="B260" s="617">
        <v>50.969000000000001</v>
      </c>
      <c r="C260" s="390"/>
      <c r="D260" s="393">
        <f t="shared" si="97"/>
        <v>51.066216275206784</v>
      </c>
      <c r="E260" s="385">
        <f t="shared" si="102"/>
        <v>51.353950583256378</v>
      </c>
      <c r="F260" s="385">
        <f t="shared" si="101"/>
        <v>51.35398252859234</v>
      </c>
      <c r="G260" s="110">
        <f t="shared" si="103"/>
        <v>0.97022816122163658</v>
      </c>
      <c r="I260" s="380">
        <f t="shared" si="73"/>
        <v>51.35398252859234</v>
      </c>
      <c r="J260" s="85">
        <v>2018</v>
      </c>
      <c r="K260" s="197">
        <f t="shared" si="74"/>
        <v>43346</v>
      </c>
      <c r="L260" s="437">
        <f t="shared" si="75"/>
        <v>1.9037297512481954E-3</v>
      </c>
      <c r="M260" s="856"/>
      <c r="N260" s="856"/>
      <c r="O260" s="324">
        <f t="shared" si="76"/>
        <v>5.6029634484130141E-3</v>
      </c>
      <c r="P260" s="169">
        <f>(INDEX(Models!$BJ260:$BT260,,T260)*(1-R260)+INDEX(Models!$BJ260:$BT260,,T260+1)*R260-ERP_i)*Q260*Ramure*Pc/MaxiM</f>
        <v>6.4969373914490431E-7</v>
      </c>
      <c r="Q260" s="305">
        <f t="shared" si="77"/>
        <v>0.5</v>
      </c>
      <c r="R260" s="177">
        <f t="shared" si="78"/>
        <v>0.48277561109928513</v>
      </c>
      <c r="S260" s="811">
        <f t="shared" si="96"/>
        <v>-2</v>
      </c>
      <c r="T260" s="176">
        <f t="shared" si="79"/>
        <v>4</v>
      </c>
      <c r="U260" s="251">
        <f t="shared" si="80"/>
        <v>-1.5172243889007149</v>
      </c>
      <c r="V260" s="383">
        <f t="shared" si="81"/>
        <v>52.533002677881292</v>
      </c>
      <c r="W260" s="58"/>
      <c r="X260" s="157">
        <f t="shared" si="82"/>
        <v>43346</v>
      </c>
      <c r="Y260" s="385">
        <f t="shared" si="83"/>
        <v>50.969000000000001</v>
      </c>
      <c r="Z260" s="385">
        <f t="shared" si="84"/>
        <v>51.066216275206784</v>
      </c>
      <c r="AA260" s="386">
        <f t="shared" si="85"/>
        <v>51.353950583256378</v>
      </c>
      <c r="AB260" s="197">
        <f t="shared" si="86"/>
        <v>43346</v>
      </c>
      <c r="AC260" s="426">
        <f t="shared" si="87"/>
        <v>5.6029634484130141E-3</v>
      </c>
      <c r="AD260" s="169">
        <f>(INDEX(Models!$BJ260:$BT260,,AH260)*(1-AF260)+INDEX(Models!$BJ260:$BT260,,AH260+1)*AF260-ERP_i)*AE260*Ramure*Pc/MaxiM</f>
        <v>6.4969373914490431E-7</v>
      </c>
      <c r="AE260" s="305">
        <f t="shared" si="88"/>
        <v>0.5</v>
      </c>
      <c r="AF260" s="177">
        <f t="shared" si="89"/>
        <v>0.48277561109928513</v>
      </c>
      <c r="AG260" s="811">
        <f t="shared" si="90"/>
        <v>-2</v>
      </c>
      <c r="AH260" s="176">
        <f t="shared" si="91"/>
        <v>4</v>
      </c>
      <c r="AI260" s="225">
        <f t="shared" si="92"/>
        <v>-1.5172243889007149</v>
      </c>
      <c r="AJ260" s="265" t="b">
        <f t="shared" si="93"/>
        <v>0</v>
      </c>
      <c r="AK260" s="265" t="b">
        <f t="shared" si="94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5"/>
        <v>43347</v>
      </c>
      <c r="B261" s="617">
        <v>46.838999999999999</v>
      </c>
      <c r="C261" s="390"/>
      <c r="D261" s="393">
        <f t="shared" si="97"/>
        <v>46.929366748465625</v>
      </c>
      <c r="E261" s="385">
        <f t="shared" si="102"/>
        <v>47.196695217164333</v>
      </c>
      <c r="F261" s="385">
        <f t="shared" ref="F261:F292" si="104">Wh_sa/(1-Pvg*MEDIAN((-Sdif+Wh/Env_an)/Csdif,0,1))</f>
        <v>47.196716595117081</v>
      </c>
      <c r="G261" s="110">
        <f t="shared" si="103"/>
        <v>0.89566868157624735</v>
      </c>
      <c r="I261" s="380">
        <f t="shared" si="73"/>
        <v>47.196716595117081</v>
      </c>
      <c r="J261" s="85">
        <v>2018</v>
      </c>
      <c r="K261" s="197">
        <f t="shared" si="74"/>
        <v>43347</v>
      </c>
      <c r="L261" s="437">
        <f t="shared" si="75"/>
        <v>1.9255906211131935E-3</v>
      </c>
      <c r="M261" s="856"/>
      <c r="N261" s="856"/>
      <c r="O261" s="324">
        <f t="shared" si="76"/>
        <v>5.6641353270319873E-3</v>
      </c>
      <c r="P261" s="169">
        <f>(INDEX(Models!$BJ261:$BT261,,T261)*(1-R261)+INDEX(Models!$BJ261:$BT261,,T261+1)*R261-ERP_i)*Q261*Ramure*Pc/MaxiM</f>
        <v>5.3228906906194883E-7</v>
      </c>
      <c r="Q261" s="305">
        <f t="shared" si="77"/>
        <v>0.5</v>
      </c>
      <c r="R261" s="177">
        <f t="shared" si="78"/>
        <v>0.48335379682504942</v>
      </c>
      <c r="S261" s="811">
        <f t="shared" si="96"/>
        <v>-2</v>
      </c>
      <c r="T261" s="176">
        <f t="shared" si="79"/>
        <v>4</v>
      </c>
      <c r="U261" s="251">
        <f t="shared" si="80"/>
        <v>-1.5166462031749506</v>
      </c>
      <c r="V261" s="383">
        <f t="shared" si="81"/>
        <v>52.295002881650682</v>
      </c>
      <c r="W261" s="58"/>
      <c r="X261" s="157">
        <f t="shared" si="82"/>
        <v>43347</v>
      </c>
      <c r="Y261" s="385">
        <f t="shared" si="83"/>
        <v>46.838999999999999</v>
      </c>
      <c r="Z261" s="385">
        <f t="shared" si="84"/>
        <v>46.929366748465625</v>
      </c>
      <c r="AA261" s="386">
        <f t="shared" si="85"/>
        <v>47.196695217164333</v>
      </c>
      <c r="AB261" s="197">
        <f t="shared" si="86"/>
        <v>43347</v>
      </c>
      <c r="AC261" s="426">
        <f t="shared" si="87"/>
        <v>5.6641353270319873E-3</v>
      </c>
      <c r="AD261" s="169">
        <f>(INDEX(Models!$BJ261:$BT261,,AH261)*(1-AF261)+INDEX(Models!$BJ261:$BT261,,AH261+1)*AF261-ERP_i)*AE261*Ramure*Pc/MaxiM</f>
        <v>5.3228906906194883E-7</v>
      </c>
      <c r="AE261" s="305">
        <f t="shared" si="88"/>
        <v>0.5</v>
      </c>
      <c r="AF261" s="177">
        <f t="shared" si="89"/>
        <v>0.48335379682504942</v>
      </c>
      <c r="AG261" s="811">
        <f t="shared" si="90"/>
        <v>-2</v>
      </c>
      <c r="AH261" s="176">
        <f t="shared" si="91"/>
        <v>4</v>
      </c>
      <c r="AI261" s="225">
        <f t="shared" si="92"/>
        <v>-1.5166462031749506</v>
      </c>
      <c r="AJ261" s="265" t="b">
        <f t="shared" si="93"/>
        <v>0</v>
      </c>
      <c r="AK261" s="265" t="b">
        <f t="shared" si="94"/>
        <v>0</v>
      </c>
      <c r="AL261" s="265"/>
      <c r="AM261" s="265"/>
      <c r="AN261" s="75"/>
    </row>
    <row r="262" spans="1:40" s="6" customFormat="1" ht="11.25" x14ac:dyDescent="0.2">
      <c r="A262" s="56">
        <f t="shared" si="95"/>
        <v>43348</v>
      </c>
      <c r="B262" s="617">
        <v>42.975000000000001</v>
      </c>
      <c r="C262" s="390"/>
      <c r="D262" s="393">
        <f t="shared" si="97"/>
        <v>43.05885501077357</v>
      </c>
      <c r="E262" s="385">
        <f t="shared" si="102"/>
        <v>43.306795284601378</v>
      </c>
      <c r="F262" s="385">
        <f t="shared" si="104"/>
        <v>43.306810025682772</v>
      </c>
      <c r="G262" s="110">
        <f t="shared" si="103"/>
        <v>0.82565598692124764</v>
      </c>
      <c r="I262" s="380">
        <f t="shared" si="73"/>
        <v>43.306810025682772</v>
      </c>
      <c r="J262" s="85">
        <v>2018</v>
      </c>
      <c r="K262" s="197">
        <f t="shared" si="74"/>
        <v>43348</v>
      </c>
      <c r="L262" s="437">
        <f t="shared" si="75"/>
        <v>1.947451012168977E-3</v>
      </c>
      <c r="M262" s="856"/>
      <c r="N262" s="856"/>
      <c r="O262" s="324">
        <f t="shared" si="76"/>
        <v>5.7252048367560614E-3</v>
      </c>
      <c r="P262" s="169">
        <f>(INDEX(Models!$BJ262:$BT262,,T262)*(1-R262)+INDEX(Models!$BJ262:$BT262,,T262+1)*R262-ERP_i)*Q262*Ramure*Pc/MaxiM</f>
        <v>4.5328306866306777E-7</v>
      </c>
      <c r="Q262" s="305">
        <f t="shared" si="77"/>
        <v>0.5</v>
      </c>
      <c r="R262" s="177">
        <f t="shared" si="78"/>
        <v>0.48390999811782143</v>
      </c>
      <c r="S262" s="811">
        <f t="shared" si="96"/>
        <v>-2</v>
      </c>
      <c r="T262" s="176">
        <f t="shared" si="79"/>
        <v>4</v>
      </c>
      <c r="U262" s="251">
        <f t="shared" si="80"/>
        <v>-1.5160900018821786</v>
      </c>
      <c r="V262" s="383">
        <f t="shared" si="81"/>
        <v>52.049516783065528</v>
      </c>
      <c r="W262" s="58"/>
      <c r="X262" s="157">
        <f t="shared" si="82"/>
        <v>43348</v>
      </c>
      <c r="Y262" s="385">
        <f t="shared" si="83"/>
        <v>42.975000000000001</v>
      </c>
      <c r="Z262" s="385">
        <f t="shared" si="84"/>
        <v>43.05885501077357</v>
      </c>
      <c r="AA262" s="386">
        <f t="shared" si="85"/>
        <v>43.306795284601378</v>
      </c>
      <c r="AB262" s="197">
        <f t="shared" si="86"/>
        <v>43348</v>
      </c>
      <c r="AC262" s="426">
        <f t="shared" si="87"/>
        <v>5.7252048367560614E-3</v>
      </c>
      <c r="AD262" s="169">
        <f>(INDEX(Models!$BJ262:$BT262,,AH262)*(1-AF262)+INDEX(Models!$BJ262:$BT262,,AH262+1)*AF262-ERP_i)*AE262*Ramure*Pc/MaxiM</f>
        <v>4.5328306866306777E-7</v>
      </c>
      <c r="AE262" s="305">
        <f t="shared" si="88"/>
        <v>0.5</v>
      </c>
      <c r="AF262" s="177">
        <f t="shared" si="89"/>
        <v>0.48390999811782143</v>
      </c>
      <c r="AG262" s="811">
        <f t="shared" si="90"/>
        <v>-2</v>
      </c>
      <c r="AH262" s="176">
        <f t="shared" si="91"/>
        <v>4</v>
      </c>
      <c r="AI262" s="225">
        <f t="shared" si="92"/>
        <v>-1.5160900018821786</v>
      </c>
      <c r="AJ262" s="265" t="b">
        <f t="shared" si="93"/>
        <v>0</v>
      </c>
      <c r="AK262" s="265" t="b">
        <f t="shared" si="94"/>
        <v>0</v>
      </c>
      <c r="AL262" s="265"/>
      <c r="AM262" s="265"/>
      <c r="AN262" s="75"/>
    </row>
    <row r="263" spans="1:40" s="6" customFormat="1" ht="11.25" x14ac:dyDescent="0.2">
      <c r="A263" s="56">
        <f t="shared" si="95"/>
        <v>43349</v>
      </c>
      <c r="B263" s="617">
        <v>30.102</v>
      </c>
      <c r="C263" s="390"/>
      <c r="D263" s="393">
        <f t="shared" si="97"/>
        <v>30.161397168940752</v>
      </c>
      <c r="E263" s="385">
        <f t="shared" si="102"/>
        <v>30.336931808158713</v>
      </c>
      <c r="F263" s="385">
        <f t="shared" si="104"/>
        <v>30.336936516489502</v>
      </c>
      <c r="G263" s="110">
        <f t="shared" si="103"/>
        <v>0.58115350811967337</v>
      </c>
      <c r="I263" s="380">
        <f t="shared" si="73"/>
        <v>30.336936516489502</v>
      </c>
      <c r="J263" s="85">
        <v>2018</v>
      </c>
      <c r="K263" s="197">
        <f t="shared" si="74"/>
        <v>43349</v>
      </c>
      <c r="L263" s="437">
        <f t="shared" si="75"/>
        <v>1.9693109244262041E-3</v>
      </c>
      <c r="M263" s="856"/>
      <c r="N263" s="856"/>
      <c r="O263" s="324">
        <f t="shared" si="76"/>
        <v>5.7861698186220277E-3</v>
      </c>
      <c r="P263" s="169">
        <f>(INDEX(Models!$BJ263:$BT263,,T263)*(1-R263)+INDEX(Models!$BJ263:$BT263,,T263+1)*R263-ERP_i)*Q263*Ramure*Pc/MaxiM</f>
        <v>3.8641107892240789E-7</v>
      </c>
      <c r="Q263" s="305">
        <f t="shared" si="77"/>
        <v>0.5</v>
      </c>
      <c r="R263" s="177">
        <f t="shared" si="78"/>
        <v>0.48444500204945307</v>
      </c>
      <c r="S263" s="811">
        <f t="shared" si="96"/>
        <v>-2</v>
      </c>
      <c r="T263" s="176">
        <f t="shared" si="79"/>
        <v>4</v>
      </c>
      <c r="U263" s="251">
        <f t="shared" si="80"/>
        <v>-1.5155549979505469</v>
      </c>
      <c r="V263" s="383">
        <f t="shared" si="81"/>
        <v>51.796973810785715</v>
      </c>
      <c r="W263" s="58"/>
      <c r="X263" s="157">
        <f t="shared" si="82"/>
        <v>43349</v>
      </c>
      <c r="Y263" s="385">
        <f t="shared" si="83"/>
        <v>30.102</v>
      </c>
      <c r="Z263" s="385">
        <f t="shared" si="84"/>
        <v>30.161397168940752</v>
      </c>
      <c r="AA263" s="386">
        <f t="shared" si="85"/>
        <v>30.336931808158713</v>
      </c>
      <c r="AB263" s="197">
        <f t="shared" si="86"/>
        <v>43349</v>
      </c>
      <c r="AC263" s="426">
        <f t="shared" si="87"/>
        <v>5.7861698186220277E-3</v>
      </c>
      <c r="AD263" s="169">
        <f>(INDEX(Models!$BJ263:$BT263,,AH263)*(1-AF263)+INDEX(Models!$BJ263:$BT263,,AH263+1)*AF263-ERP_i)*AE263*Ramure*Pc/MaxiM</f>
        <v>3.8641107892240789E-7</v>
      </c>
      <c r="AE263" s="305">
        <f t="shared" si="88"/>
        <v>0.5</v>
      </c>
      <c r="AF263" s="177">
        <f t="shared" si="89"/>
        <v>0.48444500204945307</v>
      </c>
      <c r="AG263" s="811">
        <f t="shared" si="90"/>
        <v>-2</v>
      </c>
      <c r="AH263" s="176">
        <f t="shared" si="91"/>
        <v>4</v>
      </c>
      <c r="AI263" s="225">
        <f t="shared" si="92"/>
        <v>-1.5155549979505469</v>
      </c>
      <c r="AJ263" s="265" t="b">
        <f t="shared" si="93"/>
        <v>0</v>
      </c>
      <c r="AK263" s="265" t="b">
        <f t="shared" si="94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5"/>
        <v>43350</v>
      </c>
      <c r="B264" s="617">
        <v>35.034999999999997</v>
      </c>
      <c r="C264" s="390"/>
      <c r="D264" s="393">
        <f t="shared" si="97"/>
        <v>35.104899835970258</v>
      </c>
      <c r="E264" s="385">
        <f t="shared" si="102"/>
        <v>35.311366384346378</v>
      </c>
      <c r="F264" s="385">
        <f t="shared" si="104"/>
        <v>35.31137274194122</v>
      </c>
      <c r="G264" s="110">
        <f t="shared" si="103"/>
        <v>0.67979218011921161</v>
      </c>
      <c r="I264" s="380">
        <f t="shared" si="73"/>
        <v>35.31137274194122</v>
      </c>
      <c r="J264" s="85">
        <v>2018</v>
      </c>
      <c r="K264" s="197">
        <f t="shared" si="74"/>
        <v>43350</v>
      </c>
      <c r="L264" s="437">
        <f t="shared" si="75"/>
        <v>1.9911703578952E-3</v>
      </c>
      <c r="M264" s="856"/>
      <c r="N264" s="856"/>
      <c r="O264" s="324">
        <f t="shared" si="76"/>
        <v>5.8470280115710043E-3</v>
      </c>
      <c r="P264" s="169">
        <f>(INDEX(Models!$BJ264:$BT264,,T264)*(1-R264)+INDEX(Models!$BJ264:$BT264,,T264+1)*R264-ERP_i)*Q264*Ramure*Pc/MaxiM</f>
        <v>3.3184108133422294E-7</v>
      </c>
      <c r="Q264" s="305">
        <f t="shared" si="77"/>
        <v>0.5</v>
      </c>
      <c r="R264" s="177">
        <f t="shared" si="78"/>
        <v>0.48495957128249056</v>
      </c>
      <c r="S264" s="811">
        <f t="shared" si="96"/>
        <v>-2</v>
      </c>
      <c r="T264" s="176">
        <f t="shared" si="79"/>
        <v>4</v>
      </c>
      <c r="U264" s="251">
        <f t="shared" si="80"/>
        <v>-1.5150404287175094</v>
      </c>
      <c r="V264" s="383">
        <f t="shared" si="81"/>
        <v>51.537801855323615</v>
      </c>
      <c r="W264" s="58"/>
      <c r="X264" s="157">
        <f t="shared" si="82"/>
        <v>43350</v>
      </c>
      <c r="Y264" s="385">
        <f t="shared" si="83"/>
        <v>35.034999999999997</v>
      </c>
      <c r="Z264" s="385">
        <f t="shared" si="84"/>
        <v>35.104899835970258</v>
      </c>
      <c r="AA264" s="386">
        <f t="shared" si="85"/>
        <v>35.311366384346378</v>
      </c>
      <c r="AB264" s="197">
        <f t="shared" si="86"/>
        <v>43350</v>
      </c>
      <c r="AC264" s="426">
        <f t="shared" si="87"/>
        <v>5.8470280115710043E-3</v>
      </c>
      <c r="AD264" s="169">
        <f>(INDEX(Models!$BJ264:$BT264,,AH264)*(1-AF264)+INDEX(Models!$BJ264:$BT264,,AH264+1)*AF264-ERP_i)*AE264*Ramure*Pc/MaxiM</f>
        <v>3.3184108133422294E-7</v>
      </c>
      <c r="AE264" s="305">
        <f t="shared" si="88"/>
        <v>0.5</v>
      </c>
      <c r="AF264" s="177">
        <f t="shared" si="89"/>
        <v>0.48495957128249056</v>
      </c>
      <c r="AG264" s="811">
        <f t="shared" si="90"/>
        <v>-2</v>
      </c>
      <c r="AH264" s="176">
        <f t="shared" si="91"/>
        <v>4</v>
      </c>
      <c r="AI264" s="225">
        <f t="shared" si="92"/>
        <v>-1.5150404287175094</v>
      </c>
      <c r="AJ264" s="265" t="b">
        <f t="shared" si="93"/>
        <v>0</v>
      </c>
      <c r="AK264" s="265" t="b">
        <f t="shared" si="94"/>
        <v>0</v>
      </c>
      <c r="AL264" s="265"/>
      <c r="AM264" s="265"/>
      <c r="AN264" s="75"/>
    </row>
    <row r="265" spans="1:40" s="6" customFormat="1" ht="11.25" x14ac:dyDescent="0.2">
      <c r="A265" s="56">
        <f t="shared" si="95"/>
        <v>43351</v>
      </c>
      <c r="B265" s="617">
        <v>48.805999999999997</v>
      </c>
      <c r="C265" s="390"/>
      <c r="D265" s="393">
        <f t="shared" si="97"/>
        <v>48.904446083481851</v>
      </c>
      <c r="E265" s="385">
        <f t="shared" si="102"/>
        <v>49.19507964587315</v>
      </c>
      <c r="F265" s="385">
        <f t="shared" si="104"/>
        <v>49.195092920557293</v>
      </c>
      <c r="G265" s="110">
        <f t="shared" si="103"/>
        <v>0.95189559563600046</v>
      </c>
      <c r="I265" s="380">
        <f t="shared" si="73"/>
        <v>49.195092920557293</v>
      </c>
      <c r="J265" s="85">
        <v>2018</v>
      </c>
      <c r="K265" s="197">
        <f t="shared" si="74"/>
        <v>43351</v>
      </c>
      <c r="L265" s="437">
        <f t="shared" si="75"/>
        <v>2.0130293125865117E-3</v>
      </c>
      <c r="M265" s="856"/>
      <c r="N265" s="856"/>
      <c r="O265" s="324">
        <f t="shared" si="76"/>
        <v>5.9077770476926219E-3</v>
      </c>
      <c r="P265" s="169">
        <f>(INDEX(Models!$BJ265:$BT265,,T265)*(1-R265)+INDEX(Models!$BJ265:$BT265,,T265+1)*R265-ERP_i)*Q265*Ramure*Pc/MaxiM</f>
        <v>2.8974929740596653E-7</v>
      </c>
      <c r="Q265" s="305">
        <f t="shared" si="77"/>
        <v>0.5</v>
      </c>
      <c r="R265" s="177">
        <f t="shared" si="78"/>
        <v>0.4854544445293365</v>
      </c>
      <c r="S265" s="811">
        <f t="shared" si="96"/>
        <v>-2</v>
      </c>
      <c r="T265" s="176">
        <f t="shared" si="79"/>
        <v>4</v>
      </c>
      <c r="U265" s="251">
        <f t="shared" si="80"/>
        <v>-1.5145455554706635</v>
      </c>
      <c r="V265" s="383">
        <f t="shared" si="81"/>
        <v>51.272428669636284</v>
      </c>
      <c r="W265" s="58"/>
      <c r="X265" s="157">
        <f t="shared" si="82"/>
        <v>43351</v>
      </c>
      <c r="Y265" s="385">
        <f t="shared" si="83"/>
        <v>48.805999999999997</v>
      </c>
      <c r="Z265" s="385">
        <f t="shared" si="84"/>
        <v>48.904446083481851</v>
      </c>
      <c r="AA265" s="386">
        <f t="shared" si="85"/>
        <v>49.19507964587315</v>
      </c>
      <c r="AB265" s="197">
        <f t="shared" si="86"/>
        <v>43351</v>
      </c>
      <c r="AC265" s="426">
        <f t="shared" si="87"/>
        <v>5.9077770476926219E-3</v>
      </c>
      <c r="AD265" s="169">
        <f>(INDEX(Models!$BJ265:$BT265,,AH265)*(1-AF265)+INDEX(Models!$BJ265:$BT265,,AH265+1)*AF265-ERP_i)*AE265*Ramure*Pc/MaxiM</f>
        <v>2.8974929740596653E-7</v>
      </c>
      <c r="AE265" s="305">
        <f t="shared" si="88"/>
        <v>0.5</v>
      </c>
      <c r="AF265" s="177">
        <f t="shared" si="89"/>
        <v>0.4854544445293365</v>
      </c>
      <c r="AG265" s="811">
        <f t="shared" si="90"/>
        <v>-2</v>
      </c>
      <c r="AH265" s="176">
        <f t="shared" si="91"/>
        <v>4</v>
      </c>
      <c r="AI265" s="225">
        <f t="shared" si="92"/>
        <v>-1.5145455554706635</v>
      </c>
      <c r="AJ265" s="265" t="b">
        <f t="shared" si="93"/>
        <v>0</v>
      </c>
      <c r="AK265" s="265" t="b">
        <f t="shared" si="94"/>
        <v>0</v>
      </c>
      <c r="AL265" s="265"/>
      <c r="AM265" s="265"/>
      <c r="AN265" s="75"/>
    </row>
    <row r="266" spans="1:40" s="6" customFormat="1" ht="11.25" x14ac:dyDescent="0.2">
      <c r="A266" s="56">
        <f t="shared" si="95"/>
        <v>43352</v>
      </c>
      <c r="B266" s="617">
        <v>34.878999999999998</v>
      </c>
      <c r="C266" s="390"/>
      <c r="D266" s="393">
        <f t="shared" si="97"/>
        <v>34.950119571523075</v>
      </c>
      <c r="E266" s="385">
        <f t="shared" si="102"/>
        <v>35.159968837515088</v>
      </c>
      <c r="F266" s="385">
        <f t="shared" si="104"/>
        <v>35.159973856989183</v>
      </c>
      <c r="G266" s="110">
        <f t="shared" si="103"/>
        <v>0.68388469127881668</v>
      </c>
      <c r="I266" s="380">
        <f t="shared" si="73"/>
        <v>35.159973856989183</v>
      </c>
      <c r="J266" s="85">
        <v>2018</v>
      </c>
      <c r="K266" s="197">
        <f t="shared" si="74"/>
        <v>43352</v>
      </c>
      <c r="L266" s="437">
        <f t="shared" si="75"/>
        <v>2.0348877885105754E-3</v>
      </c>
      <c r="M266" s="856"/>
      <c r="N266" s="856"/>
      <c r="O266" s="324">
        <f t="shared" si="76"/>
        <v>5.9684144477427587E-3</v>
      </c>
      <c r="P266" s="169">
        <f>(INDEX(Models!$BJ266:$BT266,,T266)*(1-R266)+INDEX(Models!$BJ266:$BT266,,T266+1)*R266-ERP_i)*Q266*Ramure*Pc/MaxiM</f>
        <v>2.603195766006805E-7</v>
      </c>
      <c r="Q266" s="305">
        <f t="shared" si="77"/>
        <v>0.5</v>
      </c>
      <c r="R266" s="177">
        <f t="shared" si="78"/>
        <v>0.48593033702869159</v>
      </c>
      <c r="S266" s="811">
        <f t="shared" si="96"/>
        <v>-2</v>
      </c>
      <c r="T266" s="176">
        <f t="shared" si="79"/>
        <v>4</v>
      </c>
      <c r="U266" s="251">
        <f t="shared" si="80"/>
        <v>-1.5140696629713084</v>
      </c>
      <c r="V266" s="383">
        <f t="shared" si="81"/>
        <v>51.001281860036364</v>
      </c>
      <c r="W266" s="58"/>
      <c r="X266" s="157">
        <f t="shared" si="82"/>
        <v>43352</v>
      </c>
      <c r="Y266" s="385">
        <f t="shared" si="83"/>
        <v>34.878999999999998</v>
      </c>
      <c r="Z266" s="385">
        <f t="shared" si="84"/>
        <v>34.950119571523075</v>
      </c>
      <c r="AA266" s="386">
        <f t="shared" si="85"/>
        <v>35.159968837515088</v>
      </c>
      <c r="AB266" s="197">
        <f t="shared" si="86"/>
        <v>43352</v>
      </c>
      <c r="AC266" s="426">
        <f t="shared" si="87"/>
        <v>5.9684144477427587E-3</v>
      </c>
      <c r="AD266" s="169">
        <f>(INDEX(Models!$BJ266:$BT266,,AH266)*(1-AF266)+INDEX(Models!$BJ266:$BT266,,AH266+1)*AF266-ERP_i)*AE266*Ramure*Pc/MaxiM</f>
        <v>2.603195766006805E-7</v>
      </c>
      <c r="AE266" s="305">
        <f t="shared" si="88"/>
        <v>0.5</v>
      </c>
      <c r="AF266" s="177">
        <f t="shared" si="89"/>
        <v>0.48593033702869159</v>
      </c>
      <c r="AG266" s="811">
        <f t="shared" si="90"/>
        <v>-2</v>
      </c>
      <c r="AH266" s="176">
        <f t="shared" si="91"/>
        <v>4</v>
      </c>
      <c r="AI266" s="225">
        <f t="shared" si="92"/>
        <v>-1.5140696629713084</v>
      </c>
      <c r="AJ266" s="265" t="b">
        <f t="shared" si="93"/>
        <v>0</v>
      </c>
      <c r="AK266" s="265" t="b">
        <f t="shared" si="94"/>
        <v>0</v>
      </c>
      <c r="AL266" s="265"/>
      <c r="AM266" s="265"/>
      <c r="AN266" s="75"/>
    </row>
    <row r="267" spans="1:40" s="6" customFormat="1" ht="11.25" x14ac:dyDescent="0.2">
      <c r="A267" s="56">
        <f t="shared" si="95"/>
        <v>43353</v>
      </c>
      <c r="B267" s="617">
        <v>39.625</v>
      </c>
      <c r="C267" s="390"/>
      <c r="D267" s="393">
        <f t="shared" si="97"/>
        <v>39.706666519026328</v>
      </c>
      <c r="E267" s="385">
        <f t="shared" si="102"/>
        <v>39.947507550002214</v>
      </c>
      <c r="F267" s="385">
        <f t="shared" si="104"/>
        <v>39.947514243105942</v>
      </c>
      <c r="G267" s="110">
        <f t="shared" si="103"/>
        <v>0.78117618315050574</v>
      </c>
      <c r="I267" s="380">
        <f t="shared" si="73"/>
        <v>39.947514243105942</v>
      </c>
      <c r="J267" s="85">
        <v>2018</v>
      </c>
      <c r="K267" s="197">
        <f t="shared" si="74"/>
        <v>43353</v>
      </c>
      <c r="L267" s="437">
        <f t="shared" si="75"/>
        <v>2.0567457856779381E-3</v>
      </c>
      <c r="M267" s="856"/>
      <c r="N267" s="856"/>
      <c r="O267" s="324">
        <f t="shared" si="76"/>
        <v>6.028937617057281E-3</v>
      </c>
      <c r="P267" s="169">
        <f>(INDEX(Models!$BJ267:$BT267,,T267)*(1-R267)+INDEX(Models!$BJ267:$BT267,,T267+1)*R267-ERP_i)*Q267*Ramure*Pc/MaxiM</f>
        <v>2.4374272293431949E-7</v>
      </c>
      <c r="Q267" s="305">
        <f t="shared" si="77"/>
        <v>0.5</v>
      </c>
      <c r="R267" s="177">
        <f t="shared" si="78"/>
        <v>0.48638794103635652</v>
      </c>
      <c r="S267" s="811">
        <f t="shared" si="96"/>
        <v>-2</v>
      </c>
      <c r="T267" s="176">
        <f t="shared" si="79"/>
        <v>4</v>
      </c>
      <c r="U267" s="251">
        <f t="shared" si="80"/>
        <v>-1.5136120589636435</v>
      </c>
      <c r="V267" s="383">
        <f t="shared" si="81"/>
        <v>50.724788895832255</v>
      </c>
      <c r="W267" s="58"/>
      <c r="X267" s="157">
        <f t="shared" si="82"/>
        <v>43353</v>
      </c>
      <c r="Y267" s="385">
        <f t="shared" si="83"/>
        <v>39.625</v>
      </c>
      <c r="Z267" s="385">
        <f t="shared" si="84"/>
        <v>39.706666519026328</v>
      </c>
      <c r="AA267" s="386">
        <f t="shared" si="85"/>
        <v>39.947507550002214</v>
      </c>
      <c r="AB267" s="197">
        <f t="shared" si="86"/>
        <v>43353</v>
      </c>
      <c r="AC267" s="426">
        <f t="shared" si="87"/>
        <v>6.028937617057281E-3</v>
      </c>
      <c r="AD267" s="169">
        <f>(INDEX(Models!$BJ267:$BT267,,AH267)*(1-AF267)+INDEX(Models!$BJ267:$BT267,,AH267+1)*AF267-ERP_i)*AE267*Ramure*Pc/MaxiM</f>
        <v>2.4374272293431949E-7</v>
      </c>
      <c r="AE267" s="305">
        <f t="shared" si="88"/>
        <v>0.5</v>
      </c>
      <c r="AF267" s="177">
        <f t="shared" si="89"/>
        <v>0.48638794103635652</v>
      </c>
      <c r="AG267" s="811">
        <f t="shared" si="90"/>
        <v>-2</v>
      </c>
      <c r="AH267" s="176">
        <f t="shared" si="91"/>
        <v>4</v>
      </c>
      <c r="AI267" s="225">
        <f t="shared" si="92"/>
        <v>-1.5136120589636435</v>
      </c>
      <c r="AJ267" s="265" t="b">
        <f t="shared" si="93"/>
        <v>0</v>
      </c>
      <c r="AK267" s="265" t="b">
        <f t="shared" si="94"/>
        <v>0</v>
      </c>
      <c r="AL267" s="265"/>
      <c r="AM267" s="265"/>
      <c r="AN267" s="75"/>
    </row>
    <row r="268" spans="1:40" s="6" customFormat="1" ht="11.25" x14ac:dyDescent="0.2">
      <c r="A268" s="56">
        <f t="shared" si="95"/>
        <v>43354</v>
      </c>
      <c r="B268" s="617">
        <v>46.273000000000003</v>
      </c>
      <c r="C268" s="390"/>
      <c r="D268" s="393">
        <f t="shared" si="97"/>
        <v>46.369383553864104</v>
      </c>
      <c r="E268" s="385">
        <f t="shared" si="102"/>
        <v>46.65347258988669</v>
      </c>
      <c r="F268" s="385">
        <f t="shared" si="104"/>
        <v>46.653482601520295</v>
      </c>
      <c r="G268" s="110">
        <f t="shared" si="103"/>
        <v>0.91732555342959032</v>
      </c>
      <c r="I268" s="380">
        <f t="shared" si="73"/>
        <v>46.653482601520295</v>
      </c>
      <c r="J268" s="85">
        <v>2018</v>
      </c>
      <c r="K268" s="197">
        <f t="shared" si="74"/>
        <v>43354</v>
      </c>
      <c r="L268" s="437">
        <f t="shared" si="75"/>
        <v>2.078603304099147E-3</v>
      </c>
      <c r="M268" s="856"/>
      <c r="N268" s="856"/>
      <c r="O268" s="324">
        <f t="shared" si="76"/>
        <v>6.0893438419881126E-3</v>
      </c>
      <c r="P268" s="169">
        <f>(INDEX(Models!$BJ268:$BT268,,T268)*(1-R268)+INDEX(Models!$BJ268:$BT268,,T268+1)*R268-ERP_i)*Q268*Ramure*Pc/MaxiM</f>
        <v>2.4333503692414619E-7</v>
      </c>
      <c r="Q268" s="305">
        <f t="shared" si="77"/>
        <v>0.5</v>
      </c>
      <c r="R268" s="177">
        <f t="shared" si="78"/>
        <v>0.48682792632769312</v>
      </c>
      <c r="S268" s="811">
        <f t="shared" si="96"/>
        <v>-2</v>
      </c>
      <c r="T268" s="176">
        <f t="shared" si="79"/>
        <v>4</v>
      </c>
      <c r="U268" s="251">
        <f t="shared" si="80"/>
        <v>-1.5131720736723069</v>
      </c>
      <c r="V268" s="383">
        <f t="shared" si="81"/>
        <v>50.443376941960388</v>
      </c>
      <c r="W268" s="58"/>
      <c r="X268" s="157">
        <f t="shared" si="82"/>
        <v>43354</v>
      </c>
      <c r="Y268" s="385">
        <f t="shared" si="83"/>
        <v>46.273000000000003</v>
      </c>
      <c r="Z268" s="385">
        <f t="shared" si="84"/>
        <v>46.369383553864104</v>
      </c>
      <c r="AA268" s="386">
        <f t="shared" si="85"/>
        <v>46.65347258988669</v>
      </c>
      <c r="AB268" s="197">
        <f t="shared" si="86"/>
        <v>43354</v>
      </c>
      <c r="AC268" s="426">
        <f t="shared" si="87"/>
        <v>6.0893438419881126E-3</v>
      </c>
      <c r="AD268" s="169">
        <f>(INDEX(Models!$BJ268:$BT268,,AH268)*(1-AF268)+INDEX(Models!$BJ268:$BT268,,AH268+1)*AF268-ERP_i)*AE268*Ramure*Pc/MaxiM</f>
        <v>2.4333503692414619E-7</v>
      </c>
      <c r="AE268" s="305">
        <f t="shared" si="88"/>
        <v>0.5</v>
      </c>
      <c r="AF268" s="177">
        <f t="shared" si="89"/>
        <v>0.48682792632769312</v>
      </c>
      <c r="AG268" s="811">
        <f t="shared" si="90"/>
        <v>-2</v>
      </c>
      <c r="AH268" s="176">
        <f t="shared" si="91"/>
        <v>4</v>
      </c>
      <c r="AI268" s="225">
        <f t="shared" si="92"/>
        <v>-1.5131720736723069</v>
      </c>
      <c r="AJ268" s="265" t="b">
        <f t="shared" si="93"/>
        <v>0</v>
      </c>
      <c r="AK268" s="265" t="b">
        <f t="shared" si="94"/>
        <v>0</v>
      </c>
      <c r="AL268" s="265"/>
      <c r="AM268" s="265"/>
      <c r="AN268" s="75"/>
    </row>
    <row r="269" spans="1:40" s="6" customFormat="1" ht="11.25" x14ac:dyDescent="0.2">
      <c r="A269" s="56">
        <f t="shared" si="95"/>
        <v>43355</v>
      </c>
      <c r="B269" s="617">
        <v>28.952999999999999</v>
      </c>
      <c r="C269" s="390"/>
      <c r="D269" s="393">
        <f t="shared" si="97"/>
        <v>29.013942635923595</v>
      </c>
      <c r="E269" s="385">
        <f t="shared" si="102"/>
        <v>29.193471693633157</v>
      </c>
      <c r="F269" s="385">
        <f t="shared" si="104"/>
        <v>29.193474591015473</v>
      </c>
      <c r="G269" s="110">
        <f t="shared" si="103"/>
        <v>0.57724190487199933</v>
      </c>
      <c r="I269" s="380">
        <f t="shared" si="73"/>
        <v>29.193474591015473</v>
      </c>
      <c r="J269" s="85">
        <v>2018</v>
      </c>
      <c r="K269" s="197">
        <f t="shared" si="74"/>
        <v>43355</v>
      </c>
      <c r="L269" s="437">
        <f t="shared" si="75"/>
        <v>2.1004603437845271E-3</v>
      </c>
      <c r="M269" s="856"/>
      <c r="N269" s="856"/>
      <c r="O269" s="324">
        <f t="shared" si="76"/>
        <v>6.1496302869902889E-3</v>
      </c>
      <c r="P269" s="169">
        <f>(INDEX(Models!$BJ269:$BT269,,T269)*(1-R269)+INDEX(Models!$BJ269:$BT269,,T269+1)*R269-ERP_i)*Q269*Ramure*Pc/MaxiM</f>
        <v>2.5058729399685364E-7</v>
      </c>
      <c r="Q269" s="305">
        <f t="shared" si="77"/>
        <v>0.5</v>
      </c>
      <c r="R269" s="177">
        <f t="shared" si="78"/>
        <v>0.48725094070928021</v>
      </c>
      <c r="S269" s="811">
        <f t="shared" si="96"/>
        <v>-2</v>
      </c>
      <c r="T269" s="176">
        <f t="shared" si="79"/>
        <v>4</v>
      </c>
      <c r="U269" s="251">
        <f t="shared" si="80"/>
        <v>-1.5127490592907198</v>
      </c>
      <c r="V269" s="383">
        <f t="shared" si="81"/>
        <v>50.157473623959476</v>
      </c>
      <c r="W269" s="58"/>
      <c r="X269" s="157">
        <f t="shared" si="82"/>
        <v>43355</v>
      </c>
      <c r="Y269" s="385">
        <f t="shared" si="83"/>
        <v>28.952999999999999</v>
      </c>
      <c r="Z269" s="385">
        <f t="shared" si="84"/>
        <v>29.013942635923595</v>
      </c>
      <c r="AA269" s="386">
        <f t="shared" si="85"/>
        <v>29.193471693633157</v>
      </c>
      <c r="AB269" s="197">
        <f t="shared" si="86"/>
        <v>43355</v>
      </c>
      <c r="AC269" s="426">
        <f t="shared" si="87"/>
        <v>6.1496302869902889E-3</v>
      </c>
      <c r="AD269" s="169">
        <f>(INDEX(Models!$BJ269:$BT269,,AH269)*(1-AF269)+INDEX(Models!$BJ269:$BT269,,AH269+1)*AF269-ERP_i)*AE269*Ramure*Pc/MaxiM</f>
        <v>2.5058729399685364E-7</v>
      </c>
      <c r="AE269" s="305">
        <f t="shared" si="88"/>
        <v>0.5</v>
      </c>
      <c r="AF269" s="177">
        <f t="shared" si="89"/>
        <v>0.48725094070928021</v>
      </c>
      <c r="AG269" s="811">
        <f t="shared" si="90"/>
        <v>-2</v>
      </c>
      <c r="AH269" s="176">
        <f t="shared" si="91"/>
        <v>4</v>
      </c>
      <c r="AI269" s="225">
        <f t="shared" si="92"/>
        <v>-1.5127490592907198</v>
      </c>
      <c r="AJ269" s="265" t="b">
        <f t="shared" si="93"/>
        <v>0</v>
      </c>
      <c r="AK269" s="265" t="b">
        <f t="shared" si="94"/>
        <v>0</v>
      </c>
      <c r="AL269" s="265"/>
      <c r="AM269" s="265"/>
      <c r="AN269" s="75"/>
    </row>
    <row r="270" spans="1:40" s="6" customFormat="1" ht="11.25" x14ac:dyDescent="0.2">
      <c r="A270" s="56">
        <f t="shared" si="95"/>
        <v>43356</v>
      </c>
      <c r="B270" s="617">
        <v>24.33</v>
      </c>
      <c r="C270" s="390"/>
      <c r="D270" s="393">
        <f t="shared" si="97"/>
        <v>24.381745791259977</v>
      </c>
      <c r="E270" s="385">
        <f t="shared" si="102"/>
        <v>24.534097482417433</v>
      </c>
      <c r="F270" s="385">
        <f t="shared" si="104"/>
        <v>24.534099231620893</v>
      </c>
      <c r="G270" s="110">
        <f t="shared" si="103"/>
        <v>0.48789276286937777</v>
      </c>
      <c r="I270" s="380">
        <f t="shared" si="73"/>
        <v>24.534099231620893</v>
      </c>
      <c r="J270" s="85">
        <v>2018</v>
      </c>
      <c r="K270" s="197">
        <f t="shared" si="74"/>
        <v>43356</v>
      </c>
      <c r="L270" s="437">
        <f t="shared" si="75"/>
        <v>2.1223169047446255E-3</v>
      </c>
      <c r="M270" s="856"/>
      <c r="N270" s="856"/>
      <c r="O270" s="324">
        <f t="shared" si="76"/>
        <v>6.2097939924890084E-3</v>
      </c>
      <c r="P270" s="169">
        <f>(INDEX(Models!$BJ270:$BT270,,T270)*(1-R270)+INDEX(Models!$BJ270:$BT270,,T270+1)*R270-ERP_i)*Q270*Ramure*Pc/MaxiM</f>
        <v>2.6561829133763444E-7</v>
      </c>
      <c r="Q270" s="305">
        <f t="shared" si="77"/>
        <v>0.5</v>
      </c>
      <c r="R270" s="177">
        <f t="shared" si="78"/>
        <v>0.48765761053749035</v>
      </c>
      <c r="S270" s="811">
        <f t="shared" si="96"/>
        <v>-2</v>
      </c>
      <c r="T270" s="176">
        <f t="shared" si="79"/>
        <v>4</v>
      </c>
      <c r="U270" s="251">
        <f t="shared" si="80"/>
        <v>-1.5123423894625097</v>
      </c>
      <c r="V270" s="383">
        <f t="shared" si="81"/>
        <v>49.867505984449856</v>
      </c>
      <c r="W270" s="58"/>
      <c r="X270" s="157">
        <f t="shared" si="82"/>
        <v>43356</v>
      </c>
      <c r="Y270" s="385">
        <f t="shared" si="83"/>
        <v>24.33</v>
      </c>
      <c r="Z270" s="385">
        <f t="shared" si="84"/>
        <v>24.381745791259977</v>
      </c>
      <c r="AA270" s="386">
        <f t="shared" si="85"/>
        <v>24.534097482417433</v>
      </c>
      <c r="AB270" s="197">
        <f t="shared" si="86"/>
        <v>43356</v>
      </c>
      <c r="AC270" s="426">
        <f t="shared" si="87"/>
        <v>6.2097939924890084E-3</v>
      </c>
      <c r="AD270" s="169">
        <f>(INDEX(Models!$BJ270:$BT270,,AH270)*(1-AF270)+INDEX(Models!$BJ270:$BT270,,AH270+1)*AF270-ERP_i)*AE270*Ramure*Pc/MaxiM</f>
        <v>2.6561829133763444E-7</v>
      </c>
      <c r="AE270" s="305">
        <f t="shared" si="88"/>
        <v>0.5</v>
      </c>
      <c r="AF270" s="177">
        <f t="shared" si="89"/>
        <v>0.48765761053749035</v>
      </c>
      <c r="AG270" s="811">
        <f t="shared" si="90"/>
        <v>-2</v>
      </c>
      <c r="AH270" s="176">
        <f t="shared" si="91"/>
        <v>4</v>
      </c>
      <c r="AI270" s="225">
        <f t="shared" si="92"/>
        <v>-1.5123423894625097</v>
      </c>
      <c r="AJ270" s="265" t="b">
        <f t="shared" si="93"/>
        <v>0</v>
      </c>
      <c r="AK270" s="265" t="b">
        <f t="shared" si="94"/>
        <v>0</v>
      </c>
      <c r="AL270" s="265"/>
      <c r="AM270" s="265"/>
      <c r="AN270" s="75"/>
    </row>
    <row r="271" spans="1:40" s="6" customFormat="1" ht="11.25" x14ac:dyDescent="0.2">
      <c r="A271" s="56">
        <f t="shared" si="95"/>
        <v>43357</v>
      </c>
      <c r="B271" s="617">
        <v>31.501999999999999</v>
      </c>
      <c r="C271" s="390"/>
      <c r="D271" s="393">
        <f t="shared" ref="D271:D334" si="105">Wh/(1-Ppv)</f>
        <v>31.569690878389064</v>
      </c>
      <c r="E271" s="385">
        <f t="shared" si="102"/>
        <v>31.768876392182968</v>
      </c>
      <c r="F271" s="385">
        <f t="shared" si="104"/>
        <v>31.768880785148667</v>
      </c>
      <c r="G271" s="110">
        <f t="shared" si="103"/>
        <v>0.63545524313626045</v>
      </c>
      <c r="I271" s="380">
        <f t="shared" ref="I271:I334" si="106">Wh_hp</f>
        <v>31.768880785148667</v>
      </c>
      <c r="J271" s="85">
        <v>2018</v>
      </c>
      <c r="K271" s="197">
        <f t="shared" ref="K271:K334" si="107">t</f>
        <v>43357</v>
      </c>
      <c r="L271" s="437">
        <f t="shared" ref="L271:L334" si="108">IF(t&lt;T0,0,IF(t&lt;Tvie,1-EXP((T0-t)*PertePVj),1-EXP((T0-t)*PertePVj)+Pspv))</f>
        <v>2.1441729869899895E-3</v>
      </c>
      <c r="M271" s="856"/>
      <c r="N271" s="856"/>
      <c r="O271" s="324">
        <f t="shared" ref="O271:O334" si="109">IF(t&lt;T0,0,IF(t&lt;Tnet,Salim_i*(1-EXP((T0-t)/Tau_ij)),Resal+(Salim-Resal)*(1-EXP((Tnet-t)/(Tau_j)))))*Salcycl</f>
        <v>6.2698318736546287E-3</v>
      </c>
      <c r="P271" s="169">
        <f>(INDEX(Models!$BJ271:$BT271,,T271)*(1-R271)+INDEX(Models!$BJ271:$BT271,,T271+1)*R271-ERP_i)*Q271*Ramure*Pc/MaxiM</f>
        <v>2.8854877140083125E-7</v>
      </c>
      <c r="Q271" s="305">
        <f t="shared" ref="Q271:Q334" si="110">IF(OR(t&lt;Ttai,Notai),Dd+PousD*Croivg,Dens+PousD*(Croivg-Croi_tai))</f>
        <v>0.5</v>
      </c>
      <c r="R271" s="177">
        <f t="shared" ref="R271:R334" si="111">(Hp_vg-S271)/(INDEX(Echel_vg,T271+1)-S271)</f>
        <v>0.48804854124192598</v>
      </c>
      <c r="S271" s="811">
        <f t="shared" si="96"/>
        <v>-2</v>
      </c>
      <c r="T271" s="176">
        <f t="shared" ref="T271:T334" si="112">MIN(MATCH(Hp_vg,Echel_vg),10)</f>
        <v>4</v>
      </c>
      <c r="U271" s="251">
        <f t="shared" ref="U271:U334" si="113">IF(OR(t&lt;Ttai,Notai),Hdd+PousH*Croivg,Hdtf+PousH*(Croivg-Croi_tai))</f>
        <v>-1.511951458758074</v>
      </c>
      <c r="V271" s="383">
        <f t="shared" ref="V271:V334" si="114">MaxiM*(1-Ppv)*(1-Pvg)*(1-Psa)</f>
        <v>49.573900926084114</v>
      </c>
      <c r="W271" s="58"/>
      <c r="X271" s="157">
        <f t="shared" ref="X271:X334" si="115">t</f>
        <v>43357</v>
      </c>
      <c r="Y271" s="385">
        <f t="shared" ref="Y271:Y334" si="116">Wh_pvt_s*(1-Ppv)</f>
        <v>31.501999999999999</v>
      </c>
      <c r="Z271" s="385">
        <f t="shared" ref="Z271:Z334" si="117">Wh_sa_s*(1-Psa_s)</f>
        <v>31.569690878389064</v>
      </c>
      <c r="AA271" s="386">
        <f t="shared" ref="AA271:AA334" si="118">Wh_hp*(1-Pvg_s*MEDIAN((-Sdif+Wh/Env_an)/Csdif,0,1))</f>
        <v>31.768876392182968</v>
      </c>
      <c r="AB271" s="197">
        <f t="shared" ref="AB271:AB334" si="119">t</f>
        <v>43357</v>
      </c>
      <c r="AC271" s="426">
        <f t="shared" ref="AC271:AC334" si="120">IF(t&lt;T0,0,IF(OR(t&lt;Tnet,NoTnet),Salim_i*(1-EXP((T0-t)/Tau_ij)),Resal_s+(Salim-Resal_s)*(1-EXP((Tnet_s-t)/Tau_j))))*Salcycl</f>
        <v>6.2698318736546287E-3</v>
      </c>
      <c r="AD271" s="169">
        <f>(INDEX(Models!$BJ271:$BT271,,AH271)*(1-AF271)+INDEX(Models!$BJ271:$BT271,,AH271+1)*AF271-ERP_i)*AE271*Ramure*Pc/MaxiM</f>
        <v>2.8854877140083125E-7</v>
      </c>
      <c r="AE271" s="305">
        <f t="shared" ref="AE271:AE334" si="121">Dd+PousD*Croivg</f>
        <v>0.5</v>
      </c>
      <c r="AF271" s="177">
        <f t="shared" ref="AF271:AF334" si="122">(Hp_vg_s-AG271)/(INDEX(Echel_vg,AH271+1)-AG271)</f>
        <v>0.48804854124192598</v>
      </c>
      <c r="AG271" s="811">
        <f t="shared" ref="AG271:AG334" si="123">INDEX(Echel_vg,AH271)</f>
        <v>-2</v>
      </c>
      <c r="AH271" s="176">
        <f t="shared" ref="AH271:AH334" si="124">MIN(MATCH(Hp_vg_s,Echel_vg),10)</f>
        <v>4</v>
      </c>
      <c r="AI271" s="225">
        <f t="shared" ref="AI271:AI334" si="125">Hdd+PousH*Croivg</f>
        <v>-1.511951458758074</v>
      </c>
      <c r="AJ271" s="265" t="b">
        <f t="shared" ref="AJ271:AJ334" si="126">t&lt;Tnet</f>
        <v>0</v>
      </c>
      <c r="AK271" s="265" t="b">
        <f t="shared" ref="AK271:AK334" si="12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8">A271+1</f>
        <v>43358</v>
      </c>
      <c r="B272" s="617">
        <v>38.780999999999999</v>
      </c>
      <c r="C272" s="390"/>
      <c r="D272" s="393">
        <f t="shared" si="105"/>
        <v>38.865183097765986</v>
      </c>
      <c r="E272" s="385">
        <f t="shared" si="102"/>
        <v>39.112756706571254</v>
      </c>
      <c r="F272" s="385">
        <f t="shared" si="104"/>
        <v>39.112765400582461</v>
      </c>
      <c r="G272" s="110">
        <f t="shared" si="103"/>
        <v>0.78699858288448288</v>
      </c>
      <c r="I272" s="380">
        <f t="shared" si="106"/>
        <v>39.112765400582461</v>
      </c>
      <c r="J272" s="85">
        <v>2018</v>
      </c>
      <c r="K272" s="197">
        <f t="shared" si="107"/>
        <v>43358</v>
      </c>
      <c r="L272" s="437">
        <f t="shared" si="108"/>
        <v>2.166028590531055E-3</v>
      </c>
      <c r="M272" s="856"/>
      <c r="N272" s="856"/>
      <c r="O272" s="324">
        <f t="shared" si="109"/>
        <v>6.3297407202105097E-3</v>
      </c>
      <c r="P272" s="169">
        <f>(INDEX(Models!$BJ272:$BT272,,T272)*(1-R272)+INDEX(Models!$BJ272:$BT272,,T272+1)*R272-ERP_i)*Q272*Ramure*Pc/MaxiM</f>
        <v>3.1950079776936114E-7</v>
      </c>
      <c r="Q272" s="305">
        <f t="shared" si="110"/>
        <v>0.5</v>
      </c>
      <c r="R272" s="177">
        <f t="shared" si="111"/>
        <v>0.48842431785182394</v>
      </c>
      <c r="S272" s="811">
        <f t="shared" ref="S272:S335" si="129">INDEX(Echel_vg,T272)</f>
        <v>-2</v>
      </c>
      <c r="T272" s="176">
        <f t="shared" si="112"/>
        <v>4</v>
      </c>
      <c r="U272" s="251">
        <f t="shared" si="113"/>
        <v>-1.5115756821481761</v>
      </c>
      <c r="V272" s="383">
        <f t="shared" si="114"/>
        <v>49.277085210961857</v>
      </c>
      <c r="W272" s="58"/>
      <c r="X272" s="157">
        <f t="shared" si="115"/>
        <v>43358</v>
      </c>
      <c r="Y272" s="385">
        <f t="shared" si="116"/>
        <v>38.780999999999999</v>
      </c>
      <c r="Z272" s="385">
        <f t="shared" si="117"/>
        <v>38.865183097765986</v>
      </c>
      <c r="AA272" s="386">
        <f t="shared" si="118"/>
        <v>39.112756706571254</v>
      </c>
      <c r="AB272" s="197">
        <f t="shared" si="119"/>
        <v>43358</v>
      </c>
      <c r="AC272" s="426">
        <f t="shared" si="120"/>
        <v>6.3297407202105097E-3</v>
      </c>
      <c r="AD272" s="169">
        <f>(INDEX(Models!$BJ272:$BT272,,AH272)*(1-AF272)+INDEX(Models!$BJ272:$BT272,,AH272+1)*AF272-ERP_i)*AE272*Ramure*Pc/MaxiM</f>
        <v>3.1950079776936114E-7</v>
      </c>
      <c r="AE272" s="305">
        <f t="shared" si="121"/>
        <v>0.5</v>
      </c>
      <c r="AF272" s="177">
        <f t="shared" si="122"/>
        <v>0.48842431785182394</v>
      </c>
      <c r="AG272" s="811">
        <f t="shared" si="123"/>
        <v>-2</v>
      </c>
      <c r="AH272" s="176">
        <f t="shared" si="124"/>
        <v>4</v>
      </c>
      <c r="AI272" s="225">
        <f t="shared" si="125"/>
        <v>-1.5115756821481761</v>
      </c>
      <c r="AJ272" s="265" t="b">
        <f t="shared" si="126"/>
        <v>0</v>
      </c>
      <c r="AK272" s="265" t="b">
        <f t="shared" si="127"/>
        <v>0</v>
      </c>
      <c r="AL272" s="265"/>
      <c r="AM272" s="265"/>
      <c r="AN272" s="75"/>
    </row>
    <row r="273" spans="1:40" s="6" customFormat="1" ht="11.25" x14ac:dyDescent="0.2">
      <c r="A273" s="56">
        <f t="shared" si="128"/>
        <v>43359</v>
      </c>
      <c r="B273" s="617">
        <v>45.83</v>
      </c>
      <c r="C273" s="390"/>
      <c r="D273" s="393">
        <f t="shared" si="105"/>
        <v>45.930490572362608</v>
      </c>
      <c r="E273" s="385">
        <f t="shared" si="102"/>
        <v>46.225851445135476</v>
      </c>
      <c r="F273" s="385">
        <f t="shared" si="104"/>
        <v>46.225866499783969</v>
      </c>
      <c r="G273" s="110">
        <f t="shared" si="103"/>
        <v>0.9357360440207102</v>
      </c>
      <c r="I273" s="380">
        <f t="shared" si="106"/>
        <v>46.225866499783969</v>
      </c>
      <c r="J273" s="85">
        <v>2018</v>
      </c>
      <c r="K273" s="197">
        <f t="shared" si="107"/>
        <v>43359</v>
      </c>
      <c r="L273" s="437">
        <f t="shared" si="108"/>
        <v>2.1878837153782582E-3</v>
      </c>
      <c r="M273" s="856"/>
      <c r="N273" s="856"/>
      <c r="O273" s="324">
        <f t="shared" si="109"/>
        <v>6.3895171973939353E-3</v>
      </c>
      <c r="P273" s="169">
        <f>(INDEX(Models!$BJ273:$BT273,,T273)*(1-R273)+INDEX(Models!$BJ273:$BT273,,T273+1)*R273-ERP_i)*Q273*Ramure*Pc/MaxiM</f>
        <v>3.5859707500122552E-7</v>
      </c>
      <c r="Q273" s="305">
        <f t="shared" si="110"/>
        <v>0.5</v>
      </c>
      <c r="R273" s="177">
        <f t="shared" si="111"/>
        <v>0.48878550552371958</v>
      </c>
      <c r="S273" s="811">
        <f t="shared" si="129"/>
        <v>-2</v>
      </c>
      <c r="T273" s="176">
        <f t="shared" si="112"/>
        <v>4</v>
      </c>
      <c r="U273" s="251">
        <f t="shared" si="113"/>
        <v>-1.5112144944762804</v>
      </c>
      <c r="V273" s="383">
        <f t="shared" si="114"/>
        <v>48.977485460852421</v>
      </c>
      <c r="W273" s="58"/>
      <c r="X273" s="157">
        <f t="shared" si="115"/>
        <v>43359</v>
      </c>
      <c r="Y273" s="385">
        <f t="shared" si="116"/>
        <v>45.83</v>
      </c>
      <c r="Z273" s="385">
        <f t="shared" si="117"/>
        <v>45.930490572362608</v>
      </c>
      <c r="AA273" s="386">
        <f t="shared" si="118"/>
        <v>46.225851445135476</v>
      </c>
      <c r="AB273" s="197">
        <f t="shared" si="119"/>
        <v>43359</v>
      </c>
      <c r="AC273" s="426">
        <f t="shared" si="120"/>
        <v>6.3895171973939353E-3</v>
      </c>
      <c r="AD273" s="169">
        <f>(INDEX(Models!$BJ273:$BT273,,AH273)*(1-AF273)+INDEX(Models!$BJ273:$BT273,,AH273+1)*AF273-ERP_i)*AE273*Ramure*Pc/MaxiM</f>
        <v>3.5859707500122552E-7</v>
      </c>
      <c r="AE273" s="305">
        <f t="shared" si="121"/>
        <v>0.5</v>
      </c>
      <c r="AF273" s="177">
        <f t="shared" si="122"/>
        <v>0.48878550552371958</v>
      </c>
      <c r="AG273" s="811">
        <f t="shared" si="123"/>
        <v>-2</v>
      </c>
      <c r="AH273" s="176">
        <f t="shared" si="124"/>
        <v>4</v>
      </c>
      <c r="AI273" s="225">
        <f t="shared" si="125"/>
        <v>-1.5112144944762804</v>
      </c>
      <c r="AJ273" s="265" t="b">
        <f t="shared" si="126"/>
        <v>0</v>
      </c>
      <c r="AK273" s="265" t="b">
        <f t="shared" si="12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8"/>
        <v>43360</v>
      </c>
      <c r="B274" s="617">
        <v>43.548999999999999</v>
      </c>
      <c r="C274" s="390"/>
      <c r="D274" s="393">
        <f t="shared" si="105"/>
        <v>43.645445014154362</v>
      </c>
      <c r="E274" s="385">
        <f t="shared" si="102"/>
        <v>43.928748446961976</v>
      </c>
      <c r="F274" s="385">
        <f t="shared" si="104"/>
        <v>43.928763597128906</v>
      </c>
      <c r="G274" s="110">
        <f t="shared" si="103"/>
        <v>0.89467950299651533</v>
      </c>
      <c r="I274" s="380">
        <f t="shared" si="106"/>
        <v>43.928763597128906</v>
      </c>
      <c r="J274" s="85">
        <v>2018</v>
      </c>
      <c r="K274" s="197">
        <f t="shared" si="107"/>
        <v>43360</v>
      </c>
      <c r="L274" s="437">
        <f t="shared" si="108"/>
        <v>2.2097383615422572E-3</v>
      </c>
      <c r="M274" s="856"/>
      <c r="N274" s="856"/>
      <c r="O274" s="324">
        <f t="shared" si="109"/>
        <v>6.4491578481838318E-3</v>
      </c>
      <c r="P274" s="169">
        <f>(INDEX(Models!$BJ274:$BT274,,T274)*(1-R274)+INDEX(Models!$BJ274:$BT274,,T274+1)*R274-ERP_i)*Q274*Ramure*Pc/MaxiM</f>
        <v>4.0596020996607716E-7</v>
      </c>
      <c r="Q274" s="305">
        <f t="shared" si="110"/>
        <v>0.5</v>
      </c>
      <c r="R274" s="177">
        <f t="shared" si="111"/>
        <v>0.48913265006881801</v>
      </c>
      <c r="S274" s="811">
        <f t="shared" si="129"/>
        <v>-2</v>
      </c>
      <c r="T274" s="176">
        <f t="shared" si="112"/>
        <v>4</v>
      </c>
      <c r="U274" s="251">
        <f t="shared" si="113"/>
        <v>-1.510867349931182</v>
      </c>
      <c r="V274" s="383">
        <f t="shared" si="114"/>
        <v>48.675528157485296</v>
      </c>
      <c r="W274" s="58"/>
      <c r="X274" s="157">
        <f t="shared" si="115"/>
        <v>43360</v>
      </c>
      <c r="Y274" s="385">
        <f t="shared" si="116"/>
        <v>43.548999999999999</v>
      </c>
      <c r="Z274" s="385">
        <f t="shared" si="117"/>
        <v>43.645445014154362</v>
      </c>
      <c r="AA274" s="386">
        <f t="shared" si="118"/>
        <v>43.928748446961976</v>
      </c>
      <c r="AB274" s="197">
        <f t="shared" si="119"/>
        <v>43360</v>
      </c>
      <c r="AC274" s="426">
        <f t="shared" si="120"/>
        <v>6.4491578481838318E-3</v>
      </c>
      <c r="AD274" s="169">
        <f>(INDEX(Models!$BJ274:$BT274,,AH274)*(1-AF274)+INDEX(Models!$BJ274:$BT274,,AH274+1)*AF274-ERP_i)*AE274*Ramure*Pc/MaxiM</f>
        <v>4.0596020996607716E-7</v>
      </c>
      <c r="AE274" s="305">
        <f t="shared" si="121"/>
        <v>0.5</v>
      </c>
      <c r="AF274" s="177">
        <f t="shared" si="122"/>
        <v>0.48913265006881801</v>
      </c>
      <c r="AG274" s="811">
        <f t="shared" si="123"/>
        <v>-2</v>
      </c>
      <c r="AH274" s="176">
        <f t="shared" si="124"/>
        <v>4</v>
      </c>
      <c r="AI274" s="225">
        <f t="shared" si="125"/>
        <v>-1.510867349931182</v>
      </c>
      <c r="AJ274" s="265" t="b">
        <f t="shared" si="126"/>
        <v>0</v>
      </c>
      <c r="AK274" s="265" t="b">
        <f t="shared" si="127"/>
        <v>0</v>
      </c>
      <c r="AL274" s="265"/>
      <c r="AM274" s="265"/>
      <c r="AN274" s="75"/>
    </row>
    <row r="275" spans="1:40" s="6" customFormat="1" ht="11.25" x14ac:dyDescent="0.2">
      <c r="A275" s="56">
        <f t="shared" si="128"/>
        <v>43361</v>
      </c>
      <c r="B275" s="617">
        <v>41.865000000000002</v>
      </c>
      <c r="C275" s="390"/>
      <c r="D275" s="393">
        <f t="shared" si="105"/>
        <v>41.958634575447007</v>
      </c>
      <c r="E275" s="385">
        <f t="shared" si="102"/>
        <v>42.23351814753206</v>
      </c>
      <c r="F275" s="385">
        <f t="shared" si="104"/>
        <v>42.23353390254551</v>
      </c>
      <c r="G275" s="110">
        <f t="shared" si="103"/>
        <v>0.86553845179039279</v>
      </c>
      <c r="I275" s="380">
        <f t="shared" si="106"/>
        <v>42.23353390254551</v>
      </c>
      <c r="J275" s="85">
        <v>2018</v>
      </c>
      <c r="K275" s="197">
        <f t="shared" si="107"/>
        <v>43361</v>
      </c>
      <c r="L275" s="437">
        <f t="shared" si="108"/>
        <v>2.2315925290332661E-3</v>
      </c>
      <c r="M275" s="856"/>
      <c r="N275" s="856"/>
      <c r="O275" s="324">
        <f t="shared" si="109"/>
        <v>6.5086590969005778E-3</v>
      </c>
      <c r="P275" s="169">
        <f>(INDEX(Models!$BJ275:$BT275,,T275)*(1-R275)+INDEX(Models!$BJ275:$BT275,,T275+1)*R275-ERP_i)*Q275*Ramure*Pc/MaxiM</f>
        <v>4.617396803714725E-7</v>
      </c>
      <c r="Q275" s="305">
        <f t="shared" si="110"/>
        <v>0.5</v>
      </c>
      <c r="R275" s="177">
        <f t="shared" si="111"/>
        <v>0.48946627847867585</v>
      </c>
      <c r="S275" s="811">
        <f t="shared" si="129"/>
        <v>-2</v>
      </c>
      <c r="T275" s="176">
        <f t="shared" si="112"/>
        <v>4</v>
      </c>
      <c r="U275" s="251">
        <f t="shared" si="113"/>
        <v>-1.5105337215213241</v>
      </c>
      <c r="V275" s="383">
        <f t="shared" si="114"/>
        <v>48.368730701913421</v>
      </c>
      <c r="W275" s="58"/>
      <c r="X275" s="157">
        <f t="shared" si="115"/>
        <v>43361</v>
      </c>
      <c r="Y275" s="385">
        <f t="shared" si="116"/>
        <v>41.865000000000002</v>
      </c>
      <c r="Z275" s="385">
        <f t="shared" si="117"/>
        <v>41.958634575447007</v>
      </c>
      <c r="AA275" s="386">
        <f t="shared" si="118"/>
        <v>42.23351814753206</v>
      </c>
      <c r="AB275" s="197">
        <f t="shared" si="119"/>
        <v>43361</v>
      </c>
      <c r="AC275" s="426">
        <f t="shared" si="120"/>
        <v>6.5086590969005778E-3</v>
      </c>
      <c r="AD275" s="169">
        <f>(INDEX(Models!$BJ275:$BT275,,AH275)*(1-AF275)+INDEX(Models!$BJ275:$BT275,,AH275+1)*AF275-ERP_i)*AE275*Ramure*Pc/MaxiM</f>
        <v>4.617396803714725E-7</v>
      </c>
      <c r="AE275" s="305">
        <f t="shared" si="121"/>
        <v>0.5</v>
      </c>
      <c r="AF275" s="177">
        <f t="shared" si="122"/>
        <v>0.48946627847867585</v>
      </c>
      <c r="AG275" s="811">
        <f t="shared" si="123"/>
        <v>-2</v>
      </c>
      <c r="AH275" s="176">
        <f t="shared" si="124"/>
        <v>4</v>
      </c>
      <c r="AI275" s="225">
        <f t="shared" si="125"/>
        <v>-1.5105337215213241</v>
      </c>
      <c r="AJ275" s="265" t="b">
        <f t="shared" si="126"/>
        <v>0</v>
      </c>
      <c r="AK275" s="265" t="b">
        <f t="shared" si="127"/>
        <v>0</v>
      </c>
      <c r="AL275" s="265"/>
      <c r="AM275" s="265"/>
      <c r="AN275" s="75"/>
    </row>
    <row r="276" spans="1:40" s="6" customFormat="1" ht="11.25" x14ac:dyDescent="0.2">
      <c r="A276" s="56">
        <f t="shared" si="128"/>
        <v>43362</v>
      </c>
      <c r="B276" s="617">
        <v>36.764000000000003</v>
      </c>
      <c r="C276" s="390"/>
      <c r="D276" s="393">
        <f t="shared" si="105"/>
        <v>36.847032806717742</v>
      </c>
      <c r="E276" s="385">
        <f t="shared" si="102"/>
        <v>37.09064480174775</v>
      </c>
      <c r="F276" s="385">
        <f t="shared" si="104"/>
        <v>37.090657697192313</v>
      </c>
      <c r="G276" s="110">
        <f t="shared" si="103"/>
        <v>0.76504159211664258</v>
      </c>
      <c r="I276" s="380">
        <f t="shared" si="106"/>
        <v>37.090657697192313</v>
      </c>
      <c r="J276" s="85">
        <v>2018</v>
      </c>
      <c r="K276" s="197">
        <f t="shared" si="107"/>
        <v>43362</v>
      </c>
      <c r="L276" s="437">
        <f t="shared" si="108"/>
        <v>2.253446217862054E-3</v>
      </c>
      <c r="M276" s="856"/>
      <c r="N276" s="856"/>
      <c r="O276" s="324">
        <f t="shared" si="109"/>
        <v>6.5680172542734944E-3</v>
      </c>
      <c r="P276" s="169">
        <f>(INDEX(Models!$BJ276:$BT276,,T276)*(1-R276)+INDEX(Models!$BJ276:$BT276,,T276+1)*R276-ERP_i)*Q276*Ramure*Pc/MaxiM</f>
        <v>5.2333273599616727E-7</v>
      </c>
      <c r="Q276" s="305">
        <f t="shared" si="110"/>
        <v>0.5</v>
      </c>
      <c r="R276" s="177">
        <f t="shared" si="111"/>
        <v>0.4897868994479373</v>
      </c>
      <c r="S276" s="811">
        <f t="shared" si="129"/>
        <v>-2</v>
      </c>
      <c r="T276" s="176">
        <f t="shared" si="112"/>
        <v>4</v>
      </c>
      <c r="U276" s="251">
        <f t="shared" si="113"/>
        <v>-1.5102131005520627</v>
      </c>
      <c r="V276" s="383">
        <f t="shared" si="114"/>
        <v>48.054895212105137</v>
      </c>
      <c r="W276" s="58"/>
      <c r="X276" s="157">
        <f t="shared" si="115"/>
        <v>43362</v>
      </c>
      <c r="Y276" s="385">
        <f t="shared" si="116"/>
        <v>36.764000000000003</v>
      </c>
      <c r="Z276" s="385">
        <f t="shared" si="117"/>
        <v>36.847032806717742</v>
      </c>
      <c r="AA276" s="386">
        <f t="shared" si="118"/>
        <v>37.09064480174775</v>
      </c>
      <c r="AB276" s="197">
        <f t="shared" si="119"/>
        <v>43362</v>
      </c>
      <c r="AC276" s="426">
        <f t="shared" si="120"/>
        <v>6.5680172542734944E-3</v>
      </c>
      <c r="AD276" s="169">
        <f>(INDEX(Models!$BJ276:$BT276,,AH276)*(1-AF276)+INDEX(Models!$BJ276:$BT276,,AH276+1)*AF276-ERP_i)*AE276*Ramure*Pc/MaxiM</f>
        <v>5.2333273599616727E-7</v>
      </c>
      <c r="AE276" s="305">
        <f t="shared" si="121"/>
        <v>0.5</v>
      </c>
      <c r="AF276" s="177">
        <f t="shared" si="122"/>
        <v>0.4897868994479373</v>
      </c>
      <c r="AG276" s="811">
        <f t="shared" si="123"/>
        <v>-2</v>
      </c>
      <c r="AH276" s="176">
        <f t="shared" si="124"/>
        <v>4</v>
      </c>
      <c r="AI276" s="225">
        <f t="shared" si="125"/>
        <v>-1.5102131005520627</v>
      </c>
      <c r="AJ276" s="265" t="b">
        <f t="shared" si="126"/>
        <v>0</v>
      </c>
      <c r="AK276" s="265" t="b">
        <f t="shared" si="12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8"/>
        <v>43363</v>
      </c>
      <c r="B277" s="617">
        <v>44.392000000000003</v>
      </c>
      <c r="C277" s="390"/>
      <c r="D277" s="393">
        <f t="shared" si="105"/>
        <v>44.493235433132604</v>
      </c>
      <c r="E277" s="385">
        <f t="shared" si="102"/>
        <v>44.790069459046208</v>
      </c>
      <c r="F277" s="385">
        <f t="shared" si="104"/>
        <v>44.790093084684514</v>
      </c>
      <c r="G277" s="110">
        <f t="shared" si="103"/>
        <v>0.9299699105760213</v>
      </c>
      <c r="I277" s="380">
        <f t="shared" si="106"/>
        <v>44.790093084684514</v>
      </c>
      <c r="J277" s="85">
        <v>2018</v>
      </c>
      <c r="K277" s="197">
        <f t="shared" si="107"/>
        <v>43363</v>
      </c>
      <c r="L277" s="437">
        <f t="shared" si="108"/>
        <v>2.275299428038835E-3</v>
      </c>
      <c r="M277" s="856"/>
      <c r="N277" s="856"/>
      <c r="O277" s="324">
        <f t="shared" si="109"/>
        <v>6.6272285240596739E-3</v>
      </c>
      <c r="P277" s="169">
        <f>(INDEX(Models!$BJ277:$BT277,,T277)*(1-R277)+INDEX(Models!$BJ277:$BT277,,T277+1)*R277-ERP_i)*Q277*Ramure*Pc/MaxiM</f>
        <v>5.8611087780420585E-7</v>
      </c>
      <c r="Q277" s="305">
        <f t="shared" si="110"/>
        <v>0.5</v>
      </c>
      <c r="R277" s="177">
        <f t="shared" si="111"/>
        <v>0.4900950038929961</v>
      </c>
      <c r="S277" s="811">
        <f t="shared" si="129"/>
        <v>-2</v>
      </c>
      <c r="T277" s="176">
        <f t="shared" si="112"/>
        <v>4</v>
      </c>
      <c r="U277" s="251">
        <f t="shared" si="113"/>
        <v>-1.5099049961070039</v>
      </c>
      <c r="V277" s="383">
        <f t="shared" si="114"/>
        <v>47.734874959043061</v>
      </c>
      <c r="W277" s="58"/>
      <c r="X277" s="157">
        <f t="shared" si="115"/>
        <v>43363</v>
      </c>
      <c r="Y277" s="385">
        <f t="shared" si="116"/>
        <v>44.392000000000003</v>
      </c>
      <c r="Z277" s="385">
        <f t="shared" si="117"/>
        <v>44.493235433132604</v>
      </c>
      <c r="AA277" s="386">
        <f t="shared" si="118"/>
        <v>44.790069459046208</v>
      </c>
      <c r="AB277" s="197">
        <f t="shared" si="119"/>
        <v>43363</v>
      </c>
      <c r="AC277" s="426">
        <f t="shared" si="120"/>
        <v>6.6272285240596739E-3</v>
      </c>
      <c r="AD277" s="169">
        <f>(INDEX(Models!$BJ277:$BT277,,AH277)*(1-AF277)+INDEX(Models!$BJ277:$BT277,,AH277+1)*AF277-ERP_i)*AE277*Ramure*Pc/MaxiM</f>
        <v>5.8611087780420585E-7</v>
      </c>
      <c r="AE277" s="305">
        <f t="shared" si="121"/>
        <v>0.5</v>
      </c>
      <c r="AF277" s="177">
        <f t="shared" si="122"/>
        <v>0.4900950038929961</v>
      </c>
      <c r="AG277" s="811">
        <f t="shared" si="123"/>
        <v>-2</v>
      </c>
      <c r="AH277" s="176">
        <f t="shared" si="124"/>
        <v>4</v>
      </c>
      <c r="AI277" s="225">
        <f t="shared" si="125"/>
        <v>-1.5099049961070039</v>
      </c>
      <c r="AJ277" s="265" t="b">
        <f t="shared" si="126"/>
        <v>0</v>
      </c>
      <c r="AK277" s="265" t="b">
        <f t="shared" si="127"/>
        <v>0</v>
      </c>
      <c r="AL277" s="265"/>
      <c r="AM277" s="265"/>
      <c r="AN277" s="75"/>
    </row>
    <row r="278" spans="1:40" s="6" customFormat="1" ht="11.25" x14ac:dyDescent="0.2">
      <c r="A278" s="56">
        <f t="shared" si="128"/>
        <v>43364</v>
      </c>
      <c r="B278" s="617">
        <v>33.619999999999997</v>
      </c>
      <c r="C278" s="390"/>
      <c r="D278" s="393">
        <f t="shared" si="105"/>
        <v>33.697408073728624</v>
      </c>
      <c r="E278" s="385">
        <f t="shared" si="102"/>
        <v>33.924235315535128</v>
      </c>
      <c r="F278" s="385">
        <f t="shared" si="104"/>
        <v>33.924248205674751</v>
      </c>
      <c r="G278" s="110">
        <f t="shared" si="103"/>
        <v>0.70914004199385272</v>
      </c>
      <c r="I278" s="380">
        <f t="shared" si="106"/>
        <v>33.924248205674751</v>
      </c>
      <c r="J278" s="85">
        <v>2018</v>
      </c>
      <c r="K278" s="197">
        <f t="shared" si="107"/>
        <v>43364</v>
      </c>
      <c r="L278" s="437">
        <f t="shared" si="108"/>
        <v>2.2971521595743782E-3</v>
      </c>
      <c r="M278" s="856"/>
      <c r="N278" s="856"/>
      <c r="O278" s="324">
        <f t="shared" si="109"/>
        <v>6.6862890112847941E-3</v>
      </c>
      <c r="P278" s="169">
        <f>(INDEX(Models!$BJ278:$BT278,,T278)*(1-R278)+INDEX(Models!$BJ278:$BT278,,T278+1)*R278-ERP_i)*Q278*Ramure*Pc/MaxiM</f>
        <v>6.500896334611203E-7</v>
      </c>
      <c r="Q278" s="305">
        <f t="shared" si="110"/>
        <v>0.5</v>
      </c>
      <c r="R278" s="177">
        <f t="shared" si="111"/>
        <v>0.49039106546558386</v>
      </c>
      <c r="S278" s="811">
        <f t="shared" si="129"/>
        <v>-2</v>
      </c>
      <c r="T278" s="176">
        <f t="shared" si="112"/>
        <v>4</v>
      </c>
      <c r="U278" s="251">
        <f t="shared" si="113"/>
        <v>-1.5096089345344161</v>
      </c>
      <c r="V278" s="383">
        <f t="shared" si="114"/>
        <v>47.409522700185441</v>
      </c>
      <c r="W278" s="58"/>
      <c r="X278" s="157">
        <f t="shared" si="115"/>
        <v>43364</v>
      </c>
      <c r="Y278" s="385">
        <f t="shared" si="116"/>
        <v>33.619999999999997</v>
      </c>
      <c r="Z278" s="385">
        <f t="shared" si="117"/>
        <v>33.697408073728624</v>
      </c>
      <c r="AA278" s="386">
        <f t="shared" si="118"/>
        <v>33.924235315535128</v>
      </c>
      <c r="AB278" s="197">
        <f t="shared" si="119"/>
        <v>43364</v>
      </c>
      <c r="AC278" s="426">
        <f t="shared" si="120"/>
        <v>6.6862890112847941E-3</v>
      </c>
      <c r="AD278" s="169">
        <f>(INDEX(Models!$BJ278:$BT278,,AH278)*(1-AF278)+INDEX(Models!$BJ278:$BT278,,AH278+1)*AF278-ERP_i)*AE278*Ramure*Pc/MaxiM</f>
        <v>6.500896334611203E-7</v>
      </c>
      <c r="AE278" s="305">
        <f t="shared" si="121"/>
        <v>0.5</v>
      </c>
      <c r="AF278" s="177">
        <f t="shared" si="122"/>
        <v>0.49039106546558386</v>
      </c>
      <c r="AG278" s="811">
        <f t="shared" si="123"/>
        <v>-2</v>
      </c>
      <c r="AH278" s="176">
        <f t="shared" si="124"/>
        <v>4</v>
      </c>
      <c r="AI278" s="225">
        <f t="shared" si="125"/>
        <v>-1.5096089345344161</v>
      </c>
      <c r="AJ278" s="265" t="b">
        <f t="shared" si="126"/>
        <v>0</v>
      </c>
      <c r="AK278" s="265" t="b">
        <f t="shared" si="127"/>
        <v>0</v>
      </c>
      <c r="AL278" s="265"/>
      <c r="AM278" s="265"/>
      <c r="AN278" s="75"/>
    </row>
    <row r="279" spans="1:40" s="6" customFormat="1" ht="11.25" x14ac:dyDescent="0.2">
      <c r="A279" s="56">
        <f t="shared" si="128"/>
        <v>43365</v>
      </c>
      <c r="B279" s="617">
        <v>43.548000000000002</v>
      </c>
      <c r="C279" s="390"/>
      <c r="D279" s="393">
        <f t="shared" si="105"/>
        <v>43.649222740135649</v>
      </c>
      <c r="E279" s="385">
        <f t="shared" si="102"/>
        <v>43.945644671072429</v>
      </c>
      <c r="F279" s="385">
        <f t="shared" si="104"/>
        <v>43.945672735997164</v>
      </c>
      <c r="G279" s="110">
        <f t="shared" si="103"/>
        <v>0.92498476131551222</v>
      </c>
      <c r="I279" s="380">
        <f t="shared" si="106"/>
        <v>43.945672735997164</v>
      </c>
      <c r="J279" s="85">
        <v>2018</v>
      </c>
      <c r="K279" s="197">
        <f t="shared" si="107"/>
        <v>43365</v>
      </c>
      <c r="L279" s="437">
        <f t="shared" si="108"/>
        <v>2.3190044124788978E-3</v>
      </c>
      <c r="M279" s="856"/>
      <c r="N279" s="856"/>
      <c r="O279" s="324">
        <f t="shared" si="109"/>
        <v>6.7451947321620536E-3</v>
      </c>
      <c r="P279" s="169">
        <f>(INDEX(Models!$BJ279:$BT279,,T279)*(1-R279)+INDEX(Models!$BJ279:$BT279,,T279+1)*R279-ERP_i)*Q279*Ramure*Pc/MaxiM</f>
        <v>7.1528040392509923E-7</v>
      </c>
      <c r="Q279" s="305">
        <f t="shared" si="110"/>
        <v>0.5</v>
      </c>
      <c r="R279" s="177">
        <f t="shared" si="111"/>
        <v>0.49067554106039379</v>
      </c>
      <c r="S279" s="811">
        <f t="shared" si="129"/>
        <v>-2</v>
      </c>
      <c r="T279" s="176">
        <f t="shared" si="112"/>
        <v>4</v>
      </c>
      <c r="U279" s="251">
        <f t="shared" si="113"/>
        <v>-1.5093244589396062</v>
      </c>
      <c r="V279" s="383">
        <f t="shared" si="114"/>
        <v>47.079690912953886</v>
      </c>
      <c r="W279" s="58"/>
      <c r="X279" s="157">
        <f t="shared" si="115"/>
        <v>43365</v>
      </c>
      <c r="Y279" s="385">
        <f t="shared" si="116"/>
        <v>43.548000000000002</v>
      </c>
      <c r="Z279" s="385">
        <f t="shared" si="117"/>
        <v>43.649222740135649</v>
      </c>
      <c r="AA279" s="386">
        <f t="shared" si="118"/>
        <v>43.945644671072429</v>
      </c>
      <c r="AB279" s="197">
        <f t="shared" si="119"/>
        <v>43365</v>
      </c>
      <c r="AC279" s="426">
        <f t="shared" si="120"/>
        <v>6.7451947321620536E-3</v>
      </c>
      <c r="AD279" s="169">
        <f>(INDEX(Models!$BJ279:$BT279,,AH279)*(1-AF279)+INDEX(Models!$BJ279:$BT279,,AH279+1)*AF279-ERP_i)*AE279*Ramure*Pc/MaxiM</f>
        <v>7.1528040392509923E-7</v>
      </c>
      <c r="AE279" s="305">
        <f t="shared" si="121"/>
        <v>0.5</v>
      </c>
      <c r="AF279" s="177">
        <f t="shared" si="122"/>
        <v>0.49067554106039379</v>
      </c>
      <c r="AG279" s="811">
        <f t="shared" si="123"/>
        <v>-2</v>
      </c>
      <c r="AH279" s="176">
        <f t="shared" si="124"/>
        <v>4</v>
      </c>
      <c r="AI279" s="225">
        <f t="shared" si="125"/>
        <v>-1.5093244589396062</v>
      </c>
      <c r="AJ279" s="265" t="b">
        <f t="shared" si="126"/>
        <v>0</v>
      </c>
      <c r="AK279" s="265" t="b">
        <f t="shared" si="127"/>
        <v>0</v>
      </c>
      <c r="AL279" s="265"/>
      <c r="AM279" s="265"/>
      <c r="AN279" s="75"/>
    </row>
    <row r="280" spans="1:40" s="6" customFormat="1" ht="11.25" x14ac:dyDescent="0.2">
      <c r="A280" s="56">
        <f t="shared" si="128"/>
        <v>43366</v>
      </c>
      <c r="B280" s="617">
        <v>43.899000000000001</v>
      </c>
      <c r="C280" s="390"/>
      <c r="D280" s="393">
        <f t="shared" si="105"/>
        <v>44.002002359453087</v>
      </c>
      <c r="E280" s="385">
        <f t="shared" si="102"/>
        <v>44.303440381628654</v>
      </c>
      <c r="F280" s="385">
        <f t="shared" si="104"/>
        <v>44.303472000025792</v>
      </c>
      <c r="G280" s="110">
        <f t="shared" si="103"/>
        <v>0.93909167290054796</v>
      </c>
      <c r="I280" s="380">
        <f t="shared" si="106"/>
        <v>44.303472000025792</v>
      </c>
      <c r="J280" s="85">
        <v>2018</v>
      </c>
      <c r="K280" s="197">
        <f t="shared" si="107"/>
        <v>43366</v>
      </c>
      <c r="L280" s="437">
        <f t="shared" si="108"/>
        <v>2.3408561867630517E-3</v>
      </c>
      <c r="M280" s="856"/>
      <c r="N280" s="856"/>
      <c r="O280" s="324">
        <f t="shared" si="109"/>
        <v>6.803941625728986E-3</v>
      </c>
      <c r="P280" s="169">
        <f>(INDEX(Models!$BJ280:$BT280,,T280)*(1-R280)+INDEX(Models!$BJ280:$BT280,,T280+1)*R280-ERP_i)*Q280*Ramure*Pc/MaxiM</f>
        <v>7.8169426397024682E-7</v>
      </c>
      <c r="Q280" s="305">
        <f t="shared" si="110"/>
        <v>0.5</v>
      </c>
      <c r="R280" s="177">
        <f t="shared" si="111"/>
        <v>0.4909488713159591</v>
      </c>
      <c r="S280" s="811">
        <f t="shared" si="129"/>
        <v>-2</v>
      </c>
      <c r="T280" s="176">
        <f t="shared" si="112"/>
        <v>4</v>
      </c>
      <c r="U280" s="251">
        <f t="shared" si="113"/>
        <v>-1.5090511286840409</v>
      </c>
      <c r="V280" s="383">
        <f t="shared" si="114"/>
        <v>46.746231790711342</v>
      </c>
      <c r="W280" s="58"/>
      <c r="X280" s="157">
        <f t="shared" si="115"/>
        <v>43366</v>
      </c>
      <c r="Y280" s="385">
        <f t="shared" si="116"/>
        <v>43.899000000000001</v>
      </c>
      <c r="Z280" s="385">
        <f t="shared" si="117"/>
        <v>44.002002359453087</v>
      </c>
      <c r="AA280" s="386">
        <f t="shared" si="118"/>
        <v>44.303440381628654</v>
      </c>
      <c r="AB280" s="197">
        <f t="shared" si="119"/>
        <v>43366</v>
      </c>
      <c r="AC280" s="426">
        <f t="shared" si="120"/>
        <v>6.803941625728986E-3</v>
      </c>
      <c r="AD280" s="169">
        <f>(INDEX(Models!$BJ280:$BT280,,AH280)*(1-AF280)+INDEX(Models!$BJ280:$BT280,,AH280+1)*AF280-ERP_i)*AE280*Ramure*Pc/MaxiM</f>
        <v>7.8169426397024682E-7</v>
      </c>
      <c r="AE280" s="305">
        <f t="shared" si="121"/>
        <v>0.5</v>
      </c>
      <c r="AF280" s="177">
        <f t="shared" si="122"/>
        <v>0.4909488713159591</v>
      </c>
      <c r="AG280" s="811">
        <f t="shared" si="123"/>
        <v>-2</v>
      </c>
      <c r="AH280" s="176">
        <f t="shared" si="124"/>
        <v>4</v>
      </c>
      <c r="AI280" s="225">
        <f t="shared" si="125"/>
        <v>-1.5090511286840409</v>
      </c>
      <c r="AJ280" s="265" t="b">
        <f t="shared" si="126"/>
        <v>0</v>
      </c>
      <c r="AK280" s="265" t="b">
        <f t="shared" si="127"/>
        <v>0</v>
      </c>
      <c r="AL280" s="265"/>
      <c r="AM280" s="265"/>
      <c r="AN280" s="75"/>
    </row>
    <row r="281" spans="1:40" s="6" customFormat="1" ht="11.25" x14ac:dyDescent="0.2">
      <c r="A281" s="56">
        <f t="shared" si="128"/>
        <v>43367</v>
      </c>
      <c r="B281" s="617">
        <v>39.715000000000003</v>
      </c>
      <c r="C281" s="390"/>
      <c r="D281" s="393">
        <f t="shared" si="105"/>
        <v>39.809057157214127</v>
      </c>
      <c r="E281" s="385">
        <f t="shared" si="102"/>
        <v>40.084135562350887</v>
      </c>
      <c r="F281" s="385">
        <f t="shared" si="104"/>
        <v>40.084162591234495</v>
      </c>
      <c r="G281" s="110">
        <f t="shared" si="103"/>
        <v>0.85574219795275785</v>
      </c>
      <c r="I281" s="380">
        <f t="shared" si="106"/>
        <v>40.084162591234495</v>
      </c>
      <c r="J281" s="85">
        <v>2018</v>
      </c>
      <c r="K281" s="197">
        <f t="shared" si="107"/>
        <v>43367</v>
      </c>
      <c r="L281" s="437">
        <f t="shared" si="108"/>
        <v>2.3627074824372762E-3</v>
      </c>
      <c r="M281" s="856"/>
      <c r="N281" s="856"/>
      <c r="O281" s="324">
        <f t="shared" si="109"/>
        <v>6.8625255672254389E-3</v>
      </c>
      <c r="P281" s="169">
        <f>(INDEX(Models!$BJ281:$BT281,,T281)*(1-R281)+INDEX(Models!$BJ281:$BT281,,T281+1)*R281-ERP_i)*Q281*Ramure*Pc/MaxiM</f>
        <v>8.493366046069193E-7</v>
      </c>
      <c r="Q281" s="305">
        <f t="shared" si="110"/>
        <v>0.5</v>
      </c>
      <c r="R281" s="177">
        <f t="shared" si="111"/>
        <v>0.4912114811080952</v>
      </c>
      <c r="S281" s="811">
        <f t="shared" si="129"/>
        <v>-2</v>
      </c>
      <c r="T281" s="176">
        <f t="shared" si="112"/>
        <v>4</v>
      </c>
      <c r="U281" s="251">
        <f t="shared" si="113"/>
        <v>-1.5087885188919048</v>
      </c>
      <c r="V281" s="383">
        <f t="shared" si="114"/>
        <v>46.409997243983774</v>
      </c>
      <c r="W281" s="58"/>
      <c r="X281" s="157">
        <f t="shared" si="115"/>
        <v>43367</v>
      </c>
      <c r="Y281" s="385">
        <f t="shared" si="116"/>
        <v>39.715000000000003</v>
      </c>
      <c r="Z281" s="385">
        <f t="shared" si="117"/>
        <v>39.809057157214127</v>
      </c>
      <c r="AA281" s="386">
        <f t="shared" si="118"/>
        <v>40.084135562350887</v>
      </c>
      <c r="AB281" s="197">
        <f t="shared" si="119"/>
        <v>43367</v>
      </c>
      <c r="AC281" s="426">
        <f t="shared" si="120"/>
        <v>6.8625255672254389E-3</v>
      </c>
      <c r="AD281" s="169">
        <f>(INDEX(Models!$BJ281:$BT281,,AH281)*(1-AF281)+INDEX(Models!$BJ281:$BT281,,AH281+1)*AF281-ERP_i)*AE281*Ramure*Pc/MaxiM</f>
        <v>8.493366046069193E-7</v>
      </c>
      <c r="AE281" s="305">
        <f t="shared" si="121"/>
        <v>0.5</v>
      </c>
      <c r="AF281" s="177">
        <f t="shared" si="122"/>
        <v>0.4912114811080952</v>
      </c>
      <c r="AG281" s="811">
        <f t="shared" si="123"/>
        <v>-2</v>
      </c>
      <c r="AH281" s="176">
        <f t="shared" si="124"/>
        <v>4</v>
      </c>
      <c r="AI281" s="225">
        <f t="shared" si="125"/>
        <v>-1.5087885188919048</v>
      </c>
      <c r="AJ281" s="265" t="b">
        <f t="shared" si="126"/>
        <v>0</v>
      </c>
      <c r="AK281" s="265" t="b">
        <f t="shared" si="127"/>
        <v>0</v>
      </c>
      <c r="AL281" s="265"/>
      <c r="AM281" s="265"/>
      <c r="AN281" s="75"/>
    </row>
    <row r="282" spans="1:40" s="6" customFormat="1" ht="11.25" x14ac:dyDescent="0.2">
      <c r="A282" s="56">
        <f t="shared" si="128"/>
        <v>43368</v>
      </c>
      <c r="B282" s="617">
        <v>46.082000000000001</v>
      </c>
      <c r="C282" s="390"/>
      <c r="D282" s="393">
        <f t="shared" si="105"/>
        <v>46.192147869574683</v>
      </c>
      <c r="E282" s="385">
        <f t="shared" si="102"/>
        <v>46.514069061558715</v>
      </c>
      <c r="F282" s="385">
        <f t="shared" si="104"/>
        <v>46.514117854235721</v>
      </c>
      <c r="G282" s="110">
        <f t="shared" si="103"/>
        <v>1.0002206797795916</v>
      </c>
      <c r="I282" s="380">
        <f t="shared" si="106"/>
        <v>46.514117854235721</v>
      </c>
      <c r="J282" s="85">
        <v>2018</v>
      </c>
      <c r="K282" s="197">
        <f t="shared" si="107"/>
        <v>43368</v>
      </c>
      <c r="L282" s="437">
        <f t="shared" si="108"/>
        <v>2.3845582995120074E-3</v>
      </c>
      <c r="M282" s="856"/>
      <c r="N282" s="856"/>
      <c r="O282" s="324">
        <f t="shared" si="109"/>
        <v>6.9209423832172143E-3</v>
      </c>
      <c r="P282" s="169">
        <f>(INDEX(Models!$BJ282:$BT282,,T282)*(1-R282)+INDEX(Models!$BJ282:$BT282,,T282+1)*R282-ERP_i)*Q282*Ramure*Pc/MaxiM</f>
        <v>1.0489863993315712E-6</v>
      </c>
      <c r="Q282" s="305">
        <f t="shared" si="110"/>
        <v>0.5</v>
      </c>
      <c r="R282" s="177">
        <f t="shared" si="111"/>
        <v>0.49146378003531344</v>
      </c>
      <c r="S282" s="811">
        <f t="shared" si="129"/>
        <v>-2</v>
      </c>
      <c r="T282" s="176">
        <f t="shared" si="112"/>
        <v>4</v>
      </c>
      <c r="U282" s="251">
        <f t="shared" si="113"/>
        <v>-1.5085362199646866</v>
      </c>
      <c r="V282" s="383">
        <f t="shared" si="114"/>
        <v>46.071832878075092</v>
      </c>
      <c r="W282" s="58"/>
      <c r="X282" s="157">
        <f t="shared" si="115"/>
        <v>43368</v>
      </c>
      <c r="Y282" s="385">
        <f t="shared" si="116"/>
        <v>46.082000000000001</v>
      </c>
      <c r="Z282" s="385">
        <f t="shared" si="117"/>
        <v>46.192147869574683</v>
      </c>
      <c r="AA282" s="386">
        <f t="shared" si="118"/>
        <v>46.514069061558715</v>
      </c>
      <c r="AB282" s="197">
        <f t="shared" si="119"/>
        <v>43368</v>
      </c>
      <c r="AC282" s="426">
        <f t="shared" si="120"/>
        <v>6.9209423832172143E-3</v>
      </c>
      <c r="AD282" s="169">
        <f>(INDEX(Models!$BJ282:$BT282,,AH282)*(1-AF282)+INDEX(Models!$BJ282:$BT282,,AH282+1)*AF282-ERP_i)*AE282*Ramure*Pc/MaxiM</f>
        <v>1.0489863993315712E-6</v>
      </c>
      <c r="AE282" s="305">
        <f t="shared" si="121"/>
        <v>0.5</v>
      </c>
      <c r="AF282" s="177">
        <f t="shared" si="122"/>
        <v>0.49146378003531344</v>
      </c>
      <c r="AG282" s="811">
        <f t="shared" si="123"/>
        <v>-2</v>
      </c>
      <c r="AH282" s="176">
        <f t="shared" si="124"/>
        <v>4</v>
      </c>
      <c r="AI282" s="225">
        <f t="shared" si="125"/>
        <v>-1.5085362199646866</v>
      </c>
      <c r="AJ282" s="265" t="b">
        <f t="shared" si="126"/>
        <v>0</v>
      </c>
      <c r="AK282" s="265" t="b">
        <f t="shared" si="127"/>
        <v>0</v>
      </c>
      <c r="AL282" s="265"/>
      <c r="AM282" s="265"/>
      <c r="AN282" s="75"/>
    </row>
    <row r="283" spans="1:40" s="6" customFormat="1" ht="11.25" x14ac:dyDescent="0.2">
      <c r="A283" s="56">
        <f t="shared" si="128"/>
        <v>43369</v>
      </c>
      <c r="B283" s="617">
        <v>46.04</v>
      </c>
      <c r="C283" s="390"/>
      <c r="D283" s="393">
        <f t="shared" si="105"/>
        <v>46.151058305358752</v>
      </c>
      <c r="E283" s="385">
        <f t="shared" si="102"/>
        <v>46.475418985725121</v>
      </c>
      <c r="F283" s="385">
        <f t="shared" si="104"/>
        <v>46.475483095151723</v>
      </c>
      <c r="G283" s="110">
        <f t="shared" si="103"/>
        <v>1.0067218972020169</v>
      </c>
      <c r="I283" s="380">
        <f t="shared" si="106"/>
        <v>46.475483095151723</v>
      </c>
      <c r="J283" s="85">
        <v>2018</v>
      </c>
      <c r="K283" s="197">
        <f t="shared" si="107"/>
        <v>43369</v>
      </c>
      <c r="L283" s="437">
        <f t="shared" si="108"/>
        <v>2.4064086379977923E-3</v>
      </c>
      <c r="M283" s="856"/>
      <c r="N283" s="856"/>
      <c r="O283" s="324">
        <f t="shared" si="109"/>
        <v>6.9791878684514639E-3</v>
      </c>
      <c r="P283" s="169">
        <f>(INDEX(Models!$BJ283:$BT283,,T283)*(1-R283)+INDEX(Models!$BJ283:$BT283,,T283+1)*R283-ERP_i)*Q283*Ramure*Pc/MaxiM</f>
        <v>1.3794246413464028E-6</v>
      </c>
      <c r="Q283" s="305">
        <f t="shared" si="110"/>
        <v>0.5</v>
      </c>
      <c r="R283" s="177">
        <f t="shared" si="111"/>
        <v>0.49170616289569136</v>
      </c>
      <c r="S283" s="811">
        <f t="shared" si="129"/>
        <v>-2</v>
      </c>
      <c r="T283" s="176">
        <f t="shared" si="112"/>
        <v>4</v>
      </c>
      <c r="U283" s="251">
        <f t="shared" si="113"/>
        <v>-1.5082938371043086</v>
      </c>
      <c r="V283" s="383">
        <f t="shared" si="114"/>
        <v>45.732590229694026</v>
      </c>
      <c r="W283" s="58"/>
      <c r="X283" s="157">
        <f t="shared" si="115"/>
        <v>43369</v>
      </c>
      <c r="Y283" s="385">
        <f t="shared" si="116"/>
        <v>46.04</v>
      </c>
      <c r="Z283" s="385">
        <f t="shared" si="117"/>
        <v>46.151058305358752</v>
      </c>
      <c r="AA283" s="386">
        <f t="shared" si="118"/>
        <v>46.475418985725121</v>
      </c>
      <c r="AB283" s="197">
        <f t="shared" si="119"/>
        <v>43369</v>
      </c>
      <c r="AC283" s="426">
        <f t="shared" si="120"/>
        <v>6.9791878684514639E-3</v>
      </c>
      <c r="AD283" s="169">
        <f>(INDEX(Models!$BJ283:$BT283,,AH283)*(1-AF283)+INDEX(Models!$BJ283:$BT283,,AH283+1)*AF283-ERP_i)*AE283*Ramure*Pc/MaxiM</f>
        <v>1.3794246413464028E-6</v>
      </c>
      <c r="AE283" s="305">
        <f t="shared" si="121"/>
        <v>0.5</v>
      </c>
      <c r="AF283" s="177">
        <f t="shared" si="122"/>
        <v>0.49170616289569136</v>
      </c>
      <c r="AG283" s="811">
        <f t="shared" si="123"/>
        <v>-2</v>
      </c>
      <c r="AH283" s="176">
        <f t="shared" si="124"/>
        <v>4</v>
      </c>
      <c r="AI283" s="225">
        <f t="shared" si="125"/>
        <v>-1.5082938371043086</v>
      </c>
      <c r="AJ283" s="265" t="b">
        <f t="shared" si="126"/>
        <v>0</v>
      </c>
      <c r="AK283" s="265" t="b">
        <f t="shared" si="127"/>
        <v>0</v>
      </c>
      <c r="AL283" s="265"/>
      <c r="AM283" s="265"/>
      <c r="AN283" s="75"/>
    </row>
    <row r="284" spans="1:40" s="6" customFormat="1" ht="11.25" x14ac:dyDescent="0.2">
      <c r="A284" s="56">
        <f t="shared" si="128"/>
        <v>43370</v>
      </c>
      <c r="B284" s="617">
        <v>44.694000000000003</v>
      </c>
      <c r="C284" s="390"/>
      <c r="D284" s="393">
        <f t="shared" si="105"/>
        <v>44.802792762254825</v>
      </c>
      <c r="E284" s="385">
        <f t="shared" si="102"/>
        <v>45.120316058575483</v>
      </c>
      <c r="F284" s="385">
        <f t="shared" si="104"/>
        <v>45.12039737403196</v>
      </c>
      <c r="G284" s="110">
        <f t="shared" si="103"/>
        <v>0.98459849841127378</v>
      </c>
      <c r="I284" s="380">
        <f t="shared" si="106"/>
        <v>45.12039737403196</v>
      </c>
      <c r="J284" s="85">
        <v>2018</v>
      </c>
      <c r="K284" s="197">
        <f t="shared" si="107"/>
        <v>43370</v>
      </c>
      <c r="L284" s="437">
        <f t="shared" si="108"/>
        <v>2.428258497905067E-3</v>
      </c>
      <c r="M284" s="856"/>
      <c r="N284" s="856"/>
      <c r="O284" s="324">
        <f t="shared" si="109"/>
        <v>7.0372578044100081E-3</v>
      </c>
      <c r="P284" s="169">
        <f>(INDEX(Models!$BJ284:$BT284,,T284)*(1-R284)+INDEX(Models!$BJ284:$BT284,,T284+1)*R284-ERP_i)*Q284*Ramure*Pc/MaxiM</f>
        <v>1.8427323535859354E-6</v>
      </c>
      <c r="Q284" s="305">
        <f t="shared" si="110"/>
        <v>0.5</v>
      </c>
      <c r="R284" s="177">
        <f t="shared" si="111"/>
        <v>0.49193901015476071</v>
      </c>
      <c r="S284" s="811">
        <f t="shared" si="129"/>
        <v>-2</v>
      </c>
      <c r="T284" s="176">
        <f t="shared" si="112"/>
        <v>4</v>
      </c>
      <c r="U284" s="251">
        <f t="shared" si="113"/>
        <v>-1.5080609898452393</v>
      </c>
      <c r="V284" s="383">
        <f t="shared" si="114"/>
        <v>45.393120403943584</v>
      </c>
      <c r="W284" s="58"/>
      <c r="X284" s="157">
        <f t="shared" si="115"/>
        <v>43370</v>
      </c>
      <c r="Y284" s="385">
        <f t="shared" si="116"/>
        <v>44.694000000000003</v>
      </c>
      <c r="Z284" s="385">
        <f t="shared" si="117"/>
        <v>44.802792762254825</v>
      </c>
      <c r="AA284" s="386">
        <f t="shared" si="118"/>
        <v>45.120316058575483</v>
      </c>
      <c r="AB284" s="197">
        <f t="shared" si="119"/>
        <v>43370</v>
      </c>
      <c r="AC284" s="426">
        <f t="shared" si="120"/>
        <v>7.0372578044100081E-3</v>
      </c>
      <c r="AD284" s="169">
        <f>(INDEX(Models!$BJ284:$BT284,,AH284)*(1-AF284)+INDEX(Models!$BJ284:$BT284,,AH284+1)*AF284-ERP_i)*AE284*Ramure*Pc/MaxiM</f>
        <v>1.8427323535859354E-6</v>
      </c>
      <c r="AE284" s="305">
        <f t="shared" si="121"/>
        <v>0.5</v>
      </c>
      <c r="AF284" s="177">
        <f t="shared" si="122"/>
        <v>0.49193901015476071</v>
      </c>
      <c r="AG284" s="811">
        <f t="shared" si="123"/>
        <v>-2</v>
      </c>
      <c r="AH284" s="176">
        <f t="shared" si="124"/>
        <v>4</v>
      </c>
      <c r="AI284" s="225">
        <f t="shared" si="125"/>
        <v>-1.5080609898452393</v>
      </c>
      <c r="AJ284" s="265" t="b">
        <f t="shared" si="126"/>
        <v>0</v>
      </c>
      <c r="AK284" s="265" t="b">
        <f t="shared" si="127"/>
        <v>0</v>
      </c>
      <c r="AL284" s="265"/>
      <c r="AM284" s="265"/>
      <c r="AN284" s="75"/>
    </row>
    <row r="285" spans="1:40" s="6" customFormat="1" ht="11.25" x14ac:dyDescent="0.2">
      <c r="A285" s="56">
        <f t="shared" si="128"/>
        <v>43371</v>
      </c>
      <c r="B285" s="617">
        <v>41.768000000000001</v>
      </c>
      <c r="C285" s="390"/>
      <c r="D285" s="393">
        <f t="shared" si="105"/>
        <v>41.870587456235114</v>
      </c>
      <c r="E285" s="385">
        <f t="shared" si="102"/>
        <v>42.169788344806001</v>
      </c>
      <c r="F285" s="385">
        <f t="shared" si="104"/>
        <v>42.169880552957594</v>
      </c>
      <c r="G285" s="110">
        <f t="shared" si="103"/>
        <v>0.92705942090586391</v>
      </c>
      <c r="I285" s="380">
        <f t="shared" si="106"/>
        <v>42.169880552957594</v>
      </c>
      <c r="J285" s="85">
        <v>2018</v>
      </c>
      <c r="K285" s="197">
        <f t="shared" si="107"/>
        <v>43371</v>
      </c>
      <c r="L285" s="437">
        <f t="shared" si="108"/>
        <v>2.4501078792443787E-3</v>
      </c>
      <c r="M285" s="856"/>
      <c r="N285" s="856"/>
      <c r="O285" s="324">
        <f t="shared" si="109"/>
        <v>7.0951479795068918E-3</v>
      </c>
      <c r="P285" s="169">
        <f>(INDEX(Models!$BJ285:$BT285,,T285)*(1-R285)+INDEX(Models!$BJ285:$BT285,,T285+1)*R285-ERP_i)*Q285*Ramure*Pc/MaxiM</f>
        <v>2.4409344959646351E-6</v>
      </c>
      <c r="Q285" s="305">
        <f t="shared" si="110"/>
        <v>0.5</v>
      </c>
      <c r="R285" s="177">
        <f t="shared" si="111"/>
        <v>0.49216268840404731</v>
      </c>
      <c r="S285" s="811">
        <f t="shared" si="129"/>
        <v>-2</v>
      </c>
      <c r="T285" s="176">
        <f t="shared" si="112"/>
        <v>4</v>
      </c>
      <c r="U285" s="251">
        <f t="shared" si="113"/>
        <v>-1.5078373115959527</v>
      </c>
      <c r="V285" s="383">
        <f t="shared" si="114"/>
        <v>45.054274229386643</v>
      </c>
      <c r="W285" s="58"/>
      <c r="X285" s="157">
        <f t="shared" si="115"/>
        <v>43371</v>
      </c>
      <c r="Y285" s="385">
        <f t="shared" si="116"/>
        <v>41.768000000000001</v>
      </c>
      <c r="Z285" s="385">
        <f t="shared" si="117"/>
        <v>41.870587456235114</v>
      </c>
      <c r="AA285" s="386">
        <f t="shared" si="118"/>
        <v>42.169788344806001</v>
      </c>
      <c r="AB285" s="197">
        <f t="shared" si="119"/>
        <v>43371</v>
      </c>
      <c r="AC285" s="426">
        <f t="shared" si="120"/>
        <v>7.0951479795068918E-3</v>
      </c>
      <c r="AD285" s="169">
        <f>(INDEX(Models!$BJ285:$BT285,,AH285)*(1-AF285)+INDEX(Models!$BJ285:$BT285,,AH285+1)*AF285-ERP_i)*AE285*Ramure*Pc/MaxiM</f>
        <v>2.4409344959646351E-6</v>
      </c>
      <c r="AE285" s="305">
        <f t="shared" si="121"/>
        <v>0.5</v>
      </c>
      <c r="AF285" s="177">
        <f t="shared" si="122"/>
        <v>0.49216268840404731</v>
      </c>
      <c r="AG285" s="811">
        <f t="shared" si="123"/>
        <v>-2</v>
      </c>
      <c r="AH285" s="176">
        <f t="shared" si="124"/>
        <v>4</v>
      </c>
      <c r="AI285" s="225">
        <f t="shared" si="125"/>
        <v>-1.5078373115959527</v>
      </c>
      <c r="AJ285" s="265" t="b">
        <f t="shared" si="126"/>
        <v>0</v>
      </c>
      <c r="AK285" s="265" t="b">
        <f t="shared" si="127"/>
        <v>0</v>
      </c>
      <c r="AL285" s="265"/>
      <c r="AM285" s="265"/>
      <c r="AN285" s="75"/>
    </row>
    <row r="286" spans="1:40" s="6" customFormat="1" ht="11.25" x14ac:dyDescent="0.2">
      <c r="A286" s="56">
        <f t="shared" si="128"/>
        <v>43372</v>
      </c>
      <c r="B286" s="617">
        <v>43.454999999999998</v>
      </c>
      <c r="C286" s="390"/>
      <c r="D286" s="393">
        <f t="shared" si="105"/>
        <v>43.562685074813956</v>
      </c>
      <c r="E286" s="385">
        <f t="shared" si="102"/>
        <v>43.876527479150951</v>
      </c>
      <c r="F286" s="385">
        <f t="shared" si="104"/>
        <v>43.876661212239874</v>
      </c>
      <c r="G286" s="110">
        <f t="shared" si="103"/>
        <v>0.97178007062855765</v>
      </c>
      <c r="I286" s="380">
        <f t="shared" si="106"/>
        <v>43.876661212239874</v>
      </c>
      <c r="J286" s="85">
        <v>2018</v>
      </c>
      <c r="K286" s="197">
        <f t="shared" si="107"/>
        <v>43372</v>
      </c>
      <c r="L286" s="437">
        <f t="shared" si="108"/>
        <v>2.4719567820261634E-3</v>
      </c>
      <c r="M286" s="856"/>
      <c r="N286" s="856"/>
      <c r="O286" s="324">
        <f t="shared" si="109"/>
        <v>7.1528542108561712E-3</v>
      </c>
      <c r="P286" s="169">
        <f>(INDEX(Models!$BJ286:$BT286,,T286)*(1-R286)+INDEX(Models!$BJ286:$BT286,,T286+1)*R286-ERP_i)*Q286*Ramure*Pc/MaxiM</f>
        <v>3.1759682137643718E-6</v>
      </c>
      <c r="Q286" s="305">
        <f t="shared" si="110"/>
        <v>0.5</v>
      </c>
      <c r="R286" s="177">
        <f t="shared" si="111"/>
        <v>0.49237755080995749</v>
      </c>
      <c r="S286" s="811">
        <f t="shared" si="129"/>
        <v>-2</v>
      </c>
      <c r="T286" s="176">
        <f t="shared" si="112"/>
        <v>4</v>
      </c>
      <c r="U286" s="251">
        <f t="shared" si="113"/>
        <v>-1.5076224491900425</v>
      </c>
      <c r="V286" s="383">
        <f t="shared" si="114"/>
        <v>44.716902259655626</v>
      </c>
      <c r="W286" s="58"/>
      <c r="X286" s="157">
        <f t="shared" si="115"/>
        <v>43372</v>
      </c>
      <c r="Y286" s="385">
        <f t="shared" si="116"/>
        <v>43.454999999999998</v>
      </c>
      <c r="Z286" s="385">
        <f t="shared" si="117"/>
        <v>43.562685074813956</v>
      </c>
      <c r="AA286" s="386">
        <f t="shared" si="118"/>
        <v>43.876527479150951</v>
      </c>
      <c r="AB286" s="197">
        <f t="shared" si="119"/>
        <v>43372</v>
      </c>
      <c r="AC286" s="426">
        <f t="shared" si="120"/>
        <v>7.1528542108561712E-3</v>
      </c>
      <c r="AD286" s="169">
        <f>(INDEX(Models!$BJ286:$BT286,,AH286)*(1-AF286)+INDEX(Models!$BJ286:$BT286,,AH286+1)*AF286-ERP_i)*AE286*Ramure*Pc/MaxiM</f>
        <v>3.1759682137643718E-6</v>
      </c>
      <c r="AE286" s="305">
        <f t="shared" si="121"/>
        <v>0.5</v>
      </c>
      <c r="AF286" s="177">
        <f t="shared" si="122"/>
        <v>0.49237755080995749</v>
      </c>
      <c r="AG286" s="811">
        <f t="shared" si="123"/>
        <v>-2</v>
      </c>
      <c r="AH286" s="176">
        <f t="shared" si="124"/>
        <v>4</v>
      </c>
      <c r="AI286" s="225">
        <f t="shared" si="125"/>
        <v>-1.5076224491900425</v>
      </c>
      <c r="AJ286" s="265" t="b">
        <f t="shared" si="126"/>
        <v>0</v>
      </c>
      <c r="AK286" s="265" t="b">
        <f t="shared" si="127"/>
        <v>0</v>
      </c>
      <c r="AL286" s="265"/>
      <c r="AM286" s="265"/>
      <c r="AN286" s="75"/>
    </row>
    <row r="287" spans="1:40" s="6" customFormat="1" ht="11.25" x14ac:dyDescent="0.2">
      <c r="A287" s="56">
        <f t="shared" si="128"/>
        <v>43373</v>
      </c>
      <c r="B287" s="617">
        <v>41.005000000000003</v>
      </c>
      <c r="C287" s="390"/>
      <c r="D287" s="393">
        <f t="shared" si="105"/>
        <v>41.10751413276072</v>
      </c>
      <c r="E287" s="385">
        <f t="shared" si="102"/>
        <v>41.406067296241041</v>
      </c>
      <c r="F287" s="385">
        <f t="shared" si="104"/>
        <v>41.406216750872005</v>
      </c>
      <c r="G287" s="110">
        <f t="shared" si="103"/>
        <v>0.92391321091399448</v>
      </c>
      <c r="I287" s="380">
        <f t="shared" si="106"/>
        <v>41.406216750872005</v>
      </c>
      <c r="J287" s="85">
        <v>2018</v>
      </c>
      <c r="K287" s="197">
        <f t="shared" si="107"/>
        <v>43373</v>
      </c>
      <c r="L287" s="437">
        <f t="shared" si="108"/>
        <v>2.4938052062608573E-3</v>
      </c>
      <c r="M287" s="856"/>
      <c r="N287" s="856"/>
      <c r="O287" s="324">
        <f t="shared" si="109"/>
        <v>7.2103723675158238E-3</v>
      </c>
      <c r="P287" s="169">
        <f>(INDEX(Models!$BJ287:$BT287,,T287)*(1-R287)+INDEX(Models!$BJ287:$BT287,,T287+1)*R287-ERP_i)*Q287*Ramure*Pc/MaxiM</f>
        <v>4.0496491669489056E-6</v>
      </c>
      <c r="Q287" s="305">
        <f t="shared" si="110"/>
        <v>0.5</v>
      </c>
      <c r="R287" s="177">
        <f t="shared" si="111"/>
        <v>0.49258393755276653</v>
      </c>
      <c r="S287" s="811">
        <f t="shared" si="129"/>
        <v>-2</v>
      </c>
      <c r="T287" s="176">
        <f t="shared" si="112"/>
        <v>4</v>
      </c>
      <c r="U287" s="251">
        <f t="shared" si="113"/>
        <v>-1.5074160624472335</v>
      </c>
      <c r="V287" s="383">
        <f t="shared" si="114"/>
        <v>44.381854773952021</v>
      </c>
      <c r="W287" s="58"/>
      <c r="X287" s="157">
        <f t="shared" si="115"/>
        <v>43373</v>
      </c>
      <c r="Y287" s="385">
        <f t="shared" si="116"/>
        <v>41.005000000000003</v>
      </c>
      <c r="Z287" s="385">
        <f t="shared" si="117"/>
        <v>41.10751413276072</v>
      </c>
      <c r="AA287" s="386">
        <f t="shared" si="118"/>
        <v>41.406067296241041</v>
      </c>
      <c r="AB287" s="197">
        <f t="shared" si="119"/>
        <v>43373</v>
      </c>
      <c r="AC287" s="426">
        <f t="shared" si="120"/>
        <v>7.2103723675158238E-3</v>
      </c>
      <c r="AD287" s="169">
        <f>(INDEX(Models!$BJ287:$BT287,,AH287)*(1-AF287)+INDEX(Models!$BJ287:$BT287,,AH287+1)*AF287-ERP_i)*AE287*Ramure*Pc/MaxiM</f>
        <v>4.0496491669489056E-6</v>
      </c>
      <c r="AE287" s="305">
        <f t="shared" si="121"/>
        <v>0.5</v>
      </c>
      <c r="AF287" s="177">
        <f t="shared" si="122"/>
        <v>0.49258393755276653</v>
      </c>
      <c r="AG287" s="811">
        <f t="shared" si="123"/>
        <v>-2</v>
      </c>
      <c r="AH287" s="176">
        <f t="shared" si="124"/>
        <v>4</v>
      </c>
      <c r="AI287" s="225">
        <f t="shared" si="125"/>
        <v>-1.5074160624472335</v>
      </c>
      <c r="AJ287" s="265" t="b">
        <f t="shared" si="126"/>
        <v>0</v>
      </c>
      <c r="AK287" s="265" t="b">
        <f t="shared" si="127"/>
        <v>0</v>
      </c>
      <c r="AL287" s="265"/>
      <c r="AM287" s="265"/>
      <c r="AN287" s="75"/>
    </row>
    <row r="288" spans="1:40" s="6" customFormat="1" ht="11.25" x14ac:dyDescent="0.2">
      <c r="A288" s="56">
        <f t="shared" si="128"/>
        <v>43374</v>
      </c>
      <c r="B288" s="617">
        <v>27.46</v>
      </c>
      <c r="C288" s="390"/>
      <c r="D288" s="393">
        <f t="shared" si="105"/>
        <v>27.529254054733872</v>
      </c>
      <c r="E288" s="385">
        <f t="shared" si="102"/>
        <v>27.730793095206575</v>
      </c>
      <c r="F288" s="385">
        <f t="shared" si="104"/>
        <v>27.730857965316282</v>
      </c>
      <c r="G288" s="110">
        <f t="shared" si="103"/>
        <v>0.62338107941437881</v>
      </c>
      <c r="I288" s="380">
        <f t="shared" si="106"/>
        <v>27.730857965316282</v>
      </c>
      <c r="J288" s="85">
        <v>2018</v>
      </c>
      <c r="K288" s="197">
        <f t="shared" si="107"/>
        <v>43374</v>
      </c>
      <c r="L288" s="437">
        <f t="shared" si="108"/>
        <v>2.5156531519590075E-3</v>
      </c>
      <c r="M288" s="856"/>
      <c r="N288" s="856"/>
      <c r="O288" s="324">
        <f t="shared" si="109"/>
        <v>7.267698395093493E-3</v>
      </c>
      <c r="P288" s="169">
        <f>(INDEX(Models!$BJ288:$BT288,,T288)*(1-R288)+INDEX(Models!$BJ288:$BT288,,T288+1)*R288-ERP_i)*Q288*Ramure*Pc/MaxiM</f>
        <v>5.0636360003085947E-6</v>
      </c>
      <c r="Q288" s="305">
        <f t="shared" si="110"/>
        <v>0.5</v>
      </c>
      <c r="R288" s="177">
        <f t="shared" si="111"/>
        <v>0.49278217625551468</v>
      </c>
      <c r="S288" s="811">
        <f t="shared" si="129"/>
        <v>-2</v>
      </c>
      <c r="T288" s="176">
        <f t="shared" si="112"/>
        <v>4</v>
      </c>
      <c r="U288" s="251">
        <f t="shared" si="113"/>
        <v>-1.5072178237444853</v>
      </c>
      <c r="V288" s="383">
        <f t="shared" si="114"/>
        <v>44.049981777880397</v>
      </c>
      <c r="W288" s="58"/>
      <c r="X288" s="157">
        <f t="shared" si="115"/>
        <v>43374</v>
      </c>
      <c r="Y288" s="385">
        <f t="shared" si="116"/>
        <v>27.46</v>
      </c>
      <c r="Z288" s="385">
        <f t="shared" si="117"/>
        <v>27.529254054733872</v>
      </c>
      <c r="AA288" s="386">
        <f t="shared" si="118"/>
        <v>27.730793095206575</v>
      </c>
      <c r="AB288" s="197">
        <f t="shared" si="119"/>
        <v>43374</v>
      </c>
      <c r="AC288" s="426">
        <f t="shared" si="120"/>
        <v>7.267698395093493E-3</v>
      </c>
      <c r="AD288" s="169">
        <f>(INDEX(Models!$BJ288:$BT288,,AH288)*(1-AF288)+INDEX(Models!$BJ288:$BT288,,AH288+1)*AF288-ERP_i)*AE288*Ramure*Pc/MaxiM</f>
        <v>5.0636360003085947E-6</v>
      </c>
      <c r="AE288" s="305">
        <f t="shared" si="121"/>
        <v>0.5</v>
      </c>
      <c r="AF288" s="177">
        <f t="shared" si="122"/>
        <v>0.49278217625551468</v>
      </c>
      <c r="AG288" s="811">
        <f t="shared" si="123"/>
        <v>-2</v>
      </c>
      <c r="AH288" s="176">
        <f t="shared" si="124"/>
        <v>4</v>
      </c>
      <c r="AI288" s="225">
        <f t="shared" si="125"/>
        <v>-1.5072178237444853</v>
      </c>
      <c r="AJ288" s="265" t="b">
        <f t="shared" si="126"/>
        <v>0</v>
      </c>
      <c r="AK288" s="265" t="b">
        <f t="shared" si="12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8"/>
        <v>43375</v>
      </c>
      <c r="B289" s="617">
        <v>44.112000000000002</v>
      </c>
      <c r="C289" s="390"/>
      <c r="D289" s="393">
        <f t="shared" si="105"/>
        <v>44.224218983050079</v>
      </c>
      <c r="E289" s="385">
        <f t="shared" si="102"/>
        <v>44.550544070893388</v>
      </c>
      <c r="F289" s="385">
        <f t="shared" si="104"/>
        <v>44.550821163435508</v>
      </c>
      <c r="G289" s="110">
        <f t="shared" si="103"/>
        <v>1.0089659887314031</v>
      </c>
      <c r="I289" s="380">
        <f t="shared" si="106"/>
        <v>44.550821163435508</v>
      </c>
      <c r="J289" s="85">
        <v>2018</v>
      </c>
      <c r="K289" s="197">
        <f t="shared" si="107"/>
        <v>43375</v>
      </c>
      <c r="L289" s="437">
        <f t="shared" si="108"/>
        <v>2.5375006191310501E-3</v>
      </c>
      <c r="M289" s="856"/>
      <c r="N289" s="856"/>
      <c r="O289" s="324">
        <f t="shared" si="109"/>
        <v>7.3248283415804421E-3</v>
      </c>
      <c r="P289" s="169">
        <f>(INDEX(Models!$BJ289:$BT289,,T289)*(1-R289)+INDEX(Models!$BJ289:$BT289,,T289+1)*R289-ERP_i)*Q289*Ramure*Pc/MaxiM</f>
        <v>6.2196955046867257E-6</v>
      </c>
      <c r="Q289" s="305">
        <f t="shared" si="110"/>
        <v>0.5</v>
      </c>
      <c r="R289" s="177">
        <f t="shared" si="111"/>
        <v>0.49297258240267117</v>
      </c>
      <c r="S289" s="811">
        <f t="shared" si="129"/>
        <v>-2</v>
      </c>
      <c r="T289" s="176">
        <f t="shared" si="112"/>
        <v>4</v>
      </c>
      <c r="U289" s="251">
        <f t="shared" si="113"/>
        <v>-1.5070274175973288</v>
      </c>
      <c r="V289" s="383">
        <f t="shared" si="114"/>
        <v>43.720006910701784</v>
      </c>
      <c r="W289" s="58"/>
      <c r="X289" s="157">
        <f t="shared" si="115"/>
        <v>43375</v>
      </c>
      <c r="Y289" s="385">
        <f t="shared" si="116"/>
        <v>44.112000000000002</v>
      </c>
      <c r="Z289" s="385">
        <f t="shared" si="117"/>
        <v>44.224218983050079</v>
      </c>
      <c r="AA289" s="386">
        <f t="shared" si="118"/>
        <v>44.550544070893388</v>
      </c>
      <c r="AB289" s="197">
        <f t="shared" si="119"/>
        <v>43375</v>
      </c>
      <c r="AC289" s="426">
        <f t="shared" si="120"/>
        <v>7.3248283415804421E-3</v>
      </c>
      <c r="AD289" s="169">
        <f>(INDEX(Models!$BJ289:$BT289,,AH289)*(1-AF289)+INDEX(Models!$BJ289:$BT289,,AH289+1)*AF289-ERP_i)*AE289*Ramure*Pc/MaxiM</f>
        <v>6.2196955046867257E-6</v>
      </c>
      <c r="AE289" s="305">
        <f t="shared" si="121"/>
        <v>0.5</v>
      </c>
      <c r="AF289" s="177">
        <f t="shared" si="122"/>
        <v>0.49297258240267117</v>
      </c>
      <c r="AG289" s="811">
        <f t="shared" si="123"/>
        <v>-2</v>
      </c>
      <c r="AH289" s="176">
        <f t="shared" si="124"/>
        <v>4</v>
      </c>
      <c r="AI289" s="225">
        <f t="shared" si="125"/>
        <v>-1.5070274175973288</v>
      </c>
      <c r="AJ289" s="265" t="b">
        <f t="shared" si="126"/>
        <v>0</v>
      </c>
      <c r="AK289" s="265" t="b">
        <f t="shared" si="127"/>
        <v>0</v>
      </c>
      <c r="AL289" s="265"/>
      <c r="AM289" s="265"/>
      <c r="AN289" s="75"/>
    </row>
    <row r="290" spans="1:40" s="6" customFormat="1" ht="11.25" x14ac:dyDescent="0.2">
      <c r="A290" s="56">
        <f t="shared" si="128"/>
        <v>43376</v>
      </c>
      <c r="B290" s="617">
        <v>42.094000000000001</v>
      </c>
      <c r="C290" s="390"/>
      <c r="D290" s="393">
        <f t="shared" si="105"/>
        <v>42.202009612345186</v>
      </c>
      <c r="E290" s="385">
        <f t="shared" si="102"/>
        <v>42.515851354545596</v>
      </c>
      <c r="F290" s="385">
        <f t="shared" si="104"/>
        <v>42.516161138689995</v>
      </c>
      <c r="G290" s="110">
        <f t="shared" si="103"/>
        <v>0.9701291882920472</v>
      </c>
      <c r="I290" s="380">
        <f t="shared" si="106"/>
        <v>42.516161138689995</v>
      </c>
      <c r="J290" s="85">
        <v>2018</v>
      </c>
      <c r="K290" s="197">
        <f t="shared" si="107"/>
        <v>43376</v>
      </c>
      <c r="L290" s="437">
        <f t="shared" si="108"/>
        <v>2.5593476077875321E-3</v>
      </c>
      <c r="M290" s="856"/>
      <c r="N290" s="856"/>
      <c r="O290" s="324">
        <f t="shared" si="109"/>
        <v>7.3817583842610513E-3</v>
      </c>
      <c r="P290" s="169">
        <f>(INDEX(Models!$BJ290:$BT290,,T290)*(1-R290)+INDEX(Models!$BJ290:$BT290,,T290+1)*R290-ERP_i)*Q290*Ramure*Pc/MaxiM</f>
        <v>7.6110476773686462E-6</v>
      </c>
      <c r="Q290" s="305">
        <f t="shared" si="110"/>
        <v>0.5</v>
      </c>
      <c r="R290" s="177">
        <f t="shared" si="111"/>
        <v>0.49315545974845931</v>
      </c>
      <c r="S290" s="811">
        <f t="shared" si="129"/>
        <v>-2</v>
      </c>
      <c r="T290" s="176">
        <f t="shared" si="112"/>
        <v>4</v>
      </c>
      <c r="U290" s="251">
        <f t="shared" si="113"/>
        <v>-1.5068445402515407</v>
      </c>
      <c r="V290" s="383">
        <f t="shared" si="114"/>
        <v>43.39008333800664</v>
      </c>
      <c r="W290" s="58"/>
      <c r="X290" s="157">
        <f t="shared" si="115"/>
        <v>43376</v>
      </c>
      <c r="Y290" s="385">
        <f t="shared" si="116"/>
        <v>42.094000000000001</v>
      </c>
      <c r="Z290" s="385">
        <f t="shared" si="117"/>
        <v>42.202009612345186</v>
      </c>
      <c r="AA290" s="386">
        <f t="shared" si="118"/>
        <v>42.515851354545596</v>
      </c>
      <c r="AB290" s="197">
        <f t="shared" si="119"/>
        <v>43376</v>
      </c>
      <c r="AC290" s="426">
        <f t="shared" si="120"/>
        <v>7.3817583842610513E-3</v>
      </c>
      <c r="AD290" s="169">
        <f>(INDEX(Models!$BJ290:$BT290,,AH290)*(1-AF290)+INDEX(Models!$BJ290:$BT290,,AH290+1)*AF290-ERP_i)*AE290*Ramure*Pc/MaxiM</f>
        <v>7.6110476773686462E-6</v>
      </c>
      <c r="AE290" s="305">
        <f t="shared" si="121"/>
        <v>0.5</v>
      </c>
      <c r="AF290" s="177">
        <f t="shared" si="122"/>
        <v>0.49315545974845931</v>
      </c>
      <c r="AG290" s="811">
        <f t="shared" si="123"/>
        <v>-2</v>
      </c>
      <c r="AH290" s="176">
        <f t="shared" si="124"/>
        <v>4</v>
      </c>
      <c r="AI290" s="225">
        <f t="shared" si="125"/>
        <v>-1.5068445402515407</v>
      </c>
      <c r="AJ290" s="265" t="b">
        <f t="shared" si="126"/>
        <v>0</v>
      </c>
      <c r="AK290" s="265" t="b">
        <f t="shared" si="12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8"/>
        <v>43377</v>
      </c>
      <c r="B291" s="617">
        <v>41.671999999999997</v>
      </c>
      <c r="C291" s="390"/>
      <c r="D291" s="393">
        <f t="shared" si="105"/>
        <v>41.779841882114525</v>
      </c>
      <c r="E291" s="385">
        <f t="shared" si="102"/>
        <v>42.092949650699921</v>
      </c>
      <c r="F291" s="385">
        <f t="shared" si="104"/>
        <v>42.093320826448114</v>
      </c>
      <c r="G291" s="110">
        <f t="shared" si="103"/>
        <v>0.96776075399819461</v>
      </c>
      <c r="I291" s="380">
        <f t="shared" si="106"/>
        <v>42.093320826448114</v>
      </c>
      <c r="J291" s="85">
        <v>2018</v>
      </c>
      <c r="K291" s="197">
        <f t="shared" si="107"/>
        <v>43377</v>
      </c>
      <c r="L291" s="437">
        <f t="shared" si="108"/>
        <v>2.5811941179388898E-3</v>
      </c>
      <c r="M291" s="856"/>
      <c r="N291" s="856"/>
      <c r="O291" s="324">
        <f t="shared" si="109"/>
        <v>7.4384848575273542E-3</v>
      </c>
      <c r="P291" s="169">
        <f>(INDEX(Models!$BJ291:$BT291,,T291)*(1-R291)+INDEX(Models!$BJ291:$BT291,,T291+1)*R291-ERP_i)*Q291*Ramure*Pc/MaxiM</f>
        <v>9.2436455576838451E-6</v>
      </c>
      <c r="Q291" s="305">
        <f t="shared" si="110"/>
        <v>0.5</v>
      </c>
      <c r="R291" s="177">
        <f t="shared" si="111"/>
        <v>0.49333110071478981</v>
      </c>
      <c r="S291" s="811">
        <f t="shared" si="129"/>
        <v>-2</v>
      </c>
      <c r="T291" s="176">
        <f t="shared" si="112"/>
        <v>4</v>
      </c>
      <c r="U291" s="251">
        <f t="shared" si="113"/>
        <v>-1.5066688992852102</v>
      </c>
      <c r="V291" s="383">
        <f t="shared" si="114"/>
        <v>43.060210994355266</v>
      </c>
      <c r="W291" s="58"/>
      <c r="X291" s="157">
        <f t="shared" si="115"/>
        <v>43377</v>
      </c>
      <c r="Y291" s="385">
        <f t="shared" si="116"/>
        <v>41.671999999999997</v>
      </c>
      <c r="Z291" s="385">
        <f t="shared" si="117"/>
        <v>41.779841882114525</v>
      </c>
      <c r="AA291" s="386">
        <f t="shared" si="118"/>
        <v>42.092949650699921</v>
      </c>
      <c r="AB291" s="197">
        <f t="shared" si="119"/>
        <v>43377</v>
      </c>
      <c r="AC291" s="426">
        <f t="shared" si="120"/>
        <v>7.4384848575273542E-3</v>
      </c>
      <c r="AD291" s="169">
        <f>(INDEX(Models!$BJ291:$BT291,,AH291)*(1-AF291)+INDEX(Models!$BJ291:$BT291,,AH291+1)*AF291-ERP_i)*AE291*Ramure*Pc/MaxiM</f>
        <v>9.2436455576838451E-6</v>
      </c>
      <c r="AE291" s="305">
        <f t="shared" si="121"/>
        <v>0.5</v>
      </c>
      <c r="AF291" s="177">
        <f t="shared" si="122"/>
        <v>0.49333110071478981</v>
      </c>
      <c r="AG291" s="811">
        <f t="shared" si="123"/>
        <v>-2</v>
      </c>
      <c r="AH291" s="176">
        <f t="shared" si="124"/>
        <v>4</v>
      </c>
      <c r="AI291" s="225">
        <f t="shared" si="125"/>
        <v>-1.5066688992852102</v>
      </c>
      <c r="AJ291" s="265" t="b">
        <f t="shared" si="126"/>
        <v>0</v>
      </c>
      <c r="AK291" s="265" t="b">
        <f t="shared" si="127"/>
        <v>0</v>
      </c>
      <c r="AL291" s="265"/>
      <c r="AM291" s="265"/>
      <c r="AN291" s="75"/>
    </row>
    <row r="292" spans="1:40" s="6" customFormat="1" ht="11.25" x14ac:dyDescent="0.2">
      <c r="A292" s="56">
        <f t="shared" si="128"/>
        <v>43378</v>
      </c>
      <c r="B292" s="617">
        <v>41.854999999999997</v>
      </c>
      <c r="C292" s="390"/>
      <c r="D292" s="393">
        <f t="shared" si="105"/>
        <v>41.964234587478252</v>
      </c>
      <c r="E292" s="385">
        <f t="shared" si="102"/>
        <v>42.281131851729889</v>
      </c>
      <c r="F292" s="385">
        <f t="shared" si="104"/>
        <v>42.281588278704412</v>
      </c>
      <c r="G292" s="110">
        <f t="shared" si="103"/>
        <v>0.97951332615927156</v>
      </c>
      <c r="I292" s="380">
        <f t="shared" si="106"/>
        <v>42.281588278704412</v>
      </c>
      <c r="J292" s="85">
        <v>2018</v>
      </c>
      <c r="K292" s="197">
        <f t="shared" si="107"/>
        <v>43378</v>
      </c>
      <c r="L292" s="437">
        <f t="shared" si="108"/>
        <v>2.6030401495955591E-3</v>
      </c>
      <c r="M292" s="856"/>
      <c r="N292" s="856"/>
      <c r="O292" s="324">
        <f t="shared" si="109"/>
        <v>7.4950042814114172E-3</v>
      </c>
      <c r="P292" s="169">
        <f>(INDEX(Models!$BJ292:$BT292,,T292)*(1-R292)+INDEX(Models!$BJ292:$BT292,,T292+1)*R292-ERP_i)*Q292*Ramure*Pc/MaxiM</f>
        <v>1.1120386148722834E-5</v>
      </c>
      <c r="Q292" s="305">
        <f t="shared" si="110"/>
        <v>0.5</v>
      </c>
      <c r="R292" s="177">
        <f t="shared" si="111"/>
        <v>0.49349978677877138</v>
      </c>
      <c r="S292" s="811">
        <f t="shared" si="129"/>
        <v>-2</v>
      </c>
      <c r="T292" s="176">
        <f t="shared" si="112"/>
        <v>4</v>
      </c>
      <c r="U292" s="251">
        <f t="shared" si="113"/>
        <v>-1.5065002132212286</v>
      </c>
      <c r="V292" s="383">
        <f t="shared" si="114"/>
        <v>42.730389939857716</v>
      </c>
      <c r="W292" s="58"/>
      <c r="X292" s="157">
        <f t="shared" si="115"/>
        <v>43378</v>
      </c>
      <c r="Y292" s="385">
        <f t="shared" si="116"/>
        <v>41.854999999999997</v>
      </c>
      <c r="Z292" s="385">
        <f t="shared" si="117"/>
        <v>41.964234587478252</v>
      </c>
      <c r="AA292" s="386">
        <f t="shared" si="118"/>
        <v>42.281131851729889</v>
      </c>
      <c r="AB292" s="197">
        <f t="shared" si="119"/>
        <v>43378</v>
      </c>
      <c r="AC292" s="426">
        <f t="shared" si="120"/>
        <v>7.4950042814114172E-3</v>
      </c>
      <c r="AD292" s="169">
        <f>(INDEX(Models!$BJ292:$BT292,,AH292)*(1-AF292)+INDEX(Models!$BJ292:$BT292,,AH292+1)*AF292-ERP_i)*AE292*Ramure*Pc/MaxiM</f>
        <v>1.1120386148722834E-5</v>
      </c>
      <c r="AE292" s="305">
        <f t="shared" si="121"/>
        <v>0.5</v>
      </c>
      <c r="AF292" s="177">
        <f t="shared" si="122"/>
        <v>0.49349978677877138</v>
      </c>
      <c r="AG292" s="811">
        <f t="shared" si="123"/>
        <v>-2</v>
      </c>
      <c r="AH292" s="176">
        <f t="shared" si="124"/>
        <v>4</v>
      </c>
      <c r="AI292" s="225">
        <f t="shared" si="125"/>
        <v>-1.5065002132212286</v>
      </c>
      <c r="AJ292" s="265" t="b">
        <f t="shared" si="126"/>
        <v>0</v>
      </c>
      <c r="AK292" s="265" t="b">
        <f t="shared" si="127"/>
        <v>0</v>
      </c>
      <c r="AL292" s="265"/>
      <c r="AM292" s="265"/>
      <c r="AN292" s="75"/>
    </row>
    <row r="293" spans="1:40" s="6" customFormat="1" ht="11.25" x14ac:dyDescent="0.2">
      <c r="A293" s="56">
        <f t="shared" si="128"/>
        <v>43379</v>
      </c>
      <c r="B293" s="617">
        <v>39.234999999999999</v>
      </c>
      <c r="C293" s="390"/>
      <c r="D293" s="393">
        <f t="shared" si="105"/>
        <v>39.338258432130296</v>
      </c>
      <c r="E293" s="385">
        <f t="shared" si="102"/>
        <v>39.63757417678363</v>
      </c>
      <c r="F293" s="385">
        <f t="shared" ref="F293:F324" si="130">Wh_sa/(1-Pvg*MEDIAN((-Sdif+Wh/Env_an)/Csdif,0,1))</f>
        <v>39.638043153684698</v>
      </c>
      <c r="G293" s="110">
        <f t="shared" si="103"/>
        <v>0.92533893053779204</v>
      </c>
      <c r="I293" s="380">
        <f t="shared" si="106"/>
        <v>39.638043153684698</v>
      </c>
      <c r="J293" s="85">
        <v>2018</v>
      </c>
      <c r="K293" s="197">
        <f t="shared" si="107"/>
        <v>43379</v>
      </c>
      <c r="L293" s="437">
        <f t="shared" si="108"/>
        <v>2.6248857027680872E-3</v>
      </c>
      <c r="M293" s="856"/>
      <c r="N293" s="856"/>
      <c r="O293" s="324">
        <f t="shared" si="109"/>
        <v>7.5513133906325147E-3</v>
      </c>
      <c r="P293" s="169">
        <f>(INDEX(Models!$BJ293:$BT293,,T293)*(1-R293)+INDEX(Models!$BJ293:$BT293,,T293+1)*R293-ERP_i)*Q293*Ramure*Pc/MaxiM</f>
        <v>1.3244053061792716E-5</v>
      </c>
      <c r="Q293" s="305">
        <f t="shared" si="110"/>
        <v>0.5</v>
      </c>
      <c r="R293" s="177">
        <f t="shared" si="111"/>
        <v>0.49366178884981049</v>
      </c>
      <c r="S293" s="811">
        <f t="shared" si="129"/>
        <v>-2</v>
      </c>
      <c r="T293" s="176">
        <f t="shared" si="112"/>
        <v>4</v>
      </c>
      <c r="U293" s="251">
        <f t="shared" si="113"/>
        <v>-1.5063382111501895</v>
      </c>
      <c r="V293" s="383">
        <f t="shared" si="114"/>
        <v>42.400620229413491</v>
      </c>
      <c r="W293" s="58"/>
      <c r="X293" s="157">
        <f t="shared" si="115"/>
        <v>43379</v>
      </c>
      <c r="Y293" s="385">
        <f t="shared" si="116"/>
        <v>39.234999999999999</v>
      </c>
      <c r="Z293" s="385">
        <f t="shared" si="117"/>
        <v>39.338258432130296</v>
      </c>
      <c r="AA293" s="386">
        <f t="shared" si="118"/>
        <v>39.63757417678363</v>
      </c>
      <c r="AB293" s="197">
        <f t="shared" si="119"/>
        <v>43379</v>
      </c>
      <c r="AC293" s="426">
        <f t="shared" si="120"/>
        <v>7.5513133906325147E-3</v>
      </c>
      <c r="AD293" s="169">
        <f>(INDEX(Models!$BJ293:$BT293,,AH293)*(1-AF293)+INDEX(Models!$BJ293:$BT293,,AH293+1)*AF293-ERP_i)*AE293*Ramure*Pc/MaxiM</f>
        <v>1.3244053061792716E-5</v>
      </c>
      <c r="AE293" s="305">
        <f t="shared" si="121"/>
        <v>0.5</v>
      </c>
      <c r="AF293" s="177">
        <f t="shared" si="122"/>
        <v>0.49366178884981049</v>
      </c>
      <c r="AG293" s="811">
        <f t="shared" si="123"/>
        <v>-2</v>
      </c>
      <c r="AH293" s="176">
        <f t="shared" si="124"/>
        <v>4</v>
      </c>
      <c r="AI293" s="225">
        <f t="shared" si="125"/>
        <v>-1.5063382111501895</v>
      </c>
      <c r="AJ293" s="265" t="b">
        <f t="shared" si="126"/>
        <v>0</v>
      </c>
      <c r="AK293" s="265" t="b">
        <f t="shared" si="12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8"/>
        <v>43380</v>
      </c>
      <c r="B294" s="617">
        <v>13.465</v>
      </c>
      <c r="C294" s="390"/>
      <c r="D294" s="393">
        <f t="shared" si="105"/>
        <v>13.500732805033438</v>
      </c>
      <c r="E294" s="385">
        <f t="shared" si="102"/>
        <v>13.604225716416853</v>
      </c>
      <c r="F294" s="385">
        <f t="shared" si="130"/>
        <v>13.60423180342115</v>
      </c>
      <c r="G294" s="110">
        <f t="shared" si="103"/>
        <v>0.32005008510935873</v>
      </c>
      <c r="I294" s="380">
        <f t="shared" si="106"/>
        <v>13.60423180342115</v>
      </c>
      <c r="J294" s="85">
        <v>2018</v>
      </c>
      <c r="K294" s="197">
        <f t="shared" si="107"/>
        <v>43380</v>
      </c>
      <c r="L294" s="437">
        <f t="shared" si="108"/>
        <v>2.6467307774669102E-3</v>
      </c>
      <c r="M294" s="856"/>
      <c r="N294" s="856"/>
      <c r="O294" s="324">
        <f t="shared" si="109"/>
        <v>7.6074091639426892E-3</v>
      </c>
      <c r="P294" s="169">
        <f>(INDEX(Models!$BJ294:$BT294,,T294)*(1-R294)+INDEX(Models!$BJ294:$BT294,,T294+1)*R294-ERP_i)*Q294*Ramure*Pc/MaxiM</f>
        <v>1.5617310735966668E-5</v>
      </c>
      <c r="Q294" s="305">
        <f t="shared" si="110"/>
        <v>0.5</v>
      </c>
      <c r="R294" s="177">
        <f t="shared" si="111"/>
        <v>0.49381736763633333</v>
      </c>
      <c r="S294" s="811">
        <f t="shared" si="129"/>
        <v>-2</v>
      </c>
      <c r="T294" s="176">
        <f t="shared" si="112"/>
        <v>4</v>
      </c>
      <c r="U294" s="251">
        <f t="shared" si="113"/>
        <v>-1.5061826323636667</v>
      </c>
      <c r="V294" s="383">
        <f t="shared" si="114"/>
        <v>42.070901911886367</v>
      </c>
      <c r="W294" s="58"/>
      <c r="X294" s="157">
        <f t="shared" si="115"/>
        <v>43380</v>
      </c>
      <c r="Y294" s="385">
        <f t="shared" si="116"/>
        <v>13.465</v>
      </c>
      <c r="Z294" s="385">
        <f t="shared" si="117"/>
        <v>13.500732805033438</v>
      </c>
      <c r="AA294" s="386">
        <f t="shared" si="118"/>
        <v>13.604225716416853</v>
      </c>
      <c r="AB294" s="197">
        <f t="shared" si="119"/>
        <v>43380</v>
      </c>
      <c r="AC294" s="426">
        <f t="shared" si="120"/>
        <v>7.6074091639426892E-3</v>
      </c>
      <c r="AD294" s="169">
        <f>(INDEX(Models!$BJ294:$BT294,,AH294)*(1-AF294)+INDEX(Models!$BJ294:$BT294,,AH294+1)*AF294-ERP_i)*AE294*Ramure*Pc/MaxiM</f>
        <v>1.5617310735966668E-5</v>
      </c>
      <c r="AE294" s="305">
        <f t="shared" si="121"/>
        <v>0.5</v>
      </c>
      <c r="AF294" s="177">
        <f t="shared" si="122"/>
        <v>0.49381736763633333</v>
      </c>
      <c r="AG294" s="811">
        <f t="shared" si="123"/>
        <v>-2</v>
      </c>
      <c r="AH294" s="176">
        <f t="shared" si="124"/>
        <v>4</v>
      </c>
      <c r="AI294" s="225">
        <f t="shared" si="125"/>
        <v>-1.5061826323636667</v>
      </c>
      <c r="AJ294" s="265" t="b">
        <f t="shared" si="126"/>
        <v>0</v>
      </c>
      <c r="AK294" s="265" t="b">
        <f t="shared" si="12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8"/>
        <v>43381</v>
      </c>
      <c r="B295" s="617">
        <v>13.224</v>
      </c>
      <c r="C295" s="390"/>
      <c r="D295" s="393">
        <f t="shared" si="105"/>
        <v>13.259383664718142</v>
      </c>
      <c r="E295" s="385">
        <f t="shared" si="102"/>
        <v>13.361778835531961</v>
      </c>
      <c r="F295" s="385">
        <f t="shared" si="130"/>
        <v>13.361784688795531</v>
      </c>
      <c r="G295" s="110">
        <f t="shared" si="103"/>
        <v>0.31680338499973976</v>
      </c>
      <c r="I295" s="380">
        <f t="shared" si="106"/>
        <v>13.361784688795531</v>
      </c>
      <c r="J295" s="85">
        <v>2018</v>
      </c>
      <c r="K295" s="197">
        <f t="shared" si="107"/>
        <v>43381</v>
      </c>
      <c r="L295" s="437">
        <f t="shared" si="108"/>
        <v>2.6685753737025752E-3</v>
      </c>
      <c r="M295" s="856"/>
      <c r="N295" s="856"/>
      <c r="O295" s="324">
        <f t="shared" si="109"/>
        <v>7.6632888535416079E-3</v>
      </c>
      <c r="P295" s="169">
        <f>(INDEX(Models!$BJ295:$BT295,,T295)*(1-R295)+INDEX(Models!$BJ295:$BT295,,T295+1)*R295-ERP_i)*Q295*Ramure*Pc/MaxiM</f>
        <v>1.8242699776045624E-5</v>
      </c>
      <c r="Q295" s="305">
        <f t="shared" si="110"/>
        <v>0.5</v>
      </c>
      <c r="R295" s="177">
        <f t="shared" si="111"/>
        <v>0.49396677400219469</v>
      </c>
      <c r="S295" s="811">
        <f t="shared" si="129"/>
        <v>-2</v>
      </c>
      <c r="T295" s="176">
        <f t="shared" si="112"/>
        <v>4</v>
      </c>
      <c r="U295" s="251">
        <f t="shared" si="113"/>
        <v>-1.5060332259978053</v>
      </c>
      <c r="V295" s="383">
        <f t="shared" si="114"/>
        <v>41.74123502926426</v>
      </c>
      <c r="W295" s="58"/>
      <c r="X295" s="157">
        <f t="shared" si="115"/>
        <v>43381</v>
      </c>
      <c r="Y295" s="385">
        <f t="shared" si="116"/>
        <v>13.224</v>
      </c>
      <c r="Z295" s="385">
        <f t="shared" si="117"/>
        <v>13.259383664718142</v>
      </c>
      <c r="AA295" s="386">
        <f t="shared" si="118"/>
        <v>13.361778835531961</v>
      </c>
      <c r="AB295" s="197">
        <f t="shared" si="119"/>
        <v>43381</v>
      </c>
      <c r="AC295" s="426">
        <f t="shared" si="120"/>
        <v>7.6632888535416079E-3</v>
      </c>
      <c r="AD295" s="169">
        <f>(INDEX(Models!$BJ295:$BT295,,AH295)*(1-AF295)+INDEX(Models!$BJ295:$BT295,,AH295+1)*AF295-ERP_i)*AE295*Ramure*Pc/MaxiM</f>
        <v>1.8242699776045624E-5</v>
      </c>
      <c r="AE295" s="305">
        <f t="shared" si="121"/>
        <v>0.5</v>
      </c>
      <c r="AF295" s="177">
        <f t="shared" si="122"/>
        <v>0.49396677400219469</v>
      </c>
      <c r="AG295" s="811">
        <f t="shared" si="123"/>
        <v>-2</v>
      </c>
      <c r="AH295" s="176">
        <f t="shared" si="124"/>
        <v>4</v>
      </c>
      <c r="AI295" s="225">
        <f t="shared" si="125"/>
        <v>-1.5060332259978053</v>
      </c>
      <c r="AJ295" s="265" t="b">
        <f t="shared" si="126"/>
        <v>0</v>
      </c>
      <c r="AK295" s="265" t="b">
        <f t="shared" si="12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8"/>
        <v>43382</v>
      </c>
      <c r="B296" s="617">
        <v>34.454999999999998</v>
      </c>
      <c r="C296" s="390"/>
      <c r="D296" s="393">
        <f t="shared" si="105"/>
        <v>34.547948473965192</v>
      </c>
      <c r="E296" s="385">
        <f t="shared" si="102"/>
        <v>34.81669681635443</v>
      </c>
      <c r="F296" s="385">
        <f t="shared" si="130"/>
        <v>34.817249653456408</v>
      </c>
      <c r="G296" s="110">
        <f t="shared" si="103"/>
        <v>0.83200849475678262</v>
      </c>
      <c r="I296" s="380">
        <f t="shared" si="106"/>
        <v>34.817249653456408</v>
      </c>
      <c r="J296" s="85">
        <v>2018</v>
      </c>
      <c r="K296" s="197">
        <f t="shared" si="107"/>
        <v>43382</v>
      </c>
      <c r="L296" s="437">
        <f t="shared" si="108"/>
        <v>2.6904194914855184E-3</v>
      </c>
      <c r="M296" s="856"/>
      <c r="N296" s="856"/>
      <c r="O296" s="324">
        <f t="shared" si="109"/>
        <v>7.7189500143217352E-3</v>
      </c>
      <c r="P296" s="169">
        <f>(INDEX(Models!$BJ296:$BT296,,T296)*(1-R296)+INDEX(Models!$BJ296:$BT296,,T296+1)*R296-ERP_i)*Q296*Ramure*Pc/MaxiM</f>
        <v>2.08919408676161E-5</v>
      </c>
      <c r="Q296" s="305">
        <f t="shared" si="110"/>
        <v>0.5</v>
      </c>
      <c r="R296" s="177">
        <f t="shared" si="111"/>
        <v>0.49411024931285707</v>
      </c>
      <c r="S296" s="811">
        <f t="shared" si="129"/>
        <v>-2</v>
      </c>
      <c r="T296" s="176">
        <f t="shared" si="112"/>
        <v>4</v>
      </c>
      <c r="U296" s="251">
        <f t="shared" si="113"/>
        <v>-1.5058897506871429</v>
      </c>
      <c r="V296" s="383">
        <f t="shared" si="114"/>
        <v>41.411629169383389</v>
      </c>
      <c r="W296" s="58"/>
      <c r="X296" s="157">
        <f t="shared" si="115"/>
        <v>43382</v>
      </c>
      <c r="Y296" s="385">
        <f t="shared" si="116"/>
        <v>34.454999999999998</v>
      </c>
      <c r="Z296" s="385">
        <f t="shared" si="117"/>
        <v>34.547948473965192</v>
      </c>
      <c r="AA296" s="386">
        <f t="shared" si="118"/>
        <v>34.81669681635443</v>
      </c>
      <c r="AB296" s="197">
        <f t="shared" si="119"/>
        <v>43382</v>
      </c>
      <c r="AC296" s="426">
        <f t="shared" si="120"/>
        <v>7.7189500143217352E-3</v>
      </c>
      <c r="AD296" s="169">
        <f>(INDEX(Models!$BJ296:$BT296,,AH296)*(1-AF296)+INDEX(Models!$BJ296:$BT296,,AH296+1)*AF296-ERP_i)*AE296*Ramure*Pc/MaxiM</f>
        <v>2.08919408676161E-5</v>
      </c>
      <c r="AE296" s="305">
        <f t="shared" si="121"/>
        <v>0.5</v>
      </c>
      <c r="AF296" s="177">
        <f t="shared" si="122"/>
        <v>0.49411024931285707</v>
      </c>
      <c r="AG296" s="811">
        <f t="shared" si="123"/>
        <v>-2</v>
      </c>
      <c r="AH296" s="176">
        <f t="shared" si="124"/>
        <v>4</v>
      </c>
      <c r="AI296" s="225">
        <f t="shared" si="125"/>
        <v>-1.5058897506871429</v>
      </c>
      <c r="AJ296" s="265" t="b">
        <f t="shared" si="126"/>
        <v>0</v>
      </c>
      <c r="AK296" s="265" t="b">
        <f t="shared" si="12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8"/>
        <v>43383</v>
      </c>
      <c r="B297" s="617">
        <v>19.116</v>
      </c>
      <c r="C297" s="390"/>
      <c r="D297" s="393">
        <f t="shared" si="105"/>
        <v>19.167988628850129</v>
      </c>
      <c r="E297" s="385">
        <f t="shared" ref="E297:E360" si="131">Wh_pvt/(1-Psa)</f>
        <v>19.318175670894902</v>
      </c>
      <c r="F297" s="385">
        <f t="shared" si="130"/>
        <v>19.318282535152555</v>
      </c>
      <c r="G297" s="110">
        <f t="shared" ref="G297:G360" si="132">+Wh_hp/MaxiM</f>
        <v>0.4653039307847856</v>
      </c>
      <c r="I297" s="380">
        <f t="shared" si="106"/>
        <v>19.318282535152555</v>
      </c>
      <c r="J297" s="85">
        <v>2018</v>
      </c>
      <c r="K297" s="197">
        <f t="shared" si="107"/>
        <v>43383</v>
      </c>
      <c r="L297" s="437">
        <f t="shared" si="108"/>
        <v>2.7122631308262868E-3</v>
      </c>
      <c r="M297" s="856"/>
      <c r="N297" s="856"/>
      <c r="O297" s="324">
        <f t="shared" si="109"/>
        <v>7.7743905326964199E-3</v>
      </c>
      <c r="P297" s="169">
        <f>(INDEX(Models!$BJ297:$BT297,,T297)*(1-R297)+INDEX(Models!$BJ297:$BT297,,T297+1)*R297-ERP_i)*Q297*Ramure*Pc/MaxiM</f>
        <v>2.3423778172380123E-5</v>
      </c>
      <c r="Q297" s="305">
        <f t="shared" si="110"/>
        <v>0.5</v>
      </c>
      <c r="R297" s="177">
        <f t="shared" si="111"/>
        <v>0.49424802577144833</v>
      </c>
      <c r="S297" s="811">
        <f t="shared" si="129"/>
        <v>-2</v>
      </c>
      <c r="T297" s="176">
        <f t="shared" si="112"/>
        <v>4</v>
      </c>
      <c r="U297" s="251">
        <f t="shared" si="113"/>
        <v>-1.5057519742285517</v>
      </c>
      <c r="V297" s="383">
        <f t="shared" si="114"/>
        <v>41.082090027052665</v>
      </c>
      <c r="W297" s="58"/>
      <c r="X297" s="157">
        <f t="shared" si="115"/>
        <v>43383</v>
      </c>
      <c r="Y297" s="385">
        <f t="shared" si="116"/>
        <v>19.116</v>
      </c>
      <c r="Z297" s="385">
        <f t="shared" si="117"/>
        <v>19.167988628850129</v>
      </c>
      <c r="AA297" s="386">
        <f t="shared" si="118"/>
        <v>19.318175670894902</v>
      </c>
      <c r="AB297" s="197">
        <f t="shared" si="119"/>
        <v>43383</v>
      </c>
      <c r="AC297" s="426">
        <f t="shared" si="120"/>
        <v>7.7743905326964199E-3</v>
      </c>
      <c r="AD297" s="169">
        <f>(INDEX(Models!$BJ297:$BT297,,AH297)*(1-AF297)+INDEX(Models!$BJ297:$BT297,,AH297+1)*AF297-ERP_i)*AE297*Ramure*Pc/MaxiM</f>
        <v>2.3423778172380123E-5</v>
      </c>
      <c r="AE297" s="305">
        <f t="shared" si="121"/>
        <v>0.5</v>
      </c>
      <c r="AF297" s="177">
        <f t="shared" si="122"/>
        <v>0.49424802577144833</v>
      </c>
      <c r="AG297" s="811">
        <f t="shared" si="123"/>
        <v>-2</v>
      </c>
      <c r="AH297" s="176">
        <f t="shared" si="124"/>
        <v>4</v>
      </c>
      <c r="AI297" s="225">
        <f t="shared" si="125"/>
        <v>-1.5057519742285517</v>
      </c>
      <c r="AJ297" s="265" t="b">
        <f t="shared" si="126"/>
        <v>0</v>
      </c>
      <c r="AK297" s="265" t="b">
        <f t="shared" si="12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8"/>
        <v>43384</v>
      </c>
      <c r="B298" s="617">
        <v>30.626999999999999</v>
      </c>
      <c r="C298" s="390"/>
      <c r="D298" s="393">
        <f t="shared" si="105"/>
        <v>30.710967048231844</v>
      </c>
      <c r="E298" s="385">
        <f t="shared" si="131"/>
        <v>30.953319425902365</v>
      </c>
      <c r="F298" s="385">
        <f t="shared" si="130"/>
        <v>30.95383528420837</v>
      </c>
      <c r="G298" s="110">
        <f t="shared" si="132"/>
        <v>0.75152765788784304</v>
      </c>
      <c r="I298" s="380">
        <f t="shared" si="106"/>
        <v>30.95383528420837</v>
      </c>
      <c r="J298" s="85">
        <v>2018</v>
      </c>
      <c r="K298" s="197">
        <f t="shared" si="107"/>
        <v>43384</v>
      </c>
      <c r="L298" s="437">
        <f t="shared" si="108"/>
        <v>2.7341062917352055E-3</v>
      </c>
      <c r="M298" s="856"/>
      <c r="N298" s="856"/>
      <c r="O298" s="324">
        <f t="shared" si="109"/>
        <v>7.8296086547576058E-3</v>
      </c>
      <c r="P298" s="169">
        <f>(INDEX(Models!$BJ298:$BT298,,T298)*(1-R298)+INDEX(Models!$BJ298:$BT298,,T298+1)*R298-ERP_i)*Q298*Ramure*Pc/MaxiM</f>
        <v>2.5835865427520851E-5</v>
      </c>
      <c r="Q298" s="305">
        <f t="shared" si="110"/>
        <v>0.5</v>
      </c>
      <c r="R298" s="177">
        <f t="shared" si="111"/>
        <v>0.49438032674481458</v>
      </c>
      <c r="S298" s="811">
        <f t="shared" si="129"/>
        <v>-2</v>
      </c>
      <c r="T298" s="176">
        <f t="shared" si="112"/>
        <v>4</v>
      </c>
      <c r="U298" s="251">
        <f t="shared" si="113"/>
        <v>-1.5056196732551854</v>
      </c>
      <c r="V298" s="383">
        <f t="shared" si="114"/>
        <v>40.75261743234735</v>
      </c>
      <c r="W298" s="58"/>
      <c r="X298" s="157">
        <f t="shared" si="115"/>
        <v>43384</v>
      </c>
      <c r="Y298" s="385">
        <f t="shared" si="116"/>
        <v>30.626999999999999</v>
      </c>
      <c r="Z298" s="385">
        <f t="shared" si="117"/>
        <v>30.710967048231844</v>
      </c>
      <c r="AA298" s="386">
        <f t="shared" si="118"/>
        <v>30.953319425902365</v>
      </c>
      <c r="AB298" s="197">
        <f t="shared" si="119"/>
        <v>43384</v>
      </c>
      <c r="AC298" s="426">
        <f t="shared" si="120"/>
        <v>7.8296086547576058E-3</v>
      </c>
      <c r="AD298" s="169">
        <f>(INDEX(Models!$BJ298:$BT298,,AH298)*(1-AF298)+INDEX(Models!$BJ298:$BT298,,AH298+1)*AF298-ERP_i)*AE298*Ramure*Pc/MaxiM</f>
        <v>2.5835865427520851E-5</v>
      </c>
      <c r="AE298" s="305">
        <f t="shared" si="121"/>
        <v>0.5</v>
      </c>
      <c r="AF298" s="177">
        <f t="shared" si="122"/>
        <v>0.49438032674481458</v>
      </c>
      <c r="AG298" s="811">
        <f t="shared" si="123"/>
        <v>-2</v>
      </c>
      <c r="AH298" s="176">
        <f t="shared" si="124"/>
        <v>4</v>
      </c>
      <c r="AI298" s="225">
        <f t="shared" si="125"/>
        <v>-1.5056196732551854</v>
      </c>
      <c r="AJ298" s="265" t="b">
        <f t="shared" si="126"/>
        <v>0</v>
      </c>
      <c r="AK298" s="265" t="b">
        <f t="shared" si="12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8"/>
        <v>43385</v>
      </c>
      <c r="B299" s="617">
        <v>34.795000000000002</v>
      </c>
      <c r="C299" s="390"/>
      <c r="D299" s="393">
        <f t="shared" si="105"/>
        <v>34.891158251793478</v>
      </c>
      <c r="E299" s="385">
        <f t="shared" si="131"/>
        <v>35.168447498923832</v>
      </c>
      <c r="F299" s="385">
        <f t="shared" si="130"/>
        <v>35.169239917574913</v>
      </c>
      <c r="G299" s="110">
        <f t="shared" si="132"/>
        <v>0.86076301993139481</v>
      </c>
      <c r="I299" s="380">
        <f t="shared" si="106"/>
        <v>35.169239917574913</v>
      </c>
      <c r="J299" s="85">
        <v>2018</v>
      </c>
      <c r="K299" s="197">
        <f t="shared" si="107"/>
        <v>43385</v>
      </c>
      <c r="L299" s="437">
        <f t="shared" si="108"/>
        <v>2.7559489742228216E-3</v>
      </c>
      <c r="M299" s="856"/>
      <c r="N299" s="856"/>
      <c r="O299" s="324">
        <f t="shared" si="109"/>
        <v>7.8846030135063215E-3</v>
      </c>
      <c r="P299" s="169">
        <f>(INDEX(Models!$BJ299:$BT299,,T299)*(1-R299)+INDEX(Models!$BJ299:$BT299,,T299+1)*R299-ERP_i)*Q299*Ramure*Pc/MaxiM</f>
        <v>2.8125914431875889E-5</v>
      </c>
      <c r="Q299" s="305">
        <f t="shared" si="110"/>
        <v>0.5</v>
      </c>
      <c r="R299" s="177">
        <f t="shared" si="111"/>
        <v>0.49450736707971599</v>
      </c>
      <c r="S299" s="811">
        <f t="shared" si="129"/>
        <v>-2</v>
      </c>
      <c r="T299" s="176">
        <f t="shared" si="112"/>
        <v>4</v>
      </c>
      <c r="U299" s="251">
        <f t="shared" si="113"/>
        <v>-1.505492632920284</v>
      </c>
      <c r="V299" s="383">
        <f t="shared" si="114"/>
        <v>40.423211191888669</v>
      </c>
      <c r="W299" s="58"/>
      <c r="X299" s="157">
        <f t="shared" si="115"/>
        <v>43385</v>
      </c>
      <c r="Y299" s="385">
        <f t="shared" si="116"/>
        <v>34.795000000000002</v>
      </c>
      <c r="Z299" s="385">
        <f t="shared" si="117"/>
        <v>34.891158251793478</v>
      </c>
      <c r="AA299" s="386">
        <f t="shared" si="118"/>
        <v>35.168447498923832</v>
      </c>
      <c r="AB299" s="197">
        <f t="shared" si="119"/>
        <v>43385</v>
      </c>
      <c r="AC299" s="426">
        <f t="shared" si="120"/>
        <v>7.8846030135063215E-3</v>
      </c>
      <c r="AD299" s="169">
        <f>(INDEX(Models!$BJ299:$BT299,,AH299)*(1-AF299)+INDEX(Models!$BJ299:$BT299,,AH299+1)*AF299-ERP_i)*AE299*Ramure*Pc/MaxiM</f>
        <v>2.8125914431875889E-5</v>
      </c>
      <c r="AE299" s="305">
        <f t="shared" si="121"/>
        <v>0.5</v>
      </c>
      <c r="AF299" s="177">
        <f t="shared" si="122"/>
        <v>0.49450736707971599</v>
      </c>
      <c r="AG299" s="811">
        <f t="shared" si="123"/>
        <v>-2</v>
      </c>
      <c r="AH299" s="176">
        <f t="shared" si="124"/>
        <v>4</v>
      </c>
      <c r="AI299" s="225">
        <f t="shared" si="125"/>
        <v>-1.505492632920284</v>
      </c>
      <c r="AJ299" s="265" t="b">
        <f t="shared" si="126"/>
        <v>0</v>
      </c>
      <c r="AK299" s="265" t="b">
        <f t="shared" si="12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8"/>
        <v>43386</v>
      </c>
      <c r="B300" s="617">
        <v>28.117000000000001</v>
      </c>
      <c r="C300" s="390"/>
      <c r="D300" s="393">
        <f t="shared" si="105"/>
        <v>28.195320713146309</v>
      </c>
      <c r="E300" s="385">
        <f t="shared" si="131"/>
        <v>28.420965348258065</v>
      </c>
      <c r="F300" s="385">
        <f t="shared" si="130"/>
        <v>28.421458884123194</v>
      </c>
      <c r="G300" s="110">
        <f t="shared" si="132"/>
        <v>0.70127018837821842</v>
      </c>
      <c r="I300" s="380">
        <f t="shared" si="106"/>
        <v>28.421458884123194</v>
      </c>
      <c r="J300" s="85">
        <v>2018</v>
      </c>
      <c r="K300" s="197">
        <f t="shared" si="107"/>
        <v>43386</v>
      </c>
      <c r="L300" s="437">
        <f t="shared" si="108"/>
        <v>2.7777911782996823E-3</v>
      </c>
      <c r="M300" s="856"/>
      <c r="N300" s="856"/>
      <c r="O300" s="324">
        <f t="shared" si="109"/>
        <v>7.9393726548977004E-3</v>
      </c>
      <c r="P300" s="169">
        <f>(INDEX(Models!$BJ300:$BT300,,T300)*(1-R300)+INDEX(Models!$BJ300:$BT300,,T300+1)*R300-ERP_i)*Q300*Ramure*Pc/MaxiM</f>
        <v>3.0291702599526714E-5</v>
      </c>
      <c r="Q300" s="305">
        <f t="shared" si="110"/>
        <v>0.5</v>
      </c>
      <c r="R300" s="177">
        <f t="shared" si="111"/>
        <v>0.49462935340931002</v>
      </c>
      <c r="S300" s="811">
        <f t="shared" si="129"/>
        <v>-2</v>
      </c>
      <c r="T300" s="176">
        <f t="shared" si="112"/>
        <v>4</v>
      </c>
      <c r="U300" s="251">
        <f t="shared" si="113"/>
        <v>-1.50537064659069</v>
      </c>
      <c r="V300" s="383">
        <f t="shared" si="114"/>
        <v>40.093871088226585</v>
      </c>
      <c r="W300" s="58"/>
      <c r="X300" s="157">
        <f t="shared" si="115"/>
        <v>43386</v>
      </c>
      <c r="Y300" s="385">
        <f t="shared" si="116"/>
        <v>28.117000000000001</v>
      </c>
      <c r="Z300" s="385">
        <f t="shared" si="117"/>
        <v>28.195320713146309</v>
      </c>
      <c r="AA300" s="386">
        <f t="shared" si="118"/>
        <v>28.420965348258065</v>
      </c>
      <c r="AB300" s="197">
        <f t="shared" si="119"/>
        <v>43386</v>
      </c>
      <c r="AC300" s="426">
        <f t="shared" si="120"/>
        <v>7.9393726548977004E-3</v>
      </c>
      <c r="AD300" s="169">
        <f>(INDEX(Models!$BJ300:$BT300,,AH300)*(1-AF300)+INDEX(Models!$BJ300:$BT300,,AH300+1)*AF300-ERP_i)*AE300*Ramure*Pc/MaxiM</f>
        <v>3.0291702599526714E-5</v>
      </c>
      <c r="AE300" s="305">
        <f t="shared" si="121"/>
        <v>0.5</v>
      </c>
      <c r="AF300" s="177">
        <f t="shared" si="122"/>
        <v>0.49462935340931002</v>
      </c>
      <c r="AG300" s="811">
        <f t="shared" si="123"/>
        <v>-2</v>
      </c>
      <c r="AH300" s="176">
        <f t="shared" si="124"/>
        <v>4</v>
      </c>
      <c r="AI300" s="225">
        <f t="shared" si="125"/>
        <v>-1.50537064659069</v>
      </c>
      <c r="AJ300" s="265" t="b">
        <f t="shared" si="126"/>
        <v>0</v>
      </c>
      <c r="AK300" s="265" t="b">
        <f t="shared" si="12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8"/>
        <v>43387</v>
      </c>
      <c r="B301" s="617">
        <v>35.329000000000001</v>
      </c>
      <c r="C301" s="390"/>
      <c r="D301" s="393">
        <f t="shared" si="105"/>
        <v>35.428185915015867</v>
      </c>
      <c r="E301" s="385">
        <f t="shared" si="131"/>
        <v>35.713678095707763</v>
      </c>
      <c r="F301" s="385">
        <f t="shared" si="130"/>
        <v>35.714648786243551</v>
      </c>
      <c r="G301" s="110">
        <f t="shared" si="132"/>
        <v>0.88844904140421466</v>
      </c>
      <c r="I301" s="380">
        <f t="shared" si="106"/>
        <v>35.714648786243551</v>
      </c>
      <c r="J301" s="85">
        <v>2018</v>
      </c>
      <c r="K301" s="197">
        <f t="shared" si="107"/>
        <v>43387</v>
      </c>
      <c r="L301" s="437">
        <f t="shared" si="108"/>
        <v>2.7996329039762236E-3</v>
      </c>
      <c r="M301" s="856"/>
      <c r="N301" s="856"/>
      <c r="O301" s="324">
        <f t="shared" si="109"/>
        <v>7.9939170624436645E-3</v>
      </c>
      <c r="P301" s="169">
        <f>(INDEX(Models!$BJ301:$BT301,,T301)*(1-R301)+INDEX(Models!$BJ301:$BT301,,T301+1)*R301-ERP_i)*Q301*Ramure*Pc/MaxiM</f>
        <v>3.2331080105280271E-5</v>
      </c>
      <c r="Q301" s="305">
        <f t="shared" si="110"/>
        <v>0.5</v>
      </c>
      <c r="R301" s="177">
        <f t="shared" si="111"/>
        <v>0.49474648445009084</v>
      </c>
      <c r="S301" s="811">
        <f t="shared" si="129"/>
        <v>-2</v>
      </c>
      <c r="T301" s="176">
        <f t="shared" si="112"/>
        <v>4</v>
      </c>
      <c r="U301" s="251">
        <f t="shared" si="113"/>
        <v>-1.5052535155499092</v>
      </c>
      <c r="V301" s="383">
        <f t="shared" si="114"/>
        <v>39.7645968793557</v>
      </c>
      <c r="W301" s="58"/>
      <c r="X301" s="157">
        <f t="shared" si="115"/>
        <v>43387</v>
      </c>
      <c r="Y301" s="385">
        <f t="shared" si="116"/>
        <v>35.329000000000001</v>
      </c>
      <c r="Z301" s="385">
        <f t="shared" si="117"/>
        <v>35.428185915015867</v>
      </c>
      <c r="AA301" s="386">
        <f t="shared" si="118"/>
        <v>35.713678095707763</v>
      </c>
      <c r="AB301" s="197">
        <f t="shared" si="119"/>
        <v>43387</v>
      </c>
      <c r="AC301" s="426">
        <f t="shared" si="120"/>
        <v>7.9939170624436645E-3</v>
      </c>
      <c r="AD301" s="169">
        <f>(INDEX(Models!$BJ301:$BT301,,AH301)*(1-AF301)+INDEX(Models!$BJ301:$BT301,,AH301+1)*AF301-ERP_i)*AE301*Ramure*Pc/MaxiM</f>
        <v>3.2331080105280271E-5</v>
      </c>
      <c r="AE301" s="305">
        <f t="shared" si="121"/>
        <v>0.5</v>
      </c>
      <c r="AF301" s="177">
        <f t="shared" si="122"/>
        <v>0.49474648445009084</v>
      </c>
      <c r="AG301" s="811">
        <f t="shared" si="123"/>
        <v>-2</v>
      </c>
      <c r="AH301" s="176">
        <f t="shared" si="124"/>
        <v>4</v>
      </c>
      <c r="AI301" s="225">
        <f t="shared" si="125"/>
        <v>-1.5052535155499092</v>
      </c>
      <c r="AJ301" s="265" t="b">
        <f t="shared" si="126"/>
        <v>0</v>
      </c>
      <c r="AK301" s="265" t="b">
        <f t="shared" si="12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8"/>
        <v>43388</v>
      </c>
      <c r="B302" s="617">
        <v>10.795999999999999</v>
      </c>
      <c r="C302" s="390"/>
      <c r="D302" s="393">
        <f t="shared" si="105"/>
        <v>10.826546822005726</v>
      </c>
      <c r="E302" s="385">
        <f t="shared" si="131"/>
        <v>10.914388397591104</v>
      </c>
      <c r="F302" s="385">
        <f t="shared" si="130"/>
        <v>10.914388397591104</v>
      </c>
      <c r="G302" s="110">
        <f t="shared" si="132"/>
        <v>0.27375488842494022</v>
      </c>
      <c r="I302" s="380">
        <f t="shared" si="106"/>
        <v>10.914388397591104</v>
      </c>
      <c r="J302" s="85">
        <v>2018</v>
      </c>
      <c r="K302" s="197">
        <f t="shared" si="107"/>
        <v>43388</v>
      </c>
      <c r="L302" s="437">
        <f t="shared" si="108"/>
        <v>2.8214741512629926E-3</v>
      </c>
      <c r="M302" s="856"/>
      <c r="N302" s="856"/>
      <c r="O302" s="324">
        <f t="shared" si="109"/>
        <v>8.0482361801202697E-3</v>
      </c>
      <c r="P302" s="169">
        <f>(INDEX(Models!$BJ302:$BT302,,T302)*(1-R302)+INDEX(Models!$BJ302:$BT302,,T302+1)*R302-ERP_i)*Q302*Ramure*Pc/MaxiM</f>
        <v>3.4241976507128217E-5</v>
      </c>
      <c r="Q302" s="305">
        <f t="shared" si="110"/>
        <v>0.5</v>
      </c>
      <c r="R302" s="177">
        <f t="shared" si="111"/>
        <v>0.49485895128945701</v>
      </c>
      <c r="S302" s="811">
        <f t="shared" si="129"/>
        <v>-2</v>
      </c>
      <c r="T302" s="176">
        <f t="shared" si="112"/>
        <v>4</v>
      </c>
      <c r="U302" s="251">
        <f t="shared" si="113"/>
        <v>-1.505141048710543</v>
      </c>
      <c r="V302" s="383">
        <f t="shared" si="114"/>
        <v>39.435388298396134</v>
      </c>
      <c r="W302" s="58"/>
      <c r="X302" s="157">
        <f t="shared" si="115"/>
        <v>43388</v>
      </c>
      <c r="Y302" s="385">
        <f t="shared" si="116"/>
        <v>10.795999999999999</v>
      </c>
      <c r="Z302" s="385">
        <f t="shared" si="117"/>
        <v>10.826546822005726</v>
      </c>
      <c r="AA302" s="386">
        <f t="shared" si="118"/>
        <v>10.914388397591104</v>
      </c>
      <c r="AB302" s="197">
        <f t="shared" si="119"/>
        <v>43388</v>
      </c>
      <c r="AC302" s="426">
        <f t="shared" si="120"/>
        <v>8.0482361801202697E-3</v>
      </c>
      <c r="AD302" s="169">
        <f>(INDEX(Models!$BJ302:$BT302,,AH302)*(1-AF302)+INDEX(Models!$BJ302:$BT302,,AH302+1)*AF302-ERP_i)*AE302*Ramure*Pc/MaxiM</f>
        <v>3.4241976507128217E-5</v>
      </c>
      <c r="AE302" s="305">
        <f t="shared" si="121"/>
        <v>0.5</v>
      </c>
      <c r="AF302" s="177">
        <f t="shared" si="122"/>
        <v>0.49485895128945701</v>
      </c>
      <c r="AG302" s="811">
        <f t="shared" si="123"/>
        <v>-2</v>
      </c>
      <c r="AH302" s="176">
        <f t="shared" si="124"/>
        <v>4</v>
      </c>
      <c r="AI302" s="225">
        <f t="shared" si="125"/>
        <v>-1.505141048710543</v>
      </c>
      <c r="AJ302" s="265" t="b">
        <f t="shared" si="126"/>
        <v>0</v>
      </c>
      <c r="AK302" s="265" t="b">
        <f t="shared" si="12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8"/>
        <v>43389</v>
      </c>
      <c r="B303" s="617">
        <v>17.864000000000001</v>
      </c>
      <c r="C303" s="390"/>
      <c r="D303" s="393">
        <f t="shared" si="105"/>
        <v>17.914937809969008</v>
      </c>
      <c r="E303" s="385">
        <f t="shared" si="131"/>
        <v>18.061276238097779</v>
      </c>
      <c r="F303" s="385">
        <f t="shared" si="130"/>
        <v>18.061421995831125</v>
      </c>
      <c r="G303" s="110">
        <f t="shared" si="132"/>
        <v>0.45680481507970316</v>
      </c>
      <c r="I303" s="380">
        <f t="shared" si="106"/>
        <v>18.061421995831125</v>
      </c>
      <c r="J303" s="85">
        <v>2018</v>
      </c>
      <c r="K303" s="197">
        <f t="shared" si="107"/>
        <v>43389</v>
      </c>
      <c r="L303" s="437">
        <f t="shared" si="108"/>
        <v>2.8433149201702035E-3</v>
      </c>
      <c r="M303" s="856"/>
      <c r="N303" s="856"/>
      <c r="O303" s="324">
        <f t="shared" si="109"/>
        <v>8.1023304333329924E-3</v>
      </c>
      <c r="P303" s="169">
        <f>(INDEX(Models!$BJ303:$BT303,,T303)*(1-R303)+INDEX(Models!$BJ303:$BT303,,T303+1)*R303-ERP_i)*Q303*Ramure*Pc/MaxiM</f>
        <v>3.6023254450780057E-5</v>
      </c>
      <c r="Q303" s="305">
        <f t="shared" si="110"/>
        <v>0.5</v>
      </c>
      <c r="R303" s="177">
        <f t="shared" si="111"/>
        <v>0.49496693766408995</v>
      </c>
      <c r="S303" s="811">
        <f t="shared" si="129"/>
        <v>-2</v>
      </c>
      <c r="T303" s="176">
        <f t="shared" si="112"/>
        <v>4</v>
      </c>
      <c r="U303" s="251">
        <f t="shared" si="113"/>
        <v>-1.5050330623359101</v>
      </c>
      <c r="V303" s="383">
        <f t="shared" si="114"/>
        <v>39.105324750027293</v>
      </c>
      <c r="W303" s="58"/>
      <c r="X303" s="157">
        <f t="shared" si="115"/>
        <v>43389</v>
      </c>
      <c r="Y303" s="385">
        <f t="shared" si="116"/>
        <v>17.864000000000001</v>
      </c>
      <c r="Z303" s="385">
        <f t="shared" si="117"/>
        <v>17.914937809969008</v>
      </c>
      <c r="AA303" s="386">
        <f t="shared" si="118"/>
        <v>18.061276238097779</v>
      </c>
      <c r="AB303" s="197">
        <f t="shared" si="119"/>
        <v>43389</v>
      </c>
      <c r="AC303" s="426">
        <f t="shared" si="120"/>
        <v>8.1023304333329924E-3</v>
      </c>
      <c r="AD303" s="169">
        <f>(INDEX(Models!$BJ303:$BT303,,AH303)*(1-AF303)+INDEX(Models!$BJ303:$BT303,,AH303+1)*AF303-ERP_i)*AE303*Ramure*Pc/MaxiM</f>
        <v>3.6023254450780057E-5</v>
      </c>
      <c r="AE303" s="305">
        <f t="shared" si="121"/>
        <v>0.5</v>
      </c>
      <c r="AF303" s="177">
        <f t="shared" si="122"/>
        <v>0.49496693766408995</v>
      </c>
      <c r="AG303" s="811">
        <f t="shared" si="123"/>
        <v>-2</v>
      </c>
      <c r="AH303" s="176">
        <f t="shared" si="124"/>
        <v>4</v>
      </c>
      <c r="AI303" s="225">
        <f t="shared" si="125"/>
        <v>-1.5050330623359101</v>
      </c>
      <c r="AJ303" s="265" t="b">
        <f t="shared" si="126"/>
        <v>0</v>
      </c>
      <c r="AK303" s="265" t="b">
        <f t="shared" si="12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8"/>
        <v>43390</v>
      </c>
      <c r="B304" s="617">
        <v>21.582000000000001</v>
      </c>
      <c r="C304" s="390"/>
      <c r="D304" s="393">
        <f t="shared" si="105"/>
        <v>21.644013457939664</v>
      </c>
      <c r="E304" s="385">
        <f t="shared" si="131"/>
        <v>21.821998054790502</v>
      </c>
      <c r="F304" s="385">
        <f t="shared" si="130"/>
        <v>21.822298308807774</v>
      </c>
      <c r="G304" s="110">
        <f t="shared" si="132"/>
        <v>0.55660010356820067</v>
      </c>
      <c r="I304" s="380">
        <f t="shared" si="106"/>
        <v>21.822298308807774</v>
      </c>
      <c r="J304" s="85">
        <v>2018</v>
      </c>
      <c r="K304" s="197">
        <f t="shared" si="107"/>
        <v>43390</v>
      </c>
      <c r="L304" s="437">
        <f t="shared" si="108"/>
        <v>2.8651552107086253E-3</v>
      </c>
      <c r="M304" s="856"/>
      <c r="N304" s="856"/>
      <c r="O304" s="324">
        <f t="shared" si="109"/>
        <v>8.1562007477021786E-3</v>
      </c>
      <c r="P304" s="169">
        <f>(INDEX(Models!$BJ304:$BT304,,T304)*(1-R304)+INDEX(Models!$BJ304:$BT304,,T304+1)*R304-ERP_i)*Q304*Ramure*Pc/MaxiM</f>
        <v>3.7532470798789933E-5</v>
      </c>
      <c r="Q304" s="305">
        <f t="shared" si="110"/>
        <v>0.5</v>
      </c>
      <c r="R304" s="177">
        <f t="shared" si="111"/>
        <v>0.49507062022933468</v>
      </c>
      <c r="S304" s="811">
        <f t="shared" si="129"/>
        <v>-2</v>
      </c>
      <c r="T304" s="176">
        <f t="shared" si="112"/>
        <v>4</v>
      </c>
      <c r="U304" s="251">
        <f t="shared" si="113"/>
        <v>-1.5049293797706653</v>
      </c>
      <c r="V304" s="383">
        <f t="shared" si="114"/>
        <v>38.773774522398973</v>
      </c>
      <c r="W304" s="58"/>
      <c r="X304" s="157">
        <f t="shared" si="115"/>
        <v>43390</v>
      </c>
      <c r="Y304" s="385">
        <f t="shared" si="116"/>
        <v>21.582000000000001</v>
      </c>
      <c r="Z304" s="385">
        <f t="shared" si="117"/>
        <v>21.644013457939664</v>
      </c>
      <c r="AA304" s="386">
        <f t="shared" si="118"/>
        <v>21.821998054790502</v>
      </c>
      <c r="AB304" s="197">
        <f t="shared" si="119"/>
        <v>43390</v>
      </c>
      <c r="AC304" s="426">
        <f t="shared" si="120"/>
        <v>8.1562007477021786E-3</v>
      </c>
      <c r="AD304" s="169">
        <f>(INDEX(Models!$BJ304:$BT304,,AH304)*(1-AF304)+INDEX(Models!$BJ304:$BT304,,AH304+1)*AF304-ERP_i)*AE304*Ramure*Pc/MaxiM</f>
        <v>3.7532470798789933E-5</v>
      </c>
      <c r="AE304" s="305">
        <f t="shared" si="121"/>
        <v>0.5</v>
      </c>
      <c r="AF304" s="177">
        <f t="shared" si="122"/>
        <v>0.49507062022933468</v>
      </c>
      <c r="AG304" s="811">
        <f t="shared" si="123"/>
        <v>-2</v>
      </c>
      <c r="AH304" s="176">
        <f t="shared" si="124"/>
        <v>4</v>
      </c>
      <c r="AI304" s="225">
        <f t="shared" si="125"/>
        <v>-1.5049293797706653</v>
      </c>
      <c r="AJ304" s="265" t="b">
        <f t="shared" si="126"/>
        <v>0</v>
      </c>
      <c r="AK304" s="265" t="b">
        <f t="shared" si="12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8"/>
        <v>43391</v>
      </c>
      <c r="B305" s="617">
        <v>10.888999999999999</v>
      </c>
      <c r="C305" s="390"/>
      <c r="D305" s="393">
        <f t="shared" si="105"/>
        <v>10.920527508564545</v>
      </c>
      <c r="E305" s="385">
        <f t="shared" si="131"/>
        <v>11.010925539811762</v>
      </c>
      <c r="F305" s="385">
        <f t="shared" si="130"/>
        <v>11.010925539811762</v>
      </c>
      <c r="G305" s="110">
        <f t="shared" si="132"/>
        <v>0.28325308712413827</v>
      </c>
      <c r="I305" s="380">
        <f t="shared" si="106"/>
        <v>11.010925539811762</v>
      </c>
      <c r="J305" s="85">
        <v>2018</v>
      </c>
      <c r="K305" s="197">
        <f t="shared" si="107"/>
        <v>43391</v>
      </c>
      <c r="L305" s="437">
        <f t="shared" si="108"/>
        <v>2.8869950228886943E-3</v>
      </c>
      <c r="M305" s="856"/>
      <c r="N305" s="856"/>
      <c r="O305" s="324">
        <f t="shared" si="109"/>
        <v>8.2098485654424243E-3</v>
      </c>
      <c r="P305" s="169">
        <f>(INDEX(Models!$BJ305:$BT305,,T305)*(1-R305)+INDEX(Models!$BJ305:$BT305,,T305+1)*R305-ERP_i)*Q305*Ramure*Pc/MaxiM</f>
        <v>3.8669038199897474E-5</v>
      </c>
      <c r="Q305" s="305">
        <f t="shared" si="110"/>
        <v>0.5</v>
      </c>
      <c r="R305" s="177">
        <f t="shared" si="111"/>
        <v>0.49517016881977538</v>
      </c>
      <c r="S305" s="811">
        <f t="shared" si="129"/>
        <v>-2</v>
      </c>
      <c r="T305" s="176">
        <f t="shared" si="112"/>
        <v>4</v>
      </c>
      <c r="U305" s="251">
        <f t="shared" si="113"/>
        <v>-1.5048298311802246</v>
      </c>
      <c r="V305" s="383">
        <f t="shared" si="114"/>
        <v>38.441165967137444</v>
      </c>
      <c r="W305" s="58"/>
      <c r="X305" s="157">
        <f t="shared" si="115"/>
        <v>43391</v>
      </c>
      <c r="Y305" s="385">
        <f t="shared" si="116"/>
        <v>10.888999999999999</v>
      </c>
      <c r="Z305" s="385">
        <f t="shared" si="117"/>
        <v>10.920527508564545</v>
      </c>
      <c r="AA305" s="386">
        <f t="shared" si="118"/>
        <v>11.010925539811762</v>
      </c>
      <c r="AB305" s="197">
        <f t="shared" si="119"/>
        <v>43391</v>
      </c>
      <c r="AC305" s="426">
        <f t="shared" si="120"/>
        <v>8.2098485654424243E-3</v>
      </c>
      <c r="AD305" s="169">
        <f>(INDEX(Models!$BJ305:$BT305,,AH305)*(1-AF305)+INDEX(Models!$BJ305:$BT305,,AH305+1)*AF305-ERP_i)*AE305*Ramure*Pc/MaxiM</f>
        <v>3.8669038199897474E-5</v>
      </c>
      <c r="AE305" s="305">
        <f t="shared" si="121"/>
        <v>0.5</v>
      </c>
      <c r="AF305" s="177">
        <f t="shared" si="122"/>
        <v>0.49517016881977538</v>
      </c>
      <c r="AG305" s="811">
        <f t="shared" si="123"/>
        <v>-2</v>
      </c>
      <c r="AH305" s="176">
        <f t="shared" si="124"/>
        <v>4</v>
      </c>
      <c r="AI305" s="225">
        <f t="shared" si="125"/>
        <v>-1.5048298311802246</v>
      </c>
      <c r="AJ305" s="265" t="b">
        <f t="shared" si="126"/>
        <v>0</v>
      </c>
      <c r="AK305" s="265" t="b">
        <f t="shared" si="12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8"/>
        <v>43392</v>
      </c>
      <c r="B306" s="617">
        <v>24.373000000000001</v>
      </c>
      <c r="C306" s="390"/>
      <c r="D306" s="393">
        <f t="shared" si="105"/>
        <v>24.444103849095498</v>
      </c>
      <c r="E306" s="385">
        <f t="shared" si="131"/>
        <v>24.6477752150108</v>
      </c>
      <c r="F306" s="385">
        <f t="shared" si="130"/>
        <v>24.648246667785216</v>
      </c>
      <c r="G306" s="110">
        <f t="shared" si="132"/>
        <v>0.63956529138790663</v>
      </c>
      <c r="I306" s="380">
        <f t="shared" si="106"/>
        <v>24.648246667785216</v>
      </c>
      <c r="J306" s="85">
        <v>2018</v>
      </c>
      <c r="K306" s="197">
        <f t="shared" si="107"/>
        <v>43392</v>
      </c>
      <c r="L306" s="437">
        <f t="shared" si="108"/>
        <v>2.9088343567207353E-3</v>
      </c>
      <c r="M306" s="856"/>
      <c r="N306" s="856"/>
      <c r="O306" s="324">
        <f t="shared" si="109"/>
        <v>8.2632758591235818E-3</v>
      </c>
      <c r="P306" s="169">
        <f>(INDEX(Models!$BJ306:$BT306,,T306)*(1-R306)+INDEX(Models!$BJ306:$BT306,,T306+1)*R306-ERP_i)*Q306*Ramure*Pc/MaxiM</f>
        <v>3.9428504541558654E-5</v>
      </c>
      <c r="Q306" s="305">
        <f t="shared" si="110"/>
        <v>0.5</v>
      </c>
      <c r="R306" s="177">
        <f t="shared" si="111"/>
        <v>0.49526574670120538</v>
      </c>
      <c r="S306" s="811">
        <f t="shared" si="129"/>
        <v>-2</v>
      </c>
      <c r="T306" s="176">
        <f t="shared" si="112"/>
        <v>4</v>
      </c>
      <c r="U306" s="251">
        <f t="shared" si="113"/>
        <v>-1.5047342532987946</v>
      </c>
      <c r="V306" s="383">
        <f t="shared" si="114"/>
        <v>38.107923484670742</v>
      </c>
      <c r="W306" s="58"/>
      <c r="X306" s="157">
        <f t="shared" si="115"/>
        <v>43392</v>
      </c>
      <c r="Y306" s="385">
        <f t="shared" si="116"/>
        <v>24.373000000000001</v>
      </c>
      <c r="Z306" s="385">
        <f t="shared" si="117"/>
        <v>24.444103849095498</v>
      </c>
      <c r="AA306" s="386">
        <f t="shared" si="118"/>
        <v>24.6477752150108</v>
      </c>
      <c r="AB306" s="197">
        <f t="shared" si="119"/>
        <v>43392</v>
      </c>
      <c r="AC306" s="426">
        <f t="shared" si="120"/>
        <v>8.2632758591235818E-3</v>
      </c>
      <c r="AD306" s="169">
        <f>(INDEX(Models!$BJ306:$BT306,,AH306)*(1-AF306)+INDEX(Models!$BJ306:$BT306,,AH306+1)*AF306-ERP_i)*AE306*Ramure*Pc/MaxiM</f>
        <v>3.9428504541558654E-5</v>
      </c>
      <c r="AE306" s="305">
        <f t="shared" si="121"/>
        <v>0.5</v>
      </c>
      <c r="AF306" s="177">
        <f t="shared" si="122"/>
        <v>0.49526574670120538</v>
      </c>
      <c r="AG306" s="811">
        <f t="shared" si="123"/>
        <v>-2</v>
      </c>
      <c r="AH306" s="176">
        <f t="shared" si="124"/>
        <v>4</v>
      </c>
      <c r="AI306" s="225">
        <f t="shared" si="125"/>
        <v>-1.5047342532987946</v>
      </c>
      <c r="AJ306" s="265" t="b">
        <f t="shared" si="126"/>
        <v>0</v>
      </c>
      <c r="AK306" s="265" t="b">
        <f t="shared" si="12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8"/>
        <v>43393</v>
      </c>
      <c r="B307" s="617">
        <v>10.961</v>
      </c>
      <c r="C307" s="390"/>
      <c r="D307" s="393">
        <f t="shared" si="105"/>
        <v>10.993217528125735</v>
      </c>
      <c r="E307" s="385">
        <f t="shared" si="131"/>
        <v>11.085409168777707</v>
      </c>
      <c r="F307" s="385">
        <f t="shared" si="130"/>
        <v>11.085409168777707</v>
      </c>
      <c r="G307" s="110">
        <f t="shared" si="132"/>
        <v>0.29015796381316689</v>
      </c>
      <c r="I307" s="380">
        <f t="shared" si="106"/>
        <v>11.085409168777707</v>
      </c>
      <c r="J307" s="85">
        <v>2018</v>
      </c>
      <c r="K307" s="197">
        <f t="shared" si="107"/>
        <v>43393</v>
      </c>
      <c r="L307" s="437">
        <f t="shared" si="108"/>
        <v>2.9306732122152956E-3</v>
      </c>
      <c r="M307" s="856"/>
      <c r="N307" s="856"/>
      <c r="O307" s="324">
        <f t="shared" si="109"/>
        <v>8.316485142617196E-3</v>
      </c>
      <c r="P307" s="169">
        <f>(INDEX(Models!$BJ307:$BT307,,T307)*(1-R307)+INDEX(Models!$BJ307:$BT307,,T307+1)*R307-ERP_i)*Q307*Ramure*Pc/MaxiM</f>
        <v>3.9806525208537337E-5</v>
      </c>
      <c r="Q307" s="305">
        <f t="shared" si="110"/>
        <v>0.5</v>
      </c>
      <c r="R307" s="177">
        <f t="shared" si="111"/>
        <v>0.49535751081419876</v>
      </c>
      <c r="S307" s="811">
        <f t="shared" si="129"/>
        <v>-2</v>
      </c>
      <c r="T307" s="176">
        <f t="shared" si="112"/>
        <v>4</v>
      </c>
      <c r="U307" s="251">
        <f t="shared" si="113"/>
        <v>-1.5046424891858012</v>
      </c>
      <c r="V307" s="383">
        <f t="shared" si="114"/>
        <v>37.774471314303518</v>
      </c>
      <c r="W307" s="58"/>
      <c r="X307" s="157">
        <f t="shared" si="115"/>
        <v>43393</v>
      </c>
      <c r="Y307" s="385">
        <f t="shared" si="116"/>
        <v>10.961</v>
      </c>
      <c r="Z307" s="385">
        <f t="shared" si="117"/>
        <v>10.993217528125735</v>
      </c>
      <c r="AA307" s="386">
        <f t="shared" si="118"/>
        <v>11.085409168777707</v>
      </c>
      <c r="AB307" s="197">
        <f t="shared" si="119"/>
        <v>43393</v>
      </c>
      <c r="AC307" s="426">
        <f t="shared" si="120"/>
        <v>8.316485142617196E-3</v>
      </c>
      <c r="AD307" s="169">
        <f>(INDEX(Models!$BJ307:$BT307,,AH307)*(1-AF307)+INDEX(Models!$BJ307:$BT307,,AH307+1)*AF307-ERP_i)*AE307*Ramure*Pc/MaxiM</f>
        <v>3.9806525208537337E-5</v>
      </c>
      <c r="AE307" s="305">
        <f t="shared" si="121"/>
        <v>0.5</v>
      </c>
      <c r="AF307" s="177">
        <f t="shared" si="122"/>
        <v>0.49535751081419876</v>
      </c>
      <c r="AG307" s="811">
        <f t="shared" si="123"/>
        <v>-2</v>
      </c>
      <c r="AH307" s="176">
        <f t="shared" si="124"/>
        <v>4</v>
      </c>
      <c r="AI307" s="225">
        <f t="shared" si="125"/>
        <v>-1.5046424891858012</v>
      </c>
      <c r="AJ307" s="265" t="b">
        <f t="shared" si="126"/>
        <v>0</v>
      </c>
      <c r="AK307" s="265" t="b">
        <f t="shared" si="12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8"/>
        <v>43394</v>
      </c>
      <c r="B308" s="617">
        <v>17.946000000000002</v>
      </c>
      <c r="C308" s="390"/>
      <c r="D308" s="393">
        <f t="shared" si="105"/>
        <v>17.999142677353845</v>
      </c>
      <c r="E308" s="385">
        <f t="shared" si="131"/>
        <v>18.15105758130364</v>
      </c>
      <c r="F308" s="385">
        <f t="shared" si="130"/>
        <v>18.151242630235906</v>
      </c>
      <c r="G308" s="110">
        <f t="shared" si="132"/>
        <v>0.47929694148814783</v>
      </c>
      <c r="I308" s="380">
        <f t="shared" si="106"/>
        <v>18.151242630235906</v>
      </c>
      <c r="J308" s="85">
        <v>2018</v>
      </c>
      <c r="K308" s="197">
        <f t="shared" si="107"/>
        <v>43394</v>
      </c>
      <c r="L308" s="437">
        <f t="shared" si="108"/>
        <v>2.9525115893829224E-3</v>
      </c>
      <c r="M308" s="856"/>
      <c r="N308" s="856"/>
      <c r="O308" s="324">
        <f t="shared" si="109"/>
        <v>8.3694794790510878E-3</v>
      </c>
      <c r="P308" s="169">
        <f>(INDEX(Models!$BJ308:$BT308,,T308)*(1-R308)+INDEX(Models!$BJ308:$BT308,,T308+1)*R308-ERP_i)*Q308*Ramure*Pc/MaxiM</f>
        <v>3.9798894717406372E-5</v>
      </c>
      <c r="Q308" s="305">
        <f t="shared" si="110"/>
        <v>0.5</v>
      </c>
      <c r="R308" s="177">
        <f t="shared" si="111"/>
        <v>0.49544561200948412</v>
      </c>
      <c r="S308" s="811">
        <f t="shared" si="129"/>
        <v>-2</v>
      </c>
      <c r="T308" s="176">
        <f t="shared" si="112"/>
        <v>4</v>
      </c>
      <c r="U308" s="251">
        <f t="shared" si="113"/>
        <v>-1.5045543879905159</v>
      </c>
      <c r="V308" s="383">
        <f t="shared" si="114"/>
        <v>37.441233537644578</v>
      </c>
      <c r="W308" s="58"/>
      <c r="X308" s="157">
        <f t="shared" si="115"/>
        <v>43394</v>
      </c>
      <c r="Y308" s="385">
        <f t="shared" si="116"/>
        <v>17.946000000000002</v>
      </c>
      <c r="Z308" s="385">
        <f t="shared" si="117"/>
        <v>17.999142677353845</v>
      </c>
      <c r="AA308" s="386">
        <f t="shared" si="118"/>
        <v>18.15105758130364</v>
      </c>
      <c r="AB308" s="197">
        <f t="shared" si="119"/>
        <v>43394</v>
      </c>
      <c r="AC308" s="426">
        <f t="shared" si="120"/>
        <v>8.3694794790510878E-3</v>
      </c>
      <c r="AD308" s="169">
        <f>(INDEX(Models!$BJ308:$BT308,,AH308)*(1-AF308)+INDEX(Models!$BJ308:$BT308,,AH308+1)*AF308-ERP_i)*AE308*Ramure*Pc/MaxiM</f>
        <v>3.9798894717406372E-5</v>
      </c>
      <c r="AE308" s="305">
        <f t="shared" si="121"/>
        <v>0.5</v>
      </c>
      <c r="AF308" s="177">
        <f t="shared" si="122"/>
        <v>0.49544561200948412</v>
      </c>
      <c r="AG308" s="811">
        <f t="shared" si="123"/>
        <v>-2</v>
      </c>
      <c r="AH308" s="176">
        <f t="shared" si="124"/>
        <v>4</v>
      </c>
      <c r="AI308" s="225">
        <f t="shared" si="125"/>
        <v>-1.5045543879905159</v>
      </c>
      <c r="AJ308" s="265" t="b">
        <f t="shared" si="126"/>
        <v>0</v>
      </c>
      <c r="AK308" s="265" t="b">
        <f t="shared" si="12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8"/>
        <v>43395</v>
      </c>
      <c r="B309" s="617">
        <v>23.08</v>
      </c>
      <c r="C309" s="390"/>
      <c r="D309" s="393">
        <f t="shared" si="105"/>
        <v>23.148852778414682</v>
      </c>
      <c r="E309" s="385">
        <f t="shared" si="131"/>
        <v>23.345474492441252</v>
      </c>
      <c r="F309" s="385">
        <f t="shared" si="130"/>
        <v>23.345897574822558</v>
      </c>
      <c r="G309" s="110">
        <f t="shared" si="132"/>
        <v>0.62194444606634314</v>
      </c>
      <c r="I309" s="380">
        <f t="shared" si="106"/>
        <v>23.345897574822558</v>
      </c>
      <c r="J309" s="85">
        <v>2018</v>
      </c>
      <c r="K309" s="197">
        <f t="shared" si="107"/>
        <v>43395</v>
      </c>
      <c r="L309" s="437">
        <f t="shared" si="108"/>
        <v>2.9743494882340515E-3</v>
      </c>
      <c r="M309" s="856"/>
      <c r="N309" s="856"/>
      <c r="O309" s="324">
        <f t="shared" si="109"/>
        <v>8.4222624856150983E-3</v>
      </c>
      <c r="P309" s="169">
        <f>(INDEX(Models!$BJ309:$BT309,,T309)*(1-R309)+INDEX(Models!$BJ309:$BT309,,T309+1)*R309-ERP_i)*Q309*Ramure*Pc/MaxiM</f>
        <v>3.940157784447407E-5</v>
      </c>
      <c r="Q309" s="305">
        <f t="shared" si="110"/>
        <v>0.5</v>
      </c>
      <c r="R309" s="177">
        <f t="shared" si="111"/>
        <v>0.49553019527532993</v>
      </c>
      <c r="S309" s="811">
        <f t="shared" si="129"/>
        <v>-2</v>
      </c>
      <c r="T309" s="176">
        <f t="shared" si="112"/>
        <v>4</v>
      </c>
      <c r="U309" s="251">
        <f t="shared" si="113"/>
        <v>-1.5044698047246701</v>
      </c>
      <c r="V309" s="383">
        <f t="shared" si="114"/>
        <v>37.108634078734106</v>
      </c>
      <c r="W309" s="58"/>
      <c r="X309" s="157">
        <f t="shared" si="115"/>
        <v>43395</v>
      </c>
      <c r="Y309" s="385">
        <f t="shared" si="116"/>
        <v>23.08</v>
      </c>
      <c r="Z309" s="385">
        <f t="shared" si="117"/>
        <v>23.148852778414682</v>
      </c>
      <c r="AA309" s="386">
        <f t="shared" si="118"/>
        <v>23.345474492441252</v>
      </c>
      <c r="AB309" s="197">
        <f t="shared" si="119"/>
        <v>43395</v>
      </c>
      <c r="AC309" s="426">
        <f t="shared" si="120"/>
        <v>8.4222624856150983E-3</v>
      </c>
      <c r="AD309" s="169">
        <f>(INDEX(Models!$BJ309:$BT309,,AH309)*(1-AF309)+INDEX(Models!$BJ309:$BT309,,AH309+1)*AF309-ERP_i)*AE309*Ramure*Pc/MaxiM</f>
        <v>3.940157784447407E-5</v>
      </c>
      <c r="AE309" s="305">
        <f t="shared" si="121"/>
        <v>0.5</v>
      </c>
      <c r="AF309" s="177">
        <f t="shared" si="122"/>
        <v>0.49553019527532993</v>
      </c>
      <c r="AG309" s="811">
        <f t="shared" si="123"/>
        <v>-2</v>
      </c>
      <c r="AH309" s="176">
        <f t="shared" si="124"/>
        <v>4</v>
      </c>
      <c r="AI309" s="225">
        <f t="shared" si="125"/>
        <v>-1.5044698047246701</v>
      </c>
      <c r="AJ309" s="265" t="b">
        <f t="shared" si="126"/>
        <v>0</v>
      </c>
      <c r="AK309" s="265" t="b">
        <f t="shared" si="12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8"/>
        <v>43396</v>
      </c>
      <c r="B310" s="617">
        <v>36.99</v>
      </c>
      <c r="C310" s="390"/>
      <c r="D310" s="393">
        <f t="shared" si="105"/>
        <v>37.101162015932637</v>
      </c>
      <c r="E310" s="385">
        <f t="shared" si="131"/>
        <v>37.418275854577757</v>
      </c>
      <c r="F310" s="385">
        <f t="shared" si="130"/>
        <v>37.419724893736571</v>
      </c>
      <c r="G310" s="110">
        <f t="shared" si="132"/>
        <v>1.0057891323125945</v>
      </c>
      <c r="I310" s="380">
        <f t="shared" si="106"/>
        <v>37.419724893736571</v>
      </c>
      <c r="J310" s="85">
        <v>2018</v>
      </c>
      <c r="K310" s="197">
        <f t="shared" si="107"/>
        <v>43396</v>
      </c>
      <c r="L310" s="437">
        <f t="shared" si="108"/>
        <v>2.9961869087792303E-3</v>
      </c>
      <c r="M310" s="856"/>
      <c r="N310" s="856"/>
      <c r="O310" s="324">
        <f t="shared" si="109"/>
        <v>8.474838335084011E-3</v>
      </c>
      <c r="P310" s="169">
        <f>(INDEX(Models!$BJ310:$BT310,,T310)*(1-R310)+INDEX(Models!$BJ310:$BT310,,T310+1)*R310-ERP_i)*Q310*Ramure*Pc/MaxiM</f>
        <v>3.8723939391076566E-5</v>
      </c>
      <c r="Q310" s="305">
        <f t="shared" si="110"/>
        <v>0.5</v>
      </c>
      <c r="R310" s="177">
        <f t="shared" si="111"/>
        <v>0.49561139995715164</v>
      </c>
      <c r="S310" s="811">
        <f t="shared" si="129"/>
        <v>-2</v>
      </c>
      <c r="T310" s="176">
        <f t="shared" si="112"/>
        <v>4</v>
      </c>
      <c r="U310" s="251">
        <f t="shared" si="113"/>
        <v>-1.5043886000428484</v>
      </c>
      <c r="V310" s="383">
        <f t="shared" si="114"/>
        <v>36.777092545183407</v>
      </c>
      <c r="W310" s="58"/>
      <c r="X310" s="157">
        <f t="shared" si="115"/>
        <v>43396</v>
      </c>
      <c r="Y310" s="385">
        <f t="shared" si="116"/>
        <v>36.99</v>
      </c>
      <c r="Z310" s="385">
        <f t="shared" si="117"/>
        <v>37.101162015932637</v>
      </c>
      <c r="AA310" s="386">
        <f t="shared" si="118"/>
        <v>37.418275854577757</v>
      </c>
      <c r="AB310" s="197">
        <f t="shared" si="119"/>
        <v>43396</v>
      </c>
      <c r="AC310" s="426">
        <f t="shared" si="120"/>
        <v>8.474838335084011E-3</v>
      </c>
      <c r="AD310" s="169">
        <f>(INDEX(Models!$BJ310:$BT310,,AH310)*(1-AF310)+INDEX(Models!$BJ310:$BT310,,AH310+1)*AF310-ERP_i)*AE310*Ramure*Pc/MaxiM</f>
        <v>3.8723939391076566E-5</v>
      </c>
      <c r="AE310" s="305">
        <f t="shared" si="121"/>
        <v>0.5</v>
      </c>
      <c r="AF310" s="177">
        <f t="shared" si="122"/>
        <v>0.49561139995715164</v>
      </c>
      <c r="AG310" s="811">
        <f t="shared" si="123"/>
        <v>-2</v>
      </c>
      <c r="AH310" s="176">
        <f t="shared" si="124"/>
        <v>4</v>
      </c>
      <c r="AI310" s="225">
        <f t="shared" si="125"/>
        <v>-1.5043886000428484</v>
      </c>
      <c r="AJ310" s="265" t="b">
        <f t="shared" si="126"/>
        <v>0</v>
      </c>
      <c r="AK310" s="265" t="b">
        <f t="shared" si="12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8"/>
        <v>43397</v>
      </c>
      <c r="B311" s="617">
        <v>35.442</v>
      </c>
      <c r="C311" s="390"/>
      <c r="D311" s="393">
        <f t="shared" si="105"/>
        <v>35.549288600884573</v>
      </c>
      <c r="E311" s="385">
        <f t="shared" si="131"/>
        <v>35.855032051633444</v>
      </c>
      <c r="F311" s="385">
        <f t="shared" si="130"/>
        <v>35.856341166256932</v>
      </c>
      <c r="G311" s="110">
        <f t="shared" si="132"/>
        <v>0.97242362454322417</v>
      </c>
      <c r="I311" s="380">
        <f t="shared" si="106"/>
        <v>35.856341166256932</v>
      </c>
      <c r="J311" s="85">
        <v>2018</v>
      </c>
      <c r="K311" s="197">
        <f t="shared" si="107"/>
        <v>43397</v>
      </c>
      <c r="L311" s="437">
        <f t="shared" si="108"/>
        <v>3.0180238510286728E-3</v>
      </c>
      <c r="M311" s="856"/>
      <c r="N311" s="856"/>
      <c r="O311" s="324">
        <f t="shared" si="109"/>
        <v>8.5272117539479716E-3</v>
      </c>
      <c r="P311" s="169">
        <f>(INDEX(Models!$BJ311:$BT311,,T311)*(1-R311)+INDEX(Models!$BJ311:$BT311,,T311+1)*R311-ERP_i)*Q311*Ramure*Pc/MaxiM</f>
        <v>3.8007196753972981E-5</v>
      </c>
      <c r="Q311" s="305">
        <f t="shared" si="110"/>
        <v>0.5</v>
      </c>
      <c r="R311" s="177">
        <f t="shared" si="111"/>
        <v>0.49568935996954444</v>
      </c>
      <c r="S311" s="811">
        <f t="shared" si="129"/>
        <v>-2</v>
      </c>
      <c r="T311" s="176">
        <f t="shared" si="112"/>
        <v>4</v>
      </c>
      <c r="U311" s="251">
        <f t="shared" si="113"/>
        <v>-1.5043106400304556</v>
      </c>
      <c r="V311" s="383">
        <f t="shared" si="114"/>
        <v>36.447023745104282</v>
      </c>
      <c r="W311" s="58"/>
      <c r="X311" s="157">
        <f t="shared" si="115"/>
        <v>43397</v>
      </c>
      <c r="Y311" s="385">
        <f t="shared" si="116"/>
        <v>35.442</v>
      </c>
      <c r="Z311" s="385">
        <f t="shared" si="117"/>
        <v>35.549288600884573</v>
      </c>
      <c r="AA311" s="386">
        <f t="shared" si="118"/>
        <v>35.855032051633444</v>
      </c>
      <c r="AB311" s="197">
        <f t="shared" si="119"/>
        <v>43397</v>
      </c>
      <c r="AC311" s="426">
        <f t="shared" si="120"/>
        <v>8.5272117539479716E-3</v>
      </c>
      <c r="AD311" s="169">
        <f>(INDEX(Models!$BJ311:$BT311,,AH311)*(1-AF311)+INDEX(Models!$BJ311:$BT311,,AH311+1)*AF311-ERP_i)*AE311*Ramure*Pc/MaxiM</f>
        <v>3.8007196753972981E-5</v>
      </c>
      <c r="AE311" s="305">
        <f t="shared" si="121"/>
        <v>0.5</v>
      </c>
      <c r="AF311" s="177">
        <f t="shared" si="122"/>
        <v>0.49568935996954444</v>
      </c>
      <c r="AG311" s="811">
        <f t="shared" si="123"/>
        <v>-2</v>
      </c>
      <c r="AH311" s="176">
        <f t="shared" si="124"/>
        <v>4</v>
      </c>
      <c r="AI311" s="225">
        <f t="shared" si="125"/>
        <v>-1.5043106400304556</v>
      </c>
      <c r="AJ311" s="265" t="b">
        <f t="shared" si="126"/>
        <v>0</v>
      </c>
      <c r="AK311" s="265" t="b">
        <f t="shared" si="12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8"/>
        <v>43398</v>
      </c>
      <c r="B312" s="617">
        <v>35.509</v>
      </c>
      <c r="C312" s="390"/>
      <c r="D312" s="393">
        <f t="shared" si="105"/>
        <v>35.617271530253149</v>
      </c>
      <c r="E312" s="385">
        <f t="shared" si="131"/>
        <v>35.925490250818264</v>
      </c>
      <c r="F312" s="385">
        <f t="shared" si="130"/>
        <v>35.926796289859503</v>
      </c>
      <c r="G312" s="110">
        <f t="shared" si="132"/>
        <v>0.98311454359400408</v>
      </c>
      <c r="I312" s="380">
        <f t="shared" si="106"/>
        <v>35.926796289859503</v>
      </c>
      <c r="J312" s="85">
        <v>2018</v>
      </c>
      <c r="K312" s="197">
        <f t="shared" si="107"/>
        <v>43398</v>
      </c>
      <c r="L312" s="437">
        <f t="shared" si="108"/>
        <v>3.039860314993148E-3</v>
      </c>
      <c r="M312" s="856"/>
      <c r="N312" s="856"/>
      <c r="O312" s="324">
        <f t="shared" si="109"/>
        <v>8.5793880170665516E-3</v>
      </c>
      <c r="P312" s="169">
        <f>(INDEX(Models!$BJ312:$BT312,,T312)*(1-R312)+INDEX(Models!$BJ312:$BT312,,T312+1)*R312-ERP_i)*Q312*Ramure*Pc/MaxiM</f>
        <v>3.7251315553965363E-5</v>
      </c>
      <c r="Q312" s="305">
        <f t="shared" si="110"/>
        <v>0.5</v>
      </c>
      <c r="R312" s="177">
        <f t="shared" si="111"/>
        <v>0.49576420400095267</v>
      </c>
      <c r="S312" s="811">
        <f t="shared" si="129"/>
        <v>-2</v>
      </c>
      <c r="T312" s="176">
        <f t="shared" si="112"/>
        <v>4</v>
      </c>
      <c r="U312" s="251">
        <f t="shared" si="113"/>
        <v>-1.5042357959990473</v>
      </c>
      <c r="V312" s="383">
        <f t="shared" si="114"/>
        <v>36.118851383327133</v>
      </c>
      <c r="W312" s="58"/>
      <c r="X312" s="157">
        <f t="shared" si="115"/>
        <v>43398</v>
      </c>
      <c r="Y312" s="385">
        <f t="shared" si="116"/>
        <v>35.509</v>
      </c>
      <c r="Z312" s="385">
        <f t="shared" si="117"/>
        <v>35.617271530253149</v>
      </c>
      <c r="AA312" s="386">
        <f t="shared" si="118"/>
        <v>35.925490250818264</v>
      </c>
      <c r="AB312" s="197">
        <f t="shared" si="119"/>
        <v>43398</v>
      </c>
      <c r="AC312" s="426">
        <f t="shared" si="120"/>
        <v>8.5793880170665516E-3</v>
      </c>
      <c r="AD312" s="169">
        <f>(INDEX(Models!$BJ312:$BT312,,AH312)*(1-AF312)+INDEX(Models!$BJ312:$BT312,,AH312+1)*AF312-ERP_i)*AE312*Ramure*Pc/MaxiM</f>
        <v>3.7251315553965363E-5</v>
      </c>
      <c r="AE312" s="305">
        <f t="shared" si="121"/>
        <v>0.5</v>
      </c>
      <c r="AF312" s="177">
        <f t="shared" si="122"/>
        <v>0.49576420400095267</v>
      </c>
      <c r="AG312" s="811">
        <f t="shared" si="123"/>
        <v>-2</v>
      </c>
      <c r="AH312" s="176">
        <f t="shared" si="124"/>
        <v>4</v>
      </c>
      <c r="AI312" s="225">
        <f t="shared" si="125"/>
        <v>-1.5042357959990473</v>
      </c>
      <c r="AJ312" s="265" t="b">
        <f t="shared" si="126"/>
        <v>0</v>
      </c>
      <c r="AK312" s="265" t="b">
        <f t="shared" si="12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8"/>
        <v>43399</v>
      </c>
      <c r="B313" s="617">
        <v>4.0049999999999999</v>
      </c>
      <c r="C313" s="390"/>
      <c r="D313" s="393">
        <f t="shared" si="105"/>
        <v>4.0172997517887863</v>
      </c>
      <c r="E313" s="385">
        <f t="shared" si="131"/>
        <v>4.0522764611762803</v>
      </c>
      <c r="F313" s="385">
        <f t="shared" si="130"/>
        <v>4.0522764611762803</v>
      </c>
      <c r="G313" s="110">
        <f t="shared" si="132"/>
        <v>0.11188931079837555</v>
      </c>
      <c r="I313" s="380">
        <f t="shared" si="106"/>
        <v>4.0522764611762803</v>
      </c>
      <c r="J313" s="85">
        <v>2018</v>
      </c>
      <c r="K313" s="197">
        <f t="shared" si="107"/>
        <v>43399</v>
      </c>
      <c r="L313" s="437">
        <f t="shared" si="108"/>
        <v>3.0616963006829812E-3</v>
      </c>
      <c r="M313" s="856"/>
      <c r="N313" s="856"/>
      <c r="O313" s="324">
        <f t="shared" si="109"/>
        <v>8.6313729387903597E-3</v>
      </c>
      <c r="P313" s="169">
        <f>(INDEX(Models!$BJ313:$BT313,,T313)*(1-R313)+INDEX(Models!$BJ313:$BT313,,T313+1)*R313-ERP_i)*Q313*Ramure*Pc/MaxiM</f>
        <v>3.6455977966412593E-5</v>
      </c>
      <c r="Q313" s="305">
        <f t="shared" si="110"/>
        <v>0.5</v>
      </c>
      <c r="R313" s="177">
        <f t="shared" si="111"/>
        <v>0.49583605571118206</v>
      </c>
      <c r="S313" s="811">
        <f t="shared" si="129"/>
        <v>-2</v>
      </c>
      <c r="T313" s="176">
        <f t="shared" si="112"/>
        <v>4</v>
      </c>
      <c r="U313" s="251">
        <f t="shared" si="113"/>
        <v>-1.5041639442888179</v>
      </c>
      <c r="V313" s="383">
        <f t="shared" si="114"/>
        <v>35.792999038353067</v>
      </c>
      <c r="W313" s="58"/>
      <c r="X313" s="157">
        <f t="shared" si="115"/>
        <v>43399</v>
      </c>
      <c r="Y313" s="385">
        <f t="shared" si="116"/>
        <v>4.0049999999999999</v>
      </c>
      <c r="Z313" s="385">
        <f t="shared" si="117"/>
        <v>4.0172997517887863</v>
      </c>
      <c r="AA313" s="386">
        <f t="shared" si="118"/>
        <v>4.0522764611762803</v>
      </c>
      <c r="AB313" s="197">
        <f t="shared" si="119"/>
        <v>43399</v>
      </c>
      <c r="AC313" s="426">
        <f t="shared" si="120"/>
        <v>8.6313729387903597E-3</v>
      </c>
      <c r="AD313" s="169">
        <f>(INDEX(Models!$BJ313:$BT313,,AH313)*(1-AF313)+INDEX(Models!$BJ313:$BT313,,AH313+1)*AF313-ERP_i)*AE313*Ramure*Pc/MaxiM</f>
        <v>3.6455977966412593E-5</v>
      </c>
      <c r="AE313" s="305">
        <f t="shared" si="121"/>
        <v>0.5</v>
      </c>
      <c r="AF313" s="177">
        <f t="shared" si="122"/>
        <v>0.49583605571118206</v>
      </c>
      <c r="AG313" s="811">
        <f t="shared" si="123"/>
        <v>-2</v>
      </c>
      <c r="AH313" s="176">
        <f t="shared" si="124"/>
        <v>4</v>
      </c>
      <c r="AI313" s="225">
        <f t="shared" si="125"/>
        <v>-1.5041639442888179</v>
      </c>
      <c r="AJ313" s="265" t="b">
        <f t="shared" si="126"/>
        <v>0</v>
      </c>
      <c r="AK313" s="265" t="b">
        <f t="shared" si="12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8"/>
        <v>43400</v>
      </c>
      <c r="B314" s="617">
        <v>9.3800000000000008</v>
      </c>
      <c r="C314" s="390"/>
      <c r="D314" s="393">
        <f t="shared" si="105"/>
        <v>9.4090129908401643</v>
      </c>
      <c r="E314" s="385">
        <f t="shared" si="131"/>
        <v>9.4914287069963361</v>
      </c>
      <c r="F314" s="385">
        <f t="shared" si="130"/>
        <v>9.4914287069963361</v>
      </c>
      <c r="G314" s="110">
        <f>+Wh_hp/MaxiM</f>
        <v>0.26444022902590514</v>
      </c>
      <c r="I314" s="380">
        <f t="shared" si="106"/>
        <v>9.4914287069963361</v>
      </c>
      <c r="J314" s="85">
        <v>2018</v>
      </c>
      <c r="K314" s="197">
        <f t="shared" si="107"/>
        <v>43400</v>
      </c>
      <c r="L314" s="437">
        <f t="shared" si="108"/>
        <v>3.0835318081087193E-3</v>
      </c>
      <c r="M314" s="856"/>
      <c r="N314" s="856"/>
      <c r="O314" s="324">
        <f t="shared" si="109"/>
        <v>8.6831728605221564E-3</v>
      </c>
      <c r="P314" s="169">
        <f>(INDEX(Models!$BJ314:$BT314,,T314)*(1-R314)+INDEX(Models!$BJ314:$BT314,,T314+1)*R314-ERP_i)*Q314*Ramure*Pc/MaxiM</f>
        <v>3.5620910470959044E-5</v>
      </c>
      <c r="Q314" s="305">
        <f t="shared" si="110"/>
        <v>0.5</v>
      </c>
      <c r="R314" s="177">
        <f t="shared" si="111"/>
        <v>0.4959050339219595</v>
      </c>
      <c r="S314" s="811">
        <f t="shared" si="129"/>
        <v>-2</v>
      </c>
      <c r="T314" s="176">
        <f t="shared" si="112"/>
        <v>4</v>
      </c>
      <c r="U314" s="251">
        <f t="shared" si="113"/>
        <v>-1.5040949660780405</v>
      </c>
      <c r="V314" s="383">
        <f t="shared" si="114"/>
        <v>35.46989015404661</v>
      </c>
      <c r="W314" s="58"/>
      <c r="X314" s="157">
        <f t="shared" si="115"/>
        <v>43400</v>
      </c>
      <c r="Y314" s="385">
        <f t="shared" si="116"/>
        <v>9.3800000000000008</v>
      </c>
      <c r="Z314" s="385">
        <f t="shared" si="117"/>
        <v>9.4090129908401643</v>
      </c>
      <c r="AA314" s="386">
        <f t="shared" si="118"/>
        <v>9.4914287069963361</v>
      </c>
      <c r="AB314" s="197">
        <f t="shared" si="119"/>
        <v>43400</v>
      </c>
      <c r="AC314" s="426">
        <f t="shared" si="120"/>
        <v>8.6831728605221564E-3</v>
      </c>
      <c r="AD314" s="169">
        <f>(INDEX(Models!$BJ314:$BT314,,AH314)*(1-AF314)+INDEX(Models!$BJ314:$BT314,,AH314+1)*AF314-ERP_i)*AE314*Ramure*Pc/MaxiM</f>
        <v>3.5620910470959044E-5</v>
      </c>
      <c r="AE314" s="305">
        <f t="shared" si="121"/>
        <v>0.5</v>
      </c>
      <c r="AF314" s="177">
        <f t="shared" si="122"/>
        <v>0.4959050339219595</v>
      </c>
      <c r="AG314" s="811">
        <f t="shared" si="123"/>
        <v>-2</v>
      </c>
      <c r="AH314" s="176">
        <f t="shared" si="124"/>
        <v>4</v>
      </c>
      <c r="AI314" s="225">
        <f t="shared" si="125"/>
        <v>-1.5040949660780405</v>
      </c>
      <c r="AJ314" s="265" t="b">
        <f t="shared" si="126"/>
        <v>0</v>
      </c>
      <c r="AK314" s="265" t="b">
        <f t="shared" si="12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8"/>
        <v>43401</v>
      </c>
      <c r="B315" s="617">
        <v>3.8359999999999999</v>
      </c>
      <c r="C315" s="390"/>
      <c r="D315" s="393">
        <f t="shared" si="105"/>
        <v>3.8479492941295277</v>
      </c>
      <c r="E315" s="385">
        <f t="shared" si="131"/>
        <v>3.8818565135770693</v>
      </c>
      <c r="F315" s="385">
        <f t="shared" si="130"/>
        <v>3.8818565135770693</v>
      </c>
      <c r="G315" s="110">
        <f t="shared" si="132"/>
        <v>0.10912865959805108</v>
      </c>
      <c r="I315" s="380">
        <f t="shared" si="106"/>
        <v>3.8818565135770693</v>
      </c>
      <c r="J315" s="85">
        <v>2018</v>
      </c>
      <c r="K315" s="197">
        <f t="shared" si="107"/>
        <v>43401</v>
      </c>
      <c r="L315" s="437">
        <f t="shared" si="108"/>
        <v>3.1053668372807985E-3</v>
      </c>
      <c r="M315" s="856"/>
      <c r="N315" s="856"/>
      <c r="O315" s="324">
        <f t="shared" si="109"/>
        <v>8.7347946347189811E-3</v>
      </c>
      <c r="P315" s="169">
        <f>(INDEX(Models!$BJ315:$BT315,,T315)*(1-R315)+INDEX(Models!$BJ315:$BT315,,T315+1)*R315-ERP_i)*Q315*Ramure*Pc/MaxiM</f>
        <v>3.4745885489130263E-5</v>
      </c>
      <c r="Q315" s="305">
        <f t="shared" si="110"/>
        <v>0.5</v>
      </c>
      <c r="R315" s="177">
        <f t="shared" si="111"/>
        <v>0.49597125280074161</v>
      </c>
      <c r="S315" s="811">
        <f t="shared" si="129"/>
        <v>-2</v>
      </c>
      <c r="T315" s="176">
        <f t="shared" si="112"/>
        <v>4</v>
      </c>
      <c r="U315" s="251">
        <f t="shared" si="113"/>
        <v>-1.5040287471992584</v>
      </c>
      <c r="V315" s="383">
        <f t="shared" si="114"/>
        <v>35.149948042171019</v>
      </c>
      <c r="W315" s="58"/>
      <c r="X315" s="157">
        <f t="shared" si="115"/>
        <v>43401</v>
      </c>
      <c r="Y315" s="385">
        <f t="shared" si="116"/>
        <v>3.8359999999999999</v>
      </c>
      <c r="Z315" s="385">
        <f t="shared" si="117"/>
        <v>3.8479492941295277</v>
      </c>
      <c r="AA315" s="386">
        <f t="shared" si="118"/>
        <v>3.8818565135770693</v>
      </c>
      <c r="AB315" s="197">
        <f t="shared" si="119"/>
        <v>43401</v>
      </c>
      <c r="AC315" s="426">
        <f t="shared" si="120"/>
        <v>8.7347946347189811E-3</v>
      </c>
      <c r="AD315" s="169">
        <f>(INDEX(Models!$BJ315:$BT315,,AH315)*(1-AF315)+INDEX(Models!$BJ315:$BT315,,AH315+1)*AF315-ERP_i)*AE315*Ramure*Pc/MaxiM</f>
        <v>3.4745885489130263E-5</v>
      </c>
      <c r="AE315" s="305">
        <f t="shared" si="121"/>
        <v>0.5</v>
      </c>
      <c r="AF315" s="177">
        <f t="shared" si="122"/>
        <v>0.49597125280074161</v>
      </c>
      <c r="AG315" s="811">
        <f t="shared" si="123"/>
        <v>-2</v>
      </c>
      <c r="AH315" s="176">
        <f t="shared" si="124"/>
        <v>4</v>
      </c>
      <c r="AI315" s="225">
        <f t="shared" si="125"/>
        <v>-1.5040287471992584</v>
      </c>
      <c r="AJ315" s="265" t="b">
        <f t="shared" si="126"/>
        <v>0</v>
      </c>
      <c r="AK315" s="265" t="b">
        <f t="shared" si="12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8"/>
        <v>43402</v>
      </c>
      <c r="B316" s="617">
        <v>4.4180000000000001</v>
      </c>
      <c r="C316" s="390"/>
      <c r="D316" s="393">
        <f t="shared" si="105"/>
        <v>4.4318593166072446</v>
      </c>
      <c r="E316" s="385">
        <f t="shared" si="131"/>
        <v>4.4711438849170584</v>
      </c>
      <c r="F316" s="385">
        <f t="shared" si="130"/>
        <v>4.4711438849170584</v>
      </c>
      <c r="G316" s="110">
        <f t="shared" si="132"/>
        <v>0.12682728911301916</v>
      </c>
      <c r="I316" s="380">
        <f t="shared" si="106"/>
        <v>4.4711438849170584</v>
      </c>
      <c r="J316" s="85">
        <v>2018</v>
      </c>
      <c r="K316" s="197">
        <f t="shared" si="107"/>
        <v>43402</v>
      </c>
      <c r="L316" s="437">
        <f t="shared" si="108"/>
        <v>3.127201388209766E-3</v>
      </c>
      <c r="M316" s="856"/>
      <c r="N316" s="856"/>
      <c r="O316" s="324">
        <f t="shared" si="109"/>
        <v>8.7862456053665518E-3</v>
      </c>
      <c r="P316" s="169">
        <f>(INDEX(Models!$BJ316:$BT316,,T316)*(1-R316)+INDEX(Models!$BJ316:$BT316,,T316+1)*R316-ERP_i)*Q316*Ramure*Pc/MaxiM</f>
        <v>3.3830722990309703E-5</v>
      </c>
      <c r="Q316" s="305">
        <f t="shared" si="110"/>
        <v>0.5</v>
      </c>
      <c r="R316" s="177">
        <f t="shared" si="111"/>
        <v>0.49603482203797777</v>
      </c>
      <c r="S316" s="811">
        <f t="shared" si="129"/>
        <v>-2</v>
      </c>
      <c r="T316" s="176">
        <f t="shared" si="112"/>
        <v>4</v>
      </c>
      <c r="U316" s="251">
        <f t="shared" si="113"/>
        <v>-1.5039651779620222</v>
      </c>
      <c r="V316" s="383">
        <f t="shared" si="114"/>
        <v>34.833595882735963</v>
      </c>
      <c r="W316" s="58"/>
      <c r="X316" s="157">
        <f t="shared" si="115"/>
        <v>43402</v>
      </c>
      <c r="Y316" s="385">
        <f t="shared" si="116"/>
        <v>4.4180000000000001</v>
      </c>
      <c r="Z316" s="385">
        <f t="shared" si="117"/>
        <v>4.4318593166072446</v>
      </c>
      <c r="AA316" s="386">
        <f t="shared" si="118"/>
        <v>4.4711438849170584</v>
      </c>
      <c r="AB316" s="197">
        <f t="shared" si="119"/>
        <v>43402</v>
      </c>
      <c r="AC316" s="426">
        <f t="shared" si="120"/>
        <v>8.7862456053665518E-3</v>
      </c>
      <c r="AD316" s="169">
        <f>(INDEX(Models!$BJ316:$BT316,,AH316)*(1-AF316)+INDEX(Models!$BJ316:$BT316,,AH316+1)*AF316-ERP_i)*AE316*Ramure*Pc/MaxiM</f>
        <v>3.3830722990309703E-5</v>
      </c>
      <c r="AE316" s="305">
        <f t="shared" si="121"/>
        <v>0.5</v>
      </c>
      <c r="AF316" s="177">
        <f t="shared" si="122"/>
        <v>0.49603482203797777</v>
      </c>
      <c r="AG316" s="811">
        <f t="shared" si="123"/>
        <v>-2</v>
      </c>
      <c r="AH316" s="176">
        <f t="shared" si="124"/>
        <v>4</v>
      </c>
      <c r="AI316" s="225">
        <f t="shared" si="125"/>
        <v>-1.5039651779620222</v>
      </c>
      <c r="AJ316" s="265" t="b">
        <f t="shared" si="126"/>
        <v>0</v>
      </c>
      <c r="AK316" s="265" t="b">
        <f t="shared" si="12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8"/>
        <v>43403</v>
      </c>
      <c r="B317" s="617">
        <v>32.703000000000003</v>
      </c>
      <c r="C317" s="390"/>
      <c r="D317" s="393">
        <f t="shared" si="105"/>
        <v>32.806308227951234</v>
      </c>
      <c r="E317" s="385">
        <f t="shared" si="131"/>
        <v>33.098820162763111</v>
      </c>
      <c r="F317" s="385">
        <f t="shared" si="130"/>
        <v>33.09982659368044</v>
      </c>
      <c r="G317" s="110">
        <f t="shared" si="132"/>
        <v>0.94738135872361873</v>
      </c>
      <c r="I317" s="380">
        <f t="shared" si="106"/>
        <v>33.09982659368044</v>
      </c>
      <c r="J317" s="85">
        <v>2018</v>
      </c>
      <c r="K317" s="197">
        <f t="shared" si="107"/>
        <v>43403</v>
      </c>
      <c r="L317" s="437">
        <f t="shared" si="108"/>
        <v>3.1490354609059468E-3</v>
      </c>
      <c r="M317" s="856"/>
      <c r="N317" s="856"/>
      <c r="O317" s="324">
        <f t="shared" si="109"/>
        <v>8.8375335849874351E-3</v>
      </c>
      <c r="P317" s="169">
        <f>(INDEX(Models!$BJ317:$BT317,,T317)*(1-R317)+INDEX(Models!$BJ317:$BT317,,T317+1)*R317-ERP_i)*Q317*Ramure*Pc/MaxiM</f>
        <v>3.2877177832339536E-5</v>
      </c>
      <c r="Q317" s="305">
        <f t="shared" si="110"/>
        <v>0.5</v>
      </c>
      <c r="R317" s="177">
        <f t="shared" si="111"/>
        <v>0.49609584701802034</v>
      </c>
      <c r="S317" s="811">
        <f t="shared" si="129"/>
        <v>-2</v>
      </c>
      <c r="T317" s="176">
        <f t="shared" si="112"/>
        <v>4</v>
      </c>
      <c r="U317" s="251">
        <f t="shared" si="113"/>
        <v>-1.5039041529819797</v>
      </c>
      <c r="V317" s="383">
        <f t="shared" si="114"/>
        <v>34.519276613477523</v>
      </c>
      <c r="W317" s="58"/>
      <c r="X317" s="157">
        <f t="shared" si="115"/>
        <v>43403</v>
      </c>
      <c r="Y317" s="385">
        <f t="shared" si="116"/>
        <v>32.703000000000003</v>
      </c>
      <c r="Z317" s="385">
        <f t="shared" si="117"/>
        <v>32.806308227951234</v>
      </c>
      <c r="AA317" s="386">
        <f t="shared" si="118"/>
        <v>33.098820162763111</v>
      </c>
      <c r="AB317" s="197">
        <f t="shared" si="119"/>
        <v>43403</v>
      </c>
      <c r="AC317" s="426">
        <f t="shared" si="120"/>
        <v>8.8375335849874351E-3</v>
      </c>
      <c r="AD317" s="169">
        <f>(INDEX(Models!$BJ317:$BT317,,AH317)*(1-AF317)+INDEX(Models!$BJ317:$BT317,,AH317+1)*AF317-ERP_i)*AE317*Ramure*Pc/MaxiM</f>
        <v>3.2877177832339536E-5</v>
      </c>
      <c r="AE317" s="305">
        <f t="shared" si="121"/>
        <v>0.5</v>
      </c>
      <c r="AF317" s="177">
        <f t="shared" si="122"/>
        <v>0.49609584701802034</v>
      </c>
      <c r="AG317" s="811">
        <f t="shared" si="123"/>
        <v>-2</v>
      </c>
      <c r="AH317" s="176">
        <f t="shared" si="124"/>
        <v>4</v>
      </c>
      <c r="AI317" s="225">
        <f t="shared" si="125"/>
        <v>-1.5039041529819797</v>
      </c>
      <c r="AJ317" s="265" t="b">
        <f t="shared" si="126"/>
        <v>0</v>
      </c>
      <c r="AK317" s="265" t="b">
        <f t="shared" si="12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8"/>
        <v>43404</v>
      </c>
      <c r="B318" s="617">
        <v>9.7970000000000006</v>
      </c>
      <c r="C318" s="390"/>
      <c r="D318" s="393">
        <f t="shared" si="105"/>
        <v>9.8281638205297224</v>
      </c>
      <c r="E318" s="385">
        <f t="shared" si="131"/>
        <v>9.9163065657597933</v>
      </c>
      <c r="F318" s="385">
        <f t="shared" si="130"/>
        <v>9.9163065657597933</v>
      </c>
      <c r="G318" s="110">
        <f t="shared" si="132"/>
        <v>0.28640735010036816</v>
      </c>
      <c r="I318" s="380">
        <f t="shared" si="106"/>
        <v>9.9163065657597933</v>
      </c>
      <c r="J318" s="85">
        <v>2018</v>
      </c>
      <c r="K318" s="197">
        <f t="shared" si="107"/>
        <v>43404</v>
      </c>
      <c r="L318" s="437">
        <f t="shared" si="108"/>
        <v>3.1708690553798879E-3</v>
      </c>
      <c r="M318" s="856"/>
      <c r="N318" s="856"/>
      <c r="O318" s="324">
        <f t="shared" si="109"/>
        <v>8.8886668282746138E-3</v>
      </c>
      <c r="P318" s="169">
        <f>(INDEX(Models!$BJ318:$BT318,,T318)*(1-R318)+INDEX(Models!$BJ318:$BT318,,T318+1)*R318-ERP_i)*Q318*Ramure*Pc/MaxiM</f>
        <v>3.196929758711793E-5</v>
      </c>
      <c r="Q318" s="305">
        <f t="shared" si="110"/>
        <v>0.5</v>
      </c>
      <c r="R318" s="177">
        <f t="shared" si="111"/>
        <v>0.49615442898388129</v>
      </c>
      <c r="S318" s="811">
        <f t="shared" si="129"/>
        <v>-2</v>
      </c>
      <c r="T318" s="176">
        <f t="shared" si="112"/>
        <v>4</v>
      </c>
      <c r="U318" s="251">
        <f t="shared" si="113"/>
        <v>-1.5038455710161187</v>
      </c>
      <c r="V318" s="383">
        <f t="shared" si="114"/>
        <v>34.205430808107408</v>
      </c>
      <c r="W318" s="58"/>
      <c r="X318" s="157">
        <f t="shared" si="115"/>
        <v>43404</v>
      </c>
      <c r="Y318" s="385">
        <f t="shared" si="116"/>
        <v>9.7970000000000006</v>
      </c>
      <c r="Z318" s="385">
        <f t="shared" si="117"/>
        <v>9.8281638205297224</v>
      </c>
      <c r="AA318" s="386">
        <f t="shared" si="118"/>
        <v>9.9163065657597933</v>
      </c>
      <c r="AB318" s="197">
        <f t="shared" si="119"/>
        <v>43404</v>
      </c>
      <c r="AC318" s="426">
        <f t="shared" si="120"/>
        <v>8.8886668282746138E-3</v>
      </c>
      <c r="AD318" s="169">
        <f>(INDEX(Models!$BJ318:$BT318,,AH318)*(1-AF318)+INDEX(Models!$BJ318:$BT318,,AH318+1)*AF318-ERP_i)*AE318*Ramure*Pc/MaxiM</f>
        <v>3.196929758711793E-5</v>
      </c>
      <c r="AE318" s="305">
        <f t="shared" si="121"/>
        <v>0.5</v>
      </c>
      <c r="AF318" s="177">
        <f t="shared" si="122"/>
        <v>0.49615442898388129</v>
      </c>
      <c r="AG318" s="811">
        <f t="shared" si="123"/>
        <v>-2</v>
      </c>
      <c r="AH318" s="176">
        <f t="shared" si="124"/>
        <v>4</v>
      </c>
      <c r="AI318" s="225">
        <f t="shared" si="125"/>
        <v>-1.5038455710161187</v>
      </c>
      <c r="AJ318" s="265" t="b">
        <f t="shared" si="126"/>
        <v>0</v>
      </c>
      <c r="AK318" s="265" t="b">
        <f t="shared" si="12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8"/>
        <v>43405</v>
      </c>
      <c r="B319" s="617">
        <v>22.588999999999999</v>
      </c>
      <c r="C319" s="390"/>
      <c r="D319" s="393">
        <f t="shared" si="105"/>
        <v>22.66135094437244</v>
      </c>
      <c r="E319" s="385">
        <f t="shared" si="131"/>
        <v>22.865762953680889</v>
      </c>
      <c r="F319" s="385">
        <f t="shared" si="130"/>
        <v>22.866137129214046</v>
      </c>
      <c r="G319" s="110">
        <f t="shared" si="132"/>
        <v>0.66648015978694308</v>
      </c>
      <c r="I319" s="380">
        <f t="shared" si="106"/>
        <v>22.866137129214046</v>
      </c>
      <c r="J319" s="85">
        <v>2018</v>
      </c>
      <c r="K319" s="197">
        <f t="shared" si="107"/>
        <v>43405</v>
      </c>
      <c r="L319" s="437">
        <f t="shared" si="108"/>
        <v>3.1927021716421367E-3</v>
      </c>
      <c r="M319" s="856"/>
      <c r="N319" s="856"/>
      <c r="O319" s="324">
        <f t="shared" si="109"/>
        <v>8.9396540024719428E-3</v>
      </c>
      <c r="P319" s="169">
        <f>(INDEX(Models!$BJ319:$BT319,,T319)*(1-R319)+INDEX(Models!$BJ319:$BT319,,T319+1)*R319-ERP_i)*Q319*Ramure*Pc/MaxiM</f>
        <v>3.1254920101021316E-5</v>
      </c>
      <c r="Q319" s="305">
        <f t="shared" si="110"/>
        <v>0.5</v>
      </c>
      <c r="R319" s="177">
        <f t="shared" si="111"/>
        <v>0.49621066519602297</v>
      </c>
      <c r="S319" s="811">
        <f t="shared" si="129"/>
        <v>-2</v>
      </c>
      <c r="T319" s="176">
        <f t="shared" si="112"/>
        <v>4</v>
      </c>
      <c r="U319" s="251">
        <f t="shared" si="113"/>
        <v>-1.503789334803977</v>
      </c>
      <c r="V319" s="383">
        <f t="shared" si="114"/>
        <v>33.892477196709791</v>
      </c>
      <c r="W319" s="58"/>
      <c r="X319" s="157">
        <f t="shared" si="115"/>
        <v>43405</v>
      </c>
      <c r="Y319" s="385">
        <f t="shared" si="116"/>
        <v>22.588999999999999</v>
      </c>
      <c r="Z319" s="385">
        <f t="shared" si="117"/>
        <v>22.66135094437244</v>
      </c>
      <c r="AA319" s="386">
        <f t="shared" si="118"/>
        <v>22.865762953680889</v>
      </c>
      <c r="AB319" s="197">
        <f t="shared" si="119"/>
        <v>43405</v>
      </c>
      <c r="AC319" s="426">
        <f t="shared" si="120"/>
        <v>8.9396540024719428E-3</v>
      </c>
      <c r="AD319" s="169">
        <f>(INDEX(Models!$BJ319:$BT319,,AH319)*(1-AF319)+INDEX(Models!$BJ319:$BT319,,AH319+1)*AF319-ERP_i)*AE319*Ramure*Pc/MaxiM</f>
        <v>3.1254920101021316E-5</v>
      </c>
      <c r="AE319" s="305">
        <f t="shared" si="121"/>
        <v>0.5</v>
      </c>
      <c r="AF319" s="177">
        <f t="shared" si="122"/>
        <v>0.49621066519602297</v>
      </c>
      <c r="AG319" s="811">
        <f t="shared" si="123"/>
        <v>-2</v>
      </c>
      <c r="AH319" s="176">
        <f t="shared" si="124"/>
        <v>4</v>
      </c>
      <c r="AI319" s="225">
        <f t="shared" si="125"/>
        <v>-1.503789334803977</v>
      </c>
      <c r="AJ319" s="265" t="b">
        <f t="shared" si="126"/>
        <v>0</v>
      </c>
      <c r="AK319" s="265" t="b">
        <f t="shared" si="12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8"/>
        <v>43406</v>
      </c>
      <c r="B320" s="617">
        <v>9.0079999999999991</v>
      </c>
      <c r="C320" s="390"/>
      <c r="D320" s="393">
        <f t="shared" si="105"/>
        <v>9.0370499115175953</v>
      </c>
      <c r="E320" s="385">
        <f t="shared" si="131"/>
        <v>9.1190346302472527</v>
      </c>
      <c r="F320" s="385">
        <f t="shared" si="130"/>
        <v>9.1190346302472527</v>
      </c>
      <c r="G320" s="110">
        <f t="shared" si="132"/>
        <v>0.2682399628083959</v>
      </c>
      <c r="I320" s="380">
        <f t="shared" si="106"/>
        <v>9.1190346302472527</v>
      </c>
      <c r="J320" s="85">
        <v>2018</v>
      </c>
      <c r="K320" s="197">
        <f t="shared" si="107"/>
        <v>43406</v>
      </c>
      <c r="L320" s="437">
        <f t="shared" si="108"/>
        <v>3.214534809703018E-3</v>
      </c>
      <c r="M320" s="856"/>
      <c r="N320" s="856"/>
      <c r="O320" s="324">
        <f t="shared" si="109"/>
        <v>8.9905041546523828E-3</v>
      </c>
      <c r="P320" s="169">
        <f>(INDEX(Models!$BJ320:$BT320,,T320)*(1-R320)+INDEX(Models!$BJ320:$BT320,,T320+1)*R320-ERP_i)*Q320*Ramure*Pc/MaxiM</f>
        <v>3.0735379048270557E-5</v>
      </c>
      <c r="Q320" s="305">
        <f t="shared" si="110"/>
        <v>0.5</v>
      </c>
      <c r="R320" s="177">
        <f t="shared" si="111"/>
        <v>0.49626464908537704</v>
      </c>
      <c r="S320" s="811">
        <f t="shared" si="129"/>
        <v>-2</v>
      </c>
      <c r="T320" s="176">
        <f t="shared" si="112"/>
        <v>4</v>
      </c>
      <c r="U320" s="251">
        <f t="shared" si="113"/>
        <v>-1.503735350914623</v>
      </c>
      <c r="V320" s="383">
        <f t="shared" si="114"/>
        <v>33.580839489378242</v>
      </c>
      <c r="W320" s="58"/>
      <c r="X320" s="157">
        <f t="shared" si="115"/>
        <v>43406</v>
      </c>
      <c r="Y320" s="385">
        <f t="shared" si="116"/>
        <v>9.0079999999999991</v>
      </c>
      <c r="Z320" s="385">
        <f t="shared" si="117"/>
        <v>9.0370499115175953</v>
      </c>
      <c r="AA320" s="386">
        <f t="shared" si="118"/>
        <v>9.1190346302472527</v>
      </c>
      <c r="AB320" s="197">
        <f t="shared" si="119"/>
        <v>43406</v>
      </c>
      <c r="AC320" s="426">
        <f t="shared" si="120"/>
        <v>8.9905041546523828E-3</v>
      </c>
      <c r="AD320" s="169">
        <f>(INDEX(Models!$BJ320:$BT320,,AH320)*(1-AF320)+INDEX(Models!$BJ320:$BT320,,AH320+1)*AF320-ERP_i)*AE320*Ramure*Pc/MaxiM</f>
        <v>3.0735379048270557E-5</v>
      </c>
      <c r="AE320" s="305">
        <f t="shared" si="121"/>
        <v>0.5</v>
      </c>
      <c r="AF320" s="177">
        <f t="shared" si="122"/>
        <v>0.49626464908537704</v>
      </c>
      <c r="AG320" s="811">
        <f t="shared" si="123"/>
        <v>-2</v>
      </c>
      <c r="AH320" s="176">
        <f t="shared" si="124"/>
        <v>4</v>
      </c>
      <c r="AI320" s="225">
        <f t="shared" si="125"/>
        <v>-1.503735350914623</v>
      </c>
      <c r="AJ320" s="265" t="b">
        <f t="shared" si="126"/>
        <v>0</v>
      </c>
      <c r="AK320" s="265" t="b">
        <f t="shared" si="12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8"/>
        <v>43407</v>
      </c>
      <c r="B321" s="617">
        <v>29.632999999999999</v>
      </c>
      <c r="C321" s="390"/>
      <c r="D321" s="393">
        <f t="shared" si="105"/>
        <v>29.729214648319171</v>
      </c>
      <c r="E321" s="385">
        <f t="shared" si="131"/>
        <v>30.000455567490313</v>
      </c>
      <c r="F321" s="385">
        <f t="shared" si="130"/>
        <v>30.00122544451607</v>
      </c>
      <c r="G321" s="110">
        <f t="shared" si="132"/>
        <v>0.89065286681418709</v>
      </c>
      <c r="I321" s="380">
        <f t="shared" si="106"/>
        <v>30.00122544451607</v>
      </c>
      <c r="J321" s="85">
        <v>2018</v>
      </c>
      <c r="K321" s="197">
        <f t="shared" si="107"/>
        <v>43407</v>
      </c>
      <c r="L321" s="437">
        <f t="shared" si="108"/>
        <v>3.23636696957319E-3</v>
      </c>
      <c r="M321" s="856"/>
      <c r="N321" s="856"/>
      <c r="O321" s="324">
        <f t="shared" si="109"/>
        <v>9.0412266760731969E-3</v>
      </c>
      <c r="P321" s="169">
        <f>(INDEX(Models!$BJ321:$BT321,,T321)*(1-R321)+INDEX(Models!$BJ321:$BT321,,T321+1)*R321-ERP_i)*Q321*Ramure*Pc/MaxiM</f>
        <v>3.0411999739575505E-5</v>
      </c>
      <c r="Q321" s="305">
        <f t="shared" si="110"/>
        <v>0.5</v>
      </c>
      <c r="R321" s="177">
        <f t="shared" si="111"/>
        <v>0.49631647040077032</v>
      </c>
      <c r="S321" s="811">
        <f t="shared" si="129"/>
        <v>-2</v>
      </c>
      <c r="T321" s="176">
        <f t="shared" si="112"/>
        <v>4</v>
      </c>
      <c r="U321" s="251">
        <f t="shared" si="113"/>
        <v>-1.5036835295992297</v>
      </c>
      <c r="V321" s="383">
        <f t="shared" si="114"/>
        <v>33.270941271873554</v>
      </c>
      <c r="W321" s="58"/>
      <c r="X321" s="157">
        <f t="shared" si="115"/>
        <v>43407</v>
      </c>
      <c r="Y321" s="385">
        <f t="shared" si="116"/>
        <v>29.632999999999999</v>
      </c>
      <c r="Z321" s="385">
        <f t="shared" si="117"/>
        <v>29.729214648319171</v>
      </c>
      <c r="AA321" s="386">
        <f t="shared" si="118"/>
        <v>30.000455567490313</v>
      </c>
      <c r="AB321" s="197">
        <f t="shared" si="119"/>
        <v>43407</v>
      </c>
      <c r="AC321" s="426">
        <f t="shared" si="120"/>
        <v>9.0412266760731969E-3</v>
      </c>
      <c r="AD321" s="169">
        <f>(INDEX(Models!$BJ321:$BT321,,AH321)*(1-AF321)+INDEX(Models!$BJ321:$BT321,,AH321+1)*AF321-ERP_i)*AE321*Ramure*Pc/MaxiM</f>
        <v>3.0411999739575505E-5</v>
      </c>
      <c r="AE321" s="305">
        <f t="shared" si="121"/>
        <v>0.5</v>
      </c>
      <c r="AF321" s="177">
        <f t="shared" si="122"/>
        <v>0.49631647040077032</v>
      </c>
      <c r="AG321" s="811">
        <f t="shared" si="123"/>
        <v>-2</v>
      </c>
      <c r="AH321" s="176">
        <f t="shared" si="124"/>
        <v>4</v>
      </c>
      <c r="AI321" s="225">
        <f t="shared" si="125"/>
        <v>-1.5036835295992297</v>
      </c>
      <c r="AJ321" s="265" t="b">
        <f t="shared" si="126"/>
        <v>0</v>
      </c>
      <c r="AK321" s="265" t="b">
        <f t="shared" si="12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8"/>
        <v>43408</v>
      </c>
      <c r="B322" s="617">
        <v>22.895</v>
      </c>
      <c r="C322" s="390"/>
      <c r="D322" s="393">
        <f t="shared" si="105"/>
        <v>22.969840302693964</v>
      </c>
      <c r="E322" s="385">
        <f t="shared" si="131"/>
        <v>23.180594355166072</v>
      </c>
      <c r="F322" s="385">
        <f t="shared" si="130"/>
        <v>23.180990079496752</v>
      </c>
      <c r="G322" s="110">
        <f t="shared" si="132"/>
        <v>0.69455311560438515</v>
      </c>
      <c r="I322" s="380">
        <f t="shared" si="106"/>
        <v>23.180990079496752</v>
      </c>
      <c r="J322" s="85">
        <v>2018</v>
      </c>
      <c r="K322" s="197">
        <f t="shared" si="107"/>
        <v>43408</v>
      </c>
      <c r="L322" s="437">
        <f t="shared" si="108"/>
        <v>3.2581986512629779E-3</v>
      </c>
      <c r="M322" s="856"/>
      <c r="N322" s="856"/>
      <c r="O322" s="324">
        <f t="shared" si="109"/>
        <v>9.0918312638148258E-3</v>
      </c>
      <c r="P322" s="169">
        <f>(INDEX(Models!$BJ322:$BT322,,T322)*(1-R322)+INDEX(Models!$BJ322:$BT322,,T322+1)*R322-ERP_i)*Q322*Ramure*Pc/MaxiM</f>
        <v>3.028609161391526E-5</v>
      </c>
      <c r="Q322" s="305">
        <f t="shared" si="110"/>
        <v>0.5</v>
      </c>
      <c r="R322" s="177">
        <f t="shared" si="111"/>
        <v>0.49636621535094272</v>
      </c>
      <c r="S322" s="811">
        <f t="shared" si="129"/>
        <v>-2</v>
      </c>
      <c r="T322" s="176">
        <f t="shared" si="112"/>
        <v>4</v>
      </c>
      <c r="U322" s="251">
        <f t="shared" si="113"/>
        <v>-1.5036337846490573</v>
      </c>
      <c r="V322" s="383">
        <f t="shared" si="114"/>
        <v>32.963206013435901</v>
      </c>
      <c r="W322" s="58"/>
      <c r="X322" s="157">
        <f t="shared" si="115"/>
        <v>43408</v>
      </c>
      <c r="Y322" s="385">
        <f t="shared" si="116"/>
        <v>22.895</v>
      </c>
      <c r="Z322" s="385">
        <f t="shared" si="117"/>
        <v>22.969840302693964</v>
      </c>
      <c r="AA322" s="386">
        <f t="shared" si="118"/>
        <v>23.180594355166072</v>
      </c>
      <c r="AB322" s="197">
        <f t="shared" si="119"/>
        <v>43408</v>
      </c>
      <c r="AC322" s="426">
        <f t="shared" si="120"/>
        <v>9.0918312638148258E-3</v>
      </c>
      <c r="AD322" s="169">
        <f>(INDEX(Models!$BJ322:$BT322,,AH322)*(1-AF322)+INDEX(Models!$BJ322:$BT322,,AH322+1)*AF322-ERP_i)*AE322*Ramure*Pc/MaxiM</f>
        <v>3.028609161391526E-5</v>
      </c>
      <c r="AE322" s="305">
        <f t="shared" si="121"/>
        <v>0.5</v>
      </c>
      <c r="AF322" s="177">
        <f t="shared" si="122"/>
        <v>0.49636621535094272</v>
      </c>
      <c r="AG322" s="811">
        <f t="shared" si="123"/>
        <v>-2</v>
      </c>
      <c r="AH322" s="176">
        <f t="shared" si="124"/>
        <v>4</v>
      </c>
      <c r="AI322" s="225">
        <f t="shared" si="125"/>
        <v>-1.5036337846490573</v>
      </c>
      <c r="AJ322" s="265" t="b">
        <f t="shared" si="126"/>
        <v>0</v>
      </c>
      <c r="AK322" s="265" t="b">
        <f t="shared" si="12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8"/>
        <v>43409</v>
      </c>
      <c r="B323" s="617">
        <v>10.75</v>
      </c>
      <c r="C323" s="390"/>
      <c r="D323" s="393">
        <f t="shared" si="105"/>
        <v>10.785376356444207</v>
      </c>
      <c r="E323" s="385">
        <f t="shared" si="131"/>
        <v>10.884889585976097</v>
      </c>
      <c r="F323" s="385">
        <f t="shared" si="130"/>
        <v>10.884903355710939</v>
      </c>
      <c r="G323" s="110">
        <f t="shared" si="132"/>
        <v>0.32915881126466373</v>
      </c>
      <c r="I323" s="380">
        <f t="shared" si="106"/>
        <v>10.884903355710939</v>
      </c>
      <c r="J323" s="85">
        <v>2018</v>
      </c>
      <c r="K323" s="197">
        <f t="shared" si="107"/>
        <v>43409</v>
      </c>
      <c r="L323" s="437">
        <f t="shared" si="108"/>
        <v>3.2800298547829287E-3</v>
      </c>
      <c r="M323" s="856"/>
      <c r="N323" s="856"/>
      <c r="O323" s="324">
        <f t="shared" si="109"/>
        <v>9.1423278799355884E-3</v>
      </c>
      <c r="P323" s="169">
        <f>(INDEX(Models!$BJ323:$BT323,,T323)*(1-R323)+INDEX(Models!$BJ323:$BT323,,T323+1)*R323-ERP_i)*Q323*Ramure*Pc/MaxiM</f>
        <v>3.0358940464227108E-5</v>
      </c>
      <c r="Q323" s="305">
        <f t="shared" si="110"/>
        <v>0.5</v>
      </c>
      <c r="R323" s="177">
        <f t="shared" si="111"/>
        <v>0.49641396674133209</v>
      </c>
      <c r="S323" s="811">
        <f t="shared" si="129"/>
        <v>-2</v>
      </c>
      <c r="T323" s="176">
        <f t="shared" si="112"/>
        <v>4</v>
      </c>
      <c r="U323" s="251">
        <f t="shared" si="113"/>
        <v>-1.5035860332586679</v>
      </c>
      <c r="V323" s="383">
        <f t="shared" si="114"/>
        <v>32.658057059967135</v>
      </c>
      <c r="W323" s="58"/>
      <c r="X323" s="157">
        <f t="shared" si="115"/>
        <v>43409</v>
      </c>
      <c r="Y323" s="385">
        <f t="shared" si="116"/>
        <v>10.75</v>
      </c>
      <c r="Z323" s="385">
        <f t="shared" si="117"/>
        <v>10.785376356444207</v>
      </c>
      <c r="AA323" s="386">
        <f t="shared" si="118"/>
        <v>10.884889585976097</v>
      </c>
      <c r="AB323" s="197">
        <f t="shared" si="119"/>
        <v>43409</v>
      </c>
      <c r="AC323" s="426">
        <f t="shared" si="120"/>
        <v>9.1423278799355884E-3</v>
      </c>
      <c r="AD323" s="169">
        <f>(INDEX(Models!$BJ323:$BT323,,AH323)*(1-AF323)+INDEX(Models!$BJ323:$BT323,,AH323+1)*AF323-ERP_i)*AE323*Ramure*Pc/MaxiM</f>
        <v>3.0358940464227108E-5</v>
      </c>
      <c r="AE323" s="305">
        <f t="shared" si="121"/>
        <v>0.5</v>
      </c>
      <c r="AF323" s="177">
        <f t="shared" si="122"/>
        <v>0.49641396674133209</v>
      </c>
      <c r="AG323" s="811">
        <f t="shared" si="123"/>
        <v>-2</v>
      </c>
      <c r="AH323" s="176">
        <f t="shared" si="124"/>
        <v>4</v>
      </c>
      <c r="AI323" s="225">
        <f t="shared" si="125"/>
        <v>-1.5035860332586679</v>
      </c>
      <c r="AJ323" s="265" t="b">
        <f t="shared" si="126"/>
        <v>0</v>
      </c>
      <c r="AK323" s="265" t="b">
        <f t="shared" si="12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8"/>
        <v>43410</v>
      </c>
      <c r="B324" s="617">
        <v>24.097999999999999</v>
      </c>
      <c r="C324" s="390"/>
      <c r="D324" s="393">
        <f t="shared" si="105"/>
        <v>24.177831829832261</v>
      </c>
      <c r="E324" s="385">
        <f t="shared" si="131"/>
        <v>24.402154164159604</v>
      </c>
      <c r="F324" s="385">
        <f t="shared" si="130"/>
        <v>24.402629932189928</v>
      </c>
      <c r="G324" s="110">
        <f t="shared" si="132"/>
        <v>0.74477045971104849</v>
      </c>
      <c r="I324" s="380">
        <f t="shared" si="106"/>
        <v>24.402629932189928</v>
      </c>
      <c r="J324" s="85">
        <v>2018</v>
      </c>
      <c r="K324" s="197">
        <f t="shared" si="107"/>
        <v>43410</v>
      </c>
      <c r="L324" s="437">
        <f t="shared" si="108"/>
        <v>3.3018605801434786E-3</v>
      </c>
      <c r="M324" s="856"/>
      <c r="N324" s="856"/>
      <c r="O324" s="324">
        <f t="shared" si="109"/>
        <v>9.1927267083991276E-3</v>
      </c>
      <c r="P324" s="169">
        <f>(INDEX(Models!$BJ324:$BT324,,T324)*(1-R324)+INDEX(Models!$BJ324:$BT324,,T324+1)*R324-ERP_i)*Q324*Ramure*Pc/MaxiM</f>
        <v>3.0684043586077489E-5</v>
      </c>
      <c r="Q324" s="305">
        <f t="shared" si="110"/>
        <v>0.5</v>
      </c>
      <c r="R324" s="177">
        <f t="shared" si="111"/>
        <v>0.49645980410580126</v>
      </c>
      <c r="S324" s="811">
        <f t="shared" si="129"/>
        <v>-2</v>
      </c>
      <c r="T324" s="176">
        <f t="shared" si="112"/>
        <v>4</v>
      </c>
      <c r="U324" s="251">
        <f t="shared" si="113"/>
        <v>-1.5035401958941987</v>
      </c>
      <c r="V324" s="383">
        <f t="shared" si="114"/>
        <v>32.355915954019714</v>
      </c>
      <c r="W324" s="58"/>
      <c r="X324" s="157">
        <f t="shared" si="115"/>
        <v>43410</v>
      </c>
      <c r="Y324" s="385">
        <f t="shared" si="116"/>
        <v>24.097999999999999</v>
      </c>
      <c r="Z324" s="385">
        <f t="shared" si="117"/>
        <v>24.177831829832261</v>
      </c>
      <c r="AA324" s="386">
        <f t="shared" si="118"/>
        <v>24.402154164159604</v>
      </c>
      <c r="AB324" s="197">
        <f t="shared" si="119"/>
        <v>43410</v>
      </c>
      <c r="AC324" s="426">
        <f t="shared" si="120"/>
        <v>9.1927267083991276E-3</v>
      </c>
      <c r="AD324" s="169">
        <f>(INDEX(Models!$BJ324:$BT324,,AH324)*(1-AF324)+INDEX(Models!$BJ324:$BT324,,AH324+1)*AF324-ERP_i)*AE324*Ramure*Pc/MaxiM</f>
        <v>3.0684043586077489E-5</v>
      </c>
      <c r="AE324" s="305">
        <f t="shared" si="121"/>
        <v>0.5</v>
      </c>
      <c r="AF324" s="177">
        <f t="shared" si="122"/>
        <v>0.49645980410580126</v>
      </c>
      <c r="AG324" s="811">
        <f t="shared" si="123"/>
        <v>-2</v>
      </c>
      <c r="AH324" s="176">
        <f t="shared" si="124"/>
        <v>4</v>
      </c>
      <c r="AI324" s="225">
        <f t="shared" si="125"/>
        <v>-1.5035401958941987</v>
      </c>
      <c r="AJ324" s="265" t="b">
        <f t="shared" si="126"/>
        <v>0</v>
      </c>
      <c r="AK324" s="265" t="b">
        <f t="shared" si="12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8"/>
        <v>43411</v>
      </c>
      <c r="B325" s="617">
        <v>9.8339999999999996</v>
      </c>
      <c r="C325" s="390"/>
      <c r="D325" s="393">
        <f t="shared" si="105"/>
        <v>9.8667941732891613</v>
      </c>
      <c r="E325" s="385">
        <f t="shared" si="131"/>
        <v>9.9588441492931565</v>
      </c>
      <c r="F325" s="385">
        <f t="shared" ref="F325:F356" si="133">Wh_sa/(1-Pvg*MEDIAN((-Sdif+Wh/Env_an)/Csdif,0,1))</f>
        <v>9.9588471464807018</v>
      </c>
      <c r="G325" s="110">
        <f t="shared" si="132"/>
        <v>0.30675460511588121</v>
      </c>
      <c r="I325" s="380">
        <f t="shared" si="106"/>
        <v>9.9588471464807018</v>
      </c>
      <c r="J325" s="85">
        <v>2018</v>
      </c>
      <c r="K325" s="197">
        <f t="shared" si="107"/>
        <v>43411</v>
      </c>
      <c r="L325" s="437">
        <f t="shared" si="108"/>
        <v>3.3236908273550636E-3</v>
      </c>
      <c r="M325" s="856"/>
      <c r="N325" s="856"/>
      <c r="O325" s="324">
        <f t="shared" si="109"/>
        <v>9.2430381100530225E-3</v>
      </c>
      <c r="P325" s="169">
        <f>(INDEX(Models!$BJ325:$BT325,,T325)*(1-R325)+INDEX(Models!$BJ325:$BT325,,T325+1)*R325-ERP_i)*Q325*Ramure*Pc/MaxiM</f>
        <v>3.1145476877403703E-5</v>
      </c>
      <c r="Q325" s="305">
        <f t="shared" si="110"/>
        <v>0.5</v>
      </c>
      <c r="R325" s="177">
        <f t="shared" si="111"/>
        <v>0.49650380383347237</v>
      </c>
      <c r="S325" s="811">
        <f t="shared" si="129"/>
        <v>-2</v>
      </c>
      <c r="T325" s="176">
        <f t="shared" si="112"/>
        <v>4</v>
      </c>
      <c r="U325" s="251">
        <f t="shared" si="113"/>
        <v>-1.5034961961665276</v>
      </c>
      <c r="V325" s="383">
        <f t="shared" si="114"/>
        <v>32.057209609577527</v>
      </c>
      <c r="W325" s="58"/>
      <c r="X325" s="157">
        <f t="shared" si="115"/>
        <v>43411</v>
      </c>
      <c r="Y325" s="385">
        <f t="shared" si="116"/>
        <v>9.8339999999999996</v>
      </c>
      <c r="Z325" s="385">
        <f t="shared" si="117"/>
        <v>9.8667941732891613</v>
      </c>
      <c r="AA325" s="386">
        <f t="shared" si="118"/>
        <v>9.9588441492931565</v>
      </c>
      <c r="AB325" s="197">
        <f t="shared" si="119"/>
        <v>43411</v>
      </c>
      <c r="AC325" s="426">
        <f t="shared" si="120"/>
        <v>9.2430381100530225E-3</v>
      </c>
      <c r="AD325" s="169">
        <f>(INDEX(Models!$BJ325:$BT325,,AH325)*(1-AF325)+INDEX(Models!$BJ325:$BT325,,AH325+1)*AF325-ERP_i)*AE325*Ramure*Pc/MaxiM</f>
        <v>3.1145476877403703E-5</v>
      </c>
      <c r="AE325" s="305">
        <f t="shared" si="121"/>
        <v>0.5</v>
      </c>
      <c r="AF325" s="177">
        <f t="shared" si="122"/>
        <v>0.49650380383347237</v>
      </c>
      <c r="AG325" s="811">
        <f t="shared" si="123"/>
        <v>-2</v>
      </c>
      <c r="AH325" s="176">
        <f t="shared" si="124"/>
        <v>4</v>
      </c>
      <c r="AI325" s="225">
        <f t="shared" si="125"/>
        <v>-1.5034961961665276</v>
      </c>
      <c r="AJ325" s="265" t="b">
        <f t="shared" si="126"/>
        <v>0</v>
      </c>
      <c r="AK325" s="265" t="b">
        <f t="shared" si="12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8"/>
        <v>43412</v>
      </c>
      <c r="B326" s="617">
        <v>17.21</v>
      </c>
      <c r="C326" s="390"/>
      <c r="D326" s="393">
        <f t="shared" si="105"/>
        <v>17.267769679115862</v>
      </c>
      <c r="E326" s="385">
        <f t="shared" si="131"/>
        <v>17.429749088324208</v>
      </c>
      <c r="F326" s="385">
        <f t="shared" si="133"/>
        <v>17.42994024110709</v>
      </c>
      <c r="G326" s="110">
        <f t="shared" si="132"/>
        <v>0.54182503723812958</v>
      </c>
      <c r="I326" s="380">
        <f t="shared" si="106"/>
        <v>17.42994024110709</v>
      </c>
      <c r="J326" s="85">
        <v>2018</v>
      </c>
      <c r="K326" s="197">
        <f t="shared" si="107"/>
        <v>43412</v>
      </c>
      <c r="L326" s="437">
        <f t="shared" si="108"/>
        <v>3.3455205964282309E-3</v>
      </c>
      <c r="M326" s="856"/>
      <c r="N326" s="856"/>
      <c r="O326" s="324">
        <f t="shared" si="109"/>
        <v>9.2932725759576409E-3</v>
      </c>
      <c r="P326" s="169">
        <f>(INDEX(Models!$BJ326:$BT326,,T326)*(1-R326)+INDEX(Models!$BJ326:$BT326,,T326+1)*R326-ERP_i)*Q326*Ramure*Pc/MaxiM</f>
        <v>3.1743973359980708E-5</v>
      </c>
      <c r="Q326" s="305">
        <f t="shared" si="110"/>
        <v>0.5</v>
      </c>
      <c r="R326" s="177">
        <f t="shared" si="111"/>
        <v>0.49654603929083851</v>
      </c>
      <c r="S326" s="811">
        <f t="shared" si="129"/>
        <v>-2</v>
      </c>
      <c r="T326" s="176">
        <f t="shared" si="112"/>
        <v>4</v>
      </c>
      <c r="U326" s="251">
        <f t="shared" si="113"/>
        <v>-1.5034539607091615</v>
      </c>
      <c r="V326" s="383">
        <f t="shared" si="114"/>
        <v>31.76236098415837</v>
      </c>
      <c r="W326" s="58"/>
      <c r="X326" s="157">
        <f t="shared" si="115"/>
        <v>43412</v>
      </c>
      <c r="Y326" s="385">
        <f t="shared" si="116"/>
        <v>17.21</v>
      </c>
      <c r="Z326" s="385">
        <f t="shared" si="117"/>
        <v>17.267769679115862</v>
      </c>
      <c r="AA326" s="386">
        <f t="shared" si="118"/>
        <v>17.429749088324208</v>
      </c>
      <c r="AB326" s="197">
        <f t="shared" si="119"/>
        <v>43412</v>
      </c>
      <c r="AC326" s="426">
        <f t="shared" si="120"/>
        <v>9.2932725759576409E-3</v>
      </c>
      <c r="AD326" s="169">
        <f>(INDEX(Models!$BJ326:$BT326,,AH326)*(1-AF326)+INDEX(Models!$BJ326:$BT326,,AH326+1)*AF326-ERP_i)*AE326*Ramure*Pc/MaxiM</f>
        <v>3.1743973359980708E-5</v>
      </c>
      <c r="AE326" s="305">
        <f t="shared" si="121"/>
        <v>0.5</v>
      </c>
      <c r="AF326" s="177">
        <f t="shared" si="122"/>
        <v>0.49654603929083851</v>
      </c>
      <c r="AG326" s="811">
        <f t="shared" si="123"/>
        <v>-2</v>
      </c>
      <c r="AH326" s="176">
        <f t="shared" si="124"/>
        <v>4</v>
      </c>
      <c r="AI326" s="225">
        <f t="shared" si="125"/>
        <v>-1.5034539607091615</v>
      </c>
      <c r="AJ326" s="265" t="b">
        <f t="shared" si="126"/>
        <v>0</v>
      </c>
      <c r="AK326" s="265" t="b">
        <f t="shared" si="12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8"/>
        <v>43413</v>
      </c>
      <c r="B327" s="617">
        <v>5.92</v>
      </c>
      <c r="C327" s="390"/>
      <c r="D327" s="393">
        <f t="shared" si="105"/>
        <v>5.9400020652855376</v>
      </c>
      <c r="E327" s="385">
        <f t="shared" si="131"/>
        <v>5.9960255745534319</v>
      </c>
      <c r="F327" s="385">
        <f t="shared" si="133"/>
        <v>5.9960255745534319</v>
      </c>
      <c r="G327" s="110">
        <f t="shared" si="132"/>
        <v>0.18809883925075965</v>
      </c>
      <c r="I327" s="380">
        <f t="shared" si="106"/>
        <v>5.9960255745534319</v>
      </c>
      <c r="J327" s="85">
        <v>2018</v>
      </c>
      <c r="K327" s="197">
        <f t="shared" si="107"/>
        <v>43413</v>
      </c>
      <c r="L327" s="437">
        <f t="shared" si="108"/>
        <v>3.3673498873735275E-3</v>
      </c>
      <c r="M327" s="856"/>
      <c r="N327" s="856"/>
      <c r="O327" s="324">
        <f t="shared" si="109"/>
        <v>9.3434406793815317E-3</v>
      </c>
      <c r="P327" s="169">
        <f>(INDEX(Models!$BJ327:$BT327,,T327)*(1-R327)+INDEX(Models!$BJ327:$BT327,,T327+1)*R327-ERP_i)*Q327*Ramure*Pc/MaxiM</f>
        <v>3.2480218346705449E-5</v>
      </c>
      <c r="Q327" s="305">
        <f t="shared" si="110"/>
        <v>0.5</v>
      </c>
      <c r="R327" s="177">
        <f t="shared" si="111"/>
        <v>0.49658658093930796</v>
      </c>
      <c r="S327" s="811">
        <f t="shared" si="129"/>
        <v>-2</v>
      </c>
      <c r="T327" s="176">
        <f t="shared" si="112"/>
        <v>4</v>
      </c>
      <c r="U327" s="251">
        <f t="shared" si="113"/>
        <v>-1.503413419060692</v>
      </c>
      <c r="V327" s="383">
        <f t="shared" si="114"/>
        <v>31.471792918485431</v>
      </c>
      <c r="W327" s="58"/>
      <c r="X327" s="157">
        <f t="shared" si="115"/>
        <v>43413</v>
      </c>
      <c r="Y327" s="385">
        <f t="shared" si="116"/>
        <v>5.92</v>
      </c>
      <c r="Z327" s="385">
        <f t="shared" si="117"/>
        <v>5.9400020652855376</v>
      </c>
      <c r="AA327" s="386">
        <f t="shared" si="118"/>
        <v>5.9960255745534319</v>
      </c>
      <c r="AB327" s="197">
        <f t="shared" si="119"/>
        <v>43413</v>
      </c>
      <c r="AC327" s="426">
        <f t="shared" si="120"/>
        <v>9.3434406793815317E-3</v>
      </c>
      <c r="AD327" s="169">
        <f>(INDEX(Models!$BJ327:$BT327,,AH327)*(1-AF327)+INDEX(Models!$BJ327:$BT327,,AH327+1)*AF327-ERP_i)*AE327*Ramure*Pc/MaxiM</f>
        <v>3.2480218346705449E-5</v>
      </c>
      <c r="AE327" s="305">
        <f t="shared" si="121"/>
        <v>0.5</v>
      </c>
      <c r="AF327" s="177">
        <f t="shared" si="122"/>
        <v>0.49658658093930796</v>
      </c>
      <c r="AG327" s="811">
        <f t="shared" si="123"/>
        <v>-2</v>
      </c>
      <c r="AH327" s="176">
        <f t="shared" si="124"/>
        <v>4</v>
      </c>
      <c r="AI327" s="225">
        <f t="shared" si="125"/>
        <v>-1.503413419060692</v>
      </c>
      <c r="AJ327" s="265" t="b">
        <f t="shared" si="126"/>
        <v>0</v>
      </c>
      <c r="AK327" s="265" t="b">
        <f t="shared" si="12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8"/>
        <v>43414</v>
      </c>
      <c r="B328" s="617">
        <v>21.510999999999999</v>
      </c>
      <c r="C328" s="390"/>
      <c r="D328" s="393">
        <f t="shared" si="105"/>
        <v>21.584152550084642</v>
      </c>
      <c r="E328" s="385">
        <f t="shared" si="131"/>
        <v>21.788827052392957</v>
      </c>
      <c r="F328" s="385">
        <f t="shared" si="133"/>
        <v>21.789231727925742</v>
      </c>
      <c r="G328" s="110">
        <f t="shared" si="132"/>
        <v>0.68975603058727353</v>
      </c>
      <c r="I328" s="380">
        <f t="shared" si="106"/>
        <v>21.789231727925742</v>
      </c>
      <c r="J328" s="85">
        <v>2018</v>
      </c>
      <c r="K328" s="197">
        <f t="shared" si="107"/>
        <v>43414</v>
      </c>
      <c r="L328" s="437">
        <f t="shared" si="108"/>
        <v>3.3891787002012785E-3</v>
      </c>
      <c r="M328" s="856"/>
      <c r="N328" s="856"/>
      <c r="O328" s="324">
        <f t="shared" si="109"/>
        <v>9.3935530267947424E-3</v>
      </c>
      <c r="P328" s="169">
        <f>(INDEX(Models!$BJ328:$BT328,,T328)*(1-R328)+INDEX(Models!$BJ328:$BT328,,T328+1)*R328-ERP_i)*Q328*Ramure*Pc/MaxiM</f>
        <v>3.3354840188032536E-5</v>
      </c>
      <c r="Q328" s="305">
        <f t="shared" si="110"/>
        <v>0.5</v>
      </c>
      <c r="R328" s="177">
        <f t="shared" si="111"/>
        <v>0.4966254964483432</v>
      </c>
      <c r="S328" s="811">
        <f t="shared" si="129"/>
        <v>-2</v>
      </c>
      <c r="T328" s="176">
        <f t="shared" si="112"/>
        <v>4</v>
      </c>
      <c r="U328" s="251">
        <f t="shared" si="113"/>
        <v>-1.5033745035516568</v>
      </c>
      <c r="V328" s="383">
        <f t="shared" si="114"/>
        <v>31.185928143244656</v>
      </c>
      <c r="W328" s="58"/>
      <c r="X328" s="157">
        <f t="shared" si="115"/>
        <v>43414</v>
      </c>
      <c r="Y328" s="385">
        <f t="shared" si="116"/>
        <v>21.510999999999999</v>
      </c>
      <c r="Z328" s="385">
        <f t="shared" si="117"/>
        <v>21.584152550084642</v>
      </c>
      <c r="AA328" s="386">
        <f t="shared" si="118"/>
        <v>21.788827052392957</v>
      </c>
      <c r="AB328" s="197">
        <f t="shared" si="119"/>
        <v>43414</v>
      </c>
      <c r="AC328" s="426">
        <f t="shared" si="120"/>
        <v>9.3935530267947424E-3</v>
      </c>
      <c r="AD328" s="169">
        <f>(INDEX(Models!$BJ328:$BT328,,AH328)*(1-AF328)+INDEX(Models!$BJ328:$BT328,,AH328+1)*AF328-ERP_i)*AE328*Ramure*Pc/MaxiM</f>
        <v>3.3354840188032536E-5</v>
      </c>
      <c r="AE328" s="305">
        <f t="shared" si="121"/>
        <v>0.5</v>
      </c>
      <c r="AF328" s="177">
        <f t="shared" si="122"/>
        <v>0.4966254964483432</v>
      </c>
      <c r="AG328" s="811">
        <f t="shared" si="123"/>
        <v>-2</v>
      </c>
      <c r="AH328" s="176">
        <f t="shared" si="124"/>
        <v>4</v>
      </c>
      <c r="AI328" s="225">
        <f t="shared" si="125"/>
        <v>-1.5033745035516568</v>
      </c>
      <c r="AJ328" s="265" t="b">
        <f t="shared" si="126"/>
        <v>0</v>
      </c>
      <c r="AK328" s="265" t="b">
        <f t="shared" si="12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8"/>
        <v>43415</v>
      </c>
      <c r="B329" s="617">
        <v>26.483000000000001</v>
      </c>
      <c r="C329" s="390"/>
      <c r="D329" s="393">
        <f t="shared" si="105"/>
        <v>26.573642882816792</v>
      </c>
      <c r="E329" s="385">
        <f t="shared" si="131"/>
        <v>26.82698675708118</v>
      </c>
      <c r="F329" s="385">
        <f t="shared" si="133"/>
        <v>26.827720309111356</v>
      </c>
      <c r="G329" s="110">
        <f t="shared" si="132"/>
        <v>0.85690508819598743</v>
      </c>
      <c r="I329" s="380">
        <f t="shared" si="106"/>
        <v>26.827720309111356</v>
      </c>
      <c r="J329" s="85">
        <v>2018</v>
      </c>
      <c r="K329" s="197">
        <f t="shared" si="107"/>
        <v>43415</v>
      </c>
      <c r="L329" s="437">
        <f t="shared" si="108"/>
        <v>3.4110070349219201E-3</v>
      </c>
      <c r="M329" s="856"/>
      <c r="N329" s="856"/>
      <c r="O329" s="324">
        <f t="shared" si="109"/>
        <v>9.4436202082039122E-3</v>
      </c>
      <c r="P329" s="169">
        <f>(INDEX(Models!$BJ329:$BT329,,T329)*(1-R329)+INDEX(Models!$BJ329:$BT329,,T329+1)*R329-ERP_i)*Q329*Ramure*Pc/MaxiM</f>
        <v>3.4368399879480359E-5</v>
      </c>
      <c r="Q329" s="305">
        <f t="shared" si="110"/>
        <v>0.5</v>
      </c>
      <c r="R329" s="177">
        <f t="shared" si="111"/>
        <v>0.49666285080434025</v>
      </c>
      <c r="S329" s="811">
        <f t="shared" si="129"/>
        <v>-2</v>
      </c>
      <c r="T329" s="176">
        <f t="shared" si="112"/>
        <v>4</v>
      </c>
      <c r="U329" s="251">
        <f t="shared" si="113"/>
        <v>-1.5033371491956597</v>
      </c>
      <c r="V329" s="383">
        <f t="shared" si="114"/>
        <v>30.905189276741524</v>
      </c>
      <c r="W329" s="58"/>
      <c r="X329" s="157">
        <f t="shared" si="115"/>
        <v>43415</v>
      </c>
      <c r="Y329" s="385">
        <f t="shared" si="116"/>
        <v>26.483000000000001</v>
      </c>
      <c r="Z329" s="385">
        <f t="shared" si="117"/>
        <v>26.573642882816792</v>
      </c>
      <c r="AA329" s="386">
        <f t="shared" si="118"/>
        <v>26.82698675708118</v>
      </c>
      <c r="AB329" s="197">
        <f t="shared" si="119"/>
        <v>43415</v>
      </c>
      <c r="AC329" s="426">
        <f t="shared" si="120"/>
        <v>9.4436202082039122E-3</v>
      </c>
      <c r="AD329" s="169">
        <f>(INDEX(Models!$BJ329:$BT329,,AH329)*(1-AF329)+INDEX(Models!$BJ329:$BT329,,AH329+1)*AF329-ERP_i)*AE329*Ramure*Pc/MaxiM</f>
        <v>3.4368399879480359E-5</v>
      </c>
      <c r="AE329" s="305">
        <f t="shared" si="121"/>
        <v>0.5</v>
      </c>
      <c r="AF329" s="177">
        <f t="shared" si="122"/>
        <v>0.49666285080434025</v>
      </c>
      <c r="AG329" s="811">
        <f t="shared" si="123"/>
        <v>-2</v>
      </c>
      <c r="AH329" s="176">
        <f t="shared" si="124"/>
        <v>4</v>
      </c>
      <c r="AI329" s="225">
        <f t="shared" si="125"/>
        <v>-1.5033371491956597</v>
      </c>
      <c r="AJ329" s="265" t="b">
        <f t="shared" si="126"/>
        <v>0</v>
      </c>
      <c r="AK329" s="265" t="b">
        <f t="shared" si="12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8"/>
        <v>43416</v>
      </c>
      <c r="B330" s="617">
        <v>27.888999999999999</v>
      </c>
      <c r="C330" s="390"/>
      <c r="D330" s="393">
        <f t="shared" si="105"/>
        <v>27.985068118278722</v>
      </c>
      <c r="E330" s="385">
        <f t="shared" si="131"/>
        <v>28.253295090834769</v>
      </c>
      <c r="F330" s="385">
        <f t="shared" si="133"/>
        <v>28.254170415117652</v>
      </c>
      <c r="G330" s="110">
        <f t="shared" si="132"/>
        <v>0.91050846936410879</v>
      </c>
      <c r="I330" s="380">
        <f t="shared" si="106"/>
        <v>28.254170415117652</v>
      </c>
      <c r="J330" s="85">
        <v>2018</v>
      </c>
      <c r="K330" s="197">
        <f t="shared" si="107"/>
        <v>43416</v>
      </c>
      <c r="L330" s="437">
        <f t="shared" si="108"/>
        <v>3.4328348915461104E-3</v>
      </c>
      <c r="M330" s="856"/>
      <c r="N330" s="856"/>
      <c r="O330" s="324">
        <f t="shared" si="109"/>
        <v>9.4936527471819639E-3</v>
      </c>
      <c r="P330" s="169">
        <f>(INDEX(Models!$BJ330:$BT330,,T330)*(1-R330)+INDEX(Models!$BJ330:$BT330,,T330+1)*R330-ERP_i)*Q330*Ramure*Pc/MaxiM</f>
        <v>3.5521379362921936E-5</v>
      </c>
      <c r="Q330" s="305">
        <f t="shared" si="110"/>
        <v>0.5</v>
      </c>
      <c r="R330" s="177">
        <f t="shared" si="111"/>
        <v>0.49669870641540337</v>
      </c>
      <c r="S330" s="811">
        <f t="shared" si="129"/>
        <v>-2</v>
      </c>
      <c r="T330" s="176">
        <f t="shared" si="112"/>
        <v>4</v>
      </c>
      <c r="U330" s="251">
        <f t="shared" si="113"/>
        <v>-1.5033012935845966</v>
      </c>
      <c r="V330" s="383">
        <f t="shared" si="114"/>
        <v>30.629998830189667</v>
      </c>
      <c r="W330" s="58"/>
      <c r="X330" s="157">
        <f t="shared" si="115"/>
        <v>43416</v>
      </c>
      <c r="Y330" s="385">
        <f t="shared" si="116"/>
        <v>27.888999999999999</v>
      </c>
      <c r="Z330" s="385">
        <f t="shared" si="117"/>
        <v>27.985068118278722</v>
      </c>
      <c r="AA330" s="386">
        <f t="shared" si="118"/>
        <v>28.253295090834769</v>
      </c>
      <c r="AB330" s="197">
        <f t="shared" si="119"/>
        <v>43416</v>
      </c>
      <c r="AC330" s="426">
        <f t="shared" si="120"/>
        <v>9.4936527471819639E-3</v>
      </c>
      <c r="AD330" s="169">
        <f>(INDEX(Models!$BJ330:$BT330,,AH330)*(1-AF330)+INDEX(Models!$BJ330:$BT330,,AH330+1)*AF330-ERP_i)*AE330*Ramure*Pc/MaxiM</f>
        <v>3.5521379362921936E-5</v>
      </c>
      <c r="AE330" s="305">
        <f t="shared" si="121"/>
        <v>0.5</v>
      </c>
      <c r="AF330" s="177">
        <f t="shared" si="122"/>
        <v>0.49669870641540337</v>
      </c>
      <c r="AG330" s="811">
        <f t="shared" si="123"/>
        <v>-2</v>
      </c>
      <c r="AH330" s="176">
        <f t="shared" si="124"/>
        <v>4</v>
      </c>
      <c r="AI330" s="225">
        <f t="shared" si="125"/>
        <v>-1.5033012935845966</v>
      </c>
      <c r="AJ330" s="265" t="b">
        <f t="shared" si="126"/>
        <v>0</v>
      </c>
      <c r="AK330" s="265" t="b">
        <f t="shared" si="12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8"/>
        <v>43417</v>
      </c>
      <c r="B331" s="617">
        <v>8.64</v>
      </c>
      <c r="C331" s="390"/>
      <c r="D331" s="393">
        <f t="shared" si="105"/>
        <v>8.6699517552121819</v>
      </c>
      <c r="E331" s="385">
        <f t="shared" si="131"/>
        <v>8.7534921169889035</v>
      </c>
      <c r="F331" s="385">
        <f t="shared" si="133"/>
        <v>8.7534921169889035</v>
      </c>
      <c r="G331" s="110">
        <f t="shared" si="132"/>
        <v>0.28457928442690172</v>
      </c>
      <c r="I331" s="380">
        <f t="shared" si="106"/>
        <v>8.7534921169889035</v>
      </c>
      <c r="J331" s="85">
        <v>2018</v>
      </c>
      <c r="K331" s="197">
        <f t="shared" si="107"/>
        <v>43417</v>
      </c>
      <c r="L331" s="437">
        <f t="shared" si="108"/>
        <v>3.4546622700841745E-3</v>
      </c>
      <c r="M331" s="856"/>
      <c r="N331" s="856"/>
      <c r="O331" s="324">
        <f t="shared" si="109"/>
        <v>9.5436610509518609E-3</v>
      </c>
      <c r="P331" s="169">
        <f>(INDEX(Models!$BJ331:$BT331,,T331)*(1-R331)+INDEX(Models!$BJ331:$BT331,,T331+1)*R331-ERP_i)*Q331*Ramure*Pc/MaxiM</f>
        <v>3.6815731756648601E-5</v>
      </c>
      <c r="Q331" s="305">
        <f t="shared" si="110"/>
        <v>0.5</v>
      </c>
      <c r="R331" s="177">
        <f t="shared" si="111"/>
        <v>0.49673312321215413</v>
      </c>
      <c r="S331" s="811">
        <f t="shared" si="129"/>
        <v>-2</v>
      </c>
      <c r="T331" s="176">
        <f t="shared" si="112"/>
        <v>4</v>
      </c>
      <c r="U331" s="251">
        <f t="shared" si="113"/>
        <v>-1.5032668767878459</v>
      </c>
      <c r="V331" s="383">
        <f t="shared" si="114"/>
        <v>30.35948990270531</v>
      </c>
      <c r="W331" s="58"/>
      <c r="X331" s="157">
        <f t="shared" si="115"/>
        <v>43417</v>
      </c>
      <c r="Y331" s="385">
        <f t="shared" si="116"/>
        <v>8.64</v>
      </c>
      <c r="Z331" s="385">
        <f t="shared" si="117"/>
        <v>8.6699517552121819</v>
      </c>
      <c r="AA331" s="386">
        <f t="shared" si="118"/>
        <v>8.7534921169889035</v>
      </c>
      <c r="AB331" s="197">
        <f t="shared" si="119"/>
        <v>43417</v>
      </c>
      <c r="AC331" s="426">
        <f t="shared" si="120"/>
        <v>9.5436610509518609E-3</v>
      </c>
      <c r="AD331" s="169">
        <f>(INDEX(Models!$BJ331:$BT331,,AH331)*(1-AF331)+INDEX(Models!$BJ331:$BT331,,AH331+1)*AF331-ERP_i)*AE331*Ramure*Pc/MaxiM</f>
        <v>3.6815731756648601E-5</v>
      </c>
      <c r="AE331" s="305">
        <f t="shared" si="121"/>
        <v>0.5</v>
      </c>
      <c r="AF331" s="177">
        <f t="shared" si="122"/>
        <v>0.49673312321215413</v>
      </c>
      <c r="AG331" s="811">
        <f t="shared" si="123"/>
        <v>-2</v>
      </c>
      <c r="AH331" s="176">
        <f t="shared" si="124"/>
        <v>4</v>
      </c>
      <c r="AI331" s="225">
        <f t="shared" si="125"/>
        <v>-1.5032668767878459</v>
      </c>
      <c r="AJ331" s="265" t="b">
        <f t="shared" si="126"/>
        <v>0</v>
      </c>
      <c r="AK331" s="265" t="b">
        <f t="shared" si="12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8"/>
        <v>43418</v>
      </c>
      <c r="B332" s="617">
        <v>18.3</v>
      </c>
      <c r="C332" s="390"/>
      <c r="D332" s="393">
        <f t="shared" si="105"/>
        <v>18.363841696788519</v>
      </c>
      <c r="E332" s="385">
        <f t="shared" si="131"/>
        <v>18.541724612517484</v>
      </c>
      <c r="F332" s="385">
        <f t="shared" si="133"/>
        <v>18.542037125391694</v>
      </c>
      <c r="G332" s="110">
        <f t="shared" si="132"/>
        <v>0.60811023790782548</v>
      </c>
      <c r="I332" s="380">
        <f t="shared" si="106"/>
        <v>18.542037125391694</v>
      </c>
      <c r="J332" s="85">
        <v>2018</v>
      </c>
      <c r="K332" s="197">
        <f t="shared" si="107"/>
        <v>43418</v>
      </c>
      <c r="L332" s="437">
        <f t="shared" si="108"/>
        <v>3.4764891705466594E-3</v>
      </c>
      <c r="M332" s="856"/>
      <c r="N332" s="856"/>
      <c r="O332" s="324">
        <f t="shared" si="109"/>
        <v>9.5936553608867783E-3</v>
      </c>
      <c r="P332" s="169">
        <f>(INDEX(Models!$BJ332:$BT332,,T332)*(1-R332)+INDEX(Models!$BJ332:$BT332,,T332+1)*R332-ERP_i)*Q332*Ramure*Pc/MaxiM</f>
        <v>3.8289879848104895E-5</v>
      </c>
      <c r="Q332" s="305">
        <f t="shared" si="110"/>
        <v>0.5</v>
      </c>
      <c r="R332" s="177">
        <f t="shared" si="111"/>
        <v>0.49676615874471586</v>
      </c>
      <c r="S332" s="811">
        <f t="shared" si="129"/>
        <v>-2</v>
      </c>
      <c r="T332" s="176">
        <f t="shared" si="112"/>
        <v>4</v>
      </c>
      <c r="U332" s="251">
        <f t="shared" si="113"/>
        <v>-1.5032338412552841</v>
      </c>
      <c r="V332" s="383">
        <f t="shared" si="114"/>
        <v>30.092582859740062</v>
      </c>
      <c r="W332" s="58"/>
      <c r="X332" s="157">
        <f t="shared" si="115"/>
        <v>43418</v>
      </c>
      <c r="Y332" s="385">
        <f t="shared" si="116"/>
        <v>18.3</v>
      </c>
      <c r="Z332" s="385">
        <f t="shared" si="117"/>
        <v>18.363841696788519</v>
      </c>
      <c r="AA332" s="386">
        <f t="shared" si="118"/>
        <v>18.541724612517484</v>
      </c>
      <c r="AB332" s="197">
        <f t="shared" si="119"/>
        <v>43418</v>
      </c>
      <c r="AC332" s="426">
        <f t="shared" si="120"/>
        <v>9.5936553608867783E-3</v>
      </c>
      <c r="AD332" s="169">
        <f>(INDEX(Models!$BJ332:$BT332,,AH332)*(1-AF332)+INDEX(Models!$BJ332:$BT332,,AH332+1)*AF332-ERP_i)*AE332*Ramure*Pc/MaxiM</f>
        <v>3.8289879848104895E-5</v>
      </c>
      <c r="AE332" s="305">
        <f t="shared" si="121"/>
        <v>0.5</v>
      </c>
      <c r="AF332" s="177">
        <f t="shared" si="122"/>
        <v>0.49676615874471586</v>
      </c>
      <c r="AG332" s="811">
        <f t="shared" si="123"/>
        <v>-2</v>
      </c>
      <c r="AH332" s="176">
        <f t="shared" si="124"/>
        <v>4</v>
      </c>
      <c r="AI332" s="225">
        <f t="shared" si="125"/>
        <v>-1.5032338412552841</v>
      </c>
      <c r="AJ332" s="265" t="b">
        <f t="shared" si="126"/>
        <v>0</v>
      </c>
      <c r="AK332" s="265" t="b">
        <f t="shared" si="12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8"/>
        <v>43419</v>
      </c>
      <c r="B333" s="617">
        <v>20.047000000000001</v>
      </c>
      <c r="C333" s="390"/>
      <c r="D333" s="393">
        <f t="shared" si="105"/>
        <v>20.117376933415301</v>
      </c>
      <c r="E333" s="385">
        <f t="shared" si="131"/>
        <v>20.313270921265065</v>
      </c>
      <c r="F333" s="385">
        <f t="shared" si="133"/>
        <v>20.313701286022383</v>
      </c>
      <c r="G333" s="110">
        <f t="shared" si="132"/>
        <v>0.67204287008034724</v>
      </c>
      <c r="I333" s="380">
        <f t="shared" si="106"/>
        <v>20.313701286022383</v>
      </c>
      <c r="J333" s="85">
        <v>2018</v>
      </c>
      <c r="K333" s="197">
        <f t="shared" si="107"/>
        <v>43419</v>
      </c>
      <c r="L333" s="437">
        <f t="shared" si="108"/>
        <v>3.4983155929440013E-3</v>
      </c>
      <c r="M333" s="856"/>
      <c r="N333" s="856"/>
      <c r="O333" s="324">
        <f t="shared" si="109"/>
        <v>9.643645703789297E-3</v>
      </c>
      <c r="P333" s="169">
        <f>(INDEX(Models!$BJ333:$BT333,,T333)*(1-R333)+INDEX(Models!$BJ333:$BT333,,T333+1)*R333-ERP_i)*Q333*Ramure*Pc/MaxiM</f>
        <v>3.9860068594307075E-5</v>
      </c>
      <c r="Q333" s="305">
        <f t="shared" si="110"/>
        <v>0.5</v>
      </c>
      <c r="R333" s="177">
        <f t="shared" si="111"/>
        <v>0.49679786827601102</v>
      </c>
      <c r="S333" s="811">
        <f t="shared" si="129"/>
        <v>-2</v>
      </c>
      <c r="T333" s="176">
        <f t="shared" si="112"/>
        <v>4</v>
      </c>
      <c r="U333" s="251">
        <f t="shared" si="113"/>
        <v>-1.503202131723989</v>
      </c>
      <c r="V333" s="383">
        <f t="shared" si="114"/>
        <v>29.829385183891642</v>
      </c>
      <c r="W333" s="58"/>
      <c r="X333" s="157">
        <f t="shared" si="115"/>
        <v>43419</v>
      </c>
      <c r="Y333" s="385">
        <f t="shared" si="116"/>
        <v>20.047000000000001</v>
      </c>
      <c r="Z333" s="385">
        <f t="shared" si="117"/>
        <v>20.117376933415301</v>
      </c>
      <c r="AA333" s="386">
        <f t="shared" si="118"/>
        <v>20.313270921265065</v>
      </c>
      <c r="AB333" s="197">
        <f t="shared" si="119"/>
        <v>43419</v>
      </c>
      <c r="AC333" s="426">
        <f t="shared" si="120"/>
        <v>9.643645703789297E-3</v>
      </c>
      <c r="AD333" s="169">
        <f>(INDEX(Models!$BJ333:$BT333,,AH333)*(1-AF333)+INDEX(Models!$BJ333:$BT333,,AH333+1)*AF333-ERP_i)*AE333*Ramure*Pc/MaxiM</f>
        <v>3.9860068594307075E-5</v>
      </c>
      <c r="AE333" s="305">
        <f t="shared" si="121"/>
        <v>0.5</v>
      </c>
      <c r="AF333" s="177">
        <f t="shared" si="122"/>
        <v>0.49679786827601102</v>
      </c>
      <c r="AG333" s="811">
        <f t="shared" si="123"/>
        <v>-2</v>
      </c>
      <c r="AH333" s="176">
        <f t="shared" si="124"/>
        <v>4</v>
      </c>
      <c r="AI333" s="225">
        <f t="shared" si="125"/>
        <v>-1.503202131723989</v>
      </c>
      <c r="AJ333" s="265" t="b">
        <f t="shared" si="126"/>
        <v>0</v>
      </c>
      <c r="AK333" s="265" t="b">
        <f t="shared" si="12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8"/>
        <v>43420</v>
      </c>
      <c r="B334" s="617">
        <v>25.298999999999999</v>
      </c>
      <c r="C334" s="390"/>
      <c r="D334" s="393">
        <f t="shared" si="105"/>
        <v>25.388370658117669</v>
      </c>
      <c r="E334" s="385">
        <f t="shared" si="131"/>
        <v>25.636885443611611</v>
      </c>
      <c r="F334" s="385">
        <f t="shared" si="133"/>
        <v>25.63773042545121</v>
      </c>
      <c r="G334" s="110">
        <f t="shared" si="132"/>
        <v>0.85555568855750808</v>
      </c>
      <c r="I334" s="380">
        <f t="shared" si="106"/>
        <v>25.63773042545121</v>
      </c>
      <c r="J334" s="85">
        <v>2018</v>
      </c>
      <c r="K334" s="197">
        <f t="shared" si="107"/>
        <v>43420</v>
      </c>
      <c r="L334" s="437">
        <f t="shared" si="108"/>
        <v>3.5201415372866363E-3</v>
      </c>
      <c r="M334" s="856"/>
      <c r="N334" s="856"/>
      <c r="O334" s="324">
        <f t="shared" si="109"/>
        <v>9.6936418443086536E-3</v>
      </c>
      <c r="P334" s="169">
        <f>(INDEX(Models!$BJ334:$BT334,,T334)*(1-R334)+INDEX(Models!$BJ334:$BT334,,T334+1)*R334-ERP_i)*Q334*Ramure*Pc/MaxiM</f>
        <v>4.1527186523420628E-5</v>
      </c>
      <c r="Q334" s="305">
        <f t="shared" si="110"/>
        <v>0.5</v>
      </c>
      <c r="R334" s="177">
        <f t="shared" si="111"/>
        <v>0.49682830487150054</v>
      </c>
      <c r="S334" s="811">
        <f t="shared" si="129"/>
        <v>-2</v>
      </c>
      <c r="T334" s="176">
        <f t="shared" si="112"/>
        <v>4</v>
      </c>
      <c r="U334" s="251">
        <f t="shared" si="113"/>
        <v>-1.5031716951284995</v>
      </c>
      <c r="V334" s="383">
        <f t="shared" si="114"/>
        <v>29.57000175757268</v>
      </c>
      <c r="W334" s="58"/>
      <c r="X334" s="157">
        <f t="shared" si="115"/>
        <v>43420</v>
      </c>
      <c r="Y334" s="385">
        <f t="shared" si="116"/>
        <v>25.298999999999999</v>
      </c>
      <c r="Z334" s="385">
        <f t="shared" si="117"/>
        <v>25.388370658117669</v>
      </c>
      <c r="AA334" s="386">
        <f t="shared" si="118"/>
        <v>25.636885443611611</v>
      </c>
      <c r="AB334" s="197">
        <f t="shared" si="119"/>
        <v>43420</v>
      </c>
      <c r="AC334" s="426">
        <f t="shared" si="120"/>
        <v>9.6936418443086536E-3</v>
      </c>
      <c r="AD334" s="169">
        <f>(INDEX(Models!$BJ334:$BT334,,AH334)*(1-AF334)+INDEX(Models!$BJ334:$BT334,,AH334+1)*AF334-ERP_i)*AE334*Ramure*Pc/MaxiM</f>
        <v>4.1527186523420628E-5</v>
      </c>
      <c r="AE334" s="305">
        <f t="shared" si="121"/>
        <v>0.5</v>
      </c>
      <c r="AF334" s="177">
        <f t="shared" si="122"/>
        <v>0.49682830487150054</v>
      </c>
      <c r="AG334" s="811">
        <f t="shared" si="123"/>
        <v>-2</v>
      </c>
      <c r="AH334" s="176">
        <f t="shared" si="124"/>
        <v>4</v>
      </c>
      <c r="AI334" s="225">
        <f t="shared" si="125"/>
        <v>-1.5031716951284995</v>
      </c>
      <c r="AJ334" s="265" t="b">
        <f t="shared" si="126"/>
        <v>0</v>
      </c>
      <c r="AK334" s="265" t="b">
        <f t="shared" si="12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8"/>
        <v>43421</v>
      </c>
      <c r="B335" s="617">
        <v>28.289000000000001</v>
      </c>
      <c r="C335" s="390"/>
      <c r="D335" s="393">
        <f t="shared" ref="D335:D379" si="134">Wh/(1-Ppv)</f>
        <v>28.389554866583911</v>
      </c>
      <c r="E335" s="385">
        <f t="shared" si="131"/>
        <v>28.668894634644989</v>
      </c>
      <c r="F335" s="385">
        <f t="shared" si="133"/>
        <v>28.670073792979203</v>
      </c>
      <c r="G335" s="110">
        <f t="shared" si="132"/>
        <v>0.96501399160832491</v>
      </c>
      <c r="I335" s="380">
        <f t="shared" ref="I335:I380" si="135">Wh_hp</f>
        <v>28.670073792979203</v>
      </c>
      <c r="J335" s="85">
        <v>2018</v>
      </c>
      <c r="K335" s="197">
        <f t="shared" ref="K335:K379" si="136">t</f>
        <v>43421</v>
      </c>
      <c r="L335" s="437">
        <f t="shared" ref="L335:L378" si="137">IF(t&lt;T0,0,IF(t&lt;Tvie,1-EXP((T0-t)*PertePVj),1-EXP((T0-t)*PertePVj)+Pspv))</f>
        <v>3.5419670035851114E-3</v>
      </c>
      <c r="M335" s="856"/>
      <c r="N335" s="856"/>
      <c r="O335" s="324">
        <f t="shared" ref="O335:O379" si="138">IF(t&lt;T0,0,IF(t&lt;Tnet,Salim_i*(1-EXP((T0-t)/Tau_ij)),Resal+(Salim-Resal)*(1-EXP((Tnet-t)/(Tau_j)))))*Salcycl</f>
        <v>9.7436532388490045E-3</v>
      </c>
      <c r="P335" s="169">
        <f>(INDEX(Models!$BJ335:$BT335,,T335)*(1-R335)+INDEX(Models!$BJ335:$BT335,,T335+1)*R335-ERP_i)*Q335*Ramure*Pc/MaxiM</f>
        <v>4.3292155309176156E-5</v>
      </c>
      <c r="Q335" s="305">
        <f t="shared" ref="Q335:Q379" si="139">IF(OR(t&lt;Ttai,Notai),Dd+PousD*Croivg,Dens+PousD*(Croivg-Croi_tai))</f>
        <v>0.5</v>
      </c>
      <c r="R335" s="177">
        <f t="shared" ref="R335:R379" si="140">(Hp_vg-S335)/(INDEX(Echel_vg,T335+1)-S335)</f>
        <v>0.49685751948549473</v>
      </c>
      <c r="S335" s="811">
        <f t="shared" si="129"/>
        <v>-2</v>
      </c>
      <c r="T335" s="176">
        <f t="shared" ref="T335:T379" si="141">MIN(MATCH(Hp_vg,Echel_vg),10)</f>
        <v>4</v>
      </c>
      <c r="U335" s="251">
        <f t="shared" ref="U335:U379" si="142">IF(OR(t&lt;Ttai,Notai),Hdd+PousH*Croivg,Hdtf+PousH*(Croivg-Croi_tai))</f>
        <v>-1.5031424805145053</v>
      </c>
      <c r="V335" s="383">
        <f t="shared" ref="V335:V379" si="143">MaxiM*(1-Ppv)*(1-Pvg)*(1-Psa)</f>
        <v>29.314537444041033</v>
      </c>
      <c r="W335" s="58"/>
      <c r="X335" s="157">
        <f t="shared" ref="X335:X379" si="144">t</f>
        <v>43421</v>
      </c>
      <c r="Y335" s="385">
        <f t="shared" ref="Y335:Y379" si="145">Wh_pvt_s*(1-Ppv)</f>
        <v>28.289000000000001</v>
      </c>
      <c r="Z335" s="385">
        <f t="shared" ref="Z335:Z379" si="146">Wh_sa_s*(1-Psa_s)</f>
        <v>28.389554866583911</v>
      </c>
      <c r="AA335" s="386">
        <f t="shared" ref="AA335:AA379" si="147">Wh_hp*(1-Pvg_s*MEDIAN((-Sdif+Wh/Env_an)/Csdif,0,1))</f>
        <v>28.668894634644989</v>
      </c>
      <c r="AB335" s="197">
        <f t="shared" ref="AB335:AB379" si="148">t</f>
        <v>43421</v>
      </c>
      <c r="AC335" s="426">
        <f t="shared" ref="AC335:AC379" si="149">IF(t&lt;T0,0,IF(OR(t&lt;Tnet,NoTnet),Salim_i*(1-EXP((T0-t)/Tau_ij)),Resal_s+(Salim-Resal_s)*(1-EXP((Tnet_s-t)/Tau_j))))*Salcycl</f>
        <v>9.7436532388490045E-3</v>
      </c>
      <c r="AD335" s="169">
        <f>(INDEX(Models!$BJ335:$BT335,,AH335)*(1-AF335)+INDEX(Models!$BJ335:$BT335,,AH335+1)*AF335-ERP_i)*AE335*Ramure*Pc/MaxiM</f>
        <v>4.3292155309176156E-5</v>
      </c>
      <c r="AE335" s="305">
        <f t="shared" ref="AE335:AE379" si="150">Dd+PousD*Croivg</f>
        <v>0.5</v>
      </c>
      <c r="AF335" s="177">
        <f t="shared" ref="AF335:AF379" si="151">(Hp_vg_s-AG335)/(INDEX(Echel_vg,AH335+1)-AG335)</f>
        <v>0.49685751948549473</v>
      </c>
      <c r="AG335" s="811">
        <f t="shared" ref="AG335:AG379" si="152">INDEX(Echel_vg,AH335)</f>
        <v>-2</v>
      </c>
      <c r="AH335" s="176">
        <f t="shared" ref="AH335:AH379" si="153">MIN(MATCH(Hp_vg_s,Echel_vg),10)</f>
        <v>4</v>
      </c>
      <c r="AI335" s="225">
        <f t="shared" ref="AI335:AI379" si="154">Hdd+PousH*Croivg</f>
        <v>-1.5031424805145053</v>
      </c>
      <c r="AJ335" s="265" t="b">
        <f t="shared" ref="AJ335:AJ380" si="155">t&lt;Tnet</f>
        <v>0</v>
      </c>
      <c r="AK335" s="265" t="b">
        <f t="shared" ref="AK335:AK380" si="156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57">A335+1</f>
        <v>43422</v>
      </c>
      <c r="B336" s="617">
        <v>23.254999999999999</v>
      </c>
      <c r="C336" s="390"/>
      <c r="D336" s="393">
        <f t="shared" si="134"/>
        <v>23.338172391874572</v>
      </c>
      <c r="E336" s="385">
        <f t="shared" si="131"/>
        <v>23.568999846204576</v>
      </c>
      <c r="F336" s="385">
        <f t="shared" si="133"/>
        <v>23.569760307357548</v>
      </c>
      <c r="G336" s="110">
        <f t="shared" si="132"/>
        <v>0.80014528791374995</v>
      </c>
      <c r="I336" s="380">
        <f t="shared" si="135"/>
        <v>23.569760307357548</v>
      </c>
      <c r="J336" s="85">
        <v>2018</v>
      </c>
      <c r="K336" s="197">
        <f t="shared" si="136"/>
        <v>43422</v>
      </c>
      <c r="L336" s="437">
        <f t="shared" si="137"/>
        <v>3.5637919918498628E-3</v>
      </c>
      <c r="M336" s="856"/>
      <c r="N336" s="856"/>
      <c r="O336" s="324">
        <f t="shared" si="138"/>
        <v>9.7936889913118053E-3</v>
      </c>
      <c r="P336" s="169">
        <f>(INDEX(Models!$BJ336:$BT336,,T336)*(1-R336)+INDEX(Models!$BJ336:$BT336,,T336+1)*R336-ERP_i)*Q336*Ramure*Pc/MaxiM</f>
        <v>4.5155927681434069E-5</v>
      </c>
      <c r="Q336" s="305">
        <f t="shared" si="139"/>
        <v>0.5</v>
      </c>
      <c r="R336" s="177">
        <f t="shared" si="140"/>
        <v>0.49688556104415804</v>
      </c>
      <c r="S336" s="811">
        <f t="shared" ref="S336:S379" si="158">INDEX(Echel_vg,T336)</f>
        <v>-2</v>
      </c>
      <c r="T336" s="176">
        <f t="shared" si="141"/>
        <v>4</v>
      </c>
      <c r="U336" s="251">
        <f t="shared" si="142"/>
        <v>-1.503114438955842</v>
      </c>
      <c r="V336" s="383">
        <f t="shared" si="143"/>
        <v>29.063097097656506</v>
      </c>
      <c r="W336" s="58"/>
      <c r="X336" s="157">
        <f t="shared" si="144"/>
        <v>43422</v>
      </c>
      <c r="Y336" s="385">
        <f t="shared" si="145"/>
        <v>23.254999999999999</v>
      </c>
      <c r="Z336" s="385">
        <f t="shared" si="146"/>
        <v>23.338172391874572</v>
      </c>
      <c r="AA336" s="386">
        <f t="shared" si="147"/>
        <v>23.568999846204576</v>
      </c>
      <c r="AB336" s="197">
        <f t="shared" si="148"/>
        <v>43422</v>
      </c>
      <c r="AC336" s="426">
        <f t="shared" si="149"/>
        <v>9.7936889913118053E-3</v>
      </c>
      <c r="AD336" s="169">
        <f>(INDEX(Models!$BJ336:$BT336,,AH336)*(1-AF336)+INDEX(Models!$BJ336:$BT336,,AH336+1)*AF336-ERP_i)*AE336*Ramure*Pc/MaxiM</f>
        <v>4.5155927681434069E-5</v>
      </c>
      <c r="AE336" s="305">
        <f t="shared" si="150"/>
        <v>0.5</v>
      </c>
      <c r="AF336" s="177">
        <f t="shared" si="151"/>
        <v>0.49688556104415804</v>
      </c>
      <c r="AG336" s="811">
        <f t="shared" si="152"/>
        <v>-2</v>
      </c>
      <c r="AH336" s="176">
        <f t="shared" si="153"/>
        <v>4</v>
      </c>
      <c r="AI336" s="225">
        <f t="shared" si="154"/>
        <v>-1.503114438955842</v>
      </c>
      <c r="AJ336" s="265" t="b">
        <f t="shared" si="155"/>
        <v>0</v>
      </c>
      <c r="AK336" s="265" t="b">
        <f t="shared" si="156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57"/>
        <v>43423</v>
      </c>
      <c r="B337" s="617">
        <v>20.178999999999998</v>
      </c>
      <c r="C337" s="390"/>
      <c r="D337" s="393">
        <f t="shared" si="134"/>
        <v>20.251614523228483</v>
      </c>
      <c r="E337" s="385">
        <f t="shared" si="131"/>
        <v>20.452948393737366</v>
      </c>
      <c r="F337" s="385">
        <f t="shared" si="133"/>
        <v>20.453499492641804</v>
      </c>
      <c r="G337" s="110">
        <f t="shared" si="132"/>
        <v>0.70026176554419162</v>
      </c>
      <c r="I337" s="380">
        <f t="shared" si="135"/>
        <v>20.453499492641804</v>
      </c>
      <c r="J337" s="85">
        <v>2018</v>
      </c>
      <c r="K337" s="197">
        <f t="shared" si="136"/>
        <v>43423</v>
      </c>
      <c r="L337" s="437">
        <f t="shared" si="137"/>
        <v>3.5856165020914377E-3</v>
      </c>
      <c r="M337" s="856"/>
      <c r="N337" s="856"/>
      <c r="O337" s="324">
        <f t="shared" si="138"/>
        <v>9.8437578110026E-3</v>
      </c>
      <c r="P337" s="169">
        <f>(INDEX(Models!$BJ337:$BT337,,T337)*(1-R337)+INDEX(Models!$BJ337:$BT337,,T337+1)*R337-ERP_i)*Q337*Ramure*Pc/MaxiM</f>
        <v>4.7119484098112617E-5</v>
      </c>
      <c r="Q337" s="305">
        <f t="shared" si="139"/>
        <v>0.5</v>
      </c>
      <c r="R337" s="177">
        <f t="shared" si="140"/>
        <v>0.49691247652532855</v>
      </c>
      <c r="S337" s="811">
        <f t="shared" si="158"/>
        <v>-2</v>
      </c>
      <c r="T337" s="176">
        <f t="shared" si="141"/>
        <v>4</v>
      </c>
      <c r="U337" s="251">
        <f t="shared" si="142"/>
        <v>-1.5030875234746714</v>
      </c>
      <c r="V337" s="383">
        <f t="shared" si="143"/>
        <v>28.815785554237578</v>
      </c>
      <c r="W337" s="58"/>
      <c r="X337" s="157">
        <f t="shared" si="144"/>
        <v>43423</v>
      </c>
      <c r="Y337" s="385">
        <f t="shared" si="145"/>
        <v>20.178999999999998</v>
      </c>
      <c r="Z337" s="385">
        <f t="shared" si="146"/>
        <v>20.251614523228483</v>
      </c>
      <c r="AA337" s="386">
        <f t="shared" si="147"/>
        <v>20.452948393737366</v>
      </c>
      <c r="AB337" s="197">
        <f t="shared" si="148"/>
        <v>43423</v>
      </c>
      <c r="AC337" s="426">
        <f t="shared" si="149"/>
        <v>9.8437578110026E-3</v>
      </c>
      <c r="AD337" s="169">
        <f>(INDEX(Models!$BJ337:$BT337,,AH337)*(1-AF337)+INDEX(Models!$BJ337:$BT337,,AH337+1)*AF337-ERP_i)*AE337*Ramure*Pc/MaxiM</f>
        <v>4.7119484098112617E-5</v>
      </c>
      <c r="AE337" s="305">
        <f t="shared" si="150"/>
        <v>0.5</v>
      </c>
      <c r="AF337" s="177">
        <f t="shared" si="151"/>
        <v>0.49691247652532855</v>
      </c>
      <c r="AG337" s="811">
        <f t="shared" si="152"/>
        <v>-2</v>
      </c>
      <c r="AH337" s="176">
        <f t="shared" si="153"/>
        <v>4</v>
      </c>
      <c r="AI337" s="225">
        <f t="shared" si="154"/>
        <v>-1.5030875234746714</v>
      </c>
      <c r="AJ337" s="265" t="b">
        <f t="shared" si="155"/>
        <v>0</v>
      </c>
      <c r="AK337" s="265" t="b">
        <f t="shared" si="156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57"/>
        <v>43424</v>
      </c>
      <c r="B338" s="617">
        <v>9.3879999999999999</v>
      </c>
      <c r="C338" s="390"/>
      <c r="D338" s="393">
        <f t="shared" si="134"/>
        <v>9.4219892659920674</v>
      </c>
      <c r="E338" s="385">
        <f t="shared" si="131"/>
        <v>9.5161407057473859</v>
      </c>
      <c r="F338" s="385">
        <f t="shared" si="133"/>
        <v>9.5161597659519135</v>
      </c>
      <c r="G338" s="110">
        <f t="shared" si="132"/>
        <v>0.32854978894235709</v>
      </c>
      <c r="I338" s="380">
        <f t="shared" si="135"/>
        <v>9.5161597659519135</v>
      </c>
      <c r="J338" s="85">
        <v>2018</v>
      </c>
      <c r="K338" s="197">
        <f t="shared" si="136"/>
        <v>43424</v>
      </c>
      <c r="L338" s="437">
        <f t="shared" si="137"/>
        <v>3.60744053432005E-3</v>
      </c>
      <c r="M338" s="856"/>
      <c r="N338" s="856"/>
      <c r="O338" s="324">
        <f t="shared" si="138"/>
        <v>9.8938679730171276E-3</v>
      </c>
      <c r="P338" s="169">
        <f>(INDEX(Models!$BJ338:$BT338,,T338)*(1-R338)+INDEX(Models!$BJ338:$BT338,,T338+1)*R338-ERP_i)*Q338*Ramure*Pc/MaxiM</f>
        <v>4.9082392741912297E-5</v>
      </c>
      <c r="Q338" s="305">
        <f t="shared" si="139"/>
        <v>0.5</v>
      </c>
      <c r="R338" s="177">
        <f t="shared" si="140"/>
        <v>0.49693831103526764</v>
      </c>
      <c r="S338" s="811">
        <f t="shared" si="158"/>
        <v>-2</v>
      </c>
      <c r="T338" s="176">
        <f t="shared" si="141"/>
        <v>4</v>
      </c>
      <c r="U338" s="251">
        <f t="shared" si="142"/>
        <v>-1.5030616889647324</v>
      </c>
      <c r="V338" s="383">
        <f t="shared" si="143"/>
        <v>28.572710539065792</v>
      </c>
      <c r="W338" s="58"/>
      <c r="X338" s="157">
        <f t="shared" si="144"/>
        <v>43424</v>
      </c>
      <c r="Y338" s="385">
        <f t="shared" si="145"/>
        <v>9.3879999999999999</v>
      </c>
      <c r="Z338" s="385">
        <f t="shared" si="146"/>
        <v>9.4219892659920674</v>
      </c>
      <c r="AA338" s="386">
        <f t="shared" si="147"/>
        <v>9.5161407057473859</v>
      </c>
      <c r="AB338" s="197">
        <f t="shared" si="148"/>
        <v>43424</v>
      </c>
      <c r="AC338" s="426">
        <f t="shared" si="149"/>
        <v>9.8938679730171276E-3</v>
      </c>
      <c r="AD338" s="169">
        <f>(INDEX(Models!$BJ338:$BT338,,AH338)*(1-AF338)+INDEX(Models!$BJ338:$BT338,,AH338+1)*AF338-ERP_i)*AE338*Ramure*Pc/MaxiM</f>
        <v>4.9082392741912297E-5</v>
      </c>
      <c r="AE338" s="305">
        <f t="shared" si="150"/>
        <v>0.5</v>
      </c>
      <c r="AF338" s="177">
        <f t="shared" si="151"/>
        <v>0.49693831103526764</v>
      </c>
      <c r="AG338" s="811">
        <f t="shared" si="152"/>
        <v>-2</v>
      </c>
      <c r="AH338" s="176">
        <f t="shared" si="153"/>
        <v>4</v>
      </c>
      <c r="AI338" s="225">
        <f t="shared" si="154"/>
        <v>-1.5030616889647324</v>
      </c>
      <c r="AJ338" s="265" t="b">
        <f t="shared" si="155"/>
        <v>0</v>
      </c>
      <c r="AK338" s="265" t="b">
        <f t="shared" si="156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57"/>
        <v>43425</v>
      </c>
      <c r="B339" s="617">
        <v>28.417000000000002</v>
      </c>
      <c r="C339" s="390"/>
      <c r="D339" s="393">
        <f t="shared" si="134"/>
        <v>28.52050845713055</v>
      </c>
      <c r="E339" s="385">
        <f t="shared" si="131"/>
        <v>28.80696571004567</v>
      </c>
      <c r="F339" s="385">
        <f t="shared" si="133"/>
        <v>28.808434683481391</v>
      </c>
      <c r="G339" s="110">
        <f t="shared" si="132"/>
        <v>1.0029301096674048</v>
      </c>
      <c r="I339" s="380">
        <f t="shared" si="135"/>
        <v>28.808434683481391</v>
      </c>
      <c r="J339" s="85">
        <v>2018</v>
      </c>
      <c r="K339" s="197">
        <f t="shared" si="136"/>
        <v>43425</v>
      </c>
      <c r="L339" s="437">
        <f t="shared" si="137"/>
        <v>3.6292640885464689E-3</v>
      </c>
      <c r="M339" s="856"/>
      <c r="N339" s="856"/>
      <c r="O339" s="324">
        <f t="shared" si="138"/>
        <v>9.9440272814025066E-3</v>
      </c>
      <c r="P339" s="169">
        <f>(INDEX(Models!$BJ339:$BT339,,T339)*(1-R339)+INDEX(Models!$BJ339:$BT339,,T339+1)*R339-ERP_i)*Q339*Ramure*Pc/MaxiM</f>
        <v>5.0991088264939466E-5</v>
      </c>
      <c r="Q339" s="305">
        <f t="shared" si="139"/>
        <v>0.5</v>
      </c>
      <c r="R339" s="177">
        <f t="shared" si="140"/>
        <v>0.49696310788245279</v>
      </c>
      <c r="S339" s="811">
        <f t="shared" si="158"/>
        <v>-2</v>
      </c>
      <c r="T339" s="176">
        <f t="shared" si="141"/>
        <v>4</v>
      </c>
      <c r="U339" s="251">
        <f t="shared" si="142"/>
        <v>-1.5030368921175472</v>
      </c>
      <c r="V339" s="383">
        <f t="shared" si="143"/>
        <v>28.333978336161177</v>
      </c>
      <c r="W339" s="58"/>
      <c r="X339" s="157">
        <f t="shared" si="144"/>
        <v>43425</v>
      </c>
      <c r="Y339" s="385">
        <f t="shared" si="145"/>
        <v>28.417000000000002</v>
      </c>
      <c r="Z339" s="385">
        <f t="shared" si="146"/>
        <v>28.52050845713055</v>
      </c>
      <c r="AA339" s="386">
        <f t="shared" si="147"/>
        <v>28.80696571004567</v>
      </c>
      <c r="AB339" s="197">
        <f t="shared" si="148"/>
        <v>43425</v>
      </c>
      <c r="AC339" s="426">
        <f t="shared" si="149"/>
        <v>9.9440272814025066E-3</v>
      </c>
      <c r="AD339" s="169">
        <f>(INDEX(Models!$BJ339:$BT339,,AH339)*(1-AF339)+INDEX(Models!$BJ339:$BT339,,AH339+1)*AF339-ERP_i)*AE339*Ramure*Pc/MaxiM</f>
        <v>5.0991088264939466E-5</v>
      </c>
      <c r="AE339" s="305">
        <f t="shared" si="150"/>
        <v>0.5</v>
      </c>
      <c r="AF339" s="177">
        <f t="shared" si="151"/>
        <v>0.49696310788245279</v>
      </c>
      <c r="AG339" s="811">
        <f t="shared" si="152"/>
        <v>-2</v>
      </c>
      <c r="AH339" s="176">
        <f t="shared" si="153"/>
        <v>4</v>
      </c>
      <c r="AI339" s="225">
        <f t="shared" si="154"/>
        <v>-1.5030368921175472</v>
      </c>
      <c r="AJ339" s="265" t="b">
        <f t="shared" si="155"/>
        <v>0</v>
      </c>
      <c r="AK339" s="265" t="b">
        <f t="shared" si="156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57"/>
        <v>43426</v>
      </c>
      <c r="B340" s="617">
        <v>20.283999999999999</v>
      </c>
      <c r="C340" s="390"/>
      <c r="D340" s="393">
        <f t="shared" si="134"/>
        <v>20.358330037496277</v>
      </c>
      <c r="E340" s="385">
        <f t="shared" si="131"/>
        <v>20.563850153675002</v>
      </c>
      <c r="F340" s="385">
        <f t="shared" si="133"/>
        <v>20.564505083857451</v>
      </c>
      <c r="G340" s="110">
        <f t="shared" si="132"/>
        <v>0.7218432451208977</v>
      </c>
      <c r="I340" s="380">
        <f t="shared" si="135"/>
        <v>20.564505083857451</v>
      </c>
      <c r="J340" s="85">
        <v>2018</v>
      </c>
      <c r="K340" s="197">
        <f t="shared" si="136"/>
        <v>43426</v>
      </c>
      <c r="L340" s="437">
        <f t="shared" si="137"/>
        <v>3.6510871647810195E-3</v>
      </c>
      <c r="M340" s="856"/>
      <c r="N340" s="856"/>
      <c r="O340" s="324">
        <f t="shared" si="138"/>
        <v>9.9942430353682898E-3</v>
      </c>
      <c r="P340" s="169">
        <f>(INDEX(Models!$BJ340:$BT340,,T340)*(1-R340)+INDEX(Models!$BJ340:$BT340,,T340+1)*R340-ERP_i)*Q340*Ramure*Pc/MaxiM</f>
        <v>5.2845508229333997E-5</v>
      </c>
      <c r="Q340" s="305">
        <f t="shared" si="139"/>
        <v>0.5</v>
      </c>
      <c r="R340" s="177">
        <f t="shared" si="140"/>
        <v>0.49698690864852146</v>
      </c>
      <c r="S340" s="811">
        <f t="shared" si="158"/>
        <v>-2</v>
      </c>
      <c r="T340" s="176">
        <f t="shared" si="141"/>
        <v>4</v>
      </c>
      <c r="U340" s="251">
        <f t="shared" si="142"/>
        <v>-1.5030130913514785</v>
      </c>
      <c r="V340" s="383">
        <f t="shared" si="143"/>
        <v>28.099693668972314</v>
      </c>
      <c r="W340" s="58"/>
      <c r="X340" s="157">
        <f t="shared" si="144"/>
        <v>43426</v>
      </c>
      <c r="Y340" s="385">
        <f t="shared" si="145"/>
        <v>20.283999999999999</v>
      </c>
      <c r="Z340" s="385">
        <f t="shared" si="146"/>
        <v>20.358330037496277</v>
      </c>
      <c r="AA340" s="386">
        <f t="shared" si="147"/>
        <v>20.563850153675002</v>
      </c>
      <c r="AB340" s="197">
        <f t="shared" si="148"/>
        <v>43426</v>
      </c>
      <c r="AC340" s="426">
        <f t="shared" si="149"/>
        <v>9.9942430353682898E-3</v>
      </c>
      <c r="AD340" s="169">
        <f>(INDEX(Models!$BJ340:$BT340,,AH340)*(1-AF340)+INDEX(Models!$BJ340:$BT340,,AH340+1)*AF340-ERP_i)*AE340*Ramure*Pc/MaxiM</f>
        <v>5.2845508229333997E-5</v>
      </c>
      <c r="AE340" s="305">
        <f t="shared" si="150"/>
        <v>0.5</v>
      </c>
      <c r="AF340" s="177">
        <f t="shared" si="151"/>
        <v>0.49698690864852146</v>
      </c>
      <c r="AG340" s="811">
        <f t="shared" si="152"/>
        <v>-2</v>
      </c>
      <c r="AH340" s="176">
        <f t="shared" si="153"/>
        <v>4</v>
      </c>
      <c r="AI340" s="225">
        <f t="shared" si="154"/>
        <v>-1.5030130913514785</v>
      </c>
      <c r="AJ340" s="265" t="b">
        <f t="shared" si="155"/>
        <v>0</v>
      </c>
      <c r="AK340" s="265" t="b">
        <f t="shared" si="156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57"/>
        <v>43427</v>
      </c>
      <c r="B341" s="617">
        <v>12.188000000000001</v>
      </c>
      <c r="C341" s="390"/>
      <c r="D341" s="393">
        <f t="shared" si="134"/>
        <v>12.232930449679147</v>
      </c>
      <c r="E341" s="385">
        <f t="shared" si="131"/>
        <v>12.35705112150942</v>
      </c>
      <c r="F341" s="385">
        <f t="shared" si="133"/>
        <v>12.357183585206181</v>
      </c>
      <c r="G341" s="110">
        <f t="shared" si="132"/>
        <v>0.43729750877654749</v>
      </c>
      <c r="I341" s="380">
        <f t="shared" si="135"/>
        <v>12.357183585206181</v>
      </c>
      <c r="J341" s="85">
        <v>2018</v>
      </c>
      <c r="K341" s="197">
        <f t="shared" si="136"/>
        <v>43427</v>
      </c>
      <c r="L341" s="437">
        <f t="shared" si="137"/>
        <v>3.6729097630342489E-3</v>
      </c>
      <c r="M341" s="856"/>
      <c r="N341" s="856"/>
      <c r="O341" s="324">
        <f t="shared" si="138"/>
        <v>1.0044521998798033E-2</v>
      </c>
      <c r="P341" s="169">
        <f>(INDEX(Models!$BJ341:$BT341,,T341)*(1-R341)+INDEX(Models!$BJ341:$BT341,,T341+1)*R341-ERP_i)*Q341*Ramure*Pc/MaxiM</f>
        <v>5.4645197023364193E-5</v>
      </c>
      <c r="Q341" s="305">
        <f t="shared" si="139"/>
        <v>0.5</v>
      </c>
      <c r="R341" s="177">
        <f t="shared" si="140"/>
        <v>0.49700975325647101</v>
      </c>
      <c r="S341" s="811">
        <f t="shared" si="158"/>
        <v>-2</v>
      </c>
      <c r="T341" s="176">
        <f t="shared" si="141"/>
        <v>4</v>
      </c>
      <c r="U341" s="251">
        <f t="shared" si="142"/>
        <v>-1.502990246743529</v>
      </c>
      <c r="V341" s="383">
        <f t="shared" si="143"/>
        <v>27.86996126005554</v>
      </c>
      <c r="W341" s="58"/>
      <c r="X341" s="157">
        <f t="shared" si="144"/>
        <v>43427</v>
      </c>
      <c r="Y341" s="385">
        <f t="shared" si="145"/>
        <v>12.188000000000001</v>
      </c>
      <c r="Z341" s="385">
        <f t="shared" si="146"/>
        <v>12.232930449679147</v>
      </c>
      <c r="AA341" s="386">
        <f t="shared" si="147"/>
        <v>12.35705112150942</v>
      </c>
      <c r="AB341" s="197">
        <f t="shared" si="148"/>
        <v>43427</v>
      </c>
      <c r="AC341" s="426">
        <f t="shared" si="149"/>
        <v>1.0044521998798033E-2</v>
      </c>
      <c r="AD341" s="169">
        <f>(INDEX(Models!$BJ341:$BT341,,AH341)*(1-AF341)+INDEX(Models!$BJ341:$BT341,,AH341+1)*AF341-ERP_i)*AE341*Ramure*Pc/MaxiM</f>
        <v>5.4645197023364193E-5</v>
      </c>
      <c r="AE341" s="305">
        <f t="shared" si="150"/>
        <v>0.5</v>
      </c>
      <c r="AF341" s="177">
        <f t="shared" si="151"/>
        <v>0.49700975325647101</v>
      </c>
      <c r="AG341" s="811">
        <f t="shared" si="152"/>
        <v>-2</v>
      </c>
      <c r="AH341" s="176">
        <f t="shared" si="153"/>
        <v>4</v>
      </c>
      <c r="AI341" s="225">
        <f t="shared" si="154"/>
        <v>-1.502990246743529</v>
      </c>
      <c r="AJ341" s="265" t="b">
        <f t="shared" si="155"/>
        <v>0</v>
      </c>
      <c r="AK341" s="265" t="b">
        <f t="shared" si="156"/>
        <v>0</v>
      </c>
      <c r="AL341" s="265"/>
      <c r="AM341" s="265"/>
      <c r="AN341" s="75"/>
    </row>
    <row r="342" spans="1:40" s="6" customFormat="1" ht="11.25" x14ac:dyDescent="0.2">
      <c r="A342" s="56">
        <f t="shared" si="157"/>
        <v>43428</v>
      </c>
      <c r="B342" s="617">
        <v>21.893999999999998</v>
      </c>
      <c r="C342" s="390"/>
      <c r="D342" s="393">
        <f t="shared" si="134"/>
        <v>21.975192444165472</v>
      </c>
      <c r="E342" s="385">
        <f t="shared" si="131"/>
        <v>22.199291413362161</v>
      </c>
      <c r="F342" s="385">
        <f t="shared" si="133"/>
        <v>22.200171246280917</v>
      </c>
      <c r="G342" s="110">
        <f t="shared" si="132"/>
        <v>0.79195961341159304</v>
      </c>
      <c r="I342" s="380">
        <f t="shared" si="135"/>
        <v>22.200171246280917</v>
      </c>
      <c r="J342" s="85">
        <v>2018</v>
      </c>
      <c r="K342" s="197">
        <f t="shared" si="136"/>
        <v>43428</v>
      </c>
      <c r="L342" s="437">
        <f t="shared" si="137"/>
        <v>3.6947318833164822E-3</v>
      </c>
      <c r="M342" s="856"/>
      <c r="N342" s="856"/>
      <c r="O342" s="324">
        <f t="shared" si="138"/>
        <v>1.0094870373285851E-2</v>
      </c>
      <c r="P342" s="169">
        <f>(INDEX(Models!$BJ342:$BT342,,T342)*(1-R342)+INDEX(Models!$BJ342:$BT342,,T342+1)*R342-ERP_i)*Q342*Ramure*Pc/MaxiM</f>
        <v>5.6389825986214957E-5</v>
      </c>
      <c r="Q342" s="305">
        <f t="shared" si="139"/>
        <v>0.5</v>
      </c>
      <c r="R342" s="177">
        <f t="shared" si="140"/>
        <v>0.49703168003621911</v>
      </c>
      <c r="S342" s="811">
        <f t="shared" si="158"/>
        <v>-2</v>
      </c>
      <c r="T342" s="176">
        <f t="shared" si="141"/>
        <v>4</v>
      </c>
      <c r="U342" s="251">
        <f t="shared" si="142"/>
        <v>-1.5029683199637809</v>
      </c>
      <c r="V342" s="383">
        <f t="shared" si="143"/>
        <v>27.644885818222537</v>
      </c>
      <c r="W342" s="58"/>
      <c r="X342" s="157">
        <f t="shared" si="144"/>
        <v>43428</v>
      </c>
      <c r="Y342" s="385">
        <f t="shared" si="145"/>
        <v>21.893999999999998</v>
      </c>
      <c r="Z342" s="385">
        <f t="shared" si="146"/>
        <v>21.975192444165472</v>
      </c>
      <c r="AA342" s="386">
        <f t="shared" si="147"/>
        <v>22.199291413362161</v>
      </c>
      <c r="AB342" s="197">
        <f t="shared" si="148"/>
        <v>43428</v>
      </c>
      <c r="AC342" s="426">
        <f t="shared" si="149"/>
        <v>1.0094870373285851E-2</v>
      </c>
      <c r="AD342" s="169">
        <f>(INDEX(Models!$BJ342:$BT342,,AH342)*(1-AF342)+INDEX(Models!$BJ342:$BT342,,AH342+1)*AF342-ERP_i)*AE342*Ramure*Pc/MaxiM</f>
        <v>5.6389825986214957E-5</v>
      </c>
      <c r="AE342" s="305">
        <f t="shared" si="150"/>
        <v>0.5</v>
      </c>
      <c r="AF342" s="177">
        <f t="shared" si="151"/>
        <v>0.49703168003621911</v>
      </c>
      <c r="AG342" s="811">
        <f t="shared" si="152"/>
        <v>-2</v>
      </c>
      <c r="AH342" s="176">
        <f t="shared" si="153"/>
        <v>4</v>
      </c>
      <c r="AI342" s="225">
        <f t="shared" si="154"/>
        <v>-1.5029683199637809</v>
      </c>
      <c r="AJ342" s="265" t="b">
        <f t="shared" si="155"/>
        <v>0</v>
      </c>
      <c r="AK342" s="265" t="b">
        <f t="shared" si="156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57"/>
        <v>43429</v>
      </c>
      <c r="B343" s="617">
        <v>13.569000000000001</v>
      </c>
      <c r="C343" s="390"/>
      <c r="D343" s="393">
        <f t="shared" si="134"/>
        <v>13.619618039442337</v>
      </c>
      <c r="E343" s="385">
        <f t="shared" si="131"/>
        <v>13.759209259490104</v>
      </c>
      <c r="F343" s="385">
        <f t="shared" si="133"/>
        <v>13.759431619908595</v>
      </c>
      <c r="G343" s="110">
        <f t="shared" si="132"/>
        <v>0.49475452808441817</v>
      </c>
      <c r="I343" s="380">
        <f t="shared" si="135"/>
        <v>13.759431619908595</v>
      </c>
      <c r="J343" s="85">
        <v>2018</v>
      </c>
      <c r="K343" s="197">
        <f t="shared" si="136"/>
        <v>43429</v>
      </c>
      <c r="L343" s="437">
        <f t="shared" si="137"/>
        <v>3.7165535256382665E-3</v>
      </c>
      <c r="M343" s="856"/>
      <c r="N343" s="856"/>
      <c r="O343" s="324">
        <f t="shared" si="138"/>
        <v>1.0145293774893885E-2</v>
      </c>
      <c r="P343" s="169">
        <f>(INDEX(Models!$BJ343:$BT343,,T343)*(1-R343)+INDEX(Models!$BJ343:$BT343,,T343+1)*R343-ERP_i)*Q343*Ramure*Pc/MaxiM</f>
        <v>5.8079278979199474E-5</v>
      </c>
      <c r="Q343" s="305">
        <f t="shared" si="139"/>
        <v>0.5</v>
      </c>
      <c r="R343" s="177">
        <f t="shared" si="140"/>
        <v>0.49705272578761628</v>
      </c>
      <c r="S343" s="811">
        <f t="shared" si="158"/>
        <v>-2</v>
      </c>
      <c r="T343" s="176">
        <f t="shared" si="141"/>
        <v>4</v>
      </c>
      <c r="U343" s="251">
        <f t="shared" si="142"/>
        <v>-1.5029472742123837</v>
      </c>
      <c r="V343" s="383">
        <f t="shared" si="143"/>
        <v>27.424572036840338</v>
      </c>
      <c r="W343" s="58"/>
      <c r="X343" s="157">
        <f t="shared" si="144"/>
        <v>43429</v>
      </c>
      <c r="Y343" s="385">
        <f t="shared" si="145"/>
        <v>13.569000000000001</v>
      </c>
      <c r="Z343" s="385">
        <f t="shared" si="146"/>
        <v>13.619618039442337</v>
      </c>
      <c r="AA343" s="386">
        <f t="shared" si="147"/>
        <v>13.759209259490104</v>
      </c>
      <c r="AB343" s="197">
        <f t="shared" si="148"/>
        <v>43429</v>
      </c>
      <c r="AC343" s="426">
        <f t="shared" si="149"/>
        <v>1.0145293774893885E-2</v>
      </c>
      <c r="AD343" s="169">
        <f>(INDEX(Models!$BJ343:$BT343,,AH343)*(1-AF343)+INDEX(Models!$BJ343:$BT343,,AH343+1)*AF343-ERP_i)*AE343*Ramure*Pc/MaxiM</f>
        <v>5.8079278979199474E-5</v>
      </c>
      <c r="AE343" s="305">
        <f t="shared" si="150"/>
        <v>0.5</v>
      </c>
      <c r="AF343" s="177">
        <f t="shared" si="151"/>
        <v>0.49705272578761628</v>
      </c>
      <c r="AG343" s="811">
        <f t="shared" si="152"/>
        <v>-2</v>
      </c>
      <c r="AH343" s="176">
        <f t="shared" si="153"/>
        <v>4</v>
      </c>
      <c r="AI343" s="225">
        <f t="shared" si="154"/>
        <v>-1.5029472742123837</v>
      </c>
      <c r="AJ343" s="265" t="b">
        <f t="shared" si="155"/>
        <v>0</v>
      </c>
      <c r="AK343" s="265" t="b">
        <f t="shared" si="156"/>
        <v>0</v>
      </c>
      <c r="AL343" s="265"/>
      <c r="AM343" s="265"/>
      <c r="AN343" s="75"/>
    </row>
    <row r="344" spans="1:40" s="6" customFormat="1" ht="11.25" x14ac:dyDescent="0.2">
      <c r="A344" s="56">
        <f t="shared" si="157"/>
        <v>43430</v>
      </c>
      <c r="B344" s="617">
        <v>3.7570000000000001</v>
      </c>
      <c r="C344" s="390"/>
      <c r="D344" s="393">
        <f t="shared" si="134"/>
        <v>3.7710977764811506</v>
      </c>
      <c r="E344" s="385">
        <f t="shared" si="131"/>
        <v>3.8099431845911385</v>
      </c>
      <c r="F344" s="385">
        <f t="shared" si="133"/>
        <v>3.8099431845911385</v>
      </c>
      <c r="G344" s="110">
        <f t="shared" si="132"/>
        <v>0.1380704345284598</v>
      </c>
      <c r="I344" s="380">
        <f t="shared" si="135"/>
        <v>3.8099431845911385</v>
      </c>
      <c r="J344" s="85">
        <v>2018</v>
      </c>
      <c r="K344" s="197">
        <f t="shared" si="136"/>
        <v>43430</v>
      </c>
      <c r="L344" s="437">
        <f t="shared" si="137"/>
        <v>3.7383746900101489E-3</v>
      </c>
      <c r="M344" s="856"/>
      <c r="N344" s="856"/>
      <c r="O344" s="324">
        <f t="shared" si="138"/>
        <v>1.0195797214796682E-2</v>
      </c>
      <c r="P344" s="169">
        <f>(INDEX(Models!$BJ344:$BT344,,T344)*(1-R344)+INDEX(Models!$BJ344:$BT344,,T344+1)*R344-ERP_i)*Q344*Ramure*Pc/MaxiM</f>
        <v>5.9713380091090928E-5</v>
      </c>
      <c r="Q344" s="305">
        <f t="shared" si="139"/>
        <v>0.5</v>
      </c>
      <c r="R344" s="177">
        <f t="shared" si="140"/>
        <v>0.4970729258410147</v>
      </c>
      <c r="S344" s="811">
        <f t="shared" si="158"/>
        <v>-2</v>
      </c>
      <c r="T344" s="176">
        <f t="shared" si="141"/>
        <v>4</v>
      </c>
      <c r="U344" s="251">
        <f t="shared" si="142"/>
        <v>-1.5029270741589853</v>
      </c>
      <c r="V344" s="383">
        <f t="shared" si="143"/>
        <v>27.209124601231203</v>
      </c>
      <c r="W344" s="58"/>
      <c r="X344" s="157">
        <f t="shared" si="144"/>
        <v>43430</v>
      </c>
      <c r="Y344" s="385">
        <f t="shared" si="145"/>
        <v>3.7570000000000001</v>
      </c>
      <c r="Z344" s="385">
        <f t="shared" si="146"/>
        <v>3.7710977764811506</v>
      </c>
      <c r="AA344" s="386">
        <f t="shared" si="147"/>
        <v>3.8099431845911385</v>
      </c>
      <c r="AB344" s="197">
        <f t="shared" si="148"/>
        <v>43430</v>
      </c>
      <c r="AC344" s="426">
        <f t="shared" si="149"/>
        <v>1.0195797214796682E-2</v>
      </c>
      <c r="AD344" s="169">
        <f>(INDEX(Models!$BJ344:$BT344,,AH344)*(1-AF344)+INDEX(Models!$BJ344:$BT344,,AH344+1)*AF344-ERP_i)*AE344*Ramure*Pc/MaxiM</f>
        <v>5.9713380091090928E-5</v>
      </c>
      <c r="AE344" s="305">
        <f t="shared" si="150"/>
        <v>0.5</v>
      </c>
      <c r="AF344" s="177">
        <f t="shared" si="151"/>
        <v>0.4970729258410147</v>
      </c>
      <c r="AG344" s="811">
        <f t="shared" si="152"/>
        <v>-2</v>
      </c>
      <c r="AH344" s="176">
        <f t="shared" si="153"/>
        <v>4</v>
      </c>
      <c r="AI344" s="225">
        <f t="shared" si="154"/>
        <v>-1.5029270741589853</v>
      </c>
      <c r="AJ344" s="265" t="b">
        <f t="shared" si="155"/>
        <v>0</v>
      </c>
      <c r="AK344" s="265" t="b">
        <f t="shared" si="156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57"/>
        <v>43431</v>
      </c>
      <c r="B345" s="617">
        <v>24.777999999999999</v>
      </c>
      <c r="C345" s="390"/>
      <c r="D345" s="393">
        <f t="shared" si="134"/>
        <v>24.871521781206781</v>
      </c>
      <c r="E345" s="385">
        <f t="shared" si="131"/>
        <v>25.129003225026128</v>
      </c>
      <c r="F345" s="385">
        <f t="shared" si="133"/>
        <v>25.130362962848679</v>
      </c>
      <c r="G345" s="110">
        <f t="shared" si="132"/>
        <v>0.91786121692422318</v>
      </c>
      <c r="I345" s="380">
        <f t="shared" si="135"/>
        <v>25.130362962848679</v>
      </c>
      <c r="J345" s="85">
        <v>2018</v>
      </c>
      <c r="K345" s="197">
        <f t="shared" si="136"/>
        <v>43431</v>
      </c>
      <c r="L345" s="437">
        <f t="shared" si="137"/>
        <v>3.7601953764424545E-3</v>
      </c>
      <c r="M345" s="856"/>
      <c r="N345" s="856"/>
      <c r="O345" s="324">
        <f t="shared" si="138"/>
        <v>1.0246385083946333E-2</v>
      </c>
      <c r="P345" s="169">
        <f>(INDEX(Models!$BJ345:$BT345,,T345)*(1-R345)+INDEX(Models!$BJ345:$BT345,,T345+1)*R345-ERP_i)*Q345*Ramure*Pc/MaxiM</f>
        <v>6.1299775056868739E-5</v>
      </c>
      <c r="Q345" s="305">
        <f t="shared" si="139"/>
        <v>0.5</v>
      </c>
      <c r="R345" s="177">
        <f t="shared" si="140"/>
        <v>0.49709231411547528</v>
      </c>
      <c r="S345" s="811">
        <f t="shared" si="158"/>
        <v>-2</v>
      </c>
      <c r="T345" s="176">
        <f t="shared" si="141"/>
        <v>4</v>
      </c>
      <c r="U345" s="251">
        <f t="shared" si="142"/>
        <v>-1.5029076858845247</v>
      </c>
      <c r="V345" s="383">
        <f t="shared" si="143"/>
        <v>26.995172385593619</v>
      </c>
      <c r="W345" s="58"/>
      <c r="X345" s="157">
        <f t="shared" si="144"/>
        <v>43431</v>
      </c>
      <c r="Y345" s="385">
        <f t="shared" si="145"/>
        <v>24.777999999999999</v>
      </c>
      <c r="Z345" s="385">
        <f t="shared" si="146"/>
        <v>24.871521781206781</v>
      </c>
      <c r="AA345" s="386">
        <f t="shared" si="147"/>
        <v>25.129003225026128</v>
      </c>
      <c r="AB345" s="197">
        <f t="shared" si="148"/>
        <v>43431</v>
      </c>
      <c r="AC345" s="426">
        <f t="shared" si="149"/>
        <v>1.0246385083946333E-2</v>
      </c>
      <c r="AD345" s="169">
        <f>(INDEX(Models!$BJ345:$BT345,,AH345)*(1-AF345)+INDEX(Models!$BJ345:$BT345,,AH345+1)*AF345-ERP_i)*AE345*Ramure*Pc/MaxiM</f>
        <v>6.1299775056868739E-5</v>
      </c>
      <c r="AE345" s="305">
        <f t="shared" si="150"/>
        <v>0.5</v>
      </c>
      <c r="AF345" s="177">
        <f t="shared" si="151"/>
        <v>0.49709231411547528</v>
      </c>
      <c r="AG345" s="811">
        <f t="shared" si="152"/>
        <v>-2</v>
      </c>
      <c r="AH345" s="176">
        <f t="shared" si="153"/>
        <v>4</v>
      </c>
      <c r="AI345" s="225">
        <f t="shared" si="154"/>
        <v>-1.5029076858845247</v>
      </c>
      <c r="AJ345" s="265" t="b">
        <f t="shared" si="155"/>
        <v>0</v>
      </c>
      <c r="AK345" s="265" t="b">
        <f t="shared" si="156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57"/>
        <v>43432</v>
      </c>
      <c r="B346" s="617">
        <v>18.367999999999999</v>
      </c>
      <c r="C346" s="390"/>
      <c r="D346" s="393">
        <f t="shared" si="134"/>
        <v>18.437731788976961</v>
      </c>
      <c r="E346" s="385">
        <f t="shared" si="131"/>
        <v>18.629561523025586</v>
      </c>
      <c r="F346" s="385">
        <f t="shared" si="133"/>
        <v>18.630206084198146</v>
      </c>
      <c r="G346" s="110">
        <f t="shared" si="132"/>
        <v>0.68585888633188385</v>
      </c>
      <c r="I346" s="380">
        <f t="shared" si="135"/>
        <v>18.630206084198146</v>
      </c>
      <c r="J346" s="85">
        <v>2018</v>
      </c>
      <c r="K346" s="197">
        <f t="shared" si="136"/>
        <v>43432</v>
      </c>
      <c r="L346" s="437">
        <f t="shared" si="137"/>
        <v>3.7820155849458414E-3</v>
      </c>
      <c r="M346" s="856"/>
      <c r="N346" s="856"/>
      <c r="O346" s="324">
        <f t="shared" si="138"/>
        <v>1.0297061141859373E-2</v>
      </c>
      <c r="P346" s="169">
        <f>(INDEX(Models!$BJ346:$BT346,,T346)*(1-R346)+INDEX(Models!$BJ346:$BT346,,T346+1)*R346-ERP_i)*Q346*Ramure*Pc/MaxiM</f>
        <v>6.2761638504431122E-5</v>
      </c>
      <c r="Q346" s="305">
        <f t="shared" si="139"/>
        <v>0.5</v>
      </c>
      <c r="R346" s="177">
        <f t="shared" si="140"/>
        <v>0.49711092317471017</v>
      </c>
      <c r="S346" s="811">
        <f t="shared" si="158"/>
        <v>-2</v>
      </c>
      <c r="T346" s="176">
        <f t="shared" si="141"/>
        <v>4</v>
      </c>
      <c r="U346" s="251">
        <f t="shared" si="142"/>
        <v>-1.5028890768252898</v>
      </c>
      <c r="V346" s="383">
        <f t="shared" si="143"/>
        <v>26.780264908455514</v>
      </c>
      <c r="W346" s="58"/>
      <c r="X346" s="157">
        <f t="shared" si="144"/>
        <v>43432</v>
      </c>
      <c r="Y346" s="385">
        <f t="shared" si="145"/>
        <v>18.367999999999999</v>
      </c>
      <c r="Z346" s="385">
        <f t="shared" si="146"/>
        <v>18.437731788976961</v>
      </c>
      <c r="AA346" s="386">
        <f t="shared" si="147"/>
        <v>18.629561523025586</v>
      </c>
      <c r="AB346" s="197">
        <f t="shared" si="148"/>
        <v>43432</v>
      </c>
      <c r="AC346" s="426">
        <f t="shared" si="149"/>
        <v>1.0297061141859373E-2</v>
      </c>
      <c r="AD346" s="169">
        <f>(INDEX(Models!$BJ346:$BT346,,AH346)*(1-AF346)+INDEX(Models!$BJ346:$BT346,,AH346+1)*AF346-ERP_i)*AE346*Ramure*Pc/MaxiM</f>
        <v>6.2761638504431122E-5</v>
      </c>
      <c r="AE346" s="305">
        <f t="shared" si="150"/>
        <v>0.5</v>
      </c>
      <c r="AF346" s="177">
        <f t="shared" si="151"/>
        <v>0.49711092317471017</v>
      </c>
      <c r="AG346" s="811">
        <f t="shared" si="152"/>
        <v>-2</v>
      </c>
      <c r="AH346" s="176">
        <f t="shared" si="153"/>
        <v>4</v>
      </c>
      <c r="AI346" s="225">
        <f t="shared" si="154"/>
        <v>-1.5028890768252898</v>
      </c>
      <c r="AJ346" s="265" t="b">
        <f t="shared" si="155"/>
        <v>0</v>
      </c>
      <c r="AK346" s="265" t="b">
        <f t="shared" si="156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57"/>
        <v>43433</v>
      </c>
      <c r="B347" s="617">
        <v>26.042000000000002</v>
      </c>
      <c r="C347" s="390"/>
      <c r="D347" s="393">
        <f t="shared" si="134"/>
        <v>26.141437724013347</v>
      </c>
      <c r="E347" s="385">
        <f t="shared" si="131"/>
        <v>26.414773267909435</v>
      </c>
      <c r="F347" s="385">
        <f t="shared" si="133"/>
        <v>26.41641779115476</v>
      </c>
      <c r="G347" s="110">
        <f t="shared" si="132"/>
        <v>0.98027801033599127</v>
      </c>
      <c r="I347" s="380">
        <f t="shared" si="135"/>
        <v>26.41641779115476</v>
      </c>
      <c r="J347" s="85">
        <v>2018</v>
      </c>
      <c r="K347" s="197">
        <f t="shared" si="136"/>
        <v>43433</v>
      </c>
      <c r="L347" s="437">
        <f t="shared" si="137"/>
        <v>3.8038353155305238E-3</v>
      </c>
      <c r="M347" s="856"/>
      <c r="N347" s="856"/>
      <c r="O347" s="324">
        <f t="shared" si="138"/>
        <v>1.0347828509592299E-2</v>
      </c>
      <c r="P347" s="169">
        <f>(INDEX(Models!$BJ347:$BT347,,T347)*(1-R347)+INDEX(Models!$BJ347:$BT347,,T347+1)*R347-ERP_i)*Q347*Ramure*Pc/MaxiM</f>
        <v>6.405847120754041E-5</v>
      </c>
      <c r="Q347" s="305">
        <f t="shared" si="139"/>
        <v>0.5</v>
      </c>
      <c r="R347" s="177">
        <f t="shared" si="140"/>
        <v>0.49712878428083918</v>
      </c>
      <c r="S347" s="811">
        <f t="shared" si="158"/>
        <v>-2</v>
      </c>
      <c r="T347" s="176">
        <f t="shared" si="141"/>
        <v>4</v>
      </c>
      <c r="U347" s="251">
        <f t="shared" si="142"/>
        <v>-1.5028712157191608</v>
      </c>
      <c r="V347" s="383">
        <f t="shared" si="143"/>
        <v>26.565885112269257</v>
      </c>
      <c r="W347" s="58"/>
      <c r="X347" s="157">
        <f t="shared" si="144"/>
        <v>43433</v>
      </c>
      <c r="Y347" s="385">
        <f t="shared" si="145"/>
        <v>26.042000000000002</v>
      </c>
      <c r="Z347" s="385">
        <f t="shared" si="146"/>
        <v>26.141437724013347</v>
      </c>
      <c r="AA347" s="386">
        <f t="shared" si="147"/>
        <v>26.414773267909435</v>
      </c>
      <c r="AB347" s="197">
        <f t="shared" si="148"/>
        <v>43433</v>
      </c>
      <c r="AC347" s="426">
        <f t="shared" si="149"/>
        <v>1.0347828509592299E-2</v>
      </c>
      <c r="AD347" s="169">
        <f>(INDEX(Models!$BJ347:$BT347,,AH347)*(1-AF347)+INDEX(Models!$BJ347:$BT347,,AH347+1)*AF347-ERP_i)*AE347*Ramure*Pc/MaxiM</f>
        <v>6.405847120754041E-5</v>
      </c>
      <c r="AE347" s="305">
        <f t="shared" si="150"/>
        <v>0.5</v>
      </c>
      <c r="AF347" s="177">
        <f t="shared" si="151"/>
        <v>0.49712878428083918</v>
      </c>
      <c r="AG347" s="811">
        <f t="shared" si="152"/>
        <v>-2</v>
      </c>
      <c r="AH347" s="176">
        <f t="shared" si="153"/>
        <v>4</v>
      </c>
      <c r="AI347" s="225">
        <f t="shared" si="154"/>
        <v>-1.5028712157191608</v>
      </c>
      <c r="AJ347" s="265" t="b">
        <f t="shared" si="155"/>
        <v>0</v>
      </c>
      <c r="AK347" s="265" t="b">
        <f t="shared" si="156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57"/>
        <v>43434</v>
      </c>
      <c r="B348" s="617">
        <v>10.788</v>
      </c>
      <c r="C348" s="390"/>
      <c r="D348" s="393">
        <f t="shared" si="134"/>
        <v>10.829429657038528</v>
      </c>
      <c r="E348" s="385">
        <f t="shared" si="131"/>
        <v>10.943224856274444</v>
      </c>
      <c r="F348" s="385">
        <f t="shared" si="133"/>
        <v>10.943336299532586</v>
      </c>
      <c r="G348" s="110">
        <f t="shared" si="132"/>
        <v>0.40933464939381192</v>
      </c>
      <c r="I348" s="380">
        <f t="shared" si="135"/>
        <v>10.943336299532586</v>
      </c>
      <c r="J348" s="85">
        <v>2018</v>
      </c>
      <c r="K348" s="197">
        <f t="shared" si="136"/>
        <v>43434</v>
      </c>
      <c r="L348" s="437">
        <f t="shared" si="137"/>
        <v>3.8256545682071597E-3</v>
      </c>
      <c r="M348" s="856"/>
      <c r="N348" s="856"/>
      <c r="O348" s="324">
        <f t="shared" si="138"/>
        <v>1.0398689666937728E-2</v>
      </c>
      <c r="P348" s="169">
        <f>(INDEX(Models!$BJ348:$BT348,,T348)*(1-R348)+INDEX(Models!$BJ348:$BT348,,T348+1)*R348-ERP_i)*Q348*Ramure*Pc/MaxiM</f>
        <v>6.5186077839992978E-5</v>
      </c>
      <c r="Q348" s="305">
        <f t="shared" si="139"/>
        <v>0.5</v>
      </c>
      <c r="R348" s="177">
        <f t="shared" si="140"/>
        <v>0.49714592744604835</v>
      </c>
      <c r="S348" s="811">
        <f t="shared" si="158"/>
        <v>-2</v>
      </c>
      <c r="T348" s="176">
        <f t="shared" si="141"/>
        <v>4</v>
      </c>
      <c r="U348" s="251">
        <f t="shared" si="142"/>
        <v>-1.5028540725539516</v>
      </c>
      <c r="V348" s="383">
        <f t="shared" si="143"/>
        <v>26.353514523850425</v>
      </c>
      <c r="W348" s="58"/>
      <c r="X348" s="157">
        <f t="shared" si="144"/>
        <v>43434</v>
      </c>
      <c r="Y348" s="385">
        <f t="shared" si="145"/>
        <v>10.788</v>
      </c>
      <c r="Z348" s="385">
        <f t="shared" si="146"/>
        <v>10.829429657038528</v>
      </c>
      <c r="AA348" s="386">
        <f t="shared" si="147"/>
        <v>10.943224856274444</v>
      </c>
      <c r="AB348" s="197">
        <f t="shared" si="148"/>
        <v>43434</v>
      </c>
      <c r="AC348" s="426">
        <f t="shared" si="149"/>
        <v>1.0398689666937728E-2</v>
      </c>
      <c r="AD348" s="169">
        <f>(INDEX(Models!$BJ348:$BT348,,AH348)*(1-AF348)+INDEX(Models!$BJ348:$BT348,,AH348+1)*AF348-ERP_i)*AE348*Ramure*Pc/MaxiM</f>
        <v>6.5186077839992978E-5</v>
      </c>
      <c r="AE348" s="305">
        <f t="shared" si="150"/>
        <v>0.5</v>
      </c>
      <c r="AF348" s="177">
        <f t="shared" si="151"/>
        <v>0.49714592744604835</v>
      </c>
      <c r="AG348" s="811">
        <f t="shared" si="152"/>
        <v>-2</v>
      </c>
      <c r="AH348" s="176">
        <f t="shared" si="153"/>
        <v>4</v>
      </c>
      <c r="AI348" s="225">
        <f t="shared" si="154"/>
        <v>-1.5028540725539516</v>
      </c>
      <c r="AJ348" s="265" t="b">
        <f t="shared" si="155"/>
        <v>0</v>
      </c>
      <c r="AK348" s="265" t="b">
        <f t="shared" si="156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57"/>
        <v>43435</v>
      </c>
      <c r="B349" s="617">
        <v>18.754999999999999</v>
      </c>
      <c r="C349" s="390"/>
      <c r="D349" s="393">
        <f t="shared" si="134"/>
        <v>18.827438066075949</v>
      </c>
      <c r="E349" s="385">
        <f t="shared" si="131"/>
        <v>19.02625571160252</v>
      </c>
      <c r="F349" s="385">
        <f t="shared" si="133"/>
        <v>19.027006021299115</v>
      </c>
      <c r="G349" s="110">
        <f t="shared" si="132"/>
        <v>0.7173364493047284</v>
      </c>
      <c r="I349" s="380">
        <f t="shared" si="135"/>
        <v>19.027006021299115</v>
      </c>
      <c r="J349" s="85">
        <v>2018</v>
      </c>
      <c r="K349" s="197">
        <f t="shared" si="136"/>
        <v>43435</v>
      </c>
      <c r="L349" s="437">
        <f t="shared" si="137"/>
        <v>3.8474733429861852E-3</v>
      </c>
      <c r="M349" s="856"/>
      <c r="N349" s="856"/>
      <c r="O349" s="324">
        <f t="shared" si="138"/>
        <v>1.0449646453838394E-2</v>
      </c>
      <c r="P349" s="169">
        <f>(INDEX(Models!$BJ349:$BT349,,T349)*(1-R349)+INDEX(Models!$BJ349:$BT349,,T349+1)*R349-ERP_i)*Q349*Ramure*Pc/MaxiM</f>
        <v>6.6139649707689204E-5</v>
      </c>
      <c r="Q349" s="305">
        <f t="shared" si="139"/>
        <v>0.5</v>
      </c>
      <c r="R349" s="177">
        <f t="shared" si="140"/>
        <v>0.49716238148222391</v>
      </c>
      <c r="S349" s="811">
        <f t="shared" si="158"/>
        <v>-2</v>
      </c>
      <c r="T349" s="176">
        <f t="shared" si="141"/>
        <v>4</v>
      </c>
      <c r="U349" s="251">
        <f t="shared" si="142"/>
        <v>-1.5028376185177761</v>
      </c>
      <c r="V349" s="383">
        <f t="shared" si="143"/>
        <v>26.144634268514608</v>
      </c>
      <c r="W349" s="58"/>
      <c r="X349" s="157">
        <f t="shared" si="144"/>
        <v>43435</v>
      </c>
      <c r="Y349" s="385">
        <f t="shared" si="145"/>
        <v>18.754999999999999</v>
      </c>
      <c r="Z349" s="385">
        <f t="shared" si="146"/>
        <v>18.827438066075949</v>
      </c>
      <c r="AA349" s="386">
        <f t="shared" si="147"/>
        <v>19.02625571160252</v>
      </c>
      <c r="AB349" s="197">
        <f t="shared" si="148"/>
        <v>43435</v>
      </c>
      <c r="AC349" s="426">
        <f t="shared" si="149"/>
        <v>1.0449646453838394E-2</v>
      </c>
      <c r="AD349" s="169">
        <f>(INDEX(Models!$BJ349:$BT349,,AH349)*(1-AF349)+INDEX(Models!$BJ349:$BT349,,AH349+1)*AF349-ERP_i)*AE349*Ramure*Pc/MaxiM</f>
        <v>6.6139649707689204E-5</v>
      </c>
      <c r="AE349" s="305">
        <f t="shared" si="150"/>
        <v>0.5</v>
      </c>
      <c r="AF349" s="177">
        <f t="shared" si="151"/>
        <v>0.49716238148222391</v>
      </c>
      <c r="AG349" s="811">
        <f t="shared" si="152"/>
        <v>-2</v>
      </c>
      <c r="AH349" s="176">
        <f t="shared" si="153"/>
        <v>4</v>
      </c>
      <c r="AI349" s="225">
        <f t="shared" si="154"/>
        <v>-1.5028376185177761</v>
      </c>
      <c r="AJ349" s="265" t="b">
        <f t="shared" si="155"/>
        <v>0</v>
      </c>
      <c r="AK349" s="265" t="b">
        <f t="shared" si="156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57"/>
        <v>43436</v>
      </c>
      <c r="B350" s="617">
        <v>7.33</v>
      </c>
      <c r="C350" s="390"/>
      <c r="D350" s="393">
        <f t="shared" si="134"/>
        <v>7.358472074480062</v>
      </c>
      <c r="E350" s="385">
        <f t="shared" si="131"/>
        <v>7.4365611729539358</v>
      </c>
      <c r="F350" s="385">
        <f t="shared" si="133"/>
        <v>7.4365611729539358</v>
      </c>
      <c r="G350" s="110">
        <f t="shared" si="132"/>
        <v>0.28254836774104469</v>
      </c>
      <c r="I350" s="380">
        <f t="shared" si="135"/>
        <v>7.4365611729539358</v>
      </c>
      <c r="J350" s="85">
        <v>2018</v>
      </c>
      <c r="K350" s="197">
        <f t="shared" si="136"/>
        <v>43436</v>
      </c>
      <c r="L350" s="437">
        <f t="shared" si="137"/>
        <v>3.8692916398780364E-3</v>
      </c>
      <c r="M350" s="856"/>
      <c r="N350" s="856"/>
      <c r="O350" s="324">
        <f t="shared" si="138"/>
        <v>1.0500700075980878E-2</v>
      </c>
      <c r="P350" s="169">
        <f>(INDEX(Models!$BJ350:$BT350,,T350)*(1-R350)+INDEX(Models!$BJ350:$BT350,,T350+1)*R350-ERP_i)*Q350*Ramure*Pc/MaxiM</f>
        <v>6.6913839554646657E-5</v>
      </c>
      <c r="Q350" s="305">
        <f t="shared" si="139"/>
        <v>0.5</v>
      </c>
      <c r="R350" s="177">
        <f t="shared" si="140"/>
        <v>0.49717817404864562</v>
      </c>
      <c r="S350" s="811">
        <f t="shared" si="158"/>
        <v>-2</v>
      </c>
      <c r="T350" s="176">
        <f t="shared" si="141"/>
        <v>4</v>
      </c>
      <c r="U350" s="251">
        <f t="shared" si="142"/>
        <v>-1.5028218259513544</v>
      </c>
      <c r="V350" s="383">
        <f t="shared" si="143"/>
        <v>25.940725052333526</v>
      </c>
      <c r="W350" s="58"/>
      <c r="X350" s="157">
        <f t="shared" si="144"/>
        <v>43436</v>
      </c>
      <c r="Y350" s="385">
        <f t="shared" si="145"/>
        <v>7.33</v>
      </c>
      <c r="Z350" s="385">
        <f t="shared" si="146"/>
        <v>7.358472074480062</v>
      </c>
      <c r="AA350" s="386">
        <f t="shared" si="147"/>
        <v>7.4365611729539358</v>
      </c>
      <c r="AB350" s="197">
        <f t="shared" si="148"/>
        <v>43436</v>
      </c>
      <c r="AC350" s="426">
        <f t="shared" si="149"/>
        <v>1.0500700075980878E-2</v>
      </c>
      <c r="AD350" s="169">
        <f>(INDEX(Models!$BJ350:$BT350,,AH350)*(1-AF350)+INDEX(Models!$BJ350:$BT350,,AH350+1)*AF350-ERP_i)*AE350*Ramure*Pc/MaxiM</f>
        <v>6.6913839554646657E-5</v>
      </c>
      <c r="AE350" s="305">
        <f t="shared" si="150"/>
        <v>0.5</v>
      </c>
      <c r="AF350" s="177">
        <f t="shared" si="151"/>
        <v>0.49717817404864562</v>
      </c>
      <c r="AG350" s="811">
        <f t="shared" si="152"/>
        <v>-2</v>
      </c>
      <c r="AH350" s="176">
        <f t="shared" si="153"/>
        <v>4</v>
      </c>
      <c r="AI350" s="225">
        <f t="shared" si="154"/>
        <v>-1.5028218259513544</v>
      </c>
      <c r="AJ350" s="265" t="b">
        <f t="shared" si="155"/>
        <v>0</v>
      </c>
      <c r="AK350" s="265" t="b">
        <f t="shared" si="156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57"/>
        <v>43437</v>
      </c>
      <c r="B351" s="617">
        <v>7.8970000000000002</v>
      </c>
      <c r="C351" s="390"/>
      <c r="D351" s="393">
        <f t="shared" si="134"/>
        <v>7.9278481248271842</v>
      </c>
      <c r="E351" s="385">
        <f t="shared" si="131"/>
        <v>8.0123937103293041</v>
      </c>
      <c r="F351" s="385">
        <f t="shared" si="133"/>
        <v>8.0123989333500703</v>
      </c>
      <c r="G351" s="110">
        <f t="shared" si="132"/>
        <v>0.30673931263925813</v>
      </c>
      <c r="I351" s="380">
        <f t="shared" si="135"/>
        <v>8.0123989333500703</v>
      </c>
      <c r="J351" s="85">
        <v>2018</v>
      </c>
      <c r="K351" s="197">
        <f t="shared" si="136"/>
        <v>43437</v>
      </c>
      <c r="L351" s="437">
        <f t="shared" si="137"/>
        <v>3.8911094588932604E-3</v>
      </c>
      <c r="M351" s="856"/>
      <c r="N351" s="856"/>
      <c r="O351" s="324">
        <f t="shared" si="138"/>
        <v>1.0551851114496247E-2</v>
      </c>
      <c r="P351" s="169">
        <f>(INDEX(Models!$BJ351:$BT351,,T351)*(1-R351)+INDEX(Models!$BJ351:$BT351,,T351+1)*R351-ERP_i)*Q351*Ramure*Pc/MaxiM</f>
        <v>6.7502849508619284E-5</v>
      </c>
      <c r="Q351" s="305">
        <f t="shared" si="139"/>
        <v>0.5</v>
      </c>
      <c r="R351" s="177">
        <f t="shared" si="140"/>
        <v>0.49719333169780833</v>
      </c>
      <c r="S351" s="811">
        <f t="shared" si="158"/>
        <v>-2</v>
      </c>
      <c r="T351" s="176">
        <f t="shared" si="141"/>
        <v>4</v>
      </c>
      <c r="U351" s="251">
        <f t="shared" si="142"/>
        <v>-1.5028066683021917</v>
      </c>
      <c r="V351" s="383">
        <f t="shared" si="143"/>
        <v>25.743267172069153</v>
      </c>
      <c r="W351" s="58"/>
      <c r="X351" s="157">
        <f t="shared" si="144"/>
        <v>43437</v>
      </c>
      <c r="Y351" s="385">
        <f t="shared" si="145"/>
        <v>7.8969999999999994</v>
      </c>
      <c r="Z351" s="385">
        <f t="shared" si="146"/>
        <v>7.9278481248271833</v>
      </c>
      <c r="AA351" s="386">
        <f t="shared" si="147"/>
        <v>8.0123937103293041</v>
      </c>
      <c r="AB351" s="197">
        <f t="shared" si="148"/>
        <v>43437</v>
      </c>
      <c r="AC351" s="426">
        <f t="shared" si="149"/>
        <v>1.0551851114496247E-2</v>
      </c>
      <c r="AD351" s="169">
        <f>(INDEX(Models!$BJ351:$BT351,,AH351)*(1-AF351)+INDEX(Models!$BJ351:$BT351,,AH351+1)*AF351-ERP_i)*AE351*Ramure*Pc/MaxiM</f>
        <v>6.7502849508619284E-5</v>
      </c>
      <c r="AE351" s="305">
        <f t="shared" si="150"/>
        <v>0.5</v>
      </c>
      <c r="AF351" s="177">
        <f t="shared" si="151"/>
        <v>0.49719333169780833</v>
      </c>
      <c r="AG351" s="811">
        <f t="shared" si="152"/>
        <v>-2</v>
      </c>
      <c r="AH351" s="176">
        <f t="shared" si="153"/>
        <v>4</v>
      </c>
      <c r="AI351" s="225">
        <f t="shared" si="154"/>
        <v>-1.5028066683021917</v>
      </c>
      <c r="AJ351" s="265" t="b">
        <f t="shared" si="155"/>
        <v>0</v>
      </c>
      <c r="AK351" s="265" t="b">
        <f t="shared" si="156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57"/>
        <v>43438</v>
      </c>
      <c r="B352" s="617">
        <v>6.0350000000000001</v>
      </c>
      <c r="C352" s="390"/>
      <c r="D352" s="393">
        <f t="shared" si="134"/>
        <v>6.0587072780820179</v>
      </c>
      <c r="E352" s="385">
        <f t="shared" si="131"/>
        <v>6.123636808709497</v>
      </c>
      <c r="F352" s="385">
        <f t="shared" si="133"/>
        <v>6.123636808709497</v>
      </c>
      <c r="G352" s="110">
        <f t="shared" si="132"/>
        <v>0.23615291146715792</v>
      </c>
      <c r="I352" s="380">
        <f t="shared" si="135"/>
        <v>6.123636808709497</v>
      </c>
      <c r="J352" s="85">
        <v>2018</v>
      </c>
      <c r="K352" s="197">
        <f t="shared" si="136"/>
        <v>43438</v>
      </c>
      <c r="L352" s="437">
        <f t="shared" si="137"/>
        <v>3.9129268000421824E-3</v>
      </c>
      <c r="M352" s="856"/>
      <c r="N352" s="856"/>
      <c r="O352" s="324">
        <f t="shared" si="138"/>
        <v>1.060309953966094E-2</v>
      </c>
      <c r="P352" s="169">
        <f>(INDEX(Models!$BJ352:$BT352,,T352)*(1-R352)+INDEX(Models!$BJ352:$BT352,,T352+1)*R352-ERP_i)*Q352*Ramure*Pc/MaxiM</f>
        <v>6.7930043139295557E-5</v>
      </c>
      <c r="Q352" s="305">
        <f t="shared" si="139"/>
        <v>0.5</v>
      </c>
      <c r="R352" s="177">
        <f t="shared" si="140"/>
        <v>0.49720787991944326</v>
      </c>
      <c r="S352" s="811">
        <f t="shared" si="158"/>
        <v>-2</v>
      </c>
      <c r="T352" s="176">
        <f t="shared" si="141"/>
        <v>4</v>
      </c>
      <c r="U352" s="251">
        <f t="shared" si="142"/>
        <v>-1.5027921200805567</v>
      </c>
      <c r="V352" s="383">
        <f t="shared" si="143"/>
        <v>25.553739755729808</v>
      </c>
      <c r="W352" s="58"/>
      <c r="X352" s="157">
        <f t="shared" si="144"/>
        <v>43438</v>
      </c>
      <c r="Y352" s="385">
        <f t="shared" si="145"/>
        <v>6.0350000000000001</v>
      </c>
      <c r="Z352" s="385">
        <f t="shared" si="146"/>
        <v>6.0587072780820179</v>
      </c>
      <c r="AA352" s="386">
        <f t="shared" si="147"/>
        <v>6.123636808709497</v>
      </c>
      <c r="AB352" s="197">
        <f t="shared" si="148"/>
        <v>43438</v>
      </c>
      <c r="AC352" s="426">
        <f t="shared" si="149"/>
        <v>1.060309953966094E-2</v>
      </c>
      <c r="AD352" s="169">
        <f>(INDEX(Models!$BJ352:$BT352,,AH352)*(1-AF352)+INDEX(Models!$BJ352:$BT352,,AH352+1)*AF352-ERP_i)*AE352*Ramure*Pc/MaxiM</f>
        <v>6.7930043139295557E-5</v>
      </c>
      <c r="AE352" s="305">
        <f t="shared" si="150"/>
        <v>0.5</v>
      </c>
      <c r="AF352" s="177">
        <f t="shared" si="151"/>
        <v>0.49720787991944326</v>
      </c>
      <c r="AG352" s="811">
        <f t="shared" si="152"/>
        <v>-2</v>
      </c>
      <c r="AH352" s="176">
        <f t="shared" si="153"/>
        <v>4</v>
      </c>
      <c r="AI352" s="225">
        <f t="shared" si="154"/>
        <v>-1.5027921200805567</v>
      </c>
      <c r="AJ352" s="265" t="b">
        <f t="shared" si="155"/>
        <v>0</v>
      </c>
      <c r="AK352" s="265" t="b">
        <f t="shared" si="156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57"/>
        <v>43439</v>
      </c>
      <c r="B353" s="617">
        <v>19.318000000000001</v>
      </c>
      <c r="C353" s="390"/>
      <c r="D353" s="393">
        <f t="shared" si="134"/>
        <v>19.394311644849324</v>
      </c>
      <c r="E353" s="385">
        <f t="shared" si="131"/>
        <v>19.603172563428796</v>
      </c>
      <c r="F353" s="385">
        <f t="shared" si="133"/>
        <v>19.604054954984996</v>
      </c>
      <c r="G353" s="110">
        <f t="shared" si="132"/>
        <v>0.76132418185684603</v>
      </c>
      <c r="I353" s="380">
        <f t="shared" si="135"/>
        <v>19.604054954984996</v>
      </c>
      <c r="J353" s="85">
        <v>2018</v>
      </c>
      <c r="K353" s="197">
        <f t="shared" si="136"/>
        <v>43439</v>
      </c>
      <c r="L353" s="437">
        <f t="shared" si="137"/>
        <v>3.9347436633353494E-3</v>
      </c>
      <c r="M353" s="856"/>
      <c r="N353" s="856"/>
      <c r="O353" s="324">
        <f t="shared" si="138"/>
        <v>1.0654444728457634E-2</v>
      </c>
      <c r="P353" s="169">
        <f>(INDEX(Models!$BJ353:$BT353,,T353)*(1-R353)+INDEX(Models!$BJ353:$BT353,,T353+1)*R353-ERP_i)*Q353*Ramure*Pc/MaxiM</f>
        <v>6.8295260017210531E-5</v>
      </c>
      <c r="Q353" s="305">
        <f t="shared" si="139"/>
        <v>0.5</v>
      </c>
      <c r="R353" s="177">
        <f t="shared" si="140"/>
        <v>0.49722184318281215</v>
      </c>
      <c r="S353" s="811">
        <f t="shared" si="158"/>
        <v>-2</v>
      </c>
      <c r="T353" s="176">
        <f t="shared" si="141"/>
        <v>4</v>
      </c>
      <c r="U353" s="251">
        <f t="shared" si="142"/>
        <v>-1.5027781568171878</v>
      </c>
      <c r="V353" s="383">
        <f t="shared" si="143"/>
        <v>25.373619580606526</v>
      </c>
      <c r="W353" s="58"/>
      <c r="X353" s="157">
        <f t="shared" si="144"/>
        <v>43439</v>
      </c>
      <c r="Y353" s="385">
        <f t="shared" si="145"/>
        <v>19.318000000000001</v>
      </c>
      <c r="Z353" s="385">
        <f t="shared" si="146"/>
        <v>19.394311644849324</v>
      </c>
      <c r="AA353" s="386">
        <f t="shared" si="147"/>
        <v>19.603172563428796</v>
      </c>
      <c r="AB353" s="197">
        <f t="shared" si="148"/>
        <v>43439</v>
      </c>
      <c r="AC353" s="426">
        <f t="shared" si="149"/>
        <v>1.0654444728457634E-2</v>
      </c>
      <c r="AD353" s="169">
        <f>(INDEX(Models!$BJ353:$BT353,,AH353)*(1-AF353)+INDEX(Models!$BJ353:$BT353,,AH353+1)*AF353-ERP_i)*AE353*Ramure*Pc/MaxiM</f>
        <v>6.8295260017210531E-5</v>
      </c>
      <c r="AE353" s="305">
        <f t="shared" si="150"/>
        <v>0.5</v>
      </c>
      <c r="AF353" s="177">
        <f t="shared" si="151"/>
        <v>0.49722184318281215</v>
      </c>
      <c r="AG353" s="811">
        <f t="shared" si="152"/>
        <v>-2</v>
      </c>
      <c r="AH353" s="176">
        <f t="shared" si="153"/>
        <v>4</v>
      </c>
      <c r="AI353" s="225">
        <f t="shared" si="154"/>
        <v>-1.5027781568171878</v>
      </c>
      <c r="AJ353" s="265" t="b">
        <f t="shared" si="155"/>
        <v>0</v>
      </c>
      <c r="AK353" s="265" t="b">
        <f t="shared" si="156"/>
        <v>0</v>
      </c>
      <c r="AL353" s="265"/>
      <c r="AM353" s="265"/>
      <c r="AN353" s="75"/>
    </row>
    <row r="354" spans="1:40" s="6" customFormat="1" ht="11.25" x14ac:dyDescent="0.2">
      <c r="A354" s="56">
        <f t="shared" si="157"/>
        <v>43440</v>
      </c>
      <c r="B354" s="617">
        <v>12.292</v>
      </c>
      <c r="C354" s="390"/>
      <c r="D354" s="393">
        <f t="shared" si="134"/>
        <v>12.340827223963268</v>
      </c>
      <c r="E354" s="385">
        <f t="shared" si="131"/>
        <v>12.474376469957699</v>
      </c>
      <c r="F354" s="385">
        <f t="shared" si="133"/>
        <v>12.47460590418838</v>
      </c>
      <c r="G354" s="110">
        <f t="shared" si="132"/>
        <v>0.4876684180117507</v>
      </c>
      <c r="I354" s="380">
        <f t="shared" si="135"/>
        <v>12.47460590418838</v>
      </c>
      <c r="J354" s="85">
        <v>2018</v>
      </c>
      <c r="K354" s="197">
        <f t="shared" si="136"/>
        <v>43440</v>
      </c>
      <c r="L354" s="437">
        <f t="shared" si="137"/>
        <v>3.9565600487831976E-3</v>
      </c>
      <c r="M354" s="856"/>
      <c r="N354" s="856"/>
      <c r="O354" s="324">
        <f t="shared" si="138"/>
        <v>1.0705885485824551E-2</v>
      </c>
      <c r="P354" s="169">
        <f>(INDEX(Models!$BJ354:$BT354,,T354)*(1-R354)+INDEX(Models!$BJ354:$BT354,,T354+1)*R354-ERP_i)*Q354*Ramure*Pc/MaxiM</f>
        <v>6.8593280193226136E-5</v>
      </c>
      <c r="Q354" s="305">
        <f t="shared" si="139"/>
        <v>0.5</v>
      </c>
      <c r="R354" s="177">
        <f t="shared" si="140"/>
        <v>0.49723524497733518</v>
      </c>
      <c r="S354" s="811">
        <f t="shared" si="158"/>
        <v>-2</v>
      </c>
      <c r="T354" s="176">
        <f t="shared" si="141"/>
        <v>4</v>
      </c>
      <c r="U354" s="251">
        <f t="shared" si="142"/>
        <v>-1.5027647550226648</v>
      </c>
      <c r="V354" s="383">
        <f t="shared" si="143"/>
        <v>25.204385729728326</v>
      </c>
      <c r="W354" s="58"/>
      <c r="X354" s="157">
        <f t="shared" si="144"/>
        <v>43440</v>
      </c>
      <c r="Y354" s="385">
        <f t="shared" si="145"/>
        <v>12.292</v>
      </c>
      <c r="Z354" s="385">
        <f t="shared" si="146"/>
        <v>12.340827223963268</v>
      </c>
      <c r="AA354" s="386">
        <f t="shared" si="147"/>
        <v>12.474376469957699</v>
      </c>
      <c r="AB354" s="197">
        <f t="shared" si="148"/>
        <v>43440</v>
      </c>
      <c r="AC354" s="426">
        <f t="shared" si="149"/>
        <v>1.0705885485824551E-2</v>
      </c>
      <c r="AD354" s="169">
        <f>(INDEX(Models!$BJ354:$BT354,,AH354)*(1-AF354)+INDEX(Models!$BJ354:$BT354,,AH354+1)*AF354-ERP_i)*AE354*Ramure*Pc/MaxiM</f>
        <v>6.8593280193226136E-5</v>
      </c>
      <c r="AE354" s="305">
        <f t="shared" si="150"/>
        <v>0.5</v>
      </c>
      <c r="AF354" s="177">
        <f t="shared" si="151"/>
        <v>0.49723524497733518</v>
      </c>
      <c r="AG354" s="811">
        <f t="shared" si="152"/>
        <v>-2</v>
      </c>
      <c r="AH354" s="176">
        <f t="shared" si="153"/>
        <v>4</v>
      </c>
      <c r="AI354" s="225">
        <f t="shared" si="154"/>
        <v>-1.5027647550226648</v>
      </c>
      <c r="AJ354" s="265" t="b">
        <f t="shared" si="155"/>
        <v>0</v>
      </c>
      <c r="AK354" s="265" t="b">
        <f t="shared" si="156"/>
        <v>0</v>
      </c>
      <c r="AL354" s="265"/>
      <c r="AM354" s="265"/>
      <c r="AN354" s="75"/>
    </row>
    <row r="355" spans="1:40" s="6" customFormat="1" ht="11.25" x14ac:dyDescent="0.2">
      <c r="A355" s="56">
        <f t="shared" si="157"/>
        <v>43441</v>
      </c>
      <c r="B355" s="617">
        <v>19.204000000000001</v>
      </c>
      <c r="C355" s="390"/>
      <c r="D355" s="393">
        <f t="shared" si="134"/>
        <v>19.280705896762026</v>
      </c>
      <c r="E355" s="385">
        <f t="shared" si="131"/>
        <v>19.490372015845171</v>
      </c>
      <c r="F355" s="385">
        <f t="shared" si="133"/>
        <v>19.491266327728862</v>
      </c>
      <c r="G355" s="110">
        <f t="shared" si="132"/>
        <v>0.76668516209911408</v>
      </c>
      <c r="I355" s="380">
        <f t="shared" si="135"/>
        <v>19.491266327728862</v>
      </c>
      <c r="J355" s="85">
        <v>2018</v>
      </c>
      <c r="K355" s="197">
        <f t="shared" si="136"/>
        <v>43441</v>
      </c>
      <c r="L355" s="437">
        <f t="shared" si="137"/>
        <v>3.9783759563962739E-3</v>
      </c>
      <c r="M355" s="856"/>
      <c r="N355" s="856"/>
      <c r="O355" s="324">
        <f t="shared" si="138"/>
        <v>1.0757420069390873E-2</v>
      </c>
      <c r="P355" s="169">
        <f>(INDEX(Models!$BJ355:$BT355,,T355)*(1-R355)+INDEX(Models!$BJ355:$BT355,,T355+1)*R355-ERP_i)*Q355*Ramure*Pc/MaxiM</f>
        <v>6.8818725909394922E-5</v>
      </c>
      <c r="Q355" s="305">
        <f t="shared" si="139"/>
        <v>0.5</v>
      </c>
      <c r="R355" s="177">
        <f t="shared" si="140"/>
        <v>0.49724810785162021</v>
      </c>
      <c r="S355" s="811">
        <f t="shared" si="158"/>
        <v>-2</v>
      </c>
      <c r="T355" s="176">
        <f t="shared" si="141"/>
        <v>4</v>
      </c>
      <c r="U355" s="251">
        <f t="shared" si="142"/>
        <v>-1.5027518921483798</v>
      </c>
      <c r="V355" s="383">
        <f t="shared" si="143"/>
        <v>25.047516849979242</v>
      </c>
      <c r="W355" s="58"/>
      <c r="X355" s="157">
        <f t="shared" si="144"/>
        <v>43441</v>
      </c>
      <c r="Y355" s="385">
        <f t="shared" si="145"/>
        <v>19.204000000000001</v>
      </c>
      <c r="Z355" s="385">
        <f t="shared" si="146"/>
        <v>19.280705896762026</v>
      </c>
      <c r="AA355" s="386">
        <f t="shared" si="147"/>
        <v>19.490372015845171</v>
      </c>
      <c r="AB355" s="197">
        <f t="shared" si="148"/>
        <v>43441</v>
      </c>
      <c r="AC355" s="426">
        <f t="shared" si="149"/>
        <v>1.0757420069390873E-2</v>
      </c>
      <c r="AD355" s="169">
        <f>(INDEX(Models!$BJ355:$BT355,,AH355)*(1-AF355)+INDEX(Models!$BJ355:$BT355,,AH355+1)*AF355-ERP_i)*AE355*Ramure*Pc/MaxiM</f>
        <v>6.8818725909394922E-5</v>
      </c>
      <c r="AE355" s="305">
        <f t="shared" si="150"/>
        <v>0.5</v>
      </c>
      <c r="AF355" s="177">
        <f t="shared" si="151"/>
        <v>0.49724810785162021</v>
      </c>
      <c r="AG355" s="811">
        <f t="shared" si="152"/>
        <v>-2</v>
      </c>
      <c r="AH355" s="176">
        <f t="shared" si="153"/>
        <v>4</v>
      </c>
      <c r="AI355" s="225">
        <f t="shared" si="154"/>
        <v>-1.5027518921483798</v>
      </c>
      <c r="AJ355" s="265" t="b">
        <f t="shared" si="155"/>
        <v>0</v>
      </c>
      <c r="AK355" s="265" t="b">
        <f t="shared" si="156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57"/>
        <v>43442</v>
      </c>
      <c r="B356" s="617">
        <v>15.926</v>
      </c>
      <c r="C356" s="390"/>
      <c r="D356" s="393">
        <f t="shared" si="134"/>
        <v>15.989962911905621</v>
      </c>
      <c r="E356" s="385">
        <f t="shared" si="131"/>
        <v>16.164687769092684</v>
      </c>
      <c r="F356" s="385">
        <f t="shared" si="133"/>
        <v>16.165228445908255</v>
      </c>
      <c r="G356" s="110">
        <f t="shared" si="132"/>
        <v>0.63946033665822977</v>
      </c>
      <c r="I356" s="380">
        <f t="shared" si="135"/>
        <v>16.165228445908255</v>
      </c>
      <c r="J356" s="85">
        <v>2018</v>
      </c>
      <c r="K356" s="197">
        <f t="shared" si="136"/>
        <v>43442</v>
      </c>
      <c r="L356" s="437">
        <f t="shared" si="137"/>
        <v>4.0001913861849037E-3</v>
      </c>
      <c r="M356" s="856"/>
      <c r="N356" s="856"/>
      <c r="O356" s="324">
        <f t="shared" si="138"/>
        <v>1.0809046217467989E-2</v>
      </c>
      <c r="P356" s="169">
        <f>(INDEX(Models!$BJ356:$BT356,,T356)*(1-R356)+INDEX(Models!$BJ356:$BT356,,T356+1)*R356-ERP_i)*Q356*Ramure*Pc/MaxiM</f>
        <v>6.8966127989306114E-5</v>
      </c>
      <c r="Q356" s="305">
        <f t="shared" si="139"/>
        <v>0.5</v>
      </c>
      <c r="R356" s="177">
        <f t="shared" si="140"/>
        <v>0.49726045345095438</v>
      </c>
      <c r="S356" s="811">
        <f t="shared" si="158"/>
        <v>-2</v>
      </c>
      <c r="T356" s="176">
        <f t="shared" si="141"/>
        <v>4</v>
      </c>
      <c r="U356" s="251">
        <f t="shared" si="142"/>
        <v>-1.5027395465490456</v>
      </c>
      <c r="V356" s="383">
        <f t="shared" si="143"/>
        <v>24.904491160648064</v>
      </c>
      <c r="W356" s="58"/>
      <c r="X356" s="157">
        <f t="shared" si="144"/>
        <v>43442</v>
      </c>
      <c r="Y356" s="385">
        <f t="shared" si="145"/>
        <v>15.925999999999998</v>
      </c>
      <c r="Z356" s="385">
        <f t="shared" si="146"/>
        <v>15.98996291190562</v>
      </c>
      <c r="AA356" s="386">
        <f t="shared" si="147"/>
        <v>16.164687769092684</v>
      </c>
      <c r="AB356" s="197">
        <f t="shared" si="148"/>
        <v>43442</v>
      </c>
      <c r="AC356" s="426">
        <f t="shared" si="149"/>
        <v>1.0809046217467989E-2</v>
      </c>
      <c r="AD356" s="169">
        <f>(INDEX(Models!$BJ356:$BT356,,AH356)*(1-AF356)+INDEX(Models!$BJ356:$BT356,,AH356+1)*AF356-ERP_i)*AE356*Ramure*Pc/MaxiM</f>
        <v>6.8966127989306114E-5</v>
      </c>
      <c r="AE356" s="305">
        <f t="shared" si="150"/>
        <v>0.5</v>
      </c>
      <c r="AF356" s="177">
        <f t="shared" si="151"/>
        <v>0.49726045345095438</v>
      </c>
      <c r="AG356" s="811">
        <f t="shared" si="152"/>
        <v>-2</v>
      </c>
      <c r="AH356" s="176">
        <f t="shared" si="153"/>
        <v>4</v>
      </c>
      <c r="AI356" s="225">
        <f t="shared" si="154"/>
        <v>-1.5027395465490456</v>
      </c>
      <c r="AJ356" s="265" t="b">
        <f t="shared" si="155"/>
        <v>0</v>
      </c>
      <c r="AK356" s="265" t="b">
        <f t="shared" si="156"/>
        <v>0</v>
      </c>
      <c r="AL356" s="265"/>
      <c r="AM356" s="265"/>
      <c r="AN356" s="75"/>
    </row>
    <row r="357" spans="1:40" s="6" customFormat="1" ht="11.25" x14ac:dyDescent="0.2">
      <c r="A357" s="56">
        <f t="shared" si="157"/>
        <v>43443</v>
      </c>
      <c r="B357" s="617">
        <v>5.37</v>
      </c>
      <c r="C357" s="390"/>
      <c r="D357" s="393">
        <f t="shared" si="134"/>
        <v>5.3916853928232982</v>
      </c>
      <c r="E357" s="385">
        <f t="shared" si="131"/>
        <v>5.4508861656884235</v>
      </c>
      <c r="F357" s="385">
        <f t="shared" ref="F357:F379" si="159">Wh_sa/(1-Pvg*MEDIAN((-Sdif+Wh/Env_an)/Csdif,0,1))</f>
        <v>5.4508861656884235</v>
      </c>
      <c r="G357" s="110">
        <f t="shared" si="132"/>
        <v>0.21672016749719869</v>
      </c>
      <c r="I357" s="380">
        <f t="shared" si="135"/>
        <v>5.4508861656884235</v>
      </c>
      <c r="J357" s="85">
        <v>2018</v>
      </c>
      <c r="K357" s="197">
        <f t="shared" si="136"/>
        <v>43443</v>
      </c>
      <c r="L357" s="437">
        <f t="shared" si="137"/>
        <v>4.0220063381596338E-3</v>
      </c>
      <c r="M357" s="856"/>
      <c r="N357" s="856"/>
      <c r="O357" s="324">
        <f t="shared" si="138"/>
        <v>1.0860761180039886E-2</v>
      </c>
      <c r="P357" s="169">
        <f>(INDEX(Models!$BJ357:$BT357,,T357)*(1-R357)+INDEX(Models!$BJ357:$BT357,,T357+1)*R357-ERP_i)*Q357*Ramure*Pc/MaxiM</f>
        <v>6.9030002596533294E-5</v>
      </c>
      <c r="Q357" s="305">
        <f t="shared" si="139"/>
        <v>0.5</v>
      </c>
      <c r="R357" s="177">
        <f t="shared" si="140"/>
        <v>0.49727230255331434</v>
      </c>
      <c r="S357" s="811">
        <f t="shared" si="158"/>
        <v>-2</v>
      </c>
      <c r="T357" s="176">
        <f t="shared" si="141"/>
        <v>4</v>
      </c>
      <c r="U357" s="251">
        <f t="shared" si="142"/>
        <v>-1.5027276974466857</v>
      </c>
      <c r="V357" s="383">
        <f t="shared" si="143"/>
        <v>24.776786447230222</v>
      </c>
      <c r="W357" s="58"/>
      <c r="X357" s="157">
        <f t="shared" si="144"/>
        <v>43443</v>
      </c>
      <c r="Y357" s="385">
        <f t="shared" si="145"/>
        <v>5.37</v>
      </c>
      <c r="Z357" s="385">
        <f t="shared" si="146"/>
        <v>5.3916853928232982</v>
      </c>
      <c r="AA357" s="386">
        <f t="shared" si="147"/>
        <v>5.4508861656884235</v>
      </c>
      <c r="AB357" s="197">
        <f t="shared" si="148"/>
        <v>43443</v>
      </c>
      <c r="AC357" s="426">
        <f t="shared" si="149"/>
        <v>1.0860761180039886E-2</v>
      </c>
      <c r="AD357" s="169">
        <f>(INDEX(Models!$BJ357:$BT357,,AH357)*(1-AF357)+INDEX(Models!$BJ357:$BT357,,AH357+1)*AF357-ERP_i)*AE357*Ramure*Pc/MaxiM</f>
        <v>6.9030002596533294E-5</v>
      </c>
      <c r="AE357" s="305">
        <f t="shared" si="150"/>
        <v>0.5</v>
      </c>
      <c r="AF357" s="177">
        <f t="shared" si="151"/>
        <v>0.49727230255331434</v>
      </c>
      <c r="AG357" s="811">
        <f t="shared" si="152"/>
        <v>-2</v>
      </c>
      <c r="AH357" s="176">
        <f t="shared" si="153"/>
        <v>4</v>
      </c>
      <c r="AI357" s="225">
        <f t="shared" si="154"/>
        <v>-1.5027276974466857</v>
      </c>
      <c r="AJ357" s="265" t="b">
        <f t="shared" si="155"/>
        <v>0</v>
      </c>
      <c r="AK357" s="265" t="b">
        <f t="shared" si="156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57"/>
        <v>43444</v>
      </c>
      <c r="B358" s="617">
        <v>10.683</v>
      </c>
      <c r="C358" s="390"/>
      <c r="D358" s="393">
        <f t="shared" si="134"/>
        <v>10.726375540652167</v>
      </c>
      <c r="E358" s="385">
        <f t="shared" si="131"/>
        <v>10.844719208705385</v>
      </c>
      <c r="F358" s="385">
        <f t="shared" si="159"/>
        <v>10.844861510908309</v>
      </c>
      <c r="G358" s="110">
        <f t="shared" si="132"/>
        <v>0.43308420235067258</v>
      </c>
      <c r="I358" s="380">
        <f t="shared" si="135"/>
        <v>10.844861510908309</v>
      </c>
      <c r="J358" s="85">
        <v>2018</v>
      </c>
      <c r="K358" s="197">
        <f t="shared" si="136"/>
        <v>43444</v>
      </c>
      <c r="L358" s="437">
        <f t="shared" si="137"/>
        <v>4.0438208123310115E-3</v>
      </c>
      <c r="M358" s="856"/>
      <c r="N358" s="856"/>
      <c r="O358" s="324">
        <f t="shared" si="138"/>
        <v>1.0912561752472063E-2</v>
      </c>
      <c r="P358" s="169">
        <f>(INDEX(Models!$BJ358:$BT358,,T358)*(1-R358)+INDEX(Models!$BJ358:$BT358,,T358+1)*R358-ERP_i)*Q358*Ramure*Pc/MaxiM</f>
        <v>6.900493791968264E-5</v>
      </c>
      <c r="Q358" s="305">
        <f t="shared" si="139"/>
        <v>0.5</v>
      </c>
      <c r="R358" s="177">
        <f t="shared" si="140"/>
        <v>0.49728367510395888</v>
      </c>
      <c r="S358" s="811">
        <f t="shared" si="158"/>
        <v>-2</v>
      </c>
      <c r="T358" s="176">
        <f t="shared" si="141"/>
        <v>4</v>
      </c>
      <c r="U358" s="251">
        <f t="shared" si="142"/>
        <v>-1.5027163248960411</v>
      </c>
      <c r="V358" s="383">
        <f t="shared" si="143"/>
        <v>24.665880059235565</v>
      </c>
      <c r="W358" s="58"/>
      <c r="X358" s="157">
        <f t="shared" si="144"/>
        <v>43444</v>
      </c>
      <c r="Y358" s="385">
        <f t="shared" si="145"/>
        <v>10.683</v>
      </c>
      <c r="Z358" s="385">
        <f t="shared" si="146"/>
        <v>10.726375540652167</v>
      </c>
      <c r="AA358" s="386">
        <f t="shared" si="147"/>
        <v>10.844719208705385</v>
      </c>
      <c r="AB358" s="197">
        <f t="shared" si="148"/>
        <v>43444</v>
      </c>
      <c r="AC358" s="426">
        <f t="shared" si="149"/>
        <v>1.0912561752472063E-2</v>
      </c>
      <c r="AD358" s="169">
        <f>(INDEX(Models!$BJ358:$BT358,,AH358)*(1-AF358)+INDEX(Models!$BJ358:$BT358,,AH358+1)*AF358-ERP_i)*AE358*Ramure*Pc/MaxiM</f>
        <v>6.900493791968264E-5</v>
      </c>
      <c r="AE358" s="305">
        <f t="shared" si="150"/>
        <v>0.5</v>
      </c>
      <c r="AF358" s="177">
        <f t="shared" si="151"/>
        <v>0.49728367510395888</v>
      </c>
      <c r="AG358" s="811">
        <f t="shared" si="152"/>
        <v>-2</v>
      </c>
      <c r="AH358" s="176">
        <f t="shared" si="153"/>
        <v>4</v>
      </c>
      <c r="AI358" s="225">
        <f t="shared" si="154"/>
        <v>-1.5027163248960411</v>
      </c>
      <c r="AJ358" s="265" t="b">
        <f t="shared" si="155"/>
        <v>0</v>
      </c>
      <c r="AK358" s="265" t="b">
        <f t="shared" si="156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57"/>
        <v>43445</v>
      </c>
      <c r="B359" s="617">
        <v>17.986000000000001</v>
      </c>
      <c r="C359" s="390"/>
      <c r="D359" s="393">
        <f t="shared" si="134"/>
        <v>18.059423018850648</v>
      </c>
      <c r="E359" s="385">
        <f t="shared" si="131"/>
        <v>18.259629711978757</v>
      </c>
      <c r="F359" s="385">
        <f t="shared" si="159"/>
        <v>18.260406248134906</v>
      </c>
      <c r="G359" s="110">
        <f t="shared" si="132"/>
        <v>0.73204166268344129</v>
      </c>
      <c r="I359" s="380">
        <f t="shared" si="135"/>
        <v>18.260406248134906</v>
      </c>
      <c r="J359" s="85">
        <v>2018</v>
      </c>
      <c r="K359" s="197">
        <f t="shared" si="136"/>
        <v>43445</v>
      </c>
      <c r="L359" s="437">
        <f t="shared" si="137"/>
        <v>4.0656348087093619E-3</v>
      </c>
      <c r="M359" s="856"/>
      <c r="N359" s="856"/>
      <c r="O359" s="324">
        <f t="shared" si="138"/>
        <v>1.0964444311637397E-2</v>
      </c>
      <c r="P359" s="169">
        <f>(INDEX(Models!$BJ359:$BT359,,T359)*(1-R359)+INDEX(Models!$BJ359:$BT359,,T359+1)*R359-ERP_i)*Q359*Ramure*Pc/MaxiM</f>
        <v>6.889762488568107E-5</v>
      </c>
      <c r="Q359" s="305">
        <f t="shared" si="139"/>
        <v>0.5</v>
      </c>
      <c r="R359" s="177">
        <f t="shared" si="140"/>
        <v>0.4972945902486503</v>
      </c>
      <c r="S359" s="811">
        <f t="shared" si="158"/>
        <v>-2</v>
      </c>
      <c r="T359" s="176">
        <f t="shared" si="141"/>
        <v>4</v>
      </c>
      <c r="U359" s="251">
        <f t="shared" si="142"/>
        <v>-1.5027054097513497</v>
      </c>
      <c r="V359" s="383">
        <f t="shared" si="143"/>
        <v>24.568991863197891</v>
      </c>
      <c r="W359" s="58"/>
      <c r="X359" s="157">
        <f t="shared" si="144"/>
        <v>43445</v>
      </c>
      <c r="Y359" s="385">
        <f t="shared" si="145"/>
        <v>17.986000000000001</v>
      </c>
      <c r="Z359" s="385">
        <f t="shared" si="146"/>
        <v>18.059423018850648</v>
      </c>
      <c r="AA359" s="386">
        <f t="shared" si="147"/>
        <v>18.259629711978757</v>
      </c>
      <c r="AB359" s="197">
        <f t="shared" si="148"/>
        <v>43445</v>
      </c>
      <c r="AC359" s="426">
        <f t="shared" si="149"/>
        <v>1.0964444311637397E-2</v>
      </c>
      <c r="AD359" s="169">
        <f>(INDEX(Models!$BJ359:$BT359,,AH359)*(1-AF359)+INDEX(Models!$BJ359:$BT359,,AH359+1)*AF359-ERP_i)*AE359*Ramure*Pc/MaxiM</f>
        <v>6.889762488568107E-5</v>
      </c>
      <c r="AE359" s="305">
        <f t="shared" si="150"/>
        <v>0.5</v>
      </c>
      <c r="AF359" s="177">
        <f t="shared" si="151"/>
        <v>0.4972945902486503</v>
      </c>
      <c r="AG359" s="811">
        <f t="shared" si="152"/>
        <v>-2</v>
      </c>
      <c r="AH359" s="176">
        <f t="shared" si="153"/>
        <v>4</v>
      </c>
      <c r="AI359" s="225">
        <f t="shared" si="154"/>
        <v>-1.5027054097513497</v>
      </c>
      <c r="AJ359" s="265" t="b">
        <f t="shared" si="155"/>
        <v>0</v>
      </c>
      <c r="AK359" s="265" t="b">
        <f t="shared" si="156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57"/>
        <v>43446</v>
      </c>
      <c r="B360" s="617">
        <v>3.1920000000000002</v>
      </c>
      <c r="C360" s="390"/>
      <c r="D360" s="393">
        <f t="shared" si="134"/>
        <v>3.2051006834273199</v>
      </c>
      <c r="E360" s="385">
        <f t="shared" si="131"/>
        <v>3.2408026777781007</v>
      </c>
      <c r="F360" s="385">
        <f t="shared" si="159"/>
        <v>3.2408026777781007</v>
      </c>
      <c r="G360" s="110">
        <f t="shared" si="132"/>
        <v>0.13036974122849559</v>
      </c>
      <c r="I360" s="380">
        <f t="shared" si="135"/>
        <v>3.2408026777781007</v>
      </c>
      <c r="J360" s="85">
        <v>2018</v>
      </c>
      <c r="K360" s="197">
        <f t="shared" si="136"/>
        <v>43446</v>
      </c>
      <c r="L360" s="437">
        <f t="shared" si="137"/>
        <v>4.087448327305232E-3</v>
      </c>
      <c r="M360" s="856"/>
      <c r="N360" s="856"/>
      <c r="O360" s="324">
        <f t="shared" si="138"/>
        <v>1.1016404854138762E-2</v>
      </c>
      <c r="P360" s="169">
        <f>(INDEX(Models!$BJ360:$BT360,,T360)*(1-R360)+INDEX(Models!$BJ360:$BT360,,T360+1)*R360-ERP_i)*Q360*Ramure*Pc/MaxiM</f>
        <v>6.8717327367116135E-5</v>
      </c>
      <c r="Q360" s="305">
        <f t="shared" si="139"/>
        <v>0.5</v>
      </c>
      <c r="R360" s="177">
        <f t="shared" si="140"/>
        <v>0.49730506636556493</v>
      </c>
      <c r="S360" s="811">
        <f t="shared" si="158"/>
        <v>-2</v>
      </c>
      <c r="T360" s="176">
        <f t="shared" si="141"/>
        <v>4</v>
      </c>
      <c r="U360" s="251">
        <f t="shared" si="142"/>
        <v>-1.5026949336344351</v>
      </c>
      <c r="V360" s="383">
        <f t="shared" si="143"/>
        <v>24.482526575679049</v>
      </c>
      <c r="W360" s="58"/>
      <c r="X360" s="157">
        <f t="shared" si="144"/>
        <v>43446</v>
      </c>
      <c r="Y360" s="385">
        <f t="shared" si="145"/>
        <v>3.1920000000000002</v>
      </c>
      <c r="Z360" s="385">
        <f t="shared" si="146"/>
        <v>3.2051006834273199</v>
      </c>
      <c r="AA360" s="386">
        <f t="shared" si="147"/>
        <v>3.2408026777781007</v>
      </c>
      <c r="AB360" s="197">
        <f t="shared" si="148"/>
        <v>43446</v>
      </c>
      <c r="AC360" s="426">
        <f t="shared" si="149"/>
        <v>1.1016404854138762E-2</v>
      </c>
      <c r="AD360" s="169">
        <f>(INDEX(Models!$BJ360:$BT360,,AH360)*(1-AF360)+INDEX(Models!$BJ360:$BT360,,AH360+1)*AF360-ERP_i)*AE360*Ramure*Pc/MaxiM</f>
        <v>6.8717327367116135E-5</v>
      </c>
      <c r="AE360" s="305">
        <f t="shared" si="150"/>
        <v>0.5</v>
      </c>
      <c r="AF360" s="177">
        <f t="shared" si="151"/>
        <v>0.49730506636556493</v>
      </c>
      <c r="AG360" s="811">
        <f t="shared" si="152"/>
        <v>-2</v>
      </c>
      <c r="AH360" s="176">
        <f t="shared" si="153"/>
        <v>4</v>
      </c>
      <c r="AI360" s="225">
        <f t="shared" si="154"/>
        <v>-1.5026949336344351</v>
      </c>
      <c r="AJ360" s="265" t="b">
        <f t="shared" si="155"/>
        <v>0</v>
      </c>
      <c r="AK360" s="265" t="b">
        <f t="shared" si="156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57"/>
        <v>43447</v>
      </c>
      <c r="B361" s="617">
        <v>2.0299999999999998</v>
      </c>
      <c r="C361" s="390"/>
      <c r="D361" s="393">
        <f t="shared" si="134"/>
        <v>2.0383762206572595</v>
      </c>
      <c r="E361" s="385">
        <f t="shared" ref="E361:E379" si="160">Wh_pvt/(1-Psa)</f>
        <v>2.0611903807285468</v>
      </c>
      <c r="F361" s="385">
        <f t="shared" si="159"/>
        <v>2.0611903807285468</v>
      </c>
      <c r="G361" s="110">
        <f t="shared" ref="G361:G379" si="161">+Wh_hp/MaxiM</f>
        <v>8.3168057287724959E-2</v>
      </c>
      <c r="I361" s="380">
        <f t="shared" si="135"/>
        <v>2.0611903807285468</v>
      </c>
      <c r="J361" s="85">
        <v>2018</v>
      </c>
      <c r="K361" s="197">
        <f t="shared" si="136"/>
        <v>43447</v>
      </c>
      <c r="L361" s="437">
        <f t="shared" si="137"/>
        <v>4.109261368129058E-3</v>
      </c>
      <c r="M361" s="856"/>
      <c r="N361" s="856"/>
      <c r="O361" s="324">
        <f t="shared" si="138"/>
        <v>1.1068439036292864E-2</v>
      </c>
      <c r="P361" s="169">
        <f>(INDEX(Models!$BJ361:$BT361,,T361)*(1-R361)+INDEX(Models!$BJ361:$BT361,,T361+1)*R361-ERP_i)*Q361*Ramure*Pc/MaxiM</f>
        <v>6.8554123409561766E-5</v>
      </c>
      <c r="Q361" s="305">
        <f t="shared" si="139"/>
        <v>0.5</v>
      </c>
      <c r="R361" s="177">
        <f t="shared" si="140"/>
        <v>0.49731512109594078</v>
      </c>
      <c r="S361" s="811">
        <f t="shared" si="158"/>
        <v>-2</v>
      </c>
      <c r="T361" s="176">
        <f t="shared" si="141"/>
        <v>4</v>
      </c>
      <c r="U361" s="251">
        <f t="shared" si="142"/>
        <v>-1.5026848789040592</v>
      </c>
      <c r="V361" s="383">
        <f t="shared" si="143"/>
        <v>24.406736207713156</v>
      </c>
      <c r="W361" s="58"/>
      <c r="X361" s="157">
        <f t="shared" si="144"/>
        <v>43447</v>
      </c>
      <c r="Y361" s="385">
        <f t="shared" si="145"/>
        <v>2.0299999999999998</v>
      </c>
      <c r="Z361" s="385">
        <f t="shared" si="146"/>
        <v>2.0383762206572595</v>
      </c>
      <c r="AA361" s="386">
        <f t="shared" si="147"/>
        <v>2.0611903807285468</v>
      </c>
      <c r="AB361" s="197">
        <f t="shared" si="148"/>
        <v>43447</v>
      </c>
      <c r="AC361" s="426">
        <f t="shared" si="149"/>
        <v>1.1068439036292864E-2</v>
      </c>
      <c r="AD361" s="169">
        <f>(INDEX(Models!$BJ361:$BT361,,AH361)*(1-AF361)+INDEX(Models!$BJ361:$BT361,,AH361+1)*AF361-ERP_i)*AE361*Ramure*Pc/MaxiM</f>
        <v>6.8554123409561766E-5</v>
      </c>
      <c r="AE361" s="305">
        <f t="shared" si="150"/>
        <v>0.5</v>
      </c>
      <c r="AF361" s="177">
        <f t="shared" si="151"/>
        <v>0.49731512109594078</v>
      </c>
      <c r="AG361" s="811">
        <f t="shared" si="152"/>
        <v>-2</v>
      </c>
      <c r="AH361" s="176">
        <f t="shared" si="153"/>
        <v>4</v>
      </c>
      <c r="AI361" s="225">
        <f t="shared" si="154"/>
        <v>-1.5026848789040592</v>
      </c>
      <c r="AJ361" s="265" t="b">
        <f t="shared" si="155"/>
        <v>0</v>
      </c>
      <c r="AK361" s="265" t="b">
        <f t="shared" si="156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57"/>
        <v>43448</v>
      </c>
      <c r="B362" s="617">
        <v>2.827</v>
      </c>
      <c r="C362" s="390"/>
      <c r="D362" s="393">
        <f t="shared" si="134"/>
        <v>2.8387269910705806</v>
      </c>
      <c r="E362" s="385">
        <f t="shared" si="160"/>
        <v>2.8706501775561049</v>
      </c>
      <c r="F362" s="385">
        <f t="shared" si="159"/>
        <v>2.8706501775561049</v>
      </c>
      <c r="G362" s="110">
        <f t="shared" si="161"/>
        <v>0.11612937045636572</v>
      </c>
      <c r="I362" s="380">
        <f t="shared" si="135"/>
        <v>2.8706501775561049</v>
      </c>
      <c r="J362" s="85">
        <v>2018</v>
      </c>
      <c r="K362" s="197">
        <f t="shared" si="136"/>
        <v>43448</v>
      </c>
      <c r="L362" s="437">
        <f t="shared" si="137"/>
        <v>4.1310739311912759E-3</v>
      </c>
      <c r="M362" s="856"/>
      <c r="N362" s="856"/>
      <c r="O362" s="324">
        <f t="shared" si="138"/>
        <v>1.1120542215527544E-2</v>
      </c>
      <c r="P362" s="169">
        <f>(INDEX(Models!$BJ362:$BT362,,T362)*(1-R362)+INDEX(Models!$BJ362:$BT362,,T362+1)*R362-ERP_i)*Q362*Ramure*Pc/MaxiM</f>
        <v>6.840691017854795E-5</v>
      </c>
      <c r="Q362" s="305">
        <f t="shared" si="139"/>
        <v>0.5</v>
      </c>
      <c r="R362" s="177">
        <f t="shared" si="140"/>
        <v>0.49732477137351028</v>
      </c>
      <c r="S362" s="811">
        <f t="shared" si="158"/>
        <v>-2</v>
      </c>
      <c r="T362" s="176">
        <f t="shared" si="141"/>
        <v>4</v>
      </c>
      <c r="U362" s="251">
        <f t="shared" si="142"/>
        <v>-1.5026752286264897</v>
      </c>
      <c r="V362" s="383">
        <f t="shared" si="143"/>
        <v>24.341874949947012</v>
      </c>
      <c r="W362" s="58"/>
      <c r="X362" s="157">
        <f t="shared" si="144"/>
        <v>43448</v>
      </c>
      <c r="Y362" s="385">
        <f t="shared" si="145"/>
        <v>2.827</v>
      </c>
      <c r="Z362" s="385">
        <f t="shared" si="146"/>
        <v>2.8387269910705806</v>
      </c>
      <c r="AA362" s="386">
        <f t="shared" si="147"/>
        <v>2.8706501775561049</v>
      </c>
      <c r="AB362" s="197">
        <f t="shared" si="148"/>
        <v>43448</v>
      </c>
      <c r="AC362" s="426">
        <f t="shared" si="149"/>
        <v>1.1120542215527544E-2</v>
      </c>
      <c r="AD362" s="169">
        <f>(INDEX(Models!$BJ362:$BT362,,AH362)*(1-AF362)+INDEX(Models!$BJ362:$BT362,,AH362+1)*AF362-ERP_i)*AE362*Ramure*Pc/MaxiM</f>
        <v>6.840691017854795E-5</v>
      </c>
      <c r="AE362" s="305">
        <f t="shared" si="150"/>
        <v>0.5</v>
      </c>
      <c r="AF362" s="177">
        <f t="shared" si="151"/>
        <v>0.49732477137351028</v>
      </c>
      <c r="AG362" s="811">
        <f t="shared" si="152"/>
        <v>-2</v>
      </c>
      <c r="AH362" s="176">
        <f t="shared" si="153"/>
        <v>4</v>
      </c>
      <c r="AI362" s="225">
        <f t="shared" si="154"/>
        <v>-1.5026752286264897</v>
      </c>
      <c r="AJ362" s="265" t="b">
        <f t="shared" si="155"/>
        <v>0</v>
      </c>
      <c r="AK362" s="265" t="b">
        <f t="shared" si="156"/>
        <v>0</v>
      </c>
      <c r="AL362" s="265"/>
      <c r="AM362" s="265"/>
      <c r="AN362" s="75"/>
    </row>
    <row r="363" spans="1:40" s="6" customFormat="1" ht="11.25" x14ac:dyDescent="0.2">
      <c r="A363" s="56">
        <f t="shared" si="157"/>
        <v>43449</v>
      </c>
      <c r="B363" s="617">
        <v>5.9669999999999996</v>
      </c>
      <c r="C363" s="390"/>
      <c r="D363" s="393">
        <f t="shared" si="134"/>
        <v>5.9918836096550461</v>
      </c>
      <c r="E363" s="385">
        <f t="shared" si="160"/>
        <v>6.059585599201899</v>
      </c>
      <c r="F363" s="385">
        <f t="shared" si="159"/>
        <v>6.059585599201899</v>
      </c>
      <c r="G363" s="110">
        <f t="shared" si="161"/>
        <v>0.24565811236590207</v>
      </c>
      <c r="I363" s="380">
        <f t="shared" si="135"/>
        <v>6.059585599201899</v>
      </c>
      <c r="J363" s="85">
        <v>2018</v>
      </c>
      <c r="K363" s="197">
        <f t="shared" si="136"/>
        <v>43449</v>
      </c>
      <c r="L363" s="437">
        <f t="shared" si="137"/>
        <v>4.1528860165024328E-3</v>
      </c>
      <c r="M363" s="856"/>
      <c r="N363" s="856"/>
      <c r="O363" s="324">
        <f t="shared" si="138"/>
        <v>1.1172709492835699E-2</v>
      </c>
      <c r="P363" s="169">
        <f>(INDEX(Models!$BJ363:$BT363,,T363)*(1-R363)+INDEX(Models!$BJ363:$BT363,,T363+1)*R363-ERP_i)*Q363*Ramure*Pc/MaxiM</f>
        <v>6.8274566339495717E-5</v>
      </c>
      <c r="Q363" s="305">
        <f t="shared" si="139"/>
        <v>0.5</v>
      </c>
      <c r="R363" s="177">
        <f t="shared" si="140"/>
        <v>0.49733403345276672</v>
      </c>
      <c r="S363" s="811">
        <f t="shared" si="158"/>
        <v>-2</v>
      </c>
      <c r="T363" s="176">
        <f t="shared" si="141"/>
        <v>4</v>
      </c>
      <c r="U363" s="251">
        <f t="shared" si="142"/>
        <v>-1.5026659665472333</v>
      </c>
      <c r="V363" s="383">
        <f t="shared" si="143"/>
        <v>24.288196909921499</v>
      </c>
      <c r="W363" s="58"/>
      <c r="X363" s="157">
        <f t="shared" si="144"/>
        <v>43449</v>
      </c>
      <c r="Y363" s="385">
        <f t="shared" si="145"/>
        <v>5.9669999999999996</v>
      </c>
      <c r="Z363" s="385">
        <f t="shared" si="146"/>
        <v>5.9918836096550461</v>
      </c>
      <c r="AA363" s="386">
        <f t="shared" si="147"/>
        <v>6.059585599201899</v>
      </c>
      <c r="AB363" s="197">
        <f t="shared" si="148"/>
        <v>43449</v>
      </c>
      <c r="AC363" s="426">
        <f t="shared" si="149"/>
        <v>1.1172709492835699E-2</v>
      </c>
      <c r="AD363" s="169">
        <f>(INDEX(Models!$BJ363:$BT363,,AH363)*(1-AF363)+INDEX(Models!$BJ363:$BT363,,AH363+1)*AF363-ERP_i)*AE363*Ramure*Pc/MaxiM</f>
        <v>6.8274566339495717E-5</v>
      </c>
      <c r="AE363" s="305">
        <f t="shared" si="150"/>
        <v>0.5</v>
      </c>
      <c r="AF363" s="177">
        <f t="shared" si="151"/>
        <v>0.49733403345276672</v>
      </c>
      <c r="AG363" s="811">
        <f t="shared" si="152"/>
        <v>-2</v>
      </c>
      <c r="AH363" s="176">
        <f t="shared" si="153"/>
        <v>4</v>
      </c>
      <c r="AI363" s="225">
        <f t="shared" si="154"/>
        <v>-1.5026659665472333</v>
      </c>
      <c r="AJ363" s="265" t="b">
        <f t="shared" si="155"/>
        <v>0</v>
      </c>
      <c r="AK363" s="265" t="b">
        <f t="shared" si="156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57"/>
        <v>43450</v>
      </c>
      <c r="B364" s="617">
        <v>3.55</v>
      </c>
      <c r="C364" s="390"/>
      <c r="D364" s="393">
        <f t="shared" si="134"/>
        <v>3.5648823056916701</v>
      </c>
      <c r="E364" s="385">
        <f t="shared" si="160"/>
        <v>3.6053521519750698</v>
      </c>
      <c r="F364" s="385">
        <f t="shared" si="159"/>
        <v>3.6053521519750698</v>
      </c>
      <c r="G364" s="110">
        <f t="shared" si="161"/>
        <v>0.14640618947077239</v>
      </c>
      <c r="I364" s="380">
        <f t="shared" si="135"/>
        <v>3.6053521519750698</v>
      </c>
      <c r="J364" s="85">
        <v>2018</v>
      </c>
      <c r="K364" s="197">
        <f t="shared" si="136"/>
        <v>43450</v>
      </c>
      <c r="L364" s="437">
        <f t="shared" si="137"/>
        <v>4.1746976240728539E-3</v>
      </c>
      <c r="M364" s="856"/>
      <c r="N364" s="856"/>
      <c r="O364" s="324">
        <f t="shared" si="138"/>
        <v>1.1224935755923217E-2</v>
      </c>
      <c r="P364" s="169">
        <f>(INDEX(Models!$BJ364:$BT364,,T364)*(1-R364)+INDEX(Models!$BJ364:$BT364,,T364+1)*R364-ERP_i)*Q364*Ramure*Pc/MaxiM</f>
        <v>6.8155957057918363E-5</v>
      </c>
      <c r="Q364" s="305">
        <f t="shared" si="139"/>
        <v>0.5</v>
      </c>
      <c r="R364" s="177">
        <f t="shared" si="140"/>
        <v>0.49734292293611193</v>
      </c>
      <c r="S364" s="811">
        <f t="shared" si="158"/>
        <v>-2</v>
      </c>
      <c r="T364" s="176">
        <f t="shared" si="141"/>
        <v>4</v>
      </c>
      <c r="U364" s="251">
        <f t="shared" si="142"/>
        <v>-1.5026570770638881</v>
      </c>
      <c r="V364" s="383">
        <f t="shared" si="143"/>
        <v>24.245956125106964</v>
      </c>
      <c r="W364" s="58"/>
      <c r="X364" s="157">
        <f t="shared" si="144"/>
        <v>43450</v>
      </c>
      <c r="Y364" s="385">
        <f t="shared" si="145"/>
        <v>3.55</v>
      </c>
      <c r="Z364" s="385">
        <f t="shared" si="146"/>
        <v>3.5648823056916701</v>
      </c>
      <c r="AA364" s="386">
        <f t="shared" si="147"/>
        <v>3.6053521519750698</v>
      </c>
      <c r="AB364" s="197">
        <f t="shared" si="148"/>
        <v>43450</v>
      </c>
      <c r="AC364" s="426">
        <f t="shared" si="149"/>
        <v>1.1224935755923217E-2</v>
      </c>
      <c r="AD364" s="169">
        <f>(INDEX(Models!$BJ364:$BT364,,AH364)*(1-AF364)+INDEX(Models!$BJ364:$BT364,,AH364+1)*AF364-ERP_i)*AE364*Ramure*Pc/MaxiM</f>
        <v>6.8155957057918363E-5</v>
      </c>
      <c r="AE364" s="305">
        <f t="shared" si="150"/>
        <v>0.5</v>
      </c>
      <c r="AF364" s="177">
        <f t="shared" si="151"/>
        <v>0.49734292293611193</v>
      </c>
      <c r="AG364" s="811">
        <f t="shared" si="152"/>
        <v>-2</v>
      </c>
      <c r="AH364" s="176">
        <f t="shared" si="153"/>
        <v>4</v>
      </c>
      <c r="AI364" s="225">
        <f t="shared" si="154"/>
        <v>-1.5026570770638881</v>
      </c>
      <c r="AJ364" s="265" t="b">
        <f t="shared" si="155"/>
        <v>0</v>
      </c>
      <c r="AK364" s="265" t="b">
        <f t="shared" si="156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57"/>
        <v>43451</v>
      </c>
      <c r="B365" s="617">
        <v>20.042000000000002</v>
      </c>
      <c r="C365" s="390"/>
      <c r="D365" s="393">
        <f t="shared" si="134"/>
        <v>20.126460869222988</v>
      </c>
      <c r="E365" s="385">
        <f t="shared" si="160"/>
        <v>20.356020099136281</v>
      </c>
      <c r="F365" s="385">
        <f t="shared" si="159"/>
        <v>20.357064325924458</v>
      </c>
      <c r="G365" s="110">
        <f t="shared" si="161"/>
        <v>0.82764103708543535</v>
      </c>
      <c r="I365" s="380">
        <f t="shared" si="135"/>
        <v>20.357064325924458</v>
      </c>
      <c r="J365" s="85">
        <v>2018</v>
      </c>
      <c r="K365" s="197">
        <f t="shared" si="136"/>
        <v>43451</v>
      </c>
      <c r="L365" s="437">
        <f t="shared" si="137"/>
        <v>4.1965087539131973E-3</v>
      </c>
      <c r="M365" s="856"/>
      <c r="N365" s="856"/>
      <c r="O365" s="324">
        <f t="shared" si="138"/>
        <v>1.1277215722686043E-2</v>
      </c>
      <c r="P365" s="169">
        <f>(INDEX(Models!$BJ365:$BT365,,T365)*(1-R365)+INDEX(Models!$BJ365:$BT365,,T365+1)*R365-ERP_i)*Q365*Ramure*Pc/MaxiM</f>
        <v>6.8049939267859804E-5</v>
      </c>
      <c r="Q365" s="305">
        <f t="shared" si="139"/>
        <v>0.5</v>
      </c>
      <c r="R365" s="177">
        <f t="shared" si="140"/>
        <v>0.49735145479992449</v>
      </c>
      <c r="S365" s="811">
        <f t="shared" si="158"/>
        <v>-2</v>
      </c>
      <c r="T365" s="176">
        <f t="shared" si="141"/>
        <v>4</v>
      </c>
      <c r="U365" s="251">
        <f t="shared" si="142"/>
        <v>-1.5026485452000755</v>
      </c>
      <c r="V365" s="383">
        <f t="shared" si="143"/>
        <v>24.215406550960445</v>
      </c>
      <c r="W365" s="58"/>
      <c r="X365" s="157">
        <f t="shared" si="144"/>
        <v>43451</v>
      </c>
      <c r="Y365" s="385">
        <f t="shared" si="145"/>
        <v>20.042000000000002</v>
      </c>
      <c r="Z365" s="385">
        <f t="shared" si="146"/>
        <v>20.126460869222988</v>
      </c>
      <c r="AA365" s="386">
        <f t="shared" si="147"/>
        <v>20.356020099136281</v>
      </c>
      <c r="AB365" s="197">
        <f t="shared" si="148"/>
        <v>43451</v>
      </c>
      <c r="AC365" s="426">
        <f t="shared" si="149"/>
        <v>1.1277215722686043E-2</v>
      </c>
      <c r="AD365" s="169">
        <f>(INDEX(Models!$BJ365:$BT365,,AH365)*(1-AF365)+INDEX(Models!$BJ365:$BT365,,AH365+1)*AF365-ERP_i)*AE365*Ramure*Pc/MaxiM</f>
        <v>6.8049939267859804E-5</v>
      </c>
      <c r="AE365" s="305">
        <f t="shared" si="150"/>
        <v>0.5</v>
      </c>
      <c r="AF365" s="177">
        <f t="shared" si="151"/>
        <v>0.49735145479992449</v>
      </c>
      <c r="AG365" s="811">
        <f t="shared" si="152"/>
        <v>-2</v>
      </c>
      <c r="AH365" s="176">
        <f t="shared" si="153"/>
        <v>4</v>
      </c>
      <c r="AI365" s="225">
        <f t="shared" si="154"/>
        <v>-1.5026485452000755</v>
      </c>
      <c r="AJ365" s="265" t="b">
        <f t="shared" si="155"/>
        <v>0</v>
      </c>
      <c r="AK365" s="265" t="b">
        <f t="shared" si="156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57"/>
        <v>43452</v>
      </c>
      <c r="B366" s="617">
        <v>13.018000000000001</v>
      </c>
      <c r="C366" s="390"/>
      <c r="D366" s="393">
        <f t="shared" si="134"/>
        <v>13.073146708458216</v>
      </c>
      <c r="E366" s="385">
        <f t="shared" si="160"/>
        <v>13.222956778891833</v>
      </c>
      <c r="F366" s="385">
        <f t="shared" si="159"/>
        <v>13.223262328239587</v>
      </c>
      <c r="G366" s="110">
        <f t="shared" si="161"/>
        <v>0.53798085041123078</v>
      </c>
      <c r="I366" s="380">
        <f t="shared" si="135"/>
        <v>13.223262328239587</v>
      </c>
      <c r="J366" s="85">
        <v>2018</v>
      </c>
      <c r="K366" s="197">
        <f t="shared" si="136"/>
        <v>43452</v>
      </c>
      <c r="L366" s="437">
        <f t="shared" si="137"/>
        <v>4.2183194060337881E-3</v>
      </c>
      <c r="M366" s="856"/>
      <c r="N366" s="856"/>
      <c r="O366" s="324">
        <f t="shared" si="138"/>
        <v>1.1329543984652664E-2</v>
      </c>
      <c r="P366" s="169">
        <f>(INDEX(Models!$BJ366:$BT366,,T366)*(1-R366)+INDEX(Models!$BJ366:$BT366,,T366+1)*R366-ERP_i)*Q366*Ramure*Pc/MaxiM</f>
        <v>6.7960214176250689E-5</v>
      </c>
      <c r="Q366" s="305">
        <f t="shared" si="139"/>
        <v>0.5</v>
      </c>
      <c r="R366" s="177">
        <f t="shared" si="140"/>
        <v>0.49735964341959371</v>
      </c>
      <c r="S366" s="811">
        <f t="shared" si="158"/>
        <v>-2</v>
      </c>
      <c r="T366" s="176">
        <f t="shared" si="141"/>
        <v>4</v>
      </c>
      <c r="U366" s="251">
        <f t="shared" si="142"/>
        <v>-1.5026403565804063</v>
      </c>
      <c r="V366" s="383">
        <f t="shared" si="143"/>
        <v>24.196801943505953</v>
      </c>
      <c r="W366" s="58"/>
      <c r="X366" s="157">
        <f t="shared" si="144"/>
        <v>43452</v>
      </c>
      <c r="Y366" s="385">
        <f t="shared" si="145"/>
        <v>13.018000000000001</v>
      </c>
      <c r="Z366" s="385">
        <f t="shared" si="146"/>
        <v>13.073146708458216</v>
      </c>
      <c r="AA366" s="386">
        <f t="shared" si="147"/>
        <v>13.222956778891833</v>
      </c>
      <c r="AB366" s="197">
        <f t="shared" si="148"/>
        <v>43452</v>
      </c>
      <c r="AC366" s="426">
        <f t="shared" si="149"/>
        <v>1.1329543984652664E-2</v>
      </c>
      <c r="AD366" s="169">
        <f>(INDEX(Models!$BJ366:$BT366,,AH366)*(1-AF366)+INDEX(Models!$BJ366:$BT366,,AH366+1)*AF366-ERP_i)*AE366*Ramure*Pc/MaxiM</f>
        <v>6.7960214176250689E-5</v>
      </c>
      <c r="AE366" s="305">
        <f t="shared" si="150"/>
        <v>0.5</v>
      </c>
      <c r="AF366" s="177">
        <f t="shared" si="151"/>
        <v>0.49735964341959371</v>
      </c>
      <c r="AG366" s="811">
        <f t="shared" si="152"/>
        <v>-2</v>
      </c>
      <c r="AH366" s="176">
        <f t="shared" si="153"/>
        <v>4</v>
      </c>
      <c r="AI366" s="225">
        <f t="shared" si="154"/>
        <v>-1.5026403565804063</v>
      </c>
      <c r="AJ366" s="265" t="b">
        <f t="shared" si="155"/>
        <v>0</v>
      </c>
      <c r="AK366" s="265" t="b">
        <f t="shared" si="156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57"/>
        <v>43453</v>
      </c>
      <c r="B367" s="617">
        <v>23.027999999999999</v>
      </c>
      <c r="C367" s="390"/>
      <c r="D367" s="393">
        <f t="shared" si="134"/>
        <v>23.126057480401723</v>
      </c>
      <c r="E367" s="385">
        <f t="shared" si="160"/>
        <v>23.392306728408769</v>
      </c>
      <c r="F367" s="385">
        <f t="shared" si="159"/>
        <v>23.39378515963071</v>
      </c>
      <c r="G367" s="110">
        <f t="shared" si="161"/>
        <v>0.95194357032253518</v>
      </c>
      <c r="I367" s="380">
        <f t="shared" si="135"/>
        <v>23.39378515963071</v>
      </c>
      <c r="J367" s="85">
        <v>2018</v>
      </c>
      <c r="K367" s="197">
        <f t="shared" si="136"/>
        <v>43453</v>
      </c>
      <c r="L367" s="437">
        <f t="shared" si="137"/>
        <v>4.2401295804450623E-3</v>
      </c>
      <c r="M367" s="856"/>
      <c r="N367" s="856"/>
      <c r="O367" s="324">
        <f t="shared" si="138"/>
        <v>1.1381915050032275E-2</v>
      </c>
      <c r="P367" s="169">
        <f>(INDEX(Models!$BJ367:$BT367,,T367)*(1-R367)+INDEX(Models!$BJ367:$BT367,,T367+1)*R367-ERP_i)*Q367*Ramure*Pc/MaxiM</f>
        <v>6.7855602000448169E-5</v>
      </c>
      <c r="Q367" s="305">
        <f t="shared" si="139"/>
        <v>0.5</v>
      </c>
      <c r="R367" s="177">
        <f t="shared" si="140"/>
        <v>0.49736750259355977</v>
      </c>
      <c r="S367" s="811">
        <f t="shared" si="158"/>
        <v>-2</v>
      </c>
      <c r="T367" s="176">
        <f t="shared" si="141"/>
        <v>4</v>
      </c>
      <c r="U367" s="251">
        <f t="shared" si="142"/>
        <v>-1.5026324974064402</v>
      </c>
      <c r="V367" s="383">
        <f t="shared" si="143"/>
        <v>24.190396833176859</v>
      </c>
      <c r="W367" s="58"/>
      <c r="X367" s="157">
        <f t="shared" si="144"/>
        <v>43453</v>
      </c>
      <c r="Y367" s="385">
        <f t="shared" si="145"/>
        <v>23.027999999999999</v>
      </c>
      <c r="Z367" s="385">
        <f t="shared" si="146"/>
        <v>23.126057480401723</v>
      </c>
      <c r="AA367" s="386">
        <f t="shared" si="147"/>
        <v>23.392306728408769</v>
      </c>
      <c r="AB367" s="197">
        <f t="shared" si="148"/>
        <v>43453</v>
      </c>
      <c r="AC367" s="426">
        <f t="shared" si="149"/>
        <v>1.1381915050032275E-2</v>
      </c>
      <c r="AD367" s="169">
        <f>(INDEX(Models!$BJ367:$BT367,,AH367)*(1-AF367)+INDEX(Models!$BJ367:$BT367,,AH367+1)*AF367-ERP_i)*AE367*Ramure*Pc/MaxiM</f>
        <v>6.7855602000448169E-5</v>
      </c>
      <c r="AE367" s="305">
        <f t="shared" si="150"/>
        <v>0.5</v>
      </c>
      <c r="AF367" s="177">
        <f t="shared" si="151"/>
        <v>0.49736750259355977</v>
      </c>
      <c r="AG367" s="811">
        <f t="shared" si="152"/>
        <v>-2</v>
      </c>
      <c r="AH367" s="176">
        <f t="shared" si="153"/>
        <v>4</v>
      </c>
      <c r="AI367" s="225">
        <f t="shared" si="154"/>
        <v>-1.5026324974064402</v>
      </c>
      <c r="AJ367" s="265" t="b">
        <f t="shared" si="155"/>
        <v>0</v>
      </c>
      <c r="AK367" s="265" t="b">
        <f t="shared" si="156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57"/>
        <v>43454</v>
      </c>
      <c r="B368" s="617">
        <v>13.725</v>
      </c>
      <c r="C368" s="390"/>
      <c r="D368" s="393">
        <f t="shared" si="134"/>
        <v>13.783745486274297</v>
      </c>
      <c r="E368" s="385">
        <f t="shared" si="160"/>
        <v>13.943176272805799</v>
      </c>
      <c r="F368" s="385">
        <f t="shared" si="159"/>
        <v>13.943536832461973</v>
      </c>
      <c r="G368" s="110">
        <f t="shared" si="161"/>
        <v>0.56720833457158193</v>
      </c>
      <c r="I368" s="380">
        <f t="shared" si="135"/>
        <v>13.943536832461973</v>
      </c>
      <c r="J368" s="85">
        <v>2018</v>
      </c>
      <c r="K368" s="197">
        <f t="shared" si="136"/>
        <v>43454</v>
      </c>
      <c r="L368" s="437">
        <f t="shared" si="137"/>
        <v>4.2619392771576781E-3</v>
      </c>
      <c r="M368" s="856"/>
      <c r="N368" s="856"/>
      <c r="O368" s="324">
        <f t="shared" si="138"/>
        <v>1.1434323386017107E-2</v>
      </c>
      <c r="P368" s="169">
        <f>(INDEX(Models!$BJ368:$BT368,,T368)*(1-R368)+INDEX(Models!$BJ368:$BT368,,T368+1)*R368-ERP_i)*Q368*Ramure*Pc/MaxiM</f>
        <v>6.7735075035668015E-5</v>
      </c>
      <c r="Q368" s="305">
        <f t="shared" si="139"/>
        <v>0.5</v>
      </c>
      <c r="R368" s="177">
        <f t="shared" si="140"/>
        <v>0.49737504556639811</v>
      </c>
      <c r="S368" s="811">
        <f t="shared" si="158"/>
        <v>-2</v>
      </c>
      <c r="T368" s="176">
        <f t="shared" si="141"/>
        <v>4</v>
      </c>
      <c r="U368" s="251">
        <f t="shared" si="142"/>
        <v>-1.5026249544336019</v>
      </c>
      <c r="V368" s="383">
        <f t="shared" si="143"/>
        <v>24.196444927433912</v>
      </c>
      <c r="W368" s="58"/>
      <c r="X368" s="157">
        <f t="shared" si="144"/>
        <v>43454</v>
      </c>
      <c r="Y368" s="385">
        <f t="shared" si="145"/>
        <v>13.725</v>
      </c>
      <c r="Z368" s="385">
        <f t="shared" si="146"/>
        <v>13.783745486274297</v>
      </c>
      <c r="AA368" s="386">
        <f t="shared" si="147"/>
        <v>13.943176272805799</v>
      </c>
      <c r="AB368" s="197">
        <f t="shared" si="148"/>
        <v>43454</v>
      </c>
      <c r="AC368" s="426">
        <f t="shared" si="149"/>
        <v>1.1434323386017107E-2</v>
      </c>
      <c r="AD368" s="169">
        <f>(INDEX(Models!$BJ368:$BT368,,AH368)*(1-AF368)+INDEX(Models!$BJ368:$BT368,,AH368+1)*AF368-ERP_i)*AE368*Ramure*Pc/MaxiM</f>
        <v>6.7735075035668015E-5</v>
      </c>
      <c r="AE368" s="305">
        <f t="shared" si="150"/>
        <v>0.5</v>
      </c>
      <c r="AF368" s="177">
        <f t="shared" si="151"/>
        <v>0.49737504556639811</v>
      </c>
      <c r="AG368" s="811">
        <f t="shared" si="152"/>
        <v>-2</v>
      </c>
      <c r="AH368" s="176">
        <f t="shared" si="153"/>
        <v>4</v>
      </c>
      <c r="AI368" s="225">
        <f t="shared" si="154"/>
        <v>-1.5026249544336019</v>
      </c>
      <c r="AJ368" s="265" t="b">
        <f t="shared" si="155"/>
        <v>0</v>
      </c>
      <c r="AK368" s="265" t="b">
        <f t="shared" si="156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57"/>
        <v>43455</v>
      </c>
      <c r="B369" s="617">
        <v>8.5570000000000004</v>
      </c>
      <c r="C369" s="390"/>
      <c r="D369" s="393">
        <f t="shared" si="134"/>
        <v>8.5938137366709313</v>
      </c>
      <c r="E369" s="385">
        <f t="shared" si="160"/>
        <v>8.693675935742684</v>
      </c>
      <c r="F369" s="385">
        <f t="shared" si="159"/>
        <v>8.6937207443837767</v>
      </c>
      <c r="G369" s="110">
        <f t="shared" si="161"/>
        <v>0.35335102395049328</v>
      </c>
      <c r="I369" s="380">
        <f t="shared" si="135"/>
        <v>8.6937207443837767</v>
      </c>
      <c r="J369" s="85">
        <v>2018</v>
      </c>
      <c r="K369" s="197">
        <f t="shared" si="136"/>
        <v>43455</v>
      </c>
      <c r="L369" s="437">
        <f t="shared" si="137"/>
        <v>4.2837484961818495E-3</v>
      </c>
      <c r="M369" s="856"/>
      <c r="N369" s="856"/>
      <c r="O369" s="324">
        <f t="shared" si="138"/>
        <v>1.1486763459997985E-2</v>
      </c>
      <c r="P369" s="169">
        <f>(INDEX(Models!$BJ369:$BT369,,T369)*(1-R369)+INDEX(Models!$BJ369:$BT369,,T369+1)*R369-ERP_i)*Q369*Ramure*Pc/MaxiM</f>
        <v>6.7597678502974356E-5</v>
      </c>
      <c r="Q369" s="305">
        <f t="shared" si="139"/>
        <v>0.5</v>
      </c>
      <c r="R369" s="177">
        <f t="shared" si="140"/>
        <v>0.49738228505098503</v>
      </c>
      <c r="S369" s="811">
        <f t="shared" si="158"/>
        <v>-2</v>
      </c>
      <c r="T369" s="176">
        <f t="shared" si="141"/>
        <v>4</v>
      </c>
      <c r="U369" s="251">
        <f t="shared" si="142"/>
        <v>-1.502617714949015</v>
      </c>
      <c r="V369" s="383">
        <f t="shared" si="143"/>
        <v>24.215199866162774</v>
      </c>
      <c r="W369" s="58"/>
      <c r="X369" s="157">
        <f t="shared" si="144"/>
        <v>43455</v>
      </c>
      <c r="Y369" s="385">
        <f t="shared" si="145"/>
        <v>8.5570000000000004</v>
      </c>
      <c r="Z369" s="385">
        <f t="shared" si="146"/>
        <v>8.5938137366709313</v>
      </c>
      <c r="AA369" s="386">
        <f t="shared" si="147"/>
        <v>8.693675935742684</v>
      </c>
      <c r="AB369" s="197">
        <f t="shared" si="148"/>
        <v>43455</v>
      </c>
      <c r="AC369" s="426">
        <f t="shared" si="149"/>
        <v>1.1486763459997985E-2</v>
      </c>
      <c r="AD369" s="169">
        <f>(INDEX(Models!$BJ369:$BT369,,AH369)*(1-AF369)+INDEX(Models!$BJ369:$BT369,,AH369+1)*AF369-ERP_i)*AE369*Ramure*Pc/MaxiM</f>
        <v>6.7597678502974356E-5</v>
      </c>
      <c r="AE369" s="305">
        <f t="shared" si="150"/>
        <v>0.5</v>
      </c>
      <c r="AF369" s="177">
        <f t="shared" si="151"/>
        <v>0.49738228505098503</v>
      </c>
      <c r="AG369" s="811">
        <f t="shared" si="152"/>
        <v>-2</v>
      </c>
      <c r="AH369" s="176">
        <f t="shared" si="153"/>
        <v>4</v>
      </c>
      <c r="AI369" s="225">
        <f t="shared" si="154"/>
        <v>-1.502617714949015</v>
      </c>
      <c r="AJ369" s="265" t="b">
        <f t="shared" si="155"/>
        <v>0</v>
      </c>
      <c r="AK369" s="265" t="b">
        <f t="shared" si="156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57"/>
        <v>43456</v>
      </c>
      <c r="B370" s="617">
        <v>6.1740000000000004</v>
      </c>
      <c r="C370" s="390"/>
      <c r="D370" s="393">
        <f t="shared" si="134"/>
        <v>6.2006974578172276</v>
      </c>
      <c r="E370" s="385">
        <f t="shared" si="160"/>
        <v>6.2730840156996557</v>
      </c>
      <c r="F370" s="385">
        <f>Wh_sa/(1-Pvg*MEDIAN((-Sdif+Wh/Env_an)/Csdif,0,1))</f>
        <v>6.2730840156996557</v>
      </c>
      <c r="G370" s="110">
        <f t="shared" si="161"/>
        <v>0.25461315622268699</v>
      </c>
      <c r="I370" s="380">
        <f t="shared" si="135"/>
        <v>6.2730840156996557</v>
      </c>
      <c r="J370" s="85">
        <v>2018</v>
      </c>
      <c r="K370" s="197">
        <f t="shared" si="136"/>
        <v>43456</v>
      </c>
      <c r="L370" s="437">
        <f t="shared" si="137"/>
        <v>4.3055572375281237E-3</v>
      </c>
      <c r="M370" s="856"/>
      <c r="N370" s="856"/>
      <c r="O370" s="324">
        <f t="shared" si="138"/>
        <v>1.153922977936632E-2</v>
      </c>
      <c r="P370" s="169">
        <f>(INDEX(Models!$BJ370:$BT370,,T370)*(1-R370)+INDEX(Models!$BJ370:$BT370,,T370+1)*R370-ERP_i)*Q370*Ramure*Pc/MaxiM</f>
        <v>6.7442539386794434E-5</v>
      </c>
      <c r="Q370" s="305">
        <f t="shared" si="139"/>
        <v>0.5</v>
      </c>
      <c r="R370" s="177">
        <f t="shared" si="140"/>
        <v>0.49738923324978246</v>
      </c>
      <c r="S370" s="811">
        <f t="shared" si="158"/>
        <v>-2</v>
      </c>
      <c r="T370" s="176">
        <f t="shared" si="141"/>
        <v>4</v>
      </c>
      <c r="U370" s="251">
        <f t="shared" si="142"/>
        <v>-1.5026107667502175</v>
      </c>
      <c r="V370" s="383">
        <f t="shared" si="143"/>
        <v>24.246915207957102</v>
      </c>
      <c r="W370" s="58"/>
      <c r="X370" s="157">
        <f t="shared" si="144"/>
        <v>43456</v>
      </c>
      <c r="Y370" s="385">
        <f t="shared" si="145"/>
        <v>6.1740000000000004</v>
      </c>
      <c r="Z370" s="385">
        <f t="shared" si="146"/>
        <v>6.2006974578172276</v>
      </c>
      <c r="AA370" s="386">
        <f t="shared" si="147"/>
        <v>6.2730840156996557</v>
      </c>
      <c r="AB370" s="197">
        <f t="shared" si="148"/>
        <v>43456</v>
      </c>
      <c r="AC370" s="426">
        <f t="shared" si="149"/>
        <v>1.153922977936632E-2</v>
      </c>
      <c r="AD370" s="169">
        <f>(INDEX(Models!$BJ370:$BT370,,AH370)*(1-AF370)+INDEX(Models!$BJ370:$BT370,,AH370+1)*AF370-ERP_i)*AE370*Ramure*Pc/MaxiM</f>
        <v>6.7442539386794434E-5</v>
      </c>
      <c r="AE370" s="305">
        <f t="shared" si="150"/>
        <v>0.5</v>
      </c>
      <c r="AF370" s="177">
        <f t="shared" si="151"/>
        <v>0.49738923324978246</v>
      </c>
      <c r="AG370" s="811">
        <f t="shared" si="152"/>
        <v>-2</v>
      </c>
      <c r="AH370" s="176">
        <f t="shared" si="153"/>
        <v>4</v>
      </c>
      <c r="AI370" s="225">
        <f t="shared" si="154"/>
        <v>-1.5026107667502175</v>
      </c>
      <c r="AJ370" s="265" t="b">
        <f t="shared" si="155"/>
        <v>0</v>
      </c>
      <c r="AK370" s="265" t="b">
        <f t="shared" si="156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57"/>
        <v>43457</v>
      </c>
      <c r="B371" s="617">
        <v>5.0190000000000001</v>
      </c>
      <c r="C371" s="390"/>
      <c r="D371" s="393">
        <f t="shared" si="134"/>
        <v>5.0408134421877442</v>
      </c>
      <c r="E371" s="385">
        <f t="shared" si="160"/>
        <v>5.0999303916483587</v>
      </c>
      <c r="F371" s="385">
        <f t="shared" si="159"/>
        <v>5.0999303916483587</v>
      </c>
      <c r="G371" s="110">
        <f t="shared" si="161"/>
        <v>0.20659865471362232</v>
      </c>
      <c r="I371" s="380">
        <f t="shared" si="135"/>
        <v>5.0999303916483587</v>
      </c>
      <c r="J371" s="85">
        <v>2018</v>
      </c>
      <c r="K371" s="197">
        <f t="shared" si="136"/>
        <v>43457</v>
      </c>
      <c r="L371" s="437">
        <f t="shared" si="137"/>
        <v>4.3273655012070478E-3</v>
      </c>
      <c r="M371" s="856"/>
      <c r="N371" s="856"/>
      <c r="O371" s="324">
        <f t="shared" si="138"/>
        <v>1.1591716929592726E-2</v>
      </c>
      <c r="P371" s="169">
        <f>(INDEX(Models!$BJ371:$BT371,,T371)*(1-R371)+INDEX(Models!$BJ371:$BT371,,T371+1)*R371-ERP_i)*Q371*Ramure*Pc/MaxiM</f>
        <v>6.7268022521864833E-5</v>
      </c>
      <c r="Q371" s="305">
        <f t="shared" si="139"/>
        <v>0.5</v>
      </c>
      <c r="R371" s="177">
        <f t="shared" si="140"/>
        <v>0.49738923324978246</v>
      </c>
      <c r="S371" s="811">
        <f t="shared" si="158"/>
        <v>-2</v>
      </c>
      <c r="T371" s="176">
        <f t="shared" si="141"/>
        <v>4</v>
      </c>
      <c r="U371" s="251">
        <f t="shared" si="142"/>
        <v>-1.5026107667502175</v>
      </c>
      <c r="V371" s="383">
        <f t="shared" si="143"/>
        <v>24.291844439895339</v>
      </c>
      <c r="W371" s="58"/>
      <c r="X371" s="157">
        <f t="shared" si="144"/>
        <v>43457</v>
      </c>
      <c r="Y371" s="385">
        <f t="shared" si="145"/>
        <v>5.0190000000000001</v>
      </c>
      <c r="Z371" s="385">
        <f t="shared" si="146"/>
        <v>5.0408134421877442</v>
      </c>
      <c r="AA371" s="386">
        <f t="shared" si="147"/>
        <v>5.0999303916483587</v>
      </c>
      <c r="AB371" s="197">
        <f t="shared" si="148"/>
        <v>43457</v>
      </c>
      <c r="AC371" s="426">
        <f t="shared" si="149"/>
        <v>1.1591716929592726E-2</v>
      </c>
      <c r="AD371" s="169">
        <f>(INDEX(Models!$BJ371:$BT371,,AH371)*(1-AF371)+INDEX(Models!$BJ371:$BT371,,AH371+1)*AF371-ERP_i)*AE371*Ramure*Pc/MaxiM</f>
        <v>6.7268022521864833E-5</v>
      </c>
      <c r="AE371" s="305">
        <f t="shared" si="150"/>
        <v>0.5</v>
      </c>
      <c r="AF371" s="177">
        <f t="shared" si="151"/>
        <v>0.49738923324978246</v>
      </c>
      <c r="AG371" s="811">
        <f t="shared" si="152"/>
        <v>-2</v>
      </c>
      <c r="AH371" s="176">
        <f t="shared" si="153"/>
        <v>4</v>
      </c>
      <c r="AI371" s="225">
        <f t="shared" si="154"/>
        <v>-1.5026107667502175</v>
      </c>
      <c r="AJ371" s="265" t="b">
        <f t="shared" si="155"/>
        <v>0</v>
      </c>
      <c r="AK371" s="265" t="b">
        <f t="shared" si="156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57"/>
        <v>43458</v>
      </c>
      <c r="B372" s="617">
        <v>5.2640000000000002</v>
      </c>
      <c r="C372" s="390"/>
      <c r="D372" s="393">
        <f t="shared" si="134"/>
        <v>5.2869940533063788</v>
      </c>
      <c r="E372" s="385">
        <f t="shared" si="160"/>
        <v>5.3492822708253112</v>
      </c>
      <c r="F372" s="385">
        <f t="shared" si="159"/>
        <v>5.3492822708253112</v>
      </c>
      <c r="G372" s="110">
        <f t="shared" si="161"/>
        <v>0.21616405905965802</v>
      </c>
      <c r="I372" s="380">
        <f t="shared" si="135"/>
        <v>5.3492822708253112</v>
      </c>
      <c r="J372" s="85">
        <v>2018</v>
      </c>
      <c r="K372" s="197">
        <f t="shared" si="136"/>
        <v>43458</v>
      </c>
      <c r="L372" s="437">
        <f t="shared" si="137"/>
        <v>4.3491732872290578E-3</v>
      </c>
      <c r="M372" s="856"/>
      <c r="N372" s="856"/>
      <c r="O372" s="324">
        <f t="shared" si="138"/>
        <v>1.1644219610292187E-2</v>
      </c>
      <c r="P372" s="169">
        <f>(INDEX(Models!$BJ372:$BT372,,T372)*(1-R372)+INDEX(Models!$BJ372:$BT372,,T372+1)*R372-ERP_i)*Q372*Ramure*Pc/MaxiM</f>
        <v>6.7074231901002241E-5</v>
      </c>
      <c r="Q372" s="305">
        <f t="shared" si="139"/>
        <v>0.5</v>
      </c>
      <c r="R372" s="177">
        <f t="shared" si="140"/>
        <v>0.49738923324978246</v>
      </c>
      <c r="S372" s="811">
        <f t="shared" si="158"/>
        <v>-2</v>
      </c>
      <c r="T372" s="176">
        <f t="shared" si="141"/>
        <v>4</v>
      </c>
      <c r="U372" s="251">
        <f t="shared" si="142"/>
        <v>-1.5026107667502175</v>
      </c>
      <c r="V372" s="383">
        <f t="shared" si="143"/>
        <v>24.350240942647112</v>
      </c>
      <c r="W372" s="58"/>
      <c r="X372" s="157">
        <f t="shared" si="144"/>
        <v>43458</v>
      </c>
      <c r="Y372" s="385">
        <f t="shared" si="145"/>
        <v>5.2640000000000002</v>
      </c>
      <c r="Z372" s="385">
        <f t="shared" si="146"/>
        <v>5.2869940533063788</v>
      </c>
      <c r="AA372" s="386">
        <f t="shared" si="147"/>
        <v>5.3492822708253112</v>
      </c>
      <c r="AB372" s="197">
        <f t="shared" si="148"/>
        <v>43458</v>
      </c>
      <c r="AC372" s="426">
        <f t="shared" si="149"/>
        <v>1.1644219610292187E-2</v>
      </c>
      <c r="AD372" s="169">
        <f>(INDEX(Models!$BJ372:$BT372,,AH372)*(1-AF372)+INDEX(Models!$BJ372:$BT372,,AH372+1)*AF372-ERP_i)*AE372*Ramure*Pc/MaxiM</f>
        <v>6.7074231901002241E-5</v>
      </c>
      <c r="AE372" s="305">
        <f t="shared" si="150"/>
        <v>0.5</v>
      </c>
      <c r="AF372" s="177">
        <f t="shared" si="151"/>
        <v>0.49738923324978246</v>
      </c>
      <c r="AG372" s="811">
        <f t="shared" si="152"/>
        <v>-2</v>
      </c>
      <c r="AH372" s="176">
        <f t="shared" si="153"/>
        <v>4</v>
      </c>
      <c r="AI372" s="225">
        <f t="shared" si="154"/>
        <v>-1.5026107667502175</v>
      </c>
      <c r="AJ372" s="265" t="b">
        <f t="shared" si="155"/>
        <v>0</v>
      </c>
      <c r="AK372" s="265" t="b">
        <f t="shared" si="156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57"/>
        <v>43459</v>
      </c>
      <c r="B373" s="617">
        <v>16.07</v>
      </c>
      <c r="C373" s="390"/>
      <c r="D373" s="393">
        <f t="shared" si="134"/>
        <v>16.140550030987832</v>
      </c>
      <c r="E373" s="385">
        <f t="shared" si="160"/>
        <v>16.331576110819647</v>
      </c>
      <c r="F373" s="385">
        <f t="shared" si="159"/>
        <v>16.332134440633631</v>
      </c>
      <c r="G373" s="110">
        <f t="shared" si="161"/>
        <v>0.657923580581107</v>
      </c>
      <c r="I373" s="380">
        <f t="shared" si="135"/>
        <v>16.332134440633631</v>
      </c>
      <c r="J373" s="85">
        <v>2018</v>
      </c>
      <c r="K373" s="197">
        <f t="shared" si="136"/>
        <v>43459</v>
      </c>
      <c r="L373" s="437">
        <f t="shared" si="137"/>
        <v>4.37098059560459E-3</v>
      </c>
      <c r="M373" s="856"/>
      <c r="N373" s="856"/>
      <c r="O373" s="324">
        <f t="shared" si="138"/>
        <v>1.1696732669008067E-2</v>
      </c>
      <c r="P373" s="169">
        <f>(INDEX(Models!$BJ373:$BT373,,T373)*(1-R373)+INDEX(Models!$BJ373:$BT373,,T373+1)*R373-ERP_i)*Q373*Ramure*Pc/MaxiM</f>
        <v>6.6854327000238784E-5</v>
      </c>
      <c r="Q373" s="305">
        <f t="shared" si="139"/>
        <v>0.5</v>
      </c>
      <c r="R373" s="177">
        <f t="shared" si="140"/>
        <v>0.49738923324978246</v>
      </c>
      <c r="S373" s="811">
        <f t="shared" si="158"/>
        <v>-2</v>
      </c>
      <c r="T373" s="176">
        <f t="shared" si="141"/>
        <v>4</v>
      </c>
      <c r="U373" s="251">
        <f t="shared" si="142"/>
        <v>-1.5026107667502175</v>
      </c>
      <c r="V373" s="383">
        <f t="shared" si="143"/>
        <v>24.424531170198858</v>
      </c>
      <c r="W373" s="58"/>
      <c r="X373" s="157">
        <f t="shared" si="144"/>
        <v>43459</v>
      </c>
      <c r="Y373" s="385">
        <f t="shared" si="145"/>
        <v>16.07</v>
      </c>
      <c r="Z373" s="385">
        <f t="shared" si="146"/>
        <v>16.140550030987832</v>
      </c>
      <c r="AA373" s="386">
        <f t="shared" si="147"/>
        <v>16.331576110819647</v>
      </c>
      <c r="AB373" s="197">
        <f t="shared" si="148"/>
        <v>43459</v>
      </c>
      <c r="AC373" s="426">
        <f t="shared" si="149"/>
        <v>1.1696732669008067E-2</v>
      </c>
      <c r="AD373" s="169">
        <f>(INDEX(Models!$BJ373:$BT373,,AH373)*(1-AF373)+INDEX(Models!$BJ373:$BT373,,AH373+1)*AF373-ERP_i)*AE373*Ramure*Pc/MaxiM</f>
        <v>6.6854327000238784E-5</v>
      </c>
      <c r="AE373" s="305">
        <f t="shared" si="150"/>
        <v>0.5</v>
      </c>
      <c r="AF373" s="177">
        <f t="shared" si="151"/>
        <v>0.49738923324978246</v>
      </c>
      <c r="AG373" s="811">
        <f t="shared" si="152"/>
        <v>-2</v>
      </c>
      <c r="AH373" s="176">
        <f t="shared" si="153"/>
        <v>4</v>
      </c>
      <c r="AI373" s="225">
        <f t="shared" si="154"/>
        <v>-1.5026107667502175</v>
      </c>
      <c r="AJ373" s="265" t="b">
        <f t="shared" si="155"/>
        <v>0</v>
      </c>
      <c r="AK373" s="265" t="b">
        <f t="shared" si="156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57"/>
        <v>43460</v>
      </c>
      <c r="B374" s="617">
        <v>23.902999999999999</v>
      </c>
      <c r="C374" s="390"/>
      <c r="D374" s="393">
        <f t="shared" si="134"/>
        <v>24.008464079132647</v>
      </c>
      <c r="E374" s="385">
        <f t="shared" si="160"/>
        <v>24.293899201842049</v>
      </c>
      <c r="F374" s="385">
        <f t="shared" si="159"/>
        <v>24.2954595694269</v>
      </c>
      <c r="G374" s="110">
        <f t="shared" si="161"/>
        <v>0.97498699084385443</v>
      </c>
      <c r="I374" s="380">
        <f t="shared" si="135"/>
        <v>24.2954595694269</v>
      </c>
      <c r="J374" s="85">
        <v>2018</v>
      </c>
      <c r="K374" s="197">
        <f t="shared" si="136"/>
        <v>43460</v>
      </c>
      <c r="L374" s="437">
        <f t="shared" si="137"/>
        <v>4.3927874263440803E-3</v>
      </c>
      <c r="M374" s="856"/>
      <c r="N374" s="856"/>
      <c r="O374" s="324">
        <f t="shared" si="138"/>
        <v>1.1749251132471883E-2</v>
      </c>
      <c r="P374" s="169">
        <f>(INDEX(Models!$BJ374:$BT374,,T374)*(1-R374)+INDEX(Models!$BJ374:$BT374,,T374+1)*R374-ERP_i)*Q374*Ramure*Pc/MaxiM</f>
        <v>6.6604403863374195E-5</v>
      </c>
      <c r="Q374" s="305">
        <f t="shared" si="139"/>
        <v>0.5</v>
      </c>
      <c r="R374" s="177">
        <f t="shared" si="140"/>
        <v>0.49738923324978246</v>
      </c>
      <c r="S374" s="811">
        <f t="shared" si="158"/>
        <v>-2</v>
      </c>
      <c r="T374" s="176">
        <f t="shared" si="141"/>
        <v>4</v>
      </c>
      <c r="U374" s="251">
        <f t="shared" si="142"/>
        <v>-1.5026107667502175</v>
      </c>
      <c r="V374" s="383">
        <f t="shared" si="143"/>
        <v>24.516166202993151</v>
      </c>
      <c r="W374" s="58"/>
      <c r="X374" s="157">
        <f t="shared" si="144"/>
        <v>43460</v>
      </c>
      <c r="Y374" s="385">
        <f t="shared" si="145"/>
        <v>23.902999999999999</v>
      </c>
      <c r="Z374" s="385">
        <f t="shared" si="146"/>
        <v>24.008464079132647</v>
      </c>
      <c r="AA374" s="386">
        <f t="shared" si="147"/>
        <v>24.293899201842049</v>
      </c>
      <c r="AB374" s="197">
        <f t="shared" si="148"/>
        <v>43460</v>
      </c>
      <c r="AC374" s="426">
        <f t="shared" si="149"/>
        <v>1.1749251132471883E-2</v>
      </c>
      <c r="AD374" s="169">
        <f>(INDEX(Models!$BJ374:$BT374,,AH374)*(1-AF374)+INDEX(Models!$BJ374:$BT374,,AH374+1)*AF374-ERP_i)*AE374*Ramure*Pc/MaxiM</f>
        <v>6.6604403863374195E-5</v>
      </c>
      <c r="AE374" s="305">
        <f t="shared" si="150"/>
        <v>0.5</v>
      </c>
      <c r="AF374" s="177">
        <f t="shared" si="151"/>
        <v>0.49738923324978246</v>
      </c>
      <c r="AG374" s="811">
        <f t="shared" si="152"/>
        <v>-2</v>
      </c>
      <c r="AH374" s="176">
        <f t="shared" si="153"/>
        <v>4</v>
      </c>
      <c r="AI374" s="225">
        <f t="shared" si="154"/>
        <v>-1.5026107667502175</v>
      </c>
      <c r="AJ374" s="265" t="b">
        <f t="shared" si="155"/>
        <v>0</v>
      </c>
      <c r="AK374" s="265" t="b">
        <f t="shared" si="156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57"/>
        <v>43461</v>
      </c>
      <c r="B375" s="617">
        <v>24.277999999999999</v>
      </c>
      <c r="C375" s="390"/>
      <c r="D375" s="393">
        <f t="shared" si="134"/>
        <v>24.385652750942331</v>
      </c>
      <c r="E375" s="385">
        <f t="shared" si="160"/>
        <v>24.676883662040584</v>
      </c>
      <c r="F375" s="385">
        <f t="shared" si="159"/>
        <v>24.678488393426758</v>
      </c>
      <c r="G375" s="110">
        <f t="shared" si="161"/>
        <v>0.98594992262927295</v>
      </c>
      <c r="I375" s="380">
        <f t="shared" si="135"/>
        <v>24.678488393426758</v>
      </c>
      <c r="J375" s="85">
        <v>2018</v>
      </c>
      <c r="K375" s="197">
        <f t="shared" si="136"/>
        <v>43461</v>
      </c>
      <c r="L375" s="437">
        <f t="shared" si="137"/>
        <v>4.4145937794579648E-3</v>
      </c>
      <c r="M375" s="856"/>
      <c r="N375" s="856"/>
      <c r="O375" s="324">
        <f t="shared" si="138"/>
        <v>1.1801770235122551E-2</v>
      </c>
      <c r="P375" s="169">
        <f>(INDEX(Models!$BJ375:$BT375,,T375)*(1-R375)+INDEX(Models!$BJ375:$BT375,,T375+1)*R375-ERP_i)*Q375*Ramure*Pc/MaxiM</f>
        <v>6.6357282042784962E-5</v>
      </c>
      <c r="Q375" s="305">
        <f t="shared" si="139"/>
        <v>0.5</v>
      </c>
      <c r="R375" s="177">
        <f t="shared" si="140"/>
        <v>0.49738923324978246</v>
      </c>
      <c r="S375" s="811">
        <f t="shared" si="158"/>
        <v>-2</v>
      </c>
      <c r="T375" s="176">
        <f t="shared" si="141"/>
        <v>4</v>
      </c>
      <c r="U375" s="251">
        <f t="shared" si="142"/>
        <v>-1.5026107667502175</v>
      </c>
      <c r="V375" s="383">
        <f t="shared" si="143"/>
        <v>24.623935869362995</v>
      </c>
      <c r="W375" s="58"/>
      <c r="X375" s="157">
        <f t="shared" si="144"/>
        <v>43461</v>
      </c>
      <c r="Y375" s="385">
        <f t="shared" si="145"/>
        <v>24.277999999999999</v>
      </c>
      <c r="Z375" s="385">
        <f t="shared" si="146"/>
        <v>24.385652750942331</v>
      </c>
      <c r="AA375" s="386">
        <f t="shared" si="147"/>
        <v>24.676883662040584</v>
      </c>
      <c r="AB375" s="197">
        <f t="shared" si="148"/>
        <v>43461</v>
      </c>
      <c r="AC375" s="426">
        <f t="shared" si="149"/>
        <v>1.1801770235122551E-2</v>
      </c>
      <c r="AD375" s="169">
        <f>(INDEX(Models!$BJ375:$BT375,,AH375)*(1-AF375)+INDEX(Models!$BJ375:$BT375,,AH375+1)*AF375-ERP_i)*AE375*Ramure*Pc/MaxiM</f>
        <v>6.6357282042784962E-5</v>
      </c>
      <c r="AE375" s="305">
        <f t="shared" si="150"/>
        <v>0.5</v>
      </c>
      <c r="AF375" s="177">
        <f t="shared" si="151"/>
        <v>0.49738923324978246</v>
      </c>
      <c r="AG375" s="811">
        <f t="shared" si="152"/>
        <v>-2</v>
      </c>
      <c r="AH375" s="176">
        <f t="shared" si="153"/>
        <v>4</v>
      </c>
      <c r="AI375" s="225">
        <f t="shared" si="154"/>
        <v>-1.5026107667502175</v>
      </c>
      <c r="AJ375" s="265" t="b">
        <f t="shared" si="155"/>
        <v>0</v>
      </c>
      <c r="AK375" s="265" t="b">
        <f t="shared" si="156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57"/>
        <v>43462</v>
      </c>
      <c r="B376" s="617">
        <v>3.415</v>
      </c>
      <c r="C376" s="390"/>
      <c r="D376" s="393">
        <f t="shared" si="134"/>
        <v>3.4302178171403881</v>
      </c>
      <c r="E376" s="385">
        <f t="shared" si="160"/>
        <v>3.4713684091461112</v>
      </c>
      <c r="F376" s="385">
        <f t="shared" si="159"/>
        <v>3.4713684091461112</v>
      </c>
      <c r="G376" s="110">
        <f t="shared" si="161"/>
        <v>0.13798945814240277</v>
      </c>
      <c r="I376" s="380">
        <f t="shared" si="135"/>
        <v>3.4713684091461112</v>
      </c>
      <c r="J376" s="85">
        <v>2018</v>
      </c>
      <c r="K376" s="197">
        <f t="shared" si="136"/>
        <v>43462</v>
      </c>
      <c r="L376" s="437">
        <f t="shared" si="137"/>
        <v>4.4363996549567908E-3</v>
      </c>
      <c r="M376" s="856"/>
      <c r="N376" s="856"/>
      <c r="O376" s="324">
        <f t="shared" si="138"/>
        <v>1.1854285444697406E-2</v>
      </c>
      <c r="P376" s="169">
        <f>(INDEX(Models!$BJ376:$BT376,,T376)*(1-R376)+INDEX(Models!$BJ376:$BT376,,T376+1)*R376-ERP_i)*Q376*Ramure*Pc/MaxiM</f>
        <v>6.6111339666295149E-5</v>
      </c>
      <c r="Q376" s="305">
        <f t="shared" si="139"/>
        <v>0.5</v>
      </c>
      <c r="R376" s="177">
        <f t="shared" si="140"/>
        <v>0.49738923324978246</v>
      </c>
      <c r="S376" s="811">
        <f t="shared" si="158"/>
        <v>-2</v>
      </c>
      <c r="T376" s="176">
        <f t="shared" si="141"/>
        <v>4</v>
      </c>
      <c r="U376" s="251">
        <f t="shared" si="142"/>
        <v>-1.5026107667502175</v>
      </c>
      <c r="V376" s="383">
        <f t="shared" si="143"/>
        <v>24.746631197370533</v>
      </c>
      <c r="W376" s="58"/>
      <c r="X376" s="157">
        <f t="shared" si="144"/>
        <v>43462</v>
      </c>
      <c r="Y376" s="385">
        <f t="shared" si="145"/>
        <v>3.415</v>
      </c>
      <c r="Z376" s="385">
        <f t="shared" si="146"/>
        <v>3.4302178171403881</v>
      </c>
      <c r="AA376" s="386">
        <f t="shared" si="147"/>
        <v>3.4713684091461112</v>
      </c>
      <c r="AB376" s="197">
        <f t="shared" si="148"/>
        <v>43462</v>
      </c>
      <c r="AC376" s="426">
        <f t="shared" si="149"/>
        <v>1.1854285444697406E-2</v>
      </c>
      <c r="AD376" s="169">
        <f>(INDEX(Models!$BJ376:$BT376,,AH376)*(1-AF376)+INDEX(Models!$BJ376:$BT376,,AH376+1)*AF376-ERP_i)*AE376*Ramure*Pc/MaxiM</f>
        <v>6.6111339666295149E-5</v>
      </c>
      <c r="AE376" s="305">
        <f t="shared" si="150"/>
        <v>0.5</v>
      </c>
      <c r="AF376" s="177">
        <f t="shared" si="151"/>
        <v>0.49738923324978246</v>
      </c>
      <c r="AG376" s="811">
        <f t="shared" si="152"/>
        <v>-2</v>
      </c>
      <c r="AH376" s="176">
        <f t="shared" si="153"/>
        <v>4</v>
      </c>
      <c r="AI376" s="225">
        <f t="shared" si="154"/>
        <v>-1.5026107667502175</v>
      </c>
      <c r="AJ376" s="265" t="b">
        <f t="shared" si="155"/>
        <v>0</v>
      </c>
      <c r="AK376" s="265" t="b">
        <f t="shared" si="156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57"/>
        <v>43463</v>
      </c>
      <c r="B377" s="617">
        <v>4.673</v>
      </c>
      <c r="C377" s="390"/>
      <c r="D377" s="393">
        <f t="shared" si="134"/>
        <v>4.6939264867810788</v>
      </c>
      <c r="E377" s="385">
        <f t="shared" si="160"/>
        <v>4.7504895804159988</v>
      </c>
      <c r="F377" s="385">
        <f t="shared" si="159"/>
        <v>4.7504895804159988</v>
      </c>
      <c r="G377" s="110">
        <f t="shared" si="161"/>
        <v>0.18778620072341179</v>
      </c>
      <c r="I377" s="380">
        <f t="shared" si="135"/>
        <v>4.7504895804159988</v>
      </c>
      <c r="J377" s="85">
        <v>2018</v>
      </c>
      <c r="K377" s="197">
        <f t="shared" si="136"/>
        <v>43463</v>
      </c>
      <c r="L377" s="437">
        <f t="shared" si="137"/>
        <v>4.4582050528509942E-3</v>
      </c>
      <c r="M377" s="856"/>
      <c r="N377" s="856"/>
      <c r="O377" s="324">
        <f t="shared" si="138"/>
        <v>1.1906792484737326E-2</v>
      </c>
      <c r="P377" s="169">
        <f>(INDEX(Models!$BJ377:$BT377,,T377)*(1-R377)+INDEX(Models!$BJ377:$BT377,,T377+1)*R377-ERP_i)*Q377*Ramure*Pc/MaxiM</f>
        <v>6.5869650933052335E-5</v>
      </c>
      <c r="Q377" s="305">
        <f t="shared" si="139"/>
        <v>0.5</v>
      </c>
      <c r="R377" s="177">
        <f t="shared" si="140"/>
        <v>0.49738923324978246</v>
      </c>
      <c r="S377" s="811">
        <f t="shared" si="158"/>
        <v>-2</v>
      </c>
      <c r="T377" s="176">
        <f t="shared" si="141"/>
        <v>4</v>
      </c>
      <c r="U377" s="251">
        <f t="shared" si="142"/>
        <v>-1.5026107667502175</v>
      </c>
      <c r="V377" s="383">
        <f t="shared" si="143"/>
        <v>24.883043445793689</v>
      </c>
      <c r="W377" s="58"/>
      <c r="X377" s="157">
        <f t="shared" si="144"/>
        <v>43463</v>
      </c>
      <c r="Y377" s="385">
        <f t="shared" si="145"/>
        <v>4.673</v>
      </c>
      <c r="Z377" s="385">
        <f t="shared" si="146"/>
        <v>4.6939264867810788</v>
      </c>
      <c r="AA377" s="386">
        <f t="shared" si="147"/>
        <v>4.7504895804159988</v>
      </c>
      <c r="AB377" s="197">
        <f t="shared" si="148"/>
        <v>43463</v>
      </c>
      <c r="AC377" s="426">
        <f t="shared" si="149"/>
        <v>1.1906792484737326E-2</v>
      </c>
      <c r="AD377" s="169">
        <f>(INDEX(Models!$BJ377:$BT377,,AH377)*(1-AF377)+INDEX(Models!$BJ377:$BT377,,AH377+1)*AF377-ERP_i)*AE377*Ramure*Pc/MaxiM</f>
        <v>6.5869650933052335E-5</v>
      </c>
      <c r="AE377" s="305">
        <f t="shared" si="150"/>
        <v>0.5</v>
      </c>
      <c r="AF377" s="177">
        <f t="shared" si="151"/>
        <v>0.49738923324978246</v>
      </c>
      <c r="AG377" s="811">
        <f t="shared" si="152"/>
        <v>-2</v>
      </c>
      <c r="AH377" s="176">
        <f t="shared" si="153"/>
        <v>4</v>
      </c>
      <c r="AI377" s="225">
        <f t="shared" si="154"/>
        <v>-1.5026107667502175</v>
      </c>
      <c r="AJ377" s="265" t="b">
        <f t="shared" si="155"/>
        <v>0</v>
      </c>
      <c r="AK377" s="265" t="b">
        <f t="shared" si="156"/>
        <v>0</v>
      </c>
      <c r="AL377" s="265"/>
      <c r="AM377" s="265"/>
      <c r="AN377" s="75"/>
    </row>
    <row r="378" spans="1:40" s="6" customFormat="1" ht="11.25" x14ac:dyDescent="0.2">
      <c r="A378" s="56">
        <f t="shared" si="157"/>
        <v>43464</v>
      </c>
      <c r="B378" s="617">
        <v>3.5019999999999998</v>
      </c>
      <c r="C378" s="390"/>
      <c r="D378" s="393">
        <f t="shared" si="134"/>
        <v>3.5177595980825571</v>
      </c>
      <c r="E378" s="385">
        <f t="shared" si="160"/>
        <v>3.5603387118142864</v>
      </c>
      <c r="F378" s="385">
        <f t="shared" si="159"/>
        <v>3.5603387118142864</v>
      </c>
      <c r="G378" s="110">
        <f t="shared" si="161"/>
        <v>0.13989194421929901</v>
      </c>
      <c r="I378" s="380">
        <f t="shared" si="135"/>
        <v>3.5603387118142864</v>
      </c>
      <c r="J378" s="85">
        <v>2018</v>
      </c>
      <c r="K378" s="197">
        <f t="shared" si="136"/>
        <v>43464</v>
      </c>
      <c r="L378" s="437">
        <f t="shared" si="137"/>
        <v>4.4800099731510112E-3</v>
      </c>
      <c r="M378" s="856"/>
      <c r="N378" s="856"/>
      <c r="O378" s="324">
        <f t="shared" si="138"/>
        <v>1.195928735387973E-2</v>
      </c>
      <c r="P378" s="169">
        <f>(INDEX(Models!$BJ378:$BT378,,T378)*(1-R378)+INDEX(Models!$BJ378:$BT378,,T378+1)*R378-ERP_i)*Q378*Ramure*Pc/MaxiM</f>
        <v>6.5635201511030739E-5</v>
      </c>
      <c r="Q378" s="305">
        <f t="shared" si="139"/>
        <v>0.5</v>
      </c>
      <c r="R378" s="177">
        <f t="shared" si="140"/>
        <v>0.49738923324978246</v>
      </c>
      <c r="S378" s="811">
        <f t="shared" si="158"/>
        <v>-2</v>
      </c>
      <c r="T378" s="176">
        <f t="shared" si="141"/>
        <v>4</v>
      </c>
      <c r="U378" s="251">
        <f t="shared" si="142"/>
        <v>-1.5026107667502175</v>
      </c>
      <c r="V378" s="383">
        <f t="shared" si="143"/>
        <v>25.031964242593006</v>
      </c>
      <c r="W378" s="58"/>
      <c r="X378" s="157">
        <f t="shared" si="144"/>
        <v>43464</v>
      </c>
      <c r="Y378" s="385">
        <f t="shared" si="145"/>
        <v>3.5019999999999998</v>
      </c>
      <c r="Z378" s="385">
        <f t="shared" si="146"/>
        <v>3.5177595980825571</v>
      </c>
      <c r="AA378" s="386">
        <f t="shared" si="147"/>
        <v>3.5603387118142864</v>
      </c>
      <c r="AB378" s="197">
        <f t="shared" si="148"/>
        <v>43464</v>
      </c>
      <c r="AC378" s="426">
        <f t="shared" si="149"/>
        <v>1.195928735387973E-2</v>
      </c>
      <c r="AD378" s="169">
        <f>(INDEX(Models!$BJ378:$BT378,,AH378)*(1-AF378)+INDEX(Models!$BJ378:$BT378,,AH378+1)*AF378-ERP_i)*AE378*Ramure*Pc/MaxiM</f>
        <v>6.5635201511030739E-5</v>
      </c>
      <c r="AE378" s="305">
        <f t="shared" si="150"/>
        <v>0.5</v>
      </c>
      <c r="AF378" s="177">
        <f t="shared" si="151"/>
        <v>0.49738923324978246</v>
      </c>
      <c r="AG378" s="811">
        <f t="shared" si="152"/>
        <v>-2</v>
      </c>
      <c r="AH378" s="176">
        <f t="shared" si="153"/>
        <v>4</v>
      </c>
      <c r="AI378" s="225">
        <f t="shared" si="154"/>
        <v>-1.5026107667502175</v>
      </c>
      <c r="AJ378" s="265" t="b">
        <f t="shared" si="155"/>
        <v>0</v>
      </c>
      <c r="AK378" s="265" t="b">
        <f t="shared" si="156"/>
        <v>0</v>
      </c>
      <c r="AL378" s="265"/>
      <c r="AM378" s="265"/>
      <c r="AN378" s="75"/>
    </row>
    <row r="379" spans="1:40" s="18" customFormat="1" ht="12.75" x14ac:dyDescent="0.2">
      <c r="A379" s="56">
        <f t="shared" si="157"/>
        <v>43465</v>
      </c>
      <c r="B379" s="617">
        <v>6.117</v>
      </c>
      <c r="C379" s="390"/>
      <c r="D379" s="393">
        <f t="shared" si="134"/>
        <v>6.1446621285509444</v>
      </c>
      <c r="E379" s="385">
        <f t="shared" si="160"/>
        <v>6.2193677204024338</v>
      </c>
      <c r="F379" s="385">
        <f t="shared" si="159"/>
        <v>6.2193677204024338</v>
      </c>
      <c r="G379" s="110">
        <f t="shared" si="161"/>
        <v>0.24279750823662496</v>
      </c>
      <c r="I379" s="380">
        <f t="shared" si="135"/>
        <v>6.2193677204024338</v>
      </c>
      <c r="J379" s="85">
        <v>2018</v>
      </c>
      <c r="K379" s="197">
        <f t="shared" si="136"/>
        <v>43465</v>
      </c>
      <c r="L379" s="437">
        <f>IF(t&lt;T0,0,IF(t&lt;Tvie,1-EXP((T0-t)*PertePVj),1-EXP((T0-t)*PertePVj)+Pspv))</f>
        <v>4.5018144158672779E-3</v>
      </c>
      <c r="M379" s="856"/>
      <c r="N379" s="856"/>
      <c r="O379" s="324">
        <f t="shared" si="138"/>
        <v>1.2011766341845328E-2</v>
      </c>
      <c r="P379" s="169">
        <f>(INDEX(Models!$BJ379:$BT379,,T379)*(1-R379)+INDEX(Models!$BJ379:$BT379,,T379+1)*R379-ERP_i)*Q379*Ramure*Pc/MaxiM</f>
        <v>6.5410876390041239E-5</v>
      </c>
      <c r="Q379" s="306">
        <f t="shared" si="139"/>
        <v>0.5</v>
      </c>
      <c r="R379" s="177">
        <f t="shared" si="140"/>
        <v>0.49738923324978246</v>
      </c>
      <c r="S379" s="811">
        <f t="shared" si="158"/>
        <v>-2</v>
      </c>
      <c r="T379" s="176">
        <f t="shared" si="141"/>
        <v>4</v>
      </c>
      <c r="U379" s="307">
        <f t="shared" si="142"/>
        <v>-1.5026107667502175</v>
      </c>
      <c r="V379" s="383">
        <f t="shared" si="143"/>
        <v>25.192185562744832</v>
      </c>
      <c r="W379" s="392"/>
      <c r="X379" s="157">
        <f t="shared" si="144"/>
        <v>43465</v>
      </c>
      <c r="Y379" s="385">
        <f t="shared" si="145"/>
        <v>6.117</v>
      </c>
      <c r="Z379" s="385">
        <f t="shared" si="146"/>
        <v>6.1446621285509444</v>
      </c>
      <c r="AA379" s="386">
        <f t="shared" si="147"/>
        <v>6.2193677204024338</v>
      </c>
      <c r="AB379" s="197">
        <f t="shared" si="148"/>
        <v>43465</v>
      </c>
      <c r="AC379" s="426">
        <f t="shared" si="149"/>
        <v>1.2011766341845328E-2</v>
      </c>
      <c r="AD379" s="169">
        <f>(INDEX(Models!$BJ379:$BT379,,AH379)*(1-AF379)+INDEX(Models!$BJ379:$BT379,,AH379+1)*AF379-ERP_i)*AE379*Ramure*Pc/MaxiM</f>
        <v>6.5410876390041239E-5</v>
      </c>
      <c r="AE379" s="306">
        <f t="shared" si="150"/>
        <v>0.5</v>
      </c>
      <c r="AF379" s="177">
        <f t="shared" si="151"/>
        <v>0.49738923324978246</v>
      </c>
      <c r="AG379" s="811">
        <f t="shared" si="152"/>
        <v>-2</v>
      </c>
      <c r="AH379" s="176">
        <f t="shared" si="153"/>
        <v>4</v>
      </c>
      <c r="AI379" s="222">
        <f t="shared" si="154"/>
        <v>-1.5026107667502175</v>
      </c>
      <c r="AJ379" s="265" t="b">
        <f t="shared" si="155"/>
        <v>0</v>
      </c>
      <c r="AK379" s="265" t="b">
        <f t="shared" si="156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1"/>
      <c r="C380" s="855"/>
      <c r="D380" s="394"/>
      <c r="E380" s="395"/>
      <c r="F380" s="395"/>
      <c r="G380" s="97"/>
      <c r="I380" s="381">
        <f t="shared" si="135"/>
        <v>0</v>
      </c>
      <c r="J380" s="151">
        <v>2018</v>
      </c>
      <c r="K380" s="199"/>
      <c r="L380" s="470"/>
      <c r="M380" s="857"/>
      <c r="N380" s="857"/>
      <c r="O380" s="471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5"/>
        <v>1</v>
      </c>
      <c r="AK380" s="265" t="b">
        <f t="shared" si="156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2.0299999999999998</v>
      </c>
      <c r="C381" s="375"/>
      <c r="D381" s="373">
        <f>MIN(D15:D380)</f>
        <v>2.0383762206572595</v>
      </c>
      <c r="E381" s="373">
        <f>MIN(E15:E380)</f>
        <v>2.0611903807285468</v>
      </c>
      <c r="F381" s="374">
        <f>MIN(F15:F380)</f>
        <v>2.0611903807285468</v>
      </c>
      <c r="G381" s="125">
        <f>+MIN(G15:G380)</f>
        <v>8.3168057287724959E-2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62">MIN(L15:L380)</f>
        <v>0</v>
      </c>
      <c r="M381" s="847"/>
      <c r="N381" s="847"/>
      <c r="O381" s="47">
        <f t="shared" si="162"/>
        <v>0</v>
      </c>
      <c r="P381" s="168">
        <f t="shared" si="162"/>
        <v>1.1078790194703113E-10</v>
      </c>
      <c r="Q381" s="310">
        <f t="shared" si="162"/>
        <v>0.5</v>
      </c>
      <c r="R381" s="311">
        <f t="shared" si="162"/>
        <v>0</v>
      </c>
      <c r="S381" s="811">
        <f t="shared" si="162"/>
        <v>-3</v>
      </c>
      <c r="T381" s="176">
        <f t="shared" si="162"/>
        <v>3</v>
      </c>
      <c r="U381" s="252">
        <f>+MIN(U15:U380)</f>
        <v>-2.0026094937140466</v>
      </c>
      <c r="V381" s="373">
        <f>MIN(V15:V380)</f>
        <v>24.190396833176859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3">MIN(AC15:AC380)</f>
        <v>0</v>
      </c>
      <c r="AD381" s="168">
        <f t="shared" si="163"/>
        <v>1.1078790194703113E-10</v>
      </c>
      <c r="AE381" s="310">
        <f t="shared" si="163"/>
        <v>0.5</v>
      </c>
      <c r="AF381" s="311">
        <f t="shared" si="163"/>
        <v>0</v>
      </c>
      <c r="AG381" s="811">
        <f t="shared" si="163"/>
        <v>-3</v>
      </c>
      <c r="AH381" s="176">
        <f t="shared" si="163"/>
        <v>3</v>
      </c>
      <c r="AI381" s="226">
        <f>MIN(AI15:AI380)</f>
        <v>-2.0026094937140466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28.845787500000018</v>
      </c>
      <c r="C382" s="375"/>
      <c r="D382" s="375">
        <f>AVERAGE(D15:D380)</f>
        <v>28.912376440704229</v>
      </c>
      <c r="E382" s="375">
        <f>AVERAGE(E15:E380)</f>
        <v>29.104125811956727</v>
      </c>
      <c r="F382" s="376">
        <f>AVERAGE(F15:F380)</f>
        <v>29.104540569169426</v>
      </c>
      <c r="G382" s="126">
        <f>AVERAGE(G15:G380)</f>
        <v>0.67121334834052215</v>
      </c>
      <c r="H382" s="94"/>
      <c r="I382" s="376">
        <f>AVERAGE(I15:I380)</f>
        <v>12.723296423680624</v>
      </c>
      <c r="J382" s="166">
        <f>AVERAGE(J15:J380)</f>
        <v>2018</v>
      </c>
      <c r="K382" s="200" t="s">
        <v>8</v>
      </c>
      <c r="L382" s="147">
        <f t="shared" ref="L382:V382" si="164">AVERAGE(L15:L380)</f>
        <v>1.2774971905528982E-3</v>
      </c>
      <c r="M382" s="845"/>
      <c r="N382" s="845"/>
      <c r="O382" s="48">
        <f t="shared" si="164"/>
        <v>3.5972647983295841E-3</v>
      </c>
      <c r="P382" s="169">
        <f t="shared" si="164"/>
        <v>1.6237384364969107E-5</v>
      </c>
      <c r="Q382" s="312">
        <f t="shared" si="164"/>
        <v>0.5</v>
      </c>
      <c r="R382" s="177">
        <f t="shared" si="164"/>
        <v>0.38138369232619312</v>
      </c>
      <c r="S382" s="811">
        <f t="shared" si="164"/>
        <v>-2.1041095890410957</v>
      </c>
      <c r="T382" s="176">
        <f t="shared" si="164"/>
        <v>3.8958904109589043</v>
      </c>
      <c r="U382" s="251">
        <f t="shared" si="164"/>
        <v>-1.7227258967149022</v>
      </c>
      <c r="V382" s="375">
        <f t="shared" si="164"/>
        <v>46.845619120239412</v>
      </c>
      <c r="X382" s="112" t="s">
        <v>8</v>
      </c>
      <c r="Y382" s="375">
        <f>AVERAGE(Y15:Y380)</f>
        <v>12.644728767123295</v>
      </c>
      <c r="Z382" s="375">
        <f>AVERAGE(Z15:Z380)</f>
        <v>12.673918439760758</v>
      </c>
      <c r="AA382" s="375">
        <f>AVERAGE(AA15:AA380)</f>
        <v>12.757972958665961</v>
      </c>
      <c r="AB382" s="200" t="s">
        <v>8</v>
      </c>
      <c r="AC382" s="48">
        <f t="shared" ref="AC382:AH382" si="165">AVERAGE(AC15:AC380)</f>
        <v>3.5972647983295841E-3</v>
      </c>
      <c r="AD382" s="169">
        <f t="shared" si="165"/>
        <v>1.6237384364969107E-5</v>
      </c>
      <c r="AE382" s="312">
        <f t="shared" si="165"/>
        <v>0.5</v>
      </c>
      <c r="AF382" s="177">
        <f t="shared" si="165"/>
        <v>0.38138369232619312</v>
      </c>
      <c r="AG382" s="811">
        <f t="shared" si="165"/>
        <v>-2.1041095890410957</v>
      </c>
      <c r="AH382" s="176">
        <f t="shared" si="165"/>
        <v>3.8958904109589043</v>
      </c>
      <c r="AI382" s="225">
        <f>AVERAGE(AI15:AI380)</f>
        <v>-1.7227258967149022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56.448</v>
      </c>
      <c r="C383" s="377"/>
      <c r="D383" s="377">
        <f>MAX(D15:D380)</f>
        <v>56.507376948327114</v>
      </c>
      <c r="E383" s="377">
        <f>MAX(E15:E380)</f>
        <v>56.686065150978031</v>
      </c>
      <c r="F383" s="378">
        <f>MAX(F15:F380)</f>
        <v>56.688146923000261</v>
      </c>
      <c r="G383" s="127">
        <f>+MAX(G15:G380)</f>
        <v>1.0089659887314031</v>
      </c>
      <c r="H383" s="94"/>
      <c r="I383" s="378">
        <f>MAX(I15:I380)</f>
        <v>56.688146923000261</v>
      </c>
      <c r="J383" s="167">
        <f>MAX(J15:J380)</f>
        <v>2018</v>
      </c>
      <c r="K383" s="200" t="s">
        <v>9</v>
      </c>
      <c r="L383" s="148">
        <f t="shared" ref="L383:T383" si="166">MAX(L15:L380)</f>
        <v>4.5018144158672779E-3</v>
      </c>
      <c r="M383" s="848"/>
      <c r="N383" s="848"/>
      <c r="O383" s="49">
        <f t="shared" si="166"/>
        <v>1.2011766341845328E-2</v>
      </c>
      <c r="P383" s="170">
        <f t="shared" si="166"/>
        <v>6.9030002596533294E-5</v>
      </c>
      <c r="Q383" s="313">
        <f t="shared" si="166"/>
        <v>0.5</v>
      </c>
      <c r="R383" s="314">
        <f t="shared" si="166"/>
        <v>0.99986769902663353</v>
      </c>
      <c r="S383" s="812">
        <f t="shared" si="166"/>
        <v>-2</v>
      </c>
      <c r="T383" s="233">
        <f t="shared" si="166"/>
        <v>4</v>
      </c>
      <c r="U383" s="253">
        <f>+MAX(U15:U380)</f>
        <v>-1.5026107667502175</v>
      </c>
      <c r="V383" s="377">
        <f>MAX(V15:V380)</f>
        <v>63.779206583947804</v>
      </c>
      <c r="X383" s="112" t="s">
        <v>9</v>
      </c>
      <c r="Y383" s="377">
        <f>MAX(Y15:Y380)</f>
        <v>56.448</v>
      </c>
      <c r="Z383" s="377">
        <f>MAX(Z15:Z380)</f>
        <v>56.507376948327114</v>
      </c>
      <c r="AA383" s="377">
        <f>MAX(AA15:AA380)</f>
        <v>56.686065150978031</v>
      </c>
      <c r="AB383" s="200" t="s">
        <v>9</v>
      </c>
      <c r="AC383" s="49">
        <f t="shared" ref="AC383:AH383" si="167">MAX(AC15:AC380)</f>
        <v>1.2011766341845328E-2</v>
      </c>
      <c r="AD383" s="170">
        <f t="shared" si="167"/>
        <v>6.9030002596533294E-5</v>
      </c>
      <c r="AE383" s="313">
        <f t="shared" si="167"/>
        <v>0.5</v>
      </c>
      <c r="AF383" s="314">
        <f t="shared" si="167"/>
        <v>0.99986769902663353</v>
      </c>
      <c r="AG383" s="812">
        <f t="shared" si="167"/>
        <v>-2</v>
      </c>
      <c r="AH383" s="233">
        <f t="shared" si="167"/>
        <v>4</v>
      </c>
      <c r="AI383" s="227">
        <f>MAX(AI15:AI380)</f>
        <v>-1.5026107667502175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256" activePane="bottomRight" state="frozen"/>
      <selection pane="topRight"/>
      <selection pane="bottomLeft"/>
      <selection pane="bottomRight" activeCell="G263" sqref="G263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'2018'!An+1</f>
        <v>2019</v>
      </c>
      <c r="K1" s="1271"/>
      <c r="L1" s="113" t="str">
        <f>"Calcul pertes et enveloppes en "&amp;TEXT(An,0)</f>
        <v>Calcul pertes et enveloppes en 2019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2019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472"/>
      <c r="H3" s="75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0</v>
      </c>
      <c r="AK4" s="834">
        <f>AM12-AK12</f>
        <v>0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334"/>
      <c r="I5" s="158"/>
      <c r="K5" s="192"/>
      <c r="L5" s="506"/>
      <c r="M5" s="505"/>
      <c r="N5" s="505"/>
      <c r="O5" s="428"/>
      <c r="P5" s="508"/>
      <c r="Q5" s="508"/>
      <c r="R5" s="495"/>
      <c r="S5" s="499"/>
      <c r="T5" s="499"/>
      <c r="U5" s="513"/>
      <c r="V5" s="507"/>
      <c r="W5" s="508"/>
      <c r="X5" s="509"/>
      <c r="Y5" s="510"/>
      <c r="Z5" s="236">
        <f>Wh_Psa_s-Wh_Psa</f>
        <v>0</v>
      </c>
      <c r="AA5" s="237">
        <f>Wh_Pvg_s-Wh_Pvg</f>
        <v>0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531"/>
      <c r="AD6" s="462"/>
      <c r="AE6" s="462"/>
      <c r="AF6" s="462"/>
      <c r="AG6" s="462"/>
      <c r="AH6" s="462"/>
      <c r="AI6" s="462"/>
      <c r="AJ6" s="516">
        <f>SUMIF(AJ15:AJ380,"FAUX",Wh)</f>
        <v>11784.139000000005</v>
      </c>
      <c r="AK6" s="516">
        <f>SUMIF(AK15:AK380,"FAUX",Wh)</f>
        <v>11784.139000000005</v>
      </c>
      <c r="AL6" s="516">
        <f>SUMIF(AJ15:AJ380,"FAUX",Wh_s)</f>
        <v>11784.139000000005</v>
      </c>
      <c r="AM6" s="516">
        <f>SUMIF(AK15:AK380,"FAUX",Wh_s)</f>
        <v>11784.139000000005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31"/>
      <c r="AD7" s="248"/>
      <c r="AE7" s="248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AND(YEAR(Tnet)=An,Resal_2019&lt;&gt;"I")</f>
        <v>0</v>
      </c>
      <c r="F8" s="321" t="b">
        <f>YEAR(Ttai)=An</f>
        <v>0</v>
      </c>
      <c r="H8" s="336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11882.913638143635</v>
      </c>
      <c r="AK8" s="516">
        <f>SUMIF(AK15:AK380,"FAUX",Wh_sa)</f>
        <v>12138.359854468663</v>
      </c>
      <c r="AL8" s="516">
        <f>SUMIF(AJ15:AJ380,"FAUX",Wh_pvt_s)</f>
        <v>11882.913638143635</v>
      </c>
      <c r="AM8" s="516">
        <f>SUMIF(AK15:AK380,"FAUX",Wh_sa_s)</f>
        <v>12138.359854468663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11882.913638143635</v>
      </c>
      <c r="E9" s="184">
        <f>SUM(E$15:E$380)</f>
        <v>12138.359854468663</v>
      </c>
      <c r="F9" s="184">
        <f>SUM(F$15:F$380)</f>
        <v>12138.62332403917</v>
      </c>
      <c r="H9" s="1272">
        <f>+SUM(Wh)</f>
        <v>11784.139000000005</v>
      </c>
      <c r="I9" s="1273"/>
      <c r="J9" s="1274"/>
      <c r="K9" s="191"/>
      <c r="L9" s="114"/>
      <c r="M9" s="114"/>
      <c r="N9" s="114"/>
      <c r="O9" s="223">
        <f>Tnet_2019</f>
        <v>43259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11784.139000000005</v>
      </c>
      <c r="Y9" s="1267"/>
      <c r="Z9" s="516">
        <f>SUM(Z$15:Z$380)</f>
        <v>11882.913638143635</v>
      </c>
      <c r="AA9" s="516">
        <f>SUM(AA$15:AA$380)</f>
        <v>12138.359854468663</v>
      </c>
      <c r="AB9" s="516">
        <f>F9</f>
        <v>12138.62332403917</v>
      </c>
      <c r="AC9" s="325">
        <f>IF(An_Tnet,Tnet,'2018'!Tnet_s)</f>
        <v>43259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21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8"/>
      <c r="AE10" s="428"/>
      <c r="AF10" s="260"/>
      <c r="AG10" s="261"/>
      <c r="AH10" s="262"/>
      <c r="AI10" s="523"/>
      <c r="AJ10" s="516">
        <f>SUMIF(AJ15:AJ380,"FAUX",Wh_sa)</f>
        <v>12138.359854468663</v>
      </c>
      <c r="AK10" s="516">
        <f>SUMIF(AK15:AK380,"FAUX",Wh_hp)</f>
        <v>12138.62332403917</v>
      </c>
      <c r="AL10" s="516">
        <f>SUMIF(AJ15:AJ380,"FAUX",Wh_sa_s)</f>
        <v>12138.359854468663</v>
      </c>
      <c r="AM10" s="516">
        <f>SUMIF(AK15:AK380,"FAUX",Wh_hp)</f>
        <v>12138.62332403917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98.77463814363</v>
      </c>
      <c r="E11" s="51">
        <f>(E$9-D$9)*Prod_an/D$9</f>
        <v>253.32286439712462</v>
      </c>
      <c r="F11" s="186">
        <f>(F$9-E$9)*Prod_an/E$9</f>
        <v>0.25578101805789927</v>
      </c>
      <c r="G11" s="185" t="s">
        <v>6</v>
      </c>
      <c r="H11" s="335"/>
      <c r="K11" s="194"/>
      <c r="L11" s="182">
        <f>Tvie_2019</f>
        <v>43259</v>
      </c>
      <c r="M11" s="844"/>
      <c r="N11" s="844"/>
      <c r="O11" s="202">
        <f>IF(An_Tnet,Salim_2019,'2018'!Salim)</f>
        <v>7.0000000000000007E-2</v>
      </c>
      <c r="P11" s="256">
        <f>Ttai_2019</f>
        <v>43101</v>
      </c>
      <c r="Q11" s="272">
        <f>Dens_2019</f>
        <v>0.5</v>
      </c>
      <c r="R11" s="277"/>
      <c r="S11" s="230"/>
      <c r="T11" s="230"/>
      <c r="U11" s="266">
        <f>Htf_2019</f>
        <v>-1.0026107667502175</v>
      </c>
      <c r="V11" s="428"/>
      <c r="W11" s="519"/>
      <c r="X11" s="526" t="s">
        <v>43</v>
      </c>
      <c r="Y11" s="50">
        <f>Z$9-Prod_an_s</f>
        <v>98.77463814363</v>
      </c>
      <c r="Z11" s="51">
        <f>(AA$9-Z$9)*Prod_an_s/Z$9</f>
        <v>253.32286439712462</v>
      </c>
      <c r="AA11" s="186">
        <f>(AB$9-AA$9)*Prod_an_s/AA$9</f>
        <v>0.25578101805789927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4.7367195727860301E-2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1095</v>
      </c>
      <c r="P12" s="281">
        <f>INDEX(Croivg,MIN(MAX(Ttai-$A$15,0)+1,366))</f>
        <v>2.3909964587625958E-6</v>
      </c>
      <c r="Q12" s="280">
        <f>'2018'!Df</f>
        <v>0.5</v>
      </c>
      <c r="R12" s="278"/>
      <c r="S12" s="279"/>
      <c r="T12" s="279"/>
      <c r="U12" s="267">
        <f>'2018'!Hdf</f>
        <v>-1.5026107667502175</v>
      </c>
      <c r="V12" s="518"/>
      <c r="W12" s="505"/>
      <c r="X12" s="506"/>
      <c r="Y12" s="505"/>
      <c r="Z12" s="428"/>
      <c r="AA12" s="428"/>
      <c r="AB12" s="532"/>
      <c r="AC12" s="318" t="b">
        <f>NOT(An_Tnet)</f>
        <v>1</v>
      </c>
      <c r="AD12" s="428"/>
      <c r="AE12" s="296">
        <f>'2018'!Df_s</f>
        <v>0.5</v>
      </c>
      <c r="AF12" s="203"/>
      <c r="AG12" s="203"/>
      <c r="AH12" s="203"/>
      <c r="AI12" s="297">
        <f>'2018'!Hdf_s</f>
        <v>-1.5026107667502175</v>
      </c>
      <c r="AJ12" s="833">
        <f>IF($AJ8=0,0,($AJ10-$AJ8)*$AJ6/$AJ8)</f>
        <v>253.32286439712462</v>
      </c>
      <c r="AK12" s="834">
        <f>IF($AK8=0,0,($AK10-$AK8)*$AK6/$AK8)</f>
        <v>0.25578101805789927</v>
      </c>
      <c r="AL12" s="833">
        <f>IF($AL8=0,0,($AL10-$AL8)*$AL6/$AL8)</f>
        <v>253.32286439712462</v>
      </c>
      <c r="AM12" s="834">
        <f>IF($AM8=0,0,($AM10-$AM8)*$AM6/$AM8)</f>
        <v>0.25578101805789927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32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253.32286439712462</v>
      </c>
      <c r="AK13" s="73">
        <f>+AK11+AK12</f>
        <v>0.25578101805789927</v>
      </c>
      <c r="AL13" s="73">
        <f>+AL11+AL12</f>
        <v>253.32286439712462</v>
      </c>
      <c r="AM13" s="73">
        <f>+AM11+AM12</f>
        <v>0.25578101805789927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1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6">
        <v>1.7709999999999999</v>
      </c>
      <c r="C15" s="390"/>
      <c r="D15" s="393">
        <f t="shared" ref="D15:D78" si="0">Wh/(1-Ppv)</f>
        <v>1.7790477330258103</v>
      </c>
      <c r="E15" s="385">
        <f t="shared" ref="E15:E79" si="1">Wh_pvt/(1-Psa)</f>
        <v>1.8007726614640702</v>
      </c>
      <c r="F15" s="385">
        <f t="shared" ref="F15:F78" si="2">Wh_sa/(1-Pvg*MEDIAN((-Sdif+Wh/Env_an)/Csdif,0,1))</f>
        <v>1.8007726614640702</v>
      </c>
      <c r="G15" s="110">
        <f>+Wh_hp/MaxiM</f>
        <v>6.9822949212937954E-2</v>
      </c>
      <c r="H15" s="414" t="b">
        <f>Wh_hp&gt;='2018'!Maxi_hp</f>
        <v>1</v>
      </c>
      <c r="I15" s="396">
        <f>IF(H15,Wh_hp,'2018'!Maxi_hp)</f>
        <v>1.8007726614640702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4.5236183810103414E-3</v>
      </c>
      <c r="M15" s="847"/>
      <c r="N15" s="847"/>
      <c r="O15" s="422">
        <f>IF(t&lt;Tnet,'2018'!Resal+('2018'!Salim-'2018'!Resal)*(1-EXP(('2018'!Tnet-t)/('2018'!Tau_j))),Resal+(Salim-Resal)*(1-EXP((Tnet-t)/(Tau_j))))*Salcycl</f>
        <v>1.206422604205745E-2</v>
      </c>
      <c r="P15" s="302">
        <f>(INDEX(Models!$BJ15:$BT15,,T15)*(1-R15)+INDEX(Models!$BJ15:$BT15,,T15+1)*R15-ERP_i)*Q15*Ramure*Pc/MaxiM</f>
        <v>6.5199607684078713E-5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0.49739042874801176</v>
      </c>
      <c r="S15" s="810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-1.5026095712519882</v>
      </c>
      <c r="V15" s="382">
        <f t="shared" ref="V15:V78" si="8">MaxiM*(1-Ppv)*(1-Pvg)*(1-Psa)</f>
        <v>25.362499743374524</v>
      </c>
      <c r="W15" s="423"/>
      <c r="X15" s="424">
        <f t="shared" ref="X15:X78" si="9">t</f>
        <v>43466</v>
      </c>
      <c r="Y15" s="385">
        <f t="shared" ref="Y15:Y78" si="10">Wh_pvt_s*(1-Ppv)</f>
        <v>1.7709999999999999</v>
      </c>
      <c r="Z15" s="385">
        <f t="shared" ref="Z15:Z78" si="11">Wh_sa_s*(1-Psa_s)</f>
        <v>1.7790477330258103</v>
      </c>
      <c r="AA15" s="386">
        <f t="shared" ref="AA15:AA78" si="12">Wh_hp*(1-Pvg_s*MEDIAN((-Sdif+Wh/Env_an)/Csdif,0,1))</f>
        <v>1.8007726614640702</v>
      </c>
      <c r="AB15" s="425">
        <f t="shared" ref="AB15:AB78" si="13">t</f>
        <v>43466</v>
      </c>
      <c r="AC15" s="426">
        <f>IF(OR(t&lt;Tnet,NoTnet),'2018'!Resal_s+('2018'!Salim-'2018'!Resal_s)*(1-EXP(('2018'!Tnet_s-t)/'2018'!Tau_j)),Resal_s+(Salim-Resal_s)*(1-EXP((Tnet_s-t)/Tau_j)))*Salcycl</f>
        <v>1.206422604205745E-2</v>
      </c>
      <c r="AD15" s="231">
        <f>(INDEX(Models!$BJ15:$BT15,,AH15)*(1-AF15)+INDEX(Models!$BJ15:$BT15,,AH15+1)*AF15-ERP_i)*AE15*Ramure*Pc/MaxiM</f>
        <v>6.5199607684078713E-5</v>
      </c>
      <c r="AE15" s="303">
        <f t="shared" ref="AE15:AE78" si="14">IF(OR(t&lt;Ttai,Notai),Dd_s+PousD*Croivg,Dens_s+PousD*(Croivg-Croi_tai))</f>
        <v>0.5</v>
      </c>
      <c r="AF15" s="304">
        <f t="shared" ref="AF15:AF78" si="15">(Hp_vg_s-AG15)/(INDEX(Echel_vg,AH15+1)-AG15)</f>
        <v>0.49739042874801176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-1.5026095712519882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7">
        <v>7.3440000000000003</v>
      </c>
      <c r="C16" s="390"/>
      <c r="D16" s="393">
        <f t="shared" si="0"/>
        <v>7.3775340043998696</v>
      </c>
      <c r="E16" s="385">
        <f t="shared" si="1"/>
        <v>7.4680215069715485</v>
      </c>
      <c r="F16" s="385">
        <f t="shared" si="2"/>
        <v>7.4680215069715485</v>
      </c>
      <c r="G16" s="110">
        <f>+Wh_hp/MaxiM</f>
        <v>0.28751111952792929</v>
      </c>
      <c r="H16" s="414" t="b">
        <f>Wh_hp&gt;='2018'!Maxi_hp</f>
        <v>1</v>
      </c>
      <c r="I16" s="390">
        <f>IF(H16,Wh_hp,'2018'!Maxi_hp)</f>
        <v>7.4680215069715485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4.5454218685905268E-3</v>
      </c>
      <c r="M16" s="845"/>
      <c r="N16" s="845"/>
      <c r="O16" s="48">
        <f>IF(t&lt;Tnet,'2018'!Resal+('2018'!Salim-'2018'!Resal)*(1-EXP(('2018'!Tnet-t)/('2018'!Tau_j))),Resal+(Salim-Resal)*(1-EXP((Tnet-t)/(Tau_j))))*Salcycl</f>
        <v>1.211666336086566E-2</v>
      </c>
      <c r="P16" s="169">
        <f>(INDEX(Models!$BJ16:$BT16,,T16)*(1-R16)+INDEX(Models!$BJ16:$BT16,,T16+1)*R16-ERP_i)*Q16*Ramure*Pc/MaxiM</f>
        <v>6.4921785424775779E-5</v>
      </c>
      <c r="Q16" s="305">
        <f t="shared" si="4"/>
        <v>0.5</v>
      </c>
      <c r="R16" s="177">
        <f t="shared" si="5"/>
        <v>0.49741964336200617</v>
      </c>
      <c r="S16" s="811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-1.5025803566379938</v>
      </c>
      <c r="V16" s="383">
        <f t="shared" si="8"/>
        <v>25.541701574761106</v>
      </c>
      <c r="W16" s="58"/>
      <c r="X16" s="157">
        <f t="shared" si="9"/>
        <v>43467</v>
      </c>
      <c r="Y16" s="385">
        <f t="shared" si="10"/>
        <v>7.3440000000000003</v>
      </c>
      <c r="Z16" s="385">
        <f t="shared" si="11"/>
        <v>7.3775340043998696</v>
      </c>
      <c r="AA16" s="386">
        <f t="shared" si="12"/>
        <v>7.4680215069715485</v>
      </c>
      <c r="AB16" s="197">
        <f t="shared" si="13"/>
        <v>43467</v>
      </c>
      <c r="AC16" s="426">
        <f>IF(OR(t&lt;Tnet,NoTnet),'2018'!Resal_s+('2018'!Salim-'2018'!Resal_s)*(1-EXP(('2018'!Tnet_s-t)/'2018'!Tau_j)),Resal_s+(Salim-Resal_s)*(1-EXP((Tnet_s-t)/Tau_j)))*Salcycl</f>
        <v>1.211666336086566E-2</v>
      </c>
      <c r="AD16" s="231">
        <f>(INDEX(Models!$BJ16:$BT16,,AH16)*(1-AF16)+INDEX(Models!$BJ16:$BT16,,AH16+1)*AF16-ERP_i)*AE16*Ramure*Pc/MaxiM</f>
        <v>6.4921785424775779E-5</v>
      </c>
      <c r="AE16" s="305">
        <f t="shared" si="14"/>
        <v>0.5</v>
      </c>
      <c r="AF16" s="177">
        <f t="shared" si="15"/>
        <v>0.49741964336200617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-1.5025803566379938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7">
        <v>26.925000000000001</v>
      </c>
      <c r="C17" s="390"/>
      <c r="D17" s="393">
        <f t="shared" si="0"/>
        <v>27.048536749974712</v>
      </c>
      <c r="E17" s="385">
        <f>Wh_pvt/(1-Psa)</f>
        <v>27.381747300840711</v>
      </c>
      <c r="F17" s="385">
        <f t="shared" si="2"/>
        <v>27.383515682442006</v>
      </c>
      <c r="G17" s="110">
        <f t="shared" ref="G17:G79" si="23">+Wh_hp/MaxiM</f>
        <v>1.0465014242498614</v>
      </c>
      <c r="H17" s="414" t="b">
        <f>Wh_hp&gt;='2018'!Maxi_hp</f>
        <v>1</v>
      </c>
      <c r="I17" s="390">
        <f>IF(H17,Wh_hp,'2018'!Maxi_hp)</f>
        <v>27.383515682442006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4.5672248786184921E-3</v>
      </c>
      <c r="M17" s="845"/>
      <c r="N17" s="845"/>
      <c r="O17" s="48">
        <f>IF(t&lt;Tnet,'2018'!Resal+('2018'!Salim-'2018'!Resal)*(1-EXP(('2018'!Tnet-t)/('2018'!Tau_j))),Resal+(Salim-Resal)*(1-EXP((Tnet-t)/(Tau_j))))*Salcycl</f>
        <v>1.2169075523378627E-2</v>
      </c>
      <c r="P17" s="169">
        <f>(INDEX(Models!$BJ17:$BT17,,T17)*(1-R17)+INDEX(Models!$BJ17:$BT17,,T17+1)*R17-ERP_i)*Q17*Ramure*Pc/MaxiM</f>
        <v>6.4578325946205225E-5</v>
      </c>
      <c r="Q17" s="305">
        <f t="shared" si="4"/>
        <v>0.5</v>
      </c>
      <c r="R17" s="177">
        <f t="shared" si="5"/>
        <v>0.49745007995749568</v>
      </c>
      <c r="S17" s="811">
        <f t="shared" si="6"/>
        <v>-2</v>
      </c>
      <c r="T17" s="176">
        <f t="shared" si="7"/>
        <v>4</v>
      </c>
      <c r="U17" s="251">
        <f t="shared" si="21"/>
        <v>-1.5025499200425043</v>
      </c>
      <c r="V17" s="383">
        <f t="shared" si="8"/>
        <v>25.72858419117777</v>
      </c>
      <c r="W17" s="58"/>
      <c r="X17" s="157">
        <f t="shared" si="9"/>
        <v>43468</v>
      </c>
      <c r="Y17" s="385">
        <f t="shared" si="10"/>
        <v>26.925000000000001</v>
      </c>
      <c r="Z17" s="385">
        <f t="shared" si="11"/>
        <v>27.048536749974712</v>
      </c>
      <c r="AA17" s="386">
        <f t="shared" si="12"/>
        <v>27.381747300840711</v>
      </c>
      <c r="AB17" s="197">
        <f t="shared" si="13"/>
        <v>43468</v>
      </c>
      <c r="AC17" s="426">
        <f>IF(OR(t&lt;Tnet,NoTnet),'2018'!Resal_s+('2018'!Salim-'2018'!Resal_s)*(1-EXP(('2018'!Tnet_s-t)/'2018'!Tau_j)),Resal_s+(Salim-Resal_s)*(1-EXP((Tnet_s-t)/Tau_j)))*Salcycl</f>
        <v>1.2169075523378627E-2</v>
      </c>
      <c r="AD17" s="231">
        <f>(INDEX(Models!$BJ17:$BT17,,AH17)*(1-AF17)+INDEX(Models!$BJ17:$BT17,,AH17+1)*AF17-ERP_i)*AE17*Ramure*Pc/MaxiM</f>
        <v>6.4578325946205225E-5</v>
      </c>
      <c r="AE17" s="305">
        <f t="shared" si="14"/>
        <v>0.5</v>
      </c>
      <c r="AF17" s="177">
        <f t="shared" si="15"/>
        <v>0.49745007995749568</v>
      </c>
      <c r="AG17" s="176">
        <f t="shared" si="16"/>
        <v>-2</v>
      </c>
      <c r="AH17" s="176">
        <f t="shared" si="17"/>
        <v>4</v>
      </c>
      <c r="AI17" s="225">
        <f t="shared" si="22"/>
        <v>-1.5025499200425043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7">
        <v>24.042999999999999</v>
      </c>
      <c r="C18" s="390"/>
      <c r="D18" s="393">
        <f t="shared" si="0"/>
        <v>24.153842645985932</v>
      </c>
      <c r="E18" s="385">
        <f>Wh_pvt/(1-Psa)</f>
        <v>24.452690223299399</v>
      </c>
      <c r="F18" s="385">
        <f t="shared" si="2"/>
        <v>24.454097030053351</v>
      </c>
      <c r="G18" s="110">
        <f>+Wh_hp/MaxiM</f>
        <v>0.92750925637834625</v>
      </c>
      <c r="H18" s="414" t="b">
        <f>Wh_hp&gt;='2018'!Maxi_hp</f>
        <v>1</v>
      </c>
      <c r="I18" s="390">
        <f>IF(H18,Wh_hp,'2018'!Maxi_hp)</f>
        <v>24.454097030053351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4.5890274111044516E-3</v>
      </c>
      <c r="M18" s="845"/>
      <c r="N18" s="845"/>
      <c r="O18" s="48">
        <f>IF(t&lt;Tnet,'2018'!Resal+('2018'!Salim-'2018'!Resal)*(1-EXP(('2018'!Tnet-t)/('2018'!Tau_j))),Resal+(Salim-Resal)*(1-EXP((Tnet-t)/(Tau_j))))*Salcycl</f>
        <v>1.2221460075943505E-2</v>
      </c>
      <c r="P18" s="169">
        <f>(INDEX(Models!$BJ18:$BT18,,T18)*(1-R18)+INDEX(Models!$BJ18:$BT18,,T18+1)*R18-ERP_i)*Q18*Ramure*Pc/MaxiM</f>
        <v>6.4173607128903613E-5</v>
      </c>
      <c r="Q18" s="305">
        <f>IF(OR(t&lt;Ttai,Notai),Dd+PousD*Croivg,Dens+PousD*(Croivg-Croi_tai))</f>
        <v>0.5</v>
      </c>
      <c r="R18" s="177">
        <f t="shared" si="5"/>
        <v>0.49748178948879085</v>
      </c>
      <c r="S18" s="811">
        <f t="shared" si="6"/>
        <v>-2</v>
      </c>
      <c r="T18" s="176">
        <f t="shared" si="7"/>
        <v>4</v>
      </c>
      <c r="U18" s="251">
        <f t="shared" si="21"/>
        <v>-1.5025182105112092</v>
      </c>
      <c r="V18" s="383">
        <f t="shared" si="8"/>
        <v>25.921941001024233</v>
      </c>
      <c r="W18" s="58"/>
      <c r="X18" s="157">
        <f t="shared" si="9"/>
        <v>43469</v>
      </c>
      <c r="Y18" s="385">
        <f t="shared" si="10"/>
        <v>24.042999999999999</v>
      </c>
      <c r="Z18" s="385">
        <f>Wh_sa_s*(1-Psa_s)</f>
        <v>24.153842645985932</v>
      </c>
      <c r="AA18" s="386">
        <f t="shared" si="12"/>
        <v>24.452690223299399</v>
      </c>
      <c r="AB18" s="197">
        <f>t</f>
        <v>43469</v>
      </c>
      <c r="AC18" s="426">
        <f>IF(OR(t&lt;Tnet,NoTnet),'2018'!Resal_s+('2018'!Salim-'2018'!Resal_s)*(1-EXP(('2018'!Tnet_s-t)/'2018'!Tau_j)),Resal_s+(Salim-Resal_s)*(1-EXP((Tnet_s-t)/Tau_j)))*Salcycl</f>
        <v>1.2221460075943505E-2</v>
      </c>
      <c r="AD18" s="231">
        <f>(INDEX(Models!$BJ18:$BT18,,AH18)*(1-AF18)+INDEX(Models!$BJ18:$BT18,,AH18+1)*AF18-ERP_i)*AE18*Ramure*Pc/MaxiM</f>
        <v>6.4173607128903613E-5</v>
      </c>
      <c r="AE18" s="305">
        <f t="shared" si="14"/>
        <v>0.5</v>
      </c>
      <c r="AF18" s="177">
        <f t="shared" si="15"/>
        <v>0.49748178948879085</v>
      </c>
      <c r="AG18" s="176">
        <f t="shared" si="16"/>
        <v>-2</v>
      </c>
      <c r="AH18" s="176">
        <f t="shared" si="17"/>
        <v>4</v>
      </c>
      <c r="AI18" s="225">
        <f t="shared" si="22"/>
        <v>-1.5025182105112092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7">
        <v>26.59</v>
      </c>
      <c r="C19" s="390"/>
      <c r="D19" s="393">
        <f t="shared" si="0"/>
        <v>26.713169870771996</v>
      </c>
      <c r="E19" s="385">
        <f>Wh_pvt/(1-Psa)</f>
        <v>27.045116625789401</v>
      </c>
      <c r="F19" s="385">
        <f t="shared" si="2"/>
        <v>27.046839831733369</v>
      </c>
      <c r="G19" s="110">
        <f>+Wh_hp/MaxiM</f>
        <v>1.0179718250670069</v>
      </c>
      <c r="H19" s="414" t="b">
        <f>Wh_hp&gt;='2018'!Maxi_hp</f>
        <v>1</v>
      </c>
      <c r="I19" s="390">
        <f>IF(H19,Wh_hp,'2018'!Maxi_hp)</f>
        <v>27.046839831733369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4.6108294660590632E-3</v>
      </c>
      <c r="M19" s="845"/>
      <c r="N19" s="845"/>
      <c r="O19" s="48">
        <f>IF(t&lt;Tnet,'2018'!Resal+('2018'!Salim-'2018'!Resal)*(1-EXP(('2018'!Tnet-t)/('2018'!Tau_j))),Resal+(Salim-Resal)*(1-EXP((Tnet-t)/(Tau_j))))*Salcycl</f>
        <v>1.227381488534127E-2</v>
      </c>
      <c r="P19" s="169">
        <f>(INDEX(Models!$BJ19:$BT19,,T19)*(1-R19)+INDEX(Models!$BJ19:$BT19,,T19+1)*R19-ERP_i)*Q19*Ramure*Pc/MaxiM</f>
        <v>6.3711914393255585E-5</v>
      </c>
      <c r="Q19" s="305">
        <f t="shared" si="4"/>
        <v>0.5</v>
      </c>
      <c r="R19" s="177">
        <f t="shared" si="5"/>
        <v>0.49751482502135236</v>
      </c>
      <c r="S19" s="811">
        <f t="shared" si="6"/>
        <v>-2</v>
      </c>
      <c r="T19" s="176">
        <f t="shared" si="7"/>
        <v>4</v>
      </c>
      <c r="U19" s="251">
        <f t="shared" si="21"/>
        <v>-1.5024851749786476</v>
      </c>
      <c r="V19" s="383">
        <f t="shared" si="8"/>
        <v>26.120565761483373</v>
      </c>
      <c r="W19" s="58"/>
      <c r="X19" s="157">
        <f t="shared" si="9"/>
        <v>43470</v>
      </c>
      <c r="Y19" s="385">
        <f t="shared" si="10"/>
        <v>26.59</v>
      </c>
      <c r="Z19" s="385">
        <f t="shared" si="11"/>
        <v>26.713169870771996</v>
      </c>
      <c r="AA19" s="386">
        <f t="shared" si="12"/>
        <v>27.045116625789401</v>
      </c>
      <c r="AB19" s="197">
        <f t="shared" si="13"/>
        <v>43470</v>
      </c>
      <c r="AC19" s="426">
        <f>IF(OR(t&lt;Tnet,NoTnet),'2018'!Resal_s+('2018'!Salim-'2018'!Resal_s)*(1-EXP(('2018'!Tnet_s-t)/'2018'!Tau_j)),Resal_s+(Salim-Resal_s)*(1-EXP((Tnet_s-t)/Tau_j)))*Salcycl</f>
        <v>1.227381488534127E-2</v>
      </c>
      <c r="AD19" s="231">
        <f>(INDEX(Models!$BJ19:$BT19,,AH19)*(1-AF19)+INDEX(Models!$BJ19:$BT19,,AH19+1)*AF19-ERP_i)*AE19*Ramure*Pc/MaxiM</f>
        <v>6.3711914393255585E-5</v>
      </c>
      <c r="AE19" s="305">
        <f t="shared" si="14"/>
        <v>0.5</v>
      </c>
      <c r="AF19" s="177">
        <f t="shared" si="15"/>
        <v>0.49751482502135236</v>
      </c>
      <c r="AG19" s="176">
        <f t="shared" si="16"/>
        <v>-2</v>
      </c>
      <c r="AH19" s="176">
        <f t="shared" si="17"/>
        <v>4</v>
      </c>
      <c r="AI19" s="225">
        <f t="shared" si="22"/>
        <v>-1.5024851749786476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7">
        <v>4.6459999999999999</v>
      </c>
      <c r="C20" s="390"/>
      <c r="D20" s="393">
        <f t="shared" si="0"/>
        <v>4.6676233769554161</v>
      </c>
      <c r="E20" s="385">
        <f t="shared" si="1"/>
        <v>4.7258751670725649</v>
      </c>
      <c r="F20" s="385">
        <f t="shared" si="2"/>
        <v>4.7258751670725649</v>
      </c>
      <c r="G20" s="110">
        <f t="shared" si="23"/>
        <v>0.17648679125961181</v>
      </c>
      <c r="H20" s="414" t="b">
        <f>Wh_hp&gt;='2018'!Maxi_hp</f>
        <v>1</v>
      </c>
      <c r="I20" s="390">
        <f>IF(H20,Wh_hp,'2018'!Maxi_hp)</f>
        <v>4.7258751670725649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4.6326310434927631E-3</v>
      </c>
      <c r="M20" s="845"/>
      <c r="N20" s="845"/>
      <c r="O20" s="48">
        <f>IF(t&lt;Tnet,'2018'!Resal+('2018'!Salim-'2018'!Resal)*(1-EXP(('2018'!Tnet-t)/('2018'!Tau_j))),Resal+(Salim-Resal)*(1-EXP((Tnet-t)/(Tau_j))))*Salcycl</f>
        <v>1.232613813479805E-2</v>
      </c>
      <c r="P20" s="169">
        <f>(INDEX(Models!$BJ20:$BT20,,T20)*(1-R20)+INDEX(Models!$BJ20:$BT20,,T20+1)*R20-ERP_i)*Q20*Ramure*Pc/MaxiM</f>
        <v>6.3197409414738018E-5</v>
      </c>
      <c r="Q20" s="305">
        <f t="shared" si="4"/>
        <v>0.5</v>
      </c>
      <c r="R20" s="177">
        <f t="shared" si="5"/>
        <v>0.49754924181810312</v>
      </c>
      <c r="S20" s="811">
        <f t="shared" si="6"/>
        <v>-2</v>
      </c>
      <c r="T20" s="176">
        <f t="shared" si="7"/>
        <v>4</v>
      </c>
      <c r="U20" s="251">
        <f t="shared" si="21"/>
        <v>-1.5024507581818969</v>
      </c>
      <c r="V20" s="383">
        <f t="shared" si="8"/>
        <v>26.323252588359615</v>
      </c>
      <c r="W20" s="58"/>
      <c r="X20" s="157">
        <f t="shared" si="9"/>
        <v>43471</v>
      </c>
      <c r="Y20" s="385">
        <f t="shared" si="10"/>
        <v>4.6459999999999999</v>
      </c>
      <c r="Z20" s="385">
        <f t="shared" si="11"/>
        <v>4.6676233769554161</v>
      </c>
      <c r="AA20" s="386">
        <f t="shared" si="12"/>
        <v>4.7258751670725649</v>
      </c>
      <c r="AB20" s="197">
        <f t="shared" si="13"/>
        <v>43471</v>
      </c>
      <c r="AC20" s="426">
        <f>IF(OR(t&lt;Tnet,NoTnet),'2018'!Resal_s+('2018'!Salim-'2018'!Resal_s)*(1-EXP(('2018'!Tnet_s-t)/'2018'!Tau_j)),Resal_s+(Salim-Resal_s)*(1-EXP((Tnet_s-t)/Tau_j)))*Salcycl</f>
        <v>1.232613813479805E-2</v>
      </c>
      <c r="AD20" s="231">
        <f>(INDEX(Models!$BJ20:$BT20,,AH20)*(1-AF20)+INDEX(Models!$BJ20:$BT20,,AH20+1)*AF20-ERP_i)*AE20*Ramure*Pc/MaxiM</f>
        <v>6.3197409414738018E-5</v>
      </c>
      <c r="AE20" s="305">
        <f>IF(OR(t&lt;Ttai,Notai),Dd_s+PousD*Croivg,Dens_s+PousD*(Croivg-Croi_tai))</f>
        <v>0.5</v>
      </c>
      <c r="AF20" s="177">
        <f t="shared" si="15"/>
        <v>0.49754924181810312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-1.5024507581818969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7">
        <v>2.8</v>
      </c>
      <c r="C21" s="390"/>
      <c r="D21" s="393">
        <f t="shared" si="0"/>
        <v>2.8130933521205392</v>
      </c>
      <c r="E21" s="385">
        <f t="shared" si="1"/>
        <v>2.8483514665709446</v>
      </c>
      <c r="F21" s="385">
        <f t="shared" si="2"/>
        <v>2.8483514665709446</v>
      </c>
      <c r="G21" s="110">
        <f t="shared" si="23"/>
        <v>0.10553907647971467</v>
      </c>
      <c r="H21" s="414" t="b">
        <f>Wh_hp&gt;='2018'!Maxi_hp</f>
        <v>1</v>
      </c>
      <c r="I21" s="390">
        <f>IF(H21,Wh_hp,'2018'!Maxi_hp)</f>
        <v>2.8483514665709446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4.6544321434158764E-3</v>
      </c>
      <c r="M21" s="845"/>
      <c r="N21" s="845"/>
      <c r="O21" s="48">
        <f>IF(t&lt;Tnet,'2018'!Resal+('2018'!Salim-'2018'!Resal)*(1-EXP(('2018'!Tnet-t)/('2018'!Tau_j))),Resal+(Salim-Resal)*(1-EXP((Tnet-t)/(Tau_j))))*Salcycl</f>
        <v>1.2378428316942179E-2</v>
      </c>
      <c r="P21" s="169">
        <f>(INDEX(Models!$BJ21:$BT21,,T21)*(1-R21)+INDEX(Models!$BJ21:$BT21,,T21+1)*R21-ERP_i)*Q21*Ramure*Pc/MaxiM</f>
        <v>6.2634103998091779E-5</v>
      </c>
      <c r="Q21" s="305">
        <f t="shared" si="4"/>
        <v>0.5</v>
      </c>
      <c r="R21" s="177">
        <f t="shared" si="5"/>
        <v>0.49758509742916623</v>
      </c>
      <c r="S21" s="811">
        <f t="shared" si="6"/>
        <v>-2</v>
      </c>
      <c r="T21" s="176">
        <f t="shared" si="7"/>
        <v>4</v>
      </c>
      <c r="U21" s="251">
        <f t="shared" si="21"/>
        <v>-1.5024149025708338</v>
      </c>
      <c r="V21" s="383">
        <f t="shared" si="8"/>
        <v>26.528795948360894</v>
      </c>
      <c r="W21" s="58"/>
      <c r="X21" s="157">
        <f t="shared" si="9"/>
        <v>43472</v>
      </c>
      <c r="Y21" s="385">
        <f t="shared" si="10"/>
        <v>2.8</v>
      </c>
      <c r="Z21" s="385">
        <f t="shared" si="11"/>
        <v>2.8130933521205392</v>
      </c>
      <c r="AA21" s="386">
        <f t="shared" si="12"/>
        <v>2.8483514665709446</v>
      </c>
      <c r="AB21" s="197">
        <f t="shared" si="13"/>
        <v>43472</v>
      </c>
      <c r="AC21" s="426">
        <f>IF(OR(t&lt;Tnet,NoTnet),'2018'!Resal_s+('2018'!Salim-'2018'!Resal_s)*(1-EXP(('2018'!Tnet_s-t)/'2018'!Tau_j)),Resal_s+(Salim-Resal_s)*(1-EXP((Tnet_s-t)/Tau_j)))*Salcycl</f>
        <v>1.2378428316942179E-2</v>
      </c>
      <c r="AD21" s="231">
        <f>(INDEX(Models!$BJ21:$BT21,,AH21)*(1-AF21)+INDEX(Models!$BJ21:$BT21,,AH21+1)*AF21-ERP_i)*AE21*Ramure*Pc/MaxiM</f>
        <v>6.2634103998091779E-5</v>
      </c>
      <c r="AE21" s="305">
        <f t="shared" si="14"/>
        <v>0.5</v>
      </c>
      <c r="AF21" s="177">
        <f t="shared" si="15"/>
        <v>0.49758509742916623</v>
      </c>
      <c r="AG21" s="176">
        <f t="shared" si="16"/>
        <v>-2</v>
      </c>
      <c r="AH21" s="176">
        <f t="shared" si="17"/>
        <v>4</v>
      </c>
      <c r="AI21" s="225">
        <f t="shared" si="22"/>
        <v>-1.5024149025708338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7">
        <v>4.3840000000000003</v>
      </c>
      <c r="C22" s="390"/>
      <c r="D22" s="393">
        <f t="shared" si="0"/>
        <v>4.4045969204396744</v>
      </c>
      <c r="E22" s="385">
        <f t="shared" si="1"/>
        <v>4.4600382475209654</v>
      </c>
      <c r="F22" s="385">
        <f t="shared" si="2"/>
        <v>4.4600382475209654</v>
      </c>
      <c r="G22" s="110">
        <f t="shared" si="23"/>
        <v>0.16396355509438559</v>
      </c>
      <c r="H22" s="414" t="b">
        <f>Wh_hp&gt;='2018'!Maxi_hp</f>
        <v>1</v>
      </c>
      <c r="I22" s="390">
        <f>IF(H22,Wh_hp,'2018'!Maxi_hp)</f>
        <v>4.4600382475209654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4.6762327658390612E-3</v>
      </c>
      <c r="M22" s="845"/>
      <c r="N22" s="845"/>
      <c r="O22" s="48">
        <f>IF(t&lt;Tnet,'2018'!Resal+('2018'!Salim-'2018'!Resal)*(1-EXP(('2018'!Tnet-t)/('2018'!Tau_j))),Resal+(Salim-Resal)*(1-EXP((Tnet-t)/(Tau_j))))*Salcycl</f>
        <v>1.2430684223864499E-2</v>
      </c>
      <c r="P22" s="169">
        <f>(INDEX(Models!$BJ22:$BT22,,T22)*(1-R22)+INDEX(Models!$BJ22:$BT22,,T22+1)*R22-ERP_i)*Q22*Ramure*Pc/MaxiM</f>
        <v>6.2025838670833291E-5</v>
      </c>
      <c r="Q22" s="305">
        <f t="shared" si="4"/>
        <v>0.5</v>
      </c>
      <c r="R22" s="177">
        <f t="shared" si="5"/>
        <v>0.49762245178516351</v>
      </c>
      <c r="S22" s="811">
        <f t="shared" si="6"/>
        <v>-2</v>
      </c>
      <c r="T22" s="176">
        <f t="shared" si="7"/>
        <v>4</v>
      </c>
      <c r="U22" s="251">
        <f t="shared" si="21"/>
        <v>-1.5023775482148365</v>
      </c>
      <c r="V22" s="383">
        <f t="shared" si="8"/>
        <v>26.735990666948972</v>
      </c>
      <c r="W22" s="58"/>
      <c r="X22" s="157">
        <f t="shared" si="9"/>
        <v>43473</v>
      </c>
      <c r="Y22" s="385">
        <f t="shared" si="10"/>
        <v>4.3840000000000003</v>
      </c>
      <c r="Z22" s="385">
        <f t="shared" si="11"/>
        <v>4.4045969204396744</v>
      </c>
      <c r="AA22" s="386">
        <f t="shared" si="12"/>
        <v>4.4600382475209654</v>
      </c>
      <c r="AB22" s="197">
        <f t="shared" si="13"/>
        <v>43473</v>
      </c>
      <c r="AC22" s="426">
        <f>IF(OR(t&lt;Tnet,NoTnet),'2018'!Resal_s+('2018'!Salim-'2018'!Resal_s)*(1-EXP(('2018'!Tnet_s-t)/'2018'!Tau_j)),Resal_s+(Salim-Resal_s)*(1-EXP((Tnet_s-t)/Tau_j)))*Salcycl</f>
        <v>1.2430684223864499E-2</v>
      </c>
      <c r="AD22" s="231">
        <f>(INDEX(Models!$BJ22:$BT22,,AH22)*(1-AF22)+INDEX(Models!$BJ22:$BT22,,AH22+1)*AF22-ERP_i)*AE22*Ramure*Pc/MaxiM</f>
        <v>6.2025838670833291E-5</v>
      </c>
      <c r="AE22" s="305">
        <f t="shared" si="14"/>
        <v>0.5</v>
      </c>
      <c r="AF22" s="177">
        <f t="shared" si="15"/>
        <v>0.49762245178516351</v>
      </c>
      <c r="AG22" s="176">
        <f t="shared" si="16"/>
        <v>-2</v>
      </c>
      <c r="AH22" s="176">
        <f t="shared" si="17"/>
        <v>4</v>
      </c>
      <c r="AI22" s="225">
        <f t="shared" si="22"/>
        <v>-1.5023775482148365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7">
        <v>11.691000000000001</v>
      </c>
      <c r="C23" s="390"/>
      <c r="D23" s="393">
        <f t="shared" si="0"/>
        <v>11.7461839588145</v>
      </c>
      <c r="E23" s="385">
        <f t="shared" si="1"/>
        <v>11.894663917726902</v>
      </c>
      <c r="F23" s="385">
        <f t="shared" si="2"/>
        <v>11.894803492023692</v>
      </c>
      <c r="G23" s="110">
        <f t="shared" si="23"/>
        <v>0.43382453258493081</v>
      </c>
      <c r="H23" s="414" t="b">
        <f>Wh_hp&gt;='2018'!Maxi_hp</f>
        <v>1</v>
      </c>
      <c r="I23" s="390">
        <f>IF(H23,Wh_hp,'2018'!Maxi_hp)</f>
        <v>11.894803492023692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4.6980329107725316E-3</v>
      </c>
      <c r="M23" s="845"/>
      <c r="N23" s="845"/>
      <c r="O23" s="48">
        <f>IF(t&lt;Tnet,'2018'!Resal+('2018'!Salim-'2018'!Resal)*(1-EXP(('2018'!Tnet-t)/('2018'!Tau_j))),Resal+(Salim-Resal)*(1-EXP((Tnet-t)/(Tau_j))))*Salcycl</f>
        <v>1.2482904934465522E-2</v>
      </c>
      <c r="P23" s="169">
        <f>(INDEX(Models!$BJ23:$BT23,,T23)*(1-R23)+INDEX(Models!$BJ23:$BT23,,T23+1)*R23-ERP_i)*Q23*Ramure*Pc/MaxiM</f>
        <v>6.1367807163404295E-5</v>
      </c>
      <c r="Q23" s="305">
        <f t="shared" si="4"/>
        <v>0.5</v>
      </c>
      <c r="R23" s="177">
        <f t="shared" si="5"/>
        <v>0.49766136729419852</v>
      </c>
      <c r="S23" s="811">
        <f t="shared" si="6"/>
        <v>-2</v>
      </c>
      <c r="T23" s="176">
        <f t="shared" si="7"/>
        <v>4</v>
      </c>
      <c r="U23" s="251">
        <f t="shared" si="21"/>
        <v>-1.5023386327058015</v>
      </c>
      <c r="V23" s="383">
        <f t="shared" si="8"/>
        <v>26.947345866669966</v>
      </c>
      <c r="W23" s="58"/>
      <c r="X23" s="157">
        <f t="shared" si="9"/>
        <v>43474</v>
      </c>
      <c r="Y23" s="385">
        <f t="shared" si="10"/>
        <v>11.691000000000001</v>
      </c>
      <c r="Z23" s="385">
        <f t="shared" si="11"/>
        <v>11.7461839588145</v>
      </c>
      <c r="AA23" s="386">
        <f t="shared" si="12"/>
        <v>11.894663917726902</v>
      </c>
      <c r="AB23" s="197">
        <f t="shared" si="13"/>
        <v>43474</v>
      </c>
      <c r="AC23" s="426">
        <f>IF(OR(t&lt;Tnet,NoTnet),'2018'!Resal_s+('2018'!Salim-'2018'!Resal_s)*(1-EXP(('2018'!Tnet_s-t)/'2018'!Tau_j)),Resal_s+(Salim-Resal_s)*(1-EXP((Tnet_s-t)/Tau_j)))*Salcycl</f>
        <v>1.2482904934465522E-2</v>
      </c>
      <c r="AD23" s="231">
        <f>(INDEX(Models!$BJ23:$BT23,,AH23)*(1-AF23)+INDEX(Models!$BJ23:$BT23,,AH23+1)*AF23-ERP_i)*AE23*Ramure*Pc/MaxiM</f>
        <v>6.1367807163404295E-5</v>
      </c>
      <c r="AE23" s="305">
        <f t="shared" si="14"/>
        <v>0.5</v>
      </c>
      <c r="AF23" s="177">
        <f t="shared" si="15"/>
        <v>0.49766136729419852</v>
      </c>
      <c r="AG23" s="176">
        <f t="shared" si="16"/>
        <v>-2</v>
      </c>
      <c r="AH23" s="176">
        <f t="shared" si="17"/>
        <v>4</v>
      </c>
      <c r="AI23" s="225">
        <f t="shared" si="22"/>
        <v>-1.5023386327058015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7">
        <v>13.003</v>
      </c>
      <c r="C24" s="390"/>
      <c r="D24" s="393">
        <f t="shared" si="0"/>
        <v>13.064663022155527</v>
      </c>
      <c r="E24" s="385">
        <f t="shared" si="1"/>
        <v>13.230508635998138</v>
      </c>
      <c r="F24" s="385">
        <f t="shared" si="2"/>
        <v>13.230713123965954</v>
      </c>
      <c r="G24" s="110">
        <f t="shared" si="23"/>
        <v>0.47862782361208095</v>
      </c>
      <c r="H24" s="414" t="b">
        <f>Wh_hp&gt;='2018'!Maxi_hp</f>
        <v>1</v>
      </c>
      <c r="I24" s="390">
        <f>IF(H24,Wh_hp,'2018'!Maxi_hp)</f>
        <v>13.230713123965954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4.7198325782269457E-3</v>
      </c>
      <c r="M24" s="845"/>
      <c r="N24" s="845"/>
      <c r="O24" s="48">
        <f>IF(t&lt;Tnet,'2018'!Resal+('2018'!Salim-'2018'!Resal)*(1-EXP(('2018'!Tnet-t)/('2018'!Tau_j))),Resal+(Salim-Resal)*(1-EXP((Tnet-t)/(Tau_j))))*Salcycl</f>
        <v>1.2535089799296946E-2</v>
      </c>
      <c r="P24" s="169">
        <f>(INDEX(Models!$BJ24:$BT24,,T24)*(1-R24)+INDEX(Models!$BJ24:$BT24,,T24+1)*R24-ERP_i)*Q24*Ramure*Pc/MaxiM</f>
        <v>6.0559314832668346E-5</v>
      </c>
      <c r="Q24" s="305">
        <f t="shared" si="4"/>
        <v>0.5</v>
      </c>
      <c r="R24" s="177">
        <f t="shared" si="5"/>
        <v>0.49770190894266819</v>
      </c>
      <c r="S24" s="811">
        <f t="shared" si="6"/>
        <v>-2</v>
      </c>
      <c r="T24" s="176">
        <f t="shared" si="7"/>
        <v>4</v>
      </c>
      <c r="U24" s="251">
        <f t="shared" si="21"/>
        <v>-1.5022980910573318</v>
      </c>
      <c r="V24" s="383">
        <f t="shared" si="8"/>
        <v>27.166020998475794</v>
      </c>
      <c r="W24" s="58"/>
      <c r="X24" s="157">
        <f t="shared" si="9"/>
        <v>43475</v>
      </c>
      <c r="Y24" s="385">
        <f t="shared" si="10"/>
        <v>13.003</v>
      </c>
      <c r="Z24" s="385">
        <f t="shared" si="11"/>
        <v>13.064663022155527</v>
      </c>
      <c r="AA24" s="386">
        <f t="shared" si="12"/>
        <v>13.230508635998138</v>
      </c>
      <c r="AB24" s="197">
        <f t="shared" si="13"/>
        <v>43475</v>
      </c>
      <c r="AC24" s="426">
        <f>IF(OR(t&lt;Tnet,NoTnet),'2018'!Resal_s+('2018'!Salim-'2018'!Resal_s)*(1-EXP(('2018'!Tnet_s-t)/'2018'!Tau_j)),Resal_s+(Salim-Resal_s)*(1-EXP((Tnet_s-t)/Tau_j)))*Salcycl</f>
        <v>1.2535089799296946E-2</v>
      </c>
      <c r="AD24" s="231">
        <f>(INDEX(Models!$BJ24:$BT24,,AH24)*(1-AF24)+INDEX(Models!$BJ24:$BT24,,AH24+1)*AF24-ERP_i)*AE24*Ramure*Pc/MaxiM</f>
        <v>6.0559314832668346E-5</v>
      </c>
      <c r="AE24" s="305">
        <f t="shared" si="14"/>
        <v>0.5</v>
      </c>
      <c r="AF24" s="177">
        <f t="shared" si="15"/>
        <v>0.49770190894266819</v>
      </c>
      <c r="AG24" s="176">
        <f t="shared" si="16"/>
        <v>-2</v>
      </c>
      <c r="AH24" s="176">
        <f t="shared" si="17"/>
        <v>4</v>
      </c>
      <c r="AI24" s="225">
        <f t="shared" si="22"/>
        <v>-1.5022980910573318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7">
        <v>24.864999999999998</v>
      </c>
      <c r="C25" s="390"/>
      <c r="D25" s="393">
        <f t="shared" si="0"/>
        <v>24.98346237889572</v>
      </c>
      <c r="E25" s="385">
        <f t="shared" si="1"/>
        <v>25.301943980344912</v>
      </c>
      <c r="F25" s="385">
        <f t="shared" si="2"/>
        <v>25.303252849668574</v>
      </c>
      <c r="G25" s="110">
        <f t="shared" si="23"/>
        <v>0.90774683309718207</v>
      </c>
      <c r="H25" s="414" t="b">
        <f>Wh_hp&gt;='2018'!Maxi_hp</f>
        <v>1</v>
      </c>
      <c r="I25" s="390">
        <f>IF(H25,Wh_hp,'2018'!Maxi_hp)</f>
        <v>25.303252849668574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4.7416317682127396E-3</v>
      </c>
      <c r="M25" s="845"/>
      <c r="N25" s="845"/>
      <c r="O25" s="48">
        <f>IF(t&lt;Tnet,'2018'!Resal+('2018'!Salim-'2018'!Resal)*(1-EXP(('2018'!Tnet-t)/('2018'!Tau_j))),Resal+(Salim-Resal)*(1-EXP((Tnet-t)/(Tau_j))))*Salcycl</f>
        <v>1.2587238423126545E-2</v>
      </c>
      <c r="P25" s="169">
        <f>(INDEX(Models!$BJ25:$BT25,,T25)*(1-R25)+INDEX(Models!$BJ25:$BT25,,T25+1)*R25-ERP_i)*Q25*Ramure*Pc/MaxiM</f>
        <v>5.9578583867826135E-5</v>
      </c>
      <c r="Q25" s="305">
        <f t="shared" si="4"/>
        <v>0.5</v>
      </c>
      <c r="R25" s="177">
        <f t="shared" si="5"/>
        <v>0.49774414440003412</v>
      </c>
      <c r="S25" s="811">
        <f t="shared" si="6"/>
        <v>-2</v>
      </c>
      <c r="T25" s="176">
        <f t="shared" si="7"/>
        <v>4</v>
      </c>
      <c r="U25" s="251">
        <f t="shared" si="21"/>
        <v>-1.5022558555999659</v>
      </c>
      <c r="V25" s="383">
        <f t="shared" si="8"/>
        <v>27.391783547463934</v>
      </c>
      <c r="W25" s="58"/>
      <c r="X25" s="157">
        <f t="shared" si="9"/>
        <v>43476</v>
      </c>
      <c r="Y25" s="385">
        <f t="shared" si="10"/>
        <v>24.864999999999998</v>
      </c>
      <c r="Z25" s="385">
        <f t="shared" si="11"/>
        <v>24.98346237889572</v>
      </c>
      <c r="AA25" s="386">
        <f t="shared" si="12"/>
        <v>25.301943980344912</v>
      </c>
      <c r="AB25" s="197">
        <f t="shared" si="13"/>
        <v>43476</v>
      </c>
      <c r="AC25" s="426">
        <f>IF(OR(t&lt;Tnet,NoTnet),'2018'!Resal_s+('2018'!Salim-'2018'!Resal_s)*(1-EXP(('2018'!Tnet_s-t)/'2018'!Tau_j)),Resal_s+(Salim-Resal_s)*(1-EXP((Tnet_s-t)/Tau_j)))*Salcycl</f>
        <v>1.2587238423126545E-2</v>
      </c>
      <c r="AD25" s="231">
        <f>(INDEX(Models!$BJ25:$BT25,,AH25)*(1-AF25)+INDEX(Models!$BJ25:$BT25,,AH25+1)*AF25-ERP_i)*AE25*Ramure*Pc/MaxiM</f>
        <v>5.9578583867826135E-5</v>
      </c>
      <c r="AE25" s="305">
        <f t="shared" si="14"/>
        <v>0.5</v>
      </c>
      <c r="AF25" s="177">
        <f t="shared" si="15"/>
        <v>0.49774414440003412</v>
      </c>
      <c r="AG25" s="176">
        <f t="shared" si="16"/>
        <v>-2</v>
      </c>
      <c r="AH25" s="176">
        <f t="shared" si="17"/>
        <v>4</v>
      </c>
      <c r="AI25" s="225">
        <f t="shared" si="22"/>
        <v>-1.5022558555999659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7">
        <v>9.4700000000000006</v>
      </c>
      <c r="C26" s="390"/>
      <c r="D26" s="393">
        <f t="shared" si="0"/>
        <v>9.5153255919589057</v>
      </c>
      <c r="E26" s="385">
        <f t="shared" si="1"/>
        <v>9.6371326912607156</v>
      </c>
      <c r="F26" s="385">
        <f t="shared" si="2"/>
        <v>9.6371671316481109</v>
      </c>
      <c r="G26" s="110">
        <f t="shared" si="23"/>
        <v>0.34279406548845121</v>
      </c>
      <c r="H26" s="414" t="b">
        <f>Wh_hp&gt;='2018'!Maxi_hp</f>
        <v>1</v>
      </c>
      <c r="I26" s="390">
        <f>IF(H26,Wh_hp,'2018'!Maxi_hp)</f>
        <v>9.6371671316481109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4.7634304807402383E-3</v>
      </c>
      <c r="M26" s="845"/>
      <c r="N26" s="845"/>
      <c r="O26" s="48">
        <f>IF(t&lt;Tnet,'2018'!Resal+('2018'!Salim-'2018'!Resal)*(1-EXP(('2018'!Tnet-t)/('2018'!Tau_j))),Resal+(Salim-Resal)*(1-EXP((Tnet-t)/(Tau_j))))*Salcycl</f>
        <v>1.2639350645474483E-2</v>
      </c>
      <c r="P26" s="169">
        <f>(INDEX(Models!$BJ26:$BT26,,T26)*(1-R26)+INDEX(Models!$BJ26:$BT26,,T26+1)*R26-ERP_i)*Q26*Ramure*Pc/MaxiM</f>
        <v>5.843086584234439E-5</v>
      </c>
      <c r="Q26" s="305">
        <f t="shared" si="4"/>
        <v>0.5</v>
      </c>
      <c r="R26" s="177">
        <f t="shared" si="5"/>
        <v>0.49778814412770522</v>
      </c>
      <c r="S26" s="811">
        <f t="shared" si="6"/>
        <v>-2</v>
      </c>
      <c r="T26" s="176">
        <f t="shared" si="7"/>
        <v>4</v>
      </c>
      <c r="U26" s="251">
        <f t="shared" si="21"/>
        <v>-1.5022118558722948</v>
      </c>
      <c r="V26" s="383">
        <f t="shared" si="8"/>
        <v>27.624400344656593</v>
      </c>
      <c r="W26" s="58"/>
      <c r="X26" s="157">
        <f t="shared" si="9"/>
        <v>43477</v>
      </c>
      <c r="Y26" s="385">
        <f t="shared" si="10"/>
        <v>9.4700000000000006</v>
      </c>
      <c r="Z26" s="385">
        <f t="shared" si="11"/>
        <v>9.5153255919589057</v>
      </c>
      <c r="AA26" s="386">
        <f t="shared" si="12"/>
        <v>9.6371326912607156</v>
      </c>
      <c r="AB26" s="197">
        <f t="shared" si="13"/>
        <v>43477</v>
      </c>
      <c r="AC26" s="426">
        <f>IF(OR(t&lt;Tnet,NoTnet),'2018'!Resal_s+('2018'!Salim-'2018'!Resal_s)*(1-EXP(('2018'!Tnet_s-t)/'2018'!Tau_j)),Resal_s+(Salim-Resal_s)*(1-EXP((Tnet_s-t)/Tau_j)))*Salcycl</f>
        <v>1.2639350645474483E-2</v>
      </c>
      <c r="AD26" s="231">
        <f>(INDEX(Models!$BJ26:$BT26,,AH26)*(1-AF26)+INDEX(Models!$BJ26:$BT26,,AH26+1)*AF26-ERP_i)*AE26*Ramure*Pc/MaxiM</f>
        <v>5.843086584234439E-5</v>
      </c>
      <c r="AE26" s="305">
        <f t="shared" si="14"/>
        <v>0.5</v>
      </c>
      <c r="AF26" s="177">
        <f t="shared" si="15"/>
        <v>0.49778814412770522</v>
      </c>
      <c r="AG26" s="176">
        <f t="shared" si="16"/>
        <v>-2</v>
      </c>
      <c r="AH26" s="176">
        <f t="shared" si="17"/>
        <v>4</v>
      </c>
      <c r="AI26" s="225">
        <f t="shared" si="22"/>
        <v>-1.5022118558722948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7">
        <v>4.0149999999999997</v>
      </c>
      <c r="C27" s="390"/>
      <c r="D27" s="393">
        <f t="shared" si="0"/>
        <v>4.0343050724812155</v>
      </c>
      <c r="E27" s="385">
        <f t="shared" si="1"/>
        <v>4.0861643267806862</v>
      </c>
      <c r="F27" s="385">
        <f t="shared" si="2"/>
        <v>4.0861643267806862</v>
      </c>
      <c r="G27" s="110">
        <f t="shared" si="23"/>
        <v>0.14408637583231149</v>
      </c>
      <c r="H27" s="414" t="b">
        <f>Wh_hp&gt;='2018'!Maxi_hp</f>
        <v>1</v>
      </c>
      <c r="I27" s="390">
        <f>IF(H27,Wh_hp,'2018'!Maxi_hp)</f>
        <v>4.0861643267806862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4.7852287158201001E-3</v>
      </c>
      <c r="M27" s="845"/>
      <c r="N27" s="845"/>
      <c r="O27" s="48">
        <f>IF(t&lt;Tnet,'2018'!Resal+('2018'!Salim-'2018'!Resal)*(1-EXP(('2018'!Tnet-t)/('2018'!Tau_j))),Resal+(Salim-Resal)*(1-EXP((Tnet-t)/(Tau_j))))*Salcycl</f>
        <v>1.2691426519385372E-2</v>
      </c>
      <c r="P27" s="169">
        <f>(INDEX(Models!$BJ27:$BT27,,T27)*(1-R27)+INDEX(Models!$BJ27:$BT27,,T27+1)*R27-ERP_i)*Q27*Ramure*Pc/MaxiM</f>
        <v>5.7121468689470078E-5</v>
      </c>
      <c r="Q27" s="305">
        <f t="shared" si="4"/>
        <v>0.5</v>
      </c>
      <c r="R27" s="177">
        <f t="shared" si="5"/>
        <v>0.49783398149217439</v>
      </c>
      <c r="S27" s="811">
        <f t="shared" si="6"/>
        <v>-2</v>
      </c>
      <c r="T27" s="176">
        <f t="shared" si="7"/>
        <v>4</v>
      </c>
      <c r="U27" s="251">
        <f t="shared" si="21"/>
        <v>-1.5021660185078256</v>
      </c>
      <c r="V27" s="383">
        <f t="shared" si="8"/>
        <v>27.863638280246722</v>
      </c>
      <c r="W27" s="58"/>
      <c r="X27" s="157">
        <f t="shared" si="9"/>
        <v>43478</v>
      </c>
      <c r="Y27" s="385">
        <f t="shared" si="10"/>
        <v>4.0149999999999997</v>
      </c>
      <c r="Z27" s="385">
        <f t="shared" si="11"/>
        <v>4.0343050724812155</v>
      </c>
      <c r="AA27" s="386">
        <f t="shared" si="12"/>
        <v>4.0861643267806862</v>
      </c>
      <c r="AB27" s="197">
        <f t="shared" si="13"/>
        <v>43478</v>
      </c>
      <c r="AC27" s="426">
        <f>IF(OR(t&lt;Tnet,NoTnet),'2018'!Resal_s+('2018'!Salim-'2018'!Resal_s)*(1-EXP(('2018'!Tnet_s-t)/'2018'!Tau_j)),Resal_s+(Salim-Resal_s)*(1-EXP((Tnet_s-t)/Tau_j)))*Salcycl</f>
        <v>1.2691426519385372E-2</v>
      </c>
      <c r="AD27" s="231">
        <f>(INDEX(Models!$BJ27:$BT27,,AH27)*(1-AF27)+INDEX(Models!$BJ27:$BT27,,AH27+1)*AF27-ERP_i)*AE27*Ramure*Pc/MaxiM</f>
        <v>5.7121468689470078E-5</v>
      </c>
      <c r="AE27" s="305">
        <f t="shared" si="14"/>
        <v>0.5</v>
      </c>
      <c r="AF27" s="177">
        <f t="shared" si="15"/>
        <v>0.49783398149217439</v>
      </c>
      <c r="AG27" s="176">
        <f t="shared" si="16"/>
        <v>-2</v>
      </c>
      <c r="AH27" s="300">
        <f t="shared" si="17"/>
        <v>4</v>
      </c>
      <c r="AI27" s="225">
        <f t="shared" si="22"/>
        <v>-1.5021660185078256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7">
        <v>5.6020000000000003</v>
      </c>
      <c r="C28" s="390"/>
      <c r="D28" s="393">
        <f t="shared" si="0"/>
        <v>5.6290590358058026</v>
      </c>
      <c r="E28" s="385">
        <f t="shared" si="1"/>
        <v>5.7017186957933754</v>
      </c>
      <c r="F28" s="385">
        <f t="shared" si="2"/>
        <v>5.7017186957933754</v>
      </c>
      <c r="G28" s="110">
        <f t="shared" si="23"/>
        <v>0.19928263344208766</v>
      </c>
      <c r="H28" s="414" t="b">
        <f>Wh_hp&gt;='2018'!Maxi_hp</f>
        <v>1</v>
      </c>
      <c r="I28" s="390">
        <f>IF(H28,Wh_hp,'2018'!Maxi_hp)</f>
        <v>5.7017186957933754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4.807026473462539E-3</v>
      </c>
      <c r="M28" s="845"/>
      <c r="N28" s="845"/>
      <c r="O28" s="48">
        <f>IF(t&lt;Tnet,'2018'!Resal+('2018'!Salim-'2018'!Resal)*(1-EXP(('2018'!Tnet-t)/('2018'!Tau_j))),Resal+(Salim-Resal)*(1-EXP((Tnet-t)/(Tau_j))))*Salcycl</f>
        <v>1.27434662887139E-2</v>
      </c>
      <c r="P28" s="169">
        <f>(INDEX(Models!$BJ28:$BT28,,T28)*(1-R28)+INDEX(Models!$BJ28:$BT28,,T28+1)*R28-ERP_i)*Q28*Ramure*Pc/MaxiM</f>
        <v>5.5655729894477142E-5</v>
      </c>
      <c r="Q28" s="305">
        <f t="shared" si="4"/>
        <v>0.5</v>
      </c>
      <c r="R28" s="177">
        <f t="shared" si="5"/>
        <v>0.49788173288256399</v>
      </c>
      <c r="S28" s="811">
        <f t="shared" si="6"/>
        <v>-2</v>
      </c>
      <c r="T28" s="176">
        <f t="shared" si="7"/>
        <v>4</v>
      </c>
      <c r="U28" s="251">
        <f t="shared" si="21"/>
        <v>-1.502118267117436</v>
      </c>
      <c r="V28" s="383">
        <f t="shared" si="8"/>
        <v>28.109264313937345</v>
      </c>
      <c r="W28" s="58"/>
      <c r="X28" s="157">
        <f t="shared" si="9"/>
        <v>43479</v>
      </c>
      <c r="Y28" s="385">
        <f t="shared" si="10"/>
        <v>5.6020000000000003</v>
      </c>
      <c r="Z28" s="385">
        <f t="shared" si="11"/>
        <v>5.6290590358058026</v>
      </c>
      <c r="AA28" s="386">
        <f t="shared" si="12"/>
        <v>5.7017186957933754</v>
      </c>
      <c r="AB28" s="197">
        <f t="shared" si="13"/>
        <v>43479</v>
      </c>
      <c r="AC28" s="426">
        <f>IF(OR(t&lt;Tnet,NoTnet),'2018'!Resal_s+('2018'!Salim-'2018'!Resal_s)*(1-EXP(('2018'!Tnet_s-t)/'2018'!Tau_j)),Resal_s+(Salim-Resal_s)*(1-EXP((Tnet_s-t)/Tau_j)))*Salcycl</f>
        <v>1.27434662887139E-2</v>
      </c>
      <c r="AD28" s="231">
        <f>(INDEX(Models!$BJ28:$BT28,,AH28)*(1-AF28)+INDEX(Models!$BJ28:$BT28,,AH28+1)*AF28-ERP_i)*AE28*Ramure*Pc/MaxiM</f>
        <v>5.5655729894477142E-5</v>
      </c>
      <c r="AE28" s="305">
        <f t="shared" si="14"/>
        <v>0.5</v>
      </c>
      <c r="AF28" s="177">
        <f t="shared" si="15"/>
        <v>0.49788173288256399</v>
      </c>
      <c r="AG28" s="176">
        <f t="shared" si="16"/>
        <v>-2</v>
      </c>
      <c r="AH28" s="176">
        <f t="shared" si="17"/>
        <v>4</v>
      </c>
      <c r="AI28" s="225">
        <f t="shared" si="22"/>
        <v>-1.502118267117436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7">
        <v>28.555</v>
      </c>
      <c r="C29" s="390"/>
      <c r="D29" s="393">
        <f t="shared" si="0"/>
        <v>28.693556125395808</v>
      </c>
      <c r="E29" s="385">
        <f t="shared" si="1"/>
        <v>29.065462388003635</v>
      </c>
      <c r="F29" s="385">
        <f t="shared" si="2"/>
        <v>29.067033141157783</v>
      </c>
      <c r="G29" s="110">
        <f t="shared" si="23"/>
        <v>1.0068387652678221</v>
      </c>
      <c r="H29" s="414" t="b">
        <f>Wh_hp&gt;='2018'!Maxi_hp</f>
        <v>1</v>
      </c>
      <c r="I29" s="390">
        <f>IF(H29,Wh_hp,'2018'!Maxi_hp)</f>
        <v>29.067033141157783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4.828823753678213E-3</v>
      </c>
      <c r="M29" s="845"/>
      <c r="N29" s="845"/>
      <c r="O29" s="48">
        <f>IF(t&lt;Tnet,'2018'!Resal+('2018'!Salim-'2018'!Resal)*(1-EXP(('2018'!Tnet-t)/('2018'!Tau_j))),Resal+(Salim-Resal)*(1-EXP((Tnet-t)/(Tau_j))))*Salcycl</f>
        <v>1.2795470364212238E-2</v>
      </c>
      <c r="P29" s="169">
        <f>(INDEX(Models!$BJ29:$BT29,,T29)*(1-R29)+INDEX(Models!$BJ29:$BT29,,T29+1)*R29-ERP_i)*Q29*Ramure*Pc/MaxiM</f>
        <v>5.4038991407247624E-5</v>
      </c>
      <c r="Q29" s="305">
        <f t="shared" si="4"/>
        <v>0.5</v>
      </c>
      <c r="R29" s="177">
        <f t="shared" si="5"/>
        <v>0.49793147783273617</v>
      </c>
      <c r="S29" s="811">
        <f t="shared" si="6"/>
        <v>-2</v>
      </c>
      <c r="T29" s="176">
        <f t="shared" si="7"/>
        <v>4</v>
      </c>
      <c r="U29" s="251">
        <f t="shared" si="21"/>
        <v>-1.5020685221672638</v>
      </c>
      <c r="V29" s="383">
        <f t="shared" si="8"/>
        <v>28.361045467299107</v>
      </c>
      <c r="W29" s="58"/>
      <c r="X29" s="157">
        <f t="shared" si="9"/>
        <v>43480</v>
      </c>
      <c r="Y29" s="385">
        <f t="shared" si="10"/>
        <v>28.555</v>
      </c>
      <c r="Z29" s="385">
        <f t="shared" si="11"/>
        <v>28.693556125395808</v>
      </c>
      <c r="AA29" s="386">
        <f t="shared" si="12"/>
        <v>29.065462388003635</v>
      </c>
      <c r="AB29" s="197">
        <f t="shared" si="13"/>
        <v>43480</v>
      </c>
      <c r="AC29" s="426">
        <f>IF(OR(t&lt;Tnet,NoTnet),'2018'!Resal_s+('2018'!Salim-'2018'!Resal_s)*(1-EXP(('2018'!Tnet_s-t)/'2018'!Tau_j)),Resal_s+(Salim-Resal_s)*(1-EXP((Tnet_s-t)/Tau_j)))*Salcycl</f>
        <v>1.2795470364212238E-2</v>
      </c>
      <c r="AD29" s="231">
        <f>(INDEX(Models!$BJ29:$BT29,,AH29)*(1-AF29)+INDEX(Models!$BJ29:$BT29,,AH29+1)*AF29-ERP_i)*AE29*Ramure*Pc/MaxiM</f>
        <v>5.4038991407247624E-5</v>
      </c>
      <c r="AE29" s="305">
        <f t="shared" si="14"/>
        <v>0.5</v>
      </c>
      <c r="AF29" s="177">
        <f t="shared" si="15"/>
        <v>0.49793147783273617</v>
      </c>
      <c r="AG29" s="176">
        <f t="shared" si="16"/>
        <v>-2</v>
      </c>
      <c r="AH29" s="176">
        <f t="shared" si="17"/>
        <v>4</v>
      </c>
      <c r="AI29" s="225">
        <f t="shared" si="22"/>
        <v>-1.5020685221672638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7">
        <v>28.661999999999999</v>
      </c>
      <c r="C30" s="390"/>
      <c r="D30" s="393">
        <f t="shared" si="0"/>
        <v>28.801706147902642</v>
      </c>
      <c r="E30" s="385">
        <f t="shared" si="1"/>
        <v>29.176550104313726</v>
      </c>
      <c r="F30" s="385">
        <f t="shared" si="2"/>
        <v>29.178076379468706</v>
      </c>
      <c r="G30" s="110">
        <f t="shared" si="23"/>
        <v>1.0015113204419337</v>
      </c>
      <c r="H30" s="414" t="b">
        <f>Wh_hp&gt;='2018'!Maxi_hp</f>
        <v>1</v>
      </c>
      <c r="I30" s="390">
        <f>IF(H30,Wh_hp,'2018'!Maxi_hp)</f>
        <v>29.178076379468706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4.8506205564775584E-3</v>
      </c>
      <c r="M30" s="845"/>
      <c r="N30" s="845"/>
      <c r="O30" s="48">
        <f>IF(t&lt;Tnet,'2018'!Resal+('2018'!Salim-'2018'!Resal)*(1-EXP(('2018'!Tnet-t)/('2018'!Tau_j))),Resal+(Salim-Resal)*(1-EXP((Tnet-t)/(Tau_j))))*Salcycl</f>
        <v>1.2847439298714876E-2</v>
      </c>
      <c r="P30" s="169">
        <f>(INDEX(Models!$BJ30:$BT30,,T30)*(1-R30)+INDEX(Models!$BJ30:$BT30,,T30+1)*R30-ERP_i)*Q30*Ramure*Pc/MaxiM</f>
        <v>5.2308971130620521E-5</v>
      </c>
      <c r="Q30" s="305">
        <f t="shared" si="4"/>
        <v>0.5</v>
      </c>
      <c r="R30" s="177">
        <f t="shared" si="5"/>
        <v>0.49798329914812944</v>
      </c>
      <c r="S30" s="811">
        <f t="shared" si="6"/>
        <v>-2</v>
      </c>
      <c r="T30" s="176">
        <f t="shared" si="7"/>
        <v>4</v>
      </c>
      <c r="U30" s="251">
        <f t="shared" si="21"/>
        <v>-1.5020167008518706</v>
      </c>
      <c r="V30" s="383">
        <f t="shared" si="8"/>
        <v>28.618747901274258</v>
      </c>
      <c r="W30" s="58"/>
      <c r="X30" s="157">
        <f t="shared" si="9"/>
        <v>43481</v>
      </c>
      <c r="Y30" s="385">
        <f t="shared" si="10"/>
        <v>28.661999999999999</v>
      </c>
      <c r="Z30" s="385">
        <f t="shared" si="11"/>
        <v>28.801706147902642</v>
      </c>
      <c r="AA30" s="386">
        <f t="shared" si="12"/>
        <v>29.176550104313726</v>
      </c>
      <c r="AB30" s="197">
        <f t="shared" si="13"/>
        <v>43481</v>
      </c>
      <c r="AC30" s="426">
        <f>IF(OR(t&lt;Tnet,NoTnet),'2018'!Resal_s+('2018'!Salim-'2018'!Resal_s)*(1-EXP(('2018'!Tnet_s-t)/'2018'!Tau_j)),Resal_s+(Salim-Resal_s)*(1-EXP((Tnet_s-t)/Tau_j)))*Salcycl</f>
        <v>1.2847439298714876E-2</v>
      </c>
      <c r="AD30" s="231">
        <f>(INDEX(Models!$BJ30:$BT30,,AH30)*(1-AF30)+INDEX(Models!$BJ30:$BT30,,AH30+1)*AF30-ERP_i)*AE30*Ramure*Pc/MaxiM</f>
        <v>5.2308971130620521E-5</v>
      </c>
      <c r="AE30" s="305">
        <f t="shared" si="14"/>
        <v>0.5</v>
      </c>
      <c r="AF30" s="177">
        <f t="shared" si="15"/>
        <v>0.49798329914812944</v>
      </c>
      <c r="AG30" s="176">
        <f t="shared" si="16"/>
        <v>-2</v>
      </c>
      <c r="AH30" s="176">
        <f t="shared" si="17"/>
        <v>4</v>
      </c>
      <c r="AI30" s="225">
        <f t="shared" si="22"/>
        <v>-1.5020167008518706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7">
        <v>10.478</v>
      </c>
      <c r="C31" s="390"/>
      <c r="D31" s="393">
        <f t="shared" si="0"/>
        <v>10.529303154444049</v>
      </c>
      <c r="E31" s="385">
        <f t="shared" si="1"/>
        <v>10.666899477685421</v>
      </c>
      <c r="F31" s="385">
        <f t="shared" si="2"/>
        <v>10.666947833504928</v>
      </c>
      <c r="G31" s="110">
        <f t="shared" si="23"/>
        <v>0.3627681022814187</v>
      </c>
      <c r="H31" s="414" t="b">
        <f>Wh_hp&gt;='2018'!Maxi_hp</f>
        <v>1</v>
      </c>
      <c r="I31" s="390">
        <f>IF(H31,Wh_hp,'2018'!Maxi_hp)</f>
        <v>10.666947833504928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4.8724168818709002E-3</v>
      </c>
      <c r="M31" s="845"/>
      <c r="N31" s="845"/>
      <c r="O31" s="48">
        <f>IF(t&lt;Tnet,'2018'!Resal+('2018'!Salim-'2018'!Resal)*(1-EXP(('2018'!Tnet-t)/('2018'!Tau_j))),Resal+(Salim-Resal)*(1-EXP((Tnet-t)/(Tau_j))))*Salcycl</f>
        <v>1.2899373761721074E-2</v>
      </c>
      <c r="P31" s="169">
        <f>(INDEX(Models!$BJ31:$BT31,,T31)*(1-R31)+INDEX(Models!$BJ31:$BT31,,T31+1)*R31-ERP_i)*Q31*Ramure*Pc/MaxiM</f>
        <v>5.0541967672932231E-5</v>
      </c>
      <c r="Q31" s="305">
        <f t="shared" si="4"/>
        <v>0.5</v>
      </c>
      <c r="R31" s="177">
        <f t="shared" si="5"/>
        <v>0.49803728303748351</v>
      </c>
      <c r="S31" s="811">
        <f t="shared" si="6"/>
        <v>-2</v>
      </c>
      <c r="T31" s="176">
        <f t="shared" si="7"/>
        <v>4</v>
      </c>
      <c r="U31" s="251">
        <f t="shared" si="21"/>
        <v>-1.5019627169625165</v>
      </c>
      <c r="V31" s="383">
        <f t="shared" si="8"/>
        <v>28.882136694100119</v>
      </c>
      <c r="W31" s="58"/>
      <c r="X31" s="157">
        <f t="shared" si="9"/>
        <v>43482</v>
      </c>
      <c r="Y31" s="385">
        <f t="shared" si="10"/>
        <v>10.478</v>
      </c>
      <c r="Z31" s="385">
        <f t="shared" si="11"/>
        <v>10.529303154444049</v>
      </c>
      <c r="AA31" s="386">
        <f t="shared" si="12"/>
        <v>10.666899477685421</v>
      </c>
      <c r="AB31" s="197">
        <f t="shared" si="13"/>
        <v>43482</v>
      </c>
      <c r="AC31" s="426">
        <f>IF(OR(t&lt;Tnet,NoTnet),'2018'!Resal_s+('2018'!Salim-'2018'!Resal_s)*(1-EXP(('2018'!Tnet_s-t)/'2018'!Tau_j)),Resal_s+(Salim-Resal_s)*(1-EXP((Tnet_s-t)/Tau_j)))*Salcycl</f>
        <v>1.2899373761721074E-2</v>
      </c>
      <c r="AD31" s="231">
        <f>(INDEX(Models!$BJ31:$BT31,,AH31)*(1-AF31)+INDEX(Models!$BJ31:$BT31,,AH31+1)*AF31-ERP_i)*AE31*Ramure*Pc/MaxiM</f>
        <v>5.0541967672932231E-5</v>
      </c>
      <c r="AE31" s="305">
        <f t="shared" si="14"/>
        <v>0.5</v>
      </c>
      <c r="AF31" s="177">
        <f t="shared" si="15"/>
        <v>0.49803728303748351</v>
      </c>
      <c r="AG31" s="176">
        <f t="shared" si="16"/>
        <v>-2</v>
      </c>
      <c r="AH31" s="176">
        <f t="shared" si="17"/>
        <v>4</v>
      </c>
      <c r="AI31" s="225">
        <f t="shared" si="22"/>
        <v>-1.5019627169625165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7">
        <v>15.006</v>
      </c>
      <c r="C32" s="390"/>
      <c r="D32" s="393">
        <f t="shared" si="0"/>
        <v>15.079803767563131</v>
      </c>
      <c r="E32" s="385">
        <f t="shared" si="1"/>
        <v>15.277669053402844</v>
      </c>
      <c r="F32" s="385">
        <f t="shared" si="2"/>
        <v>15.27789752084766</v>
      </c>
      <c r="G32" s="110">
        <f t="shared" si="23"/>
        <v>0.51475090985968175</v>
      </c>
      <c r="H32" s="414" t="b">
        <f>Wh_hp&gt;='2018'!Maxi_hp</f>
        <v>1</v>
      </c>
      <c r="I32" s="390">
        <f>IF(H32,Wh_hp,'2018'!Maxi_hp)</f>
        <v>15.27789752084766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4.8942127298687854E-3</v>
      </c>
      <c r="M32" s="845"/>
      <c r="N32" s="845"/>
      <c r="O32" s="48">
        <f>IF(t&lt;Tnet,'2018'!Resal+('2018'!Salim-'2018'!Resal)*(1-EXP(('2018'!Tnet-t)/('2018'!Tau_j))),Resal+(Salim-Resal)*(1-EXP((Tnet-t)/(Tau_j))))*Salcycl</f>
        <v>1.2951274513676014E-2</v>
      </c>
      <c r="P32" s="169">
        <f>(INDEX(Models!$BJ32:$BT32,,T32)*(1-R32)+INDEX(Models!$BJ32:$BT32,,T32+1)*R32-ERP_i)*Q32*Ramure*Pc/MaxiM</f>
        <v>4.8740343777393438E-5</v>
      </c>
      <c r="Q32" s="305">
        <f t="shared" si="4"/>
        <v>0.5</v>
      </c>
      <c r="R32" s="177">
        <f t="shared" si="5"/>
        <v>0.49809351924962519</v>
      </c>
      <c r="S32" s="811">
        <f t="shared" si="6"/>
        <v>-2</v>
      </c>
      <c r="T32" s="176">
        <f t="shared" si="7"/>
        <v>4</v>
      </c>
      <c r="U32" s="251">
        <f t="shared" si="21"/>
        <v>-1.5019064807503748</v>
      </c>
      <c r="V32" s="383">
        <f t="shared" si="8"/>
        <v>29.150979063578092</v>
      </c>
      <c r="W32" s="58"/>
      <c r="X32" s="157">
        <f t="shared" si="9"/>
        <v>43483</v>
      </c>
      <c r="Y32" s="385">
        <f t="shared" si="10"/>
        <v>15.006</v>
      </c>
      <c r="Z32" s="385">
        <f t="shared" si="11"/>
        <v>15.079803767563131</v>
      </c>
      <c r="AA32" s="386">
        <f t="shared" si="12"/>
        <v>15.277669053402844</v>
      </c>
      <c r="AB32" s="197">
        <f t="shared" si="13"/>
        <v>43483</v>
      </c>
      <c r="AC32" s="426">
        <f>IF(OR(t&lt;Tnet,NoTnet),'2018'!Resal_s+('2018'!Salim-'2018'!Resal_s)*(1-EXP(('2018'!Tnet_s-t)/'2018'!Tau_j)),Resal_s+(Salim-Resal_s)*(1-EXP((Tnet_s-t)/Tau_j)))*Salcycl</f>
        <v>1.2951274513676014E-2</v>
      </c>
      <c r="AD32" s="231">
        <f>(INDEX(Models!$BJ32:$BT32,,AH32)*(1-AF32)+INDEX(Models!$BJ32:$BT32,,AH32+1)*AF32-ERP_i)*AE32*Ramure*Pc/MaxiM</f>
        <v>4.8740343777393438E-5</v>
      </c>
      <c r="AE32" s="305">
        <f t="shared" si="14"/>
        <v>0.5</v>
      </c>
      <c r="AF32" s="177">
        <f t="shared" si="15"/>
        <v>0.49809351924962519</v>
      </c>
      <c r="AG32" s="176">
        <f t="shared" si="16"/>
        <v>-2</v>
      </c>
      <c r="AH32" s="176">
        <f t="shared" si="17"/>
        <v>4</v>
      </c>
      <c r="AI32" s="225">
        <f t="shared" si="22"/>
        <v>-1.5019064807503748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7">
        <v>16.815000000000001</v>
      </c>
      <c r="C33" s="390"/>
      <c r="D33" s="393">
        <f t="shared" si="0"/>
        <v>16.898071054184889</v>
      </c>
      <c r="E33" s="385">
        <f t="shared" si="1"/>
        <v>17.120693874280843</v>
      </c>
      <c r="F33" s="385">
        <f t="shared" si="2"/>
        <v>17.121005301219274</v>
      </c>
      <c r="G33" s="110">
        <f t="shared" si="23"/>
        <v>0.57143561428112322</v>
      </c>
      <c r="H33" s="414" t="b">
        <f>Wh_hp&gt;='2018'!Maxi_hp</f>
        <v>1</v>
      </c>
      <c r="I33" s="390">
        <f>IF(H33,Wh_hp,'2018'!Maxi_hp)</f>
        <v>17.121005301219274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4.9160081004816503E-3</v>
      </c>
      <c r="M33" s="845"/>
      <c r="N33" s="845"/>
      <c r="O33" s="48">
        <f>IF(t&lt;Tnet,'2018'!Resal+('2018'!Salim-'2018'!Resal)*(1-EXP(('2018'!Tnet-t)/('2018'!Tau_j))),Resal+(Salim-Resal)*(1-EXP((Tnet-t)/(Tau_j))))*Salcycl</f>
        <v>1.3003142380250295E-2</v>
      </c>
      <c r="P33" s="169">
        <f>(INDEX(Models!$BJ33:$BT33,,T33)*(1-R33)+INDEX(Models!$BJ33:$BT33,,T33+1)*R33-ERP_i)*Q33*Ramure*Pc/MaxiM</f>
        <v>4.6906374778684528E-5</v>
      </c>
      <c r="Q33" s="305">
        <f t="shared" si="4"/>
        <v>0.5</v>
      </c>
      <c r="R33" s="177">
        <f t="shared" si="5"/>
        <v>0.49815210121548614</v>
      </c>
      <c r="S33" s="811">
        <f t="shared" si="6"/>
        <v>-2</v>
      </c>
      <c r="T33" s="176">
        <f t="shared" si="7"/>
        <v>4</v>
      </c>
      <c r="U33" s="251">
        <f t="shared" si="21"/>
        <v>-1.5018478987845139</v>
      </c>
      <c r="V33" s="383">
        <f t="shared" si="8"/>
        <v>29.425042298866465</v>
      </c>
      <c r="W33" s="58"/>
      <c r="X33" s="157">
        <f t="shared" si="9"/>
        <v>43484</v>
      </c>
      <c r="Y33" s="385">
        <f t="shared" si="10"/>
        <v>16.815000000000001</v>
      </c>
      <c r="Z33" s="385">
        <f t="shared" si="11"/>
        <v>16.898071054184889</v>
      </c>
      <c r="AA33" s="386">
        <f t="shared" si="12"/>
        <v>17.120693874280843</v>
      </c>
      <c r="AB33" s="197">
        <f t="shared" si="13"/>
        <v>43484</v>
      </c>
      <c r="AC33" s="426">
        <f>IF(OR(t&lt;Tnet,NoTnet),'2018'!Resal_s+('2018'!Salim-'2018'!Resal_s)*(1-EXP(('2018'!Tnet_s-t)/'2018'!Tau_j)),Resal_s+(Salim-Resal_s)*(1-EXP((Tnet_s-t)/Tau_j)))*Salcycl</f>
        <v>1.3003142380250295E-2</v>
      </c>
      <c r="AD33" s="231">
        <f>(INDEX(Models!$BJ33:$BT33,,AH33)*(1-AF33)+INDEX(Models!$BJ33:$BT33,,AH33+1)*AF33-ERP_i)*AE33*Ramure*Pc/MaxiM</f>
        <v>4.6906374778684528E-5</v>
      </c>
      <c r="AE33" s="305">
        <f t="shared" si="14"/>
        <v>0.5</v>
      </c>
      <c r="AF33" s="177">
        <f t="shared" si="15"/>
        <v>0.49815210121548614</v>
      </c>
      <c r="AG33" s="176">
        <f t="shared" si="16"/>
        <v>-2</v>
      </c>
      <c r="AH33" s="176">
        <f t="shared" si="17"/>
        <v>4</v>
      </c>
      <c r="AI33" s="225">
        <f t="shared" si="22"/>
        <v>-1.5018478987845139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7">
        <v>7.7649999999999997</v>
      </c>
      <c r="C34" s="390"/>
      <c r="D34" s="393">
        <f t="shared" si="0"/>
        <v>7.8035323051780994</v>
      </c>
      <c r="E34" s="385">
        <f t="shared" si="1"/>
        <v>7.906754817161679</v>
      </c>
      <c r="F34" s="385">
        <f t="shared" si="2"/>
        <v>7.906754817161679</v>
      </c>
      <c r="G34" s="110">
        <f t="shared" si="23"/>
        <v>0.26140000471272734</v>
      </c>
      <c r="H34" s="414" t="b">
        <f>Wh_hp&gt;='2018'!Maxi_hp</f>
        <v>1</v>
      </c>
      <c r="I34" s="390">
        <f>IF(H34,Wh_hp,'2018'!Maxi_hp)</f>
        <v>7.906754817161679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4.9378029937200418E-3</v>
      </c>
      <c r="M34" s="845"/>
      <c r="N34" s="845"/>
      <c r="O34" s="48">
        <f>IF(t&lt;Tnet,'2018'!Resal+('2018'!Salim-'2018'!Resal)*(1-EXP(('2018'!Tnet-t)/('2018'!Tau_j))),Resal+(Salim-Resal)*(1-EXP((Tnet-t)/(Tau_j))))*Salcycl</f>
        <v>1.3054978226912232E-2</v>
      </c>
      <c r="P34" s="169">
        <f>(INDEX(Models!$BJ34:$BT34,,T34)*(1-R34)+INDEX(Models!$BJ34:$BT34,,T34+1)*R34-ERP_i)*Q34*Ramure*Pc/MaxiM</f>
        <v>4.5042496410446135E-5</v>
      </c>
      <c r="Q34" s="305">
        <f t="shared" si="4"/>
        <v>0.5</v>
      </c>
      <c r="R34" s="177">
        <f t="shared" si="5"/>
        <v>0.49821312619552893</v>
      </c>
      <c r="S34" s="811">
        <f t="shared" si="6"/>
        <v>-2</v>
      </c>
      <c r="T34" s="176">
        <f t="shared" si="7"/>
        <v>4</v>
      </c>
      <c r="U34" s="251">
        <f t="shared" si="21"/>
        <v>-1.5017868738044711</v>
      </c>
      <c r="V34" s="383">
        <f t="shared" si="8"/>
        <v>29.704093745325476</v>
      </c>
      <c r="W34" s="58"/>
      <c r="X34" s="157">
        <f t="shared" si="9"/>
        <v>43485</v>
      </c>
      <c r="Y34" s="385">
        <f t="shared" si="10"/>
        <v>7.7649999999999997</v>
      </c>
      <c r="Z34" s="385">
        <f t="shared" si="11"/>
        <v>7.8035323051780994</v>
      </c>
      <c r="AA34" s="386">
        <f t="shared" si="12"/>
        <v>7.906754817161679</v>
      </c>
      <c r="AB34" s="197">
        <f t="shared" si="13"/>
        <v>43485</v>
      </c>
      <c r="AC34" s="426">
        <f>IF(OR(t&lt;Tnet,NoTnet),'2018'!Resal_s+('2018'!Salim-'2018'!Resal_s)*(1-EXP(('2018'!Tnet_s-t)/'2018'!Tau_j)),Resal_s+(Salim-Resal_s)*(1-EXP((Tnet_s-t)/Tau_j)))*Salcycl</f>
        <v>1.3054978226912232E-2</v>
      </c>
      <c r="AD34" s="231">
        <f>(INDEX(Models!$BJ34:$BT34,,AH34)*(1-AF34)+INDEX(Models!$BJ34:$BT34,,AH34+1)*AF34-ERP_i)*AE34*Ramure*Pc/MaxiM</f>
        <v>4.5042496410446135E-5</v>
      </c>
      <c r="AE34" s="305">
        <f t="shared" si="14"/>
        <v>0.5</v>
      </c>
      <c r="AF34" s="177">
        <f t="shared" si="15"/>
        <v>0.49821312619552893</v>
      </c>
      <c r="AG34" s="176">
        <f t="shared" si="16"/>
        <v>-2</v>
      </c>
      <c r="AH34" s="176">
        <f t="shared" si="17"/>
        <v>4</v>
      </c>
      <c r="AI34" s="225">
        <f t="shared" si="22"/>
        <v>-1.5017868738044711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7">
        <v>7.3120000000000003</v>
      </c>
      <c r="C35" s="390"/>
      <c r="D35" s="393">
        <f t="shared" si="0"/>
        <v>7.3484453304253226</v>
      </c>
      <c r="E35" s="385">
        <f t="shared" si="1"/>
        <v>7.4460389466173407</v>
      </c>
      <c r="F35" s="385">
        <f t="shared" si="2"/>
        <v>7.4460389466173407</v>
      </c>
      <c r="G35" s="110">
        <f t="shared" si="23"/>
        <v>0.24382115055059117</v>
      </c>
      <c r="H35" s="414" t="b">
        <f>Wh_hp&gt;='2018'!Maxi_hp</f>
        <v>1</v>
      </c>
      <c r="I35" s="390">
        <f>IF(H35,Wh_hp,'2018'!Maxi_hp)</f>
        <v>7.4460389466173407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4.9595974095942852E-3</v>
      </c>
      <c r="M35" s="845"/>
      <c r="N35" s="845"/>
      <c r="O35" s="48">
        <f>IF(t&lt;Tnet,'2018'!Resal+('2018'!Salim-'2018'!Resal)*(1-EXP(('2018'!Tnet-t)/('2018'!Tau_j))),Resal+(Salim-Resal)*(1-EXP((Tnet-t)/(Tau_j))))*Salcycl</f>
        <v>1.3106782934079802E-2</v>
      </c>
      <c r="P35" s="169">
        <f>(INDEX(Models!$BJ35:$BT35,,T35)*(1-R35)+INDEX(Models!$BJ35:$BT35,,T35+1)*R35-ERP_i)*Q35*Ramure*Pc/MaxiM</f>
        <v>4.3151117637868163E-5</v>
      </c>
      <c r="Q35" s="305">
        <f t="shared" si="4"/>
        <v>0.5</v>
      </c>
      <c r="R35" s="177">
        <f t="shared" si="5"/>
        <v>0.49827669543276509</v>
      </c>
      <c r="S35" s="811">
        <f t="shared" si="6"/>
        <v>-2</v>
      </c>
      <c r="T35" s="176">
        <f t="shared" si="7"/>
        <v>4</v>
      </c>
      <c r="U35" s="251">
        <f t="shared" si="21"/>
        <v>-1.5017233045672349</v>
      </c>
      <c r="V35" s="383">
        <f t="shared" si="8"/>
        <v>29.987900813841453</v>
      </c>
      <c r="W35" s="58"/>
      <c r="X35" s="157">
        <f t="shared" si="9"/>
        <v>43486</v>
      </c>
      <c r="Y35" s="385">
        <f t="shared" si="10"/>
        <v>7.3120000000000003</v>
      </c>
      <c r="Z35" s="385">
        <f t="shared" si="11"/>
        <v>7.3484453304253226</v>
      </c>
      <c r="AA35" s="386">
        <f t="shared" si="12"/>
        <v>7.4460389466173407</v>
      </c>
      <c r="AB35" s="197">
        <f t="shared" si="13"/>
        <v>43486</v>
      </c>
      <c r="AC35" s="426">
        <f>IF(OR(t&lt;Tnet,NoTnet),'2018'!Resal_s+('2018'!Salim-'2018'!Resal_s)*(1-EXP(('2018'!Tnet_s-t)/'2018'!Tau_j)),Resal_s+(Salim-Resal_s)*(1-EXP((Tnet_s-t)/Tau_j)))*Salcycl</f>
        <v>1.3106782934079802E-2</v>
      </c>
      <c r="AD35" s="231">
        <f>(INDEX(Models!$BJ35:$BT35,,AH35)*(1-AF35)+INDEX(Models!$BJ35:$BT35,,AH35+1)*AF35-ERP_i)*AE35*Ramure*Pc/MaxiM</f>
        <v>4.3151117637868163E-5</v>
      </c>
      <c r="AE35" s="305">
        <f t="shared" si="14"/>
        <v>0.5</v>
      </c>
      <c r="AF35" s="177">
        <f t="shared" si="15"/>
        <v>0.49827669543276509</v>
      </c>
      <c r="AG35" s="176">
        <f t="shared" si="16"/>
        <v>-2</v>
      </c>
      <c r="AH35" s="176">
        <f t="shared" si="17"/>
        <v>4</v>
      </c>
      <c r="AI35" s="225">
        <f t="shared" si="22"/>
        <v>-1.5017233045672349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7">
        <v>11.567</v>
      </c>
      <c r="C36" s="390"/>
      <c r="D36" s="393">
        <f t="shared" si="0"/>
        <v>11.62490821721587</v>
      </c>
      <c r="E36" s="385">
        <f t="shared" si="1"/>
        <v>11.779914903321799</v>
      </c>
      <c r="F36" s="385">
        <f t="shared" si="2"/>
        <v>11.779971838094793</v>
      </c>
      <c r="G36" s="110">
        <f t="shared" si="23"/>
        <v>0.3820349682239777</v>
      </c>
      <c r="H36" s="414" t="b">
        <f>Wh_hp&gt;='2018'!Maxi_hp</f>
        <v>1</v>
      </c>
      <c r="I36" s="390">
        <f>IF(H36,Wh_hp,'2018'!Maxi_hp)</f>
        <v>11.779971838094793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4.9813913481149275E-3</v>
      </c>
      <c r="M36" s="845"/>
      <c r="N36" s="845"/>
      <c r="O36" s="48">
        <f>IF(t&lt;Tnet,'2018'!Resal+('2018'!Salim-'2018'!Resal)*(1-EXP(('2018'!Tnet-t)/('2018'!Tau_j))),Resal+(Salim-Resal)*(1-EXP((Tnet-t)/(Tau_j))))*Salcycl</f>
        <v>1.3158557373128335E-2</v>
      </c>
      <c r="P36" s="169">
        <f>(INDEX(Models!$BJ36:$BT36,,T36)*(1-R36)+INDEX(Models!$BJ36:$BT36,,T36+1)*R36-ERP_i)*Q36*Ramure*Pc/MaxiM</f>
        <v>4.1234311644494565E-5</v>
      </c>
      <c r="Q36" s="305">
        <f t="shared" si="4"/>
        <v>0.5</v>
      </c>
      <c r="R36" s="177">
        <f t="shared" si="5"/>
        <v>0.4983429143115472</v>
      </c>
      <c r="S36" s="811">
        <f t="shared" si="6"/>
        <v>-2</v>
      </c>
      <c r="T36" s="176">
        <f t="shared" si="7"/>
        <v>4</v>
      </c>
      <c r="U36" s="251">
        <f t="shared" si="21"/>
        <v>-1.5016570856884528</v>
      </c>
      <c r="V36" s="383">
        <f t="shared" si="8"/>
        <v>30.276230995016824</v>
      </c>
      <c r="W36" s="58"/>
      <c r="X36" s="157">
        <f t="shared" si="9"/>
        <v>43487</v>
      </c>
      <c r="Y36" s="385">
        <f t="shared" si="10"/>
        <v>11.567</v>
      </c>
      <c r="Z36" s="385">
        <f t="shared" si="11"/>
        <v>11.62490821721587</v>
      </c>
      <c r="AA36" s="386">
        <f t="shared" si="12"/>
        <v>11.779914903321799</v>
      </c>
      <c r="AB36" s="197">
        <f t="shared" si="13"/>
        <v>43487</v>
      </c>
      <c r="AC36" s="426">
        <f>IF(OR(t&lt;Tnet,NoTnet),'2018'!Resal_s+('2018'!Salim-'2018'!Resal_s)*(1-EXP(('2018'!Tnet_s-t)/'2018'!Tau_j)),Resal_s+(Salim-Resal_s)*(1-EXP((Tnet_s-t)/Tau_j)))*Salcycl</f>
        <v>1.3158557373128335E-2</v>
      </c>
      <c r="AD36" s="231">
        <f>(INDEX(Models!$BJ36:$BT36,,AH36)*(1-AF36)+INDEX(Models!$BJ36:$BT36,,AH36+1)*AF36-ERP_i)*AE36*Ramure*Pc/MaxiM</f>
        <v>4.1234311644494565E-5</v>
      </c>
      <c r="AE36" s="305">
        <f t="shared" si="14"/>
        <v>0.5</v>
      </c>
      <c r="AF36" s="177">
        <f t="shared" si="15"/>
        <v>0.4983429143115472</v>
      </c>
      <c r="AG36" s="176">
        <f t="shared" si="16"/>
        <v>-2</v>
      </c>
      <c r="AH36" s="176">
        <f t="shared" si="17"/>
        <v>4</v>
      </c>
      <c r="AI36" s="225">
        <f t="shared" si="22"/>
        <v>-1.5016570856884528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7">
        <v>10.426</v>
      </c>
      <c r="C37" s="390"/>
      <c r="D37" s="393">
        <f t="shared" si="0"/>
        <v>10.478425499283315</v>
      </c>
      <c r="E37" s="385">
        <f t="shared" si="1"/>
        <v>10.618701760459365</v>
      </c>
      <c r="F37" s="385">
        <f t="shared" si="2"/>
        <v>10.618726217626762</v>
      </c>
      <c r="G37" s="110">
        <f t="shared" si="23"/>
        <v>0.34102158121469367</v>
      </c>
      <c r="H37" s="414" t="b">
        <f>Wh_hp&gt;='2018'!Maxi_hp</f>
        <v>1</v>
      </c>
      <c r="I37" s="390">
        <f>IF(H37,Wh_hp,'2018'!Maxi_hp)</f>
        <v>10.618726217626762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5.0031848092922937E-3</v>
      </c>
      <c r="M37" s="845"/>
      <c r="N37" s="845"/>
      <c r="O37" s="48">
        <f>IF(t&lt;Tnet,'2018'!Resal+('2018'!Salim-'2018'!Resal)*(1-EXP(('2018'!Tnet-t)/('2018'!Tau_j))),Resal+(Salim-Resal)*(1-EXP((Tnet-t)/(Tau_j))))*Salcycl</f>
        <v>1.3210302383516706E-2</v>
      </c>
      <c r="P37" s="169">
        <f>(INDEX(Models!$BJ37:$BT37,,T37)*(1-R37)+INDEX(Models!$BJ37:$BT37,,T37+1)*R37-ERP_i)*Q37*Ramure*Pc/MaxiM</f>
        <v>3.9290346000560991E-5</v>
      </c>
      <c r="Q37" s="305">
        <f t="shared" si="4"/>
        <v>0.5</v>
      </c>
      <c r="R37" s="177">
        <f t="shared" si="5"/>
        <v>0.49841189252232443</v>
      </c>
      <c r="S37" s="811">
        <f t="shared" si="6"/>
        <v>-2</v>
      </c>
      <c r="T37" s="176">
        <f t="shared" si="7"/>
        <v>4</v>
      </c>
      <c r="U37" s="251">
        <f t="shared" si="21"/>
        <v>-1.5015881074776756</v>
      </c>
      <c r="V37" s="383">
        <f t="shared" si="8"/>
        <v>30.571714359271315</v>
      </c>
      <c r="W37" s="58"/>
      <c r="X37" s="157">
        <f t="shared" si="9"/>
        <v>43488</v>
      </c>
      <c r="Y37" s="385">
        <f t="shared" si="10"/>
        <v>10.426</v>
      </c>
      <c r="Z37" s="385">
        <f t="shared" si="11"/>
        <v>10.478425499283315</v>
      </c>
      <c r="AA37" s="386">
        <f t="shared" si="12"/>
        <v>10.618701760459365</v>
      </c>
      <c r="AB37" s="197">
        <f t="shared" si="13"/>
        <v>43488</v>
      </c>
      <c r="AC37" s="426">
        <f>IF(OR(t&lt;Tnet,NoTnet),'2018'!Resal_s+('2018'!Salim-'2018'!Resal_s)*(1-EXP(('2018'!Tnet_s-t)/'2018'!Tau_j)),Resal_s+(Salim-Resal_s)*(1-EXP((Tnet_s-t)/Tau_j)))*Salcycl</f>
        <v>1.3210302383516706E-2</v>
      </c>
      <c r="AD37" s="231">
        <f>(INDEX(Models!$BJ37:$BT37,,AH37)*(1-AF37)+INDEX(Models!$BJ37:$BT37,,AH37+1)*AF37-ERP_i)*AE37*Ramure*Pc/MaxiM</f>
        <v>3.9290346000560991E-5</v>
      </c>
      <c r="AE37" s="305">
        <f t="shared" si="14"/>
        <v>0.5</v>
      </c>
      <c r="AF37" s="177">
        <f t="shared" si="15"/>
        <v>0.49841189252232443</v>
      </c>
      <c r="AG37" s="176">
        <f t="shared" si="16"/>
        <v>-2</v>
      </c>
      <c r="AH37" s="176">
        <f t="shared" si="17"/>
        <v>4</v>
      </c>
      <c r="AI37" s="225">
        <f t="shared" si="22"/>
        <v>-1.5015881074776756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7">
        <v>11.012</v>
      </c>
      <c r="C38" s="390"/>
      <c r="D38" s="393">
        <f t="shared" si="0"/>
        <v>11.067614517171791</v>
      </c>
      <c r="E38" s="385">
        <f t="shared" si="1"/>
        <v>11.216366175715338</v>
      </c>
      <c r="F38" s="385">
        <f t="shared" si="2"/>
        <v>11.216400089784983</v>
      </c>
      <c r="G38" s="110">
        <f t="shared" si="23"/>
        <v>0.35663519742131805</v>
      </c>
      <c r="H38" s="414" t="b">
        <f>Wh_hp&gt;='2018'!Maxi_hp</f>
        <v>1</v>
      </c>
      <c r="I38" s="390">
        <f>IF(H38,Wh_hp,'2018'!Maxi_hp)</f>
        <v>11.216400089784983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5.0249777931370421E-3</v>
      </c>
      <c r="M38" s="845"/>
      <c r="N38" s="845"/>
      <c r="O38" s="48">
        <f>IF(t&lt;Tnet,'2018'!Resal+('2018'!Salim-'2018'!Resal)*(1-EXP(('2018'!Tnet-t)/('2018'!Tau_j))),Resal+(Salim-Resal)*(1-EXP((Tnet-t)/(Tau_j))))*Salcycl</f>
        <v>1.3262018751278939E-2</v>
      </c>
      <c r="P38" s="169">
        <f>(INDEX(Models!$BJ38:$BT38,,T38)*(1-R38)+INDEX(Models!$BJ38:$BT38,,T38+1)*R38-ERP_i)*Q38*Ramure*Pc/MaxiM</f>
        <v>3.736320581525207E-5</v>
      </c>
      <c r="Q38" s="305">
        <f t="shared" si="4"/>
        <v>0.5</v>
      </c>
      <c r="R38" s="177">
        <f t="shared" si="5"/>
        <v>0.49848374423255382</v>
      </c>
      <c r="S38" s="811">
        <f t="shared" si="6"/>
        <v>-2</v>
      </c>
      <c r="T38" s="176">
        <f t="shared" si="7"/>
        <v>4</v>
      </c>
      <c r="U38" s="251">
        <f t="shared" si="21"/>
        <v>-1.5015162557674462</v>
      </c>
      <c r="V38" s="383">
        <f t="shared" si="8"/>
        <v>30.876430399739725</v>
      </c>
      <c r="W38" s="58"/>
      <c r="X38" s="157">
        <f t="shared" si="9"/>
        <v>43489</v>
      </c>
      <c r="Y38" s="385">
        <f t="shared" si="10"/>
        <v>11.012</v>
      </c>
      <c r="Z38" s="385">
        <f t="shared" si="11"/>
        <v>11.067614517171791</v>
      </c>
      <c r="AA38" s="386">
        <f t="shared" si="12"/>
        <v>11.216366175715338</v>
      </c>
      <c r="AB38" s="197">
        <f t="shared" si="13"/>
        <v>43489</v>
      </c>
      <c r="AC38" s="426">
        <f>IF(OR(t&lt;Tnet,NoTnet),'2018'!Resal_s+('2018'!Salim-'2018'!Resal_s)*(1-EXP(('2018'!Tnet_s-t)/'2018'!Tau_j)),Resal_s+(Salim-Resal_s)*(1-EXP((Tnet_s-t)/Tau_j)))*Salcycl</f>
        <v>1.3262018751278939E-2</v>
      </c>
      <c r="AD38" s="231">
        <f>(INDEX(Models!$BJ38:$BT38,,AH38)*(1-AF38)+INDEX(Models!$BJ38:$BT38,,AH38+1)*AF38-ERP_i)*AE38*Ramure*Pc/MaxiM</f>
        <v>3.736320581525207E-5</v>
      </c>
      <c r="AE38" s="305">
        <f t="shared" si="14"/>
        <v>0.5</v>
      </c>
      <c r="AF38" s="177">
        <f t="shared" si="15"/>
        <v>0.49848374423255382</v>
      </c>
      <c r="AG38" s="176">
        <f t="shared" si="16"/>
        <v>-2</v>
      </c>
      <c r="AH38" s="176">
        <f t="shared" si="17"/>
        <v>4</v>
      </c>
      <c r="AI38" s="225">
        <f t="shared" si="22"/>
        <v>-1.5015162557674462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7">
        <v>5.5069999999999997</v>
      </c>
      <c r="C39" s="390"/>
      <c r="D39" s="393">
        <f t="shared" si="0"/>
        <v>5.5349335381911313</v>
      </c>
      <c r="E39" s="385">
        <f t="shared" si="1"/>
        <v>5.6096183544043265</v>
      </c>
      <c r="F39" s="385">
        <f t="shared" si="2"/>
        <v>5.6096183544043265</v>
      </c>
      <c r="G39" s="110">
        <f t="shared" si="23"/>
        <v>0.1765605727805197</v>
      </c>
      <c r="H39" s="414" t="b">
        <f>Wh_hp&gt;='2018'!Maxi_hp</f>
        <v>1</v>
      </c>
      <c r="I39" s="390">
        <f>IF(H39,Wh_hp,'2018'!Maxi_hp)</f>
        <v>5.6096183544043265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5.0467702996593866E-3</v>
      </c>
      <c r="M39" s="845"/>
      <c r="N39" s="845"/>
      <c r="O39" s="48">
        <f>IF(t&lt;Tnet,'2018'!Resal+('2018'!Salim-'2018'!Resal)*(1-EXP(('2018'!Tnet-t)/('2018'!Tau_j))),Resal+(Salim-Resal)*(1-EXP((Tnet-t)/(Tau_j))))*Salcycl</f>
        <v>1.3313707189109882E-2</v>
      </c>
      <c r="P39" s="169">
        <f>(INDEX(Models!$BJ39:$BT39,,T39)*(1-R39)+INDEX(Models!$BJ39:$BT39,,T39+1)*R39-ERP_i)*Q39*Ramure*Pc/MaxiM</f>
        <v>3.5538093921916073E-5</v>
      </c>
      <c r="Q39" s="305">
        <f t="shared" si="4"/>
        <v>0.5</v>
      </c>
      <c r="R39" s="177">
        <f t="shared" si="5"/>
        <v>0.49855858826396204</v>
      </c>
      <c r="S39" s="811">
        <f t="shared" si="6"/>
        <v>-2</v>
      </c>
      <c r="T39" s="176">
        <f t="shared" si="7"/>
        <v>4</v>
      </c>
      <c r="U39" s="251">
        <f t="shared" si="21"/>
        <v>-1.501441411736038</v>
      </c>
      <c r="V39" s="383">
        <f t="shared" si="8"/>
        <v>31.189320497743363</v>
      </c>
      <c r="W39" s="58"/>
      <c r="X39" s="157">
        <f t="shared" si="9"/>
        <v>43490</v>
      </c>
      <c r="Y39" s="385">
        <f t="shared" si="10"/>
        <v>5.5069999999999997</v>
      </c>
      <c r="Z39" s="385">
        <f t="shared" si="11"/>
        <v>5.5349335381911313</v>
      </c>
      <c r="AA39" s="386">
        <f t="shared" si="12"/>
        <v>5.6096183544043265</v>
      </c>
      <c r="AB39" s="197">
        <f t="shared" si="13"/>
        <v>43490</v>
      </c>
      <c r="AC39" s="426">
        <f>IF(OR(t&lt;Tnet,NoTnet),'2018'!Resal_s+('2018'!Salim-'2018'!Resal_s)*(1-EXP(('2018'!Tnet_s-t)/'2018'!Tau_j)),Resal_s+(Salim-Resal_s)*(1-EXP((Tnet_s-t)/Tau_j)))*Salcycl</f>
        <v>1.3313707189109882E-2</v>
      </c>
      <c r="AD39" s="231">
        <f>(INDEX(Models!$BJ39:$BT39,,AH39)*(1-AF39)+INDEX(Models!$BJ39:$BT39,,AH39+1)*AF39-ERP_i)*AE39*Ramure*Pc/MaxiM</f>
        <v>3.5538093921916073E-5</v>
      </c>
      <c r="AE39" s="305">
        <f t="shared" si="14"/>
        <v>0.5</v>
      </c>
      <c r="AF39" s="177">
        <f t="shared" si="15"/>
        <v>0.49855858826396204</v>
      </c>
      <c r="AG39" s="176">
        <f t="shared" si="16"/>
        <v>-2</v>
      </c>
      <c r="AH39" s="176">
        <f t="shared" si="17"/>
        <v>4</v>
      </c>
      <c r="AI39" s="225">
        <f t="shared" si="22"/>
        <v>-1.501441411736038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7">
        <v>15.88</v>
      </c>
      <c r="C40" s="390"/>
      <c r="D40" s="393">
        <f t="shared" si="0"/>
        <v>15.960898810445531</v>
      </c>
      <c r="E40" s="385">
        <f t="shared" si="1"/>
        <v>16.177111868898955</v>
      </c>
      <c r="F40" s="385">
        <f t="shared" si="2"/>
        <v>16.177271270949088</v>
      </c>
      <c r="G40" s="110">
        <f t="shared" si="23"/>
        <v>0.50396565185733599</v>
      </c>
      <c r="H40" s="414" t="b">
        <f>Wh_hp&gt;='2018'!Maxi_hp</f>
        <v>1</v>
      </c>
      <c r="I40" s="390">
        <f>IF(H40,Wh_hp,'2018'!Maxi_hp)</f>
        <v>16.177271270949088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5.0685623288699855E-3</v>
      </c>
      <c r="M40" s="845"/>
      <c r="N40" s="845"/>
      <c r="O40" s="48">
        <f>IF(t&lt;Tnet,'2018'!Resal+('2018'!Salim-'2018'!Resal)*(1-EXP(('2018'!Tnet-t)/('2018'!Tau_j))),Resal+(Salim-Resal)*(1-EXP((Tnet-t)/(Tau_j))))*Salcycl</f>
        <v>1.3365368318253294E-2</v>
      </c>
      <c r="P40" s="169">
        <f>(INDEX(Models!$BJ40:$BT40,,T40)*(1-R40)+INDEX(Models!$BJ40:$BT40,,T40+1)*R40-ERP_i)*Q40*Ramure*Pc/MaxiM</f>
        <v>3.3814574341339819E-5</v>
      </c>
      <c r="Q40" s="305">
        <f t="shared" si="4"/>
        <v>0.5</v>
      </c>
      <c r="R40" s="177">
        <f t="shared" si="5"/>
        <v>0.49863654827635484</v>
      </c>
      <c r="S40" s="811">
        <f t="shared" si="6"/>
        <v>-2</v>
      </c>
      <c r="T40" s="176">
        <f t="shared" si="7"/>
        <v>4</v>
      </c>
      <c r="U40" s="251">
        <f t="shared" si="21"/>
        <v>-1.5013634517236452</v>
      </c>
      <c r="V40" s="383">
        <f t="shared" si="8"/>
        <v>31.509328929833085</v>
      </c>
      <c r="W40" s="58"/>
      <c r="X40" s="157">
        <f t="shared" si="9"/>
        <v>43491</v>
      </c>
      <c r="Y40" s="385">
        <f t="shared" si="10"/>
        <v>15.880000000000003</v>
      </c>
      <c r="Z40" s="385">
        <f t="shared" si="11"/>
        <v>15.960898810445533</v>
      </c>
      <c r="AA40" s="386">
        <f t="shared" si="12"/>
        <v>16.177111868898955</v>
      </c>
      <c r="AB40" s="197">
        <f t="shared" si="13"/>
        <v>43491</v>
      </c>
      <c r="AC40" s="426">
        <f>IF(OR(t&lt;Tnet,NoTnet),'2018'!Resal_s+('2018'!Salim-'2018'!Resal_s)*(1-EXP(('2018'!Tnet_s-t)/'2018'!Tau_j)),Resal_s+(Salim-Resal_s)*(1-EXP((Tnet_s-t)/Tau_j)))*Salcycl</f>
        <v>1.3365368318253294E-2</v>
      </c>
      <c r="AD40" s="231">
        <f>(INDEX(Models!$BJ40:$BT40,,AH40)*(1-AF40)+INDEX(Models!$BJ40:$BT40,,AH40+1)*AF40-ERP_i)*AE40*Ramure*Pc/MaxiM</f>
        <v>3.3814574341339819E-5</v>
      </c>
      <c r="AE40" s="305">
        <f t="shared" si="14"/>
        <v>0.5</v>
      </c>
      <c r="AF40" s="177">
        <f t="shared" si="15"/>
        <v>0.49863654827635484</v>
      </c>
      <c r="AG40" s="176">
        <f t="shared" si="16"/>
        <v>-2</v>
      </c>
      <c r="AH40" s="176">
        <f t="shared" si="17"/>
        <v>4</v>
      </c>
      <c r="AI40" s="225">
        <f t="shared" si="22"/>
        <v>-1.5013634517236452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7">
        <v>14.708</v>
      </c>
      <c r="C41" s="390"/>
      <c r="D41" s="393">
        <f t="shared" si="0"/>
        <v>14.783251984107842</v>
      </c>
      <c r="E41" s="385">
        <f t="shared" si="1"/>
        <v>14.984296327680354</v>
      </c>
      <c r="F41" s="385">
        <f t="shared" si="2"/>
        <v>14.984407964187147</v>
      </c>
      <c r="G41" s="110">
        <f t="shared" si="23"/>
        <v>0.4619899847359612</v>
      </c>
      <c r="H41" s="414" t="b">
        <f>Wh_hp&gt;='2018'!Maxi_hp</f>
        <v>1</v>
      </c>
      <c r="I41" s="390">
        <f>IF(H41,Wh_hp,'2018'!Maxi_hp)</f>
        <v>14.984407964187147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5.0903538807792748E-3</v>
      </c>
      <c r="M41" s="845"/>
      <c r="N41" s="845"/>
      <c r="O41" s="48">
        <f>IF(t&lt;Tnet,'2018'!Resal+('2018'!Salim-'2018'!Resal)*(1-EXP(('2018'!Tnet-t)/('2018'!Tau_j))),Resal+(Salim-Resal)*(1-EXP((Tnet-t)/(Tau_j))))*Salcycl</f>
        <v>1.341700265237839E-2</v>
      </c>
      <c r="P41" s="169">
        <f>(INDEX(Models!$BJ41:$BT41,,T41)*(1-R41)+INDEX(Models!$BJ41:$BT41,,T41+1)*R41-ERP_i)*Q41*Ramure*Pc/MaxiM</f>
        <v>3.2191845945370893E-5</v>
      </c>
      <c r="Q41" s="305">
        <f t="shared" si="4"/>
        <v>0.5</v>
      </c>
      <c r="R41" s="177">
        <f t="shared" si="5"/>
        <v>0.49871775295817655</v>
      </c>
      <c r="S41" s="811">
        <f t="shared" si="6"/>
        <v>-2</v>
      </c>
      <c r="T41" s="176">
        <f t="shared" si="7"/>
        <v>4</v>
      </c>
      <c r="U41" s="251">
        <f t="shared" si="21"/>
        <v>-1.5012822470418234</v>
      </c>
      <c r="V41" s="383">
        <f t="shared" si="8"/>
        <v>31.83540029605345</v>
      </c>
      <c r="W41" s="58"/>
      <c r="X41" s="157">
        <f t="shared" si="9"/>
        <v>43492</v>
      </c>
      <c r="Y41" s="385">
        <f t="shared" si="10"/>
        <v>14.708</v>
      </c>
      <c r="Z41" s="385">
        <f t="shared" si="11"/>
        <v>14.783251984107842</v>
      </c>
      <c r="AA41" s="386">
        <f t="shared" si="12"/>
        <v>14.984296327680354</v>
      </c>
      <c r="AB41" s="197">
        <f t="shared" si="13"/>
        <v>43492</v>
      </c>
      <c r="AC41" s="426">
        <f>IF(OR(t&lt;Tnet,NoTnet),'2018'!Resal_s+('2018'!Salim-'2018'!Resal_s)*(1-EXP(('2018'!Tnet_s-t)/'2018'!Tau_j)),Resal_s+(Salim-Resal_s)*(1-EXP((Tnet_s-t)/Tau_j)))*Salcycl</f>
        <v>1.341700265237839E-2</v>
      </c>
      <c r="AD41" s="231">
        <f>(INDEX(Models!$BJ41:$BT41,,AH41)*(1-AF41)+INDEX(Models!$BJ41:$BT41,,AH41+1)*AF41-ERP_i)*AE41*Ramure*Pc/MaxiM</f>
        <v>3.2191845945370893E-5</v>
      </c>
      <c r="AE41" s="305">
        <f t="shared" si="14"/>
        <v>0.5</v>
      </c>
      <c r="AF41" s="177">
        <f t="shared" si="15"/>
        <v>0.49871775295817655</v>
      </c>
      <c r="AG41" s="176">
        <f t="shared" si="16"/>
        <v>-2</v>
      </c>
      <c r="AH41" s="176">
        <f t="shared" si="17"/>
        <v>4</v>
      </c>
      <c r="AI41" s="225">
        <f t="shared" si="22"/>
        <v>-1.5012822470418234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7">
        <v>15.058</v>
      </c>
      <c r="C42" s="390"/>
      <c r="D42" s="393">
        <f t="shared" si="0"/>
        <v>15.135374227002625</v>
      </c>
      <c r="E42" s="385">
        <f t="shared" si="1"/>
        <v>15.342009782330729</v>
      </c>
      <c r="F42" s="385">
        <f t="shared" si="2"/>
        <v>15.342122793616701</v>
      </c>
      <c r="G42" s="110">
        <f t="shared" si="23"/>
        <v>0.46811616738851508</v>
      </c>
      <c r="H42" s="414" t="b">
        <f>Wh_hp&gt;='2018'!Maxi_hp</f>
        <v>1</v>
      </c>
      <c r="I42" s="390">
        <f>IF(H42,Wh_hp,'2018'!Maxi_hp)</f>
        <v>15.342122793616701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5.1121449553975795E-3</v>
      </c>
      <c r="M42" s="845"/>
      <c r="N42" s="845"/>
      <c r="O42" s="48">
        <f>IF(t&lt;Tnet,'2018'!Resal+('2018'!Salim-'2018'!Resal)*(1-EXP(('2018'!Tnet-t)/('2018'!Tau_j))),Resal+(Salim-Resal)*(1-EXP((Tnet-t)/(Tau_j))))*Salcycl</f>
        <v>1.3468610583607139E-2</v>
      </c>
      <c r="P42" s="169">
        <f>(INDEX(Models!$BJ42:$BT42,,T42)*(1-R42)+INDEX(Models!$BJ42:$BT42,,T42+1)*R42-ERP_i)*Q42*Ramure*Pc/MaxiM</f>
        <v>3.0668797096799242E-5</v>
      </c>
      <c r="Q42" s="305">
        <f t="shared" si="4"/>
        <v>0.5</v>
      </c>
      <c r="R42" s="177">
        <f t="shared" si="5"/>
        <v>0.49880233622402259</v>
      </c>
      <c r="S42" s="811">
        <f t="shared" si="6"/>
        <v>-2</v>
      </c>
      <c r="T42" s="176">
        <f t="shared" si="7"/>
        <v>4</v>
      </c>
      <c r="U42" s="251">
        <f t="shared" si="21"/>
        <v>-1.5011976637759774</v>
      </c>
      <c r="V42" s="383">
        <f t="shared" si="8"/>
        <v>32.166479506755657</v>
      </c>
      <c r="W42" s="58"/>
      <c r="X42" s="157">
        <f t="shared" si="9"/>
        <v>43493</v>
      </c>
      <c r="Y42" s="385">
        <f t="shared" si="10"/>
        <v>15.058</v>
      </c>
      <c r="Z42" s="385">
        <f t="shared" si="11"/>
        <v>15.135374227002625</v>
      </c>
      <c r="AA42" s="386">
        <f t="shared" si="12"/>
        <v>15.342009782330729</v>
      </c>
      <c r="AB42" s="197">
        <f t="shared" si="13"/>
        <v>43493</v>
      </c>
      <c r="AC42" s="426">
        <f>IF(OR(t&lt;Tnet,NoTnet),'2018'!Resal_s+('2018'!Salim-'2018'!Resal_s)*(1-EXP(('2018'!Tnet_s-t)/'2018'!Tau_j)),Resal_s+(Salim-Resal_s)*(1-EXP((Tnet_s-t)/Tau_j)))*Salcycl</f>
        <v>1.3468610583607139E-2</v>
      </c>
      <c r="AD42" s="231">
        <f>(INDEX(Models!$BJ42:$BT42,,AH42)*(1-AF42)+INDEX(Models!$BJ42:$BT42,,AH42+1)*AF42-ERP_i)*AE42*Ramure*Pc/MaxiM</f>
        <v>3.0668797096799242E-5</v>
      </c>
      <c r="AE42" s="305">
        <f t="shared" si="14"/>
        <v>0.5</v>
      </c>
      <c r="AF42" s="177">
        <f t="shared" si="15"/>
        <v>0.49880233622402259</v>
      </c>
      <c r="AG42" s="176">
        <f t="shared" si="16"/>
        <v>-2</v>
      </c>
      <c r="AH42" s="176">
        <f t="shared" si="17"/>
        <v>4</v>
      </c>
      <c r="AI42" s="225">
        <f t="shared" si="22"/>
        <v>-1.5011976637759774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7">
        <v>5.7409999999999997</v>
      </c>
      <c r="C43" s="390"/>
      <c r="D43" s="393">
        <f t="shared" si="0"/>
        <v>5.7706260220963799</v>
      </c>
      <c r="E43" s="385">
        <f t="shared" si="1"/>
        <v>5.8497152982432112</v>
      </c>
      <c r="F43" s="385">
        <f t="shared" si="2"/>
        <v>5.8497152982432112</v>
      </c>
      <c r="G43" s="110">
        <f t="shared" si="23"/>
        <v>0.17663277160244062</v>
      </c>
      <c r="H43" s="414" t="b">
        <f>Wh_hp&gt;='2018'!Maxi_hp</f>
        <v>1</v>
      </c>
      <c r="I43" s="390">
        <f>IF(H43,Wh_hp,'2018'!Maxi_hp)</f>
        <v>5.8497152982432112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5.1339355527353359E-3</v>
      </c>
      <c r="M43" s="845"/>
      <c r="N43" s="845"/>
      <c r="O43" s="48">
        <f>IF(t&lt;Tnet,'2018'!Resal+('2018'!Salim-'2018'!Resal)*(1-EXP(('2018'!Tnet-t)/('2018'!Tau_j))),Resal+(Salim-Resal)*(1-EXP((Tnet-t)/(Tau_j))))*Salcycl</f>
        <v>1.3520192370829361E-2</v>
      </c>
      <c r="P43" s="169">
        <f>(INDEX(Models!$BJ43:$BT43,,T43)*(1-R43)+INDEX(Models!$BJ43:$BT43,,T43+1)*R43-ERP_i)*Q43*Ramure*Pc/MaxiM</f>
        <v>2.9244057289830892E-5</v>
      </c>
      <c r="Q43" s="305">
        <f t="shared" si="4"/>
        <v>0.5</v>
      </c>
      <c r="R43" s="177">
        <f t="shared" si="5"/>
        <v>0.49889043741930772</v>
      </c>
      <c r="S43" s="811">
        <f t="shared" si="6"/>
        <v>-2</v>
      </c>
      <c r="T43" s="176">
        <f t="shared" si="7"/>
        <v>4</v>
      </c>
      <c r="U43" s="251">
        <f t="shared" si="21"/>
        <v>-1.5011095625806923</v>
      </c>
      <c r="V43" s="383">
        <f t="shared" si="8"/>
        <v>32.501511796397438</v>
      </c>
      <c r="W43" s="58"/>
      <c r="X43" s="157">
        <f t="shared" si="9"/>
        <v>43494</v>
      </c>
      <c r="Y43" s="385">
        <f t="shared" si="10"/>
        <v>5.7409999999999997</v>
      </c>
      <c r="Z43" s="385">
        <f t="shared" si="11"/>
        <v>5.7706260220963799</v>
      </c>
      <c r="AA43" s="386">
        <f t="shared" si="12"/>
        <v>5.8497152982432112</v>
      </c>
      <c r="AB43" s="197">
        <f t="shared" si="13"/>
        <v>43494</v>
      </c>
      <c r="AC43" s="426">
        <f>IF(OR(t&lt;Tnet,NoTnet),'2018'!Resal_s+('2018'!Salim-'2018'!Resal_s)*(1-EXP(('2018'!Tnet_s-t)/'2018'!Tau_j)),Resal_s+(Salim-Resal_s)*(1-EXP((Tnet_s-t)/Tau_j)))*Salcycl</f>
        <v>1.3520192370829361E-2</v>
      </c>
      <c r="AD43" s="231">
        <f>(INDEX(Models!$BJ43:$BT43,,AH43)*(1-AF43)+INDEX(Models!$BJ43:$BT43,,AH43+1)*AF43-ERP_i)*AE43*Ramure*Pc/MaxiM</f>
        <v>2.9244057289830892E-5</v>
      </c>
      <c r="AE43" s="305">
        <f t="shared" si="14"/>
        <v>0.5</v>
      </c>
      <c r="AF43" s="177">
        <f t="shared" si="15"/>
        <v>0.49889043741930772</v>
      </c>
      <c r="AG43" s="176">
        <f t="shared" si="16"/>
        <v>-2</v>
      </c>
      <c r="AH43" s="176">
        <f t="shared" si="17"/>
        <v>4</v>
      </c>
      <c r="AI43" s="225">
        <f t="shared" si="22"/>
        <v>-1.5011095625806923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7">
        <v>8.3079999999999998</v>
      </c>
      <c r="C44" s="390"/>
      <c r="D44" s="393">
        <f t="shared" si="0"/>
        <v>8.3510557525383735</v>
      </c>
      <c r="E44" s="385">
        <f t="shared" si="1"/>
        <v>8.4659535416899949</v>
      </c>
      <c r="F44" s="385">
        <f t="shared" si="2"/>
        <v>8.4659535416899949</v>
      </c>
      <c r="G44" s="110">
        <f t="shared" si="23"/>
        <v>0.25298139636213829</v>
      </c>
      <c r="H44" s="414" t="b">
        <f>Wh_hp&gt;='2018'!Maxi_hp</f>
        <v>1</v>
      </c>
      <c r="I44" s="390">
        <f>IF(H44,Wh_hp,'2018'!Maxi_hp)</f>
        <v>8.4659535416899949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5.1557256728032019E-3</v>
      </c>
      <c r="M44" s="845"/>
      <c r="N44" s="845"/>
      <c r="O44" s="48">
        <f>IF(t&lt;Tnet,'2018'!Resal+('2018'!Salim-'2018'!Resal)*(1-EXP(('2018'!Tnet-t)/('2018'!Tau_j))),Resal+(Salim-Resal)*(1-EXP((Tnet-t)/(Tau_j))))*Salcycl</f>
        <v>1.3571748130416226E-2</v>
      </c>
      <c r="P44" s="169">
        <f>(INDEX(Models!$BJ44:$BT44,,T44)*(1-R44)+INDEX(Models!$BJ44:$BT44,,T44+1)*R44-ERP_i)*Q44*Ramure*Pc/MaxiM</f>
        <v>2.7982698371295737E-5</v>
      </c>
      <c r="Q44" s="305">
        <f t="shared" si="4"/>
        <v>0.5</v>
      </c>
      <c r="R44" s="177">
        <f t="shared" si="5"/>
        <v>0.49898220153230133</v>
      </c>
      <c r="S44" s="811">
        <f t="shared" si="6"/>
        <v>-2</v>
      </c>
      <c r="T44" s="176">
        <f t="shared" si="7"/>
        <v>4</v>
      </c>
      <c r="U44" s="251">
        <f t="shared" si="21"/>
        <v>-1.5010177984676987</v>
      </c>
      <c r="V44" s="383">
        <f t="shared" si="8"/>
        <v>32.839440524905299</v>
      </c>
      <c r="W44" s="58"/>
      <c r="X44" s="157">
        <f t="shared" si="9"/>
        <v>43495</v>
      </c>
      <c r="Y44" s="385">
        <f t="shared" si="10"/>
        <v>8.3079999999999998</v>
      </c>
      <c r="Z44" s="385">
        <f t="shared" si="11"/>
        <v>8.3510557525383735</v>
      </c>
      <c r="AA44" s="386">
        <f t="shared" si="12"/>
        <v>8.4659535416899949</v>
      </c>
      <c r="AB44" s="197">
        <f t="shared" si="13"/>
        <v>43495</v>
      </c>
      <c r="AC44" s="426">
        <f>IF(OR(t&lt;Tnet,NoTnet),'2018'!Resal_s+('2018'!Salim-'2018'!Resal_s)*(1-EXP(('2018'!Tnet_s-t)/'2018'!Tau_j)),Resal_s+(Salim-Resal_s)*(1-EXP((Tnet_s-t)/Tau_j)))*Salcycl</f>
        <v>1.3571748130416226E-2</v>
      </c>
      <c r="AD44" s="231">
        <f>(INDEX(Models!$BJ44:$BT44,,AH44)*(1-AF44)+INDEX(Models!$BJ44:$BT44,,AH44+1)*AF44-ERP_i)*AE44*Ramure*Pc/MaxiM</f>
        <v>2.7982698371295737E-5</v>
      </c>
      <c r="AE44" s="305">
        <f t="shared" si="14"/>
        <v>0.5</v>
      </c>
      <c r="AF44" s="177">
        <f t="shared" si="15"/>
        <v>0.49898220153230133</v>
      </c>
      <c r="AG44" s="176">
        <f t="shared" si="16"/>
        <v>-2</v>
      </c>
      <c r="AH44" s="176">
        <f t="shared" si="17"/>
        <v>4</v>
      </c>
      <c r="AI44" s="225">
        <f t="shared" si="22"/>
        <v>-1.5010177984676987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7">
        <v>7.6210000000000004</v>
      </c>
      <c r="C45" s="390"/>
      <c r="D45" s="393">
        <f t="shared" si="0"/>
        <v>7.6606632010511841</v>
      </c>
      <c r="E45" s="385">
        <f t="shared" si="1"/>
        <v>7.7664679517105926</v>
      </c>
      <c r="F45" s="385">
        <f t="shared" si="2"/>
        <v>7.7664679517105926</v>
      </c>
      <c r="G45" s="110">
        <f t="shared" si="23"/>
        <v>0.22968584189890107</v>
      </c>
      <c r="H45" s="414" t="b">
        <f>Wh_hp&gt;='2018'!Maxi_hp</f>
        <v>1</v>
      </c>
      <c r="I45" s="390">
        <f>IF(H45,Wh_hp,'2018'!Maxi_hp)</f>
        <v>7.7664679517105926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5.1775153156115028E-3</v>
      </c>
      <c r="M45" s="845"/>
      <c r="N45" s="845"/>
      <c r="O45" s="48">
        <f>IF(t&lt;Tnet,'2018'!Resal+('2018'!Salim-'2018'!Resal)*(1-EXP(('2018'!Tnet-t)/('2018'!Tau_j))),Resal+(Salim-Resal)*(1-EXP((Tnet-t)/(Tau_j))))*Salcycl</f>
        <v>1.3623277829415923E-2</v>
      </c>
      <c r="P45" s="169">
        <f>(INDEX(Models!$BJ45:$BT45,,T45)*(1-R45)+INDEX(Models!$BJ45:$BT45,,T45+1)*R45-ERP_i)*Q45*Ramure*Pc/MaxiM</f>
        <v>2.6852980496986936E-5</v>
      </c>
      <c r="Q45" s="305">
        <f t="shared" si="4"/>
        <v>0.5</v>
      </c>
      <c r="R45" s="177">
        <f t="shared" si="5"/>
        <v>0.49907777941373133</v>
      </c>
      <c r="S45" s="811">
        <f t="shared" si="6"/>
        <v>-2</v>
      </c>
      <c r="T45" s="176">
        <f t="shared" si="7"/>
        <v>4</v>
      </c>
      <c r="U45" s="251">
        <f t="shared" si="21"/>
        <v>-1.5009222205862687</v>
      </c>
      <c r="V45" s="383">
        <f t="shared" si="8"/>
        <v>33.179212486201109</v>
      </c>
      <c r="W45" s="58"/>
      <c r="X45" s="157">
        <f t="shared" si="9"/>
        <v>43496</v>
      </c>
      <c r="Y45" s="385">
        <f t="shared" si="10"/>
        <v>7.6210000000000004</v>
      </c>
      <c r="Z45" s="385">
        <f t="shared" si="11"/>
        <v>7.6606632010511841</v>
      </c>
      <c r="AA45" s="386">
        <f t="shared" si="12"/>
        <v>7.7664679517105926</v>
      </c>
      <c r="AB45" s="197">
        <f t="shared" si="13"/>
        <v>43496</v>
      </c>
      <c r="AC45" s="426">
        <f>IF(OR(t&lt;Tnet,NoTnet),'2018'!Resal_s+('2018'!Salim-'2018'!Resal_s)*(1-EXP(('2018'!Tnet_s-t)/'2018'!Tau_j)),Resal_s+(Salim-Resal_s)*(1-EXP((Tnet_s-t)/Tau_j)))*Salcycl</f>
        <v>1.3623277829415923E-2</v>
      </c>
      <c r="AD45" s="231">
        <f>(INDEX(Models!$BJ45:$BT45,,AH45)*(1-AF45)+INDEX(Models!$BJ45:$BT45,,AH45+1)*AF45-ERP_i)*AE45*Ramure*Pc/MaxiM</f>
        <v>2.6852980496986936E-5</v>
      </c>
      <c r="AE45" s="305">
        <f t="shared" si="14"/>
        <v>0.5</v>
      </c>
      <c r="AF45" s="177">
        <f t="shared" si="15"/>
        <v>0.49907777941373133</v>
      </c>
      <c r="AG45" s="176">
        <f t="shared" si="16"/>
        <v>-2</v>
      </c>
      <c r="AH45" s="176">
        <f t="shared" si="17"/>
        <v>4</v>
      </c>
      <c r="AI45" s="225">
        <f t="shared" si="22"/>
        <v>-1.5009222205862687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7">
        <v>27.419</v>
      </c>
      <c r="C46" s="390"/>
      <c r="D46" s="393">
        <f t="shared" si="0"/>
        <v>27.562304814935686</v>
      </c>
      <c r="E46" s="385">
        <f t="shared" si="1"/>
        <v>27.94443890498972</v>
      </c>
      <c r="F46" s="385">
        <f t="shared" si="2"/>
        <v>27.944973498874095</v>
      </c>
      <c r="G46" s="110">
        <f t="shared" si="23"/>
        <v>0.81798928008274296</v>
      </c>
      <c r="H46" s="414" t="b">
        <f>Wh_hp&gt;='2018'!Maxi_hp</f>
        <v>1</v>
      </c>
      <c r="I46" s="390">
        <f>IF(H46,Wh_hp,'2018'!Maxi_hp)</f>
        <v>27.944973498874095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5.1993044811706746E-3</v>
      </c>
      <c r="M46" s="845"/>
      <c r="N46" s="845"/>
      <c r="O46" s="48">
        <f>IF(t&lt;Tnet,'2018'!Resal+('2018'!Salim-'2018'!Resal)*(1-EXP(('2018'!Tnet-t)/('2018'!Tau_j))),Resal+(Salim-Resal)*(1-EXP((Tnet-t)/(Tau_j))))*Salcycl</f>
        <v>1.3674781281287351E-2</v>
      </c>
      <c r="P46" s="169">
        <f>(INDEX(Models!$BJ46:$BT46,,T46)*(1-R46)+INDEX(Models!$BJ46:$BT46,,T46+1)*R46-ERP_i)*Q46*Ramure*Pc/MaxiM</f>
        <v>2.5851928265296349E-5</v>
      </c>
      <c r="Q46" s="305">
        <f t="shared" si="4"/>
        <v>0.5</v>
      </c>
      <c r="R46" s="177">
        <f t="shared" si="5"/>
        <v>0.49917732800417181</v>
      </c>
      <c r="S46" s="811">
        <f t="shared" si="6"/>
        <v>-2</v>
      </c>
      <c r="T46" s="176">
        <f t="shared" si="7"/>
        <v>4</v>
      </c>
      <c r="U46" s="251">
        <f t="shared" si="21"/>
        <v>-1.5008226719958282</v>
      </c>
      <c r="V46" s="383">
        <f t="shared" si="8"/>
        <v>33.519773867412759</v>
      </c>
      <c r="W46" s="58"/>
      <c r="X46" s="157">
        <f t="shared" si="9"/>
        <v>43497</v>
      </c>
      <c r="Y46" s="385">
        <f t="shared" si="10"/>
        <v>27.419</v>
      </c>
      <c r="Z46" s="385">
        <f t="shared" si="11"/>
        <v>27.562304814935686</v>
      </c>
      <c r="AA46" s="386">
        <f t="shared" si="12"/>
        <v>27.94443890498972</v>
      </c>
      <c r="AB46" s="197">
        <f t="shared" si="13"/>
        <v>43497</v>
      </c>
      <c r="AC46" s="426">
        <f>IF(OR(t&lt;Tnet,NoTnet),'2018'!Resal_s+('2018'!Salim-'2018'!Resal_s)*(1-EXP(('2018'!Tnet_s-t)/'2018'!Tau_j)),Resal_s+(Salim-Resal_s)*(1-EXP((Tnet_s-t)/Tau_j)))*Salcycl</f>
        <v>1.3674781281287351E-2</v>
      </c>
      <c r="AD46" s="231">
        <f>(INDEX(Models!$BJ46:$BT46,,AH46)*(1-AF46)+INDEX(Models!$BJ46:$BT46,,AH46+1)*AF46-ERP_i)*AE46*Ramure*Pc/MaxiM</f>
        <v>2.5851928265296349E-5</v>
      </c>
      <c r="AE46" s="305">
        <f t="shared" si="14"/>
        <v>0.5</v>
      </c>
      <c r="AF46" s="177">
        <f t="shared" si="15"/>
        <v>0.49917732800417181</v>
      </c>
      <c r="AG46" s="176">
        <f t="shared" si="16"/>
        <v>-2</v>
      </c>
      <c r="AH46" s="176">
        <f t="shared" si="17"/>
        <v>4</v>
      </c>
      <c r="AI46" s="225">
        <f t="shared" si="22"/>
        <v>-1.5008226719958282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7">
        <v>3.3719999999999999</v>
      </c>
      <c r="C47" s="390"/>
      <c r="D47" s="393">
        <f t="shared" si="0"/>
        <v>3.3896979287021853</v>
      </c>
      <c r="E47" s="385">
        <f t="shared" si="1"/>
        <v>3.4368733393672604</v>
      </c>
      <c r="F47" s="385">
        <f t="shared" si="2"/>
        <v>3.4368733393672604</v>
      </c>
      <c r="G47" s="110">
        <f t="shared" si="23"/>
        <v>9.9583836136544562E-2</v>
      </c>
      <c r="H47" s="414" t="b">
        <f>Wh_hp&gt;='2018'!Maxi_hp</f>
        <v>1</v>
      </c>
      <c r="I47" s="390">
        <f>IF(H47,Wh_hp,'2018'!Maxi_hp)</f>
        <v>3.4368733393672604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5.2210931694912643E-3</v>
      </c>
      <c r="M47" s="845"/>
      <c r="N47" s="845"/>
      <c r="O47" s="48">
        <f>IF(t&lt;Tnet,'2018'!Resal+('2018'!Salim-'2018'!Resal)*(1-EXP(('2018'!Tnet-t)/('2018'!Tau_j))),Resal+(Salim-Resal)*(1-EXP((Tnet-t)/(Tau_j))))*Salcycl</f>
        <v>1.3726258144200318E-2</v>
      </c>
      <c r="P47" s="169">
        <f>(INDEX(Models!$BJ47:$BT47,,T47)*(1-R47)+INDEX(Models!$BJ47:$BT47,,T47+1)*R47-ERP_i)*Q47*Ramure*Pc/MaxiM</f>
        <v>2.4976537961535944E-5</v>
      </c>
      <c r="Q47" s="305">
        <f t="shared" si="4"/>
        <v>0.5</v>
      </c>
      <c r="R47" s="177">
        <f t="shared" si="5"/>
        <v>0.49928101056941654</v>
      </c>
      <c r="S47" s="811">
        <f t="shared" si="6"/>
        <v>-2</v>
      </c>
      <c r="T47" s="176">
        <f t="shared" si="7"/>
        <v>4</v>
      </c>
      <c r="U47" s="251">
        <f t="shared" si="21"/>
        <v>-1.5007189894305835</v>
      </c>
      <c r="V47" s="383">
        <f t="shared" si="8"/>
        <v>33.860071171495989</v>
      </c>
      <c r="W47" s="58"/>
      <c r="X47" s="157">
        <f t="shared" si="9"/>
        <v>43498</v>
      </c>
      <c r="Y47" s="385">
        <f t="shared" si="10"/>
        <v>3.3719999999999999</v>
      </c>
      <c r="Z47" s="385">
        <f t="shared" si="11"/>
        <v>3.3896979287021853</v>
      </c>
      <c r="AA47" s="386">
        <f t="shared" si="12"/>
        <v>3.4368733393672604</v>
      </c>
      <c r="AB47" s="197">
        <f t="shared" si="13"/>
        <v>43498</v>
      </c>
      <c r="AC47" s="426">
        <f>IF(OR(t&lt;Tnet,NoTnet),'2018'!Resal_s+('2018'!Salim-'2018'!Resal_s)*(1-EXP(('2018'!Tnet_s-t)/'2018'!Tau_j)),Resal_s+(Salim-Resal_s)*(1-EXP((Tnet_s-t)/Tau_j)))*Salcycl</f>
        <v>1.3726258144200318E-2</v>
      </c>
      <c r="AD47" s="231">
        <f>(INDEX(Models!$BJ47:$BT47,,AH47)*(1-AF47)+INDEX(Models!$BJ47:$BT47,,AH47+1)*AF47-ERP_i)*AE47*Ramure*Pc/MaxiM</f>
        <v>2.4976537961535944E-5</v>
      </c>
      <c r="AE47" s="305">
        <f t="shared" si="14"/>
        <v>0.5</v>
      </c>
      <c r="AF47" s="177">
        <f t="shared" si="15"/>
        <v>0.49928101056941654</v>
      </c>
      <c r="AG47" s="176">
        <f t="shared" si="16"/>
        <v>-2</v>
      </c>
      <c r="AH47" s="176">
        <f t="shared" si="17"/>
        <v>4</v>
      </c>
      <c r="AI47" s="225">
        <f t="shared" si="22"/>
        <v>-1.5007189894305835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7">
        <v>13.62</v>
      </c>
      <c r="C48" s="390"/>
      <c r="D48" s="393">
        <f t="shared" si="0"/>
        <v>13.691784401505618</v>
      </c>
      <c r="E48" s="385">
        <f t="shared" si="1"/>
        <v>13.88306116327513</v>
      </c>
      <c r="F48" s="385">
        <f t="shared" si="2"/>
        <v>13.883108368852387</v>
      </c>
      <c r="G48" s="110">
        <f t="shared" si="23"/>
        <v>0.39824836934609198</v>
      </c>
      <c r="H48" s="414" t="b">
        <f>Wh_hp&gt;='2018'!Maxi_hp</f>
        <v>1</v>
      </c>
      <c r="I48" s="390">
        <f>IF(H48,Wh_hp,'2018'!Maxi_hp)</f>
        <v>13.883108368852387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5.2428813805835972E-3</v>
      </c>
      <c r="M48" s="845"/>
      <c r="N48" s="845"/>
      <c r="O48" s="48">
        <f>IF(t&lt;Tnet,'2018'!Resal+('2018'!Salim-'2018'!Resal)*(1-EXP(('2018'!Tnet-t)/('2018'!Tau_j))),Resal+(Salim-Resal)*(1-EXP((Tnet-t)/(Tau_j))))*Salcycl</f>
        <v>1.3777707921902473E-2</v>
      </c>
      <c r="P48" s="169">
        <f>(INDEX(Models!$BJ48:$BT48,,T48)*(1-R48)+INDEX(Models!$BJ48:$BT48,,T48+1)*R48-ERP_i)*Q48*Ramure*Pc/MaxiM</f>
        <v>2.4223820002932348E-5</v>
      </c>
      <c r="Q48" s="305">
        <f t="shared" si="4"/>
        <v>0.5</v>
      </c>
      <c r="R48" s="177">
        <f t="shared" si="5"/>
        <v>0.4993889969440497</v>
      </c>
      <c r="S48" s="811">
        <f t="shared" si="6"/>
        <v>-2</v>
      </c>
      <c r="T48" s="176">
        <f t="shared" si="7"/>
        <v>4</v>
      </c>
      <c r="U48" s="251">
        <f t="shared" si="21"/>
        <v>-1.5006110030559503</v>
      </c>
      <c r="V48" s="383">
        <f t="shared" si="8"/>
        <v>34.199051220026355</v>
      </c>
      <c r="W48" s="58"/>
      <c r="X48" s="157">
        <f t="shared" si="9"/>
        <v>43499</v>
      </c>
      <c r="Y48" s="385">
        <f t="shared" si="10"/>
        <v>13.62</v>
      </c>
      <c r="Z48" s="385">
        <f t="shared" si="11"/>
        <v>13.691784401505618</v>
      </c>
      <c r="AA48" s="386">
        <f t="shared" si="12"/>
        <v>13.88306116327513</v>
      </c>
      <c r="AB48" s="197">
        <f t="shared" si="13"/>
        <v>43499</v>
      </c>
      <c r="AC48" s="426">
        <f>IF(OR(t&lt;Tnet,NoTnet),'2018'!Resal_s+('2018'!Salim-'2018'!Resal_s)*(1-EXP(('2018'!Tnet_s-t)/'2018'!Tau_j)),Resal_s+(Salim-Resal_s)*(1-EXP((Tnet_s-t)/Tau_j)))*Salcycl</f>
        <v>1.3777707921902473E-2</v>
      </c>
      <c r="AD48" s="231">
        <f>(INDEX(Models!$BJ48:$BT48,,AH48)*(1-AF48)+INDEX(Models!$BJ48:$BT48,,AH48+1)*AF48-ERP_i)*AE48*Ramure*Pc/MaxiM</f>
        <v>2.4223820002932348E-5</v>
      </c>
      <c r="AE48" s="305">
        <f t="shared" si="14"/>
        <v>0.5</v>
      </c>
      <c r="AF48" s="177">
        <f t="shared" si="15"/>
        <v>0.4993889969440497</v>
      </c>
      <c r="AG48" s="176">
        <f t="shared" si="16"/>
        <v>-2</v>
      </c>
      <c r="AH48" s="176">
        <f t="shared" si="17"/>
        <v>4</v>
      </c>
      <c r="AI48" s="225">
        <f t="shared" si="22"/>
        <v>-1.5006110030559503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7">
        <v>27.38</v>
      </c>
      <c r="C49" s="390"/>
      <c r="D49" s="393">
        <f t="shared" si="0"/>
        <v>27.524909541139493</v>
      </c>
      <c r="E49" s="385">
        <f t="shared" si="1"/>
        <v>27.910892906644023</v>
      </c>
      <c r="F49" s="385">
        <f t="shared" si="2"/>
        <v>27.911356460515268</v>
      </c>
      <c r="G49" s="110">
        <f t="shared" si="23"/>
        <v>0.79279816559706218</v>
      </c>
      <c r="H49" s="414" t="b">
        <f>Wh_hp&gt;='2018'!Maxi_hp</f>
        <v>1</v>
      </c>
      <c r="I49" s="390">
        <f>IF(H49,Wh_hp,'2018'!Maxi_hp)</f>
        <v>27.911356460515268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5.2646691144582203E-3</v>
      </c>
      <c r="M49" s="845"/>
      <c r="N49" s="845"/>
      <c r="O49" s="48">
        <f>IF(t&lt;Tnet,'2018'!Resal+('2018'!Salim-'2018'!Resal)*(1-EXP(('2018'!Tnet-t)/('2018'!Tau_j))),Resal+(Salim-Resal)*(1-EXP((Tnet-t)/(Tau_j))))*Salcycl</f>
        <v>1.3829129967126491E-2</v>
      </c>
      <c r="P49" s="169">
        <f>(INDEX(Models!$BJ49:$BT49,,T49)*(1-R49)+INDEX(Models!$BJ49:$BT49,,T49+1)*R49-ERP_i)*Q49*Ramure*Pc/MaxiM</f>
        <v>2.3590836886203379E-5</v>
      </c>
      <c r="Q49" s="305">
        <f t="shared" si="4"/>
        <v>0.5</v>
      </c>
      <c r="R49" s="177">
        <f t="shared" si="5"/>
        <v>0.49950146378341564</v>
      </c>
      <c r="S49" s="811">
        <f t="shared" si="6"/>
        <v>-2</v>
      </c>
      <c r="T49" s="176">
        <f t="shared" si="7"/>
        <v>4</v>
      </c>
      <c r="U49" s="251">
        <f t="shared" si="21"/>
        <v>-1.5004985362165844</v>
      </c>
      <c r="V49" s="383">
        <f t="shared" si="8"/>
        <v>34.535661151731695</v>
      </c>
      <c r="W49" s="58"/>
      <c r="X49" s="157">
        <f t="shared" si="9"/>
        <v>43500</v>
      </c>
      <c r="Y49" s="385">
        <f t="shared" si="10"/>
        <v>27.38</v>
      </c>
      <c r="Z49" s="385">
        <f t="shared" si="11"/>
        <v>27.524909541139493</v>
      </c>
      <c r="AA49" s="386">
        <f t="shared" si="12"/>
        <v>27.910892906644023</v>
      </c>
      <c r="AB49" s="197">
        <f t="shared" si="13"/>
        <v>43500</v>
      </c>
      <c r="AC49" s="426">
        <f>IF(OR(t&lt;Tnet,NoTnet),'2018'!Resal_s+('2018'!Salim-'2018'!Resal_s)*(1-EXP(('2018'!Tnet_s-t)/'2018'!Tau_j)),Resal_s+(Salim-Resal_s)*(1-EXP((Tnet_s-t)/Tau_j)))*Salcycl</f>
        <v>1.3829129967126491E-2</v>
      </c>
      <c r="AD49" s="231">
        <f>(INDEX(Models!$BJ49:$BT49,,AH49)*(1-AF49)+INDEX(Models!$BJ49:$BT49,,AH49+1)*AF49-ERP_i)*AE49*Ramure*Pc/MaxiM</f>
        <v>2.3590836886203379E-5</v>
      </c>
      <c r="AE49" s="305">
        <f t="shared" si="14"/>
        <v>0.5</v>
      </c>
      <c r="AF49" s="177">
        <f t="shared" si="15"/>
        <v>0.49950146378341564</v>
      </c>
      <c r="AG49" s="176">
        <f t="shared" si="16"/>
        <v>-2</v>
      </c>
      <c r="AH49" s="176">
        <f t="shared" si="17"/>
        <v>4</v>
      </c>
      <c r="AI49" s="225">
        <f t="shared" si="22"/>
        <v>-1.5004985362165844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7">
        <v>3.863</v>
      </c>
      <c r="C50" s="390"/>
      <c r="D50" s="393">
        <f t="shared" si="0"/>
        <v>3.883530112505714</v>
      </c>
      <c r="E50" s="385">
        <f t="shared" si="1"/>
        <v>3.9381943111397653</v>
      </c>
      <c r="F50" s="385">
        <f t="shared" si="2"/>
        <v>3.9381943111397653</v>
      </c>
      <c r="G50" s="110">
        <f t="shared" si="23"/>
        <v>0.11078401028311217</v>
      </c>
      <c r="H50" s="414" t="b">
        <f>Wh_hp&gt;='2018'!Maxi_hp</f>
        <v>1</v>
      </c>
      <c r="I50" s="390">
        <f>IF(H50,Wh_hp,'2018'!Maxi_hp)</f>
        <v>3.9381943111397653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5.2864563711255697E-3</v>
      </c>
      <c r="M50" s="845"/>
      <c r="N50" s="845"/>
      <c r="O50" s="48">
        <f>IF(t&lt;Tnet,'2018'!Resal+('2018'!Salim-'2018'!Resal)*(1-EXP(('2018'!Tnet-t)/('2018'!Tau_j))),Resal+(Salim-Resal)*(1-EXP((Tnet-t)/(Tau_j))))*Salcycl</f>
        <v>1.3880523487483944E-2</v>
      </c>
      <c r="P50" s="169">
        <f>(INDEX(Models!$BJ50:$BT50,,T50)*(1-R50)+INDEX(Models!$BJ50:$BT50,,T50+1)*R50-ERP_i)*Q50*Ramure*Pc/MaxiM</f>
        <v>2.3074736993447166E-5</v>
      </c>
      <c r="Q50" s="305">
        <f t="shared" si="4"/>
        <v>0.5</v>
      </c>
      <c r="R50" s="177">
        <f t="shared" si="5"/>
        <v>0.49961859482419646</v>
      </c>
      <c r="S50" s="811">
        <f t="shared" si="6"/>
        <v>-2</v>
      </c>
      <c r="T50" s="176">
        <f t="shared" si="7"/>
        <v>4</v>
      </c>
      <c r="U50" s="251">
        <f t="shared" si="21"/>
        <v>-1.5003814051758035</v>
      </c>
      <c r="V50" s="383">
        <f t="shared" si="8"/>
        <v>34.86884842333474</v>
      </c>
      <c r="W50" s="58"/>
      <c r="X50" s="157">
        <f t="shared" si="9"/>
        <v>43501</v>
      </c>
      <c r="Y50" s="385">
        <f t="shared" si="10"/>
        <v>3.863</v>
      </c>
      <c r="Z50" s="385">
        <f t="shared" si="11"/>
        <v>3.883530112505714</v>
      </c>
      <c r="AA50" s="386">
        <f t="shared" si="12"/>
        <v>3.9381943111397653</v>
      </c>
      <c r="AB50" s="197">
        <f t="shared" si="13"/>
        <v>43501</v>
      </c>
      <c r="AC50" s="426">
        <f>IF(OR(t&lt;Tnet,NoTnet),'2018'!Resal_s+('2018'!Salim-'2018'!Resal_s)*(1-EXP(('2018'!Tnet_s-t)/'2018'!Tau_j)),Resal_s+(Salim-Resal_s)*(1-EXP((Tnet_s-t)/Tau_j)))*Salcycl</f>
        <v>1.3880523487483944E-2</v>
      </c>
      <c r="AD50" s="231">
        <f>(INDEX(Models!$BJ50:$BT50,,AH50)*(1-AF50)+INDEX(Models!$BJ50:$BT50,,AH50+1)*AF50-ERP_i)*AE50*Ramure*Pc/MaxiM</f>
        <v>2.3074736993447166E-5</v>
      </c>
      <c r="AE50" s="305">
        <f t="shared" si="14"/>
        <v>0.5</v>
      </c>
      <c r="AF50" s="177">
        <f t="shared" si="15"/>
        <v>0.49961859482419646</v>
      </c>
      <c r="AG50" s="176">
        <f t="shared" si="16"/>
        <v>-2</v>
      </c>
      <c r="AH50" s="176">
        <f t="shared" si="17"/>
        <v>4</v>
      </c>
      <c r="AI50" s="225">
        <f t="shared" si="22"/>
        <v>-1.5003814051758035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7">
        <v>10.815</v>
      </c>
      <c r="C51" s="390"/>
      <c r="D51" s="393">
        <f t="shared" si="0"/>
        <v>10.872715015006792</v>
      </c>
      <c r="E51" s="385">
        <f t="shared" si="1"/>
        <v>11.026332641498579</v>
      </c>
      <c r="F51" s="385">
        <f t="shared" si="2"/>
        <v>11.026335229391099</v>
      </c>
      <c r="G51" s="110">
        <f t="shared" si="23"/>
        <v>0.30723971944864864</v>
      </c>
      <c r="H51" s="414" t="b">
        <f>Wh_hp&gt;='2018'!Maxi_hp</f>
        <v>1</v>
      </c>
      <c r="I51" s="390">
        <f>IF(H51,Wh_hp,'2018'!Maxi_hp)</f>
        <v>11.026335229391099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5.3082431505960814E-3</v>
      </c>
      <c r="M51" s="845"/>
      <c r="N51" s="845"/>
      <c r="O51" s="48">
        <f>IF(t&lt;Tnet,'2018'!Resal+('2018'!Salim-'2018'!Resal)*(1-EXP(('2018'!Tnet-t)/('2018'!Tau_j))),Resal+(Salim-Resal)*(1-EXP((Tnet-t)/(Tau_j))))*Salcycl</f>
        <v>1.3931887553766809E-2</v>
      </c>
      <c r="P51" s="169">
        <f>(INDEX(Models!$BJ51:$BT51,,T51)*(1-R51)+INDEX(Models!$BJ51:$BT51,,T51+1)*R51-ERP_i)*Q51*Ramure*Pc/MaxiM</f>
        <v>2.2671382906759512E-5</v>
      </c>
      <c r="Q51" s="305">
        <f t="shared" si="4"/>
        <v>0.5</v>
      </c>
      <c r="R51" s="177">
        <f t="shared" si="5"/>
        <v>0.4997405811537905</v>
      </c>
      <c r="S51" s="811">
        <f t="shared" si="6"/>
        <v>-2</v>
      </c>
      <c r="T51" s="176">
        <f t="shared" si="7"/>
        <v>4</v>
      </c>
      <c r="U51" s="251">
        <f t="shared" si="21"/>
        <v>-1.5002594188462095</v>
      </c>
      <c r="V51" s="383">
        <f t="shared" si="8"/>
        <v>35.199737086846234</v>
      </c>
      <c r="W51" s="58"/>
      <c r="X51" s="157">
        <f t="shared" si="9"/>
        <v>43502</v>
      </c>
      <c r="Y51" s="385">
        <f t="shared" si="10"/>
        <v>10.815</v>
      </c>
      <c r="Z51" s="385">
        <f t="shared" si="11"/>
        <v>10.872715015006792</v>
      </c>
      <c r="AA51" s="386">
        <f t="shared" si="12"/>
        <v>11.026332641498579</v>
      </c>
      <c r="AB51" s="197">
        <f t="shared" si="13"/>
        <v>43502</v>
      </c>
      <c r="AC51" s="426">
        <f>IF(OR(t&lt;Tnet,NoTnet),'2018'!Resal_s+('2018'!Salim-'2018'!Resal_s)*(1-EXP(('2018'!Tnet_s-t)/'2018'!Tau_j)),Resal_s+(Salim-Resal_s)*(1-EXP((Tnet_s-t)/Tau_j)))*Salcycl</f>
        <v>1.3931887553766809E-2</v>
      </c>
      <c r="AD51" s="231">
        <f>(INDEX(Models!$BJ51:$BT51,,AH51)*(1-AF51)+INDEX(Models!$BJ51:$BT51,,AH51+1)*AF51-ERP_i)*AE51*Ramure*Pc/MaxiM</f>
        <v>2.2671382906759512E-5</v>
      </c>
      <c r="AE51" s="305">
        <f t="shared" si="14"/>
        <v>0.5</v>
      </c>
      <c r="AF51" s="177">
        <f t="shared" si="15"/>
        <v>0.4997405811537905</v>
      </c>
      <c r="AG51" s="176">
        <f t="shared" si="16"/>
        <v>-2</v>
      </c>
      <c r="AH51" s="176">
        <f t="shared" si="17"/>
        <v>4</v>
      </c>
      <c r="AI51" s="225">
        <f t="shared" si="22"/>
        <v>-1.5002594188462095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7">
        <v>7.1950000000000003</v>
      </c>
      <c r="C52" s="390"/>
      <c r="D52" s="393">
        <f t="shared" si="0"/>
        <v>7.2335550615269693</v>
      </c>
      <c r="E52" s="385">
        <f t="shared" si="1"/>
        <v>7.3361378998784783</v>
      </c>
      <c r="F52" s="385">
        <f t="shared" si="2"/>
        <v>7.3361378998784783</v>
      </c>
      <c r="G52" s="110">
        <f t="shared" si="23"/>
        <v>0.20249872283504589</v>
      </c>
      <c r="H52" s="414" t="b">
        <f>Wh_hp&gt;='2018'!Maxi_hp</f>
        <v>1</v>
      </c>
      <c r="I52" s="390">
        <f>IF(H52,Wh_hp,'2018'!Maxi_hp)</f>
        <v>7.3361378998784783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5.3300294528800807E-3</v>
      </c>
      <c r="M52" s="845"/>
      <c r="N52" s="845"/>
      <c r="O52" s="48">
        <f>IF(t&lt;Tnet,'2018'!Resal+('2018'!Salim-'2018'!Resal)*(1-EXP(('2018'!Tnet-t)/('2018'!Tau_j))),Resal+(Salim-Resal)*(1-EXP((Tnet-t)/(Tau_j))))*Salcycl</f>
        <v>1.3983221110553093E-2</v>
      </c>
      <c r="P52" s="169">
        <f>(INDEX(Models!$BJ52:$BT52,,T52)*(1-R52)+INDEX(Models!$BJ52:$BT52,,T52+1)*R52-ERP_i)*Q52*Ramure*Pc/MaxiM</f>
        <v>2.2462925641781021E-5</v>
      </c>
      <c r="Q52" s="305">
        <f t="shared" si="4"/>
        <v>0.5</v>
      </c>
      <c r="R52" s="177">
        <f t="shared" si="5"/>
        <v>0.49986762148869213</v>
      </c>
      <c r="S52" s="811">
        <f t="shared" si="6"/>
        <v>-2</v>
      </c>
      <c r="T52" s="176">
        <f t="shared" si="7"/>
        <v>4</v>
      </c>
      <c r="U52" s="251">
        <f t="shared" si="21"/>
        <v>-1.5001323785113079</v>
      </c>
      <c r="V52" s="383">
        <f t="shared" si="8"/>
        <v>35.530290159463753</v>
      </c>
      <c r="W52" s="58"/>
      <c r="X52" s="157">
        <f t="shared" si="9"/>
        <v>43503</v>
      </c>
      <c r="Y52" s="385">
        <f t="shared" si="10"/>
        <v>7.1950000000000003</v>
      </c>
      <c r="Z52" s="385">
        <f t="shared" si="11"/>
        <v>7.2335550615269693</v>
      </c>
      <c r="AA52" s="386">
        <f t="shared" si="12"/>
        <v>7.3361378998784783</v>
      </c>
      <c r="AB52" s="197">
        <f t="shared" si="13"/>
        <v>43503</v>
      </c>
      <c r="AC52" s="426">
        <f>IF(OR(t&lt;Tnet,NoTnet),'2018'!Resal_s+('2018'!Salim-'2018'!Resal_s)*(1-EXP(('2018'!Tnet_s-t)/'2018'!Tau_j)),Resal_s+(Salim-Resal_s)*(1-EXP((Tnet_s-t)/Tau_j)))*Salcycl</f>
        <v>1.3983221110553093E-2</v>
      </c>
      <c r="AD52" s="231">
        <f>(INDEX(Models!$BJ52:$BT52,,AH52)*(1-AF52)+INDEX(Models!$BJ52:$BT52,,AH52+1)*AF52-ERP_i)*AE52*Ramure*Pc/MaxiM</f>
        <v>2.2462925641781021E-5</v>
      </c>
      <c r="AE52" s="305">
        <f t="shared" si="14"/>
        <v>0.5</v>
      </c>
      <c r="AF52" s="177">
        <f t="shared" si="15"/>
        <v>0.49986762148869213</v>
      </c>
      <c r="AG52" s="176">
        <f t="shared" si="16"/>
        <v>-2</v>
      </c>
      <c r="AH52" s="176">
        <f t="shared" si="17"/>
        <v>4</v>
      </c>
      <c r="AI52" s="225">
        <f t="shared" si="22"/>
        <v>-1.5001323785113079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7">
        <v>30.587</v>
      </c>
      <c r="C53" s="390"/>
      <c r="D53" s="393">
        <f t="shared" si="0"/>
        <v>30.751576758317395</v>
      </c>
      <c r="E53" s="385">
        <f t="shared" si="1"/>
        <v>31.189303758932727</v>
      </c>
      <c r="F53" s="385">
        <f t="shared" si="2"/>
        <v>31.189855775222124</v>
      </c>
      <c r="G53" s="110">
        <f t="shared" si="23"/>
        <v>0.85293480600708205</v>
      </c>
      <c r="H53" s="414" t="b">
        <f>Wh_hp&gt;='2018'!Maxi_hp</f>
        <v>1</v>
      </c>
      <c r="I53" s="390">
        <f>IF(H53,Wh_hp,'2018'!Maxi_hp)</f>
        <v>31.189855775222124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5.3518152779883366E-3</v>
      </c>
      <c r="M53" s="845"/>
      <c r="N53" s="845"/>
      <c r="O53" s="48">
        <f>IF(t&lt;Tnet,'2018'!Resal+('2018'!Salim-'2018'!Resal)*(1-EXP(('2018'!Tnet-t)/('2018'!Tau_j))),Resal+(Salim-Resal)*(1-EXP((Tnet-t)/(Tau_j))))*Salcycl</f>
        <v>1.4034522988990002E-2</v>
      </c>
      <c r="P53" s="169">
        <f>(INDEX(Models!$BJ53:$BT53,,T53)*(1-R53)+INDEX(Models!$BJ53:$BT53,,T53+1)*R53-ERP_i)*Q53*Ramure*Pc/MaxiM</f>
        <v>2.2405749943361642E-5</v>
      </c>
      <c r="Q53" s="305">
        <f t="shared" si="4"/>
        <v>0.5</v>
      </c>
      <c r="R53" s="177">
        <f t="shared" si="5"/>
        <v>0.49999992246205838</v>
      </c>
      <c r="S53" s="811">
        <f t="shared" si="6"/>
        <v>-2</v>
      </c>
      <c r="T53" s="176">
        <f t="shared" si="7"/>
        <v>4</v>
      </c>
      <c r="U53" s="251">
        <f t="shared" si="21"/>
        <v>-1.5000000775379416</v>
      </c>
      <c r="V53" s="383">
        <f t="shared" si="8"/>
        <v>35.860719722018167</v>
      </c>
      <c r="W53" s="58"/>
      <c r="X53" s="157">
        <f t="shared" si="9"/>
        <v>43504</v>
      </c>
      <c r="Y53" s="385">
        <f t="shared" si="10"/>
        <v>30.587</v>
      </c>
      <c r="Z53" s="385">
        <f t="shared" si="11"/>
        <v>30.751576758317395</v>
      </c>
      <c r="AA53" s="386">
        <f t="shared" si="12"/>
        <v>31.189303758932727</v>
      </c>
      <c r="AB53" s="197">
        <f t="shared" si="13"/>
        <v>43504</v>
      </c>
      <c r="AC53" s="426">
        <f>IF(OR(t&lt;Tnet,NoTnet),'2018'!Resal_s+('2018'!Salim-'2018'!Resal_s)*(1-EXP(('2018'!Tnet_s-t)/'2018'!Tau_j)),Resal_s+(Salim-Resal_s)*(1-EXP((Tnet_s-t)/Tau_j)))*Salcycl</f>
        <v>1.4034522988990002E-2</v>
      </c>
      <c r="AD53" s="231">
        <f>(INDEX(Models!$BJ53:$BT53,,AH53)*(1-AF53)+INDEX(Models!$BJ53:$BT53,,AH53+1)*AF53-ERP_i)*AE53*Ramure*Pc/MaxiM</f>
        <v>2.2405749943361642E-5</v>
      </c>
      <c r="AE53" s="305">
        <f t="shared" si="14"/>
        <v>0.5</v>
      </c>
      <c r="AF53" s="177">
        <f t="shared" si="15"/>
        <v>0.49999992246205838</v>
      </c>
      <c r="AG53" s="176">
        <f t="shared" si="16"/>
        <v>-2</v>
      </c>
      <c r="AH53" s="176">
        <f t="shared" si="17"/>
        <v>4</v>
      </c>
      <c r="AI53" s="225">
        <f t="shared" si="22"/>
        <v>-1.5000000775379416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7">
        <v>29.228000000000002</v>
      </c>
      <c r="C54" s="390"/>
      <c r="D54" s="393">
        <f t="shared" si="0"/>
        <v>29.385908134344263</v>
      </c>
      <c r="E54" s="385">
        <f t="shared" si="1"/>
        <v>29.805745665861927</v>
      </c>
      <c r="F54" s="385">
        <f t="shared" si="2"/>
        <v>29.806231881968692</v>
      </c>
      <c r="G54" s="110">
        <f t="shared" si="23"/>
        <v>0.80759383102324678</v>
      </c>
      <c r="H54" s="414" t="b">
        <f>Wh_hp&gt;='2018'!Maxi_hp</f>
        <v>1</v>
      </c>
      <c r="I54" s="390">
        <f>IF(H54,Wh_hp,'2018'!Maxi_hp)</f>
        <v>29.806231881968692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5.3736006259309521E-3</v>
      </c>
      <c r="M54" s="845"/>
      <c r="N54" s="845"/>
      <c r="O54" s="48">
        <f>IF(t&lt;Tnet,'2018'!Resal+('2018'!Salim-'2018'!Resal)*(1-EXP(('2018'!Tnet-t)/('2018'!Tau_j))),Resal+(Salim-Resal)*(1-EXP((Tnet-t)/(Tau_j))))*Salcycl</f>
        <v>1.4085791921606722E-2</v>
      </c>
      <c r="P54" s="169">
        <f>(INDEX(Models!$BJ54:$BT54,,T54)*(1-R54)+INDEX(Models!$BJ54:$BT54,,T54+1)*R54-ERP_i)*Q54*Ramure*Pc/MaxiM</f>
        <v>2.2495709649463356E-5</v>
      </c>
      <c r="Q54" s="305">
        <f t="shared" si="4"/>
        <v>0.5</v>
      </c>
      <c r="R54" s="177">
        <f t="shared" si="5"/>
        <v>0.50013769892064941</v>
      </c>
      <c r="S54" s="811">
        <f t="shared" si="6"/>
        <v>-2</v>
      </c>
      <c r="T54" s="176">
        <f t="shared" si="7"/>
        <v>4</v>
      </c>
      <c r="U54" s="251">
        <f t="shared" si="21"/>
        <v>-1.4998623010793506</v>
      </c>
      <c r="V54" s="383">
        <f t="shared" si="8"/>
        <v>36.191236427696708</v>
      </c>
      <c r="W54" s="58"/>
      <c r="X54" s="157">
        <f t="shared" si="9"/>
        <v>43505</v>
      </c>
      <c r="Y54" s="385">
        <f t="shared" si="10"/>
        <v>29.228000000000002</v>
      </c>
      <c r="Z54" s="385">
        <f t="shared" si="11"/>
        <v>29.385908134344263</v>
      </c>
      <c r="AA54" s="386">
        <f t="shared" si="12"/>
        <v>29.805745665861927</v>
      </c>
      <c r="AB54" s="197">
        <f t="shared" si="13"/>
        <v>43505</v>
      </c>
      <c r="AC54" s="426">
        <f>IF(OR(t&lt;Tnet,NoTnet),'2018'!Resal_s+('2018'!Salim-'2018'!Resal_s)*(1-EXP(('2018'!Tnet_s-t)/'2018'!Tau_j)),Resal_s+(Salim-Resal_s)*(1-EXP((Tnet_s-t)/Tau_j)))*Salcycl</f>
        <v>1.4085791921606722E-2</v>
      </c>
      <c r="AD54" s="231">
        <f>(INDEX(Models!$BJ54:$BT54,,AH54)*(1-AF54)+INDEX(Models!$BJ54:$BT54,,AH54+1)*AF54-ERP_i)*AE54*Ramure*Pc/MaxiM</f>
        <v>2.2495709649463356E-5</v>
      </c>
      <c r="AE54" s="305">
        <f t="shared" si="14"/>
        <v>0.5</v>
      </c>
      <c r="AF54" s="177">
        <f t="shared" si="15"/>
        <v>0.50013769892064941</v>
      </c>
      <c r="AG54" s="176">
        <f t="shared" si="16"/>
        <v>-2</v>
      </c>
      <c r="AH54" s="176">
        <f t="shared" si="17"/>
        <v>4</v>
      </c>
      <c r="AI54" s="225">
        <f t="shared" si="22"/>
        <v>-1.4998623010793506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7">
        <v>9.2279999999999998</v>
      </c>
      <c r="C55" s="390"/>
      <c r="D55" s="393">
        <f t="shared" si="0"/>
        <v>9.2780587033658435</v>
      </c>
      <c r="E55" s="385">
        <f t="shared" si="1"/>
        <v>9.4111037266996007</v>
      </c>
      <c r="F55" s="385">
        <f t="shared" si="2"/>
        <v>9.4111037266996007</v>
      </c>
      <c r="G55" s="110">
        <f t="shared" si="23"/>
        <v>0.25266352897127858</v>
      </c>
      <c r="H55" s="414" t="b">
        <f>Wh_hp&gt;='2018'!Maxi_hp</f>
        <v>1</v>
      </c>
      <c r="I55" s="390">
        <f>IF(H55,Wh_hp,'2018'!Maxi_hp)</f>
        <v>9.4111037266996007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5.3953854967185855E-3</v>
      </c>
      <c r="M55" s="845"/>
      <c r="N55" s="845"/>
      <c r="O55" s="48">
        <f>IF(t&lt;Tnet,'2018'!Resal+('2018'!Salim-'2018'!Resal)*(1-EXP(('2018'!Tnet-t)/('2018'!Tau_j))),Resal+(Salim-Resal)*(1-EXP((Tnet-t)/(Tau_j))))*Salcycl</f>
        <v>1.4137026558989494E-2</v>
      </c>
      <c r="P55" s="169">
        <f>(INDEX(Models!$BJ55:$BT55,,T55)*(1-R55)+INDEX(Models!$BJ55:$BT55,,T55+1)*R55-ERP_i)*Q55*Ramure*Pc/MaxiM</f>
        <v>2.2728823304980692E-5</v>
      </c>
      <c r="Q55" s="305">
        <f t="shared" si="4"/>
        <v>0.5</v>
      </c>
      <c r="R55" s="177">
        <f t="shared" si="5"/>
        <v>0.50028117423131202</v>
      </c>
      <c r="S55" s="811">
        <f t="shared" si="6"/>
        <v>-2</v>
      </c>
      <c r="T55" s="176">
        <f t="shared" si="7"/>
        <v>4</v>
      </c>
      <c r="U55" s="251">
        <f t="shared" si="21"/>
        <v>-1.499718825768688</v>
      </c>
      <c r="V55" s="383">
        <f t="shared" si="8"/>
        <v>36.522050871328986</v>
      </c>
      <c r="W55" s="58"/>
      <c r="X55" s="157">
        <f t="shared" si="9"/>
        <v>43506</v>
      </c>
      <c r="Y55" s="385">
        <f t="shared" si="10"/>
        <v>9.2279999999999998</v>
      </c>
      <c r="Z55" s="385">
        <f t="shared" si="11"/>
        <v>9.2780587033658435</v>
      </c>
      <c r="AA55" s="386">
        <f t="shared" si="12"/>
        <v>9.4111037266996007</v>
      </c>
      <c r="AB55" s="197">
        <f t="shared" si="13"/>
        <v>43506</v>
      </c>
      <c r="AC55" s="426">
        <f>IF(OR(t&lt;Tnet,NoTnet),'2018'!Resal_s+('2018'!Salim-'2018'!Resal_s)*(1-EXP(('2018'!Tnet_s-t)/'2018'!Tau_j)),Resal_s+(Salim-Resal_s)*(1-EXP((Tnet_s-t)/Tau_j)))*Salcycl</f>
        <v>1.4137026558989494E-2</v>
      </c>
      <c r="AD55" s="231">
        <f>(INDEX(Models!$BJ55:$BT55,,AH55)*(1-AF55)+INDEX(Models!$BJ55:$BT55,,AH55+1)*AF55-ERP_i)*AE55*Ramure*Pc/MaxiM</f>
        <v>2.2728823304980692E-5</v>
      </c>
      <c r="AE55" s="305">
        <f t="shared" si="14"/>
        <v>0.5</v>
      </c>
      <c r="AF55" s="177">
        <f t="shared" si="15"/>
        <v>0.50028117423131202</v>
      </c>
      <c r="AG55" s="176">
        <f t="shared" si="16"/>
        <v>-2</v>
      </c>
      <c r="AH55" s="176">
        <f t="shared" si="17"/>
        <v>4</v>
      </c>
      <c r="AI55" s="225">
        <f t="shared" si="22"/>
        <v>-1.499718825768688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7">
        <v>21.178999999999998</v>
      </c>
      <c r="C56" s="390"/>
      <c r="D56" s="393">
        <f t="shared" si="0"/>
        <v>21.294355139496346</v>
      </c>
      <c r="E56" s="385">
        <f t="shared" si="1"/>
        <v>21.600832623489868</v>
      </c>
      <c r="F56" s="385">
        <f t="shared" si="2"/>
        <v>21.60102843738898</v>
      </c>
      <c r="G56" s="110">
        <f t="shared" si="23"/>
        <v>0.57467473561134674</v>
      </c>
      <c r="H56" s="414" t="b">
        <f>Wh_hp&gt;='2018'!Maxi_hp</f>
        <v>1</v>
      </c>
      <c r="I56" s="390">
        <f>IF(H56,Wh_hp,'2018'!Maxi_hp)</f>
        <v>21.60102843738898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5.4171698903616727E-3</v>
      </c>
      <c r="M56" s="845"/>
      <c r="N56" s="845"/>
      <c r="O56" s="48">
        <f>IF(t&lt;Tnet,'2018'!Resal+('2018'!Salim-'2018'!Resal)*(1-EXP(('2018'!Tnet-t)/('2018'!Tau_j))),Resal+(Salim-Resal)*(1-EXP((Tnet-t)/(Tau_j))))*Salcycl</f>
        <v>1.4188225488134316E-2</v>
      </c>
      <c r="P56" s="169">
        <f>(INDEX(Models!$BJ56:$BT56,,T56)*(1-R56)+INDEX(Models!$BJ56:$BT56,,T56+1)*R56-ERP_i)*Q56*Ramure*Pc/MaxiM</f>
        <v>2.3101259447708063E-5</v>
      </c>
      <c r="Q56" s="305">
        <f t="shared" si="4"/>
        <v>0.5</v>
      </c>
      <c r="R56" s="177">
        <f t="shared" si="5"/>
        <v>0.50043058059717316</v>
      </c>
      <c r="S56" s="811">
        <f t="shared" si="6"/>
        <v>-2</v>
      </c>
      <c r="T56" s="176">
        <f t="shared" si="7"/>
        <v>4</v>
      </c>
      <c r="U56" s="251">
        <f t="shared" si="21"/>
        <v>-1.4995694194028268</v>
      </c>
      <c r="V56" s="383">
        <f t="shared" si="8"/>
        <v>36.853373589498787</v>
      </c>
      <c r="W56" s="58"/>
      <c r="X56" s="157">
        <f t="shared" si="9"/>
        <v>43507</v>
      </c>
      <c r="Y56" s="385">
        <f t="shared" si="10"/>
        <v>21.178999999999998</v>
      </c>
      <c r="Z56" s="385">
        <f t="shared" si="11"/>
        <v>21.294355139496346</v>
      </c>
      <c r="AA56" s="386">
        <f t="shared" si="12"/>
        <v>21.600832623489868</v>
      </c>
      <c r="AB56" s="197">
        <f t="shared" si="13"/>
        <v>43507</v>
      </c>
      <c r="AC56" s="426">
        <f>IF(OR(t&lt;Tnet,NoTnet),'2018'!Resal_s+('2018'!Salim-'2018'!Resal_s)*(1-EXP(('2018'!Tnet_s-t)/'2018'!Tau_j)),Resal_s+(Salim-Resal_s)*(1-EXP((Tnet_s-t)/Tau_j)))*Salcycl</f>
        <v>1.4188225488134316E-2</v>
      </c>
      <c r="AD56" s="231">
        <f>(INDEX(Models!$BJ56:$BT56,,AH56)*(1-AF56)+INDEX(Models!$BJ56:$BT56,,AH56+1)*AF56-ERP_i)*AE56*Ramure*Pc/MaxiM</f>
        <v>2.3101259447708063E-5</v>
      </c>
      <c r="AE56" s="305">
        <f t="shared" si="14"/>
        <v>0.5</v>
      </c>
      <c r="AF56" s="177">
        <f t="shared" si="15"/>
        <v>0.50043058059717316</v>
      </c>
      <c r="AG56" s="176">
        <f t="shared" si="16"/>
        <v>-2</v>
      </c>
      <c r="AH56" s="176">
        <f t="shared" si="17"/>
        <v>4</v>
      </c>
      <c r="AI56" s="225">
        <f t="shared" si="22"/>
        <v>-1.4995694194028268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7">
        <v>37.709000000000003</v>
      </c>
      <c r="C57" s="390"/>
      <c r="D57" s="393">
        <f t="shared" si="0"/>
        <v>37.915219125400434</v>
      </c>
      <c r="E57" s="385">
        <f t="shared" si="1"/>
        <v>38.462907358121193</v>
      </c>
      <c r="F57" s="385">
        <f t="shared" si="2"/>
        <v>38.463815462769276</v>
      </c>
      <c r="G57" s="110">
        <f t="shared" si="23"/>
        <v>1.0140803844706845</v>
      </c>
      <c r="H57" s="414" t="b">
        <f>Wh_hp&gt;='2018'!Maxi_hp</f>
        <v>1</v>
      </c>
      <c r="I57" s="390">
        <f>IF(H57,Wh_hp,'2018'!Maxi_hp)</f>
        <v>38.463815462769276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5.43895380687065E-3</v>
      </c>
      <c r="M57" s="845"/>
      <c r="N57" s="845"/>
      <c r="O57" s="48">
        <f>IF(t&lt;Tnet,'2018'!Resal+('2018'!Salim-'2018'!Resal)*(1-EXP(('2018'!Tnet-t)/('2018'!Tau_j))),Resal+(Salim-Resal)*(1-EXP((Tnet-t)/(Tau_j))))*Salcycl</f>
        <v>1.4239387252277323E-2</v>
      </c>
      <c r="P57" s="169">
        <f>(INDEX(Models!$BJ57:$BT57,,T57)*(1-R57)+INDEX(Models!$BJ57:$BT57,,T57+1)*R57-ERP_i)*Q57*Ramure*Pc/MaxiM</f>
        <v>2.36093231302944E-5</v>
      </c>
      <c r="Q57" s="305">
        <f t="shared" si="4"/>
        <v>0.5</v>
      </c>
      <c r="R57" s="177">
        <f t="shared" si="5"/>
        <v>0.50058615938369599</v>
      </c>
      <c r="S57" s="811">
        <f t="shared" si="6"/>
        <v>-2</v>
      </c>
      <c r="T57" s="176">
        <f t="shared" si="7"/>
        <v>4</v>
      </c>
      <c r="U57" s="251">
        <f t="shared" si="21"/>
        <v>-1.499413840616304</v>
      </c>
      <c r="V57" s="383">
        <f t="shared" si="8"/>
        <v>37.185415059263597</v>
      </c>
      <c r="W57" s="58"/>
      <c r="X57" s="157">
        <f t="shared" si="9"/>
        <v>43508</v>
      </c>
      <c r="Y57" s="385">
        <f t="shared" si="10"/>
        <v>37.709000000000003</v>
      </c>
      <c r="Z57" s="385">
        <f t="shared" si="11"/>
        <v>37.915219125400434</v>
      </c>
      <c r="AA57" s="386">
        <f t="shared" si="12"/>
        <v>38.462907358121193</v>
      </c>
      <c r="AB57" s="197">
        <f t="shared" si="13"/>
        <v>43508</v>
      </c>
      <c r="AC57" s="426">
        <f>IF(OR(t&lt;Tnet,NoTnet),'2018'!Resal_s+('2018'!Salim-'2018'!Resal_s)*(1-EXP(('2018'!Tnet_s-t)/'2018'!Tau_j)),Resal_s+(Salim-Resal_s)*(1-EXP((Tnet_s-t)/Tau_j)))*Salcycl</f>
        <v>1.4239387252277323E-2</v>
      </c>
      <c r="AD57" s="231">
        <f>(INDEX(Models!$BJ57:$BT57,,AH57)*(1-AF57)+INDEX(Models!$BJ57:$BT57,,AH57+1)*AF57-ERP_i)*AE57*Ramure*Pc/MaxiM</f>
        <v>2.36093231302944E-5</v>
      </c>
      <c r="AE57" s="305">
        <f t="shared" si="14"/>
        <v>0.5</v>
      </c>
      <c r="AF57" s="177">
        <f t="shared" si="15"/>
        <v>0.50058615938369599</v>
      </c>
      <c r="AG57" s="176">
        <f t="shared" si="16"/>
        <v>-2</v>
      </c>
      <c r="AH57" s="176">
        <f t="shared" si="17"/>
        <v>4</v>
      </c>
      <c r="AI57" s="225">
        <f t="shared" si="22"/>
        <v>-1.499413840616304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7">
        <v>39.009</v>
      </c>
      <c r="C58" s="390"/>
      <c r="D58" s="393">
        <f t="shared" si="0"/>
        <v>39.223187521012875</v>
      </c>
      <c r="E58" s="385">
        <f t="shared" si="1"/>
        <v>39.791833125006285</v>
      </c>
      <c r="F58" s="385">
        <f t="shared" si="2"/>
        <v>39.79279391744533</v>
      </c>
      <c r="G58" s="110">
        <f t="shared" si="23"/>
        <v>1.0397301268521317</v>
      </c>
      <c r="H58" s="414" t="b">
        <f>Wh_hp&gt;='2018'!Maxi_hp</f>
        <v>1</v>
      </c>
      <c r="I58" s="390">
        <f>IF(H58,Wh_hp,'2018'!Maxi_hp)</f>
        <v>39.79279391744533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5.4607372462559534E-3</v>
      </c>
      <c r="M58" s="845"/>
      <c r="N58" s="845"/>
      <c r="O58" s="48">
        <f>IF(t&lt;Tnet,'2018'!Resal+('2018'!Salim-'2018'!Resal)*(1-EXP(('2018'!Tnet-t)/('2018'!Tau_j))),Resal+(Salim-Resal)*(1-EXP((Tnet-t)/(Tau_j))))*Salcycl</f>
        <v>1.4290510371990348E-2</v>
      </c>
      <c r="P58" s="169">
        <f>(INDEX(Models!$BJ58:$BT58,,T58)*(1-R58)+INDEX(Models!$BJ58:$BT58,,T58+1)*R58-ERP_i)*Q58*Ramure*Pc/MaxiM</f>
        <v>2.4144885152810601E-5</v>
      </c>
      <c r="Q58" s="305">
        <f t="shared" si="4"/>
        <v>0.5</v>
      </c>
      <c r="R58" s="177">
        <f t="shared" si="5"/>
        <v>0.50074816145473511</v>
      </c>
      <c r="S58" s="811">
        <f t="shared" si="6"/>
        <v>-2</v>
      </c>
      <c r="T58" s="176">
        <f t="shared" si="7"/>
        <v>4</v>
      </c>
      <c r="U58" s="251">
        <f t="shared" si="21"/>
        <v>-1.4992518385452649</v>
      </c>
      <c r="V58" s="383">
        <f t="shared" si="8"/>
        <v>37.518389621067286</v>
      </c>
      <c r="W58" s="58"/>
      <c r="X58" s="157">
        <f t="shared" si="9"/>
        <v>43509</v>
      </c>
      <c r="Y58" s="385">
        <f t="shared" si="10"/>
        <v>39.009</v>
      </c>
      <c r="Z58" s="385">
        <f t="shared" si="11"/>
        <v>39.223187521012875</v>
      </c>
      <c r="AA58" s="386">
        <f t="shared" si="12"/>
        <v>39.791833125006285</v>
      </c>
      <c r="AB58" s="197">
        <f t="shared" si="13"/>
        <v>43509</v>
      </c>
      <c r="AC58" s="426">
        <f>IF(OR(t&lt;Tnet,NoTnet),'2018'!Resal_s+('2018'!Salim-'2018'!Resal_s)*(1-EXP(('2018'!Tnet_s-t)/'2018'!Tau_j)),Resal_s+(Salim-Resal_s)*(1-EXP((Tnet_s-t)/Tau_j)))*Salcycl</f>
        <v>1.4290510371990348E-2</v>
      </c>
      <c r="AD58" s="231">
        <f>(INDEX(Models!$BJ58:$BT58,,AH58)*(1-AF58)+INDEX(Models!$BJ58:$BT58,,AH58+1)*AF58-ERP_i)*AE58*Ramure*Pc/MaxiM</f>
        <v>2.4144885152810601E-5</v>
      </c>
      <c r="AE58" s="305">
        <f t="shared" si="14"/>
        <v>0.5</v>
      </c>
      <c r="AF58" s="177">
        <f t="shared" si="15"/>
        <v>0.50074816145473511</v>
      </c>
      <c r="AG58" s="176">
        <f t="shared" si="16"/>
        <v>-2</v>
      </c>
      <c r="AH58" s="176">
        <f t="shared" si="17"/>
        <v>4</v>
      </c>
      <c r="AI58" s="225">
        <f t="shared" si="22"/>
        <v>-1.4992518385452649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7">
        <v>39.280999999999999</v>
      </c>
      <c r="C59" s="390"/>
      <c r="D59" s="393">
        <f t="shared" si="0"/>
        <v>39.497546094651192</v>
      </c>
      <c r="E59" s="385">
        <f t="shared" si="1"/>
        <v>40.072245951401371</v>
      </c>
      <c r="F59" s="385">
        <f t="shared" si="2"/>
        <v>40.073233720515397</v>
      </c>
      <c r="G59" s="110">
        <f t="shared" si="23"/>
        <v>1.0377383210046889</v>
      </c>
      <c r="H59" s="414" t="b">
        <f>Wh_hp&gt;='2018'!Maxi_hp</f>
        <v>1</v>
      </c>
      <c r="I59" s="390">
        <f>IF(H59,Wh_hp,'2018'!Maxi_hp)</f>
        <v>40.073233720515397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5.4825202085280189E-3</v>
      </c>
      <c r="M59" s="845"/>
      <c r="N59" s="845"/>
      <c r="O59" s="48">
        <f>IF(t&lt;Tnet,'2018'!Resal+('2018'!Salim-'2018'!Resal)*(1-EXP(('2018'!Tnet-t)/('2018'!Tau_j))),Resal+(Salim-Resal)*(1-EXP((Tnet-t)/(Tau_j))))*Salcycl</f>
        <v>1.4341593367318625E-2</v>
      </c>
      <c r="P59" s="169">
        <f>(INDEX(Models!$BJ59:$BT59,,T59)*(1-R59)+INDEX(Models!$BJ59:$BT59,,T59+1)*R59-ERP_i)*Q59*Ramure*Pc/MaxiM</f>
        <v>2.4649099219672511E-5</v>
      </c>
      <c r="Q59" s="305">
        <f t="shared" si="4"/>
        <v>0.5</v>
      </c>
      <c r="R59" s="177">
        <f t="shared" si="5"/>
        <v>0.5009168475187169</v>
      </c>
      <c r="S59" s="811">
        <f t="shared" si="6"/>
        <v>-2</v>
      </c>
      <c r="T59" s="176">
        <f t="shared" si="7"/>
        <v>4</v>
      </c>
      <c r="U59" s="251">
        <f t="shared" si="21"/>
        <v>-1.4990831524812831</v>
      </c>
      <c r="V59" s="383">
        <f t="shared" si="8"/>
        <v>37.852509833085861</v>
      </c>
      <c r="W59" s="58"/>
      <c r="X59" s="157">
        <f t="shared" si="9"/>
        <v>43510</v>
      </c>
      <c r="Y59" s="385">
        <f t="shared" si="10"/>
        <v>39.280999999999999</v>
      </c>
      <c r="Z59" s="385">
        <f t="shared" si="11"/>
        <v>39.497546094651192</v>
      </c>
      <c r="AA59" s="386">
        <f t="shared" si="12"/>
        <v>40.072245951401371</v>
      </c>
      <c r="AB59" s="197">
        <f t="shared" si="13"/>
        <v>43510</v>
      </c>
      <c r="AC59" s="426">
        <f>IF(OR(t&lt;Tnet,NoTnet),'2018'!Resal_s+('2018'!Salim-'2018'!Resal_s)*(1-EXP(('2018'!Tnet_s-t)/'2018'!Tau_j)),Resal_s+(Salim-Resal_s)*(1-EXP((Tnet_s-t)/Tau_j)))*Salcycl</f>
        <v>1.4341593367318625E-2</v>
      </c>
      <c r="AD59" s="231">
        <f>(INDEX(Models!$BJ59:$BT59,,AH59)*(1-AF59)+INDEX(Models!$BJ59:$BT59,,AH59+1)*AF59-ERP_i)*AE59*Ramure*Pc/MaxiM</f>
        <v>2.4649099219672511E-5</v>
      </c>
      <c r="AE59" s="305">
        <f t="shared" si="14"/>
        <v>0.5</v>
      </c>
      <c r="AF59" s="177">
        <f t="shared" si="15"/>
        <v>0.5009168475187169</v>
      </c>
      <c r="AG59" s="176">
        <f t="shared" si="16"/>
        <v>-2</v>
      </c>
      <c r="AH59" s="176">
        <f t="shared" si="17"/>
        <v>4</v>
      </c>
      <c r="AI59" s="225">
        <f t="shared" si="22"/>
        <v>-1.4990831524812831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7">
        <v>39.526000000000003</v>
      </c>
      <c r="C60" s="390"/>
      <c r="D60" s="393">
        <f t="shared" si="0"/>
        <v>39.744767229320722</v>
      </c>
      <c r="E60" s="385">
        <f t="shared" si="1"/>
        <v>40.325152420587507</v>
      </c>
      <c r="F60" s="385">
        <f t="shared" si="2"/>
        <v>40.326165520091415</v>
      </c>
      <c r="G60" s="110">
        <f t="shared" si="23"/>
        <v>1.035037563951998</v>
      </c>
      <c r="H60" s="414" t="b">
        <f>Wh_hp&gt;='2018'!Maxi_hp</f>
        <v>1</v>
      </c>
      <c r="I60" s="390">
        <f>IF(H60,Wh_hp,'2018'!Maxi_hp)</f>
        <v>40.326165520091415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5.5043026936972828E-3</v>
      </c>
      <c r="M60" s="845"/>
      <c r="N60" s="845"/>
      <c r="O60" s="48">
        <f>IF(t&lt;Tnet,'2018'!Resal+('2018'!Salim-'2018'!Resal)*(1-EXP(('2018'!Tnet-t)/('2018'!Tau_j))),Resal+(Salim-Resal)*(1-EXP((Tnet-t)/(Tau_j))))*Salcycl</f>
        <v>1.4392634780729977E-2</v>
      </c>
      <c r="P60" s="169">
        <f>(INDEX(Models!$BJ60:$BT60,,T60)*(1-R60)+INDEX(Models!$BJ60:$BT60,,T60+1)*R60-ERP_i)*Q60*Ramure*Pc/MaxiM</f>
        <v>2.5122634171782563E-5</v>
      </c>
      <c r="Q60" s="305">
        <f t="shared" si="4"/>
        <v>0.5</v>
      </c>
      <c r="R60" s="177">
        <f t="shared" si="5"/>
        <v>0.50109248848504739</v>
      </c>
      <c r="S60" s="811">
        <f t="shared" si="6"/>
        <v>-2</v>
      </c>
      <c r="T60" s="176">
        <f t="shared" si="7"/>
        <v>4</v>
      </c>
      <c r="U60" s="251">
        <f t="shared" si="21"/>
        <v>-1.4989075115149526</v>
      </c>
      <c r="V60" s="383">
        <f t="shared" si="8"/>
        <v>38.187985998383624</v>
      </c>
      <c r="W60" s="58"/>
      <c r="X60" s="157">
        <f t="shared" si="9"/>
        <v>43511</v>
      </c>
      <c r="Y60" s="385">
        <f t="shared" si="10"/>
        <v>39.526000000000003</v>
      </c>
      <c r="Z60" s="385">
        <f t="shared" si="11"/>
        <v>39.744767229320722</v>
      </c>
      <c r="AA60" s="386">
        <f t="shared" si="12"/>
        <v>40.325152420587507</v>
      </c>
      <c r="AB60" s="197">
        <f t="shared" si="13"/>
        <v>43511</v>
      </c>
      <c r="AC60" s="426">
        <f>IF(OR(t&lt;Tnet,NoTnet),'2018'!Resal_s+('2018'!Salim-'2018'!Resal_s)*(1-EXP(('2018'!Tnet_s-t)/'2018'!Tau_j)),Resal_s+(Salim-Resal_s)*(1-EXP((Tnet_s-t)/Tau_j)))*Salcycl</f>
        <v>1.4392634780729977E-2</v>
      </c>
      <c r="AD60" s="231">
        <f>(INDEX(Models!$BJ60:$BT60,,AH60)*(1-AF60)+INDEX(Models!$BJ60:$BT60,,AH60+1)*AF60-ERP_i)*AE60*Ramure*Pc/MaxiM</f>
        <v>2.5122634171782563E-5</v>
      </c>
      <c r="AE60" s="305">
        <f t="shared" si="14"/>
        <v>0.5</v>
      </c>
      <c r="AF60" s="177">
        <f t="shared" si="15"/>
        <v>0.50109248848504739</v>
      </c>
      <c r="AG60" s="176">
        <f t="shared" si="16"/>
        <v>-2</v>
      </c>
      <c r="AH60" s="176">
        <f t="shared" si="17"/>
        <v>4</v>
      </c>
      <c r="AI60" s="225">
        <f t="shared" si="22"/>
        <v>-1.4989075115149526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7">
        <v>39.960999999999999</v>
      </c>
      <c r="C61" s="390"/>
      <c r="D61" s="393">
        <f t="shared" si="0"/>
        <v>40.183054965314376</v>
      </c>
      <c r="E61" s="385">
        <f t="shared" si="1"/>
        <v>40.771950056809729</v>
      </c>
      <c r="F61" s="385">
        <f t="shared" si="2"/>
        <v>40.772992464506032</v>
      </c>
      <c r="G61" s="110">
        <f t="shared" si="23"/>
        <v>1.0372737335473354</v>
      </c>
      <c r="H61" s="414" t="b">
        <f>Wh_hp&gt;='2018'!Maxi_hp</f>
        <v>1</v>
      </c>
      <c r="I61" s="390">
        <f>IF(H61,Wh_hp,'2018'!Maxi_hp)</f>
        <v>40.772992464506032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5.526084701774181E-3</v>
      </c>
      <c r="M61" s="845"/>
      <c r="N61" s="845"/>
      <c r="O61" s="48">
        <f>IF(t&lt;Tnet,'2018'!Resal+('2018'!Salim-'2018'!Resal)*(1-EXP(('2018'!Tnet-t)/('2018'!Tau_j))),Resal+(Salim-Resal)*(1-EXP((Tnet-t)/(Tau_j))))*Salcycl</f>
        <v>1.4443633200639606E-2</v>
      </c>
      <c r="P61" s="169">
        <f>(INDEX(Models!$BJ61:$BT61,,T61)*(1-R61)+INDEX(Models!$BJ61:$BT61,,T61+1)*R61-ERP_i)*Q61*Ramure*Pc/MaxiM</f>
        <v>2.5566131728251939E-5</v>
      </c>
      <c r="Q61" s="305">
        <f t="shared" si="4"/>
        <v>0.5</v>
      </c>
      <c r="R61" s="177">
        <f t="shared" si="5"/>
        <v>0.50127536583083532</v>
      </c>
      <c r="S61" s="811">
        <f t="shared" si="6"/>
        <v>-2</v>
      </c>
      <c r="T61" s="176">
        <f t="shared" si="7"/>
        <v>4</v>
      </c>
      <c r="U61" s="251">
        <f t="shared" si="21"/>
        <v>-1.4987246341691647</v>
      </c>
      <c r="V61" s="383">
        <f t="shared" si="8"/>
        <v>38.525028358077485</v>
      </c>
      <c r="W61" s="58"/>
      <c r="X61" s="157">
        <f t="shared" si="9"/>
        <v>43512</v>
      </c>
      <c r="Y61" s="385">
        <f t="shared" si="10"/>
        <v>39.960999999999999</v>
      </c>
      <c r="Z61" s="385">
        <f t="shared" si="11"/>
        <v>40.183054965314376</v>
      </c>
      <c r="AA61" s="386">
        <f t="shared" si="12"/>
        <v>40.771950056809729</v>
      </c>
      <c r="AB61" s="197">
        <f t="shared" si="13"/>
        <v>43512</v>
      </c>
      <c r="AC61" s="426">
        <f>IF(OR(t&lt;Tnet,NoTnet),'2018'!Resal_s+('2018'!Salim-'2018'!Resal_s)*(1-EXP(('2018'!Tnet_s-t)/'2018'!Tau_j)),Resal_s+(Salim-Resal_s)*(1-EXP((Tnet_s-t)/Tau_j)))*Salcycl</f>
        <v>1.4443633200639606E-2</v>
      </c>
      <c r="AD61" s="231">
        <f>(INDEX(Models!$BJ61:$BT61,,AH61)*(1-AF61)+INDEX(Models!$BJ61:$BT61,,AH61+1)*AF61-ERP_i)*AE61*Ramure*Pc/MaxiM</f>
        <v>2.5566131728251939E-5</v>
      </c>
      <c r="AE61" s="305">
        <f t="shared" si="14"/>
        <v>0.5</v>
      </c>
      <c r="AF61" s="177">
        <f t="shared" si="15"/>
        <v>0.50127536583083532</v>
      </c>
      <c r="AG61" s="176">
        <f t="shared" si="16"/>
        <v>-2</v>
      </c>
      <c r="AH61" s="176">
        <f t="shared" si="17"/>
        <v>4</v>
      </c>
      <c r="AI61" s="225">
        <f t="shared" si="22"/>
        <v>-1.4987246341691647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7">
        <v>40.393000000000001</v>
      </c>
      <c r="C62" s="390"/>
      <c r="D62" s="393">
        <f t="shared" si="0"/>
        <v>40.618345145463486</v>
      </c>
      <c r="E62" s="385">
        <f t="shared" si="1"/>
        <v>41.215750437710874</v>
      </c>
      <c r="F62" s="385">
        <f t="shared" si="2"/>
        <v>41.216821259374889</v>
      </c>
      <c r="G62" s="110">
        <f t="shared" si="23"/>
        <v>1.0393464111920436</v>
      </c>
      <c r="H62" s="414" t="b">
        <f>Wh_hp&gt;='2018'!Maxi_hp</f>
        <v>1</v>
      </c>
      <c r="I62" s="390">
        <f>IF(H62,Wh_hp,'2018'!Maxi_hp)</f>
        <v>41.216821259374889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5.5478662327692607E-3</v>
      </c>
      <c r="M62" s="845"/>
      <c r="N62" s="845"/>
      <c r="O62" s="48">
        <f>IF(t&lt;Tnet,'2018'!Resal+('2018'!Salim-'2018'!Resal)*(1-EXP(('2018'!Tnet-t)/('2018'!Tau_j))),Resal+(Salim-Resal)*(1-EXP((Tnet-t)/(Tau_j))))*Salcycl</f>
        <v>1.4494587285271941E-2</v>
      </c>
      <c r="P62" s="169">
        <f>(INDEX(Models!$BJ62:$BT62,,T62)*(1-R62)+INDEX(Models!$BJ62:$BT62,,T62+1)*R62-ERP_i)*Q62*Ramure*Pc/MaxiM</f>
        <v>2.5980209809903956E-5</v>
      </c>
      <c r="Q62" s="305">
        <f t="shared" si="4"/>
        <v>0.5</v>
      </c>
      <c r="R62" s="177">
        <f t="shared" si="5"/>
        <v>0.5014657719779918</v>
      </c>
      <c r="S62" s="811">
        <f t="shared" si="6"/>
        <v>-2</v>
      </c>
      <c r="T62" s="176">
        <f t="shared" si="7"/>
        <v>4</v>
      </c>
      <c r="U62" s="251">
        <f t="shared" si="21"/>
        <v>-1.4985342280220082</v>
      </c>
      <c r="V62" s="383">
        <f t="shared" si="8"/>
        <v>38.863847091820524</v>
      </c>
      <c r="W62" s="58"/>
      <c r="X62" s="157">
        <f t="shared" si="9"/>
        <v>43513</v>
      </c>
      <c r="Y62" s="385">
        <f t="shared" si="10"/>
        <v>40.393000000000001</v>
      </c>
      <c r="Z62" s="385">
        <f t="shared" si="11"/>
        <v>40.618345145463486</v>
      </c>
      <c r="AA62" s="386">
        <f t="shared" si="12"/>
        <v>41.215750437710874</v>
      </c>
      <c r="AB62" s="197">
        <f t="shared" si="13"/>
        <v>43513</v>
      </c>
      <c r="AC62" s="426">
        <f>IF(OR(t&lt;Tnet,NoTnet),'2018'!Resal_s+('2018'!Salim-'2018'!Resal_s)*(1-EXP(('2018'!Tnet_s-t)/'2018'!Tau_j)),Resal_s+(Salim-Resal_s)*(1-EXP((Tnet_s-t)/Tau_j)))*Salcycl</f>
        <v>1.4494587285271941E-2</v>
      </c>
      <c r="AD62" s="231">
        <f>(INDEX(Models!$BJ62:$BT62,,AH62)*(1-AF62)+INDEX(Models!$BJ62:$BT62,,AH62+1)*AF62-ERP_i)*AE62*Ramure*Pc/MaxiM</f>
        <v>2.5980209809903956E-5</v>
      </c>
      <c r="AE62" s="305">
        <f t="shared" si="14"/>
        <v>0.5</v>
      </c>
      <c r="AF62" s="177">
        <f t="shared" si="15"/>
        <v>0.5014657719779918</v>
      </c>
      <c r="AG62" s="176">
        <f t="shared" si="16"/>
        <v>-2</v>
      </c>
      <c r="AH62" s="176">
        <f t="shared" si="17"/>
        <v>4</v>
      </c>
      <c r="AI62" s="225">
        <f t="shared" si="22"/>
        <v>-1.4985342280220082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7">
        <v>39.921999999999997</v>
      </c>
      <c r="C63" s="390"/>
      <c r="D63" s="393">
        <f t="shared" si="0"/>
        <v>40.145596814369817</v>
      </c>
      <c r="E63" s="385">
        <f t="shared" si="1"/>
        <v>40.738153453786595</v>
      </c>
      <c r="F63" s="385">
        <f t="shared" si="2"/>
        <v>40.739227562492772</v>
      </c>
      <c r="G63" s="110">
        <f t="shared" si="23"/>
        <v>1.0182975142583373</v>
      </c>
      <c r="H63" s="414" t="b">
        <f>Wh_hp&gt;='2018'!Maxi_hp</f>
        <v>1</v>
      </c>
      <c r="I63" s="390">
        <f>IF(H63,Wh_hp,'2018'!Maxi_hp)</f>
        <v>40.739227562492772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5.569647286692847E-3</v>
      </c>
      <c r="M63" s="845"/>
      <c r="N63" s="845"/>
      <c r="O63" s="48">
        <f>IF(t&lt;Tnet,'2018'!Resal+('2018'!Salim-'2018'!Resal)*(1-EXP(('2018'!Tnet-t)/('2018'!Tau_j))),Resal+(Salim-Resal)*(1-EXP((Tnet-t)/(Tau_j))))*Salcycl</f>
        <v>1.454549578662114E-2</v>
      </c>
      <c r="P63" s="169">
        <f>(INDEX(Models!$BJ63:$BT63,,T63)*(1-R63)+INDEX(Models!$BJ63:$BT63,,T63+1)*R63-ERP_i)*Q63*Ramure*Pc/MaxiM</f>
        <v>2.6365465681096419E-5</v>
      </c>
      <c r="Q63" s="305">
        <f t="shared" si="4"/>
        <v>0.5</v>
      </c>
      <c r="R63" s="177">
        <f t="shared" si="5"/>
        <v>0.50166401068073996</v>
      </c>
      <c r="S63" s="811">
        <f t="shared" si="6"/>
        <v>-2</v>
      </c>
      <c r="T63" s="176">
        <f t="shared" si="7"/>
        <v>4</v>
      </c>
      <c r="U63" s="251">
        <f t="shared" si="21"/>
        <v>-1.49833598931926</v>
      </c>
      <c r="V63" s="383">
        <f t="shared" si="8"/>
        <v>39.20465231526822</v>
      </c>
      <c r="W63" s="58"/>
      <c r="X63" s="157">
        <f t="shared" si="9"/>
        <v>43514</v>
      </c>
      <c r="Y63" s="385">
        <f t="shared" si="10"/>
        <v>39.921999999999997</v>
      </c>
      <c r="Z63" s="385">
        <f t="shared" si="11"/>
        <v>40.145596814369817</v>
      </c>
      <c r="AA63" s="386">
        <f t="shared" si="12"/>
        <v>40.738153453786595</v>
      </c>
      <c r="AB63" s="197">
        <f t="shared" si="13"/>
        <v>43514</v>
      </c>
      <c r="AC63" s="426">
        <f>IF(OR(t&lt;Tnet,NoTnet),'2018'!Resal_s+('2018'!Salim-'2018'!Resal_s)*(1-EXP(('2018'!Tnet_s-t)/'2018'!Tau_j)),Resal_s+(Salim-Resal_s)*(1-EXP((Tnet_s-t)/Tau_j)))*Salcycl</f>
        <v>1.454549578662114E-2</v>
      </c>
      <c r="AD63" s="231">
        <f>(INDEX(Models!$BJ63:$BT63,,AH63)*(1-AF63)+INDEX(Models!$BJ63:$BT63,,AH63+1)*AF63-ERP_i)*AE63*Ramure*Pc/MaxiM</f>
        <v>2.6365465681096419E-5</v>
      </c>
      <c r="AE63" s="305">
        <f t="shared" si="14"/>
        <v>0.5</v>
      </c>
      <c r="AF63" s="177">
        <f t="shared" si="15"/>
        <v>0.50166401068073996</v>
      </c>
      <c r="AG63" s="176">
        <f t="shared" si="16"/>
        <v>-2</v>
      </c>
      <c r="AH63" s="176">
        <f t="shared" si="17"/>
        <v>4</v>
      </c>
      <c r="AI63" s="225">
        <f t="shared" si="22"/>
        <v>-1.49833598931926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7">
        <v>29.853999999999999</v>
      </c>
      <c r="C64" s="390"/>
      <c r="D64" s="393">
        <f t="shared" si="0"/>
        <v>30.021865092996887</v>
      </c>
      <c r="E64" s="385">
        <f t="shared" si="1"/>
        <v>30.466565984161939</v>
      </c>
      <c r="F64" s="385">
        <f t="shared" si="2"/>
        <v>30.467095054039515</v>
      </c>
      <c r="G64" s="110">
        <f t="shared" si="23"/>
        <v>0.75487968478954237</v>
      </c>
      <c r="H64" s="414" t="b">
        <f>Wh_hp&gt;='2018'!Maxi_hp</f>
        <v>1</v>
      </c>
      <c r="I64" s="390">
        <f>IF(H64,Wh_hp,'2018'!Maxi_hp)</f>
        <v>30.467095054039515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5.591427863555487E-3</v>
      </c>
      <c r="M64" s="845"/>
      <c r="N64" s="845"/>
      <c r="O64" s="48">
        <f>IF(t&lt;Tnet,'2018'!Resal+('2018'!Salim-'2018'!Resal)*(1-EXP(('2018'!Tnet-t)/('2018'!Tau_j))),Resal+(Salim-Resal)*(1-EXP((Tnet-t)/(Tau_j))))*Salcycl</f>
        <v>1.4596357574274308E-2</v>
      </c>
      <c r="P64" s="169">
        <f>(INDEX(Models!$BJ64:$BT64,,T64)*(1-R64)+INDEX(Models!$BJ64:$BT64,,T64+1)*R64-ERP_i)*Q64*Ramure*Pc/MaxiM</f>
        <v>2.6722478903669758E-5</v>
      </c>
      <c r="Q64" s="305">
        <f t="shared" si="4"/>
        <v>0.5</v>
      </c>
      <c r="R64" s="177">
        <f t="shared" si="5"/>
        <v>0.501870397423549</v>
      </c>
      <c r="S64" s="811">
        <f t="shared" si="6"/>
        <v>-2</v>
      </c>
      <c r="T64" s="176">
        <f t="shared" si="7"/>
        <v>4</v>
      </c>
      <c r="U64" s="251">
        <f t="shared" si="21"/>
        <v>-1.498129602576451</v>
      </c>
      <c r="V64" s="383">
        <f t="shared" si="8"/>
        <v>39.547654079328275</v>
      </c>
      <c r="W64" s="58"/>
      <c r="X64" s="157">
        <f t="shared" si="9"/>
        <v>43515</v>
      </c>
      <c r="Y64" s="385">
        <f t="shared" si="10"/>
        <v>29.853999999999999</v>
      </c>
      <c r="Z64" s="385">
        <f t="shared" si="11"/>
        <v>30.021865092996887</v>
      </c>
      <c r="AA64" s="386">
        <f t="shared" si="12"/>
        <v>30.466565984161939</v>
      </c>
      <c r="AB64" s="197">
        <f t="shared" si="13"/>
        <v>43515</v>
      </c>
      <c r="AC64" s="426">
        <f>IF(OR(t&lt;Tnet,NoTnet),'2018'!Resal_s+('2018'!Salim-'2018'!Resal_s)*(1-EXP(('2018'!Tnet_s-t)/'2018'!Tau_j)),Resal_s+(Salim-Resal_s)*(1-EXP((Tnet_s-t)/Tau_j)))*Salcycl</f>
        <v>1.4596357574274308E-2</v>
      </c>
      <c r="AD64" s="231">
        <f>(INDEX(Models!$BJ64:$BT64,,AH64)*(1-AF64)+INDEX(Models!$BJ64:$BT64,,AH64+1)*AF64-ERP_i)*AE64*Ramure*Pc/MaxiM</f>
        <v>2.6722478903669758E-5</v>
      </c>
      <c r="AE64" s="305">
        <f t="shared" si="14"/>
        <v>0.5</v>
      </c>
      <c r="AF64" s="177">
        <f t="shared" si="15"/>
        <v>0.501870397423549</v>
      </c>
      <c r="AG64" s="176">
        <f t="shared" si="16"/>
        <v>-2</v>
      </c>
      <c r="AH64" s="176">
        <f t="shared" si="17"/>
        <v>4</v>
      </c>
      <c r="AI64" s="225">
        <f t="shared" si="22"/>
        <v>-1.498129602576451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7">
        <v>39.799999999999997</v>
      </c>
      <c r="C65" s="390"/>
      <c r="D65" s="393">
        <f t="shared" si="0"/>
        <v>40.024666778291035</v>
      </c>
      <c r="E65" s="385">
        <f t="shared" si="1"/>
        <v>40.619629463766373</v>
      </c>
      <c r="F65" s="385">
        <f t="shared" si="2"/>
        <v>40.62072465549462</v>
      </c>
      <c r="G65" s="110">
        <f t="shared" si="23"/>
        <v>0.99766316791412424</v>
      </c>
      <c r="H65" s="414" t="b">
        <f>Wh_hp&gt;='2018'!Maxi_hp</f>
        <v>1</v>
      </c>
      <c r="I65" s="390">
        <f>IF(H65,Wh_hp,'2018'!Maxi_hp)</f>
        <v>40.62072465549462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5.6132079633676168E-3</v>
      </c>
      <c r="M65" s="845"/>
      <c r="N65" s="845"/>
      <c r="O65" s="48">
        <f>IF(t&lt;Tnet,'2018'!Resal+('2018'!Salim-'2018'!Resal)*(1-EXP(('2018'!Tnet-t)/('2018'!Tau_j))),Resal+(Salim-Resal)*(1-EXP((Tnet-t)/(Tau_j))))*Salcycl</f>
        <v>1.4647171658866502E-2</v>
      </c>
      <c r="P65" s="169">
        <f>(INDEX(Models!$BJ65:$BT65,,T65)*(1-R65)+INDEX(Models!$BJ65:$BT65,,T65+1)*R65-ERP_i)*Q65*Ramure*Pc/MaxiM</f>
        <v>2.7051707101824548E-5</v>
      </c>
      <c r="Q65" s="305">
        <f t="shared" si="4"/>
        <v>0.5</v>
      </c>
      <c r="R65" s="177">
        <f t="shared" si="5"/>
        <v>0.50208525982945917</v>
      </c>
      <c r="S65" s="811">
        <f t="shared" si="6"/>
        <v>-2</v>
      </c>
      <c r="T65" s="176">
        <f t="shared" si="7"/>
        <v>4</v>
      </c>
      <c r="U65" s="251">
        <f t="shared" si="21"/>
        <v>-1.4979147401705408</v>
      </c>
      <c r="V65" s="383">
        <f t="shared" si="8"/>
        <v>39.893220162685552</v>
      </c>
      <c r="W65" s="58"/>
      <c r="X65" s="157">
        <f t="shared" si="9"/>
        <v>43516</v>
      </c>
      <c r="Y65" s="385">
        <f t="shared" si="10"/>
        <v>39.799999999999997</v>
      </c>
      <c r="Z65" s="385">
        <f t="shared" si="11"/>
        <v>40.024666778291035</v>
      </c>
      <c r="AA65" s="386">
        <f t="shared" si="12"/>
        <v>40.619629463766373</v>
      </c>
      <c r="AB65" s="197">
        <f t="shared" si="13"/>
        <v>43516</v>
      </c>
      <c r="AC65" s="426">
        <f>IF(OR(t&lt;Tnet,NoTnet),'2018'!Resal_s+('2018'!Salim-'2018'!Resal_s)*(1-EXP(('2018'!Tnet_s-t)/'2018'!Tau_j)),Resal_s+(Salim-Resal_s)*(1-EXP((Tnet_s-t)/Tau_j)))*Salcycl</f>
        <v>1.4647171658866502E-2</v>
      </c>
      <c r="AD65" s="231">
        <f>(INDEX(Models!$BJ65:$BT65,,AH65)*(1-AF65)+INDEX(Models!$BJ65:$BT65,,AH65+1)*AF65-ERP_i)*AE65*Ramure*Pc/MaxiM</f>
        <v>2.7051707101824548E-5</v>
      </c>
      <c r="AE65" s="305">
        <f t="shared" si="14"/>
        <v>0.5</v>
      </c>
      <c r="AF65" s="177">
        <f t="shared" si="15"/>
        <v>0.50208525982945917</v>
      </c>
      <c r="AG65" s="176">
        <f t="shared" si="16"/>
        <v>-2</v>
      </c>
      <c r="AH65" s="176">
        <f t="shared" si="17"/>
        <v>4</v>
      </c>
      <c r="AI65" s="225">
        <f t="shared" si="22"/>
        <v>-1.4979147401705408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7">
        <v>37.951999999999998</v>
      </c>
      <c r="C66" s="390"/>
      <c r="D66" s="393">
        <f t="shared" si="0"/>
        <v>38.167070971121582</v>
      </c>
      <c r="E66" s="385">
        <f t="shared" si="1"/>
        <v>38.736416387111277</v>
      </c>
      <c r="F66" s="385">
        <f t="shared" si="2"/>
        <v>38.737384022485628</v>
      </c>
      <c r="G66" s="110">
        <f t="shared" si="23"/>
        <v>0.94310686090499929</v>
      </c>
      <c r="H66" s="414" t="b">
        <f>Wh_hp&gt;='2018'!Maxi_hp</f>
        <v>1</v>
      </c>
      <c r="I66" s="390">
        <f>IF(H66,Wh_hp,'2018'!Maxi_hp)</f>
        <v>38.737384022485628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5.6349875861396725E-3</v>
      </c>
      <c r="M66" s="845"/>
      <c r="N66" s="845"/>
      <c r="O66" s="48">
        <f>IF(t&lt;Tnet,'2018'!Resal+('2018'!Salim-'2018'!Resal)*(1-EXP(('2018'!Tnet-t)/('2018'!Tau_j))),Resal+(Salim-Resal)*(1-EXP((Tnet-t)/(Tau_j))))*Salcycl</f>
        <v>1.4697937214944029E-2</v>
      </c>
      <c r="P66" s="169">
        <f>(INDEX(Models!$BJ66:$BT66,,T66)*(1-R66)+INDEX(Models!$BJ66:$BT66,,T66+1)*R66-ERP_i)*Q66*Ramure*Pc/MaxiM</f>
        <v>2.7189106604274809E-5</v>
      </c>
      <c r="Q66" s="305">
        <f t="shared" si="4"/>
        <v>0.5</v>
      </c>
      <c r="R66" s="177">
        <f t="shared" si="5"/>
        <v>0.50230893807874599</v>
      </c>
      <c r="S66" s="811">
        <f t="shared" si="6"/>
        <v>-2</v>
      </c>
      <c r="T66" s="176">
        <f t="shared" si="7"/>
        <v>4</v>
      </c>
      <c r="U66" s="251">
        <f t="shared" si="21"/>
        <v>-1.497691061921254</v>
      </c>
      <c r="V66" s="383">
        <f t="shared" si="8"/>
        <v>40.241374235673128</v>
      </c>
      <c r="W66" s="58"/>
      <c r="X66" s="157">
        <f t="shared" si="9"/>
        <v>43517</v>
      </c>
      <c r="Y66" s="385">
        <f t="shared" si="10"/>
        <v>37.951999999999998</v>
      </c>
      <c r="Z66" s="385">
        <f t="shared" si="11"/>
        <v>38.167070971121582</v>
      </c>
      <c r="AA66" s="386">
        <f t="shared" si="12"/>
        <v>38.736416387111277</v>
      </c>
      <c r="AB66" s="197">
        <f t="shared" si="13"/>
        <v>43517</v>
      </c>
      <c r="AC66" s="426">
        <f>IF(OR(t&lt;Tnet,NoTnet),'2018'!Resal_s+('2018'!Salim-'2018'!Resal_s)*(1-EXP(('2018'!Tnet_s-t)/'2018'!Tau_j)),Resal_s+(Salim-Resal_s)*(1-EXP((Tnet_s-t)/Tau_j)))*Salcycl</f>
        <v>1.4697937214944029E-2</v>
      </c>
      <c r="AD66" s="231">
        <f>(INDEX(Models!$BJ66:$BT66,,AH66)*(1-AF66)+INDEX(Models!$BJ66:$BT66,,AH66+1)*AF66-ERP_i)*AE66*Ramure*Pc/MaxiM</f>
        <v>2.7189106604274809E-5</v>
      </c>
      <c r="AE66" s="305">
        <f t="shared" si="14"/>
        <v>0.5</v>
      </c>
      <c r="AF66" s="177">
        <f t="shared" si="15"/>
        <v>0.50230893807874599</v>
      </c>
      <c r="AG66" s="176">
        <f t="shared" si="16"/>
        <v>-2</v>
      </c>
      <c r="AH66" s="176">
        <f t="shared" si="17"/>
        <v>4</v>
      </c>
      <c r="AI66" s="225">
        <f t="shared" si="22"/>
        <v>-1.497691061921254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7">
        <v>39.378999999999998</v>
      </c>
      <c r="C67" s="390"/>
      <c r="D67" s="393">
        <f t="shared" si="0"/>
        <v>39.603025074724584</v>
      </c>
      <c r="E67" s="385">
        <f t="shared" si="1"/>
        <v>40.195859888495626</v>
      </c>
      <c r="F67" s="385">
        <f t="shared" si="2"/>
        <v>40.196901311599696</v>
      </c>
      <c r="G67" s="110">
        <f t="shared" si="23"/>
        <v>0.97012084314958424</v>
      </c>
      <c r="H67" s="414" t="b">
        <f>Wh_hp&gt;='2018'!Maxi_hp</f>
        <v>1</v>
      </c>
      <c r="I67" s="390">
        <f>IF(H67,Wh_hp,'2018'!Maxi_hp)</f>
        <v>40.196901311599696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5.6567667318819792E-3</v>
      </c>
      <c r="M67" s="845"/>
      <c r="N67" s="845"/>
      <c r="O67" s="48">
        <f>IF(t&lt;Tnet,'2018'!Resal+('2018'!Salim-'2018'!Resal)*(1-EXP(('2018'!Tnet-t)/('2018'!Tau_j))),Resal+(Salim-Resal)*(1-EXP((Tnet-t)/(Tau_j))))*Salcycl</f>
        <v>1.4748653603022244E-2</v>
      </c>
      <c r="P67" s="169">
        <f>(INDEX(Models!$BJ67:$BT67,,T67)*(1-R67)+INDEX(Models!$BJ67:$BT67,,T67+1)*R67-ERP_i)*Q67*Ramure*Pc/MaxiM</f>
        <v>2.7063179633319739E-5</v>
      </c>
      <c r="Q67" s="305">
        <f t="shared" si="4"/>
        <v>0.5</v>
      </c>
      <c r="R67" s="177">
        <f t="shared" si="5"/>
        <v>0.50254178533781513</v>
      </c>
      <c r="S67" s="811">
        <f t="shared" si="6"/>
        <v>-2</v>
      </c>
      <c r="T67" s="176">
        <f t="shared" si="7"/>
        <v>4</v>
      </c>
      <c r="U67" s="251">
        <f t="shared" si="21"/>
        <v>-1.4974582146621849</v>
      </c>
      <c r="V67" s="383">
        <f t="shared" si="8"/>
        <v>40.591803370499647</v>
      </c>
      <c r="W67" s="58"/>
      <c r="X67" s="157">
        <f t="shared" si="9"/>
        <v>43518</v>
      </c>
      <c r="Y67" s="385">
        <f t="shared" si="10"/>
        <v>39.378999999999998</v>
      </c>
      <c r="Z67" s="385">
        <f t="shared" si="11"/>
        <v>39.603025074724584</v>
      </c>
      <c r="AA67" s="386">
        <f t="shared" si="12"/>
        <v>40.195859888495626</v>
      </c>
      <c r="AB67" s="197">
        <f t="shared" si="13"/>
        <v>43518</v>
      </c>
      <c r="AC67" s="426">
        <f>IF(OR(t&lt;Tnet,NoTnet),'2018'!Resal_s+('2018'!Salim-'2018'!Resal_s)*(1-EXP(('2018'!Tnet_s-t)/'2018'!Tau_j)),Resal_s+(Salim-Resal_s)*(1-EXP((Tnet_s-t)/Tau_j)))*Salcycl</f>
        <v>1.4748653603022244E-2</v>
      </c>
      <c r="AD67" s="231">
        <f>(INDEX(Models!$BJ67:$BT67,,AH67)*(1-AF67)+INDEX(Models!$BJ67:$BT67,,AH67+1)*AF67-ERP_i)*AE67*Ramure*Pc/MaxiM</f>
        <v>2.7063179633319739E-5</v>
      </c>
      <c r="AE67" s="305">
        <f t="shared" si="14"/>
        <v>0.5</v>
      </c>
      <c r="AF67" s="177">
        <f t="shared" si="15"/>
        <v>0.50254178533781513</v>
      </c>
      <c r="AG67" s="176">
        <f t="shared" si="16"/>
        <v>-2</v>
      </c>
      <c r="AH67" s="176">
        <f t="shared" si="17"/>
        <v>4</v>
      </c>
      <c r="AI67" s="225">
        <f t="shared" si="22"/>
        <v>-1.4974582146621849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7">
        <v>39.987000000000002</v>
      </c>
      <c r="C68" s="390"/>
      <c r="D68" s="393">
        <f t="shared" si="0"/>
        <v>40.215364774674889</v>
      </c>
      <c r="E68" s="385">
        <f t="shared" si="1"/>
        <v>40.819465117117495</v>
      </c>
      <c r="F68" s="385">
        <f t="shared" si="2"/>
        <v>40.820517849528464</v>
      </c>
      <c r="G68" s="110">
        <f t="shared" si="23"/>
        <v>0.97662117062973619</v>
      </c>
      <c r="H68" s="414" t="b">
        <f>Wh_hp&gt;='2018'!Maxi_hp</f>
        <v>1</v>
      </c>
      <c r="I68" s="390">
        <f>IF(H68,Wh_hp,'2018'!Maxi_hp)</f>
        <v>40.820517849528464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5.678545400605195E-3</v>
      </c>
      <c r="M68" s="845"/>
      <c r="N68" s="845"/>
      <c r="O68" s="48">
        <f>IF(t&lt;Tnet,'2018'!Resal+('2018'!Salim-'2018'!Resal)*(1-EXP(('2018'!Tnet-t)/('2018'!Tau_j))),Resal+(Salim-Resal)*(1-EXP((Tnet-t)/(Tau_j))))*Salcycl</f>
        <v>1.4799320390635806E-2</v>
      </c>
      <c r="P68" s="169">
        <f>(INDEX(Models!$BJ68:$BT68,,T68)*(1-R68)+INDEX(Models!$BJ68:$BT68,,T68+1)*R68-ERP_i)*Q68*Ramure*Pc/MaxiM</f>
        <v>2.668034145255596E-5</v>
      </c>
      <c r="Q68" s="305">
        <f t="shared" si="4"/>
        <v>0.5</v>
      </c>
      <c r="R68" s="177">
        <f t="shared" si="5"/>
        <v>0.50278416819819305</v>
      </c>
      <c r="S68" s="811">
        <f t="shared" si="6"/>
        <v>-2</v>
      </c>
      <c r="T68" s="176">
        <f t="shared" si="7"/>
        <v>4</v>
      </c>
      <c r="U68" s="251">
        <f t="shared" si="21"/>
        <v>-1.497215831801807</v>
      </c>
      <c r="V68" s="383">
        <f t="shared" si="8"/>
        <v>40.944191638868489</v>
      </c>
      <c r="W68" s="58"/>
      <c r="X68" s="157">
        <f t="shared" si="9"/>
        <v>43519</v>
      </c>
      <c r="Y68" s="385">
        <f t="shared" si="10"/>
        <v>39.987000000000002</v>
      </c>
      <c r="Z68" s="385">
        <f t="shared" si="11"/>
        <v>40.215364774674889</v>
      </c>
      <c r="AA68" s="386">
        <f t="shared" si="12"/>
        <v>40.819465117117495</v>
      </c>
      <c r="AB68" s="197">
        <f t="shared" si="13"/>
        <v>43519</v>
      </c>
      <c r="AC68" s="426">
        <f>IF(OR(t&lt;Tnet,NoTnet),'2018'!Resal_s+('2018'!Salim-'2018'!Resal_s)*(1-EXP(('2018'!Tnet_s-t)/'2018'!Tau_j)),Resal_s+(Salim-Resal_s)*(1-EXP((Tnet_s-t)/Tau_j)))*Salcycl</f>
        <v>1.4799320390635806E-2</v>
      </c>
      <c r="AD68" s="231">
        <f>(INDEX(Models!$BJ68:$BT68,,AH68)*(1-AF68)+INDEX(Models!$BJ68:$BT68,,AH68+1)*AF68-ERP_i)*AE68*Ramure*Pc/MaxiM</f>
        <v>2.668034145255596E-5</v>
      </c>
      <c r="AE68" s="305">
        <f t="shared" si="14"/>
        <v>0.5</v>
      </c>
      <c r="AF68" s="177">
        <f t="shared" si="15"/>
        <v>0.50278416819819305</v>
      </c>
      <c r="AG68" s="176">
        <f t="shared" si="16"/>
        <v>-2</v>
      </c>
      <c r="AH68" s="176">
        <f t="shared" si="17"/>
        <v>4</v>
      </c>
      <c r="AI68" s="225">
        <f t="shared" si="22"/>
        <v>-1.497215831801807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7">
        <v>40.192999999999998</v>
      </c>
      <c r="C69" s="390"/>
      <c r="D69" s="393">
        <f t="shared" si="0"/>
        <v>40.423426612401073</v>
      </c>
      <c r="E69" s="385">
        <f t="shared" si="1"/>
        <v>41.032760536577435</v>
      </c>
      <c r="F69" s="385">
        <f t="shared" si="2"/>
        <v>41.03378848015074</v>
      </c>
      <c r="G69" s="110">
        <f t="shared" si="23"/>
        <v>0.97323702734677231</v>
      </c>
      <c r="H69" s="414" t="b">
        <f>Wh_hp&gt;='2018'!Maxi_hp</f>
        <v>1</v>
      </c>
      <c r="I69" s="390">
        <f>IF(H69,Wh_hp,'2018'!Maxi_hp)</f>
        <v>41.03378848015074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5.7003235923197559E-3</v>
      </c>
      <c r="M69" s="845"/>
      <c r="N69" s="845"/>
      <c r="O69" s="48">
        <f>IF(t&lt;Tnet,'2018'!Resal+('2018'!Salim-'2018'!Resal)*(1-EXP(('2018'!Tnet-t)/('2018'!Tau_j))),Resal+(Salim-Resal)*(1-EXP((Tnet-t)/(Tau_j))))*Salcycl</f>
        <v>1.4849937372192847E-2</v>
      </c>
      <c r="P69" s="169">
        <f>(INDEX(Models!$BJ69:$BT69,,T69)*(1-R69)+INDEX(Models!$BJ69:$BT69,,T69+1)*R69-ERP_i)*Q69*Ramure*Pc/MaxiM</f>
        <v>2.6046962293730554E-5</v>
      </c>
      <c r="Q69" s="305">
        <f t="shared" si="4"/>
        <v>0.5</v>
      </c>
      <c r="R69" s="177">
        <f t="shared" si="5"/>
        <v>0.50303646712541128</v>
      </c>
      <c r="S69" s="811">
        <f t="shared" si="6"/>
        <v>-2</v>
      </c>
      <c r="T69" s="176">
        <f t="shared" si="7"/>
        <v>4</v>
      </c>
      <c r="U69" s="251">
        <f t="shared" si="21"/>
        <v>-1.4969635328745887</v>
      </c>
      <c r="V69" s="383">
        <f t="shared" si="8"/>
        <v>41.298223192217357</v>
      </c>
      <c r="W69" s="58"/>
      <c r="X69" s="157">
        <f t="shared" si="9"/>
        <v>43520</v>
      </c>
      <c r="Y69" s="385">
        <f t="shared" si="10"/>
        <v>40.192999999999998</v>
      </c>
      <c r="Z69" s="385">
        <f t="shared" si="11"/>
        <v>40.423426612401073</v>
      </c>
      <c r="AA69" s="386">
        <f t="shared" si="12"/>
        <v>41.032760536577435</v>
      </c>
      <c r="AB69" s="197">
        <f t="shared" si="13"/>
        <v>43520</v>
      </c>
      <c r="AC69" s="426">
        <f>IF(OR(t&lt;Tnet,NoTnet),'2018'!Resal_s+('2018'!Salim-'2018'!Resal_s)*(1-EXP(('2018'!Tnet_s-t)/'2018'!Tau_j)),Resal_s+(Salim-Resal_s)*(1-EXP((Tnet_s-t)/Tau_j)))*Salcycl</f>
        <v>1.4849937372192847E-2</v>
      </c>
      <c r="AD69" s="231">
        <f>(INDEX(Models!$BJ69:$BT69,,AH69)*(1-AF69)+INDEX(Models!$BJ69:$BT69,,AH69+1)*AF69-ERP_i)*AE69*Ramure*Pc/MaxiM</f>
        <v>2.6046962293730554E-5</v>
      </c>
      <c r="AE69" s="305">
        <f t="shared" si="14"/>
        <v>0.5</v>
      </c>
      <c r="AF69" s="177">
        <f t="shared" si="15"/>
        <v>0.50303646712541128</v>
      </c>
      <c r="AG69" s="176">
        <f t="shared" si="16"/>
        <v>-2</v>
      </c>
      <c r="AH69" s="176">
        <f t="shared" si="17"/>
        <v>4</v>
      </c>
      <c r="AI69" s="225">
        <f t="shared" si="22"/>
        <v>-1.4969635328745887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7">
        <v>41.164000000000001</v>
      </c>
      <c r="C70" s="390"/>
      <c r="D70" s="393">
        <f t="shared" si="0"/>
        <v>41.400900144831205</v>
      </c>
      <c r="E70" s="385">
        <f t="shared" si="1"/>
        <v>42.027125521461514</v>
      </c>
      <c r="F70" s="385">
        <f t="shared" si="2"/>
        <v>42.028165575806206</v>
      </c>
      <c r="G70" s="110">
        <f t="shared" si="23"/>
        <v>0.98824591699595865</v>
      </c>
      <c r="H70" s="414" t="b">
        <f>Wh_hp&gt;='2018'!Maxi_hp</f>
        <v>1</v>
      </c>
      <c r="I70" s="390">
        <f>IF(H70,Wh_hp,'2018'!Maxi_hp)</f>
        <v>42.028165575806206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5.7221013070358762E-3</v>
      </c>
      <c r="M70" s="845"/>
      <c r="N70" s="845"/>
      <c r="O70" s="48">
        <f>IF(t&lt;Tnet,'2018'!Resal+('2018'!Salim-'2018'!Resal)*(1-EXP(('2018'!Tnet-t)/('2018'!Tau_j))),Resal+(Salim-Resal)*(1-EXP((Tnet-t)/(Tau_j))))*Salcycl</f>
        <v>1.4900504587460367E-2</v>
      </c>
      <c r="P70" s="169">
        <f>(INDEX(Models!$BJ70:$BT70,,T70)*(1-R70)+INDEX(Models!$BJ70:$BT70,,T70+1)*R70-ERP_i)*Q70*Ramure*Pc/MaxiM</f>
        <v>2.5169218491087076E-5</v>
      </c>
      <c r="Q70" s="305">
        <f t="shared" si="4"/>
        <v>0.5</v>
      </c>
      <c r="R70" s="177">
        <f t="shared" si="5"/>
        <v>0.50329907691754738</v>
      </c>
      <c r="S70" s="811">
        <f t="shared" si="6"/>
        <v>-2</v>
      </c>
      <c r="T70" s="176">
        <f t="shared" si="7"/>
        <v>4</v>
      </c>
      <c r="U70" s="251">
        <f t="shared" si="21"/>
        <v>-1.4967009230824526</v>
      </c>
      <c r="V70" s="383">
        <f t="shared" si="8"/>
        <v>41.653582266416571</v>
      </c>
      <c r="W70" s="58"/>
      <c r="X70" s="157">
        <f t="shared" si="9"/>
        <v>43521</v>
      </c>
      <c r="Y70" s="385">
        <f t="shared" si="10"/>
        <v>41.164000000000001</v>
      </c>
      <c r="Z70" s="385">
        <f t="shared" si="11"/>
        <v>41.400900144831205</v>
      </c>
      <c r="AA70" s="386">
        <f t="shared" si="12"/>
        <v>42.027125521461514</v>
      </c>
      <c r="AB70" s="197">
        <f t="shared" si="13"/>
        <v>43521</v>
      </c>
      <c r="AC70" s="426">
        <f>IF(OR(t&lt;Tnet,NoTnet),'2018'!Resal_s+('2018'!Salim-'2018'!Resal_s)*(1-EXP(('2018'!Tnet_s-t)/'2018'!Tau_j)),Resal_s+(Salim-Resal_s)*(1-EXP((Tnet_s-t)/Tau_j)))*Salcycl</f>
        <v>1.4900504587460367E-2</v>
      </c>
      <c r="AD70" s="231">
        <f>(INDEX(Models!$BJ70:$BT70,,AH70)*(1-AF70)+INDEX(Models!$BJ70:$BT70,,AH70+1)*AF70-ERP_i)*AE70*Ramure*Pc/MaxiM</f>
        <v>2.5169218491087076E-5</v>
      </c>
      <c r="AE70" s="305">
        <f t="shared" si="14"/>
        <v>0.5</v>
      </c>
      <c r="AF70" s="177">
        <f t="shared" si="15"/>
        <v>0.50329907691754738</v>
      </c>
      <c r="AG70" s="176">
        <f t="shared" si="16"/>
        <v>-2</v>
      </c>
      <c r="AH70" s="176">
        <f t="shared" si="17"/>
        <v>4</v>
      </c>
      <c r="AI70" s="225">
        <f t="shared" si="22"/>
        <v>-1.4967009230824526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7">
        <v>37.472000000000001</v>
      </c>
      <c r="C71" s="390"/>
      <c r="D71" s="393">
        <f t="shared" si="0"/>
        <v>37.68847804040108</v>
      </c>
      <c r="E71" s="385">
        <f t="shared" si="1"/>
        <v>38.260511807112607</v>
      </c>
      <c r="F71" s="385">
        <f t="shared" si="2"/>
        <v>38.261290092019415</v>
      </c>
      <c r="G71" s="110">
        <f t="shared" si="23"/>
        <v>0.8919757836955996</v>
      </c>
      <c r="H71" s="414" t="b">
        <f>Wh_hp&gt;='2018'!Maxi_hp</f>
        <v>1</v>
      </c>
      <c r="I71" s="390">
        <f>IF(H71,Wh_hp,'2018'!Maxi_hp)</f>
        <v>38.261290092019415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5.7438785447642138E-3</v>
      </c>
      <c r="M71" s="845"/>
      <c r="N71" s="845"/>
      <c r="O71" s="48">
        <f>IF(t&lt;Tnet,'2018'!Resal+('2018'!Salim-'2018'!Resal)*(1-EXP(('2018'!Tnet-t)/('2018'!Tau_j))),Resal+(Salim-Resal)*(1-EXP((Tnet-t)/(Tau_j))))*Salcycl</f>
        <v>1.4951022338524696E-2</v>
      </c>
      <c r="P71" s="169">
        <f>(INDEX(Models!$BJ71:$BT71,,T71)*(1-R71)+INDEX(Models!$BJ71:$BT71,,T71+1)*R71-ERP_i)*Q71*Ramure*Pc/MaxiM</f>
        <v>2.4053078505162706E-5</v>
      </c>
      <c r="Q71" s="305">
        <f t="shared" si="4"/>
        <v>0.5</v>
      </c>
      <c r="R71" s="177">
        <f t="shared" si="5"/>
        <v>0.50357240717311269</v>
      </c>
      <c r="S71" s="811">
        <f t="shared" si="6"/>
        <v>-2</v>
      </c>
      <c r="T71" s="176">
        <f t="shared" si="7"/>
        <v>4</v>
      </c>
      <c r="U71" s="251">
        <f t="shared" si="21"/>
        <v>-1.4964275928268873</v>
      </c>
      <c r="V71" s="383">
        <f t="shared" si="8"/>
        <v>42.009953179076682</v>
      </c>
      <c r="W71" s="58"/>
      <c r="X71" s="157">
        <f t="shared" si="9"/>
        <v>43522</v>
      </c>
      <c r="Y71" s="385">
        <f t="shared" si="10"/>
        <v>37.472000000000001</v>
      </c>
      <c r="Z71" s="385">
        <f t="shared" si="11"/>
        <v>37.68847804040108</v>
      </c>
      <c r="AA71" s="386">
        <f t="shared" si="12"/>
        <v>38.260511807112607</v>
      </c>
      <c r="AB71" s="197">
        <f t="shared" si="13"/>
        <v>43522</v>
      </c>
      <c r="AC71" s="426">
        <f>IF(OR(t&lt;Tnet,NoTnet),'2018'!Resal_s+('2018'!Salim-'2018'!Resal_s)*(1-EXP(('2018'!Tnet_s-t)/'2018'!Tau_j)),Resal_s+(Salim-Resal_s)*(1-EXP((Tnet_s-t)/Tau_j)))*Salcycl</f>
        <v>1.4951022338524696E-2</v>
      </c>
      <c r="AD71" s="231">
        <f>(INDEX(Models!$BJ71:$BT71,,AH71)*(1-AF71)+INDEX(Models!$BJ71:$BT71,,AH71+1)*AF71-ERP_i)*AE71*Ramure*Pc/MaxiM</f>
        <v>2.4053078505162706E-5</v>
      </c>
      <c r="AE71" s="305">
        <f t="shared" si="14"/>
        <v>0.5</v>
      </c>
      <c r="AF71" s="177">
        <f t="shared" si="15"/>
        <v>0.50357240717311269</v>
      </c>
      <c r="AG71" s="176">
        <f t="shared" si="16"/>
        <v>-2</v>
      </c>
      <c r="AH71" s="176">
        <f t="shared" si="17"/>
        <v>4</v>
      </c>
      <c r="AI71" s="225">
        <f t="shared" si="22"/>
        <v>-1.4964275928268873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7">
        <v>41.372</v>
      </c>
      <c r="C72" s="390"/>
      <c r="D72" s="393">
        <f t="shared" si="0"/>
        <v>41.611919987247148</v>
      </c>
      <c r="E72" s="385">
        <f t="shared" si="1"/>
        <v>42.245668004266278</v>
      </c>
      <c r="F72" s="385">
        <f t="shared" si="2"/>
        <v>42.246597609719124</v>
      </c>
      <c r="G72" s="110">
        <f t="shared" si="23"/>
        <v>0.9765135880799426</v>
      </c>
      <c r="H72" s="414" t="b">
        <f>Wh_hp&gt;='2018'!Maxi_hp</f>
        <v>1</v>
      </c>
      <c r="I72" s="390">
        <f>IF(H72,Wh_hp,'2018'!Maxi_hp)</f>
        <v>42.246597609719124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5.7656553055152049E-3</v>
      </c>
      <c r="M72" s="845"/>
      <c r="N72" s="845"/>
      <c r="O72" s="48">
        <f>IF(t&lt;Tnet,'2018'!Resal+('2018'!Salim-'2018'!Resal)*(1-EXP(('2018'!Tnet-t)/('2018'!Tau_j))),Resal+(Salim-Resal)*(1-EXP((Tnet-t)/(Tau_j))))*Salcycl</f>
        <v>1.5001491205089543E-2</v>
      </c>
      <c r="P72" s="169">
        <f>(INDEX(Models!$BJ72:$BT72,,T72)*(1-R72)+INDEX(Models!$BJ72:$BT72,,T72+1)*R72-ERP_i)*Q72*Ramure*Pc/MaxiM</f>
        <v>2.2768161403702116E-5</v>
      </c>
      <c r="Q72" s="305">
        <f t="shared" si="4"/>
        <v>0.5</v>
      </c>
      <c r="R72" s="177">
        <f t="shared" si="5"/>
        <v>0.50385688276792284</v>
      </c>
      <c r="S72" s="811">
        <f t="shared" si="6"/>
        <v>-2</v>
      </c>
      <c r="T72" s="176">
        <f t="shared" si="7"/>
        <v>4</v>
      </c>
      <c r="U72" s="251">
        <f t="shared" si="21"/>
        <v>-1.4961431172320772</v>
      </c>
      <c r="V72" s="383">
        <f t="shared" si="8"/>
        <v>42.367017623227134</v>
      </c>
      <c r="W72" s="58"/>
      <c r="X72" s="157">
        <f t="shared" si="9"/>
        <v>43523</v>
      </c>
      <c r="Y72" s="385">
        <f t="shared" si="10"/>
        <v>41.372</v>
      </c>
      <c r="Z72" s="385">
        <f t="shared" si="11"/>
        <v>41.611919987247148</v>
      </c>
      <c r="AA72" s="386">
        <f t="shared" si="12"/>
        <v>42.245668004266278</v>
      </c>
      <c r="AB72" s="197">
        <f t="shared" si="13"/>
        <v>43523</v>
      </c>
      <c r="AC72" s="426">
        <f>IF(OR(t&lt;Tnet,NoTnet),'2018'!Resal_s+('2018'!Salim-'2018'!Resal_s)*(1-EXP(('2018'!Tnet_s-t)/'2018'!Tau_j)),Resal_s+(Salim-Resal_s)*(1-EXP((Tnet_s-t)/Tau_j)))*Salcycl</f>
        <v>1.5001491205089543E-2</v>
      </c>
      <c r="AD72" s="231">
        <f>(INDEX(Models!$BJ72:$BT72,,AH72)*(1-AF72)+INDEX(Models!$BJ72:$BT72,,AH72+1)*AF72-ERP_i)*AE72*Ramure*Pc/MaxiM</f>
        <v>2.2768161403702116E-5</v>
      </c>
      <c r="AE72" s="305">
        <f t="shared" si="14"/>
        <v>0.5</v>
      </c>
      <c r="AF72" s="177">
        <f t="shared" si="15"/>
        <v>0.50385688276792284</v>
      </c>
      <c r="AG72" s="176">
        <f t="shared" si="16"/>
        <v>-2</v>
      </c>
      <c r="AH72" s="176">
        <f t="shared" si="17"/>
        <v>4</v>
      </c>
      <c r="AI72" s="225">
        <f t="shared" si="22"/>
        <v>-1.4961431172320772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7">
        <v>32.523000000000003</v>
      </c>
      <c r="C73" s="390"/>
      <c r="D73" s="393">
        <f t="shared" si="0"/>
        <v>32.712320315955836</v>
      </c>
      <c r="E73" s="385">
        <f t="shared" si="1"/>
        <v>33.212227848785794</v>
      </c>
      <c r="F73" s="385">
        <f t="shared" si="2"/>
        <v>33.212696402248028</v>
      </c>
      <c r="G73" s="110">
        <f t="shared" si="23"/>
        <v>0.76122121666009168</v>
      </c>
      <c r="H73" s="414" t="b">
        <f>Wh_hp&gt;='2018'!Maxi_hp</f>
        <v>1</v>
      </c>
      <c r="I73" s="390">
        <f>IF(H73,Wh_hp,'2018'!Maxi_hp)</f>
        <v>33.212696402248028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5.7874315892991746E-3</v>
      </c>
      <c r="M73" s="845"/>
      <c r="N73" s="845"/>
      <c r="O73" s="48">
        <f>IF(t&lt;Tnet,'2018'!Resal+('2018'!Salim-'2018'!Resal)*(1-EXP(('2018'!Tnet-t)/('2018'!Tau_j))),Resal+(Salim-Resal)*(1-EXP((Tnet-t)/(Tau_j))))*Salcycl</f>
        <v>1.5051912057993251E-2</v>
      </c>
      <c r="P73" s="169">
        <f>(INDEX(Models!$BJ73:$BT73,,T73)*(1-R73)+INDEX(Models!$BJ73:$BT73,,T73+1)*R73-ERP_i)*Q73*Ramure*Pc/MaxiM</f>
        <v>2.1411078493188453E-5</v>
      </c>
      <c r="Q73" s="305">
        <f t="shared" si="4"/>
        <v>0.5</v>
      </c>
      <c r="R73" s="177">
        <f t="shared" si="5"/>
        <v>0.50415294434051039</v>
      </c>
      <c r="S73" s="811">
        <f t="shared" si="6"/>
        <v>-2</v>
      </c>
      <c r="T73" s="176">
        <f t="shared" si="7"/>
        <v>4</v>
      </c>
      <c r="U73" s="251">
        <f t="shared" si="21"/>
        <v>-1.4958470556594896</v>
      </c>
      <c r="V73" s="383">
        <f t="shared" si="8"/>
        <v>42.724456118417315</v>
      </c>
      <c r="W73" s="58"/>
      <c r="X73" s="157">
        <f t="shared" si="9"/>
        <v>43524</v>
      </c>
      <c r="Y73" s="385">
        <f t="shared" si="10"/>
        <v>32.523000000000003</v>
      </c>
      <c r="Z73" s="385">
        <f t="shared" si="11"/>
        <v>32.712320315955836</v>
      </c>
      <c r="AA73" s="386">
        <f t="shared" si="12"/>
        <v>33.212227848785794</v>
      </c>
      <c r="AB73" s="197">
        <f t="shared" si="13"/>
        <v>43524</v>
      </c>
      <c r="AC73" s="426">
        <f>IF(OR(t&lt;Tnet,NoTnet),'2018'!Resal_s+('2018'!Salim-'2018'!Resal_s)*(1-EXP(('2018'!Tnet_s-t)/'2018'!Tau_j)),Resal_s+(Salim-Resal_s)*(1-EXP((Tnet_s-t)/Tau_j)))*Salcycl</f>
        <v>1.5051912057993251E-2</v>
      </c>
      <c r="AD73" s="231">
        <f>(INDEX(Models!$BJ73:$BT73,,AH73)*(1-AF73)+INDEX(Models!$BJ73:$BT73,,AH73+1)*AF73-ERP_i)*AE73*Ramure*Pc/MaxiM</f>
        <v>2.1411078493188453E-5</v>
      </c>
      <c r="AE73" s="305">
        <f t="shared" si="14"/>
        <v>0.5</v>
      </c>
      <c r="AF73" s="177">
        <f t="shared" si="15"/>
        <v>0.50415294434051039</v>
      </c>
      <c r="AG73" s="176">
        <f t="shared" si="16"/>
        <v>-2</v>
      </c>
      <c r="AH73" s="176">
        <f t="shared" si="17"/>
        <v>4</v>
      </c>
      <c r="AI73" s="225">
        <f t="shared" si="22"/>
        <v>-1.4958470556594896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7">
        <v>15.007</v>
      </c>
      <c r="C74" s="390"/>
      <c r="D74" s="393">
        <f t="shared" si="0"/>
        <v>15.094688174183693</v>
      </c>
      <c r="E74" s="385">
        <f t="shared" si="1"/>
        <v>15.326148046343732</v>
      </c>
      <c r="F74" s="385">
        <f t="shared" si="2"/>
        <v>15.326169194885544</v>
      </c>
      <c r="G74" s="110">
        <f t="shared" si="23"/>
        <v>0.34832962984528909</v>
      </c>
      <c r="H74" s="414" t="b">
        <f>Wh_hp&gt;='2018'!Maxi_hp</f>
        <v>1</v>
      </c>
      <c r="I74" s="390">
        <f>IF(H74,Wh_hp,'2018'!Maxi_hp)</f>
        <v>15.326169194885544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5.8092073961266699E-3</v>
      </c>
      <c r="M74" s="845"/>
      <c r="N74" s="845"/>
      <c r="O74" s="48">
        <f>IF(t&lt;Tnet,'2018'!Resal+('2018'!Salim-'2018'!Resal)*(1-EXP(('2018'!Tnet-t)/('2018'!Tau_j))),Resal+(Salim-Resal)*(1-EXP((Tnet-t)/(Tau_j))))*Salcycl</f>
        <v>1.5102286070847164E-2</v>
      </c>
      <c r="P74" s="169">
        <f>(INDEX(Models!$BJ74:$BT74,,T74)*(1-R74)+INDEX(Models!$BJ74:$BT74,,T74+1)*R74-ERP_i)*Q74*Ramure*Pc/MaxiM</f>
        <v>1.9983573610740952E-5</v>
      </c>
      <c r="Q74" s="305">
        <f t="shared" si="4"/>
        <v>0.5</v>
      </c>
      <c r="R74" s="177">
        <f t="shared" si="5"/>
        <v>0.50446104878556919</v>
      </c>
      <c r="S74" s="811">
        <f t="shared" si="6"/>
        <v>-2</v>
      </c>
      <c r="T74" s="176">
        <f t="shared" si="7"/>
        <v>4</v>
      </c>
      <c r="U74" s="251">
        <f t="shared" si="21"/>
        <v>-1.4955389512144308</v>
      </c>
      <c r="V74" s="383">
        <f t="shared" si="8"/>
        <v>43.081953208838073</v>
      </c>
      <c r="W74" s="58"/>
      <c r="X74" s="157">
        <f t="shared" si="9"/>
        <v>43525</v>
      </c>
      <c r="Y74" s="385">
        <f t="shared" si="10"/>
        <v>15.007</v>
      </c>
      <c r="Z74" s="385">
        <f t="shared" si="11"/>
        <v>15.094688174183693</v>
      </c>
      <c r="AA74" s="386">
        <f t="shared" si="12"/>
        <v>15.326148046343732</v>
      </c>
      <c r="AB74" s="197">
        <f t="shared" si="13"/>
        <v>43525</v>
      </c>
      <c r="AC74" s="426">
        <f>IF(OR(t&lt;Tnet,NoTnet),'2018'!Resal_s+('2018'!Salim-'2018'!Resal_s)*(1-EXP(('2018'!Tnet_s-t)/'2018'!Tau_j)),Resal_s+(Salim-Resal_s)*(1-EXP((Tnet_s-t)/Tau_j)))*Salcycl</f>
        <v>1.5102286070847164E-2</v>
      </c>
      <c r="AD74" s="231">
        <f>(INDEX(Models!$BJ74:$BT74,,AH74)*(1-AF74)+INDEX(Models!$BJ74:$BT74,,AH74+1)*AF74-ERP_i)*AE74*Ramure*Pc/MaxiM</f>
        <v>1.9983573610740952E-5</v>
      </c>
      <c r="AE74" s="305">
        <f t="shared" si="14"/>
        <v>0.5</v>
      </c>
      <c r="AF74" s="177">
        <f t="shared" si="15"/>
        <v>0.50446104878556919</v>
      </c>
      <c r="AG74" s="176">
        <f t="shared" si="16"/>
        <v>-2</v>
      </c>
      <c r="AH74" s="176">
        <f t="shared" si="17"/>
        <v>4</v>
      </c>
      <c r="AI74" s="225">
        <f t="shared" si="22"/>
        <v>-1.4955389512144308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7">
        <v>22.096</v>
      </c>
      <c r="C75" s="390"/>
      <c r="D75" s="393">
        <f t="shared" si="0"/>
        <v>22.225597072605581</v>
      </c>
      <c r="E75" s="385">
        <f t="shared" si="1"/>
        <v>22.567554531818121</v>
      </c>
      <c r="F75" s="385">
        <f t="shared" si="2"/>
        <v>22.567678900656151</v>
      </c>
      <c r="G75" s="110">
        <f t="shared" si="23"/>
        <v>0.50865845989258918</v>
      </c>
      <c r="H75" s="414" t="b">
        <f>Wh_hp&gt;='2018'!Maxi_hp</f>
        <v>1</v>
      </c>
      <c r="I75" s="390">
        <f>IF(H75,Wh_hp,'2018'!Maxi_hp)</f>
        <v>22.567678900656151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5.8309827260081271E-3</v>
      </c>
      <c r="M75" s="845"/>
      <c r="N75" s="845"/>
      <c r="O75" s="48">
        <f>IF(t&lt;Tnet,'2018'!Resal+('2018'!Salim-'2018'!Resal)*(1-EXP(('2018'!Tnet-t)/('2018'!Tau_j))),Resal+(Salim-Resal)*(1-EXP((Tnet-t)/(Tau_j))))*Salcycl</f>
        <v>1.5152614729717928E-2</v>
      </c>
      <c r="P75" s="169">
        <f>(INDEX(Models!$BJ75:$BT75,,T75)*(1-R75)+INDEX(Models!$BJ75:$BT75,,T75+1)*R75-ERP_i)*Q75*Ramure*Pc/MaxiM</f>
        <v>1.8487278649237213E-5</v>
      </c>
      <c r="Q75" s="305">
        <f t="shared" si="4"/>
        <v>0.5</v>
      </c>
      <c r="R75" s="177">
        <f t="shared" si="5"/>
        <v>0.50478166975483085</v>
      </c>
      <c r="S75" s="811">
        <f t="shared" si="6"/>
        <v>-2</v>
      </c>
      <c r="T75" s="176">
        <f t="shared" si="7"/>
        <v>4</v>
      </c>
      <c r="U75" s="251">
        <f t="shared" si="21"/>
        <v>-1.4952183302451691</v>
      </c>
      <c r="V75" s="383">
        <f t="shared" si="8"/>
        <v>43.439193516267416</v>
      </c>
      <c r="W75" s="58"/>
      <c r="X75" s="157">
        <f t="shared" si="9"/>
        <v>43526</v>
      </c>
      <c r="Y75" s="385">
        <f t="shared" si="10"/>
        <v>22.096</v>
      </c>
      <c r="Z75" s="385">
        <f t="shared" si="11"/>
        <v>22.225597072605581</v>
      </c>
      <c r="AA75" s="386">
        <f t="shared" si="12"/>
        <v>22.567554531818121</v>
      </c>
      <c r="AB75" s="197">
        <f t="shared" si="13"/>
        <v>43526</v>
      </c>
      <c r="AC75" s="426">
        <f>IF(OR(t&lt;Tnet,NoTnet),'2018'!Resal_s+('2018'!Salim-'2018'!Resal_s)*(1-EXP(('2018'!Tnet_s-t)/'2018'!Tau_j)),Resal_s+(Salim-Resal_s)*(1-EXP((Tnet_s-t)/Tau_j)))*Salcycl</f>
        <v>1.5152614729717928E-2</v>
      </c>
      <c r="AD75" s="231">
        <f>(INDEX(Models!$BJ75:$BT75,,AH75)*(1-AF75)+INDEX(Models!$BJ75:$BT75,,AH75+1)*AF75-ERP_i)*AE75*Ramure*Pc/MaxiM</f>
        <v>1.8487278649237213E-5</v>
      </c>
      <c r="AE75" s="305">
        <f t="shared" si="14"/>
        <v>0.5</v>
      </c>
      <c r="AF75" s="177">
        <f t="shared" si="15"/>
        <v>0.50478166975483085</v>
      </c>
      <c r="AG75" s="176">
        <f t="shared" si="16"/>
        <v>-2</v>
      </c>
      <c r="AH75" s="176">
        <f t="shared" si="17"/>
        <v>4</v>
      </c>
      <c r="AI75" s="225">
        <f t="shared" si="22"/>
        <v>-1.4952183302451691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7">
        <v>38.192</v>
      </c>
      <c r="C76" s="390"/>
      <c r="D76" s="393">
        <f t="shared" si="0"/>
        <v>38.416844477676214</v>
      </c>
      <c r="E76" s="385">
        <f t="shared" si="1"/>
        <v>39.009908204914225</v>
      </c>
      <c r="F76" s="385">
        <f t="shared" si="2"/>
        <v>39.010447727103518</v>
      </c>
      <c r="G76" s="110">
        <f t="shared" si="23"/>
        <v>0.87204316422829464</v>
      </c>
      <c r="H76" s="414" t="b">
        <f>Wh_hp&gt;='2018'!Maxi_hp</f>
        <v>1</v>
      </c>
      <c r="I76" s="390">
        <f>IF(H76,Wh_hp,'2018'!Maxi_hp)</f>
        <v>39.010447727103518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5.8527575789538711E-3</v>
      </c>
      <c r="M76" s="845"/>
      <c r="N76" s="845"/>
      <c r="O76" s="48">
        <f>IF(t&lt;Tnet,'2018'!Resal+('2018'!Salim-'2018'!Resal)*(1-EXP(('2018'!Tnet-t)/('2018'!Tau_j))),Resal+(Salim-Resal)*(1-EXP((Tnet-t)/(Tau_j))))*Salcycl</f>
        <v>1.5202899840797406E-2</v>
      </c>
      <c r="P76" s="169">
        <f>(INDEX(Models!$BJ76:$BT76,,T76)*(1-R76)+INDEX(Models!$BJ76:$BT76,,T76+1)*R76-ERP_i)*Q76*Ramure*Pc/MaxiM</f>
        <v>1.6923709727271741E-5</v>
      </c>
      <c r="Q76" s="305">
        <f t="shared" si="4"/>
        <v>0.5</v>
      </c>
      <c r="R76" s="177">
        <f t="shared" si="5"/>
        <v>0.5051152981646887</v>
      </c>
      <c r="S76" s="811">
        <f t="shared" si="6"/>
        <v>-2</v>
      </c>
      <c r="T76" s="176">
        <f t="shared" si="7"/>
        <v>4</v>
      </c>
      <c r="U76" s="251">
        <f t="shared" si="21"/>
        <v>-1.4948847018353113</v>
      </c>
      <c r="V76" s="383">
        <f t="shared" si="8"/>
        <v>43.795861738951089</v>
      </c>
      <c r="W76" s="58"/>
      <c r="X76" s="157">
        <f t="shared" si="9"/>
        <v>43527</v>
      </c>
      <c r="Y76" s="385">
        <f t="shared" si="10"/>
        <v>38.192</v>
      </c>
      <c r="Z76" s="385">
        <f t="shared" si="11"/>
        <v>38.416844477676214</v>
      </c>
      <c r="AA76" s="386">
        <f t="shared" si="12"/>
        <v>39.009908204914225</v>
      </c>
      <c r="AB76" s="197">
        <f t="shared" si="13"/>
        <v>43527</v>
      </c>
      <c r="AC76" s="426">
        <f>IF(OR(t&lt;Tnet,NoTnet),'2018'!Resal_s+('2018'!Salim-'2018'!Resal_s)*(1-EXP(('2018'!Tnet_s-t)/'2018'!Tau_j)),Resal_s+(Salim-Resal_s)*(1-EXP((Tnet_s-t)/Tau_j)))*Salcycl</f>
        <v>1.5202899840797406E-2</v>
      </c>
      <c r="AD76" s="231">
        <f>(INDEX(Models!$BJ76:$BT76,,AH76)*(1-AF76)+INDEX(Models!$BJ76:$BT76,,AH76+1)*AF76-ERP_i)*AE76*Ramure*Pc/MaxiM</f>
        <v>1.6923709727271741E-5</v>
      </c>
      <c r="AE76" s="305">
        <f t="shared" si="14"/>
        <v>0.5</v>
      </c>
      <c r="AF76" s="177">
        <f t="shared" si="15"/>
        <v>0.5051152981646887</v>
      </c>
      <c r="AG76" s="176">
        <f t="shared" si="16"/>
        <v>-2</v>
      </c>
      <c r="AH76" s="176">
        <f t="shared" si="17"/>
        <v>4</v>
      </c>
      <c r="AI76" s="225">
        <f t="shared" si="22"/>
        <v>-1.4948847018353113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7">
        <v>13.241</v>
      </c>
      <c r="C77" s="390"/>
      <c r="D77" s="393">
        <f t="shared" si="0"/>
        <v>13.319244326411619</v>
      </c>
      <c r="E77" s="385">
        <f t="shared" si="1"/>
        <v>13.525551504920069</v>
      </c>
      <c r="F77" s="385">
        <f t="shared" si="2"/>
        <v>13.525551504920069</v>
      </c>
      <c r="G77" s="110">
        <f t="shared" si="23"/>
        <v>0.29989365499570175</v>
      </c>
      <c r="H77" s="414" t="b">
        <f>Wh_hp&gt;='2018'!Maxi_hp</f>
        <v>1</v>
      </c>
      <c r="I77" s="390">
        <f>IF(H77,Wh_hp,'2018'!Maxi_hp)</f>
        <v>13.525551504920069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5.87453195497456E-3</v>
      </c>
      <c r="M77" s="845"/>
      <c r="N77" s="845"/>
      <c r="O77" s="48">
        <f>IF(t&lt;Tnet,'2018'!Resal+('2018'!Salim-'2018'!Resal)*(1-EXP(('2018'!Tnet-t)/('2018'!Tau_j))),Resal+(Salim-Resal)*(1-EXP((Tnet-t)/(Tau_j))))*Salcycl</f>
        <v>1.5253143536025363E-2</v>
      </c>
      <c r="P77" s="169">
        <f>(INDEX(Models!$BJ77:$BT77,,T77)*(1-R77)+INDEX(Models!$BJ77:$BT77,,T77+1)*R77-ERP_i)*Q77*Ramure*Pc/MaxiM</f>
        <v>1.5294263300067709E-5</v>
      </c>
      <c r="Q77" s="305">
        <f t="shared" si="4"/>
        <v>0.5</v>
      </c>
      <c r="R77" s="177">
        <f t="shared" si="5"/>
        <v>0.50546244270978691</v>
      </c>
      <c r="S77" s="811">
        <f t="shared" si="6"/>
        <v>-2</v>
      </c>
      <c r="T77" s="176">
        <f t="shared" si="7"/>
        <v>4</v>
      </c>
      <c r="U77" s="251">
        <f t="shared" si="21"/>
        <v>-1.4945375572902131</v>
      </c>
      <c r="V77" s="383">
        <f t="shared" si="8"/>
        <v>44.151642650957115</v>
      </c>
      <c r="W77" s="58"/>
      <c r="X77" s="157">
        <f t="shared" si="9"/>
        <v>43528</v>
      </c>
      <c r="Y77" s="385">
        <f t="shared" si="10"/>
        <v>13.241</v>
      </c>
      <c r="Z77" s="385">
        <f t="shared" si="11"/>
        <v>13.319244326411619</v>
      </c>
      <c r="AA77" s="386">
        <f t="shared" si="12"/>
        <v>13.525551504920069</v>
      </c>
      <c r="AB77" s="197">
        <f t="shared" si="13"/>
        <v>43528</v>
      </c>
      <c r="AC77" s="426">
        <f>IF(OR(t&lt;Tnet,NoTnet),'2018'!Resal_s+('2018'!Salim-'2018'!Resal_s)*(1-EXP(('2018'!Tnet_s-t)/'2018'!Tau_j)),Resal_s+(Salim-Resal_s)*(1-EXP((Tnet_s-t)/Tau_j)))*Salcycl</f>
        <v>1.5253143536025363E-2</v>
      </c>
      <c r="AD77" s="231">
        <f>(INDEX(Models!$BJ77:$BT77,,AH77)*(1-AF77)+INDEX(Models!$BJ77:$BT77,,AH77+1)*AF77-ERP_i)*AE77*Ramure*Pc/MaxiM</f>
        <v>1.5294263300067709E-5</v>
      </c>
      <c r="AE77" s="305">
        <f t="shared" si="14"/>
        <v>0.5</v>
      </c>
      <c r="AF77" s="177">
        <f t="shared" si="15"/>
        <v>0.50546244270978691</v>
      </c>
      <c r="AG77" s="176">
        <f t="shared" si="16"/>
        <v>-2</v>
      </c>
      <c r="AH77" s="176">
        <f t="shared" si="17"/>
        <v>4</v>
      </c>
      <c r="AI77" s="225">
        <f t="shared" si="22"/>
        <v>-1.4945375572902131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7">
        <v>43.591000000000001</v>
      </c>
      <c r="C78" s="390"/>
      <c r="D78" s="393">
        <f t="shared" si="0"/>
        <v>43.849550360489353</v>
      </c>
      <c r="E78" s="385">
        <f t="shared" si="1"/>
        <v>44.531024131895691</v>
      </c>
      <c r="F78" s="385">
        <f t="shared" si="2"/>
        <v>44.531611979407565</v>
      </c>
      <c r="G78" s="110">
        <f t="shared" si="23"/>
        <v>0.97943571719470912</v>
      </c>
      <c r="H78" s="414" t="b">
        <f>Wh_hp&gt;='2018'!Maxi_hp</f>
        <v>1</v>
      </c>
      <c r="I78" s="390">
        <f>IF(H78,Wh_hp,'2018'!Maxi_hp)</f>
        <v>44.531611979407565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5.8963058540805191E-3</v>
      </c>
      <c r="M78" s="845"/>
      <c r="N78" s="845"/>
      <c r="O78" s="48">
        <f>IF(t&lt;Tnet,'2018'!Resal+('2018'!Salim-'2018'!Resal)*(1-EXP(('2018'!Tnet-t)/('2018'!Tau_j))),Resal+(Salim-Resal)*(1-EXP((Tnet-t)/(Tau_j))))*Salcycl</f>
        <v>1.5303348276650681E-2</v>
      </c>
      <c r="P78" s="169">
        <f>(INDEX(Models!$BJ78:$BT78,,T78)*(1-R78)+INDEX(Models!$BJ78:$BT78,,T78+1)*R78-ERP_i)*Q78*Ramure*Pc/MaxiM</f>
        <v>1.3600212195931384E-5</v>
      </c>
      <c r="Q78" s="305">
        <f t="shared" si="4"/>
        <v>0.5</v>
      </c>
      <c r="R78" s="177">
        <f t="shared" si="5"/>
        <v>0.50582363038168254</v>
      </c>
      <c r="S78" s="811">
        <f t="shared" si="6"/>
        <v>-2</v>
      </c>
      <c r="T78" s="176">
        <f t="shared" si="7"/>
        <v>4</v>
      </c>
      <c r="U78" s="251">
        <f t="shared" si="21"/>
        <v>-1.4941763696183175</v>
      </c>
      <c r="V78" s="383">
        <f t="shared" si="8"/>
        <v>44.506221101031819</v>
      </c>
      <c r="W78" s="58"/>
      <c r="X78" s="157">
        <f t="shared" si="9"/>
        <v>43529</v>
      </c>
      <c r="Y78" s="385">
        <f t="shared" si="10"/>
        <v>43.591000000000001</v>
      </c>
      <c r="Z78" s="385">
        <f t="shared" si="11"/>
        <v>43.849550360489353</v>
      </c>
      <c r="AA78" s="386">
        <f t="shared" si="12"/>
        <v>44.531024131895691</v>
      </c>
      <c r="AB78" s="197">
        <f t="shared" si="13"/>
        <v>43529</v>
      </c>
      <c r="AC78" s="426">
        <f>IF(OR(t&lt;Tnet,NoTnet),'2018'!Resal_s+('2018'!Salim-'2018'!Resal_s)*(1-EXP(('2018'!Tnet_s-t)/'2018'!Tau_j)),Resal_s+(Salim-Resal_s)*(1-EXP((Tnet_s-t)/Tau_j)))*Salcycl</f>
        <v>1.5303348276650681E-2</v>
      </c>
      <c r="AD78" s="231">
        <f>(INDEX(Models!$BJ78:$BT78,,AH78)*(1-AF78)+INDEX(Models!$BJ78:$BT78,,AH78+1)*AF78-ERP_i)*AE78*Ramure*Pc/MaxiM</f>
        <v>1.3600212195931384E-5</v>
      </c>
      <c r="AE78" s="305">
        <f t="shared" si="14"/>
        <v>0.5</v>
      </c>
      <c r="AF78" s="177">
        <f t="shared" si="15"/>
        <v>0.50582363038168254</v>
      </c>
      <c r="AG78" s="176">
        <f t="shared" si="16"/>
        <v>-2</v>
      </c>
      <c r="AH78" s="176">
        <f t="shared" si="17"/>
        <v>4</v>
      </c>
      <c r="AI78" s="225">
        <f t="shared" si="22"/>
        <v>-1.4941763696183175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7">
        <v>22.887</v>
      </c>
      <c r="C79" s="390"/>
      <c r="D79" s="393">
        <f t="shared" ref="D79:D142" si="24">Wh/(1-Ppv)</f>
        <v>23.023253439050237</v>
      </c>
      <c r="E79" s="385">
        <f t="shared" si="1"/>
        <v>23.382253258557245</v>
      </c>
      <c r="F79" s="385">
        <f t="shared" ref="F79:F142" si="25">Wh_sa/(1-Pvg*MEDIAN((-Sdif+Wh/Env_an)/Csdif,0,1))</f>
        <v>23.382336400970807</v>
      </c>
      <c r="G79" s="110">
        <f t="shared" si="23"/>
        <v>0.51017704461625246</v>
      </c>
      <c r="H79" s="414" t="b">
        <f>Wh_hp&gt;='2018'!Maxi_hp</f>
        <v>1</v>
      </c>
      <c r="I79" s="390">
        <f>IF(H79,Wh_hp,'2018'!Maxi_hp)</f>
        <v>23.382336400970807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5.9180792762821843E-3</v>
      </c>
      <c r="M79" s="845"/>
      <c r="N79" s="845"/>
      <c r="O79" s="48">
        <f>IF(t&lt;Tnet,'2018'!Resal+('2018'!Salim-'2018'!Resal)*(1-EXP(('2018'!Tnet-t)/('2018'!Tau_j))),Resal+(Salim-Resal)*(1-EXP((Tnet-t)/(Tau_j))))*Salcycl</f>
        <v>1.5353516854737887E-2</v>
      </c>
      <c r="P79" s="169">
        <f>(INDEX(Models!$BJ79:$BT79,,T79)*(1-R79)+INDEX(Models!$BJ79:$BT79,,T79+1)*R79-ERP_i)*Q79*Ramure*Pc/MaxiM</f>
        <v>1.1842373288841526E-5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0.50619940699158072</v>
      </c>
      <c r="S79" s="811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-1.4938005930084193</v>
      </c>
      <c r="V79" s="383">
        <f t="shared" ref="V79:V142" si="32">MaxiM*(1-Ppv)*(1-Pvg)*(1-Psa)</f>
        <v>44.860525548048173</v>
      </c>
      <c r="W79" s="58"/>
      <c r="X79" s="157">
        <f t="shared" ref="X79:X142" si="33">t</f>
        <v>43530</v>
      </c>
      <c r="Y79" s="385">
        <f t="shared" ref="Y79:Y142" si="34">Wh_pvt_s*(1-Ppv)</f>
        <v>22.887</v>
      </c>
      <c r="Z79" s="385">
        <f t="shared" ref="Z79:Z142" si="35">Wh_sa_s*(1-Psa_s)</f>
        <v>23.023253439050237</v>
      </c>
      <c r="AA79" s="386">
        <f t="shared" ref="AA79:AA142" si="36">Wh_hp*(1-Pvg_s*MEDIAN((-Sdif+Wh/Env_an)/Csdif,0,1))</f>
        <v>23.382253258557245</v>
      </c>
      <c r="AB79" s="197">
        <f t="shared" ref="AB79:AB142" si="37">t</f>
        <v>43530</v>
      </c>
      <c r="AC79" s="426">
        <f>IF(OR(t&lt;Tnet,NoTnet),'2018'!Resal_s+('2018'!Salim-'2018'!Resal_s)*(1-EXP(('2018'!Tnet_s-t)/'2018'!Tau_j)),Resal_s+(Salim-Resal_s)*(1-EXP((Tnet_s-t)/Tau_j)))*Salcycl</f>
        <v>1.5353516854737887E-2</v>
      </c>
      <c r="AD79" s="231">
        <f>(INDEX(Models!$BJ79:$BT79,,AH79)*(1-AF79)+INDEX(Models!$BJ79:$BT79,,AH79+1)*AF79-ERP_i)*AE79*Ramure*Pc/MaxiM</f>
        <v>1.1842373288841526E-5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0.50619940699158072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-1.4938005930084193</v>
      </c>
      <c r="AJ79" s="265" t="b">
        <f t="shared" ref="AJ79:AJ142" si="43">t&lt;Tnet</f>
        <v>0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7">
        <v>41.777999999999999</v>
      </c>
      <c r="C80" s="390"/>
      <c r="D80" s="393">
        <f t="shared" si="24"/>
        <v>42.027637958697149</v>
      </c>
      <c r="E80" s="385">
        <f t="shared" ref="E80:E143" si="46">Wh_pvt/(1-Psa)</f>
        <v>42.685145096086899</v>
      </c>
      <c r="F80" s="385">
        <f t="shared" si="25"/>
        <v>42.685529835046331</v>
      </c>
      <c r="G80" s="110">
        <f t="shared" ref="G80:G143" si="47">+Wh_hp/MaxiM</f>
        <v>0.92397314596099589</v>
      </c>
      <c r="H80" s="414" t="b">
        <f>Wh_hp&gt;='2018'!Maxi_hp</f>
        <v>1</v>
      </c>
      <c r="I80" s="390">
        <f>IF(H80,Wh_hp,'2018'!Maxi_hp)</f>
        <v>42.685529835046331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5.9398522215899918E-3</v>
      </c>
      <c r="M80" s="845"/>
      <c r="N80" s="845"/>
      <c r="O80" s="48">
        <f>IF(t&lt;Tnet,'2018'!Resal+('2018'!Salim-'2018'!Resal)*(1-EXP(('2018'!Tnet-t)/('2018'!Tau_j))),Resal+(Salim-Resal)*(1-EXP((Tnet-t)/(Tau_j))))*Salcycl</f>
        <v>1.5403652392645253E-2</v>
      </c>
      <c r="P80" s="169">
        <f>(INDEX(Models!$BJ80:$BT80,,T80)*(1-R80)+INDEX(Models!$BJ80:$BT80,,T80+1)*R80-ERP_i)*Q80*Ramure*Pc/MaxiM</f>
        <v>1.0111531148933894E-5</v>
      </c>
      <c r="Q80" s="305">
        <f t="shared" si="27"/>
        <v>0.5</v>
      </c>
      <c r="R80" s="177">
        <f t="shared" si="28"/>
        <v>0.50659033769601636</v>
      </c>
      <c r="S80" s="811">
        <f t="shared" si="29"/>
        <v>-2</v>
      </c>
      <c r="T80" s="176">
        <f t="shared" si="30"/>
        <v>4</v>
      </c>
      <c r="U80" s="251">
        <f t="shared" si="31"/>
        <v>-1.4934096623039836</v>
      </c>
      <c r="V80" s="383">
        <f t="shared" si="32"/>
        <v>45.215550150730415</v>
      </c>
      <c r="W80" s="58"/>
      <c r="X80" s="157">
        <f t="shared" si="33"/>
        <v>43531</v>
      </c>
      <c r="Y80" s="385">
        <f t="shared" si="34"/>
        <v>41.777999999999999</v>
      </c>
      <c r="Z80" s="385">
        <f t="shared" si="35"/>
        <v>42.027637958697149</v>
      </c>
      <c r="AA80" s="386">
        <f t="shared" si="36"/>
        <v>42.685145096086899</v>
      </c>
      <c r="AB80" s="197">
        <f t="shared" si="37"/>
        <v>43531</v>
      </c>
      <c r="AC80" s="426">
        <f>IF(OR(t&lt;Tnet,NoTnet),'2018'!Resal_s+('2018'!Salim-'2018'!Resal_s)*(1-EXP(('2018'!Tnet_s-t)/'2018'!Tau_j)),Resal_s+(Salim-Resal_s)*(1-EXP((Tnet_s-t)/Tau_j)))*Salcycl</f>
        <v>1.5403652392645253E-2</v>
      </c>
      <c r="AD80" s="231">
        <f>(INDEX(Models!$BJ80:$BT80,,AH80)*(1-AF80)+INDEX(Models!$BJ80:$BT80,,AH80+1)*AF80-ERP_i)*AE80*Ramure*Pc/MaxiM</f>
        <v>1.0111531148933894E-5</v>
      </c>
      <c r="AE80" s="305">
        <f t="shared" si="38"/>
        <v>0.5</v>
      </c>
      <c r="AF80" s="177">
        <f t="shared" si="39"/>
        <v>0.50659033769601636</v>
      </c>
      <c r="AG80" s="176">
        <f t="shared" si="40"/>
        <v>-2</v>
      </c>
      <c r="AH80" s="176">
        <f t="shared" si="41"/>
        <v>4</v>
      </c>
      <c r="AI80" s="225">
        <f t="shared" si="42"/>
        <v>-1.4934096623039836</v>
      </c>
      <c r="AJ80" s="265" t="b">
        <f t="shared" si="43"/>
        <v>0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7">
        <v>21.78</v>
      </c>
      <c r="C81" s="390"/>
      <c r="D81" s="393">
        <f t="shared" si="24"/>
        <v>21.910622910516935</v>
      </c>
      <c r="E81" s="385">
        <f t="shared" si="46"/>
        <v>22.254539180999735</v>
      </c>
      <c r="F81" s="385">
        <f t="shared" si="25"/>
        <v>22.254587571013801</v>
      </c>
      <c r="G81" s="110">
        <f t="shared" si="47"/>
        <v>0.4779316643483702</v>
      </c>
      <c r="H81" s="414" t="b">
        <f>Wh_hp&gt;='2018'!Maxi_hp</f>
        <v>1</v>
      </c>
      <c r="I81" s="390">
        <f>IF(H81,Wh_hp,'2018'!Maxi_hp)</f>
        <v>22.254587571013801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5.9616246900144887E-3</v>
      </c>
      <c r="M81" s="845"/>
      <c r="N81" s="845"/>
      <c r="O81" s="48">
        <f>IF(t&lt;Tnet,'2018'!Resal+('2018'!Salim-'2018'!Resal)*(1-EXP(('2018'!Tnet-t)/('2018'!Tau_j))),Resal+(Salim-Resal)*(1-EXP((Tnet-t)/(Tau_j))))*Salcycl</f>
        <v>1.5453758340519895E-2</v>
      </c>
      <c r="P81" s="169">
        <f>(INDEX(Models!$BJ81:$BT81,,T81)*(1-R81)+INDEX(Models!$BJ81:$BT81,,T81+1)*R81-ERP_i)*Q81*Ramure*Pc/MaxiM</f>
        <v>8.5540848716842009E-6</v>
      </c>
      <c r="Q81" s="305">
        <f t="shared" si="27"/>
        <v>0.5</v>
      </c>
      <c r="R81" s="177">
        <f t="shared" si="28"/>
        <v>0.5069970075242265</v>
      </c>
      <c r="S81" s="811">
        <f t="shared" si="29"/>
        <v>-2</v>
      </c>
      <c r="T81" s="176">
        <f t="shared" si="30"/>
        <v>4</v>
      </c>
      <c r="U81" s="251">
        <f t="shared" si="31"/>
        <v>-1.4930029924757735</v>
      </c>
      <c r="V81" s="383">
        <f t="shared" si="32"/>
        <v>45.571077780551299</v>
      </c>
      <c r="W81" s="58"/>
      <c r="X81" s="157">
        <f t="shared" si="33"/>
        <v>43532</v>
      </c>
      <c r="Y81" s="385">
        <f t="shared" si="34"/>
        <v>21.78</v>
      </c>
      <c r="Z81" s="385">
        <f t="shared" si="35"/>
        <v>21.910622910516935</v>
      </c>
      <c r="AA81" s="386">
        <f t="shared" si="36"/>
        <v>22.254539180999735</v>
      </c>
      <c r="AB81" s="197">
        <f t="shared" si="37"/>
        <v>43532</v>
      </c>
      <c r="AC81" s="426">
        <f>IF(OR(t&lt;Tnet,NoTnet),'2018'!Resal_s+('2018'!Salim-'2018'!Resal_s)*(1-EXP(('2018'!Tnet_s-t)/'2018'!Tau_j)),Resal_s+(Salim-Resal_s)*(1-EXP((Tnet_s-t)/Tau_j)))*Salcycl</f>
        <v>1.5453758340519895E-2</v>
      </c>
      <c r="AD81" s="231">
        <f>(INDEX(Models!$BJ81:$BT81,,AH81)*(1-AF81)+INDEX(Models!$BJ81:$BT81,,AH81+1)*AF81-ERP_i)*AE81*Ramure*Pc/MaxiM</f>
        <v>8.5540848716842009E-6</v>
      </c>
      <c r="AE81" s="305">
        <f t="shared" si="38"/>
        <v>0.5</v>
      </c>
      <c r="AF81" s="177">
        <f t="shared" si="39"/>
        <v>0.5069970075242265</v>
      </c>
      <c r="AG81" s="176">
        <f t="shared" si="40"/>
        <v>-2</v>
      </c>
      <c r="AH81" s="176">
        <f t="shared" si="41"/>
        <v>4</v>
      </c>
      <c r="AI81" s="225">
        <f t="shared" si="42"/>
        <v>-1.4930029924757735</v>
      </c>
      <c r="AJ81" s="265" t="b">
        <f t="shared" si="43"/>
        <v>0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7">
        <v>20.241</v>
      </c>
      <c r="C82" s="390"/>
      <c r="D82" s="393">
        <f t="shared" si="24"/>
        <v>20.362838942958561</v>
      </c>
      <c r="E82" s="385">
        <f t="shared" si="46"/>
        <v>20.683512784195656</v>
      </c>
      <c r="F82" s="385">
        <f t="shared" si="25"/>
        <v>20.683542582207345</v>
      </c>
      <c r="G82" s="110">
        <f t="shared" si="47"/>
        <v>0.44071959947023759</v>
      </c>
      <c r="H82" s="414" t="b">
        <f>Wh_hp&gt;='2018'!Maxi_hp</f>
        <v>1</v>
      </c>
      <c r="I82" s="390">
        <f>IF(H82,Wh_hp,'2018'!Maxi_hp)</f>
        <v>20.683542582207345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5.983396681566E-3</v>
      </c>
      <c r="M82" s="845"/>
      <c r="N82" s="845"/>
      <c r="O82" s="48">
        <f>IF(t&lt;Tnet,'2018'!Resal+('2018'!Salim-'2018'!Resal)*(1-EXP(('2018'!Tnet-t)/('2018'!Tau_j))),Resal+(Salim-Resal)*(1-EXP((Tnet-t)/(Tau_j))))*Salcycl</f>
        <v>1.5503838471873251E-2</v>
      </c>
      <c r="P82" s="169">
        <f>(INDEX(Models!$BJ82:$BT82,,T82)*(1-R82)+INDEX(Models!$BJ82:$BT82,,T82+1)*R82-ERP_i)*Q82*Ramure*Pc/MaxiM</f>
        <v>7.1663501361089006E-6</v>
      </c>
      <c r="Q82" s="305">
        <f t="shared" si="27"/>
        <v>0.5</v>
      </c>
      <c r="R82" s="177">
        <f t="shared" si="28"/>
        <v>0.50742002190581337</v>
      </c>
      <c r="S82" s="811">
        <f t="shared" si="29"/>
        <v>-2</v>
      </c>
      <c r="T82" s="176">
        <f t="shared" si="30"/>
        <v>4</v>
      </c>
      <c r="U82" s="251">
        <f t="shared" si="31"/>
        <v>-1.4925799780941866</v>
      </c>
      <c r="V82" s="383">
        <f t="shared" si="32"/>
        <v>45.926898033414666</v>
      </c>
      <c r="W82" s="58"/>
      <c r="X82" s="157">
        <f t="shared" si="33"/>
        <v>43533</v>
      </c>
      <c r="Y82" s="385">
        <f t="shared" si="34"/>
        <v>20.241</v>
      </c>
      <c r="Z82" s="385">
        <f t="shared" si="35"/>
        <v>20.362838942958561</v>
      </c>
      <c r="AA82" s="386">
        <f t="shared" si="36"/>
        <v>20.683512784195656</v>
      </c>
      <c r="AB82" s="197">
        <f t="shared" si="37"/>
        <v>43533</v>
      </c>
      <c r="AC82" s="426">
        <f>IF(OR(t&lt;Tnet,NoTnet),'2018'!Resal_s+('2018'!Salim-'2018'!Resal_s)*(1-EXP(('2018'!Tnet_s-t)/'2018'!Tau_j)),Resal_s+(Salim-Resal_s)*(1-EXP((Tnet_s-t)/Tau_j)))*Salcycl</f>
        <v>1.5503838471873251E-2</v>
      </c>
      <c r="AD82" s="231">
        <f>(INDEX(Models!$BJ82:$BT82,,AH82)*(1-AF82)+INDEX(Models!$BJ82:$BT82,,AH82+1)*AF82-ERP_i)*AE82*Ramure*Pc/MaxiM</f>
        <v>7.1663501361089006E-6</v>
      </c>
      <c r="AE82" s="305">
        <f t="shared" si="38"/>
        <v>0.5</v>
      </c>
      <c r="AF82" s="177">
        <f t="shared" si="39"/>
        <v>0.50742002190581337</v>
      </c>
      <c r="AG82" s="176">
        <f t="shared" si="40"/>
        <v>-2</v>
      </c>
      <c r="AH82" s="176">
        <f t="shared" si="41"/>
        <v>4</v>
      </c>
      <c r="AI82" s="225">
        <f t="shared" si="42"/>
        <v>-1.4925799780941866</v>
      </c>
      <c r="AJ82" s="265" t="b">
        <f t="shared" si="43"/>
        <v>0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7">
        <v>14.359</v>
      </c>
      <c r="C83" s="390"/>
      <c r="D83" s="393">
        <f t="shared" si="24"/>
        <v>14.445749153386998</v>
      </c>
      <c r="E83" s="385">
        <f t="shared" si="46"/>
        <v>14.673986831340775</v>
      </c>
      <c r="F83" s="385">
        <f t="shared" si="25"/>
        <v>14.673988108039195</v>
      </c>
      <c r="G83" s="110">
        <f t="shared" si="47"/>
        <v>0.31024302159024342</v>
      </c>
      <c r="H83" s="414" t="b">
        <f>Wh_hp&gt;='2018'!Maxi_hp</f>
        <v>1</v>
      </c>
      <c r="I83" s="390">
        <f>IF(H83,Wh_hp,'2018'!Maxi_hp)</f>
        <v>14.673988108039195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6.0051681962550729E-3</v>
      </c>
      <c r="M83" s="845"/>
      <c r="N83" s="845"/>
      <c r="O83" s="48">
        <f>IF(t&lt;Tnet,'2018'!Resal+('2018'!Salim-'2018'!Resal)*(1-EXP(('2018'!Tnet-t)/('2018'!Tau_j))),Resal+(Salim-Resal)*(1-EXP((Tnet-t)/(Tau_j))))*Salcycl</f>
        <v>1.5553896877316623E-2</v>
      </c>
      <c r="P83" s="169">
        <f>(INDEX(Models!$BJ83:$BT83,,T83)*(1-R83)+INDEX(Models!$BJ83:$BT83,,T83+1)*R83-ERP_i)*Q83*Ramure*Pc/MaxiM</f>
        <v>5.9447427143377397E-6</v>
      </c>
      <c r="Q83" s="305">
        <f t="shared" si="27"/>
        <v>0.5</v>
      </c>
      <c r="R83" s="177">
        <f t="shared" si="28"/>
        <v>0.50786000719714997</v>
      </c>
      <c r="S83" s="811">
        <f t="shared" si="29"/>
        <v>-2</v>
      </c>
      <c r="T83" s="176">
        <f t="shared" si="30"/>
        <v>4</v>
      </c>
      <c r="U83" s="251">
        <f t="shared" si="31"/>
        <v>-1.49213999280285</v>
      </c>
      <c r="V83" s="383">
        <f t="shared" si="32"/>
        <v>46.282800544954284</v>
      </c>
      <c r="W83" s="58"/>
      <c r="X83" s="157">
        <f t="shared" si="33"/>
        <v>43534</v>
      </c>
      <c r="Y83" s="385">
        <f t="shared" si="34"/>
        <v>14.359</v>
      </c>
      <c r="Z83" s="385">
        <f t="shared" si="35"/>
        <v>14.445749153386998</v>
      </c>
      <c r="AA83" s="386">
        <f t="shared" si="36"/>
        <v>14.673986831340775</v>
      </c>
      <c r="AB83" s="197">
        <f t="shared" si="37"/>
        <v>43534</v>
      </c>
      <c r="AC83" s="426">
        <f>IF(OR(t&lt;Tnet,NoTnet),'2018'!Resal_s+('2018'!Salim-'2018'!Resal_s)*(1-EXP(('2018'!Tnet_s-t)/'2018'!Tau_j)),Resal_s+(Salim-Resal_s)*(1-EXP((Tnet_s-t)/Tau_j)))*Salcycl</f>
        <v>1.5553896877316623E-2</v>
      </c>
      <c r="AD83" s="231">
        <f>(INDEX(Models!$BJ83:$BT83,,AH83)*(1-AF83)+INDEX(Models!$BJ83:$BT83,,AH83+1)*AF83-ERP_i)*AE83*Ramure*Pc/MaxiM</f>
        <v>5.9447427143377397E-6</v>
      </c>
      <c r="AE83" s="305">
        <f t="shared" si="38"/>
        <v>0.5</v>
      </c>
      <c r="AF83" s="177">
        <f t="shared" si="39"/>
        <v>0.50786000719714997</v>
      </c>
      <c r="AG83" s="176">
        <f t="shared" si="40"/>
        <v>-2</v>
      </c>
      <c r="AH83" s="176">
        <f t="shared" si="41"/>
        <v>4</v>
      </c>
      <c r="AI83" s="225">
        <f t="shared" si="42"/>
        <v>-1.49213999280285</v>
      </c>
      <c r="AJ83" s="265" t="b">
        <f t="shared" si="43"/>
        <v>0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7">
        <v>28.312000000000001</v>
      </c>
      <c r="C84" s="390"/>
      <c r="D84" s="393">
        <f t="shared" si="24"/>
        <v>28.483669344302079</v>
      </c>
      <c r="E84" s="385">
        <f t="shared" si="46"/>
        <v>28.935171972523491</v>
      </c>
      <c r="F84" s="385">
        <f t="shared" si="25"/>
        <v>28.935233984298943</v>
      </c>
      <c r="G84" s="110">
        <f t="shared" si="47"/>
        <v>0.60704947257575315</v>
      </c>
      <c r="H84" s="414" t="b">
        <f>Wh_hp&gt;='2018'!Maxi_hp</f>
        <v>1</v>
      </c>
      <c r="I84" s="390">
        <f>IF(H84,Wh_hp,'2018'!Maxi_hp)</f>
        <v>28.935233984298943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6.0269392340920325E-3</v>
      </c>
      <c r="M84" s="845"/>
      <c r="N84" s="845"/>
      <c r="O84" s="48">
        <f>IF(t&lt;Tnet,'2018'!Resal+('2018'!Salim-'2018'!Resal)*(1-EXP(('2018'!Tnet-t)/('2018'!Tau_j))),Resal+(Salim-Resal)*(1-EXP((Tnet-t)/(Tau_j))))*Salcycl</f>
        <v>1.5603937956551774E-2</v>
      </c>
      <c r="P84" s="169">
        <f>(INDEX(Models!$BJ84:$BT84,,T84)*(1-R84)+INDEX(Models!$BJ84:$BT84,,T84+1)*R84-ERP_i)*Q84*Ramure*Pc/MaxiM</f>
        <v>4.8857866276961287E-6</v>
      </c>
      <c r="Q84" s="305">
        <f t="shared" si="27"/>
        <v>0.5</v>
      </c>
      <c r="R84" s="177">
        <f t="shared" si="28"/>
        <v>0.50831761120481489</v>
      </c>
      <c r="S84" s="811">
        <f t="shared" si="29"/>
        <v>-2</v>
      </c>
      <c r="T84" s="176">
        <f t="shared" si="30"/>
        <v>4</v>
      </c>
      <c r="U84" s="251">
        <f t="shared" si="31"/>
        <v>-1.4916823887951851</v>
      </c>
      <c r="V84" s="383">
        <f t="shared" si="32"/>
        <v>46.638574990307255</v>
      </c>
      <c r="W84" s="58"/>
      <c r="X84" s="157">
        <f t="shared" si="33"/>
        <v>43535</v>
      </c>
      <c r="Y84" s="385">
        <f t="shared" si="34"/>
        <v>28.312000000000001</v>
      </c>
      <c r="Z84" s="385">
        <f t="shared" si="35"/>
        <v>28.483669344302079</v>
      </c>
      <c r="AA84" s="386">
        <f t="shared" si="36"/>
        <v>28.935171972523491</v>
      </c>
      <c r="AB84" s="197">
        <f t="shared" si="37"/>
        <v>43535</v>
      </c>
      <c r="AC84" s="426">
        <f>IF(OR(t&lt;Tnet,NoTnet),'2018'!Resal_s+('2018'!Salim-'2018'!Resal_s)*(1-EXP(('2018'!Tnet_s-t)/'2018'!Tau_j)),Resal_s+(Salim-Resal_s)*(1-EXP((Tnet_s-t)/Tau_j)))*Salcycl</f>
        <v>1.5603937956551774E-2</v>
      </c>
      <c r="AD84" s="231">
        <f>(INDEX(Models!$BJ84:$BT84,,AH84)*(1-AF84)+INDEX(Models!$BJ84:$BT84,,AH84+1)*AF84-ERP_i)*AE84*Ramure*Pc/MaxiM</f>
        <v>4.8857866276961287E-6</v>
      </c>
      <c r="AE84" s="305">
        <f t="shared" si="38"/>
        <v>0.5</v>
      </c>
      <c r="AF84" s="177">
        <f t="shared" si="39"/>
        <v>0.50831761120481489</v>
      </c>
      <c r="AG84" s="176">
        <f t="shared" si="40"/>
        <v>-2</v>
      </c>
      <c r="AH84" s="176">
        <f t="shared" si="41"/>
        <v>4</v>
      </c>
      <c r="AI84" s="225">
        <f t="shared" si="42"/>
        <v>-1.4916823887951851</v>
      </c>
      <c r="AJ84" s="265" t="b">
        <f t="shared" si="43"/>
        <v>0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7">
        <v>41.38</v>
      </c>
      <c r="C85" s="390"/>
      <c r="D85" s="393">
        <f t="shared" si="24"/>
        <v>41.631818790103004</v>
      </c>
      <c r="E85" s="385">
        <f t="shared" si="46"/>
        <v>42.293885858628414</v>
      </c>
      <c r="F85" s="385">
        <f t="shared" si="25"/>
        <v>42.294025676295831</v>
      </c>
      <c r="G85" s="110">
        <f t="shared" si="47"/>
        <v>0.8805371343264341</v>
      </c>
      <c r="H85" s="414" t="b">
        <f>Wh_hp&gt;='2018'!Maxi_hp</f>
        <v>1</v>
      </c>
      <c r="I85" s="390">
        <f>IF(H85,Wh_hp,'2018'!Maxi_hp)</f>
        <v>42.294025676295831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6.0487097950874258E-3</v>
      </c>
      <c r="M85" s="845"/>
      <c r="N85" s="845"/>
      <c r="O85" s="48">
        <f>IF(t&lt;Tnet,'2018'!Resal+('2018'!Salim-'2018'!Resal)*(1-EXP(('2018'!Tnet-t)/('2018'!Tau_j))),Resal+(Salim-Resal)*(1-EXP((Tnet-t)/(Tau_j))))*Salcycl</f>
        <v>1.565396640872482E-2</v>
      </c>
      <c r="P85" s="169">
        <f>(INDEX(Models!$BJ85:$BT85,,T85)*(1-R85)+INDEX(Models!$BJ85:$BT85,,T85+1)*R85-ERP_i)*Q85*Ramure*Pc/MaxiM</f>
        <v>3.9861222600083726E-6</v>
      </c>
      <c r="Q85" s="305">
        <f t="shared" si="27"/>
        <v>0.5</v>
      </c>
      <c r="R85" s="177">
        <f t="shared" si="28"/>
        <v>0.5087935037041702</v>
      </c>
      <c r="S85" s="811">
        <f t="shared" si="29"/>
        <v>-2</v>
      </c>
      <c r="T85" s="176">
        <f t="shared" si="30"/>
        <v>4</v>
      </c>
      <c r="U85" s="251">
        <f t="shared" si="31"/>
        <v>-1.4912064962958298</v>
      </c>
      <c r="V85" s="383">
        <f t="shared" si="32"/>
        <v>46.99401108376631</v>
      </c>
      <c r="W85" s="58"/>
      <c r="X85" s="157">
        <f t="shared" si="33"/>
        <v>43536</v>
      </c>
      <c r="Y85" s="385">
        <f t="shared" si="34"/>
        <v>41.38</v>
      </c>
      <c r="Z85" s="385">
        <f t="shared" si="35"/>
        <v>41.631818790103004</v>
      </c>
      <c r="AA85" s="386">
        <f t="shared" si="36"/>
        <v>42.293885858628414</v>
      </c>
      <c r="AB85" s="197">
        <f t="shared" si="37"/>
        <v>43536</v>
      </c>
      <c r="AC85" s="426">
        <f>IF(OR(t&lt;Tnet,NoTnet),'2018'!Resal_s+('2018'!Salim-'2018'!Resal_s)*(1-EXP(('2018'!Tnet_s-t)/'2018'!Tau_j)),Resal_s+(Salim-Resal_s)*(1-EXP((Tnet_s-t)/Tau_j)))*Salcycl</f>
        <v>1.565396640872482E-2</v>
      </c>
      <c r="AD85" s="231">
        <f>(INDEX(Models!$BJ85:$BT85,,AH85)*(1-AF85)+INDEX(Models!$BJ85:$BT85,,AH85+1)*AF85-ERP_i)*AE85*Ramure*Pc/MaxiM</f>
        <v>3.9861222600083726E-6</v>
      </c>
      <c r="AE85" s="305">
        <f t="shared" si="38"/>
        <v>0.5</v>
      </c>
      <c r="AF85" s="177">
        <f t="shared" si="39"/>
        <v>0.5087935037041702</v>
      </c>
      <c r="AG85" s="176">
        <f t="shared" si="40"/>
        <v>-2</v>
      </c>
      <c r="AH85" s="176">
        <f t="shared" si="41"/>
        <v>4</v>
      </c>
      <c r="AI85" s="225">
        <f t="shared" si="42"/>
        <v>-1.4912064962958298</v>
      </c>
      <c r="AJ85" s="265" t="b">
        <f t="shared" si="43"/>
        <v>0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7">
        <v>27.576000000000001</v>
      </c>
      <c r="C86" s="390"/>
      <c r="D86" s="393">
        <f t="shared" si="24"/>
        <v>27.744421955240757</v>
      </c>
      <c r="E86" s="385">
        <f t="shared" si="46"/>
        <v>28.187071363741797</v>
      </c>
      <c r="F86" s="385">
        <f t="shared" si="25"/>
        <v>28.187108214483022</v>
      </c>
      <c r="G86" s="110">
        <f t="shared" si="47"/>
        <v>0.5823989039699996</v>
      </c>
      <c r="H86" s="414" t="b">
        <f>Wh_hp&gt;='2018'!Maxi_hp</f>
        <v>1</v>
      </c>
      <c r="I86" s="390">
        <f>IF(H86,Wh_hp,'2018'!Maxi_hp)</f>
        <v>28.187108214483022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6.070479879251689E-3</v>
      </c>
      <c r="M86" s="845"/>
      <c r="N86" s="845"/>
      <c r="O86" s="48">
        <f>IF(t&lt;Tnet,'2018'!Resal+('2018'!Salim-'2018'!Resal)*(1-EXP(('2018'!Tnet-t)/('2018'!Tau_j))),Resal+(Salim-Resal)*(1-EXP((Tnet-t)/(Tau_j))))*Salcycl</f>
        <v>1.5703987221263427E-2</v>
      </c>
      <c r="P86" s="169">
        <f>(INDEX(Models!$BJ86:$BT86,,T86)*(1-R86)+INDEX(Models!$BJ86:$BT86,,T86+1)*R86-ERP_i)*Q86*Ramure*Pc/MaxiM</f>
        <v>3.240626705505348E-6</v>
      </c>
      <c r="Q86" s="305">
        <f t="shared" si="27"/>
        <v>0.5</v>
      </c>
      <c r="R86" s="177">
        <f t="shared" si="28"/>
        <v>0.50928837695101592</v>
      </c>
      <c r="S86" s="811">
        <f t="shared" si="29"/>
        <v>-2</v>
      </c>
      <c r="T86" s="176">
        <f t="shared" si="30"/>
        <v>4</v>
      </c>
      <c r="U86" s="251">
        <f t="shared" si="31"/>
        <v>-1.4907116230489841</v>
      </c>
      <c r="V86" s="383">
        <f t="shared" si="32"/>
        <v>47.348898667622834</v>
      </c>
      <c r="W86" s="58"/>
      <c r="X86" s="157">
        <f t="shared" si="33"/>
        <v>43537</v>
      </c>
      <c r="Y86" s="385">
        <f t="shared" si="34"/>
        <v>27.576000000000001</v>
      </c>
      <c r="Z86" s="385">
        <f t="shared" si="35"/>
        <v>27.744421955240757</v>
      </c>
      <c r="AA86" s="386">
        <f t="shared" si="36"/>
        <v>28.187071363741797</v>
      </c>
      <c r="AB86" s="197">
        <f t="shared" si="37"/>
        <v>43537</v>
      </c>
      <c r="AC86" s="426">
        <f>IF(OR(t&lt;Tnet,NoTnet),'2018'!Resal_s+('2018'!Salim-'2018'!Resal_s)*(1-EXP(('2018'!Tnet_s-t)/'2018'!Tau_j)),Resal_s+(Salim-Resal_s)*(1-EXP((Tnet_s-t)/Tau_j)))*Salcycl</f>
        <v>1.5703987221263427E-2</v>
      </c>
      <c r="AD86" s="231">
        <f>(INDEX(Models!$BJ86:$BT86,,AH86)*(1-AF86)+INDEX(Models!$BJ86:$BT86,,AH86+1)*AF86-ERP_i)*AE86*Ramure*Pc/MaxiM</f>
        <v>3.240626705505348E-6</v>
      </c>
      <c r="AE86" s="305">
        <f t="shared" si="38"/>
        <v>0.5</v>
      </c>
      <c r="AF86" s="177">
        <f t="shared" si="39"/>
        <v>0.50928837695101592</v>
      </c>
      <c r="AG86" s="176">
        <f t="shared" si="40"/>
        <v>-2</v>
      </c>
      <c r="AH86" s="176">
        <f t="shared" si="41"/>
        <v>4</v>
      </c>
      <c r="AI86" s="225">
        <f t="shared" si="42"/>
        <v>-1.4907116230489841</v>
      </c>
      <c r="AJ86" s="265" t="b">
        <f t="shared" si="43"/>
        <v>0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7">
        <v>24.748999999999999</v>
      </c>
      <c r="C87" s="390"/>
      <c r="D87" s="393">
        <f t="shared" si="24"/>
        <v>24.900701284617067</v>
      </c>
      <c r="E87" s="385">
        <f t="shared" si="46"/>
        <v>25.299266065336599</v>
      </c>
      <c r="F87" s="385">
        <f t="shared" si="25"/>
        <v>25.299286537732993</v>
      </c>
      <c r="G87" s="110">
        <f t="shared" si="47"/>
        <v>0.51881307780750174</v>
      </c>
      <c r="H87" s="414" t="b">
        <f>Wh_hp&gt;='2018'!Maxi_hp</f>
        <v>1</v>
      </c>
      <c r="I87" s="390">
        <f>IF(H87,Wh_hp,'2018'!Maxi_hp)</f>
        <v>25.299286537732993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6.0922494865951471E-3</v>
      </c>
      <c r="M87" s="845"/>
      <c r="N87" s="845"/>
      <c r="O87" s="48">
        <f>IF(t&lt;Tnet,'2018'!Resal+('2018'!Salim-'2018'!Resal)*(1-EXP(('2018'!Tnet-t)/('2018'!Tau_j))),Resal+(Salim-Resal)*(1-EXP((Tnet-t)/(Tau_j))))*Salcycl</f>
        <v>1.575400565732684E-2</v>
      </c>
      <c r="P87" s="169">
        <f>(INDEX(Models!$BJ87:$BT87,,T87)*(1-R87)+INDEX(Models!$BJ87:$BT87,,T87+1)*R87-ERP_i)*Q87*Ramure*Pc/MaxiM</f>
        <v>2.5887096387289061E-6</v>
      </c>
      <c r="Q87" s="305">
        <f t="shared" si="27"/>
        <v>0.5</v>
      </c>
      <c r="R87" s="177">
        <f t="shared" si="28"/>
        <v>0.50980294618405364</v>
      </c>
      <c r="S87" s="811">
        <f t="shared" si="29"/>
        <v>-2</v>
      </c>
      <c r="T87" s="176">
        <f t="shared" si="30"/>
        <v>4</v>
      </c>
      <c r="U87" s="251">
        <f t="shared" si="31"/>
        <v>-1.4901970538159464</v>
      </c>
      <c r="V87" s="383">
        <f t="shared" si="32"/>
        <v>47.703030277644899</v>
      </c>
      <c r="W87" s="58"/>
      <c r="X87" s="157">
        <f t="shared" si="33"/>
        <v>43538</v>
      </c>
      <c r="Y87" s="385">
        <f t="shared" si="34"/>
        <v>24.748999999999999</v>
      </c>
      <c r="Z87" s="385">
        <f t="shared" si="35"/>
        <v>24.900701284617067</v>
      </c>
      <c r="AA87" s="386">
        <f t="shared" si="36"/>
        <v>25.299266065336599</v>
      </c>
      <c r="AB87" s="197">
        <f t="shared" si="37"/>
        <v>43538</v>
      </c>
      <c r="AC87" s="426">
        <f>IF(OR(t&lt;Tnet,NoTnet),'2018'!Resal_s+('2018'!Salim-'2018'!Resal_s)*(1-EXP(('2018'!Tnet_s-t)/'2018'!Tau_j)),Resal_s+(Salim-Resal_s)*(1-EXP((Tnet_s-t)/Tau_j)))*Salcycl</f>
        <v>1.575400565732684E-2</v>
      </c>
      <c r="AD87" s="231">
        <f>(INDEX(Models!$BJ87:$BT87,,AH87)*(1-AF87)+INDEX(Models!$BJ87:$BT87,,AH87+1)*AF87-ERP_i)*AE87*Ramure*Pc/MaxiM</f>
        <v>2.5887096387289061E-6</v>
      </c>
      <c r="AE87" s="305">
        <f t="shared" si="38"/>
        <v>0.5</v>
      </c>
      <c r="AF87" s="177">
        <f t="shared" si="39"/>
        <v>0.50980294618405364</v>
      </c>
      <c r="AG87" s="176">
        <f t="shared" si="40"/>
        <v>-2</v>
      </c>
      <c r="AH87" s="176">
        <f t="shared" si="41"/>
        <v>4</v>
      </c>
      <c r="AI87" s="225">
        <f t="shared" si="42"/>
        <v>-1.4901970538159464</v>
      </c>
      <c r="AJ87" s="265" t="b">
        <f t="shared" si="43"/>
        <v>0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7">
        <v>13.045999999999999</v>
      </c>
      <c r="C88" s="390"/>
      <c r="D88" s="393">
        <f t="shared" si="24"/>
        <v>13.126254162321594</v>
      </c>
      <c r="E88" s="385">
        <f t="shared" si="46"/>
        <v>13.337032995103749</v>
      </c>
      <c r="F88" s="385">
        <f t="shared" si="25"/>
        <v>13.337032995103749</v>
      </c>
      <c r="G88" s="110">
        <f t="shared" si="47"/>
        <v>0.27147328937227377</v>
      </c>
      <c r="H88" s="414" t="b">
        <f>Wh_hp&gt;='2018'!Maxi_hp</f>
        <v>1</v>
      </c>
      <c r="I88" s="390">
        <f>IF(H88,Wh_hp,'2018'!Maxi_hp)</f>
        <v>13.337032995103749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6.1140186171284583E-3</v>
      </c>
      <c r="M88" s="845"/>
      <c r="N88" s="845"/>
      <c r="O88" s="48">
        <f>IF(t&lt;Tnet,'2018'!Resal+('2018'!Salim-'2018'!Resal)*(1-EXP(('2018'!Tnet-t)/('2018'!Tau_j))),Resal+(Salim-Resal)*(1-EXP((Tnet-t)/(Tau_j))))*Salcycl</f>
        <v>1.5804027242006285E-2</v>
      </c>
      <c r="P88" s="169">
        <f>(INDEX(Models!$BJ88:$BT88,,T88)*(1-R88)+INDEX(Models!$BJ88:$BT88,,T88+1)*R88-ERP_i)*Q88*Ramure*Pc/MaxiM</f>
        <v>2.0284793388535445E-6</v>
      </c>
      <c r="Q88" s="305">
        <f t="shared" si="27"/>
        <v>0.5</v>
      </c>
      <c r="R88" s="177">
        <f t="shared" si="28"/>
        <v>0.51033795011568528</v>
      </c>
      <c r="S88" s="811">
        <f t="shared" si="29"/>
        <v>-2</v>
      </c>
      <c r="T88" s="176">
        <f t="shared" si="30"/>
        <v>4</v>
      </c>
      <c r="U88" s="251">
        <f t="shared" si="31"/>
        <v>-1.4896620498843147</v>
      </c>
      <c r="V88" s="383">
        <f t="shared" si="32"/>
        <v>48.056195755481802</v>
      </c>
      <c r="W88" s="58"/>
      <c r="X88" s="157">
        <f t="shared" si="33"/>
        <v>43539</v>
      </c>
      <c r="Y88" s="385">
        <f t="shared" si="34"/>
        <v>13.045999999999999</v>
      </c>
      <c r="Z88" s="385">
        <f t="shared" si="35"/>
        <v>13.126254162321594</v>
      </c>
      <c r="AA88" s="386">
        <f t="shared" si="36"/>
        <v>13.337032995103749</v>
      </c>
      <c r="AB88" s="197">
        <f t="shared" si="37"/>
        <v>43539</v>
      </c>
      <c r="AC88" s="426">
        <f>IF(OR(t&lt;Tnet,NoTnet),'2018'!Resal_s+('2018'!Salim-'2018'!Resal_s)*(1-EXP(('2018'!Tnet_s-t)/'2018'!Tau_j)),Resal_s+(Salim-Resal_s)*(1-EXP((Tnet_s-t)/Tau_j)))*Salcycl</f>
        <v>1.5804027242006285E-2</v>
      </c>
      <c r="AD88" s="231">
        <f>(INDEX(Models!$BJ88:$BT88,,AH88)*(1-AF88)+INDEX(Models!$BJ88:$BT88,,AH88+1)*AF88-ERP_i)*AE88*Ramure*Pc/MaxiM</f>
        <v>2.0284793388535445E-6</v>
      </c>
      <c r="AE88" s="305">
        <f t="shared" si="38"/>
        <v>0.5</v>
      </c>
      <c r="AF88" s="177">
        <f t="shared" si="39"/>
        <v>0.51033795011568528</v>
      </c>
      <c r="AG88" s="176">
        <f t="shared" si="40"/>
        <v>-2</v>
      </c>
      <c r="AH88" s="176">
        <f t="shared" si="41"/>
        <v>4</v>
      </c>
      <c r="AI88" s="225">
        <f t="shared" si="42"/>
        <v>-1.4896620498843147</v>
      </c>
      <c r="AJ88" s="265" t="b">
        <f t="shared" si="43"/>
        <v>0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7">
        <v>47.389000000000003</v>
      </c>
      <c r="C89" s="390"/>
      <c r="D89" s="393">
        <f t="shared" si="24"/>
        <v>47.681563933035108</v>
      </c>
      <c r="E89" s="385">
        <f t="shared" si="46"/>
        <v>48.449688085791678</v>
      </c>
      <c r="F89" s="385">
        <f t="shared" si="25"/>
        <v>48.449761306005662</v>
      </c>
      <c r="G89" s="110">
        <f t="shared" si="47"/>
        <v>0.97894597362577496</v>
      </c>
      <c r="H89" s="414" t="b">
        <f>Wh_hp&gt;='2018'!Maxi_hp</f>
        <v>1</v>
      </c>
      <c r="I89" s="390">
        <f>IF(H89,Wh_hp,'2018'!Maxi_hp)</f>
        <v>48.449761306005662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6.1357872708618366E-3</v>
      </c>
      <c r="M89" s="845"/>
      <c r="N89" s="845"/>
      <c r="O89" s="48">
        <f>IF(t&lt;Tnet,'2018'!Resal+('2018'!Salim-'2018'!Resal)*(1-EXP(('2018'!Tnet-t)/('2018'!Tau_j))),Resal+(Salim-Resal)*(1-EXP((Tnet-t)/(Tau_j))))*Salcycl</f>
        <v>1.5854057747418777E-2</v>
      </c>
      <c r="P89" s="169">
        <f>(INDEX(Models!$BJ89:$BT89,,T89)*(1-R89)+INDEX(Models!$BJ89:$BT89,,T89+1)*R89-ERP_i)*Q89*Ramure*Pc/MaxiM</f>
        <v>1.5581244605566065E-6</v>
      </c>
      <c r="Q89" s="305">
        <f t="shared" si="27"/>
        <v>0.5</v>
      </c>
      <c r="R89" s="177">
        <f t="shared" si="28"/>
        <v>0.51089415140845706</v>
      </c>
      <c r="S89" s="811">
        <f t="shared" si="29"/>
        <v>-2</v>
      </c>
      <c r="T89" s="176">
        <f t="shared" si="30"/>
        <v>4</v>
      </c>
      <c r="U89" s="251">
        <f t="shared" si="31"/>
        <v>-1.4891058485915429</v>
      </c>
      <c r="V89" s="383">
        <f t="shared" si="32"/>
        <v>48.408184982514051</v>
      </c>
      <c r="W89" s="58"/>
      <c r="X89" s="157">
        <f t="shared" si="33"/>
        <v>43540</v>
      </c>
      <c r="Y89" s="385">
        <f t="shared" si="34"/>
        <v>47.389000000000003</v>
      </c>
      <c r="Z89" s="385">
        <f t="shared" si="35"/>
        <v>47.681563933035108</v>
      </c>
      <c r="AA89" s="386">
        <f t="shared" si="36"/>
        <v>48.449688085791678</v>
      </c>
      <c r="AB89" s="197">
        <f t="shared" si="37"/>
        <v>43540</v>
      </c>
      <c r="AC89" s="426">
        <f>IF(OR(t&lt;Tnet,NoTnet),'2018'!Resal_s+('2018'!Salim-'2018'!Resal_s)*(1-EXP(('2018'!Tnet_s-t)/'2018'!Tau_j)),Resal_s+(Salim-Resal_s)*(1-EXP((Tnet_s-t)/Tau_j)))*Salcycl</f>
        <v>1.5854057747418777E-2</v>
      </c>
      <c r="AD89" s="231">
        <f>(INDEX(Models!$BJ89:$BT89,,AH89)*(1-AF89)+INDEX(Models!$BJ89:$BT89,,AH89+1)*AF89-ERP_i)*AE89*Ramure*Pc/MaxiM</f>
        <v>1.5581244605566065E-6</v>
      </c>
      <c r="AE89" s="305">
        <f t="shared" si="38"/>
        <v>0.5</v>
      </c>
      <c r="AF89" s="177">
        <f t="shared" si="39"/>
        <v>0.51089415140845706</v>
      </c>
      <c r="AG89" s="176">
        <f t="shared" si="40"/>
        <v>-2</v>
      </c>
      <c r="AH89" s="176">
        <f t="shared" si="41"/>
        <v>4</v>
      </c>
      <c r="AI89" s="225">
        <f t="shared" si="42"/>
        <v>-1.4891058485915429</v>
      </c>
      <c r="AJ89" s="265" t="b">
        <f t="shared" si="43"/>
        <v>0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7">
        <v>16.763999999999999</v>
      </c>
      <c r="C90" s="390"/>
      <c r="D90" s="393">
        <f t="shared" si="24"/>
        <v>16.867864812871346</v>
      </c>
      <c r="E90" s="385">
        <f t="shared" si="46"/>
        <v>17.140468593887945</v>
      </c>
      <c r="F90" s="385">
        <f t="shared" si="25"/>
        <v>17.140469855495425</v>
      </c>
      <c r="G90" s="110">
        <f t="shared" si="47"/>
        <v>0.34381456656011083</v>
      </c>
      <c r="H90" s="414" t="b">
        <f>Wh_hp&gt;='2018'!Maxi_hp</f>
        <v>1</v>
      </c>
      <c r="I90" s="390">
        <f>IF(H90,Wh_hp,'2018'!Maxi_hp)</f>
        <v>17.140469855495425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6.1575554478058292E-3</v>
      </c>
      <c r="M90" s="845"/>
      <c r="N90" s="845"/>
      <c r="O90" s="48">
        <f>IF(t&lt;Tnet,'2018'!Resal+('2018'!Salim-'2018'!Resal)*(1-EXP(('2018'!Tnet-t)/('2018'!Tau_j))),Resal+(Salim-Resal)*(1-EXP((Tnet-t)/(Tau_j))))*Salcycl</f>
        <v>1.5904103176841086E-2</v>
      </c>
      <c r="P90" s="169">
        <f>(INDEX(Models!$BJ90:$BT90,,T90)*(1-R90)+INDEX(Models!$BJ90:$BT90,,T90+1)*R90-ERP_i)*Q90*Ramure*Pc/MaxiM</f>
        <v>1.1759186972958167E-6</v>
      </c>
      <c r="Q90" s="305">
        <f t="shared" si="27"/>
        <v>0.5</v>
      </c>
      <c r="R90" s="177">
        <f t="shared" si="28"/>
        <v>0.51147233713422136</v>
      </c>
      <c r="S90" s="811">
        <f t="shared" si="29"/>
        <v>-2</v>
      </c>
      <c r="T90" s="176">
        <f t="shared" si="30"/>
        <v>4</v>
      </c>
      <c r="U90" s="251">
        <f t="shared" si="31"/>
        <v>-1.4885276628657786</v>
      </c>
      <c r="V90" s="383">
        <f t="shared" si="32"/>
        <v>48.758787879525315</v>
      </c>
      <c r="W90" s="58"/>
      <c r="X90" s="157">
        <f t="shared" si="33"/>
        <v>43541</v>
      </c>
      <c r="Y90" s="385">
        <f t="shared" si="34"/>
        <v>16.763999999999999</v>
      </c>
      <c r="Z90" s="385">
        <f t="shared" si="35"/>
        <v>16.867864812871346</v>
      </c>
      <c r="AA90" s="386">
        <f t="shared" si="36"/>
        <v>17.140468593887945</v>
      </c>
      <c r="AB90" s="197">
        <f t="shared" si="37"/>
        <v>43541</v>
      </c>
      <c r="AC90" s="426">
        <f>IF(OR(t&lt;Tnet,NoTnet),'2018'!Resal_s+('2018'!Salim-'2018'!Resal_s)*(1-EXP(('2018'!Tnet_s-t)/'2018'!Tau_j)),Resal_s+(Salim-Resal_s)*(1-EXP((Tnet_s-t)/Tau_j)))*Salcycl</f>
        <v>1.5904103176841086E-2</v>
      </c>
      <c r="AD90" s="231">
        <f>(INDEX(Models!$BJ90:$BT90,,AH90)*(1-AF90)+INDEX(Models!$BJ90:$BT90,,AH90+1)*AF90-ERP_i)*AE90*Ramure*Pc/MaxiM</f>
        <v>1.1759186972958167E-6</v>
      </c>
      <c r="AE90" s="305">
        <f t="shared" si="38"/>
        <v>0.5</v>
      </c>
      <c r="AF90" s="177">
        <f t="shared" si="39"/>
        <v>0.51147233713422136</v>
      </c>
      <c r="AG90" s="176">
        <f t="shared" si="40"/>
        <v>-2</v>
      </c>
      <c r="AH90" s="176">
        <f t="shared" si="41"/>
        <v>4</v>
      </c>
      <c r="AI90" s="225">
        <f t="shared" si="42"/>
        <v>-1.4885276628657786</v>
      </c>
      <c r="AJ90" s="265" t="b">
        <f t="shared" si="43"/>
        <v>0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7">
        <v>34.661000000000001</v>
      </c>
      <c r="C91" s="390"/>
      <c r="D91" s="393">
        <f t="shared" si="24"/>
        <v>34.876513245619172</v>
      </c>
      <c r="E91" s="385">
        <f t="shared" si="46"/>
        <v>35.441960296390803</v>
      </c>
      <c r="F91" s="385">
        <f t="shared" si="25"/>
        <v>35.441978382349127</v>
      </c>
      <c r="G91" s="110">
        <f t="shared" si="47"/>
        <v>0.70581437418604887</v>
      </c>
      <c r="H91" s="414" t="b">
        <f>Wh_hp&gt;='2018'!Maxi_hp</f>
        <v>1</v>
      </c>
      <c r="I91" s="390">
        <f>IF(H91,Wh_hp,'2018'!Maxi_hp)</f>
        <v>35.441978382349127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6.1793231479709831E-3</v>
      </c>
      <c r="M91" s="845"/>
      <c r="N91" s="845"/>
      <c r="O91" s="48">
        <f>IF(t&lt;Tnet,'2018'!Resal+('2018'!Salim-'2018'!Resal)*(1-EXP(('2018'!Tnet-t)/('2018'!Tau_j))),Resal+(Salim-Resal)*(1-EXP((Tnet-t)/(Tau_j))))*Salcycl</f>
        <v>1.595416974803212E-2</v>
      </c>
      <c r="P91" s="169">
        <f>(INDEX(Models!$BJ91:$BT91,,T91)*(1-R91)+INDEX(Models!$BJ91:$BT91,,T91+1)*R91-ERP_i)*Q91*Ramure*Pc/MaxiM</f>
        <v>8.8022541525519602E-7</v>
      </c>
      <c r="Q91" s="305">
        <f t="shared" si="27"/>
        <v>0.5</v>
      </c>
      <c r="R91" s="177">
        <f t="shared" si="28"/>
        <v>0.51207331921284682</v>
      </c>
      <c r="S91" s="811">
        <f t="shared" si="29"/>
        <v>-2</v>
      </c>
      <c r="T91" s="176">
        <f t="shared" si="30"/>
        <v>4</v>
      </c>
      <c r="U91" s="251">
        <f t="shared" si="31"/>
        <v>-1.4879266807871532</v>
      </c>
      <c r="V91" s="383">
        <f t="shared" si="32"/>
        <v>49.10779440826574</v>
      </c>
      <c r="W91" s="58"/>
      <c r="X91" s="157">
        <f t="shared" si="33"/>
        <v>43542</v>
      </c>
      <c r="Y91" s="385">
        <f t="shared" si="34"/>
        <v>34.661000000000001</v>
      </c>
      <c r="Z91" s="385">
        <f t="shared" si="35"/>
        <v>34.876513245619172</v>
      </c>
      <c r="AA91" s="386">
        <f t="shared" si="36"/>
        <v>35.441960296390803</v>
      </c>
      <c r="AB91" s="197">
        <f t="shared" si="37"/>
        <v>43542</v>
      </c>
      <c r="AC91" s="426">
        <f>IF(OR(t&lt;Tnet,NoTnet),'2018'!Resal_s+('2018'!Salim-'2018'!Resal_s)*(1-EXP(('2018'!Tnet_s-t)/'2018'!Tau_j)),Resal_s+(Salim-Resal_s)*(1-EXP((Tnet_s-t)/Tau_j)))*Salcycl</f>
        <v>1.595416974803212E-2</v>
      </c>
      <c r="AD91" s="231">
        <f>(INDEX(Models!$BJ91:$BT91,,AH91)*(1-AF91)+INDEX(Models!$BJ91:$BT91,,AH91+1)*AF91-ERP_i)*AE91*Ramure*Pc/MaxiM</f>
        <v>8.8022541525519602E-7</v>
      </c>
      <c r="AE91" s="305">
        <f t="shared" si="38"/>
        <v>0.5</v>
      </c>
      <c r="AF91" s="177">
        <f t="shared" si="39"/>
        <v>0.51207331921284682</v>
      </c>
      <c r="AG91" s="176">
        <f t="shared" si="40"/>
        <v>-2</v>
      </c>
      <c r="AH91" s="176">
        <f t="shared" si="41"/>
        <v>4</v>
      </c>
      <c r="AI91" s="225">
        <f t="shared" si="42"/>
        <v>-1.4879266807871532</v>
      </c>
      <c r="AJ91" s="265" t="b">
        <f t="shared" si="43"/>
        <v>0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7">
        <v>12.717000000000001</v>
      </c>
      <c r="C92" s="390"/>
      <c r="D92" s="393">
        <f t="shared" si="24"/>
        <v>12.796351331027472</v>
      </c>
      <c r="E92" s="385">
        <f t="shared" si="46"/>
        <v>13.004478435477191</v>
      </c>
      <c r="F92" s="385">
        <f t="shared" si="25"/>
        <v>13.004478435477191</v>
      </c>
      <c r="G92" s="110">
        <f t="shared" si="47"/>
        <v>0.25714271321775428</v>
      </c>
      <c r="H92" s="414" t="b">
        <f>Wh_hp&gt;='2018'!Maxi_hp</f>
        <v>1</v>
      </c>
      <c r="I92" s="390">
        <f>IF(H92,Wh_hp,'2018'!Maxi_hp)</f>
        <v>13.004478435477191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6.2010903713675125E-3</v>
      </c>
      <c r="M92" s="845"/>
      <c r="N92" s="845"/>
      <c r="O92" s="48">
        <f>IF(t&lt;Tnet,'2018'!Resal+('2018'!Salim-'2018'!Resal)*(1-EXP(('2018'!Tnet-t)/('2018'!Tau_j))),Resal+(Salim-Resal)*(1-EXP((Tnet-t)/(Tau_j))))*Salcycl</f>
        <v>1.6004263875891645E-2</v>
      </c>
      <c r="P92" s="169">
        <f>(INDEX(Models!$BJ92:$BT92,,T92)*(1-R92)+INDEX(Models!$BJ92:$BT92,,T92+1)*R92-ERP_i)*Q92*Ramure*Pc/MaxiM</f>
        <v>6.6950225525183712E-7</v>
      </c>
      <c r="Q92" s="305">
        <f t="shared" si="27"/>
        <v>0.5</v>
      </c>
      <c r="R92" s="177">
        <f t="shared" si="28"/>
        <v>0.51269793482705328</v>
      </c>
      <c r="S92" s="811">
        <f t="shared" si="29"/>
        <v>-2</v>
      </c>
      <c r="T92" s="176">
        <f t="shared" si="30"/>
        <v>4</v>
      </c>
      <c r="U92" s="251">
        <f t="shared" si="31"/>
        <v>-1.4873020651729467</v>
      </c>
      <c r="V92" s="383">
        <f t="shared" si="32"/>
        <v>49.454994570158334</v>
      </c>
      <c r="W92" s="58"/>
      <c r="X92" s="157">
        <f t="shared" si="33"/>
        <v>43543</v>
      </c>
      <c r="Y92" s="385">
        <f t="shared" si="34"/>
        <v>12.717000000000001</v>
      </c>
      <c r="Z92" s="385">
        <f t="shared" si="35"/>
        <v>12.796351331027472</v>
      </c>
      <c r="AA92" s="386">
        <f t="shared" si="36"/>
        <v>13.004478435477191</v>
      </c>
      <c r="AB92" s="197">
        <f t="shared" si="37"/>
        <v>43543</v>
      </c>
      <c r="AC92" s="426">
        <f>IF(OR(t&lt;Tnet,NoTnet),'2018'!Resal_s+('2018'!Salim-'2018'!Resal_s)*(1-EXP(('2018'!Tnet_s-t)/'2018'!Tau_j)),Resal_s+(Salim-Resal_s)*(1-EXP((Tnet_s-t)/Tau_j)))*Salcycl</f>
        <v>1.6004263875891645E-2</v>
      </c>
      <c r="AD92" s="231">
        <f>(INDEX(Models!$BJ92:$BT92,,AH92)*(1-AF92)+INDEX(Models!$BJ92:$BT92,,AH92+1)*AF92-ERP_i)*AE92*Ramure*Pc/MaxiM</f>
        <v>6.6950225525183712E-7</v>
      </c>
      <c r="AE92" s="305">
        <f t="shared" si="38"/>
        <v>0.5</v>
      </c>
      <c r="AF92" s="177">
        <f t="shared" si="39"/>
        <v>0.51269793482705328</v>
      </c>
      <c r="AG92" s="176">
        <f t="shared" si="40"/>
        <v>-2</v>
      </c>
      <c r="AH92" s="176">
        <f t="shared" si="41"/>
        <v>4</v>
      </c>
      <c r="AI92" s="225">
        <f t="shared" si="42"/>
        <v>-1.4873020651729467</v>
      </c>
      <c r="AJ92" s="265" t="b">
        <f t="shared" si="43"/>
        <v>0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7">
        <v>50.011000000000003</v>
      </c>
      <c r="C93" s="390"/>
      <c r="D93" s="393">
        <f t="shared" si="24"/>
        <v>50.324160057622251</v>
      </c>
      <c r="E93" s="385">
        <f t="shared" si="46"/>
        <v>51.145266218342961</v>
      </c>
      <c r="F93" s="385">
        <f t="shared" si="25"/>
        <v>51.145293953169229</v>
      </c>
      <c r="G93" s="110">
        <f t="shared" si="47"/>
        <v>1.004176901029336</v>
      </c>
      <c r="H93" s="414" t="b">
        <f>Wh_hp&gt;='2018'!Maxi_hp</f>
        <v>1</v>
      </c>
      <c r="I93" s="390">
        <f>IF(H93,Wh_hp,'2018'!Maxi_hp)</f>
        <v>51.145293953169229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6.2228571180060754E-3</v>
      </c>
      <c r="M93" s="845"/>
      <c r="N93" s="845"/>
      <c r="O93" s="48">
        <f>IF(t&lt;Tnet,'2018'!Resal+('2018'!Salim-'2018'!Resal)*(1-EXP(('2018'!Tnet-t)/('2018'!Tau_j))),Resal+(Salim-Resal)*(1-EXP((Tnet-t)/(Tau_j))))*Salcycl</f>
        <v>1.6054392154600319E-2</v>
      </c>
      <c r="P93" s="169">
        <f>(INDEX(Models!$BJ93:$BT93,,T93)*(1-R93)+INDEX(Models!$BJ93:$BT93,,T93+1)*R93-ERP_i)*Q93*Ramure*Pc/MaxiM</f>
        <v>5.4227523434240887E-7</v>
      </c>
      <c r="Q93" s="305">
        <f t="shared" si="27"/>
        <v>0.5</v>
      </c>
      <c r="R93" s="177">
        <f t="shared" si="28"/>
        <v>0.5133470468096748</v>
      </c>
      <c r="S93" s="811">
        <f t="shared" si="29"/>
        <v>-2</v>
      </c>
      <c r="T93" s="176">
        <f t="shared" si="30"/>
        <v>4</v>
      </c>
      <c r="U93" s="251">
        <f t="shared" si="31"/>
        <v>-1.4866529531903252</v>
      </c>
      <c r="V93" s="383">
        <f t="shared" si="32"/>
        <v>49.802977890385662</v>
      </c>
      <c r="W93" s="58"/>
      <c r="X93" s="157">
        <f t="shared" si="33"/>
        <v>43544</v>
      </c>
      <c r="Y93" s="385">
        <f t="shared" si="34"/>
        <v>50.011000000000003</v>
      </c>
      <c r="Z93" s="385">
        <f t="shared" si="35"/>
        <v>50.324160057622251</v>
      </c>
      <c r="AA93" s="386">
        <f t="shared" si="36"/>
        <v>51.145266218342961</v>
      </c>
      <c r="AB93" s="197">
        <f t="shared" si="37"/>
        <v>43544</v>
      </c>
      <c r="AC93" s="426">
        <f>IF(OR(t&lt;Tnet,NoTnet),'2018'!Resal_s+('2018'!Salim-'2018'!Resal_s)*(1-EXP(('2018'!Tnet_s-t)/'2018'!Tau_j)),Resal_s+(Salim-Resal_s)*(1-EXP((Tnet_s-t)/Tau_j)))*Salcycl</f>
        <v>1.6054392154600319E-2</v>
      </c>
      <c r="AD93" s="231">
        <f>(INDEX(Models!$BJ93:$BT93,,AH93)*(1-AF93)+INDEX(Models!$BJ93:$BT93,,AH93+1)*AF93-ERP_i)*AE93*Ramure*Pc/MaxiM</f>
        <v>5.4227523434240887E-7</v>
      </c>
      <c r="AE93" s="305">
        <f t="shared" si="38"/>
        <v>0.5</v>
      </c>
      <c r="AF93" s="177">
        <f t="shared" si="39"/>
        <v>0.5133470468096748</v>
      </c>
      <c r="AG93" s="176">
        <f t="shared" si="40"/>
        <v>-2</v>
      </c>
      <c r="AH93" s="176">
        <f t="shared" si="41"/>
        <v>4</v>
      </c>
      <c r="AI93" s="225">
        <f t="shared" si="42"/>
        <v>-1.4866529531903252</v>
      </c>
      <c r="AJ93" s="265" t="b">
        <f t="shared" si="43"/>
        <v>0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7">
        <v>50.234999999999999</v>
      </c>
      <c r="C94" s="390"/>
      <c r="D94" s="393">
        <f t="shared" si="24"/>
        <v>50.550669895503319</v>
      </c>
      <c r="E94" s="385">
        <f t="shared" si="46"/>
        <v>51.378091521918449</v>
      </c>
      <c r="F94" s="385">
        <f t="shared" si="25"/>
        <v>51.378117175877115</v>
      </c>
      <c r="G94" s="110">
        <f t="shared" si="47"/>
        <v>1.0016195560048196</v>
      </c>
      <c r="H94" s="414" t="b">
        <f>Wh_hp&gt;='2018'!Maxi_hp</f>
        <v>1</v>
      </c>
      <c r="I94" s="390">
        <f>IF(H94,Wh_hp,'2018'!Maxi_hp)</f>
        <v>51.378117175877115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6.244623387896997E-3</v>
      </c>
      <c r="M94" s="845"/>
      <c r="N94" s="845"/>
      <c r="O94" s="48">
        <f>IF(t&lt;Tnet,'2018'!Resal+('2018'!Salim-'2018'!Resal)*(1-EXP(('2018'!Tnet-t)/('2018'!Tau_j))),Resal+(Salim-Resal)*(1-EXP((Tnet-t)/(Tau_j))))*Salcycl</f>
        <v>1.6104561339382241E-2</v>
      </c>
      <c r="P94" s="169">
        <f>(INDEX(Models!$BJ94:$BT94,,T94)*(1-R94)+INDEX(Models!$BJ94:$BT94,,T94+1)*R94-ERP_i)*Q94*Ramure*Pc/MaxiM</f>
        <v>4.9931683135243907E-7</v>
      </c>
      <c r="Q94" s="305">
        <f t="shared" si="27"/>
        <v>0.5</v>
      </c>
      <c r="R94" s="177">
        <f t="shared" si="28"/>
        <v>0.51402154399937516</v>
      </c>
      <c r="S94" s="811">
        <f t="shared" si="29"/>
        <v>-2</v>
      </c>
      <c r="T94" s="176">
        <f t="shared" si="30"/>
        <v>4</v>
      </c>
      <c r="U94" s="251">
        <f t="shared" si="31"/>
        <v>-1.4859784560006248</v>
      </c>
      <c r="V94" s="383">
        <f t="shared" si="32"/>
        <v>50.153773155521613</v>
      </c>
      <c r="W94" s="58"/>
      <c r="X94" s="157">
        <f t="shared" si="33"/>
        <v>43545</v>
      </c>
      <c r="Y94" s="385">
        <f t="shared" si="34"/>
        <v>50.234999999999999</v>
      </c>
      <c r="Z94" s="385">
        <f t="shared" si="35"/>
        <v>50.550669895503319</v>
      </c>
      <c r="AA94" s="386">
        <f t="shared" si="36"/>
        <v>51.378091521918449</v>
      </c>
      <c r="AB94" s="197">
        <f t="shared" si="37"/>
        <v>43545</v>
      </c>
      <c r="AC94" s="426">
        <f>IF(OR(t&lt;Tnet,NoTnet),'2018'!Resal_s+('2018'!Salim-'2018'!Resal_s)*(1-EXP(('2018'!Tnet_s-t)/'2018'!Tau_j)),Resal_s+(Salim-Resal_s)*(1-EXP((Tnet_s-t)/Tau_j)))*Salcycl</f>
        <v>1.6104561339382241E-2</v>
      </c>
      <c r="AD94" s="231">
        <f>(INDEX(Models!$BJ94:$BT94,,AH94)*(1-AF94)+INDEX(Models!$BJ94:$BT94,,AH94+1)*AF94-ERP_i)*AE94*Ramure*Pc/MaxiM</f>
        <v>4.9931683135243907E-7</v>
      </c>
      <c r="AE94" s="305">
        <f t="shared" si="38"/>
        <v>0.5</v>
      </c>
      <c r="AF94" s="177">
        <f t="shared" si="39"/>
        <v>0.51402154399937516</v>
      </c>
      <c r="AG94" s="176">
        <f t="shared" si="40"/>
        <v>-2</v>
      </c>
      <c r="AH94" s="176">
        <f t="shared" si="41"/>
        <v>4</v>
      </c>
      <c r="AI94" s="225">
        <f t="shared" si="42"/>
        <v>-1.4859784560006248</v>
      </c>
      <c r="AJ94" s="265" t="b">
        <f t="shared" si="43"/>
        <v>0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7">
        <v>49.118000000000002</v>
      </c>
      <c r="C95" s="390"/>
      <c r="D95" s="393">
        <f t="shared" si="24"/>
        <v>49.427733413908776</v>
      </c>
      <c r="E95" s="385">
        <f t="shared" si="46"/>
        <v>50.239338795496522</v>
      </c>
      <c r="F95" s="385">
        <f t="shared" si="25"/>
        <v>50.23936086110939</v>
      </c>
      <c r="G95" s="110">
        <f t="shared" si="47"/>
        <v>0.972511671398544</v>
      </c>
      <c r="H95" s="414" t="b">
        <f>Wh_hp&gt;='2018'!Maxi_hp</f>
        <v>1</v>
      </c>
      <c r="I95" s="390">
        <f>IF(H95,Wh_hp,'2018'!Maxi_hp)</f>
        <v>50.23936086110939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6.2663891810507133E-3</v>
      </c>
      <c r="M95" s="845"/>
      <c r="N95" s="845"/>
      <c r="O95" s="48">
        <f>IF(t&lt;Tnet,'2018'!Resal+('2018'!Salim-'2018'!Resal)*(1-EXP(('2018'!Tnet-t)/('2018'!Tau_j))),Resal+(Salim-Resal)*(1-EXP((Tnet-t)/(Tau_j))))*Salcycl</f>
        <v>1.615477832802413E-2</v>
      </c>
      <c r="P95" s="169">
        <f>(INDEX(Models!$BJ95:$BT95,,T95)*(1-R95)+INDEX(Models!$BJ95:$BT95,,T95+1)*R95-ERP_i)*Q95*Ramure*Pc/MaxiM</f>
        <v>4.5716196581599875E-7</v>
      </c>
      <c r="Q95" s="305">
        <f t="shared" si="27"/>
        <v>0.5</v>
      </c>
      <c r="R95" s="177">
        <f t="shared" si="28"/>
        <v>0.51472234156054975</v>
      </c>
      <c r="S95" s="811">
        <f t="shared" si="29"/>
        <v>-2</v>
      </c>
      <c r="T95" s="176">
        <f t="shared" si="30"/>
        <v>4</v>
      </c>
      <c r="U95" s="251">
        <f t="shared" si="31"/>
        <v>-1.4852776584394503</v>
      </c>
      <c r="V95" s="383">
        <f t="shared" si="32"/>
        <v>50.506333818681249</v>
      </c>
      <c r="W95" s="58"/>
      <c r="X95" s="157">
        <f t="shared" si="33"/>
        <v>43546</v>
      </c>
      <c r="Y95" s="385">
        <f t="shared" si="34"/>
        <v>49.118000000000002</v>
      </c>
      <c r="Z95" s="385">
        <f t="shared" si="35"/>
        <v>49.427733413908776</v>
      </c>
      <c r="AA95" s="386">
        <f t="shared" si="36"/>
        <v>50.239338795496522</v>
      </c>
      <c r="AB95" s="197">
        <f t="shared" si="37"/>
        <v>43546</v>
      </c>
      <c r="AC95" s="426">
        <f>IF(OR(t&lt;Tnet,NoTnet),'2018'!Resal_s+('2018'!Salim-'2018'!Resal_s)*(1-EXP(('2018'!Tnet_s-t)/'2018'!Tau_j)),Resal_s+(Salim-Resal_s)*(1-EXP((Tnet_s-t)/Tau_j)))*Salcycl</f>
        <v>1.615477832802413E-2</v>
      </c>
      <c r="AD95" s="231">
        <f>(INDEX(Models!$BJ95:$BT95,,AH95)*(1-AF95)+INDEX(Models!$BJ95:$BT95,,AH95+1)*AF95-ERP_i)*AE95*Ramure*Pc/MaxiM</f>
        <v>4.5716196581599875E-7</v>
      </c>
      <c r="AE95" s="305">
        <f t="shared" si="38"/>
        <v>0.5</v>
      </c>
      <c r="AF95" s="177">
        <f t="shared" si="39"/>
        <v>0.51472234156054975</v>
      </c>
      <c r="AG95" s="176">
        <f t="shared" si="40"/>
        <v>-2</v>
      </c>
      <c r="AH95" s="176">
        <f t="shared" si="41"/>
        <v>4</v>
      </c>
      <c r="AI95" s="225">
        <f t="shared" si="42"/>
        <v>-1.4852776584394503</v>
      </c>
      <c r="AJ95" s="265" t="b">
        <f t="shared" si="43"/>
        <v>0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7">
        <v>46.238</v>
      </c>
      <c r="C96" s="390"/>
      <c r="D96" s="393">
        <f t="shared" si="24"/>
        <v>46.530591548516099</v>
      </c>
      <c r="E96" s="385">
        <f t="shared" si="46"/>
        <v>47.297042493708091</v>
      </c>
      <c r="F96" s="385">
        <f t="shared" si="25"/>
        <v>47.297059606763654</v>
      </c>
      <c r="G96" s="110">
        <f t="shared" si="47"/>
        <v>0.90913001424998974</v>
      </c>
      <c r="H96" s="414" t="b">
        <f>Wh_hp&gt;='2018'!Maxi_hp</f>
        <v>1</v>
      </c>
      <c r="I96" s="390">
        <f>IF(H96,Wh_hp,'2018'!Maxi_hp)</f>
        <v>47.297059606763654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6.2881544974777714E-3</v>
      </c>
      <c r="M96" s="845"/>
      <c r="N96" s="845"/>
      <c r="O96" s="48">
        <f>IF(t&lt;Tnet,'2018'!Resal+('2018'!Salim-'2018'!Resal)*(1-EXP(('2018'!Tnet-t)/('2018'!Tau_j))),Resal+(Salim-Resal)*(1-EXP((Tnet-t)/(Tau_j))))*Salcycl</f>
        <v>1.6205050142277931E-2</v>
      </c>
      <c r="P96" s="169">
        <f>(INDEX(Models!$BJ96:$BT96,,T96)*(1-R96)+INDEX(Models!$BJ96:$BT96,,T96+1)*R96-ERP_i)*Q96*Ramure*Pc/MaxiM</f>
        <v>4.1579706923120745E-7</v>
      </c>
      <c r="Q96" s="305">
        <f t="shared" si="27"/>
        <v>0.5</v>
      </c>
      <c r="R96" s="177">
        <f t="shared" si="28"/>
        <v>0.51545038126284437</v>
      </c>
      <c r="S96" s="811">
        <f t="shared" si="29"/>
        <v>-2</v>
      </c>
      <c r="T96" s="176">
        <f t="shared" si="30"/>
        <v>4</v>
      </c>
      <c r="U96" s="251">
        <f t="shared" si="31"/>
        <v>-1.4845496187371556</v>
      </c>
      <c r="V96" s="383">
        <f t="shared" si="32"/>
        <v>50.859609494232025</v>
      </c>
      <c r="W96" s="58"/>
      <c r="X96" s="157">
        <f t="shared" si="33"/>
        <v>43547</v>
      </c>
      <c r="Y96" s="385">
        <f t="shared" si="34"/>
        <v>46.238</v>
      </c>
      <c r="Z96" s="385">
        <f t="shared" si="35"/>
        <v>46.530591548516099</v>
      </c>
      <c r="AA96" s="386">
        <f t="shared" si="36"/>
        <v>47.297042493708091</v>
      </c>
      <c r="AB96" s="197">
        <f t="shared" si="37"/>
        <v>43547</v>
      </c>
      <c r="AC96" s="426">
        <f>IF(OR(t&lt;Tnet,NoTnet),'2018'!Resal_s+('2018'!Salim-'2018'!Resal_s)*(1-EXP(('2018'!Tnet_s-t)/'2018'!Tau_j)),Resal_s+(Salim-Resal_s)*(1-EXP((Tnet_s-t)/Tau_j)))*Salcycl</f>
        <v>1.6205050142277931E-2</v>
      </c>
      <c r="AD96" s="231">
        <f>(INDEX(Models!$BJ96:$BT96,,AH96)*(1-AF96)+INDEX(Models!$BJ96:$BT96,,AH96+1)*AF96-ERP_i)*AE96*Ramure*Pc/MaxiM</f>
        <v>4.1579706923120745E-7</v>
      </c>
      <c r="AE96" s="305">
        <f t="shared" si="38"/>
        <v>0.5</v>
      </c>
      <c r="AF96" s="177">
        <f t="shared" si="39"/>
        <v>0.51545038126284437</v>
      </c>
      <c r="AG96" s="176">
        <f t="shared" si="40"/>
        <v>-2</v>
      </c>
      <c r="AH96" s="176">
        <f t="shared" si="41"/>
        <v>4</v>
      </c>
      <c r="AI96" s="225">
        <f t="shared" si="42"/>
        <v>-1.4845496187371556</v>
      </c>
      <c r="AJ96" s="265" t="b">
        <f t="shared" si="43"/>
        <v>0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7">
        <v>50.338999999999999</v>
      </c>
      <c r="C97" s="390"/>
      <c r="D97" s="393">
        <f t="shared" si="24"/>
        <v>50.658652007900557</v>
      </c>
      <c r="E97" s="385">
        <f t="shared" si="46"/>
        <v>51.49573494918932</v>
      </c>
      <c r="F97" s="385">
        <f t="shared" si="25"/>
        <v>51.495753799818651</v>
      </c>
      <c r="G97" s="110">
        <f t="shared" si="47"/>
        <v>0.98294264692534905</v>
      </c>
      <c r="H97" s="414" t="b">
        <f>Wh_hp&gt;='2018'!Maxi_hp</f>
        <v>1</v>
      </c>
      <c r="I97" s="390">
        <f>IF(H97,Wh_hp,'2018'!Maxi_hp)</f>
        <v>51.495753799818651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6.3099193371884965E-3</v>
      </c>
      <c r="M97" s="845"/>
      <c r="N97" s="845"/>
      <c r="O97" s="48">
        <f>IF(t&lt;Tnet,'2018'!Resal+('2018'!Salim-'2018'!Resal)*(1-EXP(('2018'!Tnet-t)/('2018'!Tau_j))),Resal+(Salim-Resal)*(1-EXP((Tnet-t)/(Tau_j))))*Salcycl</f>
        <v>1.6255383909263697E-2</v>
      </c>
      <c r="P97" s="169">
        <f>(INDEX(Models!$BJ97:$BT97,,T97)*(1-R97)+INDEX(Models!$BJ97:$BT97,,T97+1)*R97-ERP_i)*Q97*Ramure*Pc/MaxiM</f>
        <v>3.7520466963668033E-7</v>
      </c>
      <c r="Q97" s="305">
        <f t="shared" si="27"/>
        <v>0.5</v>
      </c>
      <c r="R97" s="177">
        <f t="shared" si="28"/>
        <v>0.51620663171540415</v>
      </c>
      <c r="S97" s="811">
        <f t="shared" si="29"/>
        <v>-2</v>
      </c>
      <c r="T97" s="176">
        <f t="shared" si="30"/>
        <v>4</v>
      </c>
      <c r="U97" s="251">
        <f t="shared" si="31"/>
        <v>-1.4837933682845958</v>
      </c>
      <c r="V97" s="383">
        <f t="shared" si="32"/>
        <v>51.212550088470181</v>
      </c>
      <c r="W97" s="58"/>
      <c r="X97" s="157">
        <f t="shared" si="33"/>
        <v>43548</v>
      </c>
      <c r="Y97" s="385">
        <f t="shared" si="34"/>
        <v>50.338999999999999</v>
      </c>
      <c r="Z97" s="385">
        <f t="shared" si="35"/>
        <v>50.658652007900557</v>
      </c>
      <c r="AA97" s="386">
        <f t="shared" si="36"/>
        <v>51.49573494918932</v>
      </c>
      <c r="AB97" s="197">
        <f t="shared" si="37"/>
        <v>43548</v>
      </c>
      <c r="AC97" s="426">
        <f>IF(OR(t&lt;Tnet,NoTnet),'2018'!Resal_s+('2018'!Salim-'2018'!Resal_s)*(1-EXP(('2018'!Tnet_s-t)/'2018'!Tau_j)),Resal_s+(Salim-Resal_s)*(1-EXP((Tnet_s-t)/Tau_j)))*Salcycl</f>
        <v>1.6255383909263697E-2</v>
      </c>
      <c r="AD97" s="231">
        <f>(INDEX(Models!$BJ97:$BT97,,AH97)*(1-AF97)+INDEX(Models!$BJ97:$BT97,,AH97+1)*AF97-ERP_i)*AE97*Ramure*Pc/MaxiM</f>
        <v>3.7520466963668033E-7</v>
      </c>
      <c r="AE97" s="305">
        <f t="shared" si="38"/>
        <v>0.5</v>
      </c>
      <c r="AF97" s="177">
        <f t="shared" si="39"/>
        <v>0.51620663171540415</v>
      </c>
      <c r="AG97" s="176">
        <f t="shared" si="40"/>
        <v>-2</v>
      </c>
      <c r="AH97" s="176">
        <f t="shared" si="41"/>
        <v>4</v>
      </c>
      <c r="AI97" s="225">
        <f t="shared" si="42"/>
        <v>-1.4837933682845958</v>
      </c>
      <c r="AJ97" s="265" t="b">
        <f t="shared" si="43"/>
        <v>0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7">
        <v>43.801000000000002</v>
      </c>
      <c r="C98" s="390"/>
      <c r="D98" s="393">
        <f t="shared" si="24"/>
        <v>44.080101258642216</v>
      </c>
      <c r="E98" s="385">
        <f t="shared" si="46"/>
        <v>44.810776224019492</v>
      </c>
      <c r="F98" s="385">
        <f t="shared" si="25"/>
        <v>44.810788019802011</v>
      </c>
      <c r="G98" s="110">
        <f t="shared" si="47"/>
        <v>0.84944742399307016</v>
      </c>
      <c r="H98" s="414" t="b">
        <f>Wh_hp&gt;='2018'!Maxi_hp</f>
        <v>1</v>
      </c>
      <c r="I98" s="390">
        <f>IF(H98,Wh_hp,'2018'!Maxi_hp)</f>
        <v>44.810788019802011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6.3316837001933246E-3</v>
      </c>
      <c r="M98" s="845"/>
      <c r="N98" s="845"/>
      <c r="O98" s="48">
        <f>IF(t&lt;Tnet,'2018'!Resal+('2018'!Salim-'2018'!Resal)*(1-EXP(('2018'!Tnet-t)/('2018'!Tau_j))),Resal+(Salim-Resal)*(1-EXP((Tnet-t)/(Tau_j))))*Salcycl</f>
        <v>1.6305786842978665E-2</v>
      </c>
      <c r="P98" s="169">
        <f>(INDEX(Models!$BJ98:$BT98,,T98)*(1-R98)+INDEX(Models!$BJ98:$BT98,,T98+1)*R98-ERP_i)*Q98*Ramure*Pc/MaxiM</f>
        <v>3.353636792329535E-7</v>
      </c>
      <c r="Q98" s="305">
        <f t="shared" si="27"/>
        <v>0.5</v>
      </c>
      <c r="R98" s="177">
        <f t="shared" si="28"/>
        <v>0.51699208855065137</v>
      </c>
      <c r="S98" s="811">
        <f t="shared" si="29"/>
        <v>-2</v>
      </c>
      <c r="T98" s="176">
        <f t="shared" si="30"/>
        <v>4</v>
      </c>
      <c r="U98" s="251">
        <f t="shared" si="31"/>
        <v>-1.4830079114493486</v>
      </c>
      <c r="V98" s="383">
        <f t="shared" si="32"/>
        <v>51.564105798103654</v>
      </c>
      <c r="W98" s="58"/>
      <c r="X98" s="157">
        <f t="shared" si="33"/>
        <v>43549</v>
      </c>
      <c r="Y98" s="385">
        <f t="shared" si="34"/>
        <v>43.801000000000002</v>
      </c>
      <c r="Z98" s="385">
        <f t="shared" si="35"/>
        <v>44.080101258642216</v>
      </c>
      <c r="AA98" s="386">
        <f t="shared" si="36"/>
        <v>44.810776224019492</v>
      </c>
      <c r="AB98" s="197">
        <f t="shared" si="37"/>
        <v>43549</v>
      </c>
      <c r="AC98" s="426">
        <f>IF(OR(t&lt;Tnet,NoTnet),'2018'!Resal_s+('2018'!Salim-'2018'!Resal_s)*(1-EXP(('2018'!Tnet_s-t)/'2018'!Tau_j)),Resal_s+(Salim-Resal_s)*(1-EXP((Tnet_s-t)/Tau_j)))*Salcycl</f>
        <v>1.6305786842978665E-2</v>
      </c>
      <c r="AD98" s="231">
        <f>(INDEX(Models!$BJ98:$BT98,,AH98)*(1-AF98)+INDEX(Models!$BJ98:$BT98,,AH98+1)*AF98-ERP_i)*AE98*Ramure*Pc/MaxiM</f>
        <v>3.353636792329535E-7</v>
      </c>
      <c r="AE98" s="305">
        <f t="shared" si="38"/>
        <v>0.5</v>
      </c>
      <c r="AF98" s="177">
        <f t="shared" si="39"/>
        <v>0.51699208855065137</v>
      </c>
      <c r="AG98" s="176">
        <f t="shared" si="40"/>
        <v>-2</v>
      </c>
      <c r="AH98" s="176">
        <f t="shared" si="41"/>
        <v>4</v>
      </c>
      <c r="AI98" s="225">
        <f t="shared" si="42"/>
        <v>-1.4830079114493486</v>
      </c>
      <c r="AJ98" s="265" t="b">
        <f t="shared" si="43"/>
        <v>0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7">
        <v>53.691000000000003</v>
      </c>
      <c r="C99" s="390"/>
      <c r="D99" s="393">
        <f t="shared" si="24"/>
        <v>54.034304119093818</v>
      </c>
      <c r="E99" s="385">
        <f t="shared" si="46"/>
        <v>54.93279961412226</v>
      </c>
      <c r="F99" s="385">
        <f t="shared" si="25"/>
        <v>54.932815887950575</v>
      </c>
      <c r="G99" s="110">
        <f t="shared" si="47"/>
        <v>1.0342450852064793</v>
      </c>
      <c r="H99" s="414" t="b">
        <f>Wh_hp&gt;='2018'!Maxi_hp</f>
        <v>1</v>
      </c>
      <c r="I99" s="390">
        <f>IF(H99,Wh_hp,'2018'!Maxi_hp)</f>
        <v>54.932815887950575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6.3534475865028028E-3</v>
      </c>
      <c r="M99" s="845"/>
      <c r="N99" s="845"/>
      <c r="O99" s="48">
        <f>IF(t&lt;Tnet,'2018'!Resal+('2018'!Salim-'2018'!Resal)*(1-EXP(('2018'!Tnet-t)/('2018'!Tau_j))),Resal+(Salim-Resal)*(1-EXP((Tnet-t)/(Tau_j))))*Salcycl</f>
        <v>1.6356266226006413E-2</v>
      </c>
      <c r="P99" s="169">
        <f>(INDEX(Models!$BJ99:$BT99,,T99)*(1-R99)+INDEX(Models!$BJ99:$BT99,,T99+1)*R99-ERP_i)*Q99*Ramure*Pc/MaxiM</f>
        <v>2.9624966521754027E-7</v>
      </c>
      <c r="Q99" s="305">
        <f t="shared" si="27"/>
        <v>0.5</v>
      </c>
      <c r="R99" s="177">
        <f t="shared" si="28"/>
        <v>0.51780777455205507</v>
      </c>
      <c r="S99" s="811">
        <f t="shared" si="29"/>
        <v>-2</v>
      </c>
      <c r="T99" s="176">
        <f t="shared" si="30"/>
        <v>4</v>
      </c>
      <c r="U99" s="251">
        <f t="shared" si="31"/>
        <v>-1.4821922254479449</v>
      </c>
      <c r="V99" s="383">
        <f t="shared" si="32"/>
        <v>51.913227114133186</v>
      </c>
      <c r="W99" s="58"/>
      <c r="X99" s="157">
        <f t="shared" si="33"/>
        <v>43550</v>
      </c>
      <c r="Y99" s="385">
        <f t="shared" si="34"/>
        <v>53.691000000000003</v>
      </c>
      <c r="Z99" s="385">
        <f t="shared" si="35"/>
        <v>54.034304119093818</v>
      </c>
      <c r="AA99" s="386">
        <f t="shared" si="36"/>
        <v>54.93279961412226</v>
      </c>
      <c r="AB99" s="197">
        <f t="shared" si="37"/>
        <v>43550</v>
      </c>
      <c r="AC99" s="426">
        <f>IF(OR(t&lt;Tnet,NoTnet),'2018'!Resal_s+('2018'!Salim-'2018'!Resal_s)*(1-EXP(('2018'!Tnet_s-t)/'2018'!Tau_j)),Resal_s+(Salim-Resal_s)*(1-EXP((Tnet_s-t)/Tau_j)))*Salcycl</f>
        <v>1.6356266226006413E-2</v>
      </c>
      <c r="AD99" s="231">
        <f>(INDEX(Models!$BJ99:$BT99,,AH99)*(1-AF99)+INDEX(Models!$BJ99:$BT99,,AH99+1)*AF99-ERP_i)*AE99*Ramure*Pc/MaxiM</f>
        <v>2.9624966521754027E-7</v>
      </c>
      <c r="AE99" s="305">
        <f t="shared" si="38"/>
        <v>0.5</v>
      </c>
      <c r="AF99" s="177">
        <f t="shared" si="39"/>
        <v>0.51780777455205507</v>
      </c>
      <c r="AG99" s="176">
        <f t="shared" si="40"/>
        <v>-2</v>
      </c>
      <c r="AH99" s="176">
        <f t="shared" si="41"/>
        <v>4</v>
      </c>
      <c r="AI99" s="225">
        <f t="shared" si="42"/>
        <v>-1.4821922254479449</v>
      </c>
      <c r="AJ99" s="265" t="b">
        <f t="shared" si="43"/>
        <v>0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7">
        <v>52.947000000000003</v>
      </c>
      <c r="C100" s="390"/>
      <c r="D100" s="393">
        <f t="shared" si="24"/>
        <v>53.286714045329283</v>
      </c>
      <c r="E100" s="385">
        <f t="shared" si="46"/>
        <v>54.175563269073749</v>
      </c>
      <c r="F100" s="385">
        <f t="shared" si="25"/>
        <v>54.175577399192605</v>
      </c>
      <c r="G100" s="110">
        <f t="shared" si="47"/>
        <v>1.0131678201809107</v>
      </c>
      <c r="H100" s="414" t="b">
        <f>Wh_hp&gt;='2018'!Maxi_hp</f>
        <v>1</v>
      </c>
      <c r="I100" s="390">
        <f>IF(H100,Wh_hp,'2018'!Maxi_hp)</f>
        <v>54.175577399192605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6.3752109961273673E-3</v>
      </c>
      <c r="M100" s="845"/>
      <c r="N100" s="845"/>
      <c r="O100" s="48">
        <f>IF(t&lt;Tnet,'2018'!Resal+('2018'!Salim-'2018'!Resal)*(1-EXP(('2018'!Tnet-t)/('2018'!Tau_j))),Resal+(Salim-Resal)*(1-EXP((Tnet-t)/(Tau_j))))*Salcycl</f>
        <v>1.6406829391506599E-2</v>
      </c>
      <c r="P100" s="169">
        <f>(INDEX(Models!$BJ100:$BT100,,T100)*(1-R100)+INDEX(Models!$BJ100:$BT100,,T100+1)*R100-ERP_i)*Q100*Ramure*Pc/MaxiM</f>
        <v>2.6082082612175363E-7</v>
      </c>
      <c r="Q100" s="305">
        <f t="shared" si="27"/>
        <v>0.5</v>
      </c>
      <c r="R100" s="177">
        <f t="shared" si="28"/>
        <v>0.51865473972001963</v>
      </c>
      <c r="S100" s="811">
        <f t="shared" si="29"/>
        <v>-2</v>
      </c>
      <c r="T100" s="176">
        <f t="shared" si="30"/>
        <v>4</v>
      </c>
      <c r="U100" s="251">
        <f t="shared" si="31"/>
        <v>-1.4813452602799804</v>
      </c>
      <c r="V100" s="383">
        <f t="shared" si="32"/>
        <v>52.258864667203724</v>
      </c>
      <c r="W100" s="58"/>
      <c r="X100" s="157">
        <f t="shared" si="33"/>
        <v>43551</v>
      </c>
      <c r="Y100" s="385">
        <f t="shared" si="34"/>
        <v>52.947000000000003</v>
      </c>
      <c r="Z100" s="385">
        <f t="shared" si="35"/>
        <v>53.286714045329283</v>
      </c>
      <c r="AA100" s="386">
        <f t="shared" si="36"/>
        <v>54.175563269073749</v>
      </c>
      <c r="AB100" s="197">
        <f t="shared" si="37"/>
        <v>43551</v>
      </c>
      <c r="AC100" s="426">
        <f>IF(OR(t&lt;Tnet,NoTnet),'2018'!Resal_s+('2018'!Salim-'2018'!Resal_s)*(1-EXP(('2018'!Tnet_s-t)/'2018'!Tau_j)),Resal_s+(Salim-Resal_s)*(1-EXP((Tnet_s-t)/Tau_j)))*Salcycl</f>
        <v>1.6406829391506599E-2</v>
      </c>
      <c r="AD100" s="231">
        <f>(INDEX(Models!$BJ100:$BT100,,AH100)*(1-AF100)+INDEX(Models!$BJ100:$BT100,,AH100+1)*AF100-ERP_i)*AE100*Ramure*Pc/MaxiM</f>
        <v>2.6082082612175363E-7</v>
      </c>
      <c r="AE100" s="305">
        <f t="shared" si="38"/>
        <v>0.5</v>
      </c>
      <c r="AF100" s="177">
        <f t="shared" si="39"/>
        <v>0.51865473972001963</v>
      </c>
      <c r="AG100" s="176">
        <f t="shared" si="40"/>
        <v>-2</v>
      </c>
      <c r="AH100" s="176">
        <f t="shared" si="41"/>
        <v>4</v>
      </c>
      <c r="AI100" s="225">
        <f t="shared" si="42"/>
        <v>-1.4813452602799804</v>
      </c>
      <c r="AJ100" s="265" t="b">
        <f t="shared" si="43"/>
        <v>0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7">
        <v>51.72</v>
      </c>
      <c r="C101" s="390"/>
      <c r="D101" s="393">
        <f t="shared" si="24"/>
        <v>52.052981566008498</v>
      </c>
      <c r="E101" s="385">
        <f t="shared" si="46"/>
        <v>52.923977056041302</v>
      </c>
      <c r="F101" s="385">
        <f t="shared" si="25"/>
        <v>52.923988977147388</v>
      </c>
      <c r="G101" s="110">
        <f t="shared" si="47"/>
        <v>0.98327052770116996</v>
      </c>
      <c r="H101" s="414" t="b">
        <f>Wh_hp&gt;='2018'!Maxi_hp</f>
        <v>1</v>
      </c>
      <c r="I101" s="390">
        <f>IF(H101,Wh_hp,'2018'!Maxi_hp)</f>
        <v>52.923988977147388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6.3969739290773431E-3</v>
      </c>
      <c r="M101" s="845"/>
      <c r="N101" s="845"/>
      <c r="O101" s="48">
        <f>IF(t&lt;Tnet,'2018'!Resal+('2018'!Salim-'2018'!Resal)*(1-EXP(('2018'!Tnet-t)/('2018'!Tau_j))),Resal+(Salim-Resal)*(1-EXP((Tnet-t)/(Tau_j))))*Salcycl</f>
        <v>1.6457483705551858E-2</v>
      </c>
      <c r="P101" s="169">
        <f>(INDEX(Models!$BJ101:$BT101,,T101)*(1-R101)+INDEX(Models!$BJ101:$BT101,,T101+1)*R101-ERP_i)*Q101*Ramure*Pc/MaxiM</f>
        <v>2.3076467627009642E-7</v>
      </c>
      <c r="Q101" s="305">
        <f t="shared" si="27"/>
        <v>0.5</v>
      </c>
      <c r="R101" s="177">
        <f t="shared" si="28"/>
        <v>0.51953406126968393</v>
      </c>
      <c r="S101" s="811">
        <f t="shared" si="29"/>
        <v>-2</v>
      </c>
      <c r="T101" s="176">
        <f t="shared" si="30"/>
        <v>4</v>
      </c>
      <c r="U101" s="251">
        <f t="shared" si="31"/>
        <v>-1.4804659387303161</v>
      </c>
      <c r="V101" s="383">
        <f t="shared" si="32"/>
        <v>52.599969446534054</v>
      </c>
      <c r="W101" s="58"/>
      <c r="X101" s="157">
        <f t="shared" si="33"/>
        <v>43552</v>
      </c>
      <c r="Y101" s="385">
        <f t="shared" si="34"/>
        <v>51.72</v>
      </c>
      <c r="Z101" s="385">
        <f t="shared" si="35"/>
        <v>52.052981566008498</v>
      </c>
      <c r="AA101" s="386">
        <f t="shared" si="36"/>
        <v>52.923977056041302</v>
      </c>
      <c r="AB101" s="197">
        <f t="shared" si="37"/>
        <v>43552</v>
      </c>
      <c r="AC101" s="426">
        <f>IF(OR(t&lt;Tnet,NoTnet),'2018'!Resal_s+('2018'!Salim-'2018'!Resal_s)*(1-EXP(('2018'!Tnet_s-t)/'2018'!Tau_j)),Resal_s+(Salim-Resal_s)*(1-EXP((Tnet_s-t)/Tau_j)))*Salcycl</f>
        <v>1.6457483705551858E-2</v>
      </c>
      <c r="AD101" s="231">
        <f>(INDEX(Models!$BJ101:$BT101,,AH101)*(1-AF101)+INDEX(Models!$BJ101:$BT101,,AH101+1)*AF101-ERP_i)*AE101*Ramure*Pc/MaxiM</f>
        <v>2.3076467627009642E-7</v>
      </c>
      <c r="AE101" s="305">
        <f t="shared" si="38"/>
        <v>0.5</v>
      </c>
      <c r="AF101" s="177">
        <f t="shared" si="39"/>
        <v>0.51953406126968393</v>
      </c>
      <c r="AG101" s="176">
        <f t="shared" si="40"/>
        <v>-2</v>
      </c>
      <c r="AH101" s="176">
        <f t="shared" si="41"/>
        <v>4</v>
      </c>
      <c r="AI101" s="225">
        <f t="shared" si="42"/>
        <v>-1.4804659387303161</v>
      </c>
      <c r="AJ101" s="265" t="b">
        <f t="shared" si="43"/>
        <v>0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7">
        <v>53.125999999999998</v>
      </c>
      <c r="C102" s="390"/>
      <c r="D102" s="393">
        <f t="shared" si="24"/>
        <v>53.469204729896219</v>
      </c>
      <c r="E102" s="385">
        <f t="shared" si="46"/>
        <v>54.366703125528673</v>
      </c>
      <c r="F102" s="385">
        <f t="shared" si="25"/>
        <v>54.366714325293401</v>
      </c>
      <c r="G102" s="110">
        <f t="shared" si="47"/>
        <v>1.0035988550938348</v>
      </c>
      <c r="H102" s="414" t="b">
        <f>Wh_hp&gt;='2018'!Maxi_hp</f>
        <v>1</v>
      </c>
      <c r="I102" s="390">
        <f>IF(H102,Wh_hp,'2018'!Maxi_hp)</f>
        <v>54.366714325293401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6.4187363853632773E-3</v>
      </c>
      <c r="M102" s="845"/>
      <c r="N102" s="845"/>
      <c r="O102" s="48">
        <f>IF(t&lt;Tnet,'2018'!Resal+('2018'!Salim-'2018'!Resal)*(1-EXP(('2018'!Tnet-t)/('2018'!Tau_j))),Resal+(Salim-Resal)*(1-EXP((Tnet-t)/(Tau_j))))*Salcycl</f>
        <v>1.6508236549863838E-2</v>
      </c>
      <c r="P102" s="169">
        <f>(INDEX(Models!$BJ102:$BT102,,T102)*(1-R102)+INDEX(Models!$BJ102:$BT102,,T102+1)*R102-ERP_i)*Q102*Ramure*Pc/MaxiM</f>
        <v>2.0600407555288483E-7</v>
      </c>
      <c r="Q102" s="305">
        <f t="shared" si="27"/>
        <v>0.5</v>
      </c>
      <c r="R102" s="177">
        <f t="shared" si="28"/>
        <v>0.52044684355407034</v>
      </c>
      <c r="S102" s="811">
        <f t="shared" si="29"/>
        <v>-2</v>
      </c>
      <c r="T102" s="176">
        <f t="shared" si="30"/>
        <v>4</v>
      </c>
      <c r="U102" s="251">
        <f t="shared" si="31"/>
        <v>-1.4795531564459297</v>
      </c>
      <c r="V102" s="383">
        <f t="shared" si="32"/>
        <v>52.93549283197698</v>
      </c>
      <c r="W102" s="58"/>
      <c r="X102" s="157">
        <f t="shared" si="33"/>
        <v>43553</v>
      </c>
      <c r="Y102" s="385">
        <f t="shared" si="34"/>
        <v>53.125999999999998</v>
      </c>
      <c r="Z102" s="385">
        <f t="shared" si="35"/>
        <v>53.469204729896219</v>
      </c>
      <c r="AA102" s="386">
        <f t="shared" si="36"/>
        <v>54.366703125528673</v>
      </c>
      <c r="AB102" s="197">
        <f t="shared" si="37"/>
        <v>43553</v>
      </c>
      <c r="AC102" s="426">
        <f>IF(OR(t&lt;Tnet,NoTnet),'2018'!Resal_s+('2018'!Salim-'2018'!Resal_s)*(1-EXP(('2018'!Tnet_s-t)/'2018'!Tau_j)),Resal_s+(Salim-Resal_s)*(1-EXP((Tnet_s-t)/Tau_j)))*Salcycl</f>
        <v>1.6508236549863838E-2</v>
      </c>
      <c r="AD102" s="231">
        <f>(INDEX(Models!$BJ102:$BT102,,AH102)*(1-AF102)+INDEX(Models!$BJ102:$BT102,,AH102+1)*AF102-ERP_i)*AE102*Ramure*Pc/MaxiM</f>
        <v>2.0600407555288483E-7</v>
      </c>
      <c r="AE102" s="305">
        <f t="shared" si="38"/>
        <v>0.5</v>
      </c>
      <c r="AF102" s="177">
        <f t="shared" si="39"/>
        <v>0.52044684355407034</v>
      </c>
      <c r="AG102" s="176">
        <f t="shared" si="40"/>
        <v>-2</v>
      </c>
      <c r="AH102" s="176">
        <f t="shared" si="41"/>
        <v>4</v>
      </c>
      <c r="AI102" s="225">
        <f t="shared" si="42"/>
        <v>-1.4795531564459297</v>
      </c>
      <c r="AJ102" s="265" t="b">
        <f t="shared" si="43"/>
        <v>0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7">
        <v>54.213000000000001</v>
      </c>
      <c r="C103" s="390"/>
      <c r="D103" s="393">
        <f t="shared" si="24"/>
        <v>54.564422071136079</v>
      </c>
      <c r="E103" s="385">
        <f t="shared" si="46"/>
        <v>55.483173224381616</v>
      </c>
      <c r="F103" s="385">
        <f t="shared" si="25"/>
        <v>55.483183570295765</v>
      </c>
      <c r="G103" s="110">
        <f t="shared" si="47"/>
        <v>1.0178095263278013</v>
      </c>
      <c r="H103" s="414" t="b">
        <f>Wh_hp&gt;='2018'!Maxi_hp</f>
        <v>1</v>
      </c>
      <c r="I103" s="390">
        <f>IF(H103,Wh_hp,'2018'!Maxi_hp)</f>
        <v>55.483183570295765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6.440498364995495E-3</v>
      </c>
      <c r="M103" s="845"/>
      <c r="N103" s="845"/>
      <c r="O103" s="48">
        <f>IF(t&lt;Tnet,'2018'!Resal+('2018'!Salim-'2018'!Resal)*(1-EXP(('2018'!Tnet-t)/('2018'!Tau_j))),Resal+(Salim-Resal)*(1-EXP((Tnet-t)/(Tau_j))))*Salcycl</f>
        <v>1.6559095304985255E-2</v>
      </c>
      <c r="P103" s="169">
        <f>(INDEX(Models!$BJ103:$BT103,,T103)*(1-R103)+INDEX(Models!$BJ103:$BT103,,T103+1)*R103-ERP_i)*Q103*Ramure*Pc/MaxiM</f>
        <v>1.8646936749787597E-7</v>
      </c>
      <c r="Q103" s="305">
        <f t="shared" si="27"/>
        <v>0.5</v>
      </c>
      <c r="R103" s="177">
        <f t="shared" si="28"/>
        <v>0.52139421790568852</v>
      </c>
      <c r="S103" s="811">
        <f t="shared" si="29"/>
        <v>-2</v>
      </c>
      <c r="T103" s="176">
        <f t="shared" si="30"/>
        <v>4</v>
      </c>
      <c r="U103" s="251">
        <f t="shared" si="31"/>
        <v>-1.4786057820943115</v>
      </c>
      <c r="V103" s="383">
        <f t="shared" si="32"/>
        <v>53.264386506183939</v>
      </c>
      <c r="W103" s="58"/>
      <c r="X103" s="157">
        <f t="shared" si="33"/>
        <v>43554</v>
      </c>
      <c r="Y103" s="385">
        <f t="shared" si="34"/>
        <v>54.213000000000001</v>
      </c>
      <c r="Z103" s="385">
        <f t="shared" si="35"/>
        <v>54.564422071136079</v>
      </c>
      <c r="AA103" s="386">
        <f t="shared" si="36"/>
        <v>55.483173224381616</v>
      </c>
      <c r="AB103" s="197">
        <f t="shared" si="37"/>
        <v>43554</v>
      </c>
      <c r="AC103" s="426">
        <f>IF(OR(t&lt;Tnet,NoTnet),'2018'!Resal_s+('2018'!Salim-'2018'!Resal_s)*(1-EXP(('2018'!Tnet_s-t)/'2018'!Tau_j)),Resal_s+(Salim-Resal_s)*(1-EXP((Tnet_s-t)/Tau_j)))*Salcycl</f>
        <v>1.6559095304985255E-2</v>
      </c>
      <c r="AD103" s="231">
        <f>(INDEX(Models!$BJ103:$BT103,,AH103)*(1-AF103)+INDEX(Models!$BJ103:$BT103,,AH103+1)*AF103-ERP_i)*AE103*Ramure*Pc/MaxiM</f>
        <v>1.8646936749787597E-7</v>
      </c>
      <c r="AE103" s="305">
        <f t="shared" si="38"/>
        <v>0.5</v>
      </c>
      <c r="AF103" s="177">
        <f t="shared" si="39"/>
        <v>0.52139421790568852</v>
      </c>
      <c r="AG103" s="176">
        <f t="shared" si="40"/>
        <v>-2</v>
      </c>
      <c r="AH103" s="176">
        <f t="shared" si="41"/>
        <v>4</v>
      </c>
      <c r="AI103" s="225">
        <f t="shared" si="42"/>
        <v>-1.4786057820943115</v>
      </c>
      <c r="AJ103" s="265" t="b">
        <f t="shared" si="43"/>
        <v>0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7">
        <v>46.28</v>
      </c>
      <c r="C104" s="390"/>
      <c r="D104" s="393">
        <f t="shared" si="24"/>
        <v>46.581018647415029</v>
      </c>
      <c r="E104" s="385">
        <f t="shared" si="46"/>
        <v>47.36780101167826</v>
      </c>
      <c r="F104" s="385">
        <f t="shared" si="25"/>
        <v>47.367807575936794</v>
      </c>
      <c r="G104" s="110">
        <f t="shared" si="47"/>
        <v>0.8636647967149037</v>
      </c>
      <c r="H104" s="414" t="b">
        <f>Wh_hp&gt;='2018'!Maxi_hp</f>
        <v>1</v>
      </c>
      <c r="I104" s="390">
        <f>IF(H104,Wh_hp,'2018'!Maxi_hp)</f>
        <v>47.367807575936794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6.4622598679845433E-3</v>
      </c>
      <c r="M104" s="845"/>
      <c r="N104" s="845"/>
      <c r="O104" s="48">
        <f>IF(t&lt;Tnet,'2018'!Resal+('2018'!Salim-'2018'!Resal)*(1-EXP(('2018'!Tnet-t)/('2018'!Tau_j))),Resal+(Salim-Resal)*(1-EXP((Tnet-t)/(Tau_j))))*Salcycl</f>
        <v>1.661006733391017E-2</v>
      </c>
      <c r="P104" s="169">
        <f>(INDEX(Models!$BJ104:$BT104,,T104)*(1-R104)+INDEX(Models!$BJ104:$BT104,,T104+1)*R104-ERP_i)*Q104*Ramure*Pc/MaxiM</f>
        <v>1.7209945655951092E-7</v>
      </c>
      <c r="Q104" s="305">
        <f t="shared" si="27"/>
        <v>0.5</v>
      </c>
      <c r="R104" s="177">
        <f t="shared" si="28"/>
        <v>0.52237734238935296</v>
      </c>
      <c r="S104" s="811">
        <f t="shared" si="29"/>
        <v>-2</v>
      </c>
      <c r="T104" s="176">
        <f t="shared" si="30"/>
        <v>4</v>
      </c>
      <c r="U104" s="251">
        <f t="shared" si="31"/>
        <v>-1.477622657610647</v>
      </c>
      <c r="V104" s="383">
        <f t="shared" si="32"/>
        <v>53.58560245222489</v>
      </c>
      <c r="W104" s="58"/>
      <c r="X104" s="157">
        <f t="shared" si="33"/>
        <v>43555</v>
      </c>
      <c r="Y104" s="385">
        <f t="shared" si="34"/>
        <v>46.28</v>
      </c>
      <c r="Z104" s="385">
        <f t="shared" si="35"/>
        <v>46.581018647415029</v>
      </c>
      <c r="AA104" s="386">
        <f t="shared" si="36"/>
        <v>47.36780101167826</v>
      </c>
      <c r="AB104" s="197">
        <f t="shared" si="37"/>
        <v>43555</v>
      </c>
      <c r="AC104" s="426">
        <f>IF(OR(t&lt;Tnet,NoTnet),'2018'!Resal_s+('2018'!Salim-'2018'!Resal_s)*(1-EXP(('2018'!Tnet_s-t)/'2018'!Tau_j)),Resal_s+(Salim-Resal_s)*(1-EXP((Tnet_s-t)/Tau_j)))*Salcycl</f>
        <v>1.661006733391017E-2</v>
      </c>
      <c r="AD104" s="231">
        <f>(INDEX(Models!$BJ104:$BT104,,AH104)*(1-AF104)+INDEX(Models!$BJ104:$BT104,,AH104+1)*AF104-ERP_i)*AE104*Ramure*Pc/MaxiM</f>
        <v>1.7209945655951092E-7</v>
      </c>
      <c r="AE104" s="305">
        <f t="shared" si="38"/>
        <v>0.5</v>
      </c>
      <c r="AF104" s="177">
        <f t="shared" si="39"/>
        <v>0.52237734238935296</v>
      </c>
      <c r="AG104" s="176">
        <f t="shared" si="40"/>
        <v>-2</v>
      </c>
      <c r="AH104" s="176">
        <f t="shared" si="41"/>
        <v>4</v>
      </c>
      <c r="AI104" s="225">
        <f t="shared" si="42"/>
        <v>-1.477622657610647</v>
      </c>
      <c r="AJ104" s="265" t="b">
        <f t="shared" si="43"/>
        <v>0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7">
        <v>39.731000000000002</v>
      </c>
      <c r="C105" s="390"/>
      <c r="D105" s="393">
        <f t="shared" si="24"/>
        <v>39.990297927331738</v>
      </c>
      <c r="E105" s="385">
        <f t="shared" si="46"/>
        <v>40.667871845635943</v>
      </c>
      <c r="F105" s="385">
        <f t="shared" si="25"/>
        <v>40.667875981373648</v>
      </c>
      <c r="G105" s="110">
        <f t="shared" si="47"/>
        <v>0.73715034037342542</v>
      </c>
      <c r="H105" s="414" t="b">
        <f>Wh_hp&gt;='2018'!Maxi_hp</f>
        <v>1</v>
      </c>
      <c r="I105" s="390">
        <f>IF(H105,Wh_hp,'2018'!Maxi_hp)</f>
        <v>40.667875981373648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6.4840208943408584E-3</v>
      </c>
      <c r="M105" s="845"/>
      <c r="N105" s="845"/>
      <c r="O105" s="48">
        <f>IF(t&lt;Tnet,'2018'!Resal+('2018'!Salim-'2018'!Resal)*(1-EXP(('2018'!Tnet-t)/('2018'!Tau_j))),Resal+(Salim-Resal)*(1-EXP((Tnet-t)/(Tau_j))))*Salcycl</f>
        <v>1.6661159966179E-2</v>
      </c>
      <c r="P105" s="169">
        <f>(INDEX(Models!$BJ105:$BT105,,T105)*(1-R105)+INDEX(Models!$BJ105:$BT105,,T105+1)*R105-ERP_i)*Q105*Ramure*Pc/MaxiM</f>
        <v>1.6284284128150688E-7</v>
      </c>
      <c r="Q105" s="305">
        <f t="shared" si="27"/>
        <v>0.5</v>
      </c>
      <c r="R105" s="177">
        <f t="shared" si="28"/>
        <v>0.52339740145863822</v>
      </c>
      <c r="S105" s="811">
        <f t="shared" si="29"/>
        <v>-2</v>
      </c>
      <c r="T105" s="176">
        <f t="shared" si="30"/>
        <v>4</v>
      </c>
      <c r="U105" s="251">
        <f t="shared" si="31"/>
        <v>-1.4766025985413618</v>
      </c>
      <c r="V105" s="383">
        <f t="shared" si="32"/>
        <v>53.898092959470915</v>
      </c>
      <c r="W105" s="58"/>
      <c r="X105" s="157">
        <f t="shared" si="33"/>
        <v>43556</v>
      </c>
      <c r="Y105" s="385">
        <f t="shared" si="34"/>
        <v>39.731000000000002</v>
      </c>
      <c r="Z105" s="385">
        <f t="shared" si="35"/>
        <v>39.990297927331738</v>
      </c>
      <c r="AA105" s="386">
        <f t="shared" si="36"/>
        <v>40.667871845635943</v>
      </c>
      <c r="AB105" s="197">
        <f t="shared" si="37"/>
        <v>43556</v>
      </c>
      <c r="AC105" s="426">
        <f>IF(OR(t&lt;Tnet,NoTnet),'2018'!Resal_s+('2018'!Salim-'2018'!Resal_s)*(1-EXP(('2018'!Tnet_s-t)/'2018'!Tau_j)),Resal_s+(Salim-Resal_s)*(1-EXP((Tnet_s-t)/Tau_j)))*Salcycl</f>
        <v>1.6661159966179E-2</v>
      </c>
      <c r="AD105" s="231">
        <f>(INDEX(Models!$BJ105:$BT105,,AH105)*(1-AF105)+INDEX(Models!$BJ105:$BT105,,AH105+1)*AF105-ERP_i)*AE105*Ramure*Pc/MaxiM</f>
        <v>1.6284284128150688E-7</v>
      </c>
      <c r="AE105" s="305">
        <f t="shared" si="38"/>
        <v>0.5</v>
      </c>
      <c r="AF105" s="177">
        <f t="shared" si="39"/>
        <v>0.52339740145863822</v>
      </c>
      <c r="AG105" s="176">
        <f t="shared" si="40"/>
        <v>-2</v>
      </c>
      <c r="AH105" s="176">
        <f t="shared" si="41"/>
        <v>4</v>
      </c>
      <c r="AI105" s="225">
        <f t="shared" si="42"/>
        <v>-1.4766025985413618</v>
      </c>
      <c r="AJ105" s="265" t="b">
        <f t="shared" si="43"/>
        <v>0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7">
        <v>15.236000000000001</v>
      </c>
      <c r="C106" s="390"/>
      <c r="D106" s="393">
        <f t="shared" si="24"/>
        <v>15.335771175544433</v>
      </c>
      <c r="E106" s="385">
        <f t="shared" si="46"/>
        <v>15.596424556904962</v>
      </c>
      <c r="F106" s="385">
        <f t="shared" si="25"/>
        <v>15.596424556904962</v>
      </c>
      <c r="G106" s="110">
        <f t="shared" si="47"/>
        <v>0.28110276222134556</v>
      </c>
      <c r="H106" s="414" t="b">
        <f>Wh_hp&gt;='2018'!Maxi_hp</f>
        <v>1</v>
      </c>
      <c r="I106" s="390">
        <f>IF(H106,Wh_hp,'2018'!Maxi_hp)</f>
        <v>15.596424556904962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6.5057814440747652E-3</v>
      </c>
      <c r="M106" s="845"/>
      <c r="N106" s="845"/>
      <c r="O106" s="48">
        <f>IF(t&lt;Tnet,'2018'!Resal+('2018'!Salim-'2018'!Resal)*(1-EXP(('2018'!Tnet-t)/('2018'!Tau_j))),Resal+(Salim-Resal)*(1-EXP((Tnet-t)/(Tau_j))))*Salcycl</f>
        <v>1.6712380482431149E-2</v>
      </c>
      <c r="P106" s="169">
        <f>(INDEX(Models!$BJ106:$BT106,,T106)*(1-R106)+INDEX(Models!$BJ106:$BT106,,T106+1)*R106-ERP_i)*Q106*Ramure*Pc/MaxiM</f>
        <v>1.5865861341858022E-7</v>
      </c>
      <c r="Q106" s="305">
        <f t="shared" si="27"/>
        <v>0.5</v>
      </c>
      <c r="R106" s="177">
        <f t="shared" si="28"/>
        <v>0.52445560550807757</v>
      </c>
      <c r="S106" s="811">
        <f t="shared" si="29"/>
        <v>-2</v>
      </c>
      <c r="T106" s="176">
        <f t="shared" si="30"/>
        <v>4</v>
      </c>
      <c r="U106" s="251">
        <f t="shared" si="31"/>
        <v>-1.4755443944919224</v>
      </c>
      <c r="V106" s="383">
        <f t="shared" si="32"/>
        <v>54.200810629816075</v>
      </c>
      <c r="W106" s="58"/>
      <c r="X106" s="157">
        <f t="shared" si="33"/>
        <v>43557</v>
      </c>
      <c r="Y106" s="385">
        <f t="shared" si="34"/>
        <v>15.236000000000001</v>
      </c>
      <c r="Z106" s="385">
        <f t="shared" si="35"/>
        <v>15.335771175544433</v>
      </c>
      <c r="AA106" s="386">
        <f t="shared" si="36"/>
        <v>15.596424556904962</v>
      </c>
      <c r="AB106" s="197">
        <f t="shared" si="37"/>
        <v>43557</v>
      </c>
      <c r="AC106" s="426">
        <f>IF(OR(t&lt;Tnet,NoTnet),'2018'!Resal_s+('2018'!Salim-'2018'!Resal_s)*(1-EXP(('2018'!Tnet_s-t)/'2018'!Tau_j)),Resal_s+(Salim-Resal_s)*(1-EXP((Tnet_s-t)/Tau_j)))*Salcycl</f>
        <v>1.6712380482431149E-2</v>
      </c>
      <c r="AD106" s="231">
        <f>(INDEX(Models!$BJ106:$BT106,,AH106)*(1-AF106)+INDEX(Models!$BJ106:$BT106,,AH106+1)*AF106-ERP_i)*AE106*Ramure*Pc/MaxiM</f>
        <v>1.5865861341858022E-7</v>
      </c>
      <c r="AE106" s="305">
        <f t="shared" si="38"/>
        <v>0.5</v>
      </c>
      <c r="AF106" s="177">
        <f t="shared" si="39"/>
        <v>0.52445560550807757</v>
      </c>
      <c r="AG106" s="176">
        <f t="shared" si="40"/>
        <v>-2</v>
      </c>
      <c r="AH106" s="176">
        <f t="shared" si="41"/>
        <v>4</v>
      </c>
      <c r="AI106" s="225">
        <f t="shared" si="42"/>
        <v>-1.4755443944919224</v>
      </c>
      <c r="AJ106" s="265" t="b">
        <f t="shared" si="43"/>
        <v>0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7">
        <v>15.61</v>
      </c>
      <c r="C107" s="390"/>
      <c r="D107" s="393">
        <f t="shared" si="24"/>
        <v>15.712564416570794</v>
      </c>
      <c r="E107" s="385">
        <f t="shared" si="46"/>
        <v>15.980456573313637</v>
      </c>
      <c r="F107" s="385">
        <f t="shared" si="25"/>
        <v>15.980456573313637</v>
      </c>
      <c r="G107" s="110">
        <f t="shared" si="47"/>
        <v>0.28644532235085796</v>
      </c>
      <c r="H107" s="414" t="b">
        <f>Wh_hp&gt;='2018'!Maxi_hp</f>
        <v>1</v>
      </c>
      <c r="I107" s="390">
        <f>IF(H107,Wh_hp,'2018'!Maxi_hp)</f>
        <v>15.980456573313637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6.527541517196811E-3</v>
      </c>
      <c r="M107" s="845"/>
      <c r="N107" s="845"/>
      <c r="O107" s="48">
        <f>IF(t&lt;Tnet,'2018'!Resal+('2018'!Salim-'2018'!Resal)*(1-EXP(('2018'!Tnet-t)/('2018'!Tau_j))),Resal+(Salim-Resal)*(1-EXP((Tnet-t)/(Tau_j))))*Salcycl</f>
        <v>1.6763736099393162E-2</v>
      </c>
      <c r="P107" s="169">
        <f>(INDEX(Models!$BJ107:$BT107,,T107)*(1-R107)+INDEX(Models!$BJ107:$BT107,,T107+1)*R107-ERP_i)*Q107*Ramure*Pc/MaxiM</f>
        <v>1.5950909401810366E-7</v>
      </c>
      <c r="Q107" s="305">
        <f t="shared" si="27"/>
        <v>0.5</v>
      </c>
      <c r="R107" s="177">
        <f t="shared" si="28"/>
        <v>0.52555319031289116</v>
      </c>
      <c r="S107" s="811">
        <f t="shared" si="29"/>
        <v>-2</v>
      </c>
      <c r="T107" s="176">
        <f t="shared" si="30"/>
        <v>4</v>
      </c>
      <c r="U107" s="251">
        <f t="shared" si="31"/>
        <v>-1.4744468096871088</v>
      </c>
      <c r="V107" s="383">
        <f t="shared" si="32"/>
        <v>54.495557413721151</v>
      </c>
      <c r="W107" s="58"/>
      <c r="X107" s="157">
        <f t="shared" si="33"/>
        <v>43558</v>
      </c>
      <c r="Y107" s="385">
        <f t="shared" si="34"/>
        <v>15.61</v>
      </c>
      <c r="Z107" s="385">
        <f t="shared" si="35"/>
        <v>15.712564416570794</v>
      </c>
      <c r="AA107" s="386">
        <f t="shared" si="36"/>
        <v>15.980456573313637</v>
      </c>
      <c r="AB107" s="197">
        <f t="shared" si="37"/>
        <v>43558</v>
      </c>
      <c r="AC107" s="426">
        <f>IF(OR(t&lt;Tnet,NoTnet),'2018'!Resal_s+('2018'!Salim-'2018'!Resal_s)*(1-EXP(('2018'!Tnet_s-t)/'2018'!Tau_j)),Resal_s+(Salim-Resal_s)*(1-EXP((Tnet_s-t)/Tau_j)))*Salcycl</f>
        <v>1.6763736099393162E-2</v>
      </c>
      <c r="AD107" s="231">
        <f>(INDEX(Models!$BJ107:$BT107,,AH107)*(1-AF107)+INDEX(Models!$BJ107:$BT107,,AH107+1)*AF107-ERP_i)*AE107*Ramure*Pc/MaxiM</f>
        <v>1.5950909401810366E-7</v>
      </c>
      <c r="AE107" s="305">
        <f t="shared" si="38"/>
        <v>0.5</v>
      </c>
      <c r="AF107" s="177">
        <f t="shared" si="39"/>
        <v>0.52555319031289116</v>
      </c>
      <c r="AG107" s="176">
        <f t="shared" si="40"/>
        <v>-2</v>
      </c>
      <c r="AH107" s="176">
        <f t="shared" si="41"/>
        <v>4</v>
      </c>
      <c r="AI107" s="225">
        <f t="shared" si="42"/>
        <v>-1.4744468096871088</v>
      </c>
      <c r="AJ107" s="265" t="b">
        <f t="shared" si="43"/>
        <v>0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7">
        <v>39.783999999999999</v>
      </c>
      <c r="C108" s="390"/>
      <c r="D108" s="393">
        <f t="shared" si="24"/>
        <v>40.046275114205706</v>
      </c>
      <c r="E108" s="385">
        <f t="shared" si="46"/>
        <v>40.731179425519805</v>
      </c>
      <c r="F108" s="385">
        <f t="shared" si="25"/>
        <v>40.73118366689544</v>
      </c>
      <c r="G108" s="110">
        <f t="shared" si="47"/>
        <v>0.72618725930877093</v>
      </c>
      <c r="H108" s="414" t="b">
        <f>Wh_hp&gt;='2018'!Maxi_hp</f>
        <v>1</v>
      </c>
      <c r="I108" s="390">
        <f>IF(H108,Wh_hp,'2018'!Maxi_hp)</f>
        <v>40.73118366689544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6.5493011137175428E-3</v>
      </c>
      <c r="M108" s="845"/>
      <c r="N108" s="845"/>
      <c r="O108" s="48">
        <f>IF(t&lt;Tnet,'2018'!Resal+('2018'!Salim-'2018'!Resal)*(1-EXP(('2018'!Tnet-t)/('2018'!Tau_j))),Resal+(Salim-Resal)*(1-EXP((Tnet-t)/(Tau_j))))*Salcycl</f>
        <v>1.6815233955267683E-2</v>
      </c>
      <c r="P108" s="169">
        <f>(INDEX(Models!$BJ108:$BT108,,T108)*(1-R108)+INDEX(Models!$BJ108:$BT108,,T108+1)*R108-ERP_i)*Q108*Ramure*Pc/MaxiM</f>
        <v>1.7103194479057452E-7</v>
      </c>
      <c r="Q108" s="305">
        <f t="shared" si="27"/>
        <v>0.5</v>
      </c>
      <c r="R108" s="177">
        <f t="shared" si="28"/>
        <v>0.52669141634774364</v>
      </c>
      <c r="S108" s="811">
        <f t="shared" si="29"/>
        <v>-2</v>
      </c>
      <c r="T108" s="176">
        <f t="shared" si="30"/>
        <v>4</v>
      </c>
      <c r="U108" s="251">
        <f t="shared" si="31"/>
        <v>-1.4733085836522564</v>
      </c>
      <c r="V108" s="383">
        <f t="shared" si="32"/>
        <v>54.78476361080498</v>
      </c>
      <c r="W108" s="58"/>
      <c r="X108" s="157">
        <f t="shared" si="33"/>
        <v>43559</v>
      </c>
      <c r="Y108" s="385">
        <f t="shared" si="34"/>
        <v>39.783999999999999</v>
      </c>
      <c r="Z108" s="385">
        <f t="shared" si="35"/>
        <v>40.046275114205706</v>
      </c>
      <c r="AA108" s="386">
        <f t="shared" si="36"/>
        <v>40.731179425519805</v>
      </c>
      <c r="AB108" s="197">
        <f t="shared" si="37"/>
        <v>43559</v>
      </c>
      <c r="AC108" s="426">
        <f>IF(OR(t&lt;Tnet,NoTnet),'2018'!Resal_s+('2018'!Salim-'2018'!Resal_s)*(1-EXP(('2018'!Tnet_s-t)/'2018'!Tau_j)),Resal_s+(Salim-Resal_s)*(1-EXP((Tnet_s-t)/Tau_j)))*Salcycl</f>
        <v>1.6815233955267683E-2</v>
      </c>
      <c r="AD108" s="231">
        <f>(INDEX(Models!$BJ108:$BT108,,AH108)*(1-AF108)+INDEX(Models!$BJ108:$BT108,,AH108+1)*AF108-ERP_i)*AE108*Ramure*Pc/MaxiM</f>
        <v>1.7103194479057452E-7</v>
      </c>
      <c r="AE108" s="305">
        <f t="shared" si="38"/>
        <v>0.5</v>
      </c>
      <c r="AF108" s="177">
        <f t="shared" si="39"/>
        <v>0.52669141634774364</v>
      </c>
      <c r="AG108" s="176">
        <f t="shared" si="40"/>
        <v>-2</v>
      </c>
      <c r="AH108" s="176">
        <f t="shared" si="41"/>
        <v>4</v>
      </c>
      <c r="AI108" s="225">
        <f t="shared" si="42"/>
        <v>-1.4733085836522564</v>
      </c>
      <c r="AJ108" s="265" t="b">
        <f t="shared" si="43"/>
        <v>0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7">
        <v>51.651000000000003</v>
      </c>
      <c r="C109" s="390"/>
      <c r="D109" s="393">
        <f t="shared" si="24"/>
        <v>51.992646813921013</v>
      </c>
      <c r="E109" s="385">
        <f t="shared" si="46"/>
        <v>52.884645847202137</v>
      </c>
      <c r="F109" s="385">
        <f t="shared" si="25"/>
        <v>52.884655061157446</v>
      </c>
      <c r="G109" s="110">
        <f t="shared" si="47"/>
        <v>0.93794388993105027</v>
      </c>
      <c r="H109" s="414" t="b">
        <f>Wh_hp&gt;='2018'!Maxi_hp</f>
        <v>1</v>
      </c>
      <c r="I109" s="390">
        <f>IF(H109,Wh_hp,'2018'!Maxi_hp)</f>
        <v>52.884655061157446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6.5710602336470636E-3</v>
      </c>
      <c r="M109" s="845"/>
      <c r="N109" s="845"/>
      <c r="O109" s="48">
        <f>IF(t&lt;Tnet,'2018'!Resal+('2018'!Salim-'2018'!Resal)*(1-EXP(('2018'!Tnet-t)/('2018'!Tau_j))),Resal+(Salim-Resal)*(1-EXP((Tnet-t)/(Tau_j))))*Salcycl</f>
        <v>1.6866881095476193E-2</v>
      </c>
      <c r="P109" s="169">
        <f>(INDEX(Models!$BJ109:$BT109,,T109)*(1-R109)+INDEX(Models!$BJ109:$BT109,,T109+1)*R109-ERP_i)*Q109*Ramure*Pc/MaxiM</f>
        <v>1.9117538453157565E-7</v>
      </c>
      <c r="Q109" s="305">
        <f t="shared" si="27"/>
        <v>0.5</v>
      </c>
      <c r="R109" s="177">
        <f t="shared" si="28"/>
        <v>0.5278715679757624</v>
      </c>
      <c r="S109" s="811">
        <f t="shared" si="29"/>
        <v>-2</v>
      </c>
      <c r="T109" s="176">
        <f t="shared" si="30"/>
        <v>4</v>
      </c>
      <c r="U109" s="251">
        <f t="shared" si="31"/>
        <v>-1.4721284320242376</v>
      </c>
      <c r="V109" s="383">
        <f t="shared" si="32"/>
        <v>55.068325172858486</v>
      </c>
      <c r="W109" s="58"/>
      <c r="X109" s="157">
        <f t="shared" si="33"/>
        <v>43560</v>
      </c>
      <c r="Y109" s="385">
        <f t="shared" si="34"/>
        <v>51.651000000000003</v>
      </c>
      <c r="Z109" s="385">
        <f t="shared" si="35"/>
        <v>51.992646813921013</v>
      </c>
      <c r="AA109" s="386">
        <f t="shared" si="36"/>
        <v>52.884645847202137</v>
      </c>
      <c r="AB109" s="197">
        <f t="shared" si="37"/>
        <v>43560</v>
      </c>
      <c r="AC109" s="426">
        <f>IF(OR(t&lt;Tnet,NoTnet),'2018'!Resal_s+('2018'!Salim-'2018'!Resal_s)*(1-EXP(('2018'!Tnet_s-t)/'2018'!Tau_j)),Resal_s+(Salim-Resal_s)*(1-EXP((Tnet_s-t)/Tau_j)))*Salcycl</f>
        <v>1.6866881095476193E-2</v>
      </c>
      <c r="AD109" s="231">
        <f>(INDEX(Models!$BJ109:$BT109,,AH109)*(1-AF109)+INDEX(Models!$BJ109:$BT109,,AH109+1)*AF109-ERP_i)*AE109*Ramure*Pc/MaxiM</f>
        <v>1.9117538453157565E-7</v>
      </c>
      <c r="AE109" s="305">
        <f t="shared" si="38"/>
        <v>0.5</v>
      </c>
      <c r="AF109" s="177">
        <f t="shared" si="39"/>
        <v>0.5278715679757624</v>
      </c>
      <c r="AG109" s="176">
        <f t="shared" si="40"/>
        <v>-2</v>
      </c>
      <c r="AH109" s="176">
        <f t="shared" si="41"/>
        <v>4</v>
      </c>
      <c r="AI109" s="225">
        <f t="shared" si="42"/>
        <v>-1.4721284320242376</v>
      </c>
      <c r="AJ109" s="265" t="b">
        <f t="shared" si="43"/>
        <v>0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7">
        <v>19.648</v>
      </c>
      <c r="C110" s="390"/>
      <c r="D110" s="393">
        <f t="shared" si="24"/>
        <v>19.778395378407456</v>
      </c>
      <c r="E110" s="385">
        <f t="shared" si="46"/>
        <v>20.118778646013741</v>
      </c>
      <c r="F110" s="385">
        <f t="shared" si="25"/>
        <v>20.118778993698847</v>
      </c>
      <c r="G110" s="110">
        <f t="shared" si="47"/>
        <v>0.35500211464416287</v>
      </c>
      <c r="H110" s="414" t="b">
        <f>Wh_hp&gt;='2018'!Maxi_hp</f>
        <v>1</v>
      </c>
      <c r="I110" s="390">
        <f>IF(H110,Wh_hp,'2018'!Maxi_hp)</f>
        <v>20.118778993698847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6.5928188769961427E-3</v>
      </c>
      <c r="M110" s="845"/>
      <c r="N110" s="845"/>
      <c r="O110" s="48">
        <f>IF(t&lt;Tnet,'2018'!Resal+('2018'!Salim-'2018'!Resal)*(1-EXP(('2018'!Tnet-t)/('2018'!Tau_j))),Resal+(Salim-Resal)*(1-EXP((Tnet-t)/(Tau_j))))*Salcycl</f>
        <v>1.691868445869725E-2</v>
      </c>
      <c r="P110" s="169">
        <f>(INDEX(Models!$BJ110:$BT110,,T110)*(1-R110)+INDEX(Models!$BJ110:$BT110,,T110+1)*R110-ERP_i)*Q110*Ramure*Pc/MaxiM</f>
        <v>2.1993915445867684E-7</v>
      </c>
      <c r="Q110" s="305">
        <f t="shared" si="27"/>
        <v>0.5</v>
      </c>
      <c r="R110" s="177">
        <f t="shared" si="28"/>
        <v>0.52909495249880267</v>
      </c>
      <c r="S110" s="811">
        <f t="shared" si="29"/>
        <v>-2</v>
      </c>
      <c r="T110" s="176">
        <f t="shared" si="30"/>
        <v>4</v>
      </c>
      <c r="U110" s="251">
        <f t="shared" si="31"/>
        <v>-1.4709050475011973</v>
      </c>
      <c r="V110" s="383">
        <f t="shared" si="32"/>
        <v>55.346137974076342</v>
      </c>
      <c r="W110" s="58"/>
      <c r="X110" s="157">
        <f t="shared" si="33"/>
        <v>43561</v>
      </c>
      <c r="Y110" s="385">
        <f t="shared" si="34"/>
        <v>19.648</v>
      </c>
      <c r="Z110" s="385">
        <f t="shared" si="35"/>
        <v>19.778395378407456</v>
      </c>
      <c r="AA110" s="386">
        <f t="shared" si="36"/>
        <v>20.118778646013741</v>
      </c>
      <c r="AB110" s="197">
        <f t="shared" si="37"/>
        <v>43561</v>
      </c>
      <c r="AC110" s="426">
        <f>IF(OR(t&lt;Tnet,NoTnet),'2018'!Resal_s+('2018'!Salim-'2018'!Resal_s)*(1-EXP(('2018'!Tnet_s-t)/'2018'!Tau_j)),Resal_s+(Salim-Resal_s)*(1-EXP((Tnet_s-t)/Tau_j)))*Salcycl</f>
        <v>1.691868445869725E-2</v>
      </c>
      <c r="AD110" s="231">
        <f>(INDEX(Models!$BJ110:$BT110,,AH110)*(1-AF110)+INDEX(Models!$BJ110:$BT110,,AH110+1)*AF110-ERP_i)*AE110*Ramure*Pc/MaxiM</f>
        <v>2.1993915445867684E-7</v>
      </c>
      <c r="AE110" s="305">
        <f t="shared" si="38"/>
        <v>0.5</v>
      </c>
      <c r="AF110" s="177">
        <f t="shared" si="39"/>
        <v>0.52909495249880267</v>
      </c>
      <c r="AG110" s="176">
        <f t="shared" si="40"/>
        <v>-2</v>
      </c>
      <c r="AH110" s="176">
        <f t="shared" si="41"/>
        <v>4</v>
      </c>
      <c r="AI110" s="225">
        <f t="shared" si="42"/>
        <v>-1.4709050475011973</v>
      </c>
      <c r="AJ110" s="265" t="b">
        <f t="shared" si="43"/>
        <v>0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7">
        <v>34.701000000000001</v>
      </c>
      <c r="C111" s="390"/>
      <c r="D111" s="393">
        <f t="shared" si="24"/>
        <v>34.932060807509103</v>
      </c>
      <c r="E111" s="385">
        <f t="shared" si="46"/>
        <v>35.535114834750985</v>
      </c>
      <c r="F111" s="385">
        <f t="shared" si="25"/>
        <v>35.535119066308624</v>
      </c>
      <c r="G111" s="110">
        <f t="shared" si="47"/>
        <v>0.62391553287999479</v>
      </c>
      <c r="H111" s="414" t="b">
        <f>Wh_hp&gt;='2018'!Maxi_hp</f>
        <v>1</v>
      </c>
      <c r="I111" s="390">
        <f>IF(H111,Wh_hp,'2018'!Maxi_hp)</f>
        <v>35.535119066308624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6.614577043775105E-3</v>
      </c>
      <c r="M111" s="845"/>
      <c r="N111" s="845"/>
      <c r="O111" s="48">
        <f>IF(t&lt;Tnet,'2018'!Resal+('2018'!Salim-'2018'!Resal)*(1-EXP(('2018'!Tnet-t)/('2018'!Tau_j))),Resal+(Salim-Resal)*(1-EXP((Tnet-t)/(Tau_j))))*Salcycl</f>
        <v>1.6970650863132684E-2</v>
      </c>
      <c r="P111" s="169">
        <f>(INDEX(Models!$BJ111:$BT111,,T111)*(1-R111)+INDEX(Models!$BJ111:$BT111,,T111+1)*R111-ERP_i)*Q111*Ramure*Pc/MaxiM</f>
        <v>2.5734079340317907E-7</v>
      </c>
      <c r="Q111" s="305">
        <f t="shared" si="27"/>
        <v>0.5</v>
      </c>
      <c r="R111" s="177">
        <f t="shared" si="28"/>
        <v>0.53036289905975176</v>
      </c>
      <c r="S111" s="811">
        <f t="shared" si="29"/>
        <v>-2</v>
      </c>
      <c r="T111" s="176">
        <f t="shared" si="30"/>
        <v>4</v>
      </c>
      <c r="U111" s="251">
        <f t="shared" si="31"/>
        <v>-1.4696371009402482</v>
      </c>
      <c r="V111" s="383">
        <f t="shared" si="32"/>
        <v>55.618097921150671</v>
      </c>
      <c r="W111" s="58"/>
      <c r="X111" s="157">
        <f t="shared" si="33"/>
        <v>43562</v>
      </c>
      <c r="Y111" s="385">
        <f t="shared" si="34"/>
        <v>34.701000000000001</v>
      </c>
      <c r="Z111" s="385">
        <f t="shared" si="35"/>
        <v>34.932060807509103</v>
      </c>
      <c r="AA111" s="386">
        <f t="shared" si="36"/>
        <v>35.535114834750985</v>
      </c>
      <c r="AB111" s="197">
        <f t="shared" si="37"/>
        <v>43562</v>
      </c>
      <c r="AC111" s="426">
        <f>IF(OR(t&lt;Tnet,NoTnet),'2018'!Resal_s+('2018'!Salim-'2018'!Resal_s)*(1-EXP(('2018'!Tnet_s-t)/'2018'!Tau_j)),Resal_s+(Salim-Resal_s)*(1-EXP((Tnet_s-t)/Tau_j)))*Salcycl</f>
        <v>1.6970650863132684E-2</v>
      </c>
      <c r="AD111" s="231">
        <f>(INDEX(Models!$BJ111:$BT111,,AH111)*(1-AF111)+INDEX(Models!$BJ111:$BT111,,AH111+1)*AF111-ERP_i)*AE111*Ramure*Pc/MaxiM</f>
        <v>2.5734079340317907E-7</v>
      </c>
      <c r="AE111" s="305">
        <f t="shared" si="38"/>
        <v>0.5</v>
      </c>
      <c r="AF111" s="177">
        <f t="shared" si="39"/>
        <v>0.53036289905975176</v>
      </c>
      <c r="AG111" s="176">
        <f t="shared" si="40"/>
        <v>-2</v>
      </c>
      <c r="AH111" s="176">
        <f t="shared" si="41"/>
        <v>4</v>
      </c>
      <c r="AI111" s="225">
        <f t="shared" si="42"/>
        <v>-1.4696371009402482</v>
      </c>
      <c r="AJ111" s="265" t="b">
        <f t="shared" si="43"/>
        <v>0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7">
        <v>35.953000000000003</v>
      </c>
      <c r="C112" s="390"/>
      <c r="D112" s="393">
        <f t="shared" si="24"/>
        <v>36.193190124758999</v>
      </c>
      <c r="E112" s="385">
        <f t="shared" si="46"/>
        <v>36.819968607449844</v>
      </c>
      <c r="F112" s="385">
        <f t="shared" si="25"/>
        <v>36.819974087192534</v>
      </c>
      <c r="G112" s="110">
        <f t="shared" si="47"/>
        <v>0.64334925003087928</v>
      </c>
      <c r="H112" s="414" t="b">
        <f>Wh_hp&gt;='2018'!Maxi_hp</f>
        <v>1</v>
      </c>
      <c r="I112" s="390">
        <f>IF(H112,Wh_hp,'2018'!Maxi_hp)</f>
        <v>36.819974087192534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6.6363347339942758E-3</v>
      </c>
      <c r="M112" s="845"/>
      <c r="N112" s="845"/>
      <c r="O112" s="48">
        <f>IF(t&lt;Tnet,'2018'!Resal+('2018'!Salim-'2018'!Resal)*(1-EXP(('2018'!Tnet-t)/('2018'!Tau_j))),Resal+(Salim-Resal)*(1-EXP((Tnet-t)/(Tau_j))))*Salcycl</f>
        <v>1.7022786992926E-2</v>
      </c>
      <c r="P112" s="169">
        <f>(INDEX(Models!$BJ112:$BT112,,T112)*(1-R112)+INDEX(Models!$BJ112:$BT112,,T112+1)*R112-ERP_i)*Q112*Ramure*Pc/MaxiM</f>
        <v>3.0341601389812326E-7</v>
      </c>
      <c r="Q112" s="305">
        <f t="shared" si="27"/>
        <v>0.5</v>
      </c>
      <c r="R112" s="177">
        <f t="shared" si="28"/>
        <v>0.5316767573874952</v>
      </c>
      <c r="S112" s="811">
        <f t="shared" si="29"/>
        <v>-2</v>
      </c>
      <c r="T112" s="176">
        <f t="shared" si="30"/>
        <v>4</v>
      </c>
      <c r="U112" s="251">
        <f t="shared" si="31"/>
        <v>-1.4683232426125048</v>
      </c>
      <c r="V112" s="383">
        <f t="shared" si="32"/>
        <v>55.884100961138301</v>
      </c>
      <c r="W112" s="58"/>
      <c r="X112" s="157">
        <f t="shared" si="33"/>
        <v>43563</v>
      </c>
      <c r="Y112" s="385">
        <f t="shared" si="34"/>
        <v>35.953000000000003</v>
      </c>
      <c r="Z112" s="385">
        <f t="shared" si="35"/>
        <v>36.193190124758999</v>
      </c>
      <c r="AA112" s="386">
        <f t="shared" si="36"/>
        <v>36.819968607449844</v>
      </c>
      <c r="AB112" s="197">
        <f t="shared" si="37"/>
        <v>43563</v>
      </c>
      <c r="AC112" s="426">
        <f>IF(OR(t&lt;Tnet,NoTnet),'2018'!Resal_s+('2018'!Salim-'2018'!Resal_s)*(1-EXP(('2018'!Tnet_s-t)/'2018'!Tau_j)),Resal_s+(Salim-Resal_s)*(1-EXP((Tnet_s-t)/Tau_j)))*Salcycl</f>
        <v>1.7022786992926E-2</v>
      </c>
      <c r="AD112" s="231">
        <f>(INDEX(Models!$BJ112:$BT112,,AH112)*(1-AF112)+INDEX(Models!$BJ112:$BT112,,AH112+1)*AF112-ERP_i)*AE112*Ramure*Pc/MaxiM</f>
        <v>3.0341601389812326E-7</v>
      </c>
      <c r="AE112" s="305">
        <f t="shared" si="38"/>
        <v>0.5</v>
      </c>
      <c r="AF112" s="177">
        <f t="shared" si="39"/>
        <v>0.5316767573874952</v>
      </c>
      <c r="AG112" s="176">
        <f t="shared" si="40"/>
        <v>-2</v>
      </c>
      <c r="AH112" s="176">
        <f t="shared" si="41"/>
        <v>4</v>
      </c>
      <c r="AI112" s="225">
        <f t="shared" si="42"/>
        <v>-1.4683232426125048</v>
      </c>
      <c r="AJ112" s="265" t="b">
        <f t="shared" si="43"/>
        <v>0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7">
        <v>40.664999999999999</v>
      </c>
      <c r="C113" s="390"/>
      <c r="D113" s="393">
        <f t="shared" si="24"/>
        <v>40.93756607906802</v>
      </c>
      <c r="E113" s="385">
        <f t="shared" si="46"/>
        <v>41.648722149006012</v>
      </c>
      <c r="F113" s="385">
        <f t="shared" si="25"/>
        <v>41.648731192226585</v>
      </c>
      <c r="G113" s="110">
        <f t="shared" si="47"/>
        <v>0.72429757523862037</v>
      </c>
      <c r="H113" s="414" t="b">
        <f>Wh_hp&gt;='2018'!Maxi_hp</f>
        <v>1</v>
      </c>
      <c r="I113" s="390">
        <f>IF(H113,Wh_hp,'2018'!Maxi_hp)</f>
        <v>41.648731192226585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6.658091947664313E-3</v>
      </c>
      <c r="M113" s="845"/>
      <c r="N113" s="845"/>
      <c r="O113" s="48">
        <f>IF(t&lt;Tnet,'2018'!Resal+('2018'!Salim-'2018'!Resal)*(1-EXP(('2018'!Tnet-t)/('2018'!Tau_j))),Resal+(Salim-Resal)*(1-EXP((Tnet-t)/(Tau_j))))*Salcycl</f>
        <v>1.707509938465088E-2</v>
      </c>
      <c r="P113" s="169">
        <f>(INDEX(Models!$BJ113:$BT113,,T113)*(1-R113)+INDEX(Models!$BJ113:$BT113,,T113+1)*R113-ERP_i)*Q113*Ramure*Pc/MaxiM</f>
        <v>3.5821909643584381E-7</v>
      </c>
      <c r="Q113" s="305">
        <f t="shared" si="27"/>
        <v>0.5</v>
      </c>
      <c r="R113" s="177">
        <f t="shared" si="28"/>
        <v>0.53303789637506127</v>
      </c>
      <c r="S113" s="811">
        <f t="shared" si="29"/>
        <v>-2</v>
      </c>
      <c r="T113" s="176">
        <f t="shared" si="30"/>
        <v>4</v>
      </c>
      <c r="U113" s="251">
        <f t="shared" si="31"/>
        <v>-1.4669621036249387</v>
      </c>
      <c r="V113" s="383">
        <f t="shared" si="32"/>
        <v>56.144043074069884</v>
      </c>
      <c r="W113" s="58"/>
      <c r="X113" s="157">
        <f t="shared" si="33"/>
        <v>43564</v>
      </c>
      <c r="Y113" s="385">
        <f t="shared" si="34"/>
        <v>40.664999999999999</v>
      </c>
      <c r="Z113" s="385">
        <f t="shared" si="35"/>
        <v>40.93756607906802</v>
      </c>
      <c r="AA113" s="386">
        <f t="shared" si="36"/>
        <v>41.648722149006012</v>
      </c>
      <c r="AB113" s="197">
        <f t="shared" si="37"/>
        <v>43564</v>
      </c>
      <c r="AC113" s="426">
        <f>IF(OR(t&lt;Tnet,NoTnet),'2018'!Resal_s+('2018'!Salim-'2018'!Resal_s)*(1-EXP(('2018'!Tnet_s-t)/'2018'!Tau_j)),Resal_s+(Salim-Resal_s)*(1-EXP((Tnet_s-t)/Tau_j)))*Salcycl</f>
        <v>1.707509938465088E-2</v>
      </c>
      <c r="AD113" s="231">
        <f>(INDEX(Models!$BJ113:$BT113,,AH113)*(1-AF113)+INDEX(Models!$BJ113:$BT113,,AH113+1)*AF113-ERP_i)*AE113*Ramure*Pc/MaxiM</f>
        <v>3.5821909643584381E-7</v>
      </c>
      <c r="AE113" s="305">
        <f t="shared" si="38"/>
        <v>0.5</v>
      </c>
      <c r="AF113" s="177">
        <f t="shared" si="39"/>
        <v>0.53303789637506127</v>
      </c>
      <c r="AG113" s="176">
        <f t="shared" si="40"/>
        <v>-2</v>
      </c>
      <c r="AH113" s="176">
        <f t="shared" si="41"/>
        <v>4</v>
      </c>
      <c r="AI113" s="225">
        <f t="shared" si="42"/>
        <v>-1.4669621036249387</v>
      </c>
      <c r="AJ113" s="265" t="b">
        <f t="shared" si="43"/>
        <v>0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7">
        <v>36.979999999999997</v>
      </c>
      <c r="C114" s="390"/>
      <c r="D114" s="393">
        <f t="shared" si="24"/>
        <v>37.228681962242149</v>
      </c>
      <c r="E114" s="385">
        <f t="shared" si="46"/>
        <v>37.877431241990934</v>
      </c>
      <c r="F114" s="385">
        <f t="shared" si="25"/>
        <v>37.877439705016343</v>
      </c>
      <c r="G114" s="110">
        <f t="shared" si="47"/>
        <v>0.65569896987642307</v>
      </c>
      <c r="H114" s="414" t="b">
        <f>Wh_hp&gt;='2018'!Maxi_hp</f>
        <v>1</v>
      </c>
      <c r="I114" s="390">
        <f>IF(H114,Wh_hp,'2018'!Maxi_hp)</f>
        <v>37.877439705016343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6.6798486847954308E-3</v>
      </c>
      <c r="M114" s="845"/>
      <c r="N114" s="845"/>
      <c r="O114" s="48">
        <f>IF(t&lt;Tnet,'2018'!Resal+('2018'!Salim-'2018'!Resal)*(1-EXP(('2018'!Tnet-t)/('2018'!Tau_j))),Resal+(Salim-Resal)*(1-EXP((Tnet-t)/(Tau_j))))*Salcycl</f>
        <v>1.7127594413783309E-2</v>
      </c>
      <c r="P114" s="169">
        <f>(INDEX(Models!$BJ114:$BT114,,T114)*(1-R114)+INDEX(Models!$BJ114:$BT114,,T114+1)*R114-ERP_i)*Q114*Ramure*Pc/MaxiM</f>
        <v>4.3970387076912302E-7</v>
      </c>
      <c r="Q114" s="305">
        <f t="shared" si="27"/>
        <v>0.5</v>
      </c>
      <c r="R114" s="177">
        <f t="shared" si="28"/>
        <v>0.53444770248140383</v>
      </c>
      <c r="S114" s="811">
        <f t="shared" si="29"/>
        <v>-2</v>
      </c>
      <c r="T114" s="176">
        <f t="shared" si="30"/>
        <v>4</v>
      </c>
      <c r="U114" s="251">
        <f t="shared" si="31"/>
        <v>-1.4655522975185962</v>
      </c>
      <c r="V114" s="383">
        <f t="shared" si="32"/>
        <v>56.397819275554689</v>
      </c>
      <c r="W114" s="58"/>
      <c r="X114" s="157">
        <f t="shared" si="33"/>
        <v>43565</v>
      </c>
      <c r="Y114" s="385">
        <f t="shared" si="34"/>
        <v>36.979999999999997</v>
      </c>
      <c r="Z114" s="385">
        <f t="shared" si="35"/>
        <v>37.228681962242149</v>
      </c>
      <c r="AA114" s="386">
        <f t="shared" si="36"/>
        <v>37.877431241990934</v>
      </c>
      <c r="AB114" s="197">
        <f t="shared" si="37"/>
        <v>43565</v>
      </c>
      <c r="AC114" s="426">
        <f>IF(OR(t&lt;Tnet,NoTnet),'2018'!Resal_s+('2018'!Salim-'2018'!Resal_s)*(1-EXP(('2018'!Tnet_s-t)/'2018'!Tau_j)),Resal_s+(Salim-Resal_s)*(1-EXP((Tnet_s-t)/Tau_j)))*Salcycl</f>
        <v>1.7127594413783309E-2</v>
      </c>
      <c r="AD114" s="231">
        <f>(INDEX(Models!$BJ114:$BT114,,AH114)*(1-AF114)+INDEX(Models!$BJ114:$BT114,,AH114+1)*AF114-ERP_i)*AE114*Ramure*Pc/MaxiM</f>
        <v>4.3970387076912302E-7</v>
      </c>
      <c r="AE114" s="305">
        <f t="shared" si="38"/>
        <v>0.5</v>
      </c>
      <c r="AF114" s="177">
        <f t="shared" si="39"/>
        <v>0.53444770248140383</v>
      </c>
      <c r="AG114" s="176">
        <f t="shared" si="40"/>
        <v>-2</v>
      </c>
      <c r="AH114" s="176">
        <f t="shared" si="41"/>
        <v>4</v>
      </c>
      <c r="AI114" s="225">
        <f t="shared" si="42"/>
        <v>-1.4655522975185962</v>
      </c>
      <c r="AJ114" s="265" t="b">
        <f t="shared" si="43"/>
        <v>0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7">
        <v>10.102</v>
      </c>
      <c r="C115" s="390"/>
      <c r="D115" s="393">
        <f t="shared" si="24"/>
        <v>10.170156370226181</v>
      </c>
      <c r="E115" s="385">
        <f t="shared" si="46"/>
        <v>10.347936804156497</v>
      </c>
      <c r="F115" s="385">
        <f t="shared" si="25"/>
        <v>10.347936804156497</v>
      </c>
      <c r="G115" s="110">
        <f t="shared" si="47"/>
        <v>0.1783376537256009</v>
      </c>
      <c r="H115" s="414" t="b">
        <f>Wh_hp&gt;='2018'!Maxi_hp</f>
        <v>1</v>
      </c>
      <c r="I115" s="390">
        <f>IF(H115,Wh_hp,'2018'!Maxi_hp)</f>
        <v>10.347936804156497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6.7016049453981763E-3</v>
      </c>
      <c r="M115" s="845"/>
      <c r="N115" s="845"/>
      <c r="O115" s="48">
        <f>IF(t&lt;Tnet,'2018'!Resal+('2018'!Salim-'2018'!Resal)*(1-EXP(('2018'!Tnet-t)/('2018'!Tau_j))),Resal+(Salim-Resal)*(1-EXP((Tnet-t)/(Tau_j))))*Salcycl</f>
        <v>1.718027828106819E-2</v>
      </c>
      <c r="P115" s="169">
        <f>(INDEX(Models!$BJ115:$BT115,,T115)*(1-R115)+INDEX(Models!$BJ115:$BT115,,T115+1)*R115-ERP_i)*Q115*Ramure*Pc/MaxiM</f>
        <v>5.4509733427454968E-7</v>
      </c>
      <c r="Q115" s="305">
        <f t="shared" si="27"/>
        <v>0.5</v>
      </c>
      <c r="R115" s="177">
        <f t="shared" si="28"/>
        <v>0.53590757794730082</v>
      </c>
      <c r="S115" s="811">
        <f t="shared" si="29"/>
        <v>-2</v>
      </c>
      <c r="T115" s="176">
        <f t="shared" si="30"/>
        <v>4</v>
      </c>
      <c r="U115" s="251">
        <f t="shared" si="31"/>
        <v>-1.4640924220526992</v>
      </c>
      <c r="V115" s="383">
        <f t="shared" si="32"/>
        <v>56.645325776070578</v>
      </c>
      <c r="W115" s="58"/>
      <c r="X115" s="157">
        <f t="shared" si="33"/>
        <v>43566</v>
      </c>
      <c r="Y115" s="385">
        <f t="shared" si="34"/>
        <v>10.102</v>
      </c>
      <c r="Z115" s="385">
        <f t="shared" si="35"/>
        <v>10.170156370226181</v>
      </c>
      <c r="AA115" s="386">
        <f t="shared" si="36"/>
        <v>10.347936804156497</v>
      </c>
      <c r="AB115" s="197">
        <f t="shared" si="37"/>
        <v>43566</v>
      </c>
      <c r="AC115" s="426">
        <f>IF(OR(t&lt;Tnet,NoTnet),'2018'!Resal_s+('2018'!Salim-'2018'!Resal_s)*(1-EXP(('2018'!Tnet_s-t)/'2018'!Tau_j)),Resal_s+(Salim-Resal_s)*(1-EXP((Tnet_s-t)/Tau_j)))*Salcycl</f>
        <v>1.718027828106819E-2</v>
      </c>
      <c r="AD115" s="231">
        <f>(INDEX(Models!$BJ115:$BT115,,AH115)*(1-AF115)+INDEX(Models!$BJ115:$BT115,,AH115+1)*AF115-ERP_i)*AE115*Ramure*Pc/MaxiM</f>
        <v>5.4509733427454968E-7</v>
      </c>
      <c r="AE115" s="305">
        <f t="shared" si="38"/>
        <v>0.5</v>
      </c>
      <c r="AF115" s="177">
        <f t="shared" si="39"/>
        <v>0.53590757794730082</v>
      </c>
      <c r="AG115" s="176">
        <f t="shared" si="40"/>
        <v>-2</v>
      </c>
      <c r="AH115" s="176">
        <f t="shared" si="41"/>
        <v>4</v>
      </c>
      <c r="AI115" s="225">
        <f t="shared" si="42"/>
        <v>-1.4640924220526992</v>
      </c>
      <c r="AJ115" s="265" t="b">
        <f t="shared" si="43"/>
        <v>0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7">
        <v>56.933</v>
      </c>
      <c r="C116" s="390"/>
      <c r="D116" s="393">
        <f t="shared" si="24"/>
        <v>57.318372092001255</v>
      </c>
      <c r="E116" s="385">
        <f t="shared" si="46"/>
        <v>58.323469600332146</v>
      </c>
      <c r="F116" s="385">
        <f t="shared" si="25"/>
        <v>58.323508945597986</v>
      </c>
      <c r="G116" s="110">
        <f t="shared" si="47"/>
        <v>1.0008181443489743</v>
      </c>
      <c r="H116" s="414" t="b">
        <f>Wh_hp&gt;='2018'!Maxi_hp</f>
        <v>1</v>
      </c>
      <c r="I116" s="390">
        <f>IF(H116,Wh_hp,'2018'!Maxi_hp)</f>
        <v>58.323508945597986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6.7233607294829856E-3</v>
      </c>
      <c r="M116" s="845"/>
      <c r="N116" s="845"/>
      <c r="O116" s="48">
        <f>IF(t&lt;Tnet,'2018'!Resal+('2018'!Salim-'2018'!Resal)*(1-EXP(('2018'!Tnet-t)/('2018'!Tau_j))),Resal+(Salim-Resal)*(1-EXP((Tnet-t)/(Tau_j))))*Salcycl</f>
        <v>1.7233156998690716E-2</v>
      </c>
      <c r="P116" s="169">
        <f>(INDEX(Models!$BJ116:$BT116,,T116)*(1-R116)+INDEX(Models!$BJ116:$BT116,,T116+1)*R116-ERP_i)*Q116*Ramure*Pc/MaxiM</f>
        <v>6.7460388697861325E-7</v>
      </c>
      <c r="Q116" s="305">
        <f t="shared" si="27"/>
        <v>0.5</v>
      </c>
      <c r="R116" s="177">
        <f t="shared" si="28"/>
        <v>0.53741893881592917</v>
      </c>
      <c r="S116" s="811">
        <f t="shared" si="29"/>
        <v>-2</v>
      </c>
      <c r="T116" s="176">
        <f t="shared" si="30"/>
        <v>4</v>
      </c>
      <c r="U116" s="251">
        <f t="shared" si="31"/>
        <v>-1.4625810611840708</v>
      </c>
      <c r="V116" s="383">
        <f t="shared" si="32"/>
        <v>56.886458665309817</v>
      </c>
      <c r="W116" s="58"/>
      <c r="X116" s="157">
        <f t="shared" si="33"/>
        <v>43567</v>
      </c>
      <c r="Y116" s="385">
        <f t="shared" si="34"/>
        <v>56.933</v>
      </c>
      <c r="Z116" s="385">
        <f t="shared" si="35"/>
        <v>57.318372092001255</v>
      </c>
      <c r="AA116" s="386">
        <f t="shared" si="36"/>
        <v>58.323469600332146</v>
      </c>
      <c r="AB116" s="197">
        <f t="shared" si="37"/>
        <v>43567</v>
      </c>
      <c r="AC116" s="426">
        <f>IF(OR(t&lt;Tnet,NoTnet),'2018'!Resal_s+('2018'!Salim-'2018'!Resal_s)*(1-EXP(('2018'!Tnet_s-t)/'2018'!Tau_j)),Resal_s+(Salim-Resal_s)*(1-EXP((Tnet_s-t)/Tau_j)))*Salcycl</f>
        <v>1.7233156998690716E-2</v>
      </c>
      <c r="AD116" s="231">
        <f>(INDEX(Models!$BJ116:$BT116,,AH116)*(1-AF116)+INDEX(Models!$BJ116:$BT116,,AH116+1)*AF116-ERP_i)*AE116*Ramure*Pc/MaxiM</f>
        <v>6.7460388697861325E-7</v>
      </c>
      <c r="AE116" s="305">
        <f t="shared" si="38"/>
        <v>0.5</v>
      </c>
      <c r="AF116" s="177">
        <f t="shared" si="39"/>
        <v>0.53741893881592917</v>
      </c>
      <c r="AG116" s="176">
        <f t="shared" si="40"/>
        <v>-2</v>
      </c>
      <c r="AH116" s="176">
        <f t="shared" si="41"/>
        <v>4</v>
      </c>
      <c r="AI116" s="225">
        <f t="shared" si="42"/>
        <v>-1.4625810611840708</v>
      </c>
      <c r="AJ116" s="265" t="b">
        <f t="shared" si="43"/>
        <v>0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7">
        <v>57.622999999999998</v>
      </c>
      <c r="C117" s="390"/>
      <c r="D117" s="393">
        <f t="shared" si="24"/>
        <v>58.014313274849222</v>
      </c>
      <c r="E117" s="385">
        <f t="shared" si="46"/>
        <v>59.034802831006246</v>
      </c>
      <c r="F117" s="385">
        <f t="shared" si="25"/>
        <v>59.034851740298983</v>
      </c>
      <c r="G117" s="110">
        <f t="shared" si="47"/>
        <v>1.0087863469294964</v>
      </c>
      <c r="H117" s="414" t="b">
        <f>Wh_hp&gt;='2018'!Maxi_hp</f>
        <v>1</v>
      </c>
      <c r="I117" s="390">
        <f>IF(H117,Wh_hp,'2018'!Maxi_hp)</f>
        <v>59.034851740298983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6.7451160370602947E-3</v>
      </c>
      <c r="M117" s="845"/>
      <c r="N117" s="845"/>
      <c r="O117" s="48">
        <f>IF(t&lt;Tnet,'2018'!Resal+('2018'!Salim-'2018'!Resal)*(1-EXP(('2018'!Tnet-t)/('2018'!Tau_j))),Resal+(Salim-Resal)*(1-EXP((Tnet-t)/(Tau_j))))*Salcycl</f>
        <v>1.7286236376164249E-2</v>
      </c>
      <c r="P117" s="169">
        <f>(INDEX(Models!$BJ117:$BT117,,T117)*(1-R117)+INDEX(Models!$BJ117:$BT117,,T117+1)*R117-ERP_i)*Q117*Ramure*Pc/MaxiM</f>
        <v>8.2848167301959992E-7</v>
      </c>
      <c r="Q117" s="305">
        <f t="shared" si="27"/>
        <v>0.5</v>
      </c>
      <c r="R117" s="177">
        <f t="shared" si="28"/>
        <v>0.53898321274885075</v>
      </c>
      <c r="S117" s="811">
        <f t="shared" si="29"/>
        <v>-2</v>
      </c>
      <c r="T117" s="176">
        <f t="shared" si="30"/>
        <v>4</v>
      </c>
      <c r="U117" s="251">
        <f t="shared" si="31"/>
        <v>-1.4610167872511493</v>
      </c>
      <c r="V117" s="383">
        <f t="shared" si="32"/>
        <v>57.121114074739985</v>
      </c>
      <c r="W117" s="58"/>
      <c r="X117" s="157">
        <f t="shared" si="33"/>
        <v>43568</v>
      </c>
      <c r="Y117" s="385">
        <f t="shared" si="34"/>
        <v>57.622999999999998</v>
      </c>
      <c r="Z117" s="385">
        <f t="shared" si="35"/>
        <v>58.014313274849222</v>
      </c>
      <c r="AA117" s="386">
        <f t="shared" si="36"/>
        <v>59.034802831006246</v>
      </c>
      <c r="AB117" s="197">
        <f t="shared" si="37"/>
        <v>43568</v>
      </c>
      <c r="AC117" s="426">
        <f>IF(OR(t&lt;Tnet,NoTnet),'2018'!Resal_s+('2018'!Salim-'2018'!Resal_s)*(1-EXP(('2018'!Tnet_s-t)/'2018'!Tau_j)),Resal_s+(Salim-Resal_s)*(1-EXP((Tnet_s-t)/Tau_j)))*Salcycl</f>
        <v>1.7286236376164249E-2</v>
      </c>
      <c r="AD117" s="231">
        <f>(INDEX(Models!$BJ117:$BT117,,AH117)*(1-AF117)+INDEX(Models!$BJ117:$BT117,,AH117+1)*AF117-ERP_i)*AE117*Ramure*Pc/MaxiM</f>
        <v>8.2848167301959992E-7</v>
      </c>
      <c r="AE117" s="305">
        <f t="shared" si="38"/>
        <v>0.5</v>
      </c>
      <c r="AF117" s="177">
        <f t="shared" si="39"/>
        <v>0.53898321274885075</v>
      </c>
      <c r="AG117" s="176">
        <f t="shared" si="40"/>
        <v>-2</v>
      </c>
      <c r="AH117" s="176">
        <f t="shared" si="41"/>
        <v>4</v>
      </c>
      <c r="AI117" s="225">
        <f t="shared" si="42"/>
        <v>-1.4610167872511493</v>
      </c>
      <c r="AJ117" s="265" t="b">
        <f t="shared" si="43"/>
        <v>0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7">
        <v>30.126999999999999</v>
      </c>
      <c r="C118" s="390"/>
      <c r="D118" s="393">
        <f t="shared" si="24"/>
        <v>30.332254448995936</v>
      </c>
      <c r="E118" s="385">
        <f t="shared" si="46"/>
        <v>30.867481829442738</v>
      </c>
      <c r="F118" s="385">
        <f t="shared" si="25"/>
        <v>30.867491835484916</v>
      </c>
      <c r="G118" s="110">
        <f t="shared" si="47"/>
        <v>0.5253252989817877</v>
      </c>
      <c r="H118" s="414" t="b">
        <f>Wh_hp&gt;='2018'!Maxi_hp</f>
        <v>1</v>
      </c>
      <c r="I118" s="390">
        <f>IF(H118,Wh_hp,'2018'!Maxi_hp)</f>
        <v>30.867491835484916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6.7668708681405398E-3</v>
      </c>
      <c r="M118" s="845"/>
      <c r="N118" s="845"/>
      <c r="O118" s="48">
        <f>IF(t&lt;Tnet,'2018'!Resal+('2018'!Salim-'2018'!Resal)*(1-EXP(('2018'!Tnet-t)/('2018'!Tau_j))),Resal+(Salim-Resal)*(1-EXP((Tnet-t)/(Tau_j))))*Salcycl</f>
        <v>1.7339522005850042E-2</v>
      </c>
      <c r="P118" s="169">
        <f>(INDEX(Models!$BJ118:$BT118,,T118)*(1-R118)+INDEX(Models!$BJ118:$BT118,,T118+1)*R118-ERP_i)*Q118*Ramure*Pc/MaxiM</f>
        <v>1.0070438458879459E-6</v>
      </c>
      <c r="Q118" s="305">
        <f t="shared" si="27"/>
        <v>0.5</v>
      </c>
      <c r="R118" s="177">
        <f t="shared" si="28"/>
        <v>0.54060183662841443</v>
      </c>
      <c r="S118" s="811">
        <f t="shared" si="29"/>
        <v>-2</v>
      </c>
      <c r="T118" s="176">
        <f t="shared" si="30"/>
        <v>4</v>
      </c>
      <c r="U118" s="251">
        <f t="shared" si="31"/>
        <v>-1.4593981633715856</v>
      </c>
      <c r="V118" s="383">
        <f t="shared" si="32"/>
        <v>57.349188179553721</v>
      </c>
      <c r="W118" s="58"/>
      <c r="X118" s="157">
        <f t="shared" si="33"/>
        <v>43569</v>
      </c>
      <c r="Y118" s="385">
        <f t="shared" si="34"/>
        <v>30.126999999999999</v>
      </c>
      <c r="Z118" s="385">
        <f t="shared" si="35"/>
        <v>30.332254448995936</v>
      </c>
      <c r="AA118" s="386">
        <f t="shared" si="36"/>
        <v>30.867481829442738</v>
      </c>
      <c r="AB118" s="197">
        <f t="shared" si="37"/>
        <v>43569</v>
      </c>
      <c r="AC118" s="426">
        <f>IF(OR(t&lt;Tnet,NoTnet),'2018'!Resal_s+('2018'!Salim-'2018'!Resal_s)*(1-EXP(('2018'!Tnet_s-t)/'2018'!Tau_j)),Resal_s+(Salim-Resal_s)*(1-EXP((Tnet_s-t)/Tau_j)))*Salcycl</f>
        <v>1.7339522005850042E-2</v>
      </c>
      <c r="AD118" s="231">
        <f>(INDEX(Models!$BJ118:$BT118,,AH118)*(1-AF118)+INDEX(Models!$BJ118:$BT118,,AH118+1)*AF118-ERP_i)*AE118*Ramure*Pc/MaxiM</f>
        <v>1.0070438458879459E-6</v>
      </c>
      <c r="AE118" s="305">
        <f t="shared" si="38"/>
        <v>0.5</v>
      </c>
      <c r="AF118" s="177">
        <f t="shared" si="39"/>
        <v>0.54060183662841443</v>
      </c>
      <c r="AG118" s="176">
        <f t="shared" si="40"/>
        <v>-2</v>
      </c>
      <c r="AH118" s="176">
        <f t="shared" si="41"/>
        <v>4</v>
      </c>
      <c r="AI118" s="225">
        <f t="shared" si="42"/>
        <v>-1.4593981633715856</v>
      </c>
      <c r="AJ118" s="265" t="b">
        <f t="shared" si="43"/>
        <v>0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7">
        <v>40.706000000000003</v>
      </c>
      <c r="C119" s="390"/>
      <c r="D119" s="393">
        <f t="shared" si="24"/>
        <v>40.984226554119552</v>
      </c>
      <c r="E119" s="385">
        <f t="shared" si="46"/>
        <v>41.709683888827151</v>
      </c>
      <c r="F119" s="385">
        <f t="shared" si="25"/>
        <v>41.709713253318419</v>
      </c>
      <c r="G119" s="110">
        <f t="shared" si="47"/>
        <v>0.7070622070412097</v>
      </c>
      <c r="H119" s="414" t="b">
        <f>Wh_hp&gt;='2018'!Maxi_hp</f>
        <v>1</v>
      </c>
      <c r="I119" s="390">
        <f>IF(H119,Wh_hp,'2018'!Maxi_hp)</f>
        <v>41.709713253318419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6.788625222734157E-3</v>
      </c>
      <c r="M119" s="845"/>
      <c r="N119" s="845"/>
      <c r="O119" s="48">
        <f>IF(t&lt;Tnet,'2018'!Resal+('2018'!Salim-'2018'!Resal)*(1-EXP(('2018'!Tnet-t)/('2018'!Tau_j))),Resal+(Salim-Resal)*(1-EXP((Tnet-t)/(Tau_j))))*Salcycl</f>
        <v>1.7393019248029599E-2</v>
      </c>
      <c r="P119" s="169">
        <f>(INDEX(Models!$BJ119:$BT119,,T119)*(1-R119)+INDEX(Models!$BJ119:$BT119,,T119+1)*R119-ERP_i)*Q119*Ramure*Pc/MaxiM</f>
        <v>1.2106598837944286E-6</v>
      </c>
      <c r="Q119" s="305">
        <f t="shared" si="27"/>
        <v>0.5</v>
      </c>
      <c r="R119" s="177">
        <f t="shared" si="28"/>
        <v>0.54227625393794576</v>
      </c>
      <c r="S119" s="811">
        <f t="shared" si="29"/>
        <v>-2</v>
      </c>
      <c r="T119" s="176">
        <f t="shared" si="30"/>
        <v>4</v>
      </c>
      <c r="U119" s="251">
        <f t="shared" si="31"/>
        <v>-1.4577237460620542</v>
      </c>
      <c r="V119" s="383">
        <f t="shared" si="32"/>
        <v>57.570577201488575</v>
      </c>
      <c r="W119" s="58"/>
      <c r="X119" s="157">
        <f t="shared" si="33"/>
        <v>43570</v>
      </c>
      <c r="Y119" s="385">
        <f t="shared" si="34"/>
        <v>40.706000000000003</v>
      </c>
      <c r="Z119" s="385">
        <f t="shared" si="35"/>
        <v>40.984226554119552</v>
      </c>
      <c r="AA119" s="386">
        <f t="shared" si="36"/>
        <v>41.709683888827151</v>
      </c>
      <c r="AB119" s="197">
        <f t="shared" si="37"/>
        <v>43570</v>
      </c>
      <c r="AC119" s="426">
        <f>IF(OR(t&lt;Tnet,NoTnet),'2018'!Resal_s+('2018'!Salim-'2018'!Resal_s)*(1-EXP(('2018'!Tnet_s-t)/'2018'!Tau_j)),Resal_s+(Salim-Resal_s)*(1-EXP((Tnet_s-t)/Tau_j)))*Salcycl</f>
        <v>1.7393019248029599E-2</v>
      </c>
      <c r="AD119" s="231">
        <f>(INDEX(Models!$BJ119:$BT119,,AH119)*(1-AF119)+INDEX(Models!$BJ119:$BT119,,AH119+1)*AF119-ERP_i)*AE119*Ramure*Pc/MaxiM</f>
        <v>1.2106598837944286E-6</v>
      </c>
      <c r="AE119" s="305">
        <f t="shared" si="38"/>
        <v>0.5</v>
      </c>
      <c r="AF119" s="177">
        <f t="shared" si="39"/>
        <v>0.54227625393794576</v>
      </c>
      <c r="AG119" s="176">
        <f t="shared" si="40"/>
        <v>-2</v>
      </c>
      <c r="AH119" s="176">
        <f t="shared" si="41"/>
        <v>4</v>
      </c>
      <c r="AI119" s="225">
        <f t="shared" si="42"/>
        <v>-1.4577237460620542</v>
      </c>
      <c r="AJ119" s="265" t="b">
        <f t="shared" si="43"/>
        <v>0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7">
        <v>36.997999999999998</v>
      </c>
      <c r="C120" s="390"/>
      <c r="D120" s="393">
        <f t="shared" si="24"/>
        <v>37.251698186802628</v>
      </c>
      <c r="E120" s="385">
        <f t="shared" si="46"/>
        <v>37.913158956471435</v>
      </c>
      <c r="F120" s="385">
        <f t="shared" si="25"/>
        <v>37.913185490459512</v>
      </c>
      <c r="G120" s="110">
        <f t="shared" si="47"/>
        <v>0.64026752678479582</v>
      </c>
      <c r="H120" s="414" t="b">
        <f>Wh_hp&gt;='2018'!Maxi_hp</f>
        <v>1</v>
      </c>
      <c r="I120" s="390">
        <f>IF(H120,Wh_hp,'2018'!Maxi_hp)</f>
        <v>37.913185490459512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6.8103791008515824E-3</v>
      </c>
      <c r="M120" s="845"/>
      <c r="N120" s="845"/>
      <c r="O120" s="48">
        <f>IF(t&lt;Tnet,'2018'!Resal+('2018'!Salim-'2018'!Resal)*(1-EXP(('2018'!Tnet-t)/('2018'!Tau_j))),Resal+(Salim-Resal)*(1-EXP((Tnet-t)/(Tau_j))))*Salcycl</f>
        <v>1.7446733215457977E-2</v>
      </c>
      <c r="P120" s="169">
        <f>(INDEX(Models!$BJ120:$BT120,,T120)*(1-R120)+INDEX(Models!$BJ120:$BT120,,T120+1)*R120-ERP_i)*Q120*Ramure*Pc/MaxiM</f>
        <v>1.4397569542450277E-6</v>
      </c>
      <c r="Q120" s="305">
        <f t="shared" si="27"/>
        <v>0.5</v>
      </c>
      <c r="R120" s="177">
        <f t="shared" si="28"/>
        <v>0.54400791191158815</v>
      </c>
      <c r="S120" s="811">
        <f t="shared" si="29"/>
        <v>-2</v>
      </c>
      <c r="T120" s="176">
        <f t="shared" si="30"/>
        <v>4</v>
      </c>
      <c r="U120" s="251">
        <f t="shared" si="31"/>
        <v>-1.4559920880884119</v>
      </c>
      <c r="V120" s="383">
        <f t="shared" si="32"/>
        <v>57.785177410338072</v>
      </c>
      <c r="W120" s="58"/>
      <c r="X120" s="157">
        <f t="shared" si="33"/>
        <v>43571</v>
      </c>
      <c r="Y120" s="385">
        <f t="shared" si="34"/>
        <v>36.997999999999998</v>
      </c>
      <c r="Z120" s="385">
        <f t="shared" si="35"/>
        <v>37.251698186802628</v>
      </c>
      <c r="AA120" s="386">
        <f t="shared" si="36"/>
        <v>37.913158956471435</v>
      </c>
      <c r="AB120" s="197">
        <f t="shared" si="37"/>
        <v>43571</v>
      </c>
      <c r="AC120" s="426">
        <f>IF(OR(t&lt;Tnet,NoTnet),'2018'!Resal_s+('2018'!Salim-'2018'!Resal_s)*(1-EXP(('2018'!Tnet_s-t)/'2018'!Tau_j)),Resal_s+(Salim-Resal_s)*(1-EXP((Tnet_s-t)/Tau_j)))*Salcycl</f>
        <v>1.7446733215457977E-2</v>
      </c>
      <c r="AD120" s="231">
        <f>(INDEX(Models!$BJ120:$BT120,,AH120)*(1-AF120)+INDEX(Models!$BJ120:$BT120,,AH120+1)*AF120-ERP_i)*AE120*Ramure*Pc/MaxiM</f>
        <v>1.4397569542450277E-6</v>
      </c>
      <c r="AE120" s="305">
        <f t="shared" si="38"/>
        <v>0.5</v>
      </c>
      <c r="AF120" s="177">
        <f t="shared" si="39"/>
        <v>0.54400791191158815</v>
      </c>
      <c r="AG120" s="176">
        <f t="shared" si="40"/>
        <v>-2</v>
      </c>
      <c r="AH120" s="176">
        <f t="shared" si="41"/>
        <v>4</v>
      </c>
      <c r="AI120" s="225">
        <f t="shared" si="42"/>
        <v>-1.4559920880884119</v>
      </c>
      <c r="AJ120" s="265" t="b">
        <f t="shared" si="43"/>
        <v>0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7">
        <v>38.612000000000002</v>
      </c>
      <c r="C121" s="390"/>
      <c r="D121" s="393">
        <f t="shared" si="24"/>
        <v>38.877617030936939</v>
      </c>
      <c r="E121" s="385">
        <f t="shared" si="46"/>
        <v>39.570120604321005</v>
      </c>
      <c r="F121" s="385">
        <f t="shared" si="25"/>
        <v>39.570155651501935</v>
      </c>
      <c r="G121" s="110">
        <f t="shared" si="47"/>
        <v>0.66581008481899939</v>
      </c>
      <c r="H121" s="414" t="b">
        <f>Wh_hp&gt;='2018'!Maxi_hp</f>
        <v>1</v>
      </c>
      <c r="I121" s="390">
        <f>IF(H121,Wh_hp,'2018'!Maxi_hp)</f>
        <v>39.570155651501935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6.832132502503252E-3</v>
      </c>
      <c r="M121" s="845"/>
      <c r="N121" s="845"/>
      <c r="O121" s="48">
        <f>IF(t&lt;Tnet,'2018'!Resal+('2018'!Salim-'2018'!Resal)*(1-EXP(('2018'!Tnet-t)/('2018'!Tau_j))),Resal+(Salim-Resal)*(1-EXP((Tnet-t)/(Tau_j))))*Salcycl</f>
        <v>1.7500668757336121E-2</v>
      </c>
      <c r="P121" s="169">
        <f>(INDEX(Models!$BJ121:$BT121,,T121)*(1-R121)+INDEX(Models!$BJ121:$BT121,,T121+1)*R121-ERP_i)*Q121*Ramure*Pc/MaxiM</f>
        <v>1.6948335729825155E-6</v>
      </c>
      <c r="Q121" s="305">
        <f t="shared" si="27"/>
        <v>0.5</v>
      </c>
      <c r="R121" s="177">
        <f t="shared" si="28"/>
        <v>0.54579825844626506</v>
      </c>
      <c r="S121" s="811">
        <f t="shared" si="29"/>
        <v>-2</v>
      </c>
      <c r="T121" s="176">
        <f t="shared" si="30"/>
        <v>4</v>
      </c>
      <c r="U121" s="251">
        <f t="shared" si="31"/>
        <v>-1.4542017415537349</v>
      </c>
      <c r="V121" s="383">
        <f t="shared" si="32"/>
        <v>57.992466077019728</v>
      </c>
      <c r="W121" s="58"/>
      <c r="X121" s="157">
        <f t="shared" si="33"/>
        <v>43572</v>
      </c>
      <c r="Y121" s="385">
        <f t="shared" si="34"/>
        <v>38.612000000000002</v>
      </c>
      <c r="Z121" s="385">
        <f t="shared" si="35"/>
        <v>38.877617030936939</v>
      </c>
      <c r="AA121" s="386">
        <f t="shared" si="36"/>
        <v>39.570120604321005</v>
      </c>
      <c r="AB121" s="197">
        <f t="shared" si="37"/>
        <v>43572</v>
      </c>
      <c r="AC121" s="426">
        <f>IF(OR(t&lt;Tnet,NoTnet),'2018'!Resal_s+('2018'!Salim-'2018'!Resal_s)*(1-EXP(('2018'!Tnet_s-t)/'2018'!Tau_j)),Resal_s+(Salim-Resal_s)*(1-EXP((Tnet_s-t)/Tau_j)))*Salcycl</f>
        <v>1.7500668757336121E-2</v>
      </c>
      <c r="AD121" s="231">
        <f>(INDEX(Models!$BJ121:$BT121,,AH121)*(1-AF121)+INDEX(Models!$BJ121:$BT121,,AH121+1)*AF121-ERP_i)*AE121*Ramure*Pc/MaxiM</f>
        <v>1.6948335729825155E-6</v>
      </c>
      <c r="AE121" s="305">
        <f t="shared" si="38"/>
        <v>0.5</v>
      </c>
      <c r="AF121" s="177">
        <f t="shared" si="39"/>
        <v>0.54579825844626506</v>
      </c>
      <c r="AG121" s="176">
        <f t="shared" si="40"/>
        <v>-2</v>
      </c>
      <c r="AH121" s="176">
        <f t="shared" si="41"/>
        <v>4</v>
      </c>
      <c r="AI121" s="225">
        <f t="shared" si="42"/>
        <v>-1.4542017415537349</v>
      </c>
      <c r="AJ121" s="265" t="b">
        <f t="shared" si="43"/>
        <v>0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7">
        <v>29.341999999999999</v>
      </c>
      <c r="C122" s="390"/>
      <c r="D122" s="393">
        <f t="shared" si="24"/>
        <v>29.54449458087662</v>
      </c>
      <c r="E122" s="385">
        <f t="shared" si="46"/>
        <v>30.072410650854145</v>
      </c>
      <c r="F122" s="385">
        <f t="shared" si="25"/>
        <v>30.072428257742438</v>
      </c>
      <c r="G122" s="110">
        <f t="shared" si="47"/>
        <v>0.50422495091981923</v>
      </c>
      <c r="H122" s="414" t="b">
        <f>Wh_hp&gt;='2018'!Maxi_hp</f>
        <v>1</v>
      </c>
      <c r="I122" s="390">
        <f>IF(H122,Wh_hp,'2018'!Maxi_hp)</f>
        <v>30.072428257742438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6.853885427699602E-3</v>
      </c>
      <c r="M122" s="845"/>
      <c r="N122" s="845"/>
      <c r="O122" s="48">
        <f>IF(t&lt;Tnet,'2018'!Resal+('2018'!Salim-'2018'!Resal)*(1-EXP(('2018'!Tnet-t)/('2018'!Tau_j))),Resal+(Salim-Resal)*(1-EXP((Tnet-t)/(Tau_j))))*Salcycl</f>
        <v>1.7554830442651222E-2</v>
      </c>
      <c r="P122" s="169">
        <f>(INDEX(Models!$BJ122:$BT122,,T122)*(1-R122)+INDEX(Models!$BJ122:$BT122,,T122+1)*R122-ERP_i)*Q122*Ramure*Pc/MaxiM</f>
        <v>2.0067895320551763E-6</v>
      </c>
      <c r="Q122" s="305">
        <f t="shared" si="27"/>
        <v>0.5</v>
      </c>
      <c r="R122" s="177">
        <f t="shared" si="28"/>
        <v>0.5476487387689879</v>
      </c>
      <c r="S122" s="811">
        <f t="shared" si="29"/>
        <v>-2</v>
      </c>
      <c r="T122" s="176">
        <f t="shared" si="30"/>
        <v>4</v>
      </c>
      <c r="U122" s="251">
        <f t="shared" si="31"/>
        <v>-1.4523512612310121</v>
      </c>
      <c r="V122" s="383">
        <f t="shared" si="32"/>
        <v>58.192198229115739</v>
      </c>
      <c r="W122" s="58"/>
      <c r="X122" s="157">
        <f t="shared" si="33"/>
        <v>43573</v>
      </c>
      <c r="Y122" s="385">
        <f t="shared" si="34"/>
        <v>29.341999999999999</v>
      </c>
      <c r="Z122" s="385">
        <f t="shared" si="35"/>
        <v>29.54449458087662</v>
      </c>
      <c r="AA122" s="386">
        <f t="shared" si="36"/>
        <v>30.072410650854145</v>
      </c>
      <c r="AB122" s="197">
        <f t="shared" si="37"/>
        <v>43573</v>
      </c>
      <c r="AC122" s="426">
        <f>IF(OR(t&lt;Tnet,NoTnet),'2018'!Resal_s+('2018'!Salim-'2018'!Resal_s)*(1-EXP(('2018'!Tnet_s-t)/'2018'!Tau_j)),Resal_s+(Salim-Resal_s)*(1-EXP((Tnet_s-t)/Tau_j)))*Salcycl</f>
        <v>1.7554830442651222E-2</v>
      </c>
      <c r="AD122" s="231">
        <f>(INDEX(Models!$BJ122:$BT122,,AH122)*(1-AF122)+INDEX(Models!$BJ122:$BT122,,AH122+1)*AF122-ERP_i)*AE122*Ramure*Pc/MaxiM</f>
        <v>2.0067895320551763E-6</v>
      </c>
      <c r="AE122" s="305">
        <f t="shared" si="38"/>
        <v>0.5</v>
      </c>
      <c r="AF122" s="177">
        <f t="shared" si="39"/>
        <v>0.5476487387689879</v>
      </c>
      <c r="AG122" s="176">
        <f t="shared" si="40"/>
        <v>-2</v>
      </c>
      <c r="AH122" s="176">
        <f t="shared" si="41"/>
        <v>4</v>
      </c>
      <c r="AI122" s="225">
        <f t="shared" si="42"/>
        <v>-1.4523512612310121</v>
      </c>
      <c r="AJ122" s="265" t="b">
        <f t="shared" si="43"/>
        <v>0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7">
        <v>52.618000000000002</v>
      </c>
      <c r="C123" s="390"/>
      <c r="D123" s="393">
        <f t="shared" si="24"/>
        <v>52.982287019411672</v>
      </c>
      <c r="E123" s="385">
        <f t="shared" si="46"/>
        <v>53.931987387496136</v>
      </c>
      <c r="F123" s="385">
        <f t="shared" si="25"/>
        <v>53.932097208526116</v>
      </c>
      <c r="G123" s="110">
        <f t="shared" si="47"/>
        <v>0.90122911790777005</v>
      </c>
      <c r="H123" s="414" t="b">
        <f>Wh_hp&gt;='2018'!Maxi_hp</f>
        <v>1</v>
      </c>
      <c r="I123" s="390">
        <f>IF(H123,Wh_hp,'2018'!Maxi_hp)</f>
        <v>53.932097208526116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6.8756378764510684E-3</v>
      </c>
      <c r="M123" s="845"/>
      <c r="N123" s="845"/>
      <c r="O123" s="48">
        <f>IF(t&lt;Tnet,'2018'!Resal+('2018'!Salim-'2018'!Resal)*(1-EXP(('2018'!Tnet-t)/('2018'!Tau_j))),Resal+(Salim-Resal)*(1-EXP((Tnet-t)/(Tau_j))))*Salcycl</f>
        <v>1.7609222542847511E-2</v>
      </c>
      <c r="P123" s="169">
        <f>(INDEX(Models!$BJ123:$BT123,,T123)*(1-R123)+INDEX(Models!$BJ123:$BT123,,T123+1)*R123-ERP_i)*Q123*Ramure*Pc/MaxiM</f>
        <v>2.3708060156519135E-6</v>
      </c>
      <c r="Q123" s="305">
        <f t="shared" si="27"/>
        <v>0.5</v>
      </c>
      <c r="R123" s="177">
        <f t="shared" si="28"/>
        <v>0.54956079185362472</v>
      </c>
      <c r="S123" s="811">
        <f t="shared" si="29"/>
        <v>-2</v>
      </c>
      <c r="T123" s="176">
        <f t="shared" si="30"/>
        <v>4</v>
      </c>
      <c r="U123" s="251">
        <f t="shared" si="31"/>
        <v>-1.4504392081463753</v>
      </c>
      <c r="V123" s="383">
        <f t="shared" si="32"/>
        <v>58.384689700442856</v>
      </c>
      <c r="W123" s="58"/>
      <c r="X123" s="157">
        <f t="shared" si="33"/>
        <v>43574</v>
      </c>
      <c r="Y123" s="385">
        <f t="shared" si="34"/>
        <v>52.618000000000002</v>
      </c>
      <c r="Z123" s="385">
        <f t="shared" si="35"/>
        <v>52.982287019411672</v>
      </c>
      <c r="AA123" s="386">
        <f t="shared" si="36"/>
        <v>53.931987387496136</v>
      </c>
      <c r="AB123" s="197">
        <f t="shared" si="37"/>
        <v>43574</v>
      </c>
      <c r="AC123" s="426">
        <f>IF(OR(t&lt;Tnet,NoTnet),'2018'!Resal_s+('2018'!Salim-'2018'!Resal_s)*(1-EXP(('2018'!Tnet_s-t)/'2018'!Tau_j)),Resal_s+(Salim-Resal_s)*(1-EXP((Tnet_s-t)/Tau_j)))*Salcycl</f>
        <v>1.7609222542847511E-2</v>
      </c>
      <c r="AD123" s="231">
        <f>(INDEX(Models!$BJ123:$BT123,,AH123)*(1-AF123)+INDEX(Models!$BJ123:$BT123,,AH123+1)*AF123-ERP_i)*AE123*Ramure*Pc/MaxiM</f>
        <v>2.3708060156519135E-6</v>
      </c>
      <c r="AE123" s="305">
        <f t="shared" si="38"/>
        <v>0.5</v>
      </c>
      <c r="AF123" s="177">
        <f t="shared" si="39"/>
        <v>0.54956079185362472</v>
      </c>
      <c r="AG123" s="176">
        <f t="shared" si="40"/>
        <v>-2</v>
      </c>
      <c r="AH123" s="176">
        <f t="shared" si="41"/>
        <v>4</v>
      </c>
      <c r="AI123" s="225">
        <f t="shared" si="42"/>
        <v>-1.4504392081463753</v>
      </c>
      <c r="AJ123" s="265" t="b">
        <f t="shared" si="43"/>
        <v>0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7">
        <v>53.61</v>
      </c>
      <c r="C124" s="390"/>
      <c r="D124" s="393">
        <f t="shared" si="24"/>
        <v>53.982337224787024</v>
      </c>
      <c r="E124" s="385">
        <f t="shared" si="46"/>
        <v>54.953019056249325</v>
      </c>
      <c r="F124" s="385">
        <f t="shared" si="25"/>
        <v>54.953153725787914</v>
      </c>
      <c r="G124" s="110">
        <f t="shared" si="47"/>
        <v>0.91531069960385092</v>
      </c>
      <c r="H124" s="414" t="b">
        <f>Wh_hp&gt;='2018'!Maxi_hp</f>
        <v>1</v>
      </c>
      <c r="I124" s="390">
        <f>IF(H124,Wh_hp,'2018'!Maxi_hp)</f>
        <v>54.953153725787914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6.8973898487680874E-3</v>
      </c>
      <c r="M124" s="845"/>
      <c r="N124" s="845"/>
      <c r="O124" s="48">
        <f>IF(t&lt;Tnet,'2018'!Resal+('2018'!Salim-'2018'!Resal)*(1-EXP(('2018'!Tnet-t)/('2018'!Tau_j))),Resal+(Salim-Resal)*(1-EXP((Tnet-t)/(Tau_j))))*Salcycl</f>
        <v>1.7663849013804404E-2</v>
      </c>
      <c r="P124" s="169">
        <f>(INDEX(Models!$BJ124:$BT124,,T124)*(1-R124)+INDEX(Models!$BJ124:$BT124,,T124+1)*R124-ERP_i)*Q124*Ramure*Pc/MaxiM</f>
        <v>2.7879187056472954E-6</v>
      </c>
      <c r="Q124" s="305">
        <f t="shared" si="27"/>
        <v>0.5</v>
      </c>
      <c r="R124" s="177">
        <f t="shared" si="28"/>
        <v>0.55153584658229393</v>
      </c>
      <c r="S124" s="811">
        <f t="shared" si="29"/>
        <v>-2</v>
      </c>
      <c r="T124" s="176">
        <f t="shared" si="30"/>
        <v>4</v>
      </c>
      <c r="U124" s="251">
        <f t="shared" si="31"/>
        <v>-1.4484641534177061</v>
      </c>
      <c r="V124" s="383">
        <f t="shared" si="32"/>
        <v>58.570255915078612</v>
      </c>
      <c r="W124" s="58"/>
      <c r="X124" s="157">
        <f t="shared" si="33"/>
        <v>43575</v>
      </c>
      <c r="Y124" s="385">
        <f t="shared" si="34"/>
        <v>53.61</v>
      </c>
      <c r="Z124" s="385">
        <f t="shared" si="35"/>
        <v>53.982337224787024</v>
      </c>
      <c r="AA124" s="386">
        <f t="shared" si="36"/>
        <v>54.953019056249325</v>
      </c>
      <c r="AB124" s="197">
        <f t="shared" si="37"/>
        <v>43575</v>
      </c>
      <c r="AC124" s="426">
        <f>IF(OR(t&lt;Tnet,NoTnet),'2018'!Resal_s+('2018'!Salim-'2018'!Resal_s)*(1-EXP(('2018'!Tnet_s-t)/'2018'!Tau_j)),Resal_s+(Salim-Resal_s)*(1-EXP((Tnet_s-t)/Tau_j)))*Salcycl</f>
        <v>1.7663849013804404E-2</v>
      </c>
      <c r="AD124" s="231">
        <f>(INDEX(Models!$BJ124:$BT124,,AH124)*(1-AF124)+INDEX(Models!$BJ124:$BT124,,AH124+1)*AF124-ERP_i)*AE124*Ramure*Pc/MaxiM</f>
        <v>2.7879187056472954E-6</v>
      </c>
      <c r="AE124" s="305">
        <f t="shared" si="38"/>
        <v>0.5</v>
      </c>
      <c r="AF124" s="177">
        <f t="shared" si="39"/>
        <v>0.55153584658229393</v>
      </c>
      <c r="AG124" s="176">
        <f t="shared" si="40"/>
        <v>-2</v>
      </c>
      <c r="AH124" s="176">
        <f t="shared" si="41"/>
        <v>4</v>
      </c>
      <c r="AI124" s="225">
        <f t="shared" si="42"/>
        <v>-1.4484641534177061</v>
      </c>
      <c r="AJ124" s="265" t="b">
        <f t="shared" si="43"/>
        <v>0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7">
        <v>18.811</v>
      </c>
      <c r="C125" s="390"/>
      <c r="D125" s="393">
        <f t="shared" si="24"/>
        <v>18.942062809941429</v>
      </c>
      <c r="E125" s="385">
        <f t="shared" si="46"/>
        <v>19.28374597972158</v>
      </c>
      <c r="F125" s="385">
        <f t="shared" si="25"/>
        <v>19.28374779266824</v>
      </c>
      <c r="G125" s="110">
        <f t="shared" si="47"/>
        <v>0.32019051399989856</v>
      </c>
      <c r="H125" s="414" t="b">
        <f>Wh_hp&gt;='2018'!Maxi_hp</f>
        <v>1</v>
      </c>
      <c r="I125" s="390">
        <f>IF(H125,Wh_hp,'2018'!Maxi_hp)</f>
        <v>19.28374779266824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6.919141344660984E-3</v>
      </c>
      <c r="M125" s="845"/>
      <c r="N125" s="845"/>
      <c r="O125" s="48">
        <f>IF(t&lt;Tnet,'2018'!Resal+('2018'!Salim-'2018'!Resal)*(1-EXP(('2018'!Tnet-t)/('2018'!Tau_j))),Resal+(Salim-Resal)*(1-EXP((Tnet-t)/(Tau_j))))*Salcycl</f>
        <v>1.7718713477114689E-2</v>
      </c>
      <c r="P125" s="169">
        <f>(INDEX(Models!$BJ125:$BT125,,T125)*(1-R125)+INDEX(Models!$BJ125:$BT125,,T125+1)*R125-ERP_i)*Q125*Ramure*Pc/MaxiM</f>
        <v>3.2592858316322625E-6</v>
      </c>
      <c r="Q125" s="305">
        <f t="shared" si="27"/>
        <v>0.5</v>
      </c>
      <c r="R125" s="177">
        <f t="shared" si="28"/>
        <v>0.55357531764776713</v>
      </c>
      <c r="S125" s="811">
        <f t="shared" si="29"/>
        <v>-2</v>
      </c>
      <c r="T125" s="176">
        <f t="shared" si="30"/>
        <v>4</v>
      </c>
      <c r="U125" s="251">
        <f t="shared" si="31"/>
        <v>-1.4464246823522329</v>
      </c>
      <c r="V125" s="383">
        <f t="shared" si="32"/>
        <v>58.749212220809966</v>
      </c>
      <c r="W125" s="58"/>
      <c r="X125" s="157">
        <f t="shared" si="33"/>
        <v>43576</v>
      </c>
      <c r="Y125" s="385">
        <f t="shared" si="34"/>
        <v>18.811</v>
      </c>
      <c r="Z125" s="385">
        <f t="shared" si="35"/>
        <v>18.942062809941429</v>
      </c>
      <c r="AA125" s="386">
        <f t="shared" si="36"/>
        <v>19.28374597972158</v>
      </c>
      <c r="AB125" s="197">
        <f t="shared" si="37"/>
        <v>43576</v>
      </c>
      <c r="AC125" s="426">
        <f>IF(OR(t&lt;Tnet,NoTnet),'2018'!Resal_s+('2018'!Salim-'2018'!Resal_s)*(1-EXP(('2018'!Tnet_s-t)/'2018'!Tau_j)),Resal_s+(Salim-Resal_s)*(1-EXP((Tnet_s-t)/Tau_j)))*Salcycl</f>
        <v>1.7718713477114689E-2</v>
      </c>
      <c r="AD125" s="231">
        <f>(INDEX(Models!$BJ125:$BT125,,AH125)*(1-AF125)+INDEX(Models!$BJ125:$BT125,,AH125+1)*AF125-ERP_i)*AE125*Ramure*Pc/MaxiM</f>
        <v>3.2592858316322625E-6</v>
      </c>
      <c r="AE125" s="305">
        <f t="shared" si="38"/>
        <v>0.5</v>
      </c>
      <c r="AF125" s="177">
        <f t="shared" si="39"/>
        <v>0.55357531764776713</v>
      </c>
      <c r="AG125" s="176">
        <f t="shared" si="40"/>
        <v>-2</v>
      </c>
      <c r="AH125" s="176">
        <f t="shared" si="41"/>
        <v>4</v>
      </c>
      <c r="AI125" s="225">
        <f t="shared" si="42"/>
        <v>-1.4464246823522329</v>
      </c>
      <c r="AJ125" s="265" t="b">
        <f t="shared" si="43"/>
        <v>0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7">
        <v>33.593000000000004</v>
      </c>
      <c r="C126" s="390"/>
      <c r="D126" s="393">
        <f t="shared" si="24"/>
        <v>33.827795084598399</v>
      </c>
      <c r="E126" s="385">
        <f t="shared" si="46"/>
        <v>34.439924068272788</v>
      </c>
      <c r="F126" s="385">
        <f t="shared" si="25"/>
        <v>34.439974387722657</v>
      </c>
      <c r="G126" s="110">
        <f t="shared" si="47"/>
        <v>0.57012650267356069</v>
      </c>
      <c r="H126" s="414" t="b">
        <f>Wh_hp&gt;='2018'!Maxi_hp</f>
        <v>1</v>
      </c>
      <c r="I126" s="390">
        <f>IF(H126,Wh_hp,'2018'!Maxi_hp)</f>
        <v>34.439974387722657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6.9408923641404163E-3</v>
      </c>
      <c r="M126" s="845"/>
      <c r="N126" s="845"/>
      <c r="O126" s="48">
        <f>IF(t&lt;Tnet,'2018'!Resal+('2018'!Salim-'2018'!Resal)*(1-EXP(('2018'!Tnet-t)/('2018'!Tau_j))),Resal+(Salim-Resal)*(1-EXP((Tnet-t)/(Tau_j))))*Salcycl</f>
        <v>1.7773819200673155E-2</v>
      </c>
      <c r="P126" s="169">
        <f>(INDEX(Models!$BJ126:$BT126,,T126)*(1-R126)+INDEX(Models!$BJ126:$BT126,,T126+1)*R126-ERP_i)*Q126*Ramure*Pc/MaxiM</f>
        <v>3.7861845378267651E-6</v>
      </c>
      <c r="Q126" s="305">
        <f t="shared" si="27"/>
        <v>0.5</v>
      </c>
      <c r="R126" s="177">
        <f t="shared" si="28"/>
        <v>0.55568060119464957</v>
      </c>
      <c r="S126" s="811">
        <f t="shared" si="29"/>
        <v>-2</v>
      </c>
      <c r="T126" s="176">
        <f t="shared" si="30"/>
        <v>4</v>
      </c>
      <c r="U126" s="251">
        <f t="shared" si="31"/>
        <v>-1.4443193988053504</v>
      </c>
      <c r="V126" s="383">
        <f t="shared" si="32"/>
        <v>58.921873891167451</v>
      </c>
      <c r="W126" s="58"/>
      <c r="X126" s="157">
        <f t="shared" si="33"/>
        <v>43577</v>
      </c>
      <c r="Y126" s="385">
        <f t="shared" si="34"/>
        <v>33.593000000000004</v>
      </c>
      <c r="Z126" s="385">
        <f t="shared" si="35"/>
        <v>33.827795084598399</v>
      </c>
      <c r="AA126" s="386">
        <f t="shared" si="36"/>
        <v>34.439924068272788</v>
      </c>
      <c r="AB126" s="197">
        <f t="shared" si="37"/>
        <v>43577</v>
      </c>
      <c r="AC126" s="426">
        <f>IF(OR(t&lt;Tnet,NoTnet),'2018'!Resal_s+('2018'!Salim-'2018'!Resal_s)*(1-EXP(('2018'!Tnet_s-t)/'2018'!Tau_j)),Resal_s+(Salim-Resal_s)*(1-EXP((Tnet_s-t)/Tau_j)))*Salcycl</f>
        <v>1.7773819200673155E-2</v>
      </c>
      <c r="AD126" s="231">
        <f>(INDEX(Models!$BJ126:$BT126,,AH126)*(1-AF126)+INDEX(Models!$BJ126:$BT126,,AH126+1)*AF126-ERP_i)*AE126*Ramure*Pc/MaxiM</f>
        <v>3.7861845378267651E-6</v>
      </c>
      <c r="AE126" s="305">
        <f t="shared" si="38"/>
        <v>0.5</v>
      </c>
      <c r="AF126" s="177">
        <f t="shared" si="39"/>
        <v>0.55568060119464957</v>
      </c>
      <c r="AG126" s="176">
        <f t="shared" si="40"/>
        <v>-2</v>
      </c>
      <c r="AH126" s="176">
        <f t="shared" si="41"/>
        <v>4</v>
      </c>
      <c r="AI126" s="225">
        <f t="shared" si="42"/>
        <v>-1.4443193988053504</v>
      </c>
      <c r="AJ126" s="265" t="b">
        <f t="shared" si="43"/>
        <v>0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7">
        <v>35.581000000000003</v>
      </c>
      <c r="C127" s="390"/>
      <c r="D127" s="393">
        <f t="shared" si="24"/>
        <v>35.830474801237038</v>
      </c>
      <c r="E127" s="385">
        <f t="shared" si="46"/>
        <v>36.480898916152569</v>
      </c>
      <c r="F127" s="385">
        <f t="shared" si="25"/>
        <v>36.480967732620293</v>
      </c>
      <c r="G127" s="110">
        <f t="shared" si="47"/>
        <v>0.60216248230224378</v>
      </c>
      <c r="H127" s="414" t="b">
        <f>Wh_hp&gt;='2018'!Maxi_hp</f>
        <v>1</v>
      </c>
      <c r="I127" s="390">
        <f>IF(H127,Wh_hp,'2018'!Maxi_hp)</f>
        <v>36.480967732620293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6.9626429072165985E-3</v>
      </c>
      <c r="M127" s="845"/>
      <c r="N127" s="845"/>
      <c r="O127" s="48">
        <f>IF(t&lt;Tnet,'2018'!Resal+('2018'!Salim-'2018'!Resal)*(1-EXP(('2018'!Tnet-t)/('2018'!Tau_j))),Resal+(Salim-Resal)*(1-EXP((Tnet-t)/(Tau_j))))*Salcycl</f>
        <v>1.7829169078603713E-2</v>
      </c>
      <c r="P127" s="169">
        <f>(INDEX(Models!$BJ127:$BT127,,T127)*(1-R127)+INDEX(Models!$BJ127:$BT127,,T127+1)*R127-ERP_i)*Q127*Ramure*Pc/MaxiM</f>
        <v>4.3699994014860533E-6</v>
      </c>
      <c r="Q127" s="305">
        <f t="shared" si="27"/>
        <v>0.5</v>
      </c>
      <c r="R127" s="177">
        <f t="shared" si="28"/>
        <v>0.55785307019868302</v>
      </c>
      <c r="S127" s="811">
        <f t="shared" si="29"/>
        <v>-2</v>
      </c>
      <c r="T127" s="176">
        <f t="shared" si="30"/>
        <v>4</v>
      </c>
      <c r="U127" s="251">
        <f t="shared" si="31"/>
        <v>-1.442146929801317</v>
      </c>
      <c r="V127" s="383">
        <f t="shared" si="32"/>
        <v>59.088556121343302</v>
      </c>
      <c r="W127" s="58"/>
      <c r="X127" s="157">
        <f t="shared" si="33"/>
        <v>43578</v>
      </c>
      <c r="Y127" s="385">
        <f t="shared" si="34"/>
        <v>35.581000000000003</v>
      </c>
      <c r="Z127" s="385">
        <f t="shared" si="35"/>
        <v>35.830474801237038</v>
      </c>
      <c r="AA127" s="386">
        <f t="shared" si="36"/>
        <v>36.480898916152569</v>
      </c>
      <c r="AB127" s="197">
        <f t="shared" si="37"/>
        <v>43578</v>
      </c>
      <c r="AC127" s="426">
        <f>IF(OR(t&lt;Tnet,NoTnet),'2018'!Resal_s+('2018'!Salim-'2018'!Resal_s)*(1-EXP(('2018'!Tnet_s-t)/'2018'!Tau_j)),Resal_s+(Salim-Resal_s)*(1-EXP((Tnet_s-t)/Tau_j)))*Salcycl</f>
        <v>1.7829169078603713E-2</v>
      </c>
      <c r="AD127" s="231">
        <f>(INDEX(Models!$BJ127:$BT127,,AH127)*(1-AF127)+INDEX(Models!$BJ127:$BT127,,AH127+1)*AF127-ERP_i)*AE127*Ramure*Pc/MaxiM</f>
        <v>4.3699994014860533E-6</v>
      </c>
      <c r="AE127" s="305">
        <f t="shared" si="38"/>
        <v>0.5</v>
      </c>
      <c r="AF127" s="177">
        <f t="shared" si="39"/>
        <v>0.55785307019868302</v>
      </c>
      <c r="AG127" s="176">
        <f t="shared" si="40"/>
        <v>-2</v>
      </c>
      <c r="AH127" s="176">
        <f t="shared" si="41"/>
        <v>4</v>
      </c>
      <c r="AI127" s="225">
        <f t="shared" si="42"/>
        <v>-1.442146929801317</v>
      </c>
      <c r="AJ127" s="265" t="b">
        <f t="shared" si="43"/>
        <v>0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7">
        <v>52.439</v>
      </c>
      <c r="C128" s="390"/>
      <c r="D128" s="393">
        <f t="shared" si="24"/>
        <v>52.80783064129799</v>
      </c>
      <c r="E128" s="385">
        <f t="shared" si="46"/>
        <v>53.769485282578017</v>
      </c>
      <c r="F128" s="385">
        <f t="shared" si="25"/>
        <v>53.769712691918087</v>
      </c>
      <c r="G128" s="110">
        <f t="shared" si="47"/>
        <v>0.88505208344268738</v>
      </c>
      <c r="H128" s="414" t="b">
        <f>Wh_hp&gt;='2018'!Maxi_hp</f>
        <v>1</v>
      </c>
      <c r="I128" s="390">
        <f>IF(H128,Wh_hp,'2018'!Maxi_hp)</f>
        <v>53.769712691918087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6.9843929739001887E-3</v>
      </c>
      <c r="M128" s="845"/>
      <c r="N128" s="845"/>
      <c r="O128" s="48">
        <f>IF(t&lt;Tnet,'2018'!Resal+('2018'!Salim-'2018'!Resal)*(1-EXP(('2018'!Tnet-t)/('2018'!Tau_j))),Resal+(Salim-Resal)*(1-EXP((Tnet-t)/(Tau_j))))*Salcycl</f>
        <v>1.7884765610572378E-2</v>
      </c>
      <c r="P128" s="169">
        <f>(INDEX(Models!$BJ128:$BT128,,T128)*(1-R128)+INDEX(Models!$BJ128:$BT128,,T128+1)*R128-ERP_i)*Q128*Ramure*Pc/MaxiM</f>
        <v>5.060268319449271E-6</v>
      </c>
      <c r="Q128" s="305">
        <f t="shared" si="27"/>
        <v>0.5</v>
      </c>
      <c r="R128" s="177">
        <f t="shared" si="28"/>
        <v>0.56009406958526453</v>
      </c>
      <c r="S128" s="811">
        <f t="shared" si="29"/>
        <v>-2</v>
      </c>
      <c r="T128" s="176">
        <f t="shared" si="30"/>
        <v>4</v>
      </c>
      <c r="U128" s="251">
        <f t="shared" si="31"/>
        <v>-1.4399059304147355</v>
      </c>
      <c r="V128" s="383">
        <f t="shared" si="32"/>
        <v>59.24957119106184</v>
      </c>
      <c r="W128" s="58"/>
      <c r="X128" s="157">
        <f t="shared" si="33"/>
        <v>43579</v>
      </c>
      <c r="Y128" s="385">
        <f t="shared" si="34"/>
        <v>52.439</v>
      </c>
      <c r="Z128" s="385">
        <f t="shared" si="35"/>
        <v>52.80783064129799</v>
      </c>
      <c r="AA128" s="386">
        <f t="shared" si="36"/>
        <v>53.769485282578017</v>
      </c>
      <c r="AB128" s="197">
        <f t="shared" si="37"/>
        <v>43579</v>
      </c>
      <c r="AC128" s="426">
        <f>IF(OR(t&lt;Tnet,NoTnet),'2018'!Resal_s+('2018'!Salim-'2018'!Resal_s)*(1-EXP(('2018'!Tnet_s-t)/'2018'!Tau_j)),Resal_s+(Salim-Resal_s)*(1-EXP((Tnet_s-t)/Tau_j)))*Salcycl</f>
        <v>1.7884765610572378E-2</v>
      </c>
      <c r="AD128" s="231">
        <f>(INDEX(Models!$BJ128:$BT128,,AH128)*(1-AF128)+INDEX(Models!$BJ128:$BT128,,AH128+1)*AF128-ERP_i)*AE128*Ramure*Pc/MaxiM</f>
        <v>5.060268319449271E-6</v>
      </c>
      <c r="AE128" s="305">
        <f t="shared" si="38"/>
        <v>0.5</v>
      </c>
      <c r="AF128" s="177">
        <f t="shared" si="39"/>
        <v>0.56009406958526453</v>
      </c>
      <c r="AG128" s="176">
        <f t="shared" si="40"/>
        <v>-2</v>
      </c>
      <c r="AH128" s="176">
        <f t="shared" si="41"/>
        <v>4</v>
      </c>
      <c r="AI128" s="225">
        <f t="shared" si="42"/>
        <v>-1.4399059304147355</v>
      </c>
      <c r="AJ128" s="265" t="b">
        <f t="shared" si="43"/>
        <v>0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7">
        <v>36.433999999999997</v>
      </c>
      <c r="C129" s="390"/>
      <c r="D129" s="393">
        <f t="shared" si="24"/>
        <v>36.691062816927463</v>
      </c>
      <c r="E129" s="385">
        <f t="shared" si="46"/>
        <v>37.361348227448957</v>
      </c>
      <c r="F129" s="385">
        <f t="shared" si="25"/>
        <v>37.361445897301593</v>
      </c>
      <c r="G129" s="110">
        <f t="shared" si="47"/>
        <v>0.61331097047111527</v>
      </c>
      <c r="H129" s="414" t="b">
        <f>Wh_hp&gt;='2018'!Maxi_hp</f>
        <v>1</v>
      </c>
      <c r="I129" s="390">
        <f>IF(H129,Wh_hp,'2018'!Maxi_hp)</f>
        <v>37.361445897301593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7.0061425642014008E-3</v>
      </c>
      <c r="M129" s="845"/>
      <c r="N129" s="845"/>
      <c r="O129" s="48">
        <f>IF(t&lt;Tnet,'2018'!Resal+('2018'!Salim-'2018'!Resal)*(1-EXP(('2018'!Tnet-t)/('2018'!Tau_j))),Resal+(Salim-Resal)*(1-EXP((Tnet-t)/(Tau_j))))*Salcycl</f>
        <v>1.7940610880552828E-2</v>
      </c>
      <c r="P129" s="169">
        <f>(INDEX(Models!$BJ129:$BT129,,T129)*(1-R129)+INDEX(Models!$BJ129:$BT129,,T129+1)*R129-ERP_i)*Q129*Ramure*Pc/MaxiM</f>
        <v>5.8405877414678535E-6</v>
      </c>
      <c r="Q129" s="305">
        <f t="shared" si="27"/>
        <v>0.5</v>
      </c>
      <c r="R129" s="177">
        <f t="shared" si="28"/>
        <v>0.56240491109023028</v>
      </c>
      <c r="S129" s="811">
        <f t="shared" si="29"/>
        <v>-2</v>
      </c>
      <c r="T129" s="176">
        <f t="shared" si="30"/>
        <v>4</v>
      </c>
      <c r="U129" s="251">
        <f t="shared" si="31"/>
        <v>-1.4375950889097697</v>
      </c>
      <c r="V129" s="383">
        <f t="shared" si="32"/>
        <v>59.405235195885517</v>
      </c>
      <c r="W129" s="58"/>
      <c r="X129" s="157">
        <f t="shared" si="33"/>
        <v>43580</v>
      </c>
      <c r="Y129" s="385">
        <f t="shared" si="34"/>
        <v>36.433999999999997</v>
      </c>
      <c r="Z129" s="385">
        <f t="shared" si="35"/>
        <v>36.691062816927463</v>
      </c>
      <c r="AA129" s="386">
        <f t="shared" si="36"/>
        <v>37.361348227448957</v>
      </c>
      <c r="AB129" s="197">
        <f t="shared" si="37"/>
        <v>43580</v>
      </c>
      <c r="AC129" s="426">
        <f>IF(OR(t&lt;Tnet,NoTnet),'2018'!Resal_s+('2018'!Salim-'2018'!Resal_s)*(1-EXP(('2018'!Tnet_s-t)/'2018'!Tau_j)),Resal_s+(Salim-Resal_s)*(1-EXP((Tnet_s-t)/Tau_j)))*Salcycl</f>
        <v>1.7940610880552828E-2</v>
      </c>
      <c r="AD129" s="231">
        <f>(INDEX(Models!$BJ129:$BT129,,AH129)*(1-AF129)+INDEX(Models!$BJ129:$BT129,,AH129+1)*AF129-ERP_i)*AE129*Ramure*Pc/MaxiM</f>
        <v>5.8405877414678535E-6</v>
      </c>
      <c r="AE129" s="305">
        <f t="shared" si="38"/>
        <v>0.5</v>
      </c>
      <c r="AF129" s="177">
        <f t="shared" si="39"/>
        <v>0.56240491109023028</v>
      </c>
      <c r="AG129" s="176">
        <f t="shared" si="40"/>
        <v>-2</v>
      </c>
      <c r="AH129" s="176">
        <f t="shared" si="41"/>
        <v>4</v>
      </c>
      <c r="AI129" s="225">
        <f t="shared" si="42"/>
        <v>-1.4375950889097697</v>
      </c>
      <c r="AJ129" s="265" t="b">
        <f t="shared" si="43"/>
        <v>0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7">
        <v>30.004999999999999</v>
      </c>
      <c r="C130" s="390"/>
      <c r="D130" s="393">
        <f t="shared" si="24"/>
        <v>30.217364363545606</v>
      </c>
      <c r="E130" s="385">
        <f t="shared" si="46"/>
        <v>30.771143604750673</v>
      </c>
      <c r="F130" s="385">
        <f t="shared" si="25"/>
        <v>30.771203752009519</v>
      </c>
      <c r="G130" s="110">
        <f t="shared" si="47"/>
        <v>0.50381029964953372</v>
      </c>
      <c r="H130" s="414" t="b">
        <f>Wh_hp&gt;='2018'!Maxi_hp</f>
        <v>1</v>
      </c>
      <c r="I130" s="390">
        <f>IF(H130,Wh_hp,'2018'!Maxi_hp)</f>
        <v>30.771203752009519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7.0278916781307821E-3</v>
      </c>
      <c r="M130" s="845"/>
      <c r="N130" s="845"/>
      <c r="O130" s="48">
        <f>IF(t&lt;Tnet,'2018'!Resal+('2018'!Salim-'2018'!Resal)*(1-EXP(('2018'!Tnet-t)/('2018'!Tau_j))),Resal+(Salim-Resal)*(1-EXP((Tnet-t)/(Tau_j))))*Salcycl</f>
        <v>1.7996706535130826E-2</v>
      </c>
      <c r="P130" s="169">
        <f>(INDEX(Models!$BJ130:$BT130,,T130)*(1-R130)+INDEX(Models!$BJ130:$BT130,,T130+1)*R130-ERP_i)*Q130*Ramure*Pc/MaxiM</f>
        <v>6.7133324976339442E-6</v>
      </c>
      <c r="Q130" s="305">
        <f t="shared" si="27"/>
        <v>0.5</v>
      </c>
      <c r="R130" s="177">
        <f t="shared" si="28"/>
        <v>0.56478686786808918</v>
      </c>
      <c r="S130" s="811">
        <f t="shared" si="29"/>
        <v>-2</v>
      </c>
      <c r="T130" s="176">
        <f t="shared" si="30"/>
        <v>4</v>
      </c>
      <c r="U130" s="251">
        <f t="shared" si="31"/>
        <v>-1.4352131321319108</v>
      </c>
      <c r="V130" s="383">
        <f t="shared" si="32"/>
        <v>59.555863063224812</v>
      </c>
      <c r="W130" s="58"/>
      <c r="X130" s="157">
        <f t="shared" si="33"/>
        <v>43581</v>
      </c>
      <c r="Y130" s="385">
        <f t="shared" si="34"/>
        <v>30.004999999999999</v>
      </c>
      <c r="Z130" s="385">
        <f t="shared" si="35"/>
        <v>30.217364363545606</v>
      </c>
      <c r="AA130" s="386">
        <f t="shared" si="36"/>
        <v>30.771143604750673</v>
      </c>
      <c r="AB130" s="197">
        <f t="shared" si="37"/>
        <v>43581</v>
      </c>
      <c r="AC130" s="426">
        <f>IF(OR(t&lt;Tnet,NoTnet),'2018'!Resal_s+('2018'!Salim-'2018'!Resal_s)*(1-EXP(('2018'!Tnet_s-t)/'2018'!Tau_j)),Resal_s+(Salim-Resal_s)*(1-EXP((Tnet_s-t)/Tau_j)))*Salcycl</f>
        <v>1.7996706535130826E-2</v>
      </c>
      <c r="AD130" s="231">
        <f>(INDEX(Models!$BJ130:$BT130,,AH130)*(1-AF130)+INDEX(Models!$BJ130:$BT130,,AH130+1)*AF130-ERP_i)*AE130*Ramure*Pc/MaxiM</f>
        <v>6.7133324976339442E-6</v>
      </c>
      <c r="AE130" s="305">
        <f t="shared" si="38"/>
        <v>0.5</v>
      </c>
      <c r="AF130" s="177">
        <f t="shared" si="39"/>
        <v>0.56478686786808918</v>
      </c>
      <c r="AG130" s="176">
        <f t="shared" si="40"/>
        <v>-2</v>
      </c>
      <c r="AH130" s="176">
        <f t="shared" si="41"/>
        <v>4</v>
      </c>
      <c r="AI130" s="225">
        <f t="shared" si="42"/>
        <v>-1.4352131321319108</v>
      </c>
      <c r="AJ130" s="265" t="b">
        <f t="shared" si="43"/>
        <v>0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7">
        <v>29.672999999999998</v>
      </c>
      <c r="C131" s="390"/>
      <c r="D131" s="393">
        <f t="shared" si="24"/>
        <v>29.883669118599478</v>
      </c>
      <c r="E131" s="385">
        <f t="shared" si="46"/>
        <v>30.433079132301494</v>
      </c>
      <c r="F131" s="385">
        <f t="shared" si="25"/>
        <v>30.433144925485259</v>
      </c>
      <c r="G131" s="110">
        <f t="shared" si="47"/>
        <v>0.49701769991741207</v>
      </c>
      <c r="H131" s="414" t="b">
        <f>Wh_hp&gt;='2018'!Maxi_hp</f>
        <v>1</v>
      </c>
      <c r="I131" s="390">
        <f>IF(H131,Wh_hp,'2018'!Maxi_hp)</f>
        <v>30.433144925485259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7.0496403156987686E-3</v>
      </c>
      <c r="M131" s="845"/>
      <c r="N131" s="845"/>
      <c r="O131" s="48">
        <f>IF(t&lt;Tnet,'2018'!Resal+('2018'!Salim-'2018'!Resal)*(1-EXP(('2018'!Tnet-t)/('2018'!Tau_j))),Resal+(Salim-Resal)*(1-EXP((Tnet-t)/(Tau_j))))*Salcycl</f>
        <v>1.805305376145374E-2</v>
      </c>
      <c r="P131" s="169">
        <f>(INDEX(Models!$BJ131:$BT131,,T131)*(1-R131)+INDEX(Models!$BJ131:$BT131,,T131+1)*R131-ERP_i)*Q131*Ramure*Pc/MaxiM</f>
        <v>7.6810539782731687E-6</v>
      </c>
      <c r="Q131" s="305">
        <f t="shared" si="27"/>
        <v>0.5</v>
      </c>
      <c r="R131" s="177">
        <f t="shared" si="28"/>
        <v>0.56724116885522413</v>
      </c>
      <c r="S131" s="811">
        <f t="shared" si="29"/>
        <v>-2</v>
      </c>
      <c r="T131" s="176">
        <f t="shared" si="30"/>
        <v>4</v>
      </c>
      <c r="U131" s="251">
        <f t="shared" si="31"/>
        <v>-1.4327588311447759</v>
      </c>
      <c r="V131" s="383">
        <f t="shared" si="32"/>
        <v>59.701769644208127</v>
      </c>
      <c r="W131" s="58"/>
      <c r="X131" s="157">
        <f t="shared" si="33"/>
        <v>43582</v>
      </c>
      <c r="Y131" s="385">
        <f t="shared" si="34"/>
        <v>29.672999999999998</v>
      </c>
      <c r="Z131" s="385">
        <f t="shared" si="35"/>
        <v>29.883669118599478</v>
      </c>
      <c r="AA131" s="386">
        <f t="shared" si="36"/>
        <v>30.433079132301494</v>
      </c>
      <c r="AB131" s="197">
        <f t="shared" si="37"/>
        <v>43582</v>
      </c>
      <c r="AC131" s="426">
        <f>IF(OR(t&lt;Tnet,NoTnet),'2018'!Resal_s+('2018'!Salim-'2018'!Resal_s)*(1-EXP(('2018'!Tnet_s-t)/'2018'!Tau_j)),Resal_s+(Salim-Resal_s)*(1-EXP((Tnet_s-t)/Tau_j)))*Salcycl</f>
        <v>1.805305376145374E-2</v>
      </c>
      <c r="AD131" s="231">
        <f>(INDEX(Models!$BJ131:$BT131,,AH131)*(1-AF131)+INDEX(Models!$BJ131:$BT131,,AH131+1)*AF131-ERP_i)*AE131*Ramure*Pc/MaxiM</f>
        <v>7.6810539782731687E-6</v>
      </c>
      <c r="AE131" s="305">
        <f t="shared" si="38"/>
        <v>0.5</v>
      </c>
      <c r="AF131" s="177">
        <f t="shared" si="39"/>
        <v>0.56724116885522413</v>
      </c>
      <c r="AG131" s="176">
        <f t="shared" si="40"/>
        <v>-2</v>
      </c>
      <c r="AH131" s="176">
        <f t="shared" si="41"/>
        <v>4</v>
      </c>
      <c r="AI131" s="225">
        <f t="shared" si="42"/>
        <v>-1.4327588311447759</v>
      </c>
      <c r="AJ131" s="265" t="b">
        <f t="shared" si="43"/>
        <v>0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7">
        <v>45.695999999999998</v>
      </c>
      <c r="C132" s="390"/>
      <c r="D132" s="393">
        <f t="shared" si="24"/>
        <v>46.021435448320375</v>
      </c>
      <c r="E132" s="385">
        <f t="shared" si="46"/>
        <v>46.870239229206589</v>
      </c>
      <c r="F132" s="385">
        <f t="shared" si="25"/>
        <v>46.870510731346037</v>
      </c>
      <c r="G132" s="110">
        <f t="shared" si="47"/>
        <v>0.76359238449596145</v>
      </c>
      <c r="H132" s="414" t="b">
        <f>Wh_hp&gt;='2018'!Maxi_hp</f>
        <v>1</v>
      </c>
      <c r="I132" s="390">
        <f>IF(H132,Wh_hp,'2018'!Maxi_hp)</f>
        <v>46.870510731346037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7.0713884769157964E-3</v>
      </c>
      <c r="M132" s="845"/>
      <c r="N132" s="845"/>
      <c r="O132" s="48">
        <f>IF(t&lt;Tnet,'2018'!Resal+('2018'!Salim-'2018'!Resal)*(1-EXP(('2018'!Tnet-t)/('2018'!Tau_j))),Resal+(Salim-Resal)*(1-EXP((Tnet-t)/(Tau_j))))*Salcycl</f>
        <v>1.810965326495053E-2</v>
      </c>
      <c r="P132" s="169">
        <f>(INDEX(Models!$BJ132:$BT132,,T132)*(1-R132)+INDEX(Models!$BJ132:$BT132,,T132+1)*R132-ERP_i)*Q132*Ramure*Pc/MaxiM</f>
        <v>8.7464779206808429E-6</v>
      </c>
      <c r="Q132" s="305">
        <f t="shared" si="27"/>
        <v>0.5</v>
      </c>
      <c r="R132" s="177">
        <f t="shared" si="28"/>
        <v>0.56976899289810157</v>
      </c>
      <c r="S132" s="811">
        <f t="shared" si="29"/>
        <v>-2</v>
      </c>
      <c r="T132" s="176">
        <f t="shared" si="30"/>
        <v>4</v>
      </c>
      <c r="U132" s="251">
        <f t="shared" si="31"/>
        <v>-1.4302310071018984</v>
      </c>
      <c r="V132" s="383">
        <f t="shared" si="32"/>
        <v>59.84326971646589</v>
      </c>
      <c r="W132" s="58"/>
      <c r="X132" s="157">
        <f t="shared" si="33"/>
        <v>43583</v>
      </c>
      <c r="Y132" s="385">
        <f t="shared" si="34"/>
        <v>45.695999999999998</v>
      </c>
      <c r="Z132" s="385">
        <f t="shared" si="35"/>
        <v>46.021435448320375</v>
      </c>
      <c r="AA132" s="386">
        <f t="shared" si="36"/>
        <v>46.870239229206589</v>
      </c>
      <c r="AB132" s="197">
        <f t="shared" si="37"/>
        <v>43583</v>
      </c>
      <c r="AC132" s="426">
        <f>IF(OR(t&lt;Tnet,NoTnet),'2018'!Resal_s+('2018'!Salim-'2018'!Resal_s)*(1-EXP(('2018'!Tnet_s-t)/'2018'!Tau_j)),Resal_s+(Salim-Resal_s)*(1-EXP((Tnet_s-t)/Tau_j)))*Salcycl</f>
        <v>1.810965326495053E-2</v>
      </c>
      <c r="AD132" s="231">
        <f>(INDEX(Models!$BJ132:$BT132,,AH132)*(1-AF132)+INDEX(Models!$BJ132:$BT132,,AH132+1)*AF132-ERP_i)*AE132*Ramure*Pc/MaxiM</f>
        <v>8.7464779206808429E-6</v>
      </c>
      <c r="AE132" s="305">
        <f t="shared" si="38"/>
        <v>0.5</v>
      </c>
      <c r="AF132" s="177">
        <f t="shared" si="39"/>
        <v>0.56976899289810157</v>
      </c>
      <c r="AG132" s="176">
        <f t="shared" si="40"/>
        <v>-2</v>
      </c>
      <c r="AH132" s="176">
        <f t="shared" si="41"/>
        <v>4</v>
      </c>
      <c r="AI132" s="225">
        <f t="shared" si="42"/>
        <v>-1.4302310071018984</v>
      </c>
      <c r="AJ132" s="265" t="b">
        <f t="shared" si="43"/>
        <v>0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7">
        <v>51.405999999999999</v>
      </c>
      <c r="C133" s="390"/>
      <c r="D133" s="393">
        <f t="shared" si="24"/>
        <v>51.773234602572465</v>
      </c>
      <c r="E133" s="385">
        <f t="shared" si="46"/>
        <v>52.731175784133633</v>
      </c>
      <c r="F133" s="385">
        <f t="shared" si="25"/>
        <v>52.731591737433121</v>
      </c>
      <c r="G133" s="110">
        <f t="shared" si="47"/>
        <v>0.85704092819637467</v>
      </c>
      <c r="H133" s="414" t="b">
        <f>Wh_hp&gt;='2018'!Maxi_hp</f>
        <v>1</v>
      </c>
      <c r="I133" s="390">
        <f>IF(H133,Wh_hp,'2018'!Maxi_hp)</f>
        <v>52.731591737433121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7.0931361617923017E-3</v>
      </c>
      <c r="M133" s="845"/>
      <c r="N133" s="845"/>
      <c r="O133" s="48">
        <f>IF(t&lt;Tnet,'2018'!Resal+('2018'!Salim-'2018'!Resal)*(1-EXP(('2018'!Tnet-t)/('2018'!Tau_j))),Resal+(Salim-Resal)*(1-EXP((Tnet-t)/(Tau_j))))*Salcycl</f>
        <v>1.8166505246966447E-2</v>
      </c>
      <c r="P133" s="169">
        <f>(INDEX(Models!$BJ133:$BT133,,T133)*(1-R133)+INDEX(Models!$BJ133:$BT133,,T133+1)*R133-ERP_i)*Q133*Ramure*Pc/MaxiM</f>
        <v>9.912501684584203E-6</v>
      </c>
      <c r="Q133" s="305">
        <f t="shared" si="27"/>
        <v>0.5</v>
      </c>
      <c r="R133" s="177">
        <f t="shared" si="28"/>
        <v>0.57237146265923355</v>
      </c>
      <c r="S133" s="811">
        <f t="shared" si="29"/>
        <v>-2</v>
      </c>
      <c r="T133" s="176">
        <f t="shared" si="30"/>
        <v>4</v>
      </c>
      <c r="U133" s="251">
        <f t="shared" si="31"/>
        <v>-1.4276285373407664</v>
      </c>
      <c r="V133" s="383">
        <f t="shared" si="32"/>
        <v>59.980677984852541</v>
      </c>
      <c r="W133" s="58"/>
      <c r="X133" s="157">
        <f t="shared" si="33"/>
        <v>43584</v>
      </c>
      <c r="Y133" s="385">
        <f t="shared" si="34"/>
        <v>51.405999999999999</v>
      </c>
      <c r="Z133" s="385">
        <f t="shared" si="35"/>
        <v>51.773234602572465</v>
      </c>
      <c r="AA133" s="386">
        <f t="shared" si="36"/>
        <v>52.731175784133633</v>
      </c>
      <c r="AB133" s="197">
        <f t="shared" si="37"/>
        <v>43584</v>
      </c>
      <c r="AC133" s="426">
        <f>IF(OR(t&lt;Tnet,NoTnet),'2018'!Resal_s+('2018'!Salim-'2018'!Resal_s)*(1-EXP(('2018'!Tnet_s-t)/'2018'!Tau_j)),Resal_s+(Salim-Resal_s)*(1-EXP((Tnet_s-t)/Tau_j)))*Salcycl</f>
        <v>1.8166505246966447E-2</v>
      </c>
      <c r="AD133" s="231">
        <f>(INDEX(Models!$BJ133:$BT133,,AH133)*(1-AF133)+INDEX(Models!$BJ133:$BT133,,AH133+1)*AF133-ERP_i)*AE133*Ramure*Pc/MaxiM</f>
        <v>9.912501684584203E-6</v>
      </c>
      <c r="AE133" s="305">
        <f t="shared" si="38"/>
        <v>0.5</v>
      </c>
      <c r="AF133" s="177">
        <f t="shared" si="39"/>
        <v>0.57237146265923355</v>
      </c>
      <c r="AG133" s="176">
        <f t="shared" si="40"/>
        <v>-2</v>
      </c>
      <c r="AH133" s="176">
        <f t="shared" si="41"/>
        <v>4</v>
      </c>
      <c r="AI133" s="225">
        <f t="shared" si="42"/>
        <v>-1.4276285373407664</v>
      </c>
      <c r="AJ133" s="265" t="b">
        <f t="shared" si="43"/>
        <v>0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7">
        <v>60.515999999999998</v>
      </c>
      <c r="C134" s="390"/>
      <c r="D134" s="393">
        <f t="shared" si="24"/>
        <v>60.949649648713596</v>
      </c>
      <c r="E134" s="385">
        <f t="shared" si="46"/>
        <v>62.080989348681548</v>
      </c>
      <c r="F134" s="385">
        <f t="shared" si="25"/>
        <v>62.081683557920357</v>
      </c>
      <c r="G134" s="110">
        <f t="shared" si="47"/>
        <v>1.0066821182063173</v>
      </c>
      <c r="H134" s="414" t="b">
        <f>Wh_hp&gt;='2018'!Maxi_hp</f>
        <v>1</v>
      </c>
      <c r="I134" s="390">
        <f>IF(H134,Wh_hp,'2018'!Maxi_hp)</f>
        <v>62.081683557920357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7.1148833703386094E-3</v>
      </c>
      <c r="M134" s="845"/>
      <c r="N134" s="845"/>
      <c r="O134" s="48">
        <f>IF(t&lt;Tnet,'2018'!Resal+('2018'!Salim-'2018'!Resal)*(1-EXP(('2018'!Tnet-t)/('2018'!Tau_j))),Resal+(Salim-Resal)*(1-EXP((Tnet-t)/(Tau_j))))*Salcycl</f>
        <v>1.8223609382474824E-2</v>
      </c>
      <c r="P134" s="169">
        <f>(INDEX(Models!$BJ134:$BT134,,T134)*(1-R134)+INDEX(Models!$BJ134:$BT134,,T134+1)*R134-ERP_i)*Q134*Ramure*Pc/MaxiM</f>
        <v>1.1182190930083539E-5</v>
      </c>
      <c r="Q134" s="305">
        <f t="shared" si="27"/>
        <v>0.5</v>
      </c>
      <c r="R134" s="177">
        <f t="shared" si="28"/>
        <v>0.57504963831651268</v>
      </c>
      <c r="S134" s="811">
        <f t="shared" si="29"/>
        <v>-2</v>
      </c>
      <c r="T134" s="176">
        <f t="shared" si="30"/>
        <v>4</v>
      </c>
      <c r="U134" s="251">
        <f t="shared" si="31"/>
        <v>-1.4249503616834873</v>
      </c>
      <c r="V134" s="383">
        <f t="shared" si="32"/>
        <v>60.1143090808308</v>
      </c>
      <c r="W134" s="58"/>
      <c r="X134" s="157">
        <f t="shared" si="33"/>
        <v>43585</v>
      </c>
      <c r="Y134" s="385">
        <f t="shared" si="34"/>
        <v>60.515999999999998</v>
      </c>
      <c r="Z134" s="385">
        <f t="shared" si="35"/>
        <v>60.949649648713596</v>
      </c>
      <c r="AA134" s="386">
        <f t="shared" si="36"/>
        <v>62.080989348681548</v>
      </c>
      <c r="AB134" s="197">
        <f t="shared" si="37"/>
        <v>43585</v>
      </c>
      <c r="AC134" s="426">
        <f>IF(OR(t&lt;Tnet,NoTnet),'2018'!Resal_s+('2018'!Salim-'2018'!Resal_s)*(1-EXP(('2018'!Tnet_s-t)/'2018'!Tau_j)),Resal_s+(Salim-Resal_s)*(1-EXP((Tnet_s-t)/Tau_j)))*Salcycl</f>
        <v>1.8223609382474824E-2</v>
      </c>
      <c r="AD134" s="231">
        <f>(INDEX(Models!$BJ134:$BT134,,AH134)*(1-AF134)+INDEX(Models!$BJ134:$BT134,,AH134+1)*AF134-ERP_i)*AE134*Ramure*Pc/MaxiM</f>
        <v>1.1182190930083539E-5</v>
      </c>
      <c r="AE134" s="305">
        <f t="shared" si="38"/>
        <v>0.5</v>
      </c>
      <c r="AF134" s="177">
        <f t="shared" si="39"/>
        <v>0.57504963831651268</v>
      </c>
      <c r="AG134" s="176">
        <f t="shared" si="40"/>
        <v>-2</v>
      </c>
      <c r="AH134" s="176">
        <f t="shared" si="41"/>
        <v>4</v>
      </c>
      <c r="AI134" s="225">
        <f t="shared" si="42"/>
        <v>-1.4249503616834873</v>
      </c>
      <c r="AJ134" s="265" t="b">
        <f t="shared" si="43"/>
        <v>0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7">
        <v>56.468000000000004</v>
      </c>
      <c r="C135" s="390"/>
      <c r="D135" s="393">
        <f t="shared" si="24"/>
        <v>56.873887900440209</v>
      </c>
      <c r="E135" s="385">
        <f t="shared" si="46"/>
        <v>57.932958271243415</v>
      </c>
      <c r="F135" s="385">
        <f t="shared" si="25"/>
        <v>57.93362071879104</v>
      </c>
      <c r="G135" s="110">
        <f t="shared" si="47"/>
        <v>0.93732881385047873</v>
      </c>
      <c r="H135" s="414" t="b">
        <f>Wh_hp&gt;='2018'!Maxi_hp</f>
        <v>1</v>
      </c>
      <c r="I135" s="390">
        <f>IF(H135,Wh_hp,'2018'!Maxi_hp)</f>
        <v>57.93362071879104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7.1366301025652668E-3</v>
      </c>
      <c r="M135" s="845"/>
      <c r="N135" s="845"/>
      <c r="O135" s="48">
        <f>IF(t&lt;Tnet,'2018'!Resal+('2018'!Salim-'2018'!Resal)*(1-EXP(('2018'!Tnet-t)/('2018'!Tau_j))),Resal+(Salim-Resal)*(1-EXP((Tnet-t)/(Tau_j))))*Salcycl</f>
        <v>1.8280964798044919E-2</v>
      </c>
      <c r="P135" s="169">
        <f>(INDEX(Models!$BJ135:$BT135,,T135)*(1-R135)+INDEX(Models!$BJ135:$BT135,,T135+1)*R135-ERP_i)*Q135*Ramure*Pc/MaxiM</f>
        <v>1.2558986489043637E-5</v>
      </c>
      <c r="Q135" s="305">
        <f t="shared" si="27"/>
        <v>0.5</v>
      </c>
      <c r="R135" s="177">
        <f t="shared" si="28"/>
        <v>0.57780451107457265</v>
      </c>
      <c r="S135" s="811">
        <f t="shared" si="29"/>
        <v>-2</v>
      </c>
      <c r="T135" s="176">
        <f t="shared" si="30"/>
        <v>4</v>
      </c>
      <c r="U135" s="251">
        <f t="shared" si="31"/>
        <v>-1.4221954889254274</v>
      </c>
      <c r="V135" s="383">
        <f t="shared" si="32"/>
        <v>60.243465977777397</v>
      </c>
      <c r="W135" s="58"/>
      <c r="X135" s="157">
        <f t="shared" si="33"/>
        <v>43586</v>
      </c>
      <c r="Y135" s="385">
        <f t="shared" si="34"/>
        <v>56.468000000000004</v>
      </c>
      <c r="Z135" s="385">
        <f t="shared" si="35"/>
        <v>56.873887900440209</v>
      </c>
      <c r="AA135" s="386">
        <f t="shared" si="36"/>
        <v>57.932958271243415</v>
      </c>
      <c r="AB135" s="197">
        <f t="shared" si="37"/>
        <v>43586</v>
      </c>
      <c r="AC135" s="426">
        <f>IF(OR(t&lt;Tnet,NoTnet),'2018'!Resal_s+('2018'!Salim-'2018'!Resal_s)*(1-EXP(('2018'!Tnet_s-t)/'2018'!Tau_j)),Resal_s+(Salim-Resal_s)*(1-EXP((Tnet_s-t)/Tau_j)))*Salcycl</f>
        <v>1.8280964798044919E-2</v>
      </c>
      <c r="AD135" s="231">
        <f>(INDEX(Models!$BJ135:$BT135,,AH135)*(1-AF135)+INDEX(Models!$BJ135:$BT135,,AH135+1)*AF135-ERP_i)*AE135*Ramure*Pc/MaxiM</f>
        <v>1.2558986489043637E-5</v>
      </c>
      <c r="AE135" s="305">
        <f t="shared" si="38"/>
        <v>0.5</v>
      </c>
      <c r="AF135" s="177">
        <f t="shared" si="39"/>
        <v>0.57780451107457265</v>
      </c>
      <c r="AG135" s="176">
        <f t="shared" si="40"/>
        <v>-2</v>
      </c>
      <c r="AH135" s="176">
        <f t="shared" si="41"/>
        <v>4</v>
      </c>
      <c r="AI135" s="225">
        <f t="shared" si="42"/>
        <v>-1.4221954889254274</v>
      </c>
      <c r="AJ135" s="265" t="b">
        <f t="shared" si="43"/>
        <v>0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7">
        <v>33.776000000000003</v>
      </c>
      <c r="C136" s="390"/>
      <c r="D136" s="393">
        <f t="shared" si="24"/>
        <v>34.019524560339562</v>
      </c>
      <c r="E136" s="385">
        <f t="shared" si="46"/>
        <v>34.655048596623928</v>
      </c>
      <c r="F136" s="385">
        <f t="shared" si="25"/>
        <v>34.655229664918352</v>
      </c>
      <c r="G136" s="110">
        <f t="shared" si="47"/>
        <v>0.55950315985059007</v>
      </c>
      <c r="H136" s="414" t="b">
        <f>Wh_hp&gt;='2018'!Maxi_hp</f>
        <v>1</v>
      </c>
      <c r="I136" s="390">
        <f>IF(H136,Wh_hp,'2018'!Maxi_hp)</f>
        <v>34.655229664918352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7.1583763584827098E-3</v>
      </c>
      <c r="M136" s="845"/>
      <c r="N136" s="845"/>
      <c r="O136" s="48">
        <f>IF(t&lt;Tnet,'2018'!Resal+('2018'!Salim-'2018'!Resal)*(1-EXP(('2018'!Tnet-t)/('2018'!Tau_j))),Resal+(Salim-Resal)*(1-EXP((Tnet-t)/(Tau_j))))*Salcycl</f>
        <v>1.8338570050260457E-2</v>
      </c>
      <c r="P136" s="169">
        <f>(INDEX(Models!$BJ136:$BT136,,T136)*(1-R136)+INDEX(Models!$BJ136:$BT136,,T136+1)*R136-ERP_i)*Q136*Ramure*Pc/MaxiM</f>
        <v>1.409356019269486E-5</v>
      </c>
      <c r="Q136" s="305">
        <f t="shared" si="27"/>
        <v>0.5</v>
      </c>
      <c r="R136" s="177">
        <f t="shared" si="28"/>
        <v>0.58063699651000777</v>
      </c>
      <c r="S136" s="811">
        <f t="shared" si="29"/>
        <v>-2</v>
      </c>
      <c r="T136" s="176">
        <f t="shared" si="30"/>
        <v>4</v>
      </c>
      <c r="U136" s="251">
        <f t="shared" si="31"/>
        <v>-1.4193630034899922</v>
      </c>
      <c r="V136" s="383">
        <f t="shared" si="32"/>
        <v>60.367309556962461</v>
      </c>
      <c r="W136" s="58"/>
      <c r="X136" s="157">
        <f t="shared" si="33"/>
        <v>43587</v>
      </c>
      <c r="Y136" s="385">
        <f t="shared" si="34"/>
        <v>33.776000000000003</v>
      </c>
      <c r="Z136" s="385">
        <f t="shared" si="35"/>
        <v>34.019524560339562</v>
      </c>
      <c r="AA136" s="386">
        <f t="shared" si="36"/>
        <v>34.655048596623928</v>
      </c>
      <c r="AB136" s="197">
        <f t="shared" si="37"/>
        <v>43587</v>
      </c>
      <c r="AC136" s="426">
        <f>IF(OR(t&lt;Tnet,NoTnet),'2018'!Resal_s+('2018'!Salim-'2018'!Resal_s)*(1-EXP(('2018'!Tnet_s-t)/'2018'!Tau_j)),Resal_s+(Salim-Resal_s)*(1-EXP((Tnet_s-t)/Tau_j)))*Salcycl</f>
        <v>1.8338570050260457E-2</v>
      </c>
      <c r="AD136" s="231">
        <f>(INDEX(Models!$BJ136:$BT136,,AH136)*(1-AF136)+INDEX(Models!$BJ136:$BT136,,AH136+1)*AF136-ERP_i)*AE136*Ramure*Pc/MaxiM</f>
        <v>1.409356019269486E-5</v>
      </c>
      <c r="AE136" s="305">
        <f t="shared" si="38"/>
        <v>0.5</v>
      </c>
      <c r="AF136" s="177">
        <f t="shared" si="39"/>
        <v>0.58063699651000777</v>
      </c>
      <c r="AG136" s="176">
        <f t="shared" si="40"/>
        <v>-2</v>
      </c>
      <c r="AH136" s="176">
        <f t="shared" si="41"/>
        <v>4</v>
      </c>
      <c r="AI136" s="225">
        <f t="shared" si="42"/>
        <v>-1.4193630034899922</v>
      </c>
      <c r="AJ136" s="265" t="b">
        <f t="shared" si="43"/>
        <v>0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7">
        <v>20.010000000000002</v>
      </c>
      <c r="C137" s="390"/>
      <c r="D137" s="393">
        <f t="shared" si="24"/>
        <v>20.154713303175217</v>
      </c>
      <c r="E137" s="385">
        <f t="shared" si="46"/>
        <v>20.532436696007434</v>
      </c>
      <c r="F137" s="385">
        <f t="shared" si="25"/>
        <v>20.532450941234753</v>
      </c>
      <c r="G137" s="110">
        <f t="shared" si="47"/>
        <v>0.33081565924233197</v>
      </c>
      <c r="H137" s="414" t="b">
        <f>Wh_hp&gt;='2018'!Maxi_hp</f>
        <v>1</v>
      </c>
      <c r="I137" s="390">
        <f>IF(H137,Wh_hp,'2018'!Maxi_hp)</f>
        <v>20.532450941234753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7.1801221381013747E-3</v>
      </c>
      <c r="M137" s="845"/>
      <c r="N137" s="845"/>
      <c r="O137" s="48">
        <f>IF(t&lt;Tnet,'2018'!Resal+('2018'!Salim-'2018'!Resal)*(1-EXP(('2018'!Tnet-t)/('2018'!Tau_j))),Resal+(Salim-Resal)*(1-EXP((Tnet-t)/(Tau_j))))*Salcycl</f>
        <v>1.8396423104797187E-2</v>
      </c>
      <c r="P137" s="169">
        <f>(INDEX(Models!$BJ137:$BT137,,T137)*(1-R137)+INDEX(Models!$BJ137:$BT137,,T137+1)*R137-ERP_i)*Q137*Ramure*Pc/MaxiM</f>
        <v>1.5757413823933479E-5</v>
      </c>
      <c r="Q137" s="305">
        <f t="shared" si="27"/>
        <v>0.5</v>
      </c>
      <c r="R137" s="177">
        <f t="shared" si="28"/>
        <v>0.58354792777557152</v>
      </c>
      <c r="S137" s="811">
        <f t="shared" si="29"/>
        <v>-2</v>
      </c>
      <c r="T137" s="176">
        <f t="shared" si="30"/>
        <v>4</v>
      </c>
      <c r="U137" s="251">
        <f t="shared" si="31"/>
        <v>-1.4164520722244285</v>
      </c>
      <c r="V137" s="383">
        <f t="shared" si="32"/>
        <v>60.485947438292804</v>
      </c>
      <c r="W137" s="58"/>
      <c r="X137" s="157">
        <f t="shared" si="33"/>
        <v>43588</v>
      </c>
      <c r="Y137" s="385">
        <f t="shared" si="34"/>
        <v>20.010000000000002</v>
      </c>
      <c r="Z137" s="385">
        <f t="shared" si="35"/>
        <v>20.154713303175217</v>
      </c>
      <c r="AA137" s="386">
        <f t="shared" si="36"/>
        <v>20.532436696007434</v>
      </c>
      <c r="AB137" s="197">
        <f t="shared" si="37"/>
        <v>43588</v>
      </c>
      <c r="AC137" s="426">
        <f>IF(OR(t&lt;Tnet,NoTnet),'2018'!Resal_s+('2018'!Salim-'2018'!Resal_s)*(1-EXP(('2018'!Tnet_s-t)/'2018'!Tau_j)),Resal_s+(Salim-Resal_s)*(1-EXP((Tnet_s-t)/Tau_j)))*Salcycl</f>
        <v>1.8396423104797187E-2</v>
      </c>
      <c r="AD137" s="231">
        <f>(INDEX(Models!$BJ137:$BT137,,AH137)*(1-AF137)+INDEX(Models!$BJ137:$BT137,,AH137+1)*AF137-ERP_i)*AE137*Ramure*Pc/MaxiM</f>
        <v>1.5757413823933479E-5</v>
      </c>
      <c r="AE137" s="305">
        <f t="shared" si="38"/>
        <v>0.5</v>
      </c>
      <c r="AF137" s="177">
        <f t="shared" si="39"/>
        <v>0.58354792777557152</v>
      </c>
      <c r="AG137" s="176">
        <f t="shared" si="40"/>
        <v>-2</v>
      </c>
      <c r="AH137" s="176">
        <f t="shared" si="41"/>
        <v>4</v>
      </c>
      <c r="AI137" s="225">
        <f t="shared" si="42"/>
        <v>-1.4164520722244285</v>
      </c>
      <c r="AJ137" s="265" t="b">
        <f t="shared" si="43"/>
        <v>0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7">
        <v>34.450000000000003</v>
      </c>
      <c r="C138" s="390"/>
      <c r="D138" s="393">
        <f t="shared" si="24"/>
        <v>34.69990410962793</v>
      </c>
      <c r="E138" s="385">
        <f t="shared" si="46"/>
        <v>35.352314144592675</v>
      </c>
      <c r="F138" s="385">
        <f t="shared" si="25"/>
        <v>35.352552182019927</v>
      </c>
      <c r="G138" s="110">
        <f t="shared" si="47"/>
        <v>0.56848052473980559</v>
      </c>
      <c r="H138" s="414" t="b">
        <f>Wh_hp&gt;='2018'!Maxi_hp</f>
        <v>1</v>
      </c>
      <c r="I138" s="390">
        <f>IF(H138,Wh_hp,'2018'!Maxi_hp)</f>
        <v>35.352552182019927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7.2018674414315864E-3</v>
      </c>
      <c r="M138" s="845"/>
      <c r="N138" s="845"/>
      <c r="O138" s="48">
        <f>IF(t&lt;Tnet,'2018'!Resal+('2018'!Salim-'2018'!Resal)*(1-EXP(('2018'!Tnet-t)/('2018'!Tau_j))),Resal+(Salim-Resal)*(1-EXP((Tnet-t)/(Tau_j))))*Salcycl</f>
        <v>1.8454521316379931E-2</v>
      </c>
      <c r="P138" s="169">
        <f>(INDEX(Models!$BJ138:$BT138,,T138)*(1-R138)+INDEX(Models!$BJ138:$BT138,,T138+1)*R138-ERP_i)*Q138*Ramure*Pc/MaxiM</f>
        <v>1.7554957254693869E-5</v>
      </c>
      <c r="Q138" s="305">
        <f t="shared" si="27"/>
        <v>0.5</v>
      </c>
      <c r="R138" s="177">
        <f t="shared" si="28"/>
        <v>0.58653804869186188</v>
      </c>
      <c r="S138" s="811">
        <f t="shared" si="29"/>
        <v>-2</v>
      </c>
      <c r="T138" s="176">
        <f t="shared" si="30"/>
        <v>4</v>
      </c>
      <c r="U138" s="251">
        <f t="shared" si="31"/>
        <v>-1.4134619513081381</v>
      </c>
      <c r="V138" s="383">
        <f t="shared" si="32"/>
        <v>60.599485277532544</v>
      </c>
      <c r="W138" s="58"/>
      <c r="X138" s="157">
        <f t="shared" si="33"/>
        <v>43589</v>
      </c>
      <c r="Y138" s="385">
        <f t="shared" si="34"/>
        <v>34.450000000000003</v>
      </c>
      <c r="Z138" s="385">
        <f t="shared" si="35"/>
        <v>34.69990410962793</v>
      </c>
      <c r="AA138" s="386">
        <f t="shared" si="36"/>
        <v>35.352314144592675</v>
      </c>
      <c r="AB138" s="197">
        <f t="shared" si="37"/>
        <v>43589</v>
      </c>
      <c r="AC138" s="426">
        <f>IF(OR(t&lt;Tnet,NoTnet),'2018'!Resal_s+('2018'!Salim-'2018'!Resal_s)*(1-EXP(('2018'!Tnet_s-t)/'2018'!Tau_j)),Resal_s+(Salim-Resal_s)*(1-EXP((Tnet_s-t)/Tau_j)))*Salcycl</f>
        <v>1.8454521316379931E-2</v>
      </c>
      <c r="AD138" s="231">
        <f>(INDEX(Models!$BJ138:$BT138,,AH138)*(1-AF138)+INDEX(Models!$BJ138:$BT138,,AH138+1)*AF138-ERP_i)*AE138*Ramure*Pc/MaxiM</f>
        <v>1.7554957254693869E-5</v>
      </c>
      <c r="AE138" s="305">
        <f t="shared" si="38"/>
        <v>0.5</v>
      </c>
      <c r="AF138" s="177">
        <f t="shared" si="39"/>
        <v>0.58653804869186188</v>
      </c>
      <c r="AG138" s="176">
        <f t="shared" si="40"/>
        <v>-2</v>
      </c>
      <c r="AH138" s="176">
        <f t="shared" si="41"/>
        <v>4</v>
      </c>
      <c r="AI138" s="225">
        <f t="shared" si="42"/>
        <v>-1.4134619513081381</v>
      </c>
      <c r="AJ138" s="265" t="b">
        <f t="shared" si="43"/>
        <v>0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7">
        <v>50.177</v>
      </c>
      <c r="C139" s="390"/>
      <c r="D139" s="393">
        <f t="shared" si="24"/>
        <v>50.54209650841306</v>
      </c>
      <c r="E139" s="385">
        <f t="shared" si="46"/>
        <v>51.495424159112112</v>
      </c>
      <c r="F139" s="385">
        <f t="shared" si="25"/>
        <v>51.49617913001579</v>
      </c>
      <c r="G139" s="110">
        <f t="shared" si="47"/>
        <v>0.8265258926107194</v>
      </c>
      <c r="H139" s="414" t="b">
        <f>Wh_hp&gt;='2018'!Maxi_hp</f>
        <v>1</v>
      </c>
      <c r="I139" s="390">
        <f>IF(H139,Wh_hp,'2018'!Maxi_hp)</f>
        <v>51.49617913001579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7.2236122684837811E-3</v>
      </c>
      <c r="M139" s="845"/>
      <c r="N139" s="845"/>
      <c r="O139" s="48">
        <f>IF(t&lt;Tnet,'2018'!Resal+('2018'!Salim-'2018'!Resal)*(1-EXP(('2018'!Tnet-t)/('2018'!Tau_j))),Resal+(Salim-Resal)*(1-EXP((Tnet-t)/(Tau_j))))*Salcycl</f>
        <v>1.8512861409849316E-2</v>
      </c>
      <c r="P139" s="169">
        <f>(INDEX(Models!$BJ139:$BT139,,T139)*(1-R139)+INDEX(Models!$BJ139:$BT139,,T139+1)*R139-ERP_i)*Q139*Ramure*Pc/MaxiM</f>
        <v>1.9490824974258558E-5</v>
      </c>
      <c r="Q139" s="305">
        <f t="shared" si="27"/>
        <v>0.5</v>
      </c>
      <c r="R139" s="177">
        <f t="shared" si="28"/>
        <v>0.58960800675843839</v>
      </c>
      <c r="S139" s="811">
        <f t="shared" si="29"/>
        <v>-2</v>
      </c>
      <c r="T139" s="176">
        <f t="shared" si="30"/>
        <v>4</v>
      </c>
      <c r="U139" s="251">
        <f t="shared" si="31"/>
        <v>-1.4103919932415616</v>
      </c>
      <c r="V139" s="383">
        <f t="shared" si="32"/>
        <v>60.708028731710172</v>
      </c>
      <c r="W139" s="58"/>
      <c r="X139" s="157">
        <f t="shared" si="33"/>
        <v>43590</v>
      </c>
      <c r="Y139" s="385">
        <f t="shared" si="34"/>
        <v>50.177</v>
      </c>
      <c r="Z139" s="385">
        <f t="shared" si="35"/>
        <v>50.54209650841306</v>
      </c>
      <c r="AA139" s="386">
        <f t="shared" si="36"/>
        <v>51.495424159112112</v>
      </c>
      <c r="AB139" s="197">
        <f t="shared" si="37"/>
        <v>43590</v>
      </c>
      <c r="AC139" s="426">
        <f>IF(OR(t&lt;Tnet,NoTnet),'2018'!Resal_s+('2018'!Salim-'2018'!Resal_s)*(1-EXP(('2018'!Tnet_s-t)/'2018'!Tau_j)),Resal_s+(Salim-Resal_s)*(1-EXP((Tnet_s-t)/Tau_j)))*Salcycl</f>
        <v>1.8512861409849316E-2</v>
      </c>
      <c r="AD139" s="231">
        <f>(INDEX(Models!$BJ139:$BT139,,AH139)*(1-AF139)+INDEX(Models!$BJ139:$BT139,,AH139+1)*AF139-ERP_i)*AE139*Ramure*Pc/MaxiM</f>
        <v>1.9490824974258558E-5</v>
      </c>
      <c r="AE139" s="305">
        <f t="shared" si="38"/>
        <v>0.5</v>
      </c>
      <c r="AF139" s="177">
        <f t="shared" si="39"/>
        <v>0.58960800675843839</v>
      </c>
      <c r="AG139" s="176">
        <f t="shared" si="40"/>
        <v>-2</v>
      </c>
      <c r="AH139" s="176">
        <f t="shared" si="41"/>
        <v>4</v>
      </c>
      <c r="AI139" s="225">
        <f t="shared" si="42"/>
        <v>-1.4103919932415616</v>
      </c>
      <c r="AJ139" s="265" t="b">
        <f t="shared" si="43"/>
        <v>0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7">
        <v>62.54</v>
      </c>
      <c r="C140" s="390"/>
      <c r="D140" s="393">
        <f t="shared" si="24"/>
        <v>62.996431612775929</v>
      </c>
      <c r="E140" s="385">
        <f t="shared" si="46"/>
        <v>64.188504539015526</v>
      </c>
      <c r="F140" s="385">
        <f t="shared" si="25"/>
        <v>64.189889106761925</v>
      </c>
      <c r="G140" s="110">
        <f t="shared" si="47"/>
        <v>1.0284207974433459</v>
      </c>
      <c r="H140" s="414" t="b">
        <f>Wh_hp&gt;='2018'!Maxi_hp</f>
        <v>1</v>
      </c>
      <c r="I140" s="390">
        <f>IF(H140,Wh_hp,'2018'!Maxi_hp)</f>
        <v>64.189889106761925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7.245356619268617E-3</v>
      </c>
      <c r="M140" s="845"/>
      <c r="N140" s="845"/>
      <c r="O140" s="48">
        <f>IF(t&lt;Tnet,'2018'!Resal+('2018'!Salim-'2018'!Resal)*(1-EXP(('2018'!Tnet-t)/('2018'!Tau_j))),Resal+(Salim-Resal)*(1-EXP((Tnet-t)/(Tau_j))))*Salcycl</f>
        <v>1.8571439462575813E-2</v>
      </c>
      <c r="P140" s="169">
        <f>(INDEX(Models!$BJ140:$BT140,,T140)*(1-R140)+INDEX(Models!$BJ140:$BT140,,T140+1)*R140-ERP_i)*Q140*Ramure*Pc/MaxiM</f>
        <v>2.1569872851686108E-5</v>
      </c>
      <c r="Q140" s="305">
        <f t="shared" si="27"/>
        <v>0.5</v>
      </c>
      <c r="R140" s="177">
        <f t="shared" si="28"/>
        <v>0.59275834611977984</v>
      </c>
      <c r="S140" s="811">
        <f t="shared" si="29"/>
        <v>-2</v>
      </c>
      <c r="T140" s="176">
        <f t="shared" si="30"/>
        <v>4</v>
      </c>
      <c r="U140" s="251">
        <f t="shared" si="31"/>
        <v>-1.4072416538802202</v>
      </c>
      <c r="V140" s="383">
        <f t="shared" si="32"/>
        <v>60.811683462133828</v>
      </c>
      <c r="W140" s="58"/>
      <c r="X140" s="157">
        <f t="shared" si="33"/>
        <v>43591</v>
      </c>
      <c r="Y140" s="385">
        <f t="shared" si="34"/>
        <v>62.54</v>
      </c>
      <c r="Z140" s="385">
        <f t="shared" si="35"/>
        <v>62.996431612775929</v>
      </c>
      <c r="AA140" s="386">
        <f t="shared" si="36"/>
        <v>64.188504539015526</v>
      </c>
      <c r="AB140" s="197">
        <f t="shared" si="37"/>
        <v>43591</v>
      </c>
      <c r="AC140" s="426">
        <f>IF(OR(t&lt;Tnet,NoTnet),'2018'!Resal_s+('2018'!Salim-'2018'!Resal_s)*(1-EXP(('2018'!Tnet_s-t)/'2018'!Tau_j)),Resal_s+(Salim-Resal_s)*(1-EXP((Tnet_s-t)/Tau_j)))*Salcycl</f>
        <v>1.8571439462575813E-2</v>
      </c>
      <c r="AD140" s="231">
        <f>(INDEX(Models!$BJ140:$BT140,,AH140)*(1-AF140)+INDEX(Models!$BJ140:$BT140,,AH140+1)*AF140-ERP_i)*AE140*Ramure*Pc/MaxiM</f>
        <v>2.1569872851686108E-5</v>
      </c>
      <c r="AE140" s="305">
        <f t="shared" si="38"/>
        <v>0.5</v>
      </c>
      <c r="AF140" s="177">
        <f t="shared" si="39"/>
        <v>0.59275834611977984</v>
      </c>
      <c r="AG140" s="176">
        <f t="shared" si="40"/>
        <v>-2</v>
      </c>
      <c r="AH140" s="176">
        <f t="shared" si="41"/>
        <v>4</v>
      </c>
      <c r="AI140" s="225">
        <f t="shared" si="42"/>
        <v>-1.4072416538802202</v>
      </c>
      <c r="AJ140" s="265" t="b">
        <f t="shared" si="43"/>
        <v>0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7">
        <v>47.506</v>
      </c>
      <c r="C141" s="390"/>
      <c r="D141" s="393">
        <f t="shared" si="24"/>
        <v>47.853758068892454</v>
      </c>
      <c r="E141" s="385">
        <f t="shared" si="46"/>
        <v>48.762210280290319</v>
      </c>
      <c r="F141" s="385">
        <f t="shared" si="25"/>
        <v>48.763005882843899</v>
      </c>
      <c r="G141" s="110">
        <f t="shared" si="47"/>
        <v>0.77992466949105155</v>
      </c>
      <c r="H141" s="414" t="b">
        <f>Wh_hp&gt;='2018'!Maxi_hp</f>
        <v>1</v>
      </c>
      <c r="I141" s="390">
        <f>IF(H141,Wh_hp,'2018'!Maxi_hp)</f>
        <v>48.763005882843899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7.2671004937961969E-3</v>
      </c>
      <c r="M141" s="845"/>
      <c r="N141" s="845"/>
      <c r="O141" s="48">
        <f>IF(t&lt;Tnet,'2018'!Resal+('2018'!Salim-'2018'!Resal)*(1-EXP(('2018'!Tnet-t)/('2018'!Tau_j))),Resal+(Salim-Resal)*(1-EXP((Tnet-t)/(Tau_j))))*Salcycl</f>
        <v>1.8630250888464397E-2</v>
      </c>
      <c r="P141" s="169">
        <f>(INDEX(Models!$BJ141:$BT141,,T141)*(1-R141)+INDEX(Models!$BJ141:$BT141,,T141+1)*R141-ERP_i)*Q141*Ramure*Pc/MaxiM</f>
        <v>2.3797173927252476E-5</v>
      </c>
      <c r="Q141" s="305">
        <f t="shared" si="27"/>
        <v>0.5</v>
      </c>
      <c r="R141" s="177">
        <f t="shared" si="28"/>
        <v>0.59598950052493205</v>
      </c>
      <c r="S141" s="811">
        <f t="shared" si="29"/>
        <v>-2</v>
      </c>
      <c r="T141" s="176">
        <f t="shared" si="30"/>
        <v>4</v>
      </c>
      <c r="U141" s="251">
        <f t="shared" si="31"/>
        <v>-1.404010499475068</v>
      </c>
      <c r="V141" s="383">
        <f t="shared" si="32"/>
        <v>60.910555131279615</v>
      </c>
      <c r="W141" s="58"/>
      <c r="X141" s="157">
        <f t="shared" si="33"/>
        <v>43592</v>
      </c>
      <c r="Y141" s="385">
        <f t="shared" si="34"/>
        <v>47.506</v>
      </c>
      <c r="Z141" s="385">
        <f t="shared" si="35"/>
        <v>47.853758068892454</v>
      </c>
      <c r="AA141" s="386">
        <f t="shared" si="36"/>
        <v>48.762210280290319</v>
      </c>
      <c r="AB141" s="197">
        <f t="shared" si="37"/>
        <v>43592</v>
      </c>
      <c r="AC141" s="426">
        <f>IF(OR(t&lt;Tnet,NoTnet),'2018'!Resal_s+('2018'!Salim-'2018'!Resal_s)*(1-EXP(('2018'!Tnet_s-t)/'2018'!Tau_j)),Resal_s+(Salim-Resal_s)*(1-EXP((Tnet_s-t)/Tau_j)))*Salcycl</f>
        <v>1.8630250888464397E-2</v>
      </c>
      <c r="AD141" s="231">
        <f>(INDEX(Models!$BJ141:$BT141,,AH141)*(1-AF141)+INDEX(Models!$BJ141:$BT141,,AH141+1)*AF141-ERP_i)*AE141*Ramure*Pc/MaxiM</f>
        <v>2.3797173927252476E-5</v>
      </c>
      <c r="AE141" s="305">
        <f t="shared" si="38"/>
        <v>0.5</v>
      </c>
      <c r="AF141" s="177">
        <f t="shared" si="39"/>
        <v>0.59598950052493205</v>
      </c>
      <c r="AG141" s="176">
        <f t="shared" si="40"/>
        <v>-2</v>
      </c>
      <c r="AH141" s="176">
        <f t="shared" si="41"/>
        <v>4</v>
      </c>
      <c r="AI141" s="225">
        <f t="shared" si="42"/>
        <v>-1.404010499475068</v>
      </c>
      <c r="AJ141" s="265" t="b">
        <f t="shared" si="43"/>
        <v>0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7">
        <v>32.515999999999998</v>
      </c>
      <c r="C142" s="390"/>
      <c r="D142" s="393">
        <f t="shared" si="24"/>
        <v>32.754744217325005</v>
      </c>
      <c r="E142" s="385">
        <f t="shared" si="46"/>
        <v>33.378565929919041</v>
      </c>
      <c r="F142" s="385">
        <f t="shared" si="25"/>
        <v>33.378855114536535</v>
      </c>
      <c r="G142" s="110">
        <f t="shared" si="47"/>
        <v>0.53299834547074454</v>
      </c>
      <c r="H142" s="414" t="b">
        <f>Wh_hp&gt;='2018'!Maxi_hp</f>
        <v>1</v>
      </c>
      <c r="I142" s="390">
        <f>IF(H142,Wh_hp,'2018'!Maxi_hp)</f>
        <v>33.378855114536535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7.2888438920772902E-3</v>
      </c>
      <c r="M142" s="845"/>
      <c r="N142" s="845"/>
      <c r="O142" s="48">
        <f>IF(t&lt;Tnet,'2018'!Resal+('2018'!Salim-'2018'!Resal)*(1-EXP(('2018'!Tnet-t)/('2018'!Tau_j))),Resal+(Salim-Resal)*(1-EXP((Tnet-t)/(Tau_j))))*Salcycl</f>
        <v>1.8689290423794795E-2</v>
      </c>
      <c r="P142" s="169">
        <f>(INDEX(Models!$BJ142:$BT142,,T142)*(1-R142)+INDEX(Models!$BJ142:$BT142,,T142+1)*R142-ERP_i)*Q142*Ramure*Pc/MaxiM</f>
        <v>2.6027454975997239E-5</v>
      </c>
      <c r="Q142" s="305">
        <f t="shared" si="27"/>
        <v>0.5</v>
      </c>
      <c r="R142" s="177">
        <f t="shared" si="28"/>
        <v>0.59930178632306497</v>
      </c>
      <c r="S142" s="811">
        <f t="shared" si="29"/>
        <v>-2</v>
      </c>
      <c r="T142" s="176">
        <f t="shared" si="30"/>
        <v>4</v>
      </c>
      <c r="U142" s="251">
        <f t="shared" si="31"/>
        <v>-1.400698213676935</v>
      </c>
      <c r="V142" s="383">
        <f t="shared" si="32"/>
        <v>61.004758592183727</v>
      </c>
      <c r="W142" s="58"/>
      <c r="X142" s="157">
        <f t="shared" si="33"/>
        <v>43593</v>
      </c>
      <c r="Y142" s="385">
        <f t="shared" si="34"/>
        <v>32.515999999999998</v>
      </c>
      <c r="Z142" s="385">
        <f t="shared" si="35"/>
        <v>32.754744217325005</v>
      </c>
      <c r="AA142" s="386">
        <f t="shared" si="36"/>
        <v>33.378565929919041</v>
      </c>
      <c r="AB142" s="197">
        <f t="shared" si="37"/>
        <v>43593</v>
      </c>
      <c r="AC142" s="426">
        <f>IF(OR(t&lt;Tnet,NoTnet),'2018'!Resal_s+('2018'!Salim-'2018'!Resal_s)*(1-EXP(('2018'!Tnet_s-t)/'2018'!Tau_j)),Resal_s+(Salim-Resal_s)*(1-EXP((Tnet_s-t)/Tau_j)))*Salcycl</f>
        <v>1.8689290423794795E-2</v>
      </c>
      <c r="AD142" s="231">
        <f>(INDEX(Models!$BJ142:$BT142,,AH142)*(1-AF142)+INDEX(Models!$BJ142:$BT142,,AH142+1)*AF142-ERP_i)*AE142*Ramure*Pc/MaxiM</f>
        <v>2.6027454975997239E-5</v>
      </c>
      <c r="AE142" s="305">
        <f t="shared" si="38"/>
        <v>0.5</v>
      </c>
      <c r="AF142" s="177">
        <f t="shared" si="39"/>
        <v>0.59930178632306497</v>
      </c>
      <c r="AG142" s="176">
        <f t="shared" si="40"/>
        <v>-2</v>
      </c>
      <c r="AH142" s="176">
        <f t="shared" si="41"/>
        <v>4</v>
      </c>
      <c r="AI142" s="225">
        <f t="shared" si="42"/>
        <v>-1.400698213676935</v>
      </c>
      <c r="AJ142" s="265" t="b">
        <f t="shared" si="43"/>
        <v>0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7">
        <v>47.44</v>
      </c>
      <c r="C143" s="390"/>
      <c r="D143" s="393">
        <f t="shared" ref="D143:D206" si="48">Wh/(1-Ppv)</f>
        <v>47.789368325938824</v>
      </c>
      <c r="E143" s="385">
        <f t="shared" si="46"/>
        <v>48.702469106110868</v>
      </c>
      <c r="F143" s="385">
        <f t="shared" ref="F143:F206" si="49">Wh_sa/(1-Pvg*MEDIAN((-Sdif+Wh/Env_an)/Csdif,0,1))</f>
        <v>48.703404254106076</v>
      </c>
      <c r="G143" s="110">
        <f t="shared" si="47"/>
        <v>0.77649621361744703</v>
      </c>
      <c r="H143" s="414" t="b">
        <f>Wh_hp&gt;='2018'!Maxi_hp</f>
        <v>1</v>
      </c>
      <c r="I143" s="390">
        <f>IF(H143,Wh_hp,'2018'!Maxi_hp)</f>
        <v>48.703404254106076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7.3105868141219998E-3</v>
      </c>
      <c r="M143" s="845"/>
      <c r="N143" s="845"/>
      <c r="O143" s="48">
        <f>IF(t&lt;Tnet,'2018'!Resal+('2018'!Salim-'2018'!Resal)*(1-EXP(('2018'!Tnet-t)/('2018'!Tau_j))),Resal+(Salim-Resal)*(1-EXP((Tnet-t)/(Tau_j))))*Salcycl</f>
        <v>1.8748552115142737E-2</v>
      </c>
      <c r="P143" s="169">
        <f>(INDEX(Models!$BJ143:$BT143,,T143)*(1-R143)+INDEX(Models!$BJ143:$BT143,,T143+1)*R143-ERP_i)*Q143*Ramure*Pc/MaxiM</f>
        <v>2.820676244387867E-5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0.60269539554041041</v>
      </c>
      <c r="S143" s="811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-1.3973046044595896</v>
      </c>
      <c r="V143" s="383">
        <f t="shared" ref="V143:V206" si="56">MaxiM*(1-Ppv)*(1-Pvg)*(1-Psa)</f>
        <v>61.094403192911841</v>
      </c>
      <c r="W143" s="58"/>
      <c r="X143" s="157">
        <f t="shared" ref="X143:X206" si="57">t</f>
        <v>43594</v>
      </c>
      <c r="Y143" s="385">
        <f t="shared" ref="Y143:Y206" si="58">Wh_pvt_s*(1-Ppv)</f>
        <v>47.44</v>
      </c>
      <c r="Z143" s="385">
        <f t="shared" ref="Z143:Z206" si="59">Wh_sa_s*(1-Psa_s)</f>
        <v>47.789368325938824</v>
      </c>
      <c r="AA143" s="386">
        <f t="shared" ref="AA143:AA206" si="60">Wh_hp*(1-Pvg_s*MEDIAN((-Sdif+Wh/Env_an)/Csdif,0,1))</f>
        <v>48.702469106110868</v>
      </c>
      <c r="AB143" s="197">
        <f t="shared" ref="AB143:AB206" si="61">t</f>
        <v>43594</v>
      </c>
      <c r="AC143" s="426">
        <f>IF(OR(t&lt;Tnet,NoTnet),'2018'!Resal_s+('2018'!Salim-'2018'!Resal_s)*(1-EXP(('2018'!Tnet_s-t)/'2018'!Tau_j)),Resal_s+(Salim-Resal_s)*(1-EXP((Tnet_s-t)/Tau_j)))*Salcycl</f>
        <v>1.8748552115142737E-2</v>
      </c>
      <c r="AD143" s="231">
        <f>(INDEX(Models!$BJ143:$BT143,,AH143)*(1-AF143)+INDEX(Models!$BJ143:$BT143,,AH143+1)*AF143-ERP_i)*AE143*Ramure*Pc/MaxiM</f>
        <v>2.820676244387867E-5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0.60269539554041041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-1.3973046044595896</v>
      </c>
      <c r="AJ143" s="265" t="b">
        <f t="shared" ref="AJ143:AJ206" si="67">t&lt;Tnet</f>
        <v>0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7">
        <v>38.81</v>
      </c>
      <c r="C144" s="390"/>
      <c r="D144" s="393">
        <f t="shared" si="48"/>
        <v>39.096669654876699</v>
      </c>
      <c r="E144" s="385">
        <f t="shared" ref="E144:E169" si="70">Wh_pvt/(1-Psa)</f>
        <v>39.846096200081945</v>
      </c>
      <c r="F144" s="385">
        <f t="shared" si="49"/>
        <v>39.846673549276389</v>
      </c>
      <c r="G144" s="110">
        <f t="shared" ref="G144:G169" si="71">+Wh_hp/MaxiM</f>
        <v>0.63435178026426531</v>
      </c>
      <c r="H144" s="414" t="b">
        <f>Wh_hp&gt;='2018'!Maxi_hp</f>
        <v>1</v>
      </c>
      <c r="I144" s="390">
        <f>IF(H144,Wh_hp,'2018'!Maxi_hp)</f>
        <v>39.846673549276389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7.3323292599409839E-3</v>
      </c>
      <c r="M144" s="845"/>
      <c r="N144" s="845"/>
      <c r="O144" s="48">
        <f>IF(t&lt;Tnet,'2018'!Resal+('2018'!Salim-'2018'!Resal)*(1-EXP(('2018'!Tnet-t)/('2018'!Tau_j))),Resal+(Salim-Resal)*(1-EXP((Tnet-t)/(Tau_j))))*Salcycl</f>
        <v>1.8808029309624118E-2</v>
      </c>
      <c r="P144" s="169">
        <f>(INDEX(Models!$BJ144:$BT144,,T144)*(1-R144)+INDEX(Models!$BJ144:$BT144,,T144+1)*R144-ERP_i)*Q144*Ramure*Pc/MaxiM</f>
        <v>3.0333871089446823E-5</v>
      </c>
      <c r="Q144" s="305">
        <f t="shared" si="51"/>
        <v>0.5</v>
      </c>
      <c r="R144" s="177">
        <f t="shared" si="52"/>
        <v>0.60617038908712861</v>
      </c>
      <c r="S144" s="811">
        <f t="shared" si="53"/>
        <v>-2</v>
      </c>
      <c r="T144" s="176">
        <f t="shared" si="54"/>
        <v>4</v>
      </c>
      <c r="U144" s="251">
        <f t="shared" si="55"/>
        <v>-1.3938296109128714</v>
      </c>
      <c r="V144" s="383">
        <f t="shared" si="56"/>
        <v>61.179595091444867</v>
      </c>
      <c r="W144" s="58"/>
      <c r="X144" s="157">
        <f t="shared" si="57"/>
        <v>43595</v>
      </c>
      <c r="Y144" s="385">
        <f t="shared" si="58"/>
        <v>38.81</v>
      </c>
      <c r="Z144" s="385">
        <f t="shared" si="59"/>
        <v>39.096669654876699</v>
      </c>
      <c r="AA144" s="386">
        <f t="shared" si="60"/>
        <v>39.846096200081945</v>
      </c>
      <c r="AB144" s="197">
        <f t="shared" si="61"/>
        <v>43595</v>
      </c>
      <c r="AC144" s="426">
        <f>IF(OR(t&lt;Tnet,NoTnet),'2018'!Resal_s+('2018'!Salim-'2018'!Resal_s)*(1-EXP(('2018'!Tnet_s-t)/'2018'!Tau_j)),Resal_s+(Salim-Resal_s)*(1-EXP((Tnet_s-t)/Tau_j)))*Salcycl</f>
        <v>1.8808029309624118E-2</v>
      </c>
      <c r="AD144" s="231">
        <f>(INDEX(Models!$BJ144:$BT144,,AH144)*(1-AF144)+INDEX(Models!$BJ144:$BT144,,AH144+1)*AF144-ERP_i)*AE144*Ramure*Pc/MaxiM</f>
        <v>3.0333871089446823E-5</v>
      </c>
      <c r="AE144" s="305">
        <f t="shared" si="62"/>
        <v>0.5</v>
      </c>
      <c r="AF144" s="177">
        <f t="shared" si="63"/>
        <v>0.60617038908712861</v>
      </c>
      <c r="AG144" s="176">
        <f t="shared" si="64"/>
        <v>-2</v>
      </c>
      <c r="AH144" s="176">
        <f t="shared" si="65"/>
        <v>4</v>
      </c>
      <c r="AI144" s="225">
        <f t="shared" si="66"/>
        <v>-1.3938296109128714</v>
      </c>
      <c r="AJ144" s="265" t="b">
        <f t="shared" si="67"/>
        <v>0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7">
        <v>37.851999999999997</v>
      </c>
      <c r="C145" s="390"/>
      <c r="D145" s="393">
        <f t="shared" si="48"/>
        <v>38.132428596050879</v>
      </c>
      <c r="E145" s="385">
        <f t="shared" si="70"/>
        <v>38.865736216557593</v>
      </c>
      <c r="F145" s="385">
        <f t="shared" si="49"/>
        <v>38.866308209024936</v>
      </c>
      <c r="G145" s="110">
        <f t="shared" si="71"/>
        <v>0.61787558303869228</v>
      </c>
      <c r="H145" s="414" t="b">
        <f>Wh_hp&gt;='2018'!Maxi_hp</f>
        <v>1</v>
      </c>
      <c r="I145" s="390">
        <f>IF(H145,Wh_hp,'2018'!Maxi_hp)</f>
        <v>38.866308209024936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7.3540712295446786E-3</v>
      </c>
      <c r="M145" s="845"/>
      <c r="N145" s="845"/>
      <c r="O145" s="48">
        <f>IF(t&lt;Tnet,'2018'!Resal+('2018'!Salim-'2018'!Resal)*(1-EXP(('2018'!Tnet-t)/('2018'!Tau_j))),Resal+(Salim-Resal)*(1-EXP((Tnet-t)/(Tau_j))))*Salcycl</f>
        <v>1.8867714647698104E-2</v>
      </c>
      <c r="P145" s="169">
        <f>(INDEX(Models!$BJ145:$BT145,,T145)*(1-R145)+INDEX(Models!$BJ145:$BT145,,T145+1)*R145-ERP_i)*Q145*Ramure*Pc/MaxiM</f>
        <v>3.2407307921378652E-5</v>
      </c>
      <c r="Q145" s="305">
        <f t="shared" si="51"/>
        <v>0.5</v>
      </c>
      <c r="R145" s="177">
        <f t="shared" si="52"/>
        <v>0.60972669014549297</v>
      </c>
      <c r="S145" s="811">
        <f t="shared" si="53"/>
        <v>-2</v>
      </c>
      <c r="T145" s="176">
        <f t="shared" si="54"/>
        <v>4</v>
      </c>
      <c r="U145" s="251">
        <f t="shared" si="55"/>
        <v>-1.390273309854507</v>
      </c>
      <c r="V145" s="383">
        <f t="shared" si="56"/>
        <v>61.260440471762237</v>
      </c>
      <c r="W145" s="58"/>
      <c r="X145" s="157">
        <f t="shared" si="57"/>
        <v>43596</v>
      </c>
      <c r="Y145" s="385">
        <f t="shared" si="58"/>
        <v>37.851999999999997</v>
      </c>
      <c r="Z145" s="385">
        <f t="shared" si="59"/>
        <v>38.132428596050879</v>
      </c>
      <c r="AA145" s="386">
        <f t="shared" si="60"/>
        <v>38.865736216557593</v>
      </c>
      <c r="AB145" s="197">
        <f t="shared" si="61"/>
        <v>43596</v>
      </c>
      <c r="AC145" s="426">
        <f>IF(OR(t&lt;Tnet,NoTnet),'2018'!Resal_s+('2018'!Salim-'2018'!Resal_s)*(1-EXP(('2018'!Tnet_s-t)/'2018'!Tau_j)),Resal_s+(Salim-Resal_s)*(1-EXP((Tnet_s-t)/Tau_j)))*Salcycl</f>
        <v>1.8867714647698104E-2</v>
      </c>
      <c r="AD145" s="231">
        <f>(INDEX(Models!$BJ145:$BT145,,AH145)*(1-AF145)+INDEX(Models!$BJ145:$BT145,,AH145+1)*AF145-ERP_i)*AE145*Ramure*Pc/MaxiM</f>
        <v>3.2407307921378652E-5</v>
      </c>
      <c r="AE145" s="305">
        <f t="shared" si="62"/>
        <v>0.5</v>
      </c>
      <c r="AF145" s="177">
        <f t="shared" si="63"/>
        <v>0.60972669014549297</v>
      </c>
      <c r="AG145" s="176">
        <f t="shared" si="64"/>
        <v>-2</v>
      </c>
      <c r="AH145" s="176">
        <f t="shared" si="65"/>
        <v>4</v>
      </c>
      <c r="AI145" s="225">
        <f t="shared" si="66"/>
        <v>-1.390273309854507</v>
      </c>
      <c r="AJ145" s="265" t="b">
        <f t="shared" si="67"/>
        <v>0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7">
        <v>57.686999999999998</v>
      </c>
      <c r="C146" s="390"/>
      <c r="D146" s="393">
        <f t="shared" si="48"/>
        <v>58.115650151791705</v>
      </c>
      <c r="E146" s="385">
        <f t="shared" si="70"/>
        <v>59.236861780305141</v>
      </c>
      <c r="F146" s="385">
        <f t="shared" si="49"/>
        <v>59.238727729135654</v>
      </c>
      <c r="G146" s="110">
        <f t="shared" si="71"/>
        <v>0.94048923694034492</v>
      </c>
      <c r="H146" s="414" t="b">
        <f>Wh_hp&gt;='2018'!Maxi_hp</f>
        <v>1</v>
      </c>
      <c r="I146" s="390">
        <f>IF(H146,Wh_hp,'2018'!Maxi_hp)</f>
        <v>59.238727729135654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7.3758127229432979E-3</v>
      </c>
      <c r="M146" s="845"/>
      <c r="N146" s="845"/>
      <c r="O146" s="48">
        <f>IF(t&lt;Tnet,'2018'!Resal+('2018'!Salim-'2018'!Resal)*(1-EXP(('2018'!Tnet-t)/('2018'!Tau_j))),Resal+(Salim-Resal)*(1-EXP((Tnet-t)/(Tau_j))))*Salcycl</f>
        <v>1.8927600058756194E-2</v>
      </c>
      <c r="P146" s="169">
        <f>(INDEX(Models!$BJ146:$BT146,,T146)*(1-R146)+INDEX(Models!$BJ146:$BT146,,T146+1)*R146-ERP_i)*Q146*Ramure*Pc/MaxiM</f>
        <v>3.4425348462664299E-5</v>
      </c>
      <c r="Q146" s="305">
        <f t="shared" si="51"/>
        <v>0.5</v>
      </c>
      <c r="R146" s="177">
        <f t="shared" si="52"/>
        <v>0.61336407779332158</v>
      </c>
      <c r="S146" s="811">
        <f t="shared" si="53"/>
        <v>-2</v>
      </c>
      <c r="T146" s="176">
        <f t="shared" si="54"/>
        <v>4</v>
      </c>
      <c r="U146" s="251">
        <f t="shared" si="55"/>
        <v>-1.3866359222066784</v>
      </c>
      <c r="V146" s="383">
        <f t="shared" si="56"/>
        <v>61.337045555720358</v>
      </c>
      <c r="W146" s="58"/>
      <c r="X146" s="157">
        <f t="shared" si="57"/>
        <v>43597</v>
      </c>
      <c r="Y146" s="385">
        <f t="shared" si="58"/>
        <v>57.686999999999998</v>
      </c>
      <c r="Z146" s="385">
        <f t="shared" si="59"/>
        <v>58.115650151791705</v>
      </c>
      <c r="AA146" s="386">
        <f t="shared" si="60"/>
        <v>59.236861780305141</v>
      </c>
      <c r="AB146" s="197">
        <f t="shared" si="61"/>
        <v>43597</v>
      </c>
      <c r="AC146" s="426">
        <f>IF(OR(t&lt;Tnet,NoTnet),'2018'!Resal_s+('2018'!Salim-'2018'!Resal_s)*(1-EXP(('2018'!Tnet_s-t)/'2018'!Tau_j)),Resal_s+(Salim-Resal_s)*(1-EXP((Tnet_s-t)/Tau_j)))*Salcycl</f>
        <v>1.8927600058756194E-2</v>
      </c>
      <c r="AD146" s="231">
        <f>(INDEX(Models!$BJ146:$BT146,,AH146)*(1-AF146)+INDEX(Models!$BJ146:$BT146,,AH146+1)*AF146-ERP_i)*AE146*Ramure*Pc/MaxiM</f>
        <v>3.4425348462664299E-5</v>
      </c>
      <c r="AE146" s="305">
        <f t="shared" si="62"/>
        <v>0.5</v>
      </c>
      <c r="AF146" s="177">
        <f t="shared" si="63"/>
        <v>0.61336407779332158</v>
      </c>
      <c r="AG146" s="176">
        <f t="shared" si="64"/>
        <v>-2</v>
      </c>
      <c r="AH146" s="176">
        <f t="shared" si="65"/>
        <v>4</v>
      </c>
      <c r="AI146" s="225">
        <f t="shared" si="66"/>
        <v>-1.3866359222066784</v>
      </c>
      <c r="AJ146" s="265" t="b">
        <f t="shared" si="67"/>
        <v>0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7">
        <v>63.69</v>
      </c>
      <c r="C147" s="390"/>
      <c r="D147" s="393">
        <f t="shared" si="48"/>
        <v>64.164661531900606</v>
      </c>
      <c r="E147" s="385">
        <f t="shared" si="70"/>
        <v>65.40658054117452</v>
      </c>
      <c r="F147" s="385">
        <f t="shared" si="49"/>
        <v>65.408960512497771</v>
      </c>
      <c r="G147" s="110">
        <f t="shared" si="71"/>
        <v>1.0371356677957262</v>
      </c>
      <c r="H147" s="414" t="b">
        <f>Wh_hp&gt;='2018'!Maxi_hp</f>
        <v>1</v>
      </c>
      <c r="I147" s="390">
        <f>IF(H147,Wh_hp,'2018'!Maxi_hp)</f>
        <v>65.408960512497771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7.3975537401475E-3</v>
      </c>
      <c r="M147" s="845"/>
      <c r="N147" s="845"/>
      <c r="O147" s="48">
        <f>IF(t&lt;Tnet,'2018'!Resal+('2018'!Salim-'2018'!Resal)*(1-EXP(('2018'!Tnet-t)/('2018'!Tau_j))),Resal+(Salim-Resal)*(1-EXP((Tnet-t)/(Tau_j))))*Salcycl</f>
        <v>1.898767675971251E-2</v>
      </c>
      <c r="P147" s="169">
        <f>(INDEX(Models!$BJ147:$BT147,,T147)*(1-R147)+INDEX(Models!$BJ147:$BT147,,T147+1)*R147-ERP_i)*Q147*Ramure*Pc/MaxiM</f>
        <v>3.6386013546257988E-5</v>
      </c>
      <c r="Q147" s="305">
        <f t="shared" si="51"/>
        <v>0.5</v>
      </c>
      <c r="R147" s="177">
        <f t="shared" si="52"/>
        <v>0.61708218091877365</v>
      </c>
      <c r="S147" s="811">
        <f t="shared" si="53"/>
        <v>-2</v>
      </c>
      <c r="T147" s="176">
        <f t="shared" si="54"/>
        <v>4</v>
      </c>
      <c r="U147" s="251">
        <f t="shared" si="55"/>
        <v>-1.3829178190812264</v>
      </c>
      <c r="V147" s="383">
        <f t="shared" si="56"/>
        <v>61.409516592331052</v>
      </c>
      <c r="W147" s="58"/>
      <c r="X147" s="157">
        <f t="shared" si="57"/>
        <v>43598</v>
      </c>
      <c r="Y147" s="385">
        <f t="shared" si="58"/>
        <v>63.69</v>
      </c>
      <c r="Z147" s="385">
        <f t="shared" si="59"/>
        <v>64.164661531900606</v>
      </c>
      <c r="AA147" s="386">
        <f t="shared" si="60"/>
        <v>65.40658054117452</v>
      </c>
      <c r="AB147" s="197">
        <f t="shared" si="61"/>
        <v>43598</v>
      </c>
      <c r="AC147" s="426">
        <f>IF(OR(t&lt;Tnet,NoTnet),'2018'!Resal_s+('2018'!Salim-'2018'!Resal_s)*(1-EXP(('2018'!Tnet_s-t)/'2018'!Tau_j)),Resal_s+(Salim-Resal_s)*(1-EXP((Tnet_s-t)/Tau_j)))*Salcycl</f>
        <v>1.898767675971251E-2</v>
      </c>
      <c r="AD147" s="231">
        <f>(INDEX(Models!$BJ147:$BT147,,AH147)*(1-AF147)+INDEX(Models!$BJ147:$BT147,,AH147+1)*AF147-ERP_i)*AE147*Ramure*Pc/MaxiM</f>
        <v>3.6386013546257988E-5</v>
      </c>
      <c r="AE147" s="305">
        <f t="shared" si="62"/>
        <v>0.5</v>
      </c>
      <c r="AF147" s="177">
        <f t="shared" si="63"/>
        <v>0.61708218091877365</v>
      </c>
      <c r="AG147" s="176">
        <f t="shared" si="64"/>
        <v>-2</v>
      </c>
      <c r="AH147" s="176">
        <f t="shared" si="65"/>
        <v>4</v>
      </c>
      <c r="AI147" s="225">
        <f t="shared" si="66"/>
        <v>-1.3829178190812264</v>
      </c>
      <c r="AJ147" s="265" t="b">
        <f t="shared" si="67"/>
        <v>0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7">
        <v>62.15</v>
      </c>
      <c r="C148" s="390"/>
      <c r="D148" s="393">
        <f t="shared" si="48"/>
        <v>62.614555815882625</v>
      </c>
      <c r="E148" s="385">
        <f t="shared" si="70"/>
        <v>63.830393009340355</v>
      </c>
      <c r="F148" s="385">
        <f t="shared" si="49"/>
        <v>63.832836981428784</v>
      </c>
      <c r="G148" s="110">
        <f t="shared" si="71"/>
        <v>1.0109313994161151</v>
      </c>
      <c r="H148" s="414" t="b">
        <f>Wh_hp&gt;='2018'!Maxi_hp</f>
        <v>1</v>
      </c>
      <c r="I148" s="390">
        <f>IF(H148,Wh_hp,'2018'!Maxi_hp)</f>
        <v>63.832836981428784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7.4192942811676099E-3</v>
      </c>
      <c r="M148" s="845"/>
      <c r="N148" s="845"/>
      <c r="O148" s="48">
        <f>IF(t&lt;Tnet,'2018'!Resal+('2018'!Salim-'2018'!Resal)*(1-EXP(('2018'!Tnet-t)/('2018'!Tau_j))),Resal+(Salim-Resal)*(1-EXP((Tnet-t)/(Tau_j))))*Salcycl</f>
        <v>1.9047935256795576E-2</v>
      </c>
      <c r="P148" s="169">
        <f>(INDEX(Models!$BJ148:$BT148,,T148)*(1-R148)+INDEX(Models!$BJ148:$BT148,,T148+1)*R148-ERP_i)*Q148*Ramure*Pc/MaxiM</f>
        <v>3.8287066719898637E-5</v>
      </c>
      <c r="Q148" s="305">
        <f t="shared" si="51"/>
        <v>0.5</v>
      </c>
      <c r="R148" s="177">
        <f t="shared" si="52"/>
        <v>0.62088047248437617</v>
      </c>
      <c r="S148" s="811">
        <f t="shared" si="53"/>
        <v>-2</v>
      </c>
      <c r="T148" s="176">
        <f t="shared" si="54"/>
        <v>4</v>
      </c>
      <c r="U148" s="251">
        <f t="shared" si="55"/>
        <v>-1.3791195275156238</v>
      </c>
      <c r="V148" s="383">
        <f t="shared" si="56"/>
        <v>61.477959865423166</v>
      </c>
      <c r="W148" s="58"/>
      <c r="X148" s="157">
        <f t="shared" si="57"/>
        <v>43599</v>
      </c>
      <c r="Y148" s="385">
        <f t="shared" si="58"/>
        <v>62.15</v>
      </c>
      <c r="Z148" s="385">
        <f t="shared" si="59"/>
        <v>62.614555815882625</v>
      </c>
      <c r="AA148" s="386">
        <f t="shared" si="60"/>
        <v>63.830393009340355</v>
      </c>
      <c r="AB148" s="197">
        <f t="shared" si="61"/>
        <v>43599</v>
      </c>
      <c r="AC148" s="426">
        <f>IF(OR(t&lt;Tnet,NoTnet),'2018'!Resal_s+('2018'!Salim-'2018'!Resal_s)*(1-EXP(('2018'!Tnet_s-t)/'2018'!Tau_j)),Resal_s+(Salim-Resal_s)*(1-EXP((Tnet_s-t)/Tau_j)))*Salcycl</f>
        <v>1.9047935256795576E-2</v>
      </c>
      <c r="AD148" s="231">
        <f>(INDEX(Models!$BJ148:$BT148,,AH148)*(1-AF148)+INDEX(Models!$BJ148:$BT148,,AH148+1)*AF148-ERP_i)*AE148*Ramure*Pc/MaxiM</f>
        <v>3.8287066719898637E-5</v>
      </c>
      <c r="AE148" s="305">
        <f t="shared" si="62"/>
        <v>0.5</v>
      </c>
      <c r="AF148" s="177">
        <f t="shared" si="63"/>
        <v>0.62088047248437617</v>
      </c>
      <c r="AG148" s="176">
        <f t="shared" si="64"/>
        <v>-2</v>
      </c>
      <c r="AH148" s="176">
        <f t="shared" si="65"/>
        <v>4</v>
      </c>
      <c r="AI148" s="225">
        <f t="shared" si="66"/>
        <v>-1.3791195275156238</v>
      </c>
      <c r="AJ148" s="265" t="b">
        <f t="shared" si="67"/>
        <v>0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7">
        <v>62.636000000000003</v>
      </c>
      <c r="C149" s="390"/>
      <c r="D149" s="393">
        <f t="shared" si="48"/>
        <v>63.105570719145994</v>
      </c>
      <c r="E149" s="385">
        <f t="shared" si="70"/>
        <v>64.33490560015818</v>
      </c>
      <c r="F149" s="385">
        <f t="shared" si="49"/>
        <v>64.337487236928794</v>
      </c>
      <c r="G149" s="110">
        <f t="shared" si="71"/>
        <v>1.0177803242356294</v>
      </c>
      <c r="H149" s="414" t="b">
        <f>Wh_hp&gt;='2018'!Maxi_hp</f>
        <v>1</v>
      </c>
      <c r="I149" s="390">
        <f>IF(H149,Wh_hp,'2018'!Maxi_hp)</f>
        <v>64.337487236928794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7.4410343460141748E-3</v>
      </c>
      <c r="M149" s="845"/>
      <c r="N149" s="845"/>
      <c r="O149" s="48">
        <f>IF(t&lt;Tnet,'2018'!Resal+('2018'!Salim-'2018'!Resal)*(1-EXP(('2018'!Tnet-t)/('2018'!Tau_j))),Resal+(Salim-Resal)*(1-EXP((Tnet-t)/(Tau_j))))*Salcycl</f>
        <v>1.9108365350724466E-2</v>
      </c>
      <c r="P149" s="169">
        <f>(INDEX(Models!$BJ149:$BT149,,T149)*(1-R149)+INDEX(Models!$BJ149:$BT149,,T149+1)*R149-ERP_i)*Q149*Ramure*Pc/MaxiM</f>
        <v>4.0126478068677251E-5</v>
      </c>
      <c r="Q149" s="305">
        <f t="shared" si="51"/>
        <v>0.5</v>
      </c>
      <c r="R149" s="177">
        <f t="shared" si="52"/>
        <v>0.62475826419941582</v>
      </c>
      <c r="S149" s="811">
        <f t="shared" si="53"/>
        <v>-2</v>
      </c>
      <c r="T149" s="176">
        <f t="shared" si="54"/>
        <v>4</v>
      </c>
      <c r="U149" s="251">
        <f t="shared" si="55"/>
        <v>-1.3752417358005842</v>
      </c>
      <c r="V149" s="383">
        <f t="shared" si="56"/>
        <v>61.54176742121706</v>
      </c>
      <c r="W149" s="58"/>
      <c r="X149" s="157">
        <f t="shared" si="57"/>
        <v>43600</v>
      </c>
      <c r="Y149" s="385">
        <f t="shared" si="58"/>
        <v>62.635999999999996</v>
      </c>
      <c r="Z149" s="385">
        <f t="shared" si="59"/>
        <v>63.105570719145987</v>
      </c>
      <c r="AA149" s="386">
        <f t="shared" si="60"/>
        <v>64.33490560015818</v>
      </c>
      <c r="AB149" s="197">
        <f t="shared" si="61"/>
        <v>43600</v>
      </c>
      <c r="AC149" s="426">
        <f>IF(OR(t&lt;Tnet,NoTnet),'2018'!Resal_s+('2018'!Salim-'2018'!Resal_s)*(1-EXP(('2018'!Tnet_s-t)/'2018'!Tau_j)),Resal_s+(Salim-Resal_s)*(1-EXP((Tnet_s-t)/Tau_j)))*Salcycl</f>
        <v>1.9108365350724466E-2</v>
      </c>
      <c r="AD149" s="231">
        <f>(INDEX(Models!$BJ149:$BT149,,AH149)*(1-AF149)+INDEX(Models!$BJ149:$BT149,,AH149+1)*AF149-ERP_i)*AE149*Ramure*Pc/MaxiM</f>
        <v>4.0126478068677251E-5</v>
      </c>
      <c r="AE149" s="305">
        <f t="shared" si="62"/>
        <v>0.5</v>
      </c>
      <c r="AF149" s="177">
        <f t="shared" si="63"/>
        <v>0.62475826419941582</v>
      </c>
      <c r="AG149" s="176">
        <f t="shared" si="64"/>
        <v>-2</v>
      </c>
      <c r="AH149" s="176">
        <f t="shared" si="65"/>
        <v>4</v>
      </c>
      <c r="AI149" s="225">
        <f t="shared" si="66"/>
        <v>-1.3752417358005842</v>
      </c>
      <c r="AJ149" s="265" t="b">
        <f t="shared" si="67"/>
        <v>0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7">
        <v>54.280999999999999</v>
      </c>
      <c r="C150" s="390"/>
      <c r="D150" s="393">
        <f t="shared" si="48"/>
        <v>54.689132633528708</v>
      </c>
      <c r="E150" s="385">
        <f t="shared" si="70"/>
        <v>55.757954416497526</v>
      </c>
      <c r="F150" s="385">
        <f t="shared" si="49"/>
        <v>55.759884023555387</v>
      </c>
      <c r="G150" s="110">
        <f t="shared" si="71"/>
        <v>0.88117289535345666</v>
      </c>
      <c r="H150" s="414" t="b">
        <f>Wh_hp&gt;='2018'!Maxi_hp</f>
        <v>1</v>
      </c>
      <c r="I150" s="390">
        <f>IF(H150,Wh_hp,'2018'!Maxi_hp)</f>
        <v>55.759884023555387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7.4627739346974087E-3</v>
      </c>
      <c r="M150" s="845"/>
      <c r="N150" s="845"/>
      <c r="O150" s="48">
        <f>IF(t&lt;Tnet,'2018'!Resal+('2018'!Salim-'2018'!Resal)*(1-EXP(('2018'!Tnet-t)/('2018'!Tau_j))),Resal+(Salim-Resal)*(1-EXP((Tnet-t)/(Tau_j))))*Salcycl</f>
        <v>1.9168956145431706E-2</v>
      </c>
      <c r="P150" s="169">
        <f>(INDEX(Models!$BJ150:$BT150,,T150)*(1-R150)+INDEX(Models!$BJ150:$BT150,,T150+1)*R150-ERP_i)*Q150*Ramure*Pc/MaxiM</f>
        <v>4.1680704096231189E-5</v>
      </c>
      <c r="Q150" s="305">
        <f t="shared" si="51"/>
        <v>0.5</v>
      </c>
      <c r="R150" s="177">
        <f t="shared" si="52"/>
        <v>0.62871470166054189</v>
      </c>
      <c r="S150" s="811">
        <f t="shared" si="53"/>
        <v>-2</v>
      </c>
      <c r="T150" s="176">
        <f t="shared" si="54"/>
        <v>4</v>
      </c>
      <c r="U150" s="251">
        <f t="shared" si="55"/>
        <v>-1.3712852983394581</v>
      </c>
      <c r="V150" s="383">
        <f t="shared" si="56"/>
        <v>61.600414892416381</v>
      </c>
      <c r="W150" s="58"/>
      <c r="X150" s="157">
        <f t="shared" si="57"/>
        <v>43601</v>
      </c>
      <c r="Y150" s="385">
        <f t="shared" si="58"/>
        <v>54.280999999999999</v>
      </c>
      <c r="Z150" s="385">
        <f t="shared" si="59"/>
        <v>54.689132633528708</v>
      </c>
      <c r="AA150" s="386">
        <f t="shared" si="60"/>
        <v>55.757954416497526</v>
      </c>
      <c r="AB150" s="197">
        <f t="shared" si="61"/>
        <v>43601</v>
      </c>
      <c r="AC150" s="426">
        <f>IF(OR(t&lt;Tnet,NoTnet),'2018'!Resal_s+('2018'!Salim-'2018'!Resal_s)*(1-EXP(('2018'!Tnet_s-t)/'2018'!Tau_j)),Resal_s+(Salim-Resal_s)*(1-EXP((Tnet_s-t)/Tau_j)))*Salcycl</f>
        <v>1.9168956145431706E-2</v>
      </c>
      <c r="AD150" s="231">
        <f>(INDEX(Models!$BJ150:$BT150,,AH150)*(1-AF150)+INDEX(Models!$BJ150:$BT150,,AH150+1)*AF150-ERP_i)*AE150*Ramure*Pc/MaxiM</f>
        <v>4.1680704096231189E-5</v>
      </c>
      <c r="AE150" s="305">
        <f t="shared" si="62"/>
        <v>0.5</v>
      </c>
      <c r="AF150" s="177">
        <f t="shared" si="63"/>
        <v>0.62871470166054189</v>
      </c>
      <c r="AG150" s="176">
        <f t="shared" si="64"/>
        <v>-2</v>
      </c>
      <c r="AH150" s="176">
        <f t="shared" si="65"/>
        <v>4</v>
      </c>
      <c r="AI150" s="225">
        <f t="shared" si="66"/>
        <v>-1.3712852983394581</v>
      </c>
      <c r="AJ150" s="265" t="b">
        <f t="shared" si="67"/>
        <v>0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7">
        <v>7.375</v>
      </c>
      <c r="C151" s="390"/>
      <c r="D151" s="393">
        <f t="shared" si="48"/>
        <v>7.4306145314092538</v>
      </c>
      <c r="E151" s="385">
        <f t="shared" si="70"/>
        <v>7.576304565464711</v>
      </c>
      <c r="F151" s="385">
        <f t="shared" si="49"/>
        <v>7.576304565464711</v>
      </c>
      <c r="G151" s="110">
        <f t="shared" si="71"/>
        <v>0.11961380749021008</v>
      </c>
      <c r="H151" s="414" t="b">
        <f>Wh_hp&gt;='2018'!Maxi_hp</f>
        <v>1</v>
      </c>
      <c r="I151" s="390">
        <f>IF(H151,Wh_hp,'2018'!Maxi_hp)</f>
        <v>7.576304565464711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7.4845130472278587E-3</v>
      </c>
      <c r="M151" s="845"/>
      <c r="N151" s="845"/>
      <c r="O151" s="48">
        <f>IF(t&lt;Tnet,'2018'!Resal+('2018'!Salim-'2018'!Resal)*(1-EXP(('2018'!Tnet-t)/('2018'!Tau_j))),Resal+(Salim-Resal)*(1-EXP((Tnet-t)/(Tau_j))))*Salcycl</f>
        <v>1.922969606047252E-2</v>
      </c>
      <c r="P151" s="169">
        <f>(INDEX(Models!$BJ151:$BT151,,T151)*(1-R151)+INDEX(Models!$BJ151:$BT151,,T151+1)*R151-ERP_i)*Q151*Ramure*Pc/MaxiM</f>
        <v>4.2883418951217674E-5</v>
      </c>
      <c r="Q151" s="305">
        <f t="shared" si="51"/>
        <v>0.5</v>
      </c>
      <c r="R151" s="177">
        <f t="shared" si="52"/>
        <v>0.63274876002051572</v>
      </c>
      <c r="S151" s="811">
        <f t="shared" si="53"/>
        <v>-2</v>
      </c>
      <c r="T151" s="176">
        <f t="shared" si="54"/>
        <v>4</v>
      </c>
      <c r="U151" s="251">
        <f t="shared" si="55"/>
        <v>-1.3672512399794843</v>
      </c>
      <c r="V151" s="383">
        <f t="shared" si="56"/>
        <v>61.654117442828031</v>
      </c>
      <c r="W151" s="58"/>
      <c r="X151" s="157">
        <f t="shared" si="57"/>
        <v>43602</v>
      </c>
      <c r="Y151" s="385">
        <f t="shared" si="58"/>
        <v>7.375</v>
      </c>
      <c r="Z151" s="385">
        <f t="shared" si="59"/>
        <v>7.4306145314092538</v>
      </c>
      <c r="AA151" s="386">
        <f t="shared" si="60"/>
        <v>7.576304565464711</v>
      </c>
      <c r="AB151" s="197">
        <f t="shared" si="61"/>
        <v>43602</v>
      </c>
      <c r="AC151" s="426">
        <f>IF(OR(t&lt;Tnet,NoTnet),'2018'!Resal_s+('2018'!Salim-'2018'!Resal_s)*(1-EXP(('2018'!Tnet_s-t)/'2018'!Tau_j)),Resal_s+(Salim-Resal_s)*(1-EXP((Tnet_s-t)/Tau_j)))*Salcycl</f>
        <v>1.922969606047252E-2</v>
      </c>
      <c r="AD151" s="231">
        <f>(INDEX(Models!$BJ151:$BT151,,AH151)*(1-AF151)+INDEX(Models!$BJ151:$BT151,,AH151+1)*AF151-ERP_i)*AE151*Ramure*Pc/MaxiM</f>
        <v>4.2883418951217674E-5</v>
      </c>
      <c r="AE151" s="305">
        <f t="shared" si="62"/>
        <v>0.5</v>
      </c>
      <c r="AF151" s="177">
        <f t="shared" si="63"/>
        <v>0.63274876002051572</v>
      </c>
      <c r="AG151" s="176">
        <f t="shared" si="64"/>
        <v>-2</v>
      </c>
      <c r="AH151" s="176">
        <f t="shared" si="65"/>
        <v>4</v>
      </c>
      <c r="AI151" s="225">
        <f t="shared" si="66"/>
        <v>-1.3672512399794843</v>
      </c>
      <c r="AJ151" s="265" t="b">
        <f t="shared" si="67"/>
        <v>0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7">
        <v>38.4</v>
      </c>
      <c r="C152" s="390"/>
      <c r="D152" s="393">
        <f t="shared" si="48"/>
        <v>38.690420030493698</v>
      </c>
      <c r="E152" s="385">
        <f t="shared" si="70"/>
        <v>39.45146131899768</v>
      </c>
      <c r="F152" s="385">
        <f t="shared" si="49"/>
        <v>39.452255589669797</v>
      </c>
      <c r="G152" s="110">
        <f t="shared" si="71"/>
        <v>0.6223204716260774</v>
      </c>
      <c r="H152" s="414" t="b">
        <f>Wh_hp&gt;='2018'!Maxi_hp</f>
        <v>1</v>
      </c>
      <c r="I152" s="390">
        <f>IF(H152,Wh_hp,'2018'!Maxi_hp)</f>
        <v>39.452255589669797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7.506251683615961E-3</v>
      </c>
      <c r="M152" s="845"/>
      <c r="N152" s="845"/>
      <c r="O152" s="48">
        <f>IF(t&lt;Tnet,'2018'!Resal+('2018'!Salim-'2018'!Resal)*(1-EXP(('2018'!Tnet-t)/('2018'!Tau_j))),Resal+(Salim-Resal)*(1-EXP((Tnet-t)/(Tau_j))))*Salcycl</f>
        <v>1.929057284723459E-2</v>
      </c>
      <c r="P152" s="169">
        <f>(INDEX(Models!$BJ152:$BT152,,T152)*(1-R152)+INDEX(Models!$BJ152:$BT152,,T152+1)*R152-ERP_i)*Q152*Ramure*Pc/MaxiM</f>
        <v>4.3720695246235503E-5</v>
      </c>
      <c r="Q152" s="305">
        <f t="shared" si="51"/>
        <v>0.5</v>
      </c>
      <c r="R152" s="177">
        <f t="shared" si="52"/>
        <v>0.63685924024447282</v>
      </c>
      <c r="S152" s="811">
        <f t="shared" si="53"/>
        <v>-2</v>
      </c>
      <c r="T152" s="176">
        <f t="shared" si="54"/>
        <v>4</v>
      </c>
      <c r="U152" s="251">
        <f t="shared" si="55"/>
        <v>-1.3631407597555272</v>
      </c>
      <c r="V152" s="383">
        <f t="shared" si="56"/>
        <v>61.703086984939759</v>
      </c>
      <c r="W152" s="58"/>
      <c r="X152" s="157">
        <f t="shared" si="57"/>
        <v>43603</v>
      </c>
      <c r="Y152" s="385">
        <f t="shared" si="58"/>
        <v>38.4</v>
      </c>
      <c r="Z152" s="385">
        <f t="shared" si="59"/>
        <v>38.690420030493698</v>
      </c>
      <c r="AA152" s="386">
        <f t="shared" si="60"/>
        <v>39.45146131899768</v>
      </c>
      <c r="AB152" s="197">
        <f t="shared" si="61"/>
        <v>43603</v>
      </c>
      <c r="AC152" s="426">
        <f>IF(OR(t&lt;Tnet,NoTnet),'2018'!Resal_s+('2018'!Salim-'2018'!Resal_s)*(1-EXP(('2018'!Tnet_s-t)/'2018'!Tau_j)),Resal_s+(Salim-Resal_s)*(1-EXP((Tnet_s-t)/Tau_j)))*Salcycl</f>
        <v>1.929057284723459E-2</v>
      </c>
      <c r="AD152" s="231">
        <f>(INDEX(Models!$BJ152:$BT152,,AH152)*(1-AF152)+INDEX(Models!$BJ152:$BT152,,AH152+1)*AF152-ERP_i)*AE152*Ramure*Pc/MaxiM</f>
        <v>4.3720695246235503E-5</v>
      </c>
      <c r="AE152" s="305">
        <f t="shared" si="62"/>
        <v>0.5</v>
      </c>
      <c r="AF152" s="177">
        <f t="shared" si="63"/>
        <v>0.63685924024447282</v>
      </c>
      <c r="AG152" s="176">
        <f t="shared" si="64"/>
        <v>-2</v>
      </c>
      <c r="AH152" s="176">
        <f t="shared" si="65"/>
        <v>4</v>
      </c>
      <c r="AI152" s="225">
        <f t="shared" si="66"/>
        <v>-1.3631407597555272</v>
      </c>
      <c r="AJ152" s="265" t="b">
        <f t="shared" si="67"/>
        <v>0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7">
        <v>27.305</v>
      </c>
      <c r="C153" s="390"/>
      <c r="D153" s="393">
        <f t="shared" si="48"/>
        <v>27.512110891373744</v>
      </c>
      <c r="E153" s="385">
        <f t="shared" si="70"/>
        <v>28.055019669613195</v>
      </c>
      <c r="F153" s="385">
        <f t="shared" si="49"/>
        <v>28.055271456011134</v>
      </c>
      <c r="G153" s="110">
        <f t="shared" si="71"/>
        <v>0.44218831681123399</v>
      </c>
      <c r="H153" s="414" t="b">
        <f>Wh_hp&gt;='2018'!Maxi_hp</f>
        <v>1</v>
      </c>
      <c r="I153" s="390">
        <f>IF(H153,Wh_hp,'2018'!Maxi_hp)</f>
        <v>28.055271456011134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7.5279898438721515E-3</v>
      </c>
      <c r="M153" s="845"/>
      <c r="N153" s="845"/>
      <c r="O153" s="48">
        <f>IF(t&lt;Tnet,'2018'!Resal+('2018'!Salim-'2018'!Resal)*(1-EXP(('2018'!Tnet-t)/('2018'!Tau_j))),Resal+(Salim-Resal)*(1-EXP((Tnet-t)/(Tau_j))))*Salcycl</f>
        <v>1.9351573609035114E-2</v>
      </c>
      <c r="P153" s="169">
        <f>(INDEX(Models!$BJ153:$BT153,,T153)*(1-R153)+INDEX(Models!$BJ153:$BT153,,T153+1)*R153-ERP_i)*Q153*Ramure*Pc/MaxiM</f>
        <v>4.4177829169072081E-5</v>
      </c>
      <c r="Q153" s="305">
        <f t="shared" si="51"/>
        <v>0.5</v>
      </c>
      <c r="R153" s="177">
        <f t="shared" si="52"/>
        <v>0.6410447660117693</v>
      </c>
      <c r="S153" s="811">
        <f t="shared" si="53"/>
        <v>-2</v>
      </c>
      <c r="T153" s="176">
        <f t="shared" si="54"/>
        <v>4</v>
      </c>
      <c r="U153" s="251">
        <f t="shared" si="55"/>
        <v>-1.3589552339882307</v>
      </c>
      <c r="V153" s="383">
        <f t="shared" si="56"/>
        <v>61.747535451900454</v>
      </c>
      <c r="W153" s="58"/>
      <c r="X153" s="157">
        <f t="shared" si="57"/>
        <v>43604</v>
      </c>
      <c r="Y153" s="385">
        <f t="shared" si="58"/>
        <v>27.305</v>
      </c>
      <c r="Z153" s="385">
        <f t="shared" si="59"/>
        <v>27.512110891373744</v>
      </c>
      <c r="AA153" s="386">
        <f t="shared" si="60"/>
        <v>28.055019669613195</v>
      </c>
      <c r="AB153" s="197">
        <f t="shared" si="61"/>
        <v>43604</v>
      </c>
      <c r="AC153" s="426">
        <f>IF(OR(t&lt;Tnet,NoTnet),'2018'!Resal_s+('2018'!Salim-'2018'!Resal_s)*(1-EXP(('2018'!Tnet_s-t)/'2018'!Tau_j)),Resal_s+(Salim-Resal_s)*(1-EXP((Tnet_s-t)/Tau_j)))*Salcycl</f>
        <v>1.9351573609035114E-2</v>
      </c>
      <c r="AD153" s="231">
        <f>(INDEX(Models!$BJ153:$BT153,,AH153)*(1-AF153)+INDEX(Models!$BJ153:$BT153,,AH153+1)*AF153-ERP_i)*AE153*Ramure*Pc/MaxiM</f>
        <v>4.4177829169072081E-5</v>
      </c>
      <c r="AE153" s="305">
        <f t="shared" si="62"/>
        <v>0.5</v>
      </c>
      <c r="AF153" s="177">
        <f t="shared" si="63"/>
        <v>0.6410447660117693</v>
      </c>
      <c r="AG153" s="176">
        <f t="shared" si="64"/>
        <v>-2</v>
      </c>
      <c r="AH153" s="176">
        <f t="shared" si="65"/>
        <v>4</v>
      </c>
      <c r="AI153" s="225">
        <f t="shared" si="66"/>
        <v>-1.3589552339882307</v>
      </c>
      <c r="AJ153" s="265" t="b">
        <f t="shared" si="67"/>
        <v>0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7">
        <v>52.396999999999998</v>
      </c>
      <c r="C154" s="390"/>
      <c r="D154" s="393">
        <f t="shared" si="48"/>
        <v>52.795592336822736</v>
      </c>
      <c r="E154" s="385">
        <f t="shared" si="70"/>
        <v>53.840786556992462</v>
      </c>
      <c r="F154" s="385">
        <f t="shared" si="49"/>
        <v>53.842651353238544</v>
      </c>
      <c r="G154" s="110">
        <f t="shared" si="71"/>
        <v>0.84800887686564974</v>
      </c>
      <c r="H154" s="414" t="b">
        <f>Wh_hp&gt;='2018'!Maxi_hp</f>
        <v>1</v>
      </c>
      <c r="I154" s="390">
        <f>IF(H154,Wh_hp,'2018'!Maxi_hp)</f>
        <v>53.842651353238544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7.5497275280068665E-3</v>
      </c>
      <c r="M154" s="845"/>
      <c r="N154" s="845"/>
      <c r="O154" s="48">
        <f>IF(t&lt;Tnet,'2018'!Resal+('2018'!Salim-'2018'!Resal)*(1-EXP(('2018'!Tnet-t)/('2018'!Tau_j))),Resal+(Salim-Resal)*(1-EXP((Tnet-t)/(Tau_j))))*Salcycl</f>
        <v>1.9412684825162237E-2</v>
      </c>
      <c r="P154" s="169">
        <f>(INDEX(Models!$BJ154:$BT154,,T154)*(1-R154)+INDEX(Models!$BJ154:$BT154,,T154+1)*R154-ERP_i)*Q154*Ramure*Pc/MaxiM</f>
        <v>4.423937064184114E-5</v>
      </c>
      <c r="Q154" s="305">
        <f t="shared" si="51"/>
        <v>0.5</v>
      </c>
      <c r="R154" s="177">
        <f t="shared" si="52"/>
        <v>0.64530378131943</v>
      </c>
      <c r="S154" s="811">
        <f t="shared" si="53"/>
        <v>-2</v>
      </c>
      <c r="T154" s="176">
        <f t="shared" si="54"/>
        <v>4</v>
      </c>
      <c r="U154" s="251">
        <f t="shared" si="55"/>
        <v>-1.35469621868057</v>
      </c>
      <c r="V154" s="383">
        <f t="shared" si="56"/>
        <v>61.787674786166967</v>
      </c>
      <c r="W154" s="58"/>
      <c r="X154" s="157">
        <f t="shared" si="57"/>
        <v>43605</v>
      </c>
      <c r="Y154" s="385">
        <f t="shared" si="58"/>
        <v>52.396999999999998</v>
      </c>
      <c r="Z154" s="385">
        <f t="shared" si="59"/>
        <v>52.795592336822736</v>
      </c>
      <c r="AA154" s="386">
        <f t="shared" si="60"/>
        <v>53.840786556992462</v>
      </c>
      <c r="AB154" s="197">
        <f t="shared" si="61"/>
        <v>43605</v>
      </c>
      <c r="AC154" s="426">
        <f>IF(OR(t&lt;Tnet,NoTnet),'2018'!Resal_s+('2018'!Salim-'2018'!Resal_s)*(1-EXP(('2018'!Tnet_s-t)/'2018'!Tau_j)),Resal_s+(Salim-Resal_s)*(1-EXP((Tnet_s-t)/Tau_j)))*Salcycl</f>
        <v>1.9412684825162237E-2</v>
      </c>
      <c r="AD154" s="231">
        <f>(INDEX(Models!$BJ154:$BT154,,AH154)*(1-AF154)+INDEX(Models!$BJ154:$BT154,,AH154+1)*AF154-ERP_i)*AE154*Ramure*Pc/MaxiM</f>
        <v>4.423937064184114E-5</v>
      </c>
      <c r="AE154" s="305">
        <f t="shared" si="62"/>
        <v>0.5</v>
      </c>
      <c r="AF154" s="177">
        <f t="shared" si="63"/>
        <v>0.64530378131943</v>
      </c>
      <c r="AG154" s="176">
        <f t="shared" si="64"/>
        <v>-2</v>
      </c>
      <c r="AH154" s="176">
        <f t="shared" si="65"/>
        <v>4</v>
      </c>
      <c r="AI154" s="225">
        <f t="shared" si="66"/>
        <v>-1.35469621868057</v>
      </c>
      <c r="AJ154" s="265" t="b">
        <f t="shared" si="67"/>
        <v>0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7">
        <v>50.527000000000001</v>
      </c>
      <c r="C155" s="390"/>
      <c r="D155" s="393">
        <f t="shared" si="48"/>
        <v>50.912482062560457</v>
      </c>
      <c r="E155" s="385">
        <f t="shared" si="70"/>
        <v>51.923637388994081</v>
      </c>
      <c r="F155" s="385">
        <f t="shared" si="49"/>
        <v>51.925321459193036</v>
      </c>
      <c r="G155" s="110">
        <f t="shared" si="71"/>
        <v>0.81726598808176065</v>
      </c>
      <c r="H155" s="414" t="b">
        <f>Wh_hp&gt;='2018'!Maxi_hp</f>
        <v>1</v>
      </c>
      <c r="I155" s="390">
        <f>IF(H155,Wh_hp,'2018'!Maxi_hp)</f>
        <v>51.925321459193036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7.571464736030431E-3</v>
      </c>
      <c r="M155" s="845"/>
      <c r="N155" s="845"/>
      <c r="O155" s="48">
        <f>IF(t&lt;Tnet,'2018'!Resal+('2018'!Salim-'2018'!Resal)*(1-EXP(('2018'!Tnet-t)/('2018'!Tau_j))),Resal+(Salim-Resal)*(1-EXP((Tnet-t)/(Tau_j))))*Salcycl</f>
        <v>1.9473892378886918E-2</v>
      </c>
      <c r="P155" s="169">
        <f>(INDEX(Models!$BJ155:$BT155,,T155)*(1-R155)+INDEX(Models!$BJ155:$BT155,,T155+1)*R155-ERP_i)*Q155*Ramure*Pc/MaxiM</f>
        <v>4.3889158322761266E-5</v>
      </c>
      <c r="Q155" s="305">
        <f t="shared" si="51"/>
        <v>0.5</v>
      </c>
      <c r="R155" s="177">
        <f t="shared" si="52"/>
        <v>0.64963454884037275</v>
      </c>
      <c r="S155" s="811">
        <f t="shared" si="53"/>
        <v>-2</v>
      </c>
      <c r="T155" s="176">
        <f t="shared" si="54"/>
        <v>4</v>
      </c>
      <c r="U155" s="251">
        <f t="shared" si="55"/>
        <v>-1.3503654511596273</v>
      </c>
      <c r="V155" s="383">
        <f t="shared" si="56"/>
        <v>61.823716941156476</v>
      </c>
      <c r="W155" s="58"/>
      <c r="X155" s="157">
        <f t="shared" si="57"/>
        <v>43606</v>
      </c>
      <c r="Y155" s="385">
        <f t="shared" si="58"/>
        <v>50.527000000000001</v>
      </c>
      <c r="Z155" s="385">
        <f t="shared" si="59"/>
        <v>50.912482062560457</v>
      </c>
      <c r="AA155" s="386">
        <f t="shared" si="60"/>
        <v>51.923637388994081</v>
      </c>
      <c r="AB155" s="197">
        <f t="shared" si="61"/>
        <v>43606</v>
      </c>
      <c r="AC155" s="426">
        <f>IF(OR(t&lt;Tnet,NoTnet),'2018'!Resal_s+('2018'!Salim-'2018'!Resal_s)*(1-EXP(('2018'!Tnet_s-t)/'2018'!Tau_j)),Resal_s+(Salim-Resal_s)*(1-EXP((Tnet_s-t)/Tau_j)))*Salcycl</f>
        <v>1.9473892378886918E-2</v>
      </c>
      <c r="AD155" s="231">
        <f>(INDEX(Models!$BJ155:$BT155,,AH155)*(1-AF155)+INDEX(Models!$BJ155:$BT155,,AH155+1)*AF155-ERP_i)*AE155*Ramure*Pc/MaxiM</f>
        <v>4.3889158322761266E-5</v>
      </c>
      <c r="AE155" s="305">
        <f t="shared" si="62"/>
        <v>0.5</v>
      </c>
      <c r="AF155" s="177">
        <f t="shared" si="63"/>
        <v>0.64963454884037275</v>
      </c>
      <c r="AG155" s="176">
        <f t="shared" si="64"/>
        <v>-2</v>
      </c>
      <c r="AH155" s="176">
        <f t="shared" si="65"/>
        <v>4</v>
      </c>
      <c r="AI155" s="225">
        <f t="shared" si="66"/>
        <v>-1.3503654511596273</v>
      </c>
      <c r="AJ155" s="265" t="b">
        <f t="shared" si="67"/>
        <v>0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7">
        <v>61.177</v>
      </c>
      <c r="C156" s="390"/>
      <c r="D156" s="393">
        <f t="shared" si="48"/>
        <v>61.645083538819073</v>
      </c>
      <c r="E156" s="385">
        <f t="shared" si="70"/>
        <v>62.873325366995168</v>
      </c>
      <c r="F156" s="385">
        <f t="shared" si="49"/>
        <v>62.875998222350205</v>
      </c>
      <c r="G156" s="110">
        <f t="shared" si="71"/>
        <v>0.98902431468688479</v>
      </c>
      <c r="H156" s="414" t="b">
        <f>Wh_hp&gt;='2018'!Maxi_hp</f>
        <v>1</v>
      </c>
      <c r="I156" s="390">
        <f>IF(H156,Wh_hp,'2018'!Maxi_hp)</f>
        <v>62.875998222350205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7.5932014679533921E-3</v>
      </c>
      <c r="M156" s="845"/>
      <c r="N156" s="845"/>
      <c r="O156" s="48">
        <f>IF(t&lt;Tnet,'2018'!Resal+('2018'!Salim-'2018'!Resal)*(1-EXP(('2018'!Tnet-t)/('2018'!Tau_j))),Resal+(Salim-Resal)*(1-EXP((Tnet-t)/(Tau_j))))*Salcycl</f>
        <v>1.9535181589438511E-2</v>
      </c>
      <c r="P156" s="169">
        <f>(INDEX(Models!$BJ156:$BT156,,T156)*(1-R156)+INDEX(Models!$BJ156:$BT156,,T156+1)*R156-ERP_i)*Q156*Ramure*Pc/MaxiM</f>
        <v>4.3187059406574147E-5</v>
      </c>
      <c r="Q156" s="305">
        <f t="shared" si="51"/>
        <v>0.5</v>
      </c>
      <c r="R156" s="177">
        <f t="shared" si="52"/>
        <v>0.65403514908592841</v>
      </c>
      <c r="S156" s="811">
        <f t="shared" si="53"/>
        <v>-2</v>
      </c>
      <c r="T156" s="176">
        <f t="shared" si="54"/>
        <v>4</v>
      </c>
      <c r="U156" s="251">
        <f t="shared" si="55"/>
        <v>-1.3459648509140716</v>
      </c>
      <c r="V156" s="383">
        <f t="shared" si="56"/>
        <v>61.855869128863908</v>
      </c>
      <c r="W156" s="58"/>
      <c r="X156" s="157">
        <f t="shared" si="57"/>
        <v>43607</v>
      </c>
      <c r="Y156" s="385">
        <f t="shared" si="58"/>
        <v>61.177</v>
      </c>
      <c r="Z156" s="385">
        <f t="shared" si="59"/>
        <v>61.645083538819073</v>
      </c>
      <c r="AA156" s="386">
        <f t="shared" si="60"/>
        <v>62.873325366995168</v>
      </c>
      <c r="AB156" s="197">
        <f t="shared" si="61"/>
        <v>43607</v>
      </c>
      <c r="AC156" s="426">
        <f>IF(OR(t&lt;Tnet,NoTnet),'2018'!Resal_s+('2018'!Salim-'2018'!Resal_s)*(1-EXP(('2018'!Tnet_s-t)/'2018'!Tau_j)),Resal_s+(Salim-Resal_s)*(1-EXP((Tnet_s-t)/Tau_j)))*Salcycl</f>
        <v>1.9535181589438511E-2</v>
      </c>
      <c r="AD156" s="231">
        <f>(INDEX(Models!$BJ156:$BT156,,AH156)*(1-AF156)+INDEX(Models!$BJ156:$BT156,,AH156+1)*AF156-ERP_i)*AE156*Ramure*Pc/MaxiM</f>
        <v>4.3187059406574147E-5</v>
      </c>
      <c r="AE156" s="305">
        <f t="shared" si="62"/>
        <v>0.5</v>
      </c>
      <c r="AF156" s="177">
        <f t="shared" si="63"/>
        <v>0.65403514908592841</v>
      </c>
      <c r="AG156" s="176">
        <f t="shared" si="64"/>
        <v>-2</v>
      </c>
      <c r="AH156" s="176">
        <f t="shared" si="65"/>
        <v>4</v>
      </c>
      <c r="AI156" s="225">
        <f t="shared" si="66"/>
        <v>-1.3459648509140716</v>
      </c>
      <c r="AJ156" s="265" t="b">
        <f t="shared" si="67"/>
        <v>0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7">
        <v>53.005000000000003</v>
      </c>
      <c r="C157" s="390"/>
      <c r="D157" s="393">
        <f t="shared" si="48"/>
        <v>53.411726974631691</v>
      </c>
      <c r="E157" s="385">
        <f t="shared" si="70"/>
        <v>54.479333258064301</v>
      </c>
      <c r="F157" s="385">
        <f t="shared" si="49"/>
        <v>54.48116536843888</v>
      </c>
      <c r="G157" s="110">
        <f t="shared" si="71"/>
        <v>0.85650985841939808</v>
      </c>
      <c r="H157" s="414" t="b">
        <f>Wh_hp&gt;='2018'!Maxi_hp</f>
        <v>1</v>
      </c>
      <c r="I157" s="390">
        <f>IF(H157,Wh_hp,'2018'!Maxi_hp)</f>
        <v>54.48116536843888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7.6149377237861859E-3</v>
      </c>
      <c r="M157" s="845"/>
      <c r="N157" s="845"/>
      <c r="O157" s="48">
        <f>IF(t&lt;Tnet,'2018'!Resal+('2018'!Salim-'2018'!Resal)*(1-EXP(('2018'!Tnet-t)/('2018'!Tau_j))),Resal+(Salim-Resal)*(1-EXP((Tnet-t)/(Tau_j))))*Salcycl</f>
        <v>1.9596537247903608E-2</v>
      </c>
      <c r="P157" s="169">
        <f>(INDEX(Models!$BJ157:$BT157,,T157)*(1-R157)+INDEX(Models!$BJ157:$BT157,,T157+1)*R157-ERP_i)*Q157*Ramure*Pc/MaxiM</f>
        <v>4.2298466995944187E-5</v>
      </c>
      <c r="Q157" s="305">
        <f t="shared" si="51"/>
        <v>0.5</v>
      </c>
      <c r="R157" s="177">
        <f t="shared" si="52"/>
        <v>0.65850348041770079</v>
      </c>
      <c r="S157" s="811">
        <f t="shared" si="53"/>
        <v>-2</v>
      </c>
      <c r="T157" s="176">
        <f t="shared" si="54"/>
        <v>4</v>
      </c>
      <c r="U157" s="251">
        <f t="shared" si="55"/>
        <v>-1.3414965195822992</v>
      </c>
      <c r="V157" s="383">
        <f t="shared" si="56"/>
        <v>61.884331981328678</v>
      </c>
      <c r="W157" s="58"/>
      <c r="X157" s="157">
        <f t="shared" si="57"/>
        <v>43608</v>
      </c>
      <c r="Y157" s="385">
        <f t="shared" si="58"/>
        <v>53.005000000000003</v>
      </c>
      <c r="Z157" s="385">
        <f t="shared" si="59"/>
        <v>53.411726974631691</v>
      </c>
      <c r="AA157" s="386">
        <f t="shared" si="60"/>
        <v>54.479333258064301</v>
      </c>
      <c r="AB157" s="197">
        <f t="shared" si="61"/>
        <v>43608</v>
      </c>
      <c r="AC157" s="426">
        <f>IF(OR(t&lt;Tnet,NoTnet),'2018'!Resal_s+('2018'!Salim-'2018'!Resal_s)*(1-EXP(('2018'!Tnet_s-t)/'2018'!Tau_j)),Resal_s+(Salim-Resal_s)*(1-EXP((Tnet_s-t)/Tau_j)))*Salcycl</f>
        <v>1.9596537247903608E-2</v>
      </c>
      <c r="AD157" s="231">
        <f>(INDEX(Models!$BJ157:$BT157,,AH157)*(1-AF157)+INDEX(Models!$BJ157:$BT157,,AH157+1)*AF157-ERP_i)*AE157*Ramure*Pc/MaxiM</f>
        <v>4.2298466995944187E-5</v>
      </c>
      <c r="AE157" s="305">
        <f t="shared" si="62"/>
        <v>0.5</v>
      </c>
      <c r="AF157" s="177">
        <f t="shared" si="63"/>
        <v>0.65850348041770079</v>
      </c>
      <c r="AG157" s="176">
        <f t="shared" si="64"/>
        <v>-2</v>
      </c>
      <c r="AH157" s="176">
        <f t="shared" si="65"/>
        <v>4</v>
      </c>
      <c r="AI157" s="225">
        <f t="shared" si="66"/>
        <v>-1.3414965195822992</v>
      </c>
      <c r="AJ157" s="265" t="b">
        <f t="shared" si="67"/>
        <v>0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7">
        <v>12.631</v>
      </c>
      <c r="C158" s="390"/>
      <c r="D158" s="393">
        <f t="shared" si="48"/>
        <v>12.728201116211892</v>
      </c>
      <c r="E158" s="385">
        <f t="shared" si="70"/>
        <v>12.983428624588381</v>
      </c>
      <c r="F158" s="385">
        <f t="shared" si="49"/>
        <v>12.983428624588381</v>
      </c>
      <c r="G158" s="110">
        <f t="shared" si="71"/>
        <v>0.20401580989727588</v>
      </c>
      <c r="H158" s="414" t="b">
        <f>Wh_hp&gt;='2018'!Maxi_hp</f>
        <v>1</v>
      </c>
      <c r="I158" s="390">
        <f>IF(H158,Wh_hp,'2018'!Maxi_hp)</f>
        <v>12.983428624588381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7.6366735035391375E-3</v>
      </c>
      <c r="M158" s="845"/>
      <c r="N158" s="845"/>
      <c r="O158" s="48">
        <f>IF(t&lt;Tnet,'2018'!Resal+('2018'!Salim-'2018'!Resal)*(1-EXP(('2018'!Tnet-t)/('2018'!Tau_j))),Resal+(Salim-Resal)*(1-EXP((Tnet-t)/(Tau_j))))*Salcycl</f>
        <v>1.9657943656973077E-2</v>
      </c>
      <c r="P158" s="169">
        <f>(INDEX(Models!$BJ158:$BT158,,T158)*(1-R158)+INDEX(Models!$BJ158:$BT158,,T158+1)*R158-ERP_i)*Q158*Ramure*Pc/MaxiM</f>
        <v>4.1215349072108273E-5</v>
      </c>
      <c r="Q158" s="305">
        <f t="shared" si="51"/>
        <v>0.5</v>
      </c>
      <c r="R158" s="177">
        <f t="shared" si="52"/>
        <v>0.66303725994853013</v>
      </c>
      <c r="S158" s="811">
        <f t="shared" si="53"/>
        <v>-2</v>
      </c>
      <c r="T158" s="176">
        <f t="shared" si="54"/>
        <v>4</v>
      </c>
      <c r="U158" s="251">
        <f t="shared" si="55"/>
        <v>-1.3369627400514699</v>
      </c>
      <c r="V158" s="383">
        <f t="shared" si="56"/>
        <v>61.909316808758348</v>
      </c>
      <c r="W158" s="58"/>
      <c r="X158" s="157">
        <f t="shared" si="57"/>
        <v>43609</v>
      </c>
      <c r="Y158" s="385">
        <f t="shared" si="58"/>
        <v>12.631</v>
      </c>
      <c r="Z158" s="385">
        <f t="shared" si="59"/>
        <v>12.728201116211892</v>
      </c>
      <c r="AA158" s="386">
        <f t="shared" si="60"/>
        <v>12.983428624588381</v>
      </c>
      <c r="AB158" s="197">
        <f t="shared" si="61"/>
        <v>43609</v>
      </c>
      <c r="AC158" s="426">
        <f>IF(OR(t&lt;Tnet,NoTnet),'2018'!Resal_s+('2018'!Salim-'2018'!Resal_s)*(1-EXP(('2018'!Tnet_s-t)/'2018'!Tau_j)),Resal_s+(Salim-Resal_s)*(1-EXP((Tnet_s-t)/Tau_j)))*Salcycl</f>
        <v>1.9657943656973077E-2</v>
      </c>
      <c r="AD158" s="231">
        <f>(INDEX(Models!$BJ158:$BT158,,AH158)*(1-AF158)+INDEX(Models!$BJ158:$BT158,,AH158+1)*AF158-ERP_i)*AE158*Ramure*Pc/MaxiM</f>
        <v>4.1215349072108273E-5</v>
      </c>
      <c r="AE158" s="305">
        <f t="shared" si="62"/>
        <v>0.5</v>
      </c>
      <c r="AF158" s="177">
        <f t="shared" si="63"/>
        <v>0.66303725994853013</v>
      </c>
      <c r="AG158" s="176">
        <f t="shared" si="64"/>
        <v>-2</v>
      </c>
      <c r="AH158" s="176">
        <f t="shared" si="65"/>
        <v>4</v>
      </c>
      <c r="AI158" s="225">
        <f t="shared" si="66"/>
        <v>-1.3369627400514699</v>
      </c>
      <c r="AJ158" s="265" t="b">
        <f t="shared" si="67"/>
        <v>0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7">
        <v>25.462</v>
      </c>
      <c r="C159" s="390"/>
      <c r="D159" s="393">
        <f t="shared" si="48"/>
        <v>25.658503307711936</v>
      </c>
      <c r="E159" s="385">
        <f t="shared" si="70"/>
        <v>26.174651325926895</v>
      </c>
      <c r="F159" s="385">
        <f t="shared" si="49"/>
        <v>26.174817258680864</v>
      </c>
      <c r="G159" s="110">
        <f t="shared" si="71"/>
        <v>0.41112093103731046</v>
      </c>
      <c r="H159" s="414" t="b">
        <f>Wh_hp&gt;='2018'!Maxi_hp</f>
        <v>1</v>
      </c>
      <c r="I159" s="390">
        <f>IF(H159,Wh_hp,'2018'!Maxi_hp)</f>
        <v>26.174817258680864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7.658408807222794E-3</v>
      </c>
      <c r="M159" s="845"/>
      <c r="N159" s="845"/>
      <c r="O159" s="48">
        <f>IF(t&lt;Tnet,'2018'!Resal+('2018'!Salim-'2018'!Resal)*(1-EXP(('2018'!Tnet-t)/('2018'!Tau_j))),Resal+(Salim-Resal)*(1-EXP((Tnet-t)/(Tau_j))))*Salcycl</f>
        <v>1.9719384674427187E-2</v>
      </c>
      <c r="P159" s="169">
        <f>(INDEX(Models!$BJ159:$BT159,,T159)*(1-R159)+INDEX(Models!$BJ159:$BT159,,T159+1)*R159-ERP_i)*Q159*Ramure*Pc/MaxiM</f>
        <v>3.9929756342256034E-5</v>
      </c>
      <c r="Q159" s="305">
        <f t="shared" si="51"/>
        <v>0.5</v>
      </c>
      <c r="R159" s="177">
        <f t="shared" si="52"/>
        <v>0.66763402536624739</v>
      </c>
      <c r="S159" s="811">
        <f t="shared" si="53"/>
        <v>-2</v>
      </c>
      <c r="T159" s="176">
        <f t="shared" si="54"/>
        <v>4</v>
      </c>
      <c r="U159" s="251">
        <f t="shared" si="55"/>
        <v>-1.3323659746337526</v>
      </c>
      <c r="V159" s="383">
        <f t="shared" si="56"/>
        <v>61.931034872871493</v>
      </c>
      <c r="W159" s="58"/>
      <c r="X159" s="157">
        <f t="shared" si="57"/>
        <v>43610</v>
      </c>
      <c r="Y159" s="385">
        <f t="shared" si="58"/>
        <v>25.462</v>
      </c>
      <c r="Z159" s="385">
        <f t="shared" si="59"/>
        <v>25.658503307711936</v>
      </c>
      <c r="AA159" s="386">
        <f t="shared" si="60"/>
        <v>26.174651325926895</v>
      </c>
      <c r="AB159" s="197">
        <f t="shared" si="61"/>
        <v>43610</v>
      </c>
      <c r="AC159" s="426">
        <f>IF(OR(t&lt;Tnet,NoTnet),'2018'!Resal_s+('2018'!Salim-'2018'!Resal_s)*(1-EXP(('2018'!Tnet_s-t)/'2018'!Tau_j)),Resal_s+(Salim-Resal_s)*(1-EXP((Tnet_s-t)/Tau_j)))*Salcycl</f>
        <v>1.9719384674427187E-2</v>
      </c>
      <c r="AD159" s="231">
        <f>(INDEX(Models!$BJ159:$BT159,,AH159)*(1-AF159)+INDEX(Models!$BJ159:$BT159,,AH159+1)*AF159-ERP_i)*AE159*Ramure*Pc/MaxiM</f>
        <v>3.9929756342256034E-5</v>
      </c>
      <c r="AE159" s="305">
        <f t="shared" si="62"/>
        <v>0.5</v>
      </c>
      <c r="AF159" s="177">
        <f t="shared" si="63"/>
        <v>0.66763402536624739</v>
      </c>
      <c r="AG159" s="176">
        <f t="shared" si="64"/>
        <v>-2</v>
      </c>
      <c r="AH159" s="176">
        <f t="shared" si="65"/>
        <v>4</v>
      </c>
      <c r="AI159" s="225">
        <f t="shared" si="66"/>
        <v>-1.3323659746337526</v>
      </c>
      <c r="AJ159" s="265" t="b">
        <f t="shared" si="67"/>
        <v>0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7">
        <v>25.443999999999999</v>
      </c>
      <c r="C160" s="390"/>
      <c r="D160" s="393">
        <f t="shared" si="48"/>
        <v>25.640925994568782</v>
      </c>
      <c r="E160" s="385">
        <f t="shared" si="70"/>
        <v>26.158360435364074</v>
      </c>
      <c r="F160" s="385">
        <f t="shared" si="49"/>
        <v>26.158519455950707</v>
      </c>
      <c r="G160" s="110">
        <f t="shared" si="71"/>
        <v>0.41070703869743586</v>
      </c>
      <c r="H160" s="414" t="b">
        <f>Wh_hp&gt;='2018'!Maxi_hp</f>
        <v>1</v>
      </c>
      <c r="I160" s="390">
        <f>IF(H160,Wh_hp,'2018'!Maxi_hp)</f>
        <v>26.158519455950707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7.6801436348474805E-3</v>
      </c>
      <c r="M160" s="845"/>
      <c r="N160" s="845"/>
      <c r="O160" s="48">
        <f>IF(t&lt;Tnet,'2018'!Resal+('2018'!Salim-'2018'!Resal)*(1-EXP(('2018'!Tnet-t)/('2018'!Tau_j))),Resal+(Salim-Resal)*(1-EXP((Tnet-t)/(Tau_j))))*Salcycl</f>
        <v>1.9780843760213575E-2</v>
      </c>
      <c r="P160" s="169">
        <f>(INDEX(Models!$BJ160:$BT160,,T160)*(1-R160)+INDEX(Models!$BJ160:$BT160,,T160+1)*R160-ERP_i)*Q160*Ramure*Pc/MaxiM</f>
        <v>3.8433582676664367E-5</v>
      </c>
      <c r="Q160" s="305">
        <f t="shared" si="51"/>
        <v>0.5</v>
      </c>
      <c r="R160" s="177">
        <f t="shared" si="52"/>
        <v>0.67229113770707971</v>
      </c>
      <c r="S160" s="811">
        <f t="shared" si="53"/>
        <v>-2</v>
      </c>
      <c r="T160" s="176">
        <f t="shared" si="54"/>
        <v>4</v>
      </c>
      <c r="U160" s="251">
        <f t="shared" si="55"/>
        <v>-1.3277088622929203</v>
      </c>
      <c r="V160" s="383">
        <f t="shared" si="56"/>
        <v>61.949697401227105</v>
      </c>
      <c r="W160" s="58"/>
      <c r="X160" s="157">
        <f t="shared" si="57"/>
        <v>43611</v>
      </c>
      <c r="Y160" s="385">
        <f t="shared" si="58"/>
        <v>25.443999999999999</v>
      </c>
      <c r="Z160" s="385">
        <f t="shared" si="59"/>
        <v>25.640925994568782</v>
      </c>
      <c r="AA160" s="386">
        <f t="shared" si="60"/>
        <v>26.158360435364074</v>
      </c>
      <c r="AB160" s="197">
        <f t="shared" si="61"/>
        <v>43611</v>
      </c>
      <c r="AC160" s="426">
        <f>IF(OR(t&lt;Tnet,NoTnet),'2018'!Resal_s+('2018'!Salim-'2018'!Resal_s)*(1-EXP(('2018'!Tnet_s-t)/'2018'!Tau_j)),Resal_s+(Salim-Resal_s)*(1-EXP((Tnet_s-t)/Tau_j)))*Salcycl</f>
        <v>1.9780843760213575E-2</v>
      </c>
      <c r="AD160" s="231">
        <f>(INDEX(Models!$BJ160:$BT160,,AH160)*(1-AF160)+INDEX(Models!$BJ160:$BT160,,AH160+1)*AF160-ERP_i)*AE160*Ramure*Pc/MaxiM</f>
        <v>3.8433582676664367E-5</v>
      </c>
      <c r="AE160" s="305">
        <f t="shared" si="62"/>
        <v>0.5</v>
      </c>
      <c r="AF160" s="177">
        <f t="shared" si="63"/>
        <v>0.67229113770707971</v>
      </c>
      <c r="AG160" s="176">
        <f t="shared" si="64"/>
        <v>-2</v>
      </c>
      <c r="AH160" s="176">
        <f t="shared" si="65"/>
        <v>4</v>
      </c>
      <c r="AI160" s="225">
        <f t="shared" si="66"/>
        <v>-1.3277088622929203</v>
      </c>
      <c r="AJ160" s="265" t="b">
        <f t="shared" si="67"/>
        <v>0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7">
        <v>29.888999999999999</v>
      </c>
      <c r="C161" s="390"/>
      <c r="D161" s="393">
        <f t="shared" si="48"/>
        <v>30.120988175760214</v>
      </c>
      <c r="E161" s="385">
        <f t="shared" si="70"/>
        <v>30.730757203163392</v>
      </c>
      <c r="F161" s="385">
        <f t="shared" si="49"/>
        <v>30.731051149875494</v>
      </c>
      <c r="G161" s="110">
        <f t="shared" si="71"/>
        <v>0.48233583022421855</v>
      </c>
      <c r="H161" s="414" t="b">
        <f>Wh_hp&gt;='2018'!Maxi_hp</f>
        <v>1</v>
      </c>
      <c r="I161" s="390">
        <f>IF(H161,Wh_hp,'2018'!Maxi_hp)</f>
        <v>30.731051149875494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7.7018779864236331E-3</v>
      </c>
      <c r="M161" s="845"/>
      <c r="N161" s="845"/>
      <c r="O161" s="48">
        <f>IF(t&lt;Tnet,'2018'!Resal+('2018'!Salim-'2018'!Resal)*(1-EXP(('2018'!Tnet-t)/('2018'!Tau_j))),Resal+(Salim-Resal)*(1-EXP((Tnet-t)/(Tau_j))))*Salcycl</f>
        <v>1.9842304026937874E-2</v>
      </c>
      <c r="P161" s="169">
        <f>(INDEX(Models!$BJ161:$BT161,,T161)*(1-R161)+INDEX(Models!$BJ161:$BT161,,T161+1)*R161-ERP_i)*Q161*Ramure*Pc/MaxiM</f>
        <v>3.6718591816242391E-5</v>
      </c>
      <c r="Q161" s="305">
        <f t="shared" si="51"/>
        <v>0.5</v>
      </c>
      <c r="R161" s="177">
        <f t="shared" si="52"/>
        <v>0.67700578509805553</v>
      </c>
      <c r="S161" s="811">
        <f t="shared" si="53"/>
        <v>-2</v>
      </c>
      <c r="T161" s="176">
        <f t="shared" si="54"/>
        <v>4</v>
      </c>
      <c r="U161" s="251">
        <f t="shared" si="55"/>
        <v>-1.3229942149019445</v>
      </c>
      <c r="V161" s="383">
        <f t="shared" si="56"/>
        <v>61.965515580150665</v>
      </c>
      <c r="W161" s="58"/>
      <c r="X161" s="157">
        <f t="shared" si="57"/>
        <v>43612</v>
      </c>
      <c r="Y161" s="385">
        <f t="shared" si="58"/>
        <v>29.888999999999999</v>
      </c>
      <c r="Z161" s="385">
        <f t="shared" si="59"/>
        <v>30.120988175760214</v>
      </c>
      <c r="AA161" s="386">
        <f t="shared" si="60"/>
        <v>30.730757203163392</v>
      </c>
      <c r="AB161" s="197">
        <f t="shared" si="61"/>
        <v>43612</v>
      </c>
      <c r="AC161" s="426">
        <f>IF(OR(t&lt;Tnet,NoTnet),'2018'!Resal_s+('2018'!Salim-'2018'!Resal_s)*(1-EXP(('2018'!Tnet_s-t)/'2018'!Tau_j)),Resal_s+(Salim-Resal_s)*(1-EXP((Tnet_s-t)/Tau_j)))*Salcycl</f>
        <v>1.9842304026937874E-2</v>
      </c>
      <c r="AD161" s="231">
        <f>(INDEX(Models!$BJ161:$BT161,,AH161)*(1-AF161)+INDEX(Models!$BJ161:$BT161,,AH161+1)*AF161-ERP_i)*AE161*Ramure*Pc/MaxiM</f>
        <v>3.6718591816242391E-5</v>
      </c>
      <c r="AE161" s="305">
        <f t="shared" si="62"/>
        <v>0.5</v>
      </c>
      <c r="AF161" s="177">
        <f t="shared" si="63"/>
        <v>0.67700578509805553</v>
      </c>
      <c r="AG161" s="176">
        <f t="shared" si="64"/>
        <v>-2</v>
      </c>
      <c r="AH161" s="176">
        <f t="shared" si="65"/>
        <v>4</v>
      </c>
      <c r="AI161" s="225">
        <f t="shared" si="66"/>
        <v>-1.3229942149019445</v>
      </c>
      <c r="AJ161" s="265" t="b">
        <f t="shared" si="67"/>
        <v>0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7">
        <v>28.161000000000001</v>
      </c>
      <c r="C162" s="390"/>
      <c r="D162" s="393">
        <f t="shared" si="48"/>
        <v>28.380197631068135</v>
      </c>
      <c r="E162" s="385">
        <f t="shared" si="70"/>
        <v>28.956541341378784</v>
      </c>
      <c r="F162" s="385">
        <f t="shared" si="49"/>
        <v>28.95676341050228</v>
      </c>
      <c r="G162" s="110">
        <f t="shared" si="71"/>
        <v>0.45435345322905729</v>
      </c>
      <c r="H162" s="414" t="b">
        <f>Wh_hp&gt;='2018'!Maxi_hp</f>
        <v>1</v>
      </c>
      <c r="I162" s="390">
        <f>IF(H162,Wh_hp,'2018'!Maxi_hp)</f>
        <v>28.95676341050228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7.7236118619616878E-3</v>
      </c>
      <c r="M162" s="845"/>
      <c r="N162" s="845"/>
      <c r="O162" s="48">
        <f>IF(t&lt;Tnet,'2018'!Resal+('2018'!Salim-'2018'!Resal)*(1-EXP(('2018'!Tnet-t)/('2018'!Tau_j))),Resal+(Salim-Resal)*(1-EXP((Tnet-t)/(Tau_j))))*Salcycl</f>
        <v>1.9903748293552466E-2</v>
      </c>
      <c r="P162" s="169">
        <f>(INDEX(Models!$BJ162:$BT162,,T162)*(1-R162)+INDEX(Models!$BJ162:$BT162,,T162+1)*R162-ERP_i)*Q162*Ramure*Pc/MaxiM</f>
        <v>3.4776446005135595E-5</v>
      </c>
      <c r="Q162" s="305">
        <f t="shared" si="51"/>
        <v>0.5</v>
      </c>
      <c r="R162" s="177">
        <f t="shared" si="52"/>
        <v>0.68177498747959797</v>
      </c>
      <c r="S162" s="811">
        <f t="shared" si="53"/>
        <v>-2</v>
      </c>
      <c r="T162" s="176">
        <f t="shared" si="54"/>
        <v>4</v>
      </c>
      <c r="U162" s="251">
        <f t="shared" si="55"/>
        <v>-1.318225012520402</v>
      </c>
      <c r="V162" s="383">
        <f t="shared" si="56"/>
        <v>61.978700548964554</v>
      </c>
      <c r="W162" s="58"/>
      <c r="X162" s="157">
        <f t="shared" si="57"/>
        <v>43613</v>
      </c>
      <c r="Y162" s="385">
        <f t="shared" si="58"/>
        <v>28.161000000000001</v>
      </c>
      <c r="Z162" s="385">
        <f t="shared" si="59"/>
        <v>28.380197631068135</v>
      </c>
      <c r="AA162" s="386">
        <f t="shared" si="60"/>
        <v>28.956541341378784</v>
      </c>
      <c r="AB162" s="197">
        <f t="shared" si="61"/>
        <v>43613</v>
      </c>
      <c r="AC162" s="426">
        <f>IF(OR(t&lt;Tnet,NoTnet),'2018'!Resal_s+('2018'!Salim-'2018'!Resal_s)*(1-EXP(('2018'!Tnet_s-t)/'2018'!Tau_j)),Resal_s+(Salim-Resal_s)*(1-EXP((Tnet_s-t)/Tau_j)))*Salcycl</f>
        <v>1.9903748293552466E-2</v>
      </c>
      <c r="AD162" s="231">
        <f>(INDEX(Models!$BJ162:$BT162,,AH162)*(1-AF162)+INDEX(Models!$BJ162:$BT162,,AH162+1)*AF162-ERP_i)*AE162*Ramure*Pc/MaxiM</f>
        <v>3.4776446005135595E-5</v>
      </c>
      <c r="AE162" s="305">
        <f t="shared" si="62"/>
        <v>0.5</v>
      </c>
      <c r="AF162" s="177">
        <f t="shared" si="63"/>
        <v>0.68177498747959797</v>
      </c>
      <c r="AG162" s="176">
        <f t="shared" si="64"/>
        <v>-2</v>
      </c>
      <c r="AH162" s="176">
        <f t="shared" si="65"/>
        <v>4</v>
      </c>
      <c r="AI162" s="225">
        <f t="shared" si="66"/>
        <v>-1.318225012520402</v>
      </c>
      <c r="AJ162" s="265" t="b">
        <f t="shared" si="67"/>
        <v>0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7">
        <v>37.738</v>
      </c>
      <c r="C163" s="390"/>
      <c r="D163" s="393">
        <f t="shared" si="48"/>
        <v>38.032575427871848</v>
      </c>
      <c r="E163" s="385">
        <f t="shared" si="70"/>
        <v>38.807370760997593</v>
      </c>
      <c r="F163" s="385">
        <f t="shared" si="49"/>
        <v>38.807928819525117</v>
      </c>
      <c r="G163" s="110">
        <f t="shared" si="71"/>
        <v>0.60877269230218334</v>
      </c>
      <c r="H163" s="414" t="b">
        <f>Wh_hp&gt;='2018'!Maxi_hp</f>
        <v>1</v>
      </c>
      <c r="I163" s="390">
        <f>IF(H163,Wh_hp,'2018'!Maxi_hp)</f>
        <v>38.807928819525117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7.7453452614721918E-3</v>
      </c>
      <c r="M163" s="845"/>
      <c r="N163" s="845"/>
      <c r="O163" s="48">
        <f>IF(t&lt;Tnet,'2018'!Resal+('2018'!Salim-'2018'!Resal)*(1-EXP(('2018'!Tnet-t)/('2018'!Tau_j))),Resal+(Salim-Resal)*(1-EXP((Tnet-t)/(Tau_j))))*Salcycl</f>
        <v>1.9965159141995637E-2</v>
      </c>
      <c r="P163" s="169">
        <f>(INDEX(Models!$BJ163:$BT163,,T163)*(1-R163)+INDEX(Models!$BJ163:$BT163,,T163+1)*R163-ERP_i)*Q163*Ramure*Pc/MaxiM</f>
        <v>3.2598891996584365E-5</v>
      </c>
      <c r="Q163" s="305">
        <f t="shared" si="51"/>
        <v>0.5</v>
      </c>
      <c r="R163" s="177">
        <f t="shared" si="52"/>
        <v>0.68659560231081995</v>
      </c>
      <c r="S163" s="811">
        <f t="shared" si="53"/>
        <v>-2</v>
      </c>
      <c r="T163" s="176">
        <f t="shared" si="54"/>
        <v>4</v>
      </c>
      <c r="U163" s="251">
        <f t="shared" si="55"/>
        <v>-1.31340439768918</v>
      </c>
      <c r="V163" s="383">
        <f t="shared" si="56"/>
        <v>61.989167587910977</v>
      </c>
      <c r="W163" s="58"/>
      <c r="X163" s="157">
        <f t="shared" si="57"/>
        <v>43614</v>
      </c>
      <c r="Y163" s="385">
        <f t="shared" si="58"/>
        <v>37.738</v>
      </c>
      <c r="Z163" s="385">
        <f t="shared" si="59"/>
        <v>38.032575427871848</v>
      </c>
      <c r="AA163" s="386">
        <f t="shared" si="60"/>
        <v>38.807370760997593</v>
      </c>
      <c r="AB163" s="197">
        <f t="shared" si="61"/>
        <v>43614</v>
      </c>
      <c r="AC163" s="426">
        <f>IF(OR(t&lt;Tnet,NoTnet),'2018'!Resal_s+('2018'!Salim-'2018'!Resal_s)*(1-EXP(('2018'!Tnet_s-t)/'2018'!Tau_j)),Resal_s+(Salim-Resal_s)*(1-EXP((Tnet_s-t)/Tau_j)))*Salcycl</f>
        <v>1.9965159141995637E-2</v>
      </c>
      <c r="AD163" s="231">
        <f>(INDEX(Models!$BJ163:$BT163,,AH163)*(1-AF163)+INDEX(Models!$BJ163:$BT163,,AH163+1)*AF163-ERP_i)*AE163*Ramure*Pc/MaxiM</f>
        <v>3.2598891996584365E-5</v>
      </c>
      <c r="AE163" s="305">
        <f t="shared" si="62"/>
        <v>0.5</v>
      </c>
      <c r="AF163" s="177">
        <f t="shared" si="63"/>
        <v>0.68659560231081995</v>
      </c>
      <c r="AG163" s="176">
        <f t="shared" si="64"/>
        <v>-2</v>
      </c>
      <c r="AH163" s="176">
        <f t="shared" si="65"/>
        <v>4</v>
      </c>
      <c r="AI163" s="225">
        <f t="shared" si="66"/>
        <v>-1.31340439768918</v>
      </c>
      <c r="AJ163" s="265" t="b">
        <f t="shared" si="67"/>
        <v>0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7">
        <v>55.640999999999998</v>
      </c>
      <c r="C164" s="390"/>
      <c r="D164" s="393">
        <f t="shared" si="48"/>
        <v>56.07655095561546</v>
      </c>
      <c r="E164" s="385">
        <f t="shared" si="70"/>
        <v>57.222518814538006</v>
      </c>
      <c r="F164" s="385">
        <f t="shared" si="49"/>
        <v>57.223999787813696</v>
      </c>
      <c r="G164" s="110">
        <f t="shared" si="71"/>
        <v>0.89748050753229636</v>
      </c>
      <c r="H164" s="414" t="b">
        <f>Wh_hp&gt;='2018'!Maxi_hp</f>
        <v>1</v>
      </c>
      <c r="I164" s="390">
        <f>IF(H164,Wh_hp,'2018'!Maxi_hp)</f>
        <v>57.223999787813696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7.7670781849653592E-3</v>
      </c>
      <c r="M164" s="845"/>
      <c r="N164" s="845"/>
      <c r="O164" s="48">
        <f>IF(t&lt;Tnet,'2018'!Resal+('2018'!Salim-'2018'!Resal)*(1-EXP(('2018'!Tnet-t)/('2018'!Tau_j))),Resal+(Salim-Resal)*(1-EXP((Tnet-t)/(Tau_j))))*Salcycl</f>
        <v>2.0026518976501286E-2</v>
      </c>
      <c r="P164" s="169">
        <f>(INDEX(Models!$BJ164:$BT164,,T164)*(1-R164)+INDEX(Models!$BJ164:$BT164,,T164+1)*R164-ERP_i)*Q164*Ramure*Pc/MaxiM</f>
        <v>3.0320783063943699E-5</v>
      </c>
      <c r="Q164" s="305">
        <f t="shared" si="51"/>
        <v>0.5</v>
      </c>
      <c r="R164" s="177">
        <f t="shared" si="52"/>
        <v>0.69146433125090745</v>
      </c>
      <c r="S164" s="811">
        <f t="shared" si="53"/>
        <v>-2</v>
      </c>
      <c r="T164" s="176">
        <f t="shared" si="54"/>
        <v>4</v>
      </c>
      <c r="U164" s="251">
        <f t="shared" si="55"/>
        <v>-1.3085356687490926</v>
      </c>
      <c r="V164" s="383">
        <f t="shared" si="56"/>
        <v>61.996614358453776</v>
      </c>
      <c r="W164" s="58"/>
      <c r="X164" s="157">
        <f t="shared" si="57"/>
        <v>43615</v>
      </c>
      <c r="Y164" s="385">
        <f t="shared" si="58"/>
        <v>55.640999999999998</v>
      </c>
      <c r="Z164" s="385">
        <f t="shared" si="59"/>
        <v>56.07655095561546</v>
      </c>
      <c r="AA164" s="386">
        <f t="shared" si="60"/>
        <v>57.222518814538006</v>
      </c>
      <c r="AB164" s="197">
        <f t="shared" si="61"/>
        <v>43615</v>
      </c>
      <c r="AC164" s="426">
        <f>IF(OR(t&lt;Tnet,NoTnet),'2018'!Resal_s+('2018'!Salim-'2018'!Resal_s)*(1-EXP(('2018'!Tnet_s-t)/'2018'!Tau_j)),Resal_s+(Salim-Resal_s)*(1-EXP((Tnet_s-t)/Tau_j)))*Salcycl</f>
        <v>2.0026518976501286E-2</v>
      </c>
      <c r="AD164" s="231">
        <f>(INDEX(Models!$BJ164:$BT164,,AH164)*(1-AF164)+INDEX(Models!$BJ164:$BT164,,AH164+1)*AF164-ERP_i)*AE164*Ramure*Pc/MaxiM</f>
        <v>3.0320783063943699E-5</v>
      </c>
      <c r="AE164" s="305">
        <f t="shared" si="62"/>
        <v>0.5</v>
      </c>
      <c r="AF164" s="177">
        <f t="shared" si="63"/>
        <v>0.69146433125090745</v>
      </c>
      <c r="AG164" s="176">
        <f t="shared" si="64"/>
        <v>-2</v>
      </c>
      <c r="AH164" s="176">
        <f t="shared" si="65"/>
        <v>4</v>
      </c>
      <c r="AI164" s="225">
        <f t="shared" si="66"/>
        <v>-1.3085356687490926</v>
      </c>
      <c r="AJ164" s="265" t="b">
        <f t="shared" si="67"/>
        <v>0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7">
        <v>61.375</v>
      </c>
      <c r="C165" s="390"/>
      <c r="D165" s="393">
        <f t="shared" si="48"/>
        <v>61.856790830106888</v>
      </c>
      <c r="E165" s="385">
        <f t="shared" si="70"/>
        <v>63.124830435561265</v>
      </c>
      <c r="F165" s="385">
        <f t="shared" si="49"/>
        <v>63.126585406149495</v>
      </c>
      <c r="G165" s="110">
        <f t="shared" si="71"/>
        <v>0.98990423308055853</v>
      </c>
      <c r="H165" s="414" t="b">
        <f>Wh_hp&gt;='2018'!Maxi_hp</f>
        <v>1</v>
      </c>
      <c r="I165" s="390">
        <f>IF(H165,Wh_hp,'2018'!Maxi_hp)</f>
        <v>63.126585406149495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7.788810632451848E-3</v>
      </c>
      <c r="M165" s="845"/>
      <c r="N165" s="845"/>
      <c r="O165" s="48">
        <f>IF(t&lt;Tnet,'2018'!Resal+('2018'!Salim-'2018'!Resal)*(1-EXP(('2018'!Tnet-t)/('2018'!Tau_j))),Resal+(Salim-Resal)*(1-EXP((Tnet-t)/(Tau_j))))*Salcycl</f>
        <v>2.0087810085269116E-2</v>
      </c>
      <c r="P165" s="169">
        <f>(INDEX(Models!$BJ165:$BT165,,T165)*(1-R165)+INDEX(Models!$BJ165:$BT165,,T165+1)*R165-ERP_i)*Q165*Ramure*Pc/MaxiM</f>
        <v>2.8207624966824402E-5</v>
      </c>
      <c r="Q165" s="305">
        <f t="shared" si="51"/>
        <v>0.5</v>
      </c>
      <c r="R165" s="177">
        <f t="shared" si="52"/>
        <v>0.69637772780053409</v>
      </c>
      <c r="S165" s="811">
        <f t="shared" si="53"/>
        <v>-2</v>
      </c>
      <c r="T165" s="176">
        <f t="shared" si="54"/>
        <v>4</v>
      </c>
      <c r="U165" s="251">
        <f t="shared" si="55"/>
        <v>-1.3036222721994659</v>
      </c>
      <c r="V165" s="383">
        <f t="shared" si="56"/>
        <v>62.000921887575551</v>
      </c>
      <c r="W165" s="58"/>
      <c r="X165" s="157">
        <f t="shared" si="57"/>
        <v>43616</v>
      </c>
      <c r="Y165" s="385">
        <f t="shared" si="58"/>
        <v>61.375</v>
      </c>
      <c r="Z165" s="385">
        <f t="shared" si="59"/>
        <v>61.856790830106888</v>
      </c>
      <c r="AA165" s="386">
        <f t="shared" si="60"/>
        <v>63.124830435561265</v>
      </c>
      <c r="AB165" s="197">
        <f t="shared" si="61"/>
        <v>43616</v>
      </c>
      <c r="AC165" s="426">
        <f>IF(OR(t&lt;Tnet,NoTnet),'2018'!Resal_s+('2018'!Salim-'2018'!Resal_s)*(1-EXP(('2018'!Tnet_s-t)/'2018'!Tau_j)),Resal_s+(Salim-Resal_s)*(1-EXP((Tnet_s-t)/Tau_j)))*Salcycl</f>
        <v>2.0087810085269116E-2</v>
      </c>
      <c r="AD165" s="231">
        <f>(INDEX(Models!$BJ165:$BT165,,AH165)*(1-AF165)+INDEX(Models!$BJ165:$BT165,,AH165+1)*AF165-ERP_i)*AE165*Ramure*Pc/MaxiM</f>
        <v>2.8207624966824402E-5</v>
      </c>
      <c r="AE165" s="305">
        <f t="shared" si="62"/>
        <v>0.5</v>
      </c>
      <c r="AF165" s="177">
        <f t="shared" si="63"/>
        <v>0.69637772780053409</v>
      </c>
      <c r="AG165" s="176">
        <f t="shared" si="64"/>
        <v>-2</v>
      </c>
      <c r="AH165" s="176">
        <f t="shared" si="65"/>
        <v>4</v>
      </c>
      <c r="AI165" s="225">
        <f t="shared" si="66"/>
        <v>-1.3036222721994659</v>
      </c>
      <c r="AJ165" s="265" t="b">
        <f t="shared" si="67"/>
        <v>0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7">
        <v>62.927999999999997</v>
      </c>
      <c r="C166" s="390"/>
      <c r="D166" s="393">
        <f t="shared" si="48"/>
        <v>63.42337094081887</v>
      </c>
      <c r="E166" s="385">
        <f t="shared" si="70"/>
        <v>64.727567653228078</v>
      </c>
      <c r="F166" s="385">
        <f t="shared" si="49"/>
        <v>64.729267905613341</v>
      </c>
      <c r="G166" s="110">
        <f t="shared" si="71"/>
        <v>1.0149352112957413</v>
      </c>
      <c r="H166" s="414" t="b">
        <f>Wh_hp&gt;='2018'!Maxi_hp</f>
        <v>1</v>
      </c>
      <c r="I166" s="390">
        <f>IF(H166,Wh_hp,'2018'!Maxi_hp)</f>
        <v>64.729267905613341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7.8105426039418724E-3</v>
      </c>
      <c r="M166" s="845"/>
      <c r="N166" s="845"/>
      <c r="O166" s="48">
        <f>IF(t&lt;Tnet,'2018'!Resal+('2018'!Salim-'2018'!Resal)*(1-EXP(('2018'!Tnet-t)/('2018'!Tau_j))),Resal+(Salim-Resal)*(1-EXP((Tnet-t)/(Tau_j))))*Salcycl</f>
        <v>2.0149014704157045E-2</v>
      </c>
      <c r="P166" s="169">
        <f>(INDEX(Models!$BJ166:$BT166,,T166)*(1-R166)+INDEX(Models!$BJ166:$BT166,,T166+1)*R166-ERP_i)*Q166*Ramure*Pc/MaxiM</f>
        <v>2.6267134486208639E-5</v>
      </c>
      <c r="Q166" s="305">
        <f t="shared" si="51"/>
        <v>0.5</v>
      </c>
      <c r="R166" s="177">
        <f t="shared" si="52"/>
        <v>0.70133220587761635</v>
      </c>
      <c r="S166" s="811">
        <f t="shared" si="53"/>
        <v>-2</v>
      </c>
      <c r="T166" s="176">
        <f t="shared" si="54"/>
        <v>4</v>
      </c>
      <c r="U166" s="251">
        <f t="shared" si="55"/>
        <v>-1.2986677941223836</v>
      </c>
      <c r="V166" s="383">
        <f t="shared" si="56"/>
        <v>62.001987220111758</v>
      </c>
      <c r="W166" s="58"/>
      <c r="X166" s="157">
        <f t="shared" si="57"/>
        <v>43617</v>
      </c>
      <c r="Y166" s="385">
        <f t="shared" si="58"/>
        <v>62.92799999999999</v>
      </c>
      <c r="Z166" s="385">
        <f t="shared" si="59"/>
        <v>63.423370940818863</v>
      </c>
      <c r="AA166" s="386">
        <f t="shared" si="60"/>
        <v>64.727567653228078</v>
      </c>
      <c r="AB166" s="197">
        <f t="shared" si="61"/>
        <v>43617</v>
      </c>
      <c r="AC166" s="426">
        <f>IF(OR(t&lt;Tnet,NoTnet),'2018'!Resal_s+('2018'!Salim-'2018'!Resal_s)*(1-EXP(('2018'!Tnet_s-t)/'2018'!Tau_j)),Resal_s+(Salim-Resal_s)*(1-EXP((Tnet_s-t)/Tau_j)))*Salcycl</f>
        <v>2.0149014704157045E-2</v>
      </c>
      <c r="AD166" s="231">
        <f>(INDEX(Models!$BJ166:$BT166,,AH166)*(1-AF166)+INDEX(Models!$BJ166:$BT166,,AH166+1)*AF166-ERP_i)*AE166*Ramure*Pc/MaxiM</f>
        <v>2.6267134486208639E-5</v>
      </c>
      <c r="AE166" s="305">
        <f t="shared" si="62"/>
        <v>0.5</v>
      </c>
      <c r="AF166" s="177">
        <f t="shared" si="63"/>
        <v>0.70133220587761635</v>
      </c>
      <c r="AG166" s="176">
        <f t="shared" si="64"/>
        <v>-2</v>
      </c>
      <c r="AH166" s="176">
        <f t="shared" si="65"/>
        <v>4</v>
      </c>
      <c r="AI166" s="225">
        <f t="shared" si="66"/>
        <v>-1.2986677941223836</v>
      </c>
      <c r="AJ166" s="265" t="b">
        <f t="shared" si="67"/>
        <v>0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7">
        <v>61.960999999999999</v>
      </c>
      <c r="C167" s="390"/>
      <c r="D167" s="393">
        <f t="shared" si="48"/>
        <v>62.450126508358537</v>
      </c>
      <c r="E167" s="385">
        <f t="shared" si="70"/>
        <v>63.738284574745421</v>
      </c>
      <c r="F167" s="385">
        <f t="shared" si="49"/>
        <v>63.739845271535835</v>
      </c>
      <c r="G167" s="110">
        <f t="shared" si="71"/>
        <v>0.9993756619590034</v>
      </c>
      <c r="H167" s="414" t="b">
        <f>Wh_hp&gt;='2018'!Maxi_hp</f>
        <v>1</v>
      </c>
      <c r="I167" s="390">
        <f>IF(H167,Wh_hp,'2018'!Maxi_hp)</f>
        <v>63.739845271535835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7.8322740994459794E-3</v>
      </c>
      <c r="M167" s="845"/>
      <c r="N167" s="845"/>
      <c r="O167" s="48">
        <f>IF(t&lt;Tnet,'2018'!Resal+('2018'!Salim-'2018'!Resal)*(1-EXP(('2018'!Tnet-t)/('2018'!Tau_j))),Resal+(Salim-Resal)*(1-EXP((Tnet-t)/(Tau_j))))*Salcycl</f>
        <v>2.0210115082031622E-2</v>
      </c>
      <c r="P167" s="169">
        <f>(INDEX(Models!$BJ167:$BT167,,T167)*(1-R167)+INDEX(Models!$BJ167:$BT167,,T167+1)*R167-ERP_i)*Q167*Ramure*Pc/MaxiM</f>
        <v>2.4507276116130395E-5</v>
      </c>
      <c r="Q167" s="305">
        <f t="shared" si="51"/>
        <v>0.5</v>
      </c>
      <c r="R167" s="177">
        <f t="shared" si="52"/>
        <v>0.70632404929202908</v>
      </c>
      <c r="S167" s="811">
        <f t="shared" si="53"/>
        <v>-2</v>
      </c>
      <c r="T167" s="176">
        <f t="shared" si="54"/>
        <v>4</v>
      </c>
      <c r="U167" s="251">
        <f t="shared" si="55"/>
        <v>-1.2936759507079709</v>
      </c>
      <c r="V167" s="383">
        <f t="shared" si="56"/>
        <v>61.999707421524704</v>
      </c>
      <c r="W167" s="58"/>
      <c r="X167" s="157">
        <f t="shared" si="57"/>
        <v>43618</v>
      </c>
      <c r="Y167" s="385">
        <f t="shared" si="58"/>
        <v>61.960999999999999</v>
      </c>
      <c r="Z167" s="385">
        <f t="shared" si="59"/>
        <v>62.450126508358537</v>
      </c>
      <c r="AA167" s="386">
        <f t="shared" si="60"/>
        <v>63.738284574745421</v>
      </c>
      <c r="AB167" s="197">
        <f t="shared" si="61"/>
        <v>43618</v>
      </c>
      <c r="AC167" s="426">
        <f>IF(OR(t&lt;Tnet,NoTnet),'2018'!Resal_s+('2018'!Salim-'2018'!Resal_s)*(1-EXP(('2018'!Tnet_s-t)/'2018'!Tau_j)),Resal_s+(Salim-Resal_s)*(1-EXP((Tnet_s-t)/Tau_j)))*Salcycl</f>
        <v>2.0210115082031622E-2</v>
      </c>
      <c r="AD167" s="231">
        <f>(INDEX(Models!$BJ167:$BT167,,AH167)*(1-AF167)+INDEX(Models!$BJ167:$BT167,,AH167+1)*AF167-ERP_i)*AE167*Ramure*Pc/MaxiM</f>
        <v>2.4507276116130395E-5</v>
      </c>
      <c r="AE167" s="305">
        <f t="shared" si="62"/>
        <v>0.5</v>
      </c>
      <c r="AF167" s="177">
        <f t="shared" si="63"/>
        <v>0.70632404929202908</v>
      </c>
      <c r="AG167" s="176">
        <f t="shared" si="64"/>
        <v>-2</v>
      </c>
      <c r="AH167" s="176">
        <f t="shared" si="65"/>
        <v>4</v>
      </c>
      <c r="AI167" s="225">
        <f t="shared" si="66"/>
        <v>-1.2936759507079709</v>
      </c>
      <c r="AJ167" s="265" t="b">
        <f t="shared" si="67"/>
        <v>0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7">
        <v>46.795000000000002</v>
      </c>
      <c r="C168" s="390"/>
      <c r="D168" s="393">
        <f t="shared" si="48"/>
        <v>47.165437588256843</v>
      </c>
      <c r="E168" s="385">
        <f t="shared" si="70"/>
        <v>48.141314681663125</v>
      </c>
      <c r="F168" s="385">
        <f t="shared" si="49"/>
        <v>48.142032143987791</v>
      </c>
      <c r="G168" s="110">
        <f t="shared" si="71"/>
        <v>0.7548252975933345</v>
      </c>
      <c r="H168" s="414" t="b">
        <f>Wh_hp&gt;='2018'!Maxi_hp</f>
        <v>1</v>
      </c>
      <c r="I168" s="390">
        <f>IF(H168,Wh_hp,'2018'!Maxi_hp)</f>
        <v>48.142032143987791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7.8540051189744942E-3</v>
      </c>
      <c r="M168" s="845"/>
      <c r="N168" s="845"/>
      <c r="O168" s="48">
        <f>IF(t&lt;Tnet,'2018'!Resal+('2018'!Salim-'2018'!Resal)*(1-EXP(('2018'!Tnet-t)/('2018'!Tau_j))),Resal+(Salim-Resal)*(1-EXP((Tnet-t)/(Tau_j))))*Salcycl</f>
        <v>2.0271093547389013E-2</v>
      </c>
      <c r="P168" s="169">
        <f>(INDEX(Models!$BJ168:$BT168,,T168)*(1-R168)+INDEX(Models!$BJ168:$BT168,,T168+1)*R168-ERP_i)*Q168*Ramure*Pc/MaxiM</f>
        <v>2.2936245024163846E-5</v>
      </c>
      <c r="Q168" s="305">
        <f t="shared" si="51"/>
        <v>0.5</v>
      </c>
      <c r="R168" s="177">
        <f t="shared" si="52"/>
        <v>0.71134942207430085</v>
      </c>
      <c r="S168" s="811">
        <f t="shared" si="53"/>
        <v>-2</v>
      </c>
      <c r="T168" s="176">
        <f t="shared" si="54"/>
        <v>4</v>
      </c>
      <c r="U168" s="251">
        <f t="shared" si="55"/>
        <v>-1.2886505779256991</v>
      </c>
      <c r="V168" s="383">
        <f t="shared" si="56"/>
        <v>61.993979573114238</v>
      </c>
      <c r="W168" s="58"/>
      <c r="X168" s="157">
        <f t="shared" si="57"/>
        <v>43619</v>
      </c>
      <c r="Y168" s="385">
        <f t="shared" si="58"/>
        <v>46.795000000000002</v>
      </c>
      <c r="Z168" s="385">
        <f t="shared" si="59"/>
        <v>47.165437588256843</v>
      </c>
      <c r="AA168" s="386">
        <f t="shared" si="60"/>
        <v>48.141314681663125</v>
      </c>
      <c r="AB168" s="197">
        <f t="shared" si="61"/>
        <v>43619</v>
      </c>
      <c r="AC168" s="426">
        <f>IF(OR(t&lt;Tnet,NoTnet),'2018'!Resal_s+('2018'!Salim-'2018'!Resal_s)*(1-EXP(('2018'!Tnet_s-t)/'2018'!Tau_j)),Resal_s+(Salim-Resal_s)*(1-EXP((Tnet_s-t)/Tau_j)))*Salcycl</f>
        <v>2.0271093547389013E-2</v>
      </c>
      <c r="AD168" s="231">
        <f>(INDEX(Models!$BJ168:$BT168,,AH168)*(1-AF168)+INDEX(Models!$BJ168:$BT168,,AH168+1)*AF168-ERP_i)*AE168*Ramure*Pc/MaxiM</f>
        <v>2.2936245024163846E-5</v>
      </c>
      <c r="AE168" s="305">
        <f t="shared" si="62"/>
        <v>0.5</v>
      </c>
      <c r="AF168" s="177">
        <f t="shared" si="63"/>
        <v>0.71134942207430085</v>
      </c>
      <c r="AG168" s="176">
        <f t="shared" si="64"/>
        <v>-2</v>
      </c>
      <c r="AH168" s="176">
        <f t="shared" si="65"/>
        <v>4</v>
      </c>
      <c r="AI168" s="225">
        <f t="shared" si="66"/>
        <v>-1.2886505779256991</v>
      </c>
      <c r="AJ168" s="265" t="b">
        <f t="shared" si="67"/>
        <v>0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7">
        <v>58.271000000000001</v>
      </c>
      <c r="C169" s="390"/>
      <c r="D169" s="393">
        <f t="shared" si="48"/>
        <v>58.733570072407431</v>
      </c>
      <c r="E169" s="385">
        <f t="shared" si="70"/>
        <v>59.952520680637754</v>
      </c>
      <c r="F169" s="385">
        <f t="shared" si="49"/>
        <v>59.953702782585943</v>
      </c>
      <c r="G169" s="110">
        <f t="shared" si="71"/>
        <v>0.94008508118180589</v>
      </c>
      <c r="H169" s="414" t="b">
        <f>Wh_hp&gt;='2018'!Maxi_hp</f>
        <v>1</v>
      </c>
      <c r="I169" s="390">
        <f>IF(H169,Wh_hp,'2018'!Maxi_hp)</f>
        <v>59.953702782585943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7.8757356625379638E-3</v>
      </c>
      <c r="M169" s="845"/>
      <c r="N169" s="845"/>
      <c r="O169" s="48">
        <f>IF(t&lt;Tnet,'2018'!Resal+('2018'!Salim-'2018'!Resal)*(1-EXP(('2018'!Tnet-t)/('2018'!Tau_j))),Resal+(Salim-Resal)*(1-EXP((Tnet-t)/(Tau_j))))*Salcycl</f>
        <v>2.0331932575838988E-2</v>
      </c>
      <c r="P169" s="169">
        <f>(INDEX(Models!$BJ169:$BT169,,T169)*(1-R169)+INDEX(Models!$BJ169:$BT169,,T169+1)*R169-ERP_i)*Q169*Ramure*Pc/MaxiM</f>
        <v>2.1562448758154112E-5</v>
      </c>
      <c r="Q169" s="305">
        <f t="shared" si="51"/>
        <v>0.5</v>
      </c>
      <c r="R169" s="177">
        <f t="shared" si="52"/>
        <v>0.71640437960396075</v>
      </c>
      <c r="S169" s="811">
        <f t="shared" si="53"/>
        <v>-2</v>
      </c>
      <c r="T169" s="176">
        <f t="shared" si="54"/>
        <v>4</v>
      </c>
      <c r="U169" s="251">
        <f t="shared" si="55"/>
        <v>-1.2835956203960392</v>
      </c>
      <c r="V169" s="383">
        <f t="shared" si="56"/>
        <v>61.984700771357574</v>
      </c>
      <c r="W169" s="58"/>
      <c r="X169" s="157">
        <f t="shared" si="57"/>
        <v>43620</v>
      </c>
      <c r="Y169" s="385">
        <f t="shared" si="58"/>
        <v>58.271000000000001</v>
      </c>
      <c r="Z169" s="385">
        <f t="shared" si="59"/>
        <v>58.733570072407431</v>
      </c>
      <c r="AA169" s="386">
        <f t="shared" si="60"/>
        <v>59.952520680637754</v>
      </c>
      <c r="AB169" s="197">
        <f t="shared" si="61"/>
        <v>43620</v>
      </c>
      <c r="AC169" s="426">
        <f>IF(OR(t&lt;Tnet,NoTnet),'2018'!Resal_s+('2018'!Salim-'2018'!Resal_s)*(1-EXP(('2018'!Tnet_s-t)/'2018'!Tau_j)),Resal_s+(Salim-Resal_s)*(1-EXP((Tnet_s-t)/Tau_j)))*Salcycl</f>
        <v>2.0331932575838988E-2</v>
      </c>
      <c r="AD169" s="231">
        <f>(INDEX(Models!$BJ169:$BT169,,AH169)*(1-AF169)+INDEX(Models!$BJ169:$BT169,,AH169+1)*AF169-ERP_i)*AE169*Ramure*Pc/MaxiM</f>
        <v>2.1562448758154112E-5</v>
      </c>
      <c r="AE169" s="305">
        <f t="shared" si="62"/>
        <v>0.5</v>
      </c>
      <c r="AF169" s="177">
        <f t="shared" si="63"/>
        <v>0.71640437960396075</v>
      </c>
      <c r="AG169" s="176">
        <f t="shared" si="64"/>
        <v>-2</v>
      </c>
      <c r="AH169" s="176">
        <f t="shared" si="65"/>
        <v>4</v>
      </c>
      <c r="AI169" s="225">
        <f t="shared" si="66"/>
        <v>-1.2835956203960392</v>
      </c>
      <c r="AJ169" s="265" t="b">
        <f t="shared" si="67"/>
        <v>0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7">
        <v>11.000999999999999</v>
      </c>
      <c r="C170" s="390"/>
      <c r="D170" s="393">
        <f t="shared" si="48"/>
        <v>11.088571614320372</v>
      </c>
      <c r="E170" s="385">
        <f t="shared" ref="E170:E232" si="73">Wh_pvt/(1-Psa)</f>
        <v>11.319403857611103</v>
      </c>
      <c r="F170" s="385">
        <f t="shared" si="49"/>
        <v>11.319403857611103</v>
      </c>
      <c r="G170" s="110">
        <f t="shared" ref="G170:G232" si="74">+Wh_hp/MaxiM</f>
        <v>0.17751269608491077</v>
      </c>
      <c r="H170" s="414" t="b">
        <f>Wh_hp&gt;='2018'!Maxi_hp</f>
        <v>1</v>
      </c>
      <c r="I170" s="390">
        <f>IF(H170,Wh_hp,'2018'!Maxi_hp)</f>
        <v>11.319403857611103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7.8974657301467133E-3</v>
      </c>
      <c r="M170" s="845"/>
      <c r="N170" s="845"/>
      <c r="O170" s="48">
        <f>IF(t&lt;Tnet,'2018'!Resal+('2018'!Salim-'2018'!Resal)*(1-EXP(('2018'!Tnet-t)/('2018'!Tau_j))),Resal+(Salim-Resal)*(1-EXP((Tnet-t)/(Tau_j))))*Salcycl</f>
        <v>2.0392614858027219E-2</v>
      </c>
      <c r="P170" s="169">
        <f>(INDEX(Models!$BJ170:$BT170,,T170)*(1-R170)+INDEX(Models!$BJ170:$BT170,,T170+1)*R170-ERP_i)*Q170*Ramure*Pc/MaxiM</f>
        <v>2.0412011792723672E-5</v>
      </c>
      <c r="Q170" s="305">
        <f t="shared" si="51"/>
        <v>0.5</v>
      </c>
      <c r="R170" s="177">
        <f t="shared" si="52"/>
        <v>0.72148488047423265</v>
      </c>
      <c r="S170" s="811">
        <f t="shared" si="53"/>
        <v>-2</v>
      </c>
      <c r="T170" s="176">
        <f t="shared" si="54"/>
        <v>4</v>
      </c>
      <c r="U170" s="251">
        <f t="shared" si="55"/>
        <v>-1.2785151195257674</v>
      </c>
      <c r="V170" s="383">
        <f t="shared" si="56"/>
        <v>61.971767034602394</v>
      </c>
      <c r="W170" s="58"/>
      <c r="X170" s="157">
        <f t="shared" si="57"/>
        <v>43621</v>
      </c>
      <c r="Y170" s="385">
        <f t="shared" si="58"/>
        <v>11.000999999999999</v>
      </c>
      <c r="Z170" s="385">
        <f t="shared" si="59"/>
        <v>11.088571614320372</v>
      </c>
      <c r="AA170" s="386">
        <f t="shared" si="60"/>
        <v>11.319403857611103</v>
      </c>
      <c r="AB170" s="197">
        <f t="shared" si="61"/>
        <v>43621</v>
      </c>
      <c r="AC170" s="426">
        <f>IF(OR(t&lt;Tnet,NoTnet),'2018'!Resal_s+('2018'!Salim-'2018'!Resal_s)*(1-EXP(('2018'!Tnet_s-t)/'2018'!Tau_j)),Resal_s+(Salim-Resal_s)*(1-EXP((Tnet_s-t)/Tau_j)))*Salcycl</f>
        <v>2.0392614858027219E-2</v>
      </c>
      <c r="AD170" s="231">
        <f>(INDEX(Models!$BJ170:$BT170,,AH170)*(1-AF170)+INDEX(Models!$BJ170:$BT170,,AH170+1)*AF170-ERP_i)*AE170*Ramure*Pc/MaxiM</f>
        <v>2.0412011792723672E-5</v>
      </c>
      <c r="AE170" s="305">
        <f t="shared" si="62"/>
        <v>0.5</v>
      </c>
      <c r="AF170" s="177">
        <f t="shared" si="63"/>
        <v>0.72148488047423265</v>
      </c>
      <c r="AG170" s="176">
        <f t="shared" si="64"/>
        <v>-2</v>
      </c>
      <c r="AH170" s="176">
        <f t="shared" si="65"/>
        <v>4</v>
      </c>
      <c r="AI170" s="225">
        <f t="shared" si="66"/>
        <v>-1.2785151195257674</v>
      </c>
      <c r="AJ170" s="265" t="b">
        <f t="shared" si="67"/>
        <v>0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7">
        <v>60.584000000000003</v>
      </c>
      <c r="C171" s="390"/>
      <c r="D171" s="393">
        <f t="shared" si="48"/>
        <v>61.067606302142138</v>
      </c>
      <c r="E171" s="385">
        <f t="shared" si="73"/>
        <v>62.34270942916465</v>
      </c>
      <c r="F171" s="385">
        <f t="shared" si="49"/>
        <v>62.343880742671914</v>
      </c>
      <c r="G171" s="110">
        <f t="shared" si="74"/>
        <v>0.97786915400565155</v>
      </c>
      <c r="H171" s="414" t="b">
        <f>Wh_hp&gt;='2018'!Maxi_hp</f>
        <v>1</v>
      </c>
      <c r="I171" s="390">
        <f>IF(H171,Wh_hp,'2018'!Maxi_hp)</f>
        <v>62.343880742671914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7.9191953218112898E-3</v>
      </c>
      <c r="M171" s="845"/>
      <c r="N171" s="845"/>
      <c r="O171" s="48">
        <f>IF(t&lt;Tnet,'2018'!Resal+('2018'!Salim-'2018'!Resal)*(1-EXP(('2018'!Tnet-t)/('2018'!Tau_j))),Resal+(Salim-Resal)*(1-EXP((Tnet-t)/(Tau_j))))*Salcycl</f>
        <v>2.0453123367557755E-2</v>
      </c>
      <c r="P171" s="169">
        <f>(INDEX(Models!$BJ171:$BT171,,T171)*(1-R171)+INDEX(Models!$BJ171:$BT171,,T171+1)*R171-ERP_i)*Q171*Ramure*Pc/MaxiM</f>
        <v>1.9401312129132656E-5</v>
      </c>
      <c r="Q171" s="305">
        <f t="shared" si="51"/>
        <v>0.5</v>
      </c>
      <c r="R171" s="177">
        <f t="shared" si="52"/>
        <v>0.72658679902137258</v>
      </c>
      <c r="S171" s="811">
        <f t="shared" si="53"/>
        <v>-2</v>
      </c>
      <c r="T171" s="176">
        <f t="shared" si="54"/>
        <v>4</v>
      </c>
      <c r="U171" s="251">
        <f t="shared" si="55"/>
        <v>-1.2734132009786274</v>
      </c>
      <c r="V171" s="383">
        <f t="shared" si="56"/>
        <v>61.955081199768934</v>
      </c>
      <c r="W171" s="58"/>
      <c r="X171" s="157">
        <f t="shared" si="57"/>
        <v>43622</v>
      </c>
      <c r="Y171" s="385">
        <f t="shared" si="58"/>
        <v>60.584000000000003</v>
      </c>
      <c r="Z171" s="385">
        <f t="shared" si="59"/>
        <v>61.067606302142138</v>
      </c>
      <c r="AA171" s="386">
        <f t="shared" si="60"/>
        <v>62.34270942916465</v>
      </c>
      <c r="AB171" s="197">
        <f t="shared" si="61"/>
        <v>43622</v>
      </c>
      <c r="AC171" s="426">
        <f>IF(OR(t&lt;Tnet,NoTnet),'2018'!Resal_s+('2018'!Salim-'2018'!Resal_s)*(1-EXP(('2018'!Tnet_s-t)/'2018'!Tau_j)),Resal_s+(Salim-Resal_s)*(1-EXP((Tnet_s-t)/Tau_j)))*Salcycl</f>
        <v>2.0453123367557755E-2</v>
      </c>
      <c r="AD171" s="231">
        <f>(INDEX(Models!$BJ171:$BT171,,AH171)*(1-AF171)+INDEX(Models!$BJ171:$BT171,,AH171+1)*AF171-ERP_i)*AE171*Ramure*Pc/MaxiM</f>
        <v>1.9401312129132656E-5</v>
      </c>
      <c r="AE171" s="305">
        <f t="shared" si="62"/>
        <v>0.5</v>
      </c>
      <c r="AF171" s="177">
        <f t="shared" si="63"/>
        <v>0.72658679902137258</v>
      </c>
      <c r="AG171" s="176">
        <f t="shared" si="64"/>
        <v>-2</v>
      </c>
      <c r="AH171" s="176">
        <f t="shared" si="65"/>
        <v>4</v>
      </c>
      <c r="AI171" s="225">
        <f t="shared" si="66"/>
        <v>-1.2734132009786274</v>
      </c>
      <c r="AJ171" s="265" t="b">
        <f t="shared" si="67"/>
        <v>0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7">
        <v>21.207000000000001</v>
      </c>
      <c r="C172" s="390"/>
      <c r="D172" s="393">
        <f t="shared" si="48"/>
        <v>21.376751165727178</v>
      </c>
      <c r="E172" s="385">
        <f t="shared" si="73"/>
        <v>21.824445653345862</v>
      </c>
      <c r="F172" s="385">
        <f t="shared" si="49"/>
        <v>21.82447016313106</v>
      </c>
      <c r="G172" s="110">
        <f t="shared" si="74"/>
        <v>0.34240394009363134</v>
      </c>
      <c r="H172" s="414" t="b">
        <f>Wh_hp&gt;='2018'!Maxi_hp</f>
        <v>1</v>
      </c>
      <c r="I172" s="390">
        <f>IF(H172,Wh_hp,'2018'!Maxi_hp)</f>
        <v>21.82447016313106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7.9409244375420185E-3</v>
      </c>
      <c r="M172" s="845"/>
      <c r="N172" s="845"/>
      <c r="O172" s="48">
        <f>IF(t&lt;Tnet,'2018'!Resal+('2018'!Salim-'2018'!Resal)*(1-EXP(('2018'!Tnet-t)/('2018'!Tau_j))),Resal+(Salim-Resal)*(1-EXP((Tnet-t)/(Tau_j))))*Salcycl</f>
        <v>2.0513441428467508E-2</v>
      </c>
      <c r="P172" s="169">
        <f>(INDEX(Models!$BJ172:$BT172,,T172)*(1-R172)+INDEX(Models!$BJ172:$BT172,,T172+1)*R172-ERP_i)*Q172*Ramure*Pc/MaxiM</f>
        <v>1.8536449863683225E-5</v>
      </c>
      <c r="Q172" s="305">
        <f t="shared" si="51"/>
        <v>0.5</v>
      </c>
      <c r="R172" s="177">
        <f t="shared" si="52"/>
        <v>0.73170593843919862</v>
      </c>
      <c r="S172" s="811">
        <f t="shared" si="53"/>
        <v>-2</v>
      </c>
      <c r="T172" s="176">
        <f t="shared" si="54"/>
        <v>4</v>
      </c>
      <c r="U172" s="251">
        <f t="shared" si="55"/>
        <v>-1.2682940615608014</v>
      </c>
      <c r="V172" s="383">
        <f t="shared" si="56"/>
        <v>61.93454055357715</v>
      </c>
      <c r="W172" s="58"/>
      <c r="X172" s="157">
        <f t="shared" si="57"/>
        <v>43623</v>
      </c>
      <c r="Y172" s="385">
        <f t="shared" si="58"/>
        <v>21.207000000000001</v>
      </c>
      <c r="Z172" s="385">
        <f t="shared" si="59"/>
        <v>21.376751165727178</v>
      </c>
      <c r="AA172" s="386">
        <f t="shared" si="60"/>
        <v>21.824445653345862</v>
      </c>
      <c r="AB172" s="197">
        <f t="shared" si="61"/>
        <v>43623</v>
      </c>
      <c r="AC172" s="426">
        <f>IF(OR(t&lt;Tnet,NoTnet),'2018'!Resal_s+('2018'!Salim-'2018'!Resal_s)*(1-EXP(('2018'!Tnet_s-t)/'2018'!Tau_j)),Resal_s+(Salim-Resal_s)*(1-EXP((Tnet_s-t)/Tau_j)))*Salcycl</f>
        <v>2.0513441428467508E-2</v>
      </c>
      <c r="AD172" s="231">
        <f>(INDEX(Models!$BJ172:$BT172,,AH172)*(1-AF172)+INDEX(Models!$BJ172:$BT172,,AH172+1)*AF172-ERP_i)*AE172*Ramure*Pc/MaxiM</f>
        <v>1.8536449863683225E-5</v>
      </c>
      <c r="AE172" s="305">
        <f t="shared" si="62"/>
        <v>0.5</v>
      </c>
      <c r="AF172" s="177">
        <f t="shared" si="63"/>
        <v>0.73170593843919862</v>
      </c>
      <c r="AG172" s="176">
        <f t="shared" si="64"/>
        <v>-2</v>
      </c>
      <c r="AH172" s="176">
        <f t="shared" si="65"/>
        <v>4</v>
      </c>
      <c r="AI172" s="225">
        <f t="shared" si="66"/>
        <v>-1.2682940615608014</v>
      </c>
      <c r="AJ172" s="265" t="b">
        <f t="shared" si="67"/>
        <v>0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7">
        <v>62.639000000000003</v>
      </c>
      <c r="C173" s="390"/>
      <c r="D173" s="393">
        <f t="shared" si="48"/>
        <v>63.141776057433027</v>
      </c>
      <c r="E173" s="385">
        <f t="shared" si="73"/>
        <v>64.468114207830851</v>
      </c>
      <c r="F173" s="385">
        <f t="shared" si="49"/>
        <v>64.469263284236831</v>
      </c>
      <c r="G173" s="110">
        <f t="shared" si="74"/>
        <v>1.01177446484976</v>
      </c>
      <c r="H173" s="414" t="b">
        <f>Wh_hp&gt;='2018'!Maxi_hp</f>
        <v>1</v>
      </c>
      <c r="I173" s="390">
        <f>IF(H173,Wh_hp,'2018'!Maxi_hp)</f>
        <v>64.469263284236831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7.9626530773493354E-3</v>
      </c>
      <c r="M173" s="845"/>
      <c r="N173" s="845"/>
      <c r="O173" s="48">
        <f>IF(t&lt;Tnet,'2018'!Resal+('2018'!Salim-'2018'!Resal)*(1-EXP(('2018'!Tnet-t)/('2018'!Tau_j))),Resal+(Salim-Resal)*(1-EXP((Tnet-t)/(Tau_j))))*Salcycl</f>
        <v>2.0573552781798628E-2</v>
      </c>
      <c r="P173" s="169">
        <f>(INDEX(Models!$BJ173:$BT173,,T173)*(1-R173)+INDEX(Models!$BJ173:$BT173,,T173+1)*R173-ERP_i)*Q173*Ramure*Pc/MaxiM</f>
        <v>1.7823631719168253E-5</v>
      </c>
      <c r="Q173" s="305">
        <f t="shared" si="51"/>
        <v>0.5</v>
      </c>
      <c r="R173" s="177">
        <f t="shared" si="52"/>
        <v>0.73683804439246514</v>
      </c>
      <c r="S173" s="811">
        <f t="shared" si="53"/>
        <v>-2</v>
      </c>
      <c r="T173" s="176">
        <f t="shared" si="54"/>
        <v>4</v>
      </c>
      <c r="U173" s="251">
        <f t="shared" si="55"/>
        <v>-1.2631619556075349</v>
      </c>
      <c r="V173" s="383">
        <f t="shared" si="56"/>
        <v>61.91004238212453</v>
      </c>
      <c r="W173" s="58"/>
      <c r="X173" s="157">
        <f t="shared" si="57"/>
        <v>43624</v>
      </c>
      <c r="Y173" s="385">
        <f t="shared" si="58"/>
        <v>62.638999999999996</v>
      </c>
      <c r="Z173" s="385">
        <f t="shared" si="59"/>
        <v>63.14177605743302</v>
      </c>
      <c r="AA173" s="386">
        <f t="shared" si="60"/>
        <v>64.468114207830851</v>
      </c>
      <c r="AB173" s="197">
        <f t="shared" si="61"/>
        <v>43624</v>
      </c>
      <c r="AC173" s="426">
        <f>IF(OR(t&lt;Tnet,NoTnet),'2018'!Resal_s+('2018'!Salim-'2018'!Resal_s)*(1-EXP(('2018'!Tnet_s-t)/'2018'!Tau_j)),Resal_s+(Salim-Resal_s)*(1-EXP((Tnet_s-t)/Tau_j)))*Salcycl</f>
        <v>2.0573552781798628E-2</v>
      </c>
      <c r="AD173" s="231">
        <f>(INDEX(Models!$BJ173:$BT173,,AH173)*(1-AF173)+INDEX(Models!$BJ173:$BT173,,AH173+1)*AF173-ERP_i)*AE173*Ramure*Pc/MaxiM</f>
        <v>1.7823631719168253E-5</v>
      </c>
      <c r="AE173" s="305">
        <f t="shared" si="62"/>
        <v>0.5</v>
      </c>
      <c r="AF173" s="177">
        <f t="shared" si="63"/>
        <v>0.73683804439246514</v>
      </c>
      <c r="AG173" s="176">
        <f t="shared" si="64"/>
        <v>-2</v>
      </c>
      <c r="AH173" s="176">
        <f t="shared" si="65"/>
        <v>4</v>
      </c>
      <c r="AI173" s="225">
        <f t="shared" si="66"/>
        <v>-1.2631619556075349</v>
      </c>
      <c r="AJ173" s="265" t="b">
        <f t="shared" si="67"/>
        <v>0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7">
        <v>49.168999999999997</v>
      </c>
      <c r="C174" s="390"/>
      <c r="D174" s="393">
        <f t="shared" si="48"/>
        <v>49.564743810709274</v>
      </c>
      <c r="E174" s="385">
        <f t="shared" si="73"/>
        <v>50.608981272808826</v>
      </c>
      <c r="F174" s="385">
        <f t="shared" si="49"/>
        <v>50.609598764783627</v>
      </c>
      <c r="G174" s="110">
        <f t="shared" si="74"/>
        <v>0.79456321427926757</v>
      </c>
      <c r="H174" s="414" t="b">
        <f>Wh_hp&gt;='2018'!Maxi_hp</f>
        <v>1</v>
      </c>
      <c r="I174" s="390">
        <f>IF(H174,Wh_hp,'2018'!Maxi_hp)</f>
        <v>50.609598764783627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7.9843812412436765E-3</v>
      </c>
      <c r="M174" s="845"/>
      <c r="N174" s="845"/>
      <c r="O174" s="48">
        <f>IF(t&lt;Tnet,'2018'!Resal+('2018'!Salim-'2018'!Resal)*(1-EXP(('2018'!Tnet-t)/('2018'!Tau_j))),Resal+(Salim-Resal)*(1-EXP((Tnet-t)/(Tau_j))))*Salcycl</f>
        <v>2.0633441650812295E-2</v>
      </c>
      <c r="P174" s="169">
        <f>(INDEX(Models!$BJ174:$BT174,,T174)*(1-R174)+INDEX(Models!$BJ174:$BT174,,T174+1)*R174-ERP_i)*Q174*Ramure*Pc/MaxiM</f>
        <v>1.7269156169184013E-5</v>
      </c>
      <c r="Q174" s="305">
        <f t="shared" si="51"/>
        <v>0.5</v>
      </c>
      <c r="R174" s="177">
        <f t="shared" si="52"/>
        <v>0.74197881903677088</v>
      </c>
      <c r="S174" s="811">
        <f t="shared" si="53"/>
        <v>-2</v>
      </c>
      <c r="T174" s="176">
        <f t="shared" si="54"/>
        <v>4</v>
      </c>
      <c r="U174" s="251">
        <f t="shared" si="55"/>
        <v>-1.2580211809632291</v>
      </c>
      <c r="V174" s="383">
        <f t="shared" si="56"/>
        <v>61.881483966669485</v>
      </c>
      <c r="W174" s="58"/>
      <c r="X174" s="157">
        <f t="shared" si="57"/>
        <v>43625</v>
      </c>
      <c r="Y174" s="385">
        <f t="shared" si="58"/>
        <v>49.168999999999997</v>
      </c>
      <c r="Z174" s="385">
        <f t="shared" si="59"/>
        <v>49.564743810709274</v>
      </c>
      <c r="AA174" s="386">
        <f t="shared" si="60"/>
        <v>50.608981272808826</v>
      </c>
      <c r="AB174" s="197">
        <f t="shared" si="61"/>
        <v>43625</v>
      </c>
      <c r="AC174" s="426">
        <f>IF(OR(t&lt;Tnet,NoTnet),'2018'!Resal_s+('2018'!Salim-'2018'!Resal_s)*(1-EXP(('2018'!Tnet_s-t)/'2018'!Tau_j)),Resal_s+(Salim-Resal_s)*(1-EXP((Tnet_s-t)/Tau_j)))*Salcycl</f>
        <v>2.0633441650812295E-2</v>
      </c>
      <c r="AD174" s="231">
        <f>(INDEX(Models!$BJ174:$BT174,,AH174)*(1-AF174)+INDEX(Models!$BJ174:$BT174,,AH174+1)*AF174-ERP_i)*AE174*Ramure*Pc/MaxiM</f>
        <v>1.7269156169184013E-5</v>
      </c>
      <c r="AE174" s="305">
        <f t="shared" si="62"/>
        <v>0.5</v>
      </c>
      <c r="AF174" s="177">
        <f t="shared" si="63"/>
        <v>0.74197881903677088</v>
      </c>
      <c r="AG174" s="176">
        <f t="shared" si="64"/>
        <v>-2</v>
      </c>
      <c r="AH174" s="176">
        <f t="shared" si="65"/>
        <v>4</v>
      </c>
      <c r="AI174" s="225">
        <f t="shared" si="66"/>
        <v>-1.2580211809632291</v>
      </c>
      <c r="AJ174" s="265" t="b">
        <f t="shared" si="67"/>
        <v>0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7">
        <v>21.582000000000001</v>
      </c>
      <c r="C175" s="390"/>
      <c r="D175" s="393">
        <f t="shared" si="48"/>
        <v>21.756182365905754</v>
      </c>
      <c r="E175" s="385">
        <f t="shared" si="73"/>
        <v>22.215898005057262</v>
      </c>
      <c r="F175" s="385">
        <f t="shared" si="49"/>
        <v>22.21592422658404</v>
      </c>
      <c r="G175" s="110">
        <f t="shared" si="74"/>
        <v>0.34894248941000044</v>
      </c>
      <c r="H175" s="414" t="b">
        <f>Wh_hp&gt;='2018'!Maxi_hp</f>
        <v>1</v>
      </c>
      <c r="I175" s="390">
        <f>IF(H175,Wh_hp,'2018'!Maxi_hp)</f>
        <v>22.21592422658404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8.0061089292354781E-3</v>
      </c>
      <c r="M175" s="845"/>
      <c r="N175" s="845"/>
      <c r="O175" s="48">
        <f>IF(t&lt;Tnet,'2018'!Resal+('2018'!Salim-'2018'!Resal)*(1-EXP(('2018'!Tnet-t)/('2018'!Tau_j))),Resal+(Salim-Resal)*(1-EXP((Tnet-t)/(Tau_j))))*Salcycl</f>
        <v>2.0693092804389749E-2</v>
      </c>
      <c r="P175" s="169">
        <f>(INDEX(Models!$BJ175:$BT175,,T175)*(1-R175)+INDEX(Models!$BJ175:$BT175,,T175+1)*R175-ERP_i)*Q175*Ramure*Pc/MaxiM</f>
        <v>1.687939849097469E-5</v>
      </c>
      <c r="Q175" s="305">
        <f t="shared" si="51"/>
        <v>0.5</v>
      </c>
      <c r="R175" s="177">
        <f t="shared" si="52"/>
        <v>0.74712393534778254</v>
      </c>
      <c r="S175" s="811">
        <f t="shared" si="53"/>
        <v>-2</v>
      </c>
      <c r="T175" s="176">
        <f t="shared" si="54"/>
        <v>4</v>
      </c>
      <c r="U175" s="251">
        <f t="shared" si="55"/>
        <v>-1.2528760646522175</v>
      </c>
      <c r="V175" s="383">
        <f t="shared" si="56"/>
        <v>61.848762580379876</v>
      </c>
      <c r="W175" s="58"/>
      <c r="X175" s="157">
        <f t="shared" si="57"/>
        <v>43626</v>
      </c>
      <c r="Y175" s="385">
        <f t="shared" si="58"/>
        <v>21.582000000000001</v>
      </c>
      <c r="Z175" s="385">
        <f t="shared" si="59"/>
        <v>21.756182365905754</v>
      </c>
      <c r="AA175" s="386">
        <f t="shared" si="60"/>
        <v>22.215898005057262</v>
      </c>
      <c r="AB175" s="197">
        <f t="shared" si="61"/>
        <v>43626</v>
      </c>
      <c r="AC175" s="426">
        <f>IF(OR(t&lt;Tnet,NoTnet),'2018'!Resal_s+('2018'!Salim-'2018'!Resal_s)*(1-EXP(('2018'!Tnet_s-t)/'2018'!Tau_j)),Resal_s+(Salim-Resal_s)*(1-EXP((Tnet_s-t)/Tau_j)))*Salcycl</f>
        <v>2.0693092804389749E-2</v>
      </c>
      <c r="AD175" s="231">
        <f>(INDEX(Models!$BJ175:$BT175,,AH175)*(1-AF175)+INDEX(Models!$BJ175:$BT175,,AH175+1)*AF175-ERP_i)*AE175*Ramure*Pc/MaxiM</f>
        <v>1.687939849097469E-5</v>
      </c>
      <c r="AE175" s="305">
        <f t="shared" si="62"/>
        <v>0.5</v>
      </c>
      <c r="AF175" s="177">
        <f t="shared" si="63"/>
        <v>0.74712393534778254</v>
      </c>
      <c r="AG175" s="176">
        <f t="shared" si="64"/>
        <v>-2</v>
      </c>
      <c r="AH175" s="176">
        <f t="shared" si="65"/>
        <v>4</v>
      </c>
      <c r="AI175" s="225">
        <f t="shared" si="66"/>
        <v>-1.2528760646522175</v>
      </c>
      <c r="AJ175" s="265" t="b">
        <f t="shared" si="67"/>
        <v>0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7">
        <v>32.923999999999999</v>
      </c>
      <c r="C176" s="390"/>
      <c r="D176" s="393">
        <f t="shared" si="48"/>
        <v>33.190447473777077</v>
      </c>
      <c r="E176" s="385">
        <f t="shared" si="73"/>
        <v>33.89382887337964</v>
      </c>
      <c r="F176" s="385">
        <f t="shared" si="49"/>
        <v>33.894016555337053</v>
      </c>
      <c r="G176" s="110">
        <f t="shared" si="74"/>
        <v>0.53264339209445144</v>
      </c>
      <c r="H176" s="414" t="b">
        <f>Wh_hp&gt;='2018'!Maxi_hp</f>
        <v>1</v>
      </c>
      <c r="I176" s="390">
        <f>IF(H176,Wh_hp,'2018'!Maxi_hp)</f>
        <v>33.894016555337053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8.0278361413351762E-3</v>
      </c>
      <c r="M176" s="845"/>
      <c r="N176" s="845"/>
      <c r="O176" s="48">
        <f>IF(t&lt;Tnet,'2018'!Resal+('2018'!Salim-'2018'!Resal)*(1-EXP(('2018'!Tnet-t)/('2018'!Tau_j))),Resal+(Salim-Resal)*(1-EXP((Tnet-t)/(Tau_j))))*Salcycl</f>
        <v>2.075249161817189E-2</v>
      </c>
      <c r="P176" s="169">
        <f>(INDEX(Models!$BJ176:$BT176,,T176)*(1-R176)+INDEX(Models!$BJ176:$BT176,,T176+1)*R176-ERP_i)*Q176*Ramure*Pc/MaxiM</f>
        <v>1.6660795933006471E-5</v>
      </c>
      <c r="Q176" s="305">
        <f t="shared" si="51"/>
        <v>0.5</v>
      </c>
      <c r="R176" s="177">
        <f t="shared" si="52"/>
        <v>0.75226905165879399</v>
      </c>
      <c r="S176" s="811">
        <f t="shared" si="53"/>
        <v>-2</v>
      </c>
      <c r="T176" s="176">
        <f t="shared" si="54"/>
        <v>4</v>
      </c>
      <c r="U176" s="251">
        <f t="shared" si="55"/>
        <v>-1.247730948341206</v>
      </c>
      <c r="V176" s="383">
        <f t="shared" si="56"/>
        <v>61.811775490412089</v>
      </c>
      <c r="W176" s="58"/>
      <c r="X176" s="157">
        <f t="shared" si="57"/>
        <v>43627</v>
      </c>
      <c r="Y176" s="385">
        <f t="shared" si="58"/>
        <v>32.923999999999999</v>
      </c>
      <c r="Z176" s="385">
        <f t="shared" si="59"/>
        <v>33.190447473777077</v>
      </c>
      <c r="AA176" s="386">
        <f t="shared" si="60"/>
        <v>33.89382887337964</v>
      </c>
      <c r="AB176" s="197">
        <f t="shared" si="61"/>
        <v>43627</v>
      </c>
      <c r="AC176" s="426">
        <f>IF(OR(t&lt;Tnet,NoTnet),'2018'!Resal_s+('2018'!Salim-'2018'!Resal_s)*(1-EXP(('2018'!Tnet_s-t)/'2018'!Tau_j)),Resal_s+(Salim-Resal_s)*(1-EXP((Tnet_s-t)/Tau_j)))*Salcycl</f>
        <v>2.075249161817189E-2</v>
      </c>
      <c r="AD176" s="231">
        <f>(INDEX(Models!$BJ176:$BT176,,AH176)*(1-AF176)+INDEX(Models!$BJ176:$BT176,,AH176+1)*AF176-ERP_i)*AE176*Ramure*Pc/MaxiM</f>
        <v>1.6660795933006471E-5</v>
      </c>
      <c r="AE176" s="305">
        <f t="shared" si="62"/>
        <v>0.5</v>
      </c>
      <c r="AF176" s="177">
        <f t="shared" si="63"/>
        <v>0.75226905165879399</v>
      </c>
      <c r="AG176" s="176">
        <f t="shared" si="64"/>
        <v>-2</v>
      </c>
      <c r="AH176" s="176">
        <f t="shared" si="65"/>
        <v>4</v>
      </c>
      <c r="AI176" s="225">
        <f t="shared" si="66"/>
        <v>-1.247730948341206</v>
      </c>
      <c r="AJ176" s="265" t="b">
        <f t="shared" si="67"/>
        <v>0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7">
        <v>56.572000000000003</v>
      </c>
      <c r="C177" s="390"/>
      <c r="D177" s="393">
        <f t="shared" si="48"/>
        <v>57.031075226006202</v>
      </c>
      <c r="E177" s="385">
        <f t="shared" si="73"/>
        <v>58.243211042522113</v>
      </c>
      <c r="F177" s="385">
        <f t="shared" si="49"/>
        <v>58.244062693126686</v>
      </c>
      <c r="G177" s="110">
        <f t="shared" si="74"/>
        <v>0.91585059605308805</v>
      </c>
      <c r="H177" s="414" t="b">
        <f>Wh_hp&gt;='2018'!Maxi_hp</f>
        <v>1</v>
      </c>
      <c r="I177" s="390">
        <f>IF(H177,Wh_hp,'2018'!Maxi_hp)</f>
        <v>58.244062693126686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8.0495628775530959E-3</v>
      </c>
      <c r="M177" s="845"/>
      <c r="N177" s="845"/>
      <c r="O177" s="48">
        <f>IF(t&lt;Tnet,'2018'!Resal+('2018'!Salim-'2018'!Resal)*(1-EXP(('2018'!Tnet-t)/('2018'!Tau_j))),Resal+(Salim-Resal)*(1-EXP((Tnet-t)/(Tau_j))))*Salcycl</f>
        <v>2.0811624132999092E-2</v>
      </c>
      <c r="P177" s="169">
        <f>(INDEX(Models!$BJ177:$BT177,,T177)*(1-R177)+INDEX(Models!$BJ177:$BT177,,T177+1)*R177-ERP_i)*Q177*Ramure*Pc/MaxiM</f>
        <v>1.6620006218214691E-5</v>
      </c>
      <c r="Q177" s="305">
        <f t="shared" si="51"/>
        <v>0.5</v>
      </c>
      <c r="R177" s="177">
        <f t="shared" si="52"/>
        <v>0.75740982630309994</v>
      </c>
      <c r="S177" s="811">
        <f t="shared" si="53"/>
        <v>-2</v>
      </c>
      <c r="T177" s="176">
        <f t="shared" si="54"/>
        <v>4</v>
      </c>
      <c r="U177" s="251">
        <f t="shared" si="55"/>
        <v>-1.2425901736969001</v>
      </c>
      <c r="V177" s="383">
        <f t="shared" si="56"/>
        <v>61.769776879208614</v>
      </c>
      <c r="W177" s="58"/>
      <c r="X177" s="157">
        <f t="shared" si="57"/>
        <v>43628</v>
      </c>
      <c r="Y177" s="385">
        <f t="shared" si="58"/>
        <v>56.572000000000003</v>
      </c>
      <c r="Z177" s="385">
        <f t="shared" si="59"/>
        <v>57.031075226006202</v>
      </c>
      <c r="AA177" s="386">
        <f t="shared" si="60"/>
        <v>58.243211042522113</v>
      </c>
      <c r="AB177" s="197">
        <f t="shared" si="61"/>
        <v>43628</v>
      </c>
      <c r="AC177" s="426">
        <f>IF(OR(t&lt;Tnet,NoTnet),'2018'!Resal_s+('2018'!Salim-'2018'!Resal_s)*(1-EXP(('2018'!Tnet_s-t)/'2018'!Tau_j)),Resal_s+(Salim-Resal_s)*(1-EXP((Tnet_s-t)/Tau_j)))*Salcycl</f>
        <v>2.0811624132999092E-2</v>
      </c>
      <c r="AD177" s="231">
        <f>(INDEX(Models!$BJ177:$BT177,,AH177)*(1-AF177)+INDEX(Models!$BJ177:$BT177,,AH177+1)*AF177-ERP_i)*AE177*Ramure*Pc/MaxiM</f>
        <v>1.6620006218214691E-5</v>
      </c>
      <c r="AE177" s="305">
        <f t="shared" si="62"/>
        <v>0.5</v>
      </c>
      <c r="AF177" s="177">
        <f t="shared" si="63"/>
        <v>0.75740982630309994</v>
      </c>
      <c r="AG177" s="176">
        <f t="shared" si="64"/>
        <v>-2</v>
      </c>
      <c r="AH177" s="176">
        <f t="shared" si="65"/>
        <v>4</v>
      </c>
      <c r="AI177" s="225">
        <f t="shared" si="66"/>
        <v>-1.2425901736969001</v>
      </c>
      <c r="AJ177" s="265" t="b">
        <f t="shared" si="67"/>
        <v>0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7">
        <v>64.212000000000003</v>
      </c>
      <c r="C178" s="390"/>
      <c r="D178" s="393">
        <f t="shared" si="48"/>
        <v>64.734490792380015</v>
      </c>
      <c r="E178" s="385">
        <f t="shared" si="73"/>
        <v>66.11432836926889</v>
      </c>
      <c r="F178" s="385">
        <f t="shared" si="49"/>
        <v>66.115436428019962</v>
      </c>
      <c r="G178" s="110">
        <f t="shared" si="74"/>
        <v>1.0403359606082312</v>
      </c>
      <c r="H178" s="414" t="b">
        <f>Wh_hp&gt;='2018'!Maxi_hp</f>
        <v>1</v>
      </c>
      <c r="I178" s="390">
        <f>IF(H178,Wh_hp,'2018'!Maxi_hp)</f>
        <v>66.115436428019962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8.0712891378997842E-3</v>
      </c>
      <c r="M178" s="845"/>
      <c r="N178" s="845"/>
      <c r="O178" s="48">
        <f>IF(t&lt;Tnet,'2018'!Resal+('2018'!Salim-'2018'!Resal)*(1-EXP(('2018'!Tnet-t)/('2018'!Tau_j))),Resal+(Salim-Resal)*(1-EXP((Tnet-t)/(Tau_j))))*Salcycl</f>
        <v>2.0870477110227124E-2</v>
      </c>
      <c r="P178" s="169">
        <f>(INDEX(Models!$BJ178:$BT178,,T178)*(1-R178)+INDEX(Models!$BJ178:$BT178,,T178+1)*R178-ERP_i)*Q178*Ramure*Pc/MaxiM</f>
        <v>1.675945605049279E-5</v>
      </c>
      <c r="Q178" s="305">
        <f t="shared" si="51"/>
        <v>0.5</v>
      </c>
      <c r="R178" s="177">
        <f t="shared" si="52"/>
        <v>0.76254193225636646</v>
      </c>
      <c r="S178" s="811">
        <f t="shared" si="53"/>
        <v>-2</v>
      </c>
      <c r="T178" s="176">
        <f t="shared" si="54"/>
        <v>4</v>
      </c>
      <c r="U178" s="251">
        <f t="shared" si="55"/>
        <v>-1.2374580677436335</v>
      </c>
      <c r="V178" s="383">
        <f t="shared" si="56"/>
        <v>61.722368957099725</v>
      </c>
      <c r="W178" s="58"/>
      <c r="X178" s="157">
        <f t="shared" si="57"/>
        <v>43629</v>
      </c>
      <c r="Y178" s="385">
        <f t="shared" si="58"/>
        <v>64.212000000000003</v>
      </c>
      <c r="Z178" s="385">
        <f t="shared" si="59"/>
        <v>64.734490792380015</v>
      </c>
      <c r="AA178" s="386">
        <f t="shared" si="60"/>
        <v>66.11432836926889</v>
      </c>
      <c r="AB178" s="197">
        <f t="shared" si="61"/>
        <v>43629</v>
      </c>
      <c r="AC178" s="426">
        <f>IF(OR(t&lt;Tnet,NoTnet),'2018'!Resal_s+('2018'!Salim-'2018'!Resal_s)*(1-EXP(('2018'!Tnet_s-t)/'2018'!Tau_j)),Resal_s+(Salim-Resal_s)*(1-EXP((Tnet_s-t)/Tau_j)))*Salcycl</f>
        <v>2.0870477110227124E-2</v>
      </c>
      <c r="AD178" s="231">
        <f>(INDEX(Models!$BJ178:$BT178,,AH178)*(1-AF178)+INDEX(Models!$BJ178:$BT178,,AH178+1)*AF178-ERP_i)*AE178*Ramure*Pc/MaxiM</f>
        <v>1.675945605049279E-5</v>
      </c>
      <c r="AE178" s="305">
        <f t="shared" si="62"/>
        <v>0.5</v>
      </c>
      <c r="AF178" s="177">
        <f t="shared" si="63"/>
        <v>0.76254193225636646</v>
      </c>
      <c r="AG178" s="176">
        <f t="shared" si="64"/>
        <v>-2</v>
      </c>
      <c r="AH178" s="176">
        <f t="shared" si="65"/>
        <v>4</v>
      </c>
      <c r="AI178" s="225">
        <f t="shared" si="66"/>
        <v>-1.2374580677436335</v>
      </c>
      <c r="AJ178" s="265" t="b">
        <f t="shared" si="67"/>
        <v>0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7">
        <v>23.989000000000001</v>
      </c>
      <c r="C179" s="390"/>
      <c r="D179" s="393">
        <f t="shared" si="48"/>
        <v>24.184727359413561</v>
      </c>
      <c r="E179" s="385">
        <f t="shared" si="73"/>
        <v>24.70171039704114</v>
      </c>
      <c r="F179" s="385">
        <f t="shared" si="49"/>
        <v>24.701763508999733</v>
      </c>
      <c r="G179" s="110">
        <f t="shared" si="74"/>
        <v>0.38898416074100861</v>
      </c>
      <c r="H179" s="414" t="b">
        <f>Wh_hp&gt;='2018'!Maxi_hp</f>
        <v>1</v>
      </c>
      <c r="I179" s="390">
        <f>IF(H179,Wh_hp,'2018'!Maxi_hp)</f>
        <v>24.701763508999733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8.0930149223855663E-3</v>
      </c>
      <c r="M179" s="845"/>
      <c r="N179" s="845"/>
      <c r="O179" s="48">
        <f>IF(t&lt;Tnet,'2018'!Resal+('2018'!Salim-'2018'!Resal)*(1-EXP(('2018'!Tnet-t)/('2018'!Tau_j))),Resal+(Salim-Resal)*(1-EXP((Tnet-t)/(Tau_j))))*Salcycl</f>
        <v>2.0929038083512836E-2</v>
      </c>
      <c r="P179" s="169">
        <f>(INDEX(Models!$BJ179:$BT179,,T179)*(1-R179)+INDEX(Models!$BJ179:$BT179,,T179+1)*R179-ERP_i)*Q179*Ramure*Pc/MaxiM</f>
        <v>1.6913039467314754E-5</v>
      </c>
      <c r="Q179" s="305">
        <f t="shared" si="51"/>
        <v>0.5</v>
      </c>
      <c r="R179" s="177">
        <f t="shared" si="52"/>
        <v>0.76766107167419229</v>
      </c>
      <c r="S179" s="811">
        <f t="shared" si="53"/>
        <v>-2</v>
      </c>
      <c r="T179" s="176">
        <f t="shared" si="54"/>
        <v>4</v>
      </c>
      <c r="U179" s="251">
        <f t="shared" si="55"/>
        <v>-1.2323389283258077</v>
      </c>
      <c r="V179" s="383">
        <f t="shared" si="56"/>
        <v>61.669981127412569</v>
      </c>
      <c r="W179" s="58"/>
      <c r="X179" s="157">
        <f t="shared" si="57"/>
        <v>43630</v>
      </c>
      <c r="Y179" s="385">
        <f t="shared" si="58"/>
        <v>23.989000000000001</v>
      </c>
      <c r="Z179" s="385">
        <f t="shared" si="59"/>
        <v>24.184727359413561</v>
      </c>
      <c r="AA179" s="386">
        <f t="shared" si="60"/>
        <v>24.70171039704114</v>
      </c>
      <c r="AB179" s="197">
        <f t="shared" si="61"/>
        <v>43630</v>
      </c>
      <c r="AC179" s="426">
        <f>IF(OR(t&lt;Tnet,NoTnet),'2018'!Resal_s+('2018'!Salim-'2018'!Resal_s)*(1-EXP(('2018'!Tnet_s-t)/'2018'!Tau_j)),Resal_s+(Salim-Resal_s)*(1-EXP((Tnet_s-t)/Tau_j)))*Salcycl</f>
        <v>2.0929038083512836E-2</v>
      </c>
      <c r="AD179" s="231">
        <f>(INDEX(Models!$BJ179:$BT179,,AH179)*(1-AF179)+INDEX(Models!$BJ179:$BT179,,AH179+1)*AF179-ERP_i)*AE179*Ramure*Pc/MaxiM</f>
        <v>1.6913039467314754E-5</v>
      </c>
      <c r="AE179" s="305">
        <f t="shared" si="62"/>
        <v>0.5</v>
      </c>
      <c r="AF179" s="177">
        <f t="shared" si="63"/>
        <v>0.76766107167419229</v>
      </c>
      <c r="AG179" s="176">
        <f t="shared" si="64"/>
        <v>-2</v>
      </c>
      <c r="AH179" s="176">
        <f t="shared" si="65"/>
        <v>4</v>
      </c>
      <c r="AI179" s="225">
        <f t="shared" si="66"/>
        <v>-1.2323389283258077</v>
      </c>
      <c r="AJ179" s="265" t="b">
        <f t="shared" si="67"/>
        <v>0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7">
        <v>25.198</v>
      </c>
      <c r="C180" s="390"/>
      <c r="D180" s="393">
        <f t="shared" si="48"/>
        <v>25.404148062316089</v>
      </c>
      <c r="E180" s="385">
        <f t="shared" si="73"/>
        <v>25.948741975589648</v>
      </c>
      <c r="F180" s="385">
        <f t="shared" si="49"/>
        <v>25.948810975463328</v>
      </c>
      <c r="G180" s="110">
        <f t="shared" si="74"/>
        <v>0.40896601986991038</v>
      </c>
      <c r="H180" s="414" t="b">
        <f>Wh_hp&gt;='2018'!Maxi_hp</f>
        <v>1</v>
      </c>
      <c r="I180" s="390">
        <f>IF(H180,Wh_hp,'2018'!Maxi_hp)</f>
        <v>25.948810975463328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8.1147402310209893E-3</v>
      </c>
      <c r="M180" s="845"/>
      <c r="N180" s="845"/>
      <c r="O180" s="48">
        <f>IF(t&lt;Tnet,'2018'!Resal+('2018'!Salim-'2018'!Resal)*(1-EXP(('2018'!Tnet-t)/('2018'!Tau_j))),Resal+(Salim-Resal)*(1-EXP((Tnet-t)/(Tau_j))))*Salcycl</f>
        <v>2.0987295406685477E-2</v>
      </c>
      <c r="P180" s="169">
        <f>(INDEX(Models!$BJ180:$BT180,,T180)*(1-R180)+INDEX(Models!$BJ180:$BT180,,T180+1)*R180-ERP_i)*Q180*Ramure*Pc/MaxiM</f>
        <v>1.7081038756011629E-5</v>
      </c>
      <c r="Q180" s="305">
        <f t="shared" si="51"/>
        <v>0.5</v>
      </c>
      <c r="R180" s="177">
        <f t="shared" si="52"/>
        <v>0.77276299022133244</v>
      </c>
      <c r="S180" s="811">
        <f t="shared" si="53"/>
        <v>-2</v>
      </c>
      <c r="T180" s="176">
        <f t="shared" si="54"/>
        <v>4</v>
      </c>
      <c r="U180" s="251">
        <f t="shared" si="55"/>
        <v>-1.2272370097786676</v>
      </c>
      <c r="V180" s="383">
        <f t="shared" si="56"/>
        <v>61.61303230631281</v>
      </c>
      <c r="W180" s="58"/>
      <c r="X180" s="157">
        <f t="shared" si="57"/>
        <v>43631</v>
      </c>
      <c r="Y180" s="385">
        <f t="shared" si="58"/>
        <v>25.198</v>
      </c>
      <c r="Z180" s="385">
        <f t="shared" si="59"/>
        <v>25.404148062316089</v>
      </c>
      <c r="AA180" s="386">
        <f t="shared" si="60"/>
        <v>25.948741975589648</v>
      </c>
      <c r="AB180" s="197">
        <f t="shared" si="61"/>
        <v>43631</v>
      </c>
      <c r="AC180" s="426">
        <f>IF(OR(t&lt;Tnet,NoTnet),'2018'!Resal_s+('2018'!Salim-'2018'!Resal_s)*(1-EXP(('2018'!Tnet_s-t)/'2018'!Tau_j)),Resal_s+(Salim-Resal_s)*(1-EXP((Tnet_s-t)/Tau_j)))*Salcycl</f>
        <v>2.0987295406685477E-2</v>
      </c>
      <c r="AD180" s="231">
        <f>(INDEX(Models!$BJ180:$BT180,,AH180)*(1-AF180)+INDEX(Models!$BJ180:$BT180,,AH180+1)*AF180-ERP_i)*AE180*Ramure*Pc/MaxiM</f>
        <v>1.7081038756011629E-5</v>
      </c>
      <c r="AE180" s="305">
        <f t="shared" si="62"/>
        <v>0.5</v>
      </c>
      <c r="AF180" s="177">
        <f t="shared" si="63"/>
        <v>0.77276299022133244</v>
      </c>
      <c r="AG180" s="176">
        <f t="shared" si="64"/>
        <v>-2</v>
      </c>
      <c r="AH180" s="176">
        <f t="shared" si="65"/>
        <v>4</v>
      </c>
      <c r="AI180" s="225">
        <f t="shared" si="66"/>
        <v>-1.2272370097786676</v>
      </c>
      <c r="AJ180" s="265" t="b">
        <f t="shared" si="67"/>
        <v>0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7">
        <v>62.881999999999998</v>
      </c>
      <c r="C181" s="390"/>
      <c r="D181" s="393">
        <f t="shared" si="48"/>
        <v>63.397834263607457</v>
      </c>
      <c r="E181" s="385">
        <f t="shared" si="73"/>
        <v>64.76073945780935</v>
      </c>
      <c r="F181" s="385">
        <f t="shared" si="49"/>
        <v>64.761857489550721</v>
      </c>
      <c r="G181" s="110">
        <f t="shared" si="74"/>
        <v>1.0216087220702732</v>
      </c>
      <c r="H181" s="414" t="b">
        <f>Wh_hp&gt;='2018'!Maxi_hp</f>
        <v>1</v>
      </c>
      <c r="I181" s="390">
        <f>IF(H181,Wh_hp,'2018'!Maxi_hp)</f>
        <v>64.761857489550721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8.1364650638162672E-3</v>
      </c>
      <c r="M181" s="845"/>
      <c r="N181" s="845"/>
      <c r="O181" s="48">
        <f>IF(t&lt;Tnet,'2018'!Resal+('2018'!Salim-'2018'!Resal)*(1-EXP(('2018'!Tnet-t)/('2018'!Tau_j))),Resal+(Salim-Resal)*(1-EXP((Tnet-t)/(Tau_j))))*Salcycl</f>
        <v>2.1045238297345253E-2</v>
      </c>
      <c r="P181" s="169">
        <f>(INDEX(Models!$BJ181:$BT181,,T181)*(1-R181)+INDEX(Models!$BJ181:$BT181,,T181+1)*R181-ERP_i)*Q181*Ramure*Pc/MaxiM</f>
        <v>1.7263738019719536E-5</v>
      </c>
      <c r="Q181" s="305">
        <f t="shared" si="51"/>
        <v>0.5</v>
      </c>
      <c r="R181" s="177">
        <f t="shared" si="52"/>
        <v>0.77784349109160433</v>
      </c>
      <c r="S181" s="811">
        <f t="shared" si="53"/>
        <v>-2</v>
      </c>
      <c r="T181" s="176">
        <f t="shared" si="54"/>
        <v>4</v>
      </c>
      <c r="U181" s="251">
        <f t="shared" si="55"/>
        <v>-1.2221565089083957</v>
      </c>
      <c r="V181" s="383">
        <f t="shared" si="56"/>
        <v>61.551941209517743</v>
      </c>
      <c r="W181" s="58"/>
      <c r="X181" s="157">
        <f t="shared" si="57"/>
        <v>43632</v>
      </c>
      <c r="Y181" s="385">
        <f t="shared" si="58"/>
        <v>62.882000000000005</v>
      </c>
      <c r="Z181" s="385">
        <f t="shared" si="59"/>
        <v>63.397834263607464</v>
      </c>
      <c r="AA181" s="386">
        <f t="shared" si="60"/>
        <v>64.76073945780935</v>
      </c>
      <c r="AB181" s="197">
        <f t="shared" si="61"/>
        <v>43632</v>
      </c>
      <c r="AC181" s="426">
        <f>IF(OR(t&lt;Tnet,NoTnet),'2018'!Resal_s+('2018'!Salim-'2018'!Resal_s)*(1-EXP(('2018'!Tnet_s-t)/'2018'!Tau_j)),Resal_s+(Salim-Resal_s)*(1-EXP((Tnet_s-t)/Tau_j)))*Salcycl</f>
        <v>2.1045238297345253E-2</v>
      </c>
      <c r="AD181" s="231">
        <f>(INDEX(Models!$BJ181:$BT181,,AH181)*(1-AF181)+INDEX(Models!$BJ181:$BT181,,AH181+1)*AF181-ERP_i)*AE181*Ramure*Pc/MaxiM</f>
        <v>1.7263738019719536E-5</v>
      </c>
      <c r="AE181" s="305">
        <f t="shared" si="62"/>
        <v>0.5</v>
      </c>
      <c r="AF181" s="177">
        <f t="shared" si="63"/>
        <v>0.77784349109160433</v>
      </c>
      <c r="AG181" s="176">
        <f t="shared" si="64"/>
        <v>-2</v>
      </c>
      <c r="AH181" s="176">
        <f t="shared" si="65"/>
        <v>4</v>
      </c>
      <c r="AI181" s="225">
        <f t="shared" si="66"/>
        <v>-1.2221565089083957</v>
      </c>
      <c r="AJ181" s="265" t="b">
        <f t="shared" si="67"/>
        <v>0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7">
        <v>60.857999999999997</v>
      </c>
      <c r="C182" s="390"/>
      <c r="D182" s="393">
        <f t="shared" si="48"/>
        <v>61.358574876431163</v>
      </c>
      <c r="E182" s="385">
        <f t="shared" si="73"/>
        <v>62.681330012472898</v>
      </c>
      <c r="F182" s="385">
        <f t="shared" si="49"/>
        <v>62.682408537874828</v>
      </c>
      <c r="G182" s="110">
        <f t="shared" si="74"/>
        <v>0.98976790881805687</v>
      </c>
      <c r="H182" s="414" t="b">
        <f>Wh_hp&gt;='2018'!Maxi_hp</f>
        <v>1</v>
      </c>
      <c r="I182" s="390">
        <f>IF(H182,Wh_hp,'2018'!Maxi_hp)</f>
        <v>62.682408537874828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8.1581894207820582E-3</v>
      </c>
      <c r="M182" s="845"/>
      <c r="N182" s="845"/>
      <c r="O182" s="48">
        <f>IF(t&lt;Tnet,'2018'!Resal+('2018'!Salim-'2018'!Resal)*(1-EXP(('2018'!Tnet-t)/('2018'!Tau_j))),Resal+(Salim-Resal)*(1-EXP((Tnet-t)/(Tau_j))))*Salcycl</f>
        <v>2.1102856875859506E-2</v>
      </c>
      <c r="P182" s="169">
        <f>(INDEX(Models!$BJ182:$BT182,,T182)*(1-R182)+INDEX(Models!$BJ182:$BT182,,T182+1)*R182-ERP_i)*Q182*Ramure*Pc/MaxiM</f>
        <v>1.7461421603725809E-5</v>
      </c>
      <c r="Q182" s="305">
        <f t="shared" si="51"/>
        <v>0.5</v>
      </c>
      <c r="R182" s="177">
        <f t="shared" si="52"/>
        <v>0.78289844862126401</v>
      </c>
      <c r="S182" s="811">
        <f t="shared" si="53"/>
        <v>-2</v>
      </c>
      <c r="T182" s="176">
        <f t="shared" si="54"/>
        <v>4</v>
      </c>
      <c r="U182" s="251">
        <f t="shared" si="55"/>
        <v>-1.217101551378736</v>
      </c>
      <c r="V182" s="383">
        <f t="shared" si="56"/>
        <v>61.48712635015</v>
      </c>
      <c r="W182" s="58"/>
      <c r="X182" s="157">
        <f t="shared" si="57"/>
        <v>43633</v>
      </c>
      <c r="Y182" s="385">
        <f t="shared" si="58"/>
        <v>60.857999999999997</v>
      </c>
      <c r="Z182" s="385">
        <f t="shared" si="59"/>
        <v>61.358574876431163</v>
      </c>
      <c r="AA182" s="386">
        <f t="shared" si="60"/>
        <v>62.681330012472898</v>
      </c>
      <c r="AB182" s="197">
        <f t="shared" si="61"/>
        <v>43633</v>
      </c>
      <c r="AC182" s="426">
        <f>IF(OR(t&lt;Tnet,NoTnet),'2018'!Resal_s+('2018'!Salim-'2018'!Resal_s)*(1-EXP(('2018'!Tnet_s-t)/'2018'!Tau_j)),Resal_s+(Salim-Resal_s)*(1-EXP((Tnet_s-t)/Tau_j)))*Salcycl</f>
        <v>2.1102856875859506E-2</v>
      </c>
      <c r="AD182" s="231">
        <f>(INDEX(Models!$BJ182:$BT182,,AH182)*(1-AF182)+INDEX(Models!$BJ182:$BT182,,AH182+1)*AF182-ERP_i)*AE182*Ramure*Pc/MaxiM</f>
        <v>1.7461421603725809E-5</v>
      </c>
      <c r="AE182" s="305">
        <f t="shared" si="62"/>
        <v>0.5</v>
      </c>
      <c r="AF182" s="177">
        <f t="shared" si="63"/>
        <v>0.78289844862126401</v>
      </c>
      <c r="AG182" s="176">
        <f t="shared" si="64"/>
        <v>-2</v>
      </c>
      <c r="AH182" s="176">
        <f t="shared" si="65"/>
        <v>4</v>
      </c>
      <c r="AI182" s="225">
        <f t="shared" si="66"/>
        <v>-1.217101551378736</v>
      </c>
      <c r="AJ182" s="265" t="b">
        <f t="shared" si="67"/>
        <v>0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7">
        <v>59.127000000000002</v>
      </c>
      <c r="C183" s="390"/>
      <c r="D183" s="393">
        <f t="shared" si="48"/>
        <v>59.614642608059391</v>
      </c>
      <c r="E183" s="385">
        <f t="shared" si="73"/>
        <v>60.90336650370358</v>
      </c>
      <c r="F183" s="385">
        <f t="shared" si="49"/>
        <v>60.904385564297691</v>
      </c>
      <c r="G183" s="110">
        <f t="shared" si="74"/>
        <v>0.96268155576941017</v>
      </c>
      <c r="H183" s="414" t="b">
        <f>Wh_hp&gt;='2018'!Maxi_hp</f>
        <v>1</v>
      </c>
      <c r="I183" s="390">
        <f>IF(H183,Wh_hp,'2018'!Maxi_hp)</f>
        <v>60.904385564297691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8.1799133019286874E-3</v>
      </c>
      <c r="M183" s="845"/>
      <c r="N183" s="845"/>
      <c r="O183" s="48">
        <f>IF(t&lt;Tnet,'2018'!Resal+('2018'!Salim-'2018'!Resal)*(1-EXP(('2018'!Tnet-t)/('2018'!Tau_j))),Resal+(Salim-Resal)*(1-EXP((Tnet-t)/(Tau_j))))*Salcycl</f>
        <v>2.1160142199459837E-2</v>
      </c>
      <c r="P183" s="169">
        <f>(INDEX(Models!$BJ183:$BT183,,T183)*(1-R183)+INDEX(Models!$BJ183:$BT183,,T183+1)*R183-ERP_i)*Q183*Ramure*Pc/MaxiM</f>
        <v>1.7674372526604451E-5</v>
      </c>
      <c r="Q183" s="305">
        <f t="shared" si="51"/>
        <v>0.5</v>
      </c>
      <c r="R183" s="177">
        <f t="shared" si="52"/>
        <v>0.78792382140353601</v>
      </c>
      <c r="S183" s="811">
        <f t="shared" si="53"/>
        <v>-2</v>
      </c>
      <c r="T183" s="176">
        <f t="shared" si="54"/>
        <v>4</v>
      </c>
      <c r="U183" s="251">
        <f t="shared" si="55"/>
        <v>-1.212076178596464</v>
      </c>
      <c r="V183" s="383">
        <f t="shared" si="56"/>
        <v>61.419006039146872</v>
      </c>
      <c r="W183" s="58"/>
      <c r="X183" s="157">
        <f t="shared" si="57"/>
        <v>43634</v>
      </c>
      <c r="Y183" s="385">
        <f t="shared" si="58"/>
        <v>59.127000000000002</v>
      </c>
      <c r="Z183" s="385">
        <f t="shared" si="59"/>
        <v>59.614642608059391</v>
      </c>
      <c r="AA183" s="386">
        <f t="shared" si="60"/>
        <v>60.90336650370358</v>
      </c>
      <c r="AB183" s="197">
        <f t="shared" si="61"/>
        <v>43634</v>
      </c>
      <c r="AC183" s="426">
        <f>IF(OR(t&lt;Tnet,NoTnet),'2018'!Resal_s+('2018'!Salim-'2018'!Resal_s)*(1-EXP(('2018'!Tnet_s-t)/'2018'!Tau_j)),Resal_s+(Salim-Resal_s)*(1-EXP((Tnet_s-t)/Tau_j)))*Salcycl</f>
        <v>2.1160142199459837E-2</v>
      </c>
      <c r="AD183" s="231">
        <f>(INDEX(Models!$BJ183:$BT183,,AH183)*(1-AF183)+INDEX(Models!$BJ183:$BT183,,AH183+1)*AF183-ERP_i)*AE183*Ramure*Pc/MaxiM</f>
        <v>1.7674372526604451E-5</v>
      </c>
      <c r="AE183" s="305">
        <f t="shared" si="62"/>
        <v>0.5</v>
      </c>
      <c r="AF183" s="177">
        <f t="shared" si="63"/>
        <v>0.78792382140353601</v>
      </c>
      <c r="AG183" s="176">
        <f t="shared" si="64"/>
        <v>-2</v>
      </c>
      <c r="AH183" s="176">
        <f t="shared" si="65"/>
        <v>4</v>
      </c>
      <c r="AI183" s="225">
        <f t="shared" si="66"/>
        <v>-1.212076178596464</v>
      </c>
      <c r="AJ183" s="265" t="b">
        <f t="shared" si="67"/>
        <v>0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7">
        <v>50.161000000000001</v>
      </c>
      <c r="C184" s="390"/>
      <c r="D184" s="393">
        <f t="shared" si="48"/>
        <v>50.575804373650463</v>
      </c>
      <c r="E184" s="385">
        <f t="shared" si="73"/>
        <v>51.672136553761177</v>
      </c>
      <c r="F184" s="385">
        <f t="shared" si="49"/>
        <v>51.67282048424785</v>
      </c>
      <c r="G184" s="110">
        <f t="shared" si="74"/>
        <v>0.81764307254171964</v>
      </c>
      <c r="H184" s="414" t="b">
        <f>Wh_hp&gt;='2018'!Maxi_hp</f>
        <v>1</v>
      </c>
      <c r="I184" s="390">
        <f>IF(H184,Wh_hp,'2018'!Maxi_hp)</f>
        <v>51.67282048424785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8.2016367072664798E-3</v>
      </c>
      <c r="M184" s="845"/>
      <c r="N184" s="845"/>
      <c r="O184" s="48">
        <f>IF(t&lt;Tnet,'2018'!Resal+('2018'!Salim-'2018'!Resal)*(1-EXP(('2018'!Tnet-t)/('2018'!Tau_j))),Resal+(Salim-Resal)*(1-EXP((Tnet-t)/(Tau_j))))*Salcycl</f>
        <v>2.1217086291178622E-2</v>
      </c>
      <c r="P184" s="169">
        <f>(INDEX(Models!$BJ184:$BT184,,T184)*(1-R184)+INDEX(Models!$BJ184:$BT184,,T184+1)*R184-ERP_i)*Q184*Ramure*Pc/MaxiM</f>
        <v>1.7898400869880598E-5</v>
      </c>
      <c r="Q184" s="305">
        <f t="shared" si="51"/>
        <v>0.5</v>
      </c>
      <c r="R184" s="177">
        <f t="shared" si="52"/>
        <v>0.79291566481794851</v>
      </c>
      <c r="S184" s="811">
        <f t="shared" si="53"/>
        <v>-2</v>
      </c>
      <c r="T184" s="176">
        <f t="shared" si="54"/>
        <v>4</v>
      </c>
      <c r="U184" s="251">
        <f t="shared" si="55"/>
        <v>-1.2070843351820515</v>
      </c>
      <c r="V184" s="383">
        <f t="shared" si="56"/>
        <v>61.347998656235752</v>
      </c>
      <c r="W184" s="58"/>
      <c r="X184" s="157">
        <f t="shared" si="57"/>
        <v>43635</v>
      </c>
      <c r="Y184" s="385">
        <f t="shared" si="58"/>
        <v>50.161000000000001</v>
      </c>
      <c r="Z184" s="385">
        <f t="shared" si="59"/>
        <v>50.575804373650463</v>
      </c>
      <c r="AA184" s="386">
        <f t="shared" si="60"/>
        <v>51.672136553761177</v>
      </c>
      <c r="AB184" s="197">
        <f t="shared" si="61"/>
        <v>43635</v>
      </c>
      <c r="AC184" s="426">
        <f>IF(OR(t&lt;Tnet,NoTnet),'2018'!Resal_s+('2018'!Salim-'2018'!Resal_s)*(1-EXP(('2018'!Tnet_s-t)/'2018'!Tau_j)),Resal_s+(Salim-Resal_s)*(1-EXP((Tnet_s-t)/Tau_j)))*Salcycl</f>
        <v>2.1217086291178622E-2</v>
      </c>
      <c r="AD184" s="231">
        <f>(INDEX(Models!$BJ184:$BT184,,AH184)*(1-AF184)+INDEX(Models!$BJ184:$BT184,,AH184+1)*AF184-ERP_i)*AE184*Ramure*Pc/MaxiM</f>
        <v>1.7898400869880598E-5</v>
      </c>
      <c r="AE184" s="305">
        <f t="shared" si="62"/>
        <v>0.5</v>
      </c>
      <c r="AF184" s="177">
        <f t="shared" si="63"/>
        <v>0.79291566481794851</v>
      </c>
      <c r="AG184" s="176">
        <f t="shared" si="64"/>
        <v>-2</v>
      </c>
      <c r="AH184" s="176">
        <f t="shared" si="65"/>
        <v>4</v>
      </c>
      <c r="AI184" s="225">
        <f t="shared" si="66"/>
        <v>-1.2070843351820515</v>
      </c>
      <c r="AJ184" s="265" t="b">
        <f t="shared" si="67"/>
        <v>0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7">
        <v>29.835000000000001</v>
      </c>
      <c r="C185" s="390"/>
      <c r="D185" s="393">
        <f t="shared" si="48"/>
        <v>30.082378214790641</v>
      </c>
      <c r="E185" s="385">
        <f t="shared" si="73"/>
        <v>30.736251459228651</v>
      </c>
      <c r="F185" s="385">
        <f t="shared" si="49"/>
        <v>30.736400109243171</v>
      </c>
      <c r="G185" s="110">
        <f t="shared" si="74"/>
        <v>0.48690062760334207</v>
      </c>
      <c r="H185" s="414" t="b">
        <f>Wh_hp&gt;='2018'!Maxi_hp</f>
        <v>1</v>
      </c>
      <c r="I185" s="390">
        <f>IF(H185,Wh_hp,'2018'!Maxi_hp)</f>
        <v>30.736400109243171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8.2233596368059825E-3</v>
      </c>
      <c r="M185" s="845"/>
      <c r="N185" s="845"/>
      <c r="O185" s="48">
        <f>IF(t&lt;Tnet,'2018'!Resal+('2018'!Salim-'2018'!Resal)*(1-EXP(('2018'!Tnet-t)/('2018'!Tau_j))),Resal+(Salim-Resal)*(1-EXP((Tnet-t)/(Tau_j))))*Salcycl</f>
        <v>2.1273682163401322E-2</v>
      </c>
      <c r="P185" s="169">
        <f>(INDEX(Models!$BJ185:$BT185,,T185)*(1-R185)+INDEX(Models!$BJ185:$BT185,,T185+1)*R185-ERP_i)*Q185*Ramure*Pc/MaxiM</f>
        <v>1.8112742557031199E-5</v>
      </c>
      <c r="Q185" s="305">
        <f t="shared" si="51"/>
        <v>0.5</v>
      </c>
      <c r="R185" s="177">
        <f t="shared" si="52"/>
        <v>0.79787014289503078</v>
      </c>
      <c r="S185" s="811">
        <f t="shared" si="53"/>
        <v>-2</v>
      </c>
      <c r="T185" s="176">
        <f t="shared" si="54"/>
        <v>4</v>
      </c>
      <c r="U185" s="251">
        <f t="shared" si="55"/>
        <v>-1.2021298571049692</v>
      </c>
      <c r="V185" s="383">
        <f t="shared" si="56"/>
        <v>61.274523390635586</v>
      </c>
      <c r="W185" s="58"/>
      <c r="X185" s="157">
        <f t="shared" si="57"/>
        <v>43636</v>
      </c>
      <c r="Y185" s="385">
        <f t="shared" si="58"/>
        <v>29.835000000000001</v>
      </c>
      <c r="Z185" s="385">
        <f t="shared" si="59"/>
        <v>30.082378214790641</v>
      </c>
      <c r="AA185" s="386">
        <f t="shared" si="60"/>
        <v>30.736251459228651</v>
      </c>
      <c r="AB185" s="197">
        <f t="shared" si="61"/>
        <v>43636</v>
      </c>
      <c r="AC185" s="426">
        <f>IF(OR(t&lt;Tnet,NoTnet),'2018'!Resal_s+('2018'!Salim-'2018'!Resal_s)*(1-EXP(('2018'!Tnet_s-t)/'2018'!Tau_j)),Resal_s+(Salim-Resal_s)*(1-EXP((Tnet_s-t)/Tau_j)))*Salcycl</f>
        <v>2.1273682163401322E-2</v>
      </c>
      <c r="AD185" s="231">
        <f>(INDEX(Models!$BJ185:$BT185,,AH185)*(1-AF185)+INDEX(Models!$BJ185:$BT185,,AH185+1)*AF185-ERP_i)*AE185*Ramure*Pc/MaxiM</f>
        <v>1.8112742557031199E-5</v>
      </c>
      <c r="AE185" s="305">
        <f t="shared" si="62"/>
        <v>0.5</v>
      </c>
      <c r="AF185" s="177">
        <f t="shared" si="63"/>
        <v>0.79787014289503078</v>
      </c>
      <c r="AG185" s="176">
        <f t="shared" si="64"/>
        <v>-2</v>
      </c>
      <c r="AH185" s="176">
        <f t="shared" si="65"/>
        <v>4</v>
      </c>
      <c r="AI185" s="225">
        <f t="shared" si="66"/>
        <v>-1.2021298571049692</v>
      </c>
      <c r="AJ185" s="265" t="b">
        <f t="shared" si="67"/>
        <v>0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7">
        <v>11.11</v>
      </c>
      <c r="C186" s="390"/>
      <c r="D186" s="393">
        <f t="shared" si="48"/>
        <v>11.202364414203448</v>
      </c>
      <c r="E186" s="385">
        <f t="shared" si="73"/>
        <v>11.446517766345323</v>
      </c>
      <c r="F186" s="385">
        <f t="shared" si="49"/>
        <v>11.446517766345323</v>
      </c>
      <c r="G186" s="110">
        <f t="shared" si="74"/>
        <v>0.18153559478653403</v>
      </c>
      <c r="H186" s="414" t="b">
        <f>Wh_hp&gt;='2018'!Maxi_hp</f>
        <v>1</v>
      </c>
      <c r="I186" s="390">
        <f>IF(H186,Wh_hp,'2018'!Maxi_hp)</f>
        <v>11.446517766345323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8.2450820905576316E-3</v>
      </c>
      <c r="M186" s="845"/>
      <c r="N186" s="845"/>
      <c r="O186" s="48">
        <f>IF(t&lt;Tnet,'2018'!Resal+('2018'!Salim-'2018'!Resal)*(1-EXP(('2018'!Tnet-t)/('2018'!Tau_j))),Resal+(Salim-Resal)*(1-EXP((Tnet-t)/(Tau_j))))*Salcycl</f>
        <v>2.1329923835852166E-2</v>
      </c>
      <c r="P186" s="169">
        <f>(INDEX(Models!$BJ186:$BT186,,T186)*(1-R186)+INDEX(Models!$BJ186:$BT186,,T186+1)*R186-ERP_i)*Q186*Ramure*Pc/MaxiM</f>
        <v>1.8316865249385926E-5</v>
      </c>
      <c r="Q186" s="305">
        <f t="shared" si="51"/>
        <v>0.5</v>
      </c>
      <c r="R186" s="177">
        <f t="shared" si="52"/>
        <v>0.80278353944465763</v>
      </c>
      <c r="S186" s="811">
        <f t="shared" si="53"/>
        <v>-2</v>
      </c>
      <c r="T186" s="176">
        <f t="shared" si="54"/>
        <v>4</v>
      </c>
      <c r="U186" s="251">
        <f t="shared" si="55"/>
        <v>-1.1972164605553424</v>
      </c>
      <c r="V186" s="383">
        <f t="shared" si="56"/>
        <v>61.198997985441821</v>
      </c>
      <c r="W186" s="58"/>
      <c r="X186" s="157">
        <f t="shared" si="57"/>
        <v>43637</v>
      </c>
      <c r="Y186" s="385">
        <f t="shared" si="58"/>
        <v>11.11</v>
      </c>
      <c r="Z186" s="385">
        <f t="shared" si="59"/>
        <v>11.202364414203448</v>
      </c>
      <c r="AA186" s="386">
        <f t="shared" si="60"/>
        <v>11.446517766345323</v>
      </c>
      <c r="AB186" s="197">
        <f t="shared" si="61"/>
        <v>43637</v>
      </c>
      <c r="AC186" s="426">
        <f>IF(OR(t&lt;Tnet,NoTnet),'2018'!Resal_s+('2018'!Salim-'2018'!Resal_s)*(1-EXP(('2018'!Tnet_s-t)/'2018'!Tau_j)),Resal_s+(Salim-Resal_s)*(1-EXP((Tnet_s-t)/Tau_j)))*Salcycl</f>
        <v>2.1329923835852166E-2</v>
      </c>
      <c r="AD186" s="231">
        <f>(INDEX(Models!$BJ186:$BT186,,AH186)*(1-AF186)+INDEX(Models!$BJ186:$BT186,,AH186+1)*AF186-ERP_i)*AE186*Ramure*Pc/MaxiM</f>
        <v>1.8316865249385926E-5</v>
      </c>
      <c r="AE186" s="305">
        <f t="shared" si="62"/>
        <v>0.5</v>
      </c>
      <c r="AF186" s="177">
        <f t="shared" si="63"/>
        <v>0.80278353944465763</v>
      </c>
      <c r="AG186" s="176">
        <f t="shared" si="64"/>
        <v>-2</v>
      </c>
      <c r="AH186" s="176">
        <f t="shared" si="65"/>
        <v>4</v>
      </c>
      <c r="AI186" s="225">
        <f t="shared" si="66"/>
        <v>-1.1972164605553424</v>
      </c>
      <c r="AJ186" s="265" t="b">
        <f t="shared" si="67"/>
        <v>0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7">
        <v>52.521999999999998</v>
      </c>
      <c r="C187" s="390"/>
      <c r="D187" s="393">
        <f t="shared" si="48"/>
        <v>52.959808359212602</v>
      </c>
      <c r="E187" s="385">
        <f t="shared" si="73"/>
        <v>54.117147189097949</v>
      </c>
      <c r="F187" s="385">
        <f t="shared" si="49"/>
        <v>54.11794757658614</v>
      </c>
      <c r="G187" s="110">
        <f t="shared" si="74"/>
        <v>0.85929685041512638</v>
      </c>
      <c r="H187" s="414" t="b">
        <f>Wh_hp&gt;='2018'!Maxi_hp</f>
        <v>1</v>
      </c>
      <c r="I187" s="390">
        <f>IF(H187,Wh_hp,'2018'!Maxi_hp)</f>
        <v>54.11794757658614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8.2668040685317523E-3</v>
      </c>
      <c r="M187" s="845"/>
      <c r="N187" s="845"/>
      <c r="O187" s="48">
        <f>IF(t&lt;Tnet,'2018'!Resal+('2018'!Salim-'2018'!Resal)*(1-EXP(('2018'!Tnet-t)/('2018'!Tau_j))),Resal+(Salim-Resal)*(1-EXP((Tnet-t)/(Tau_j))))*Salcycl</f>
        <v>2.1385806347872214E-2</v>
      </c>
      <c r="P187" s="169">
        <f>(INDEX(Models!$BJ187:$BT187,,T187)*(1-R187)+INDEX(Models!$BJ187:$BT187,,T187+1)*R187-ERP_i)*Q187*Ramure*Pc/MaxiM</f>
        <v>1.8510244579016193E-5</v>
      </c>
      <c r="Q187" s="305">
        <f t="shared" si="51"/>
        <v>0.5</v>
      </c>
      <c r="R187" s="177">
        <f t="shared" si="52"/>
        <v>0.80765226838474513</v>
      </c>
      <c r="S187" s="811">
        <f t="shared" si="53"/>
        <v>-2</v>
      </c>
      <c r="T187" s="176">
        <f t="shared" si="54"/>
        <v>4</v>
      </c>
      <c r="U187" s="251">
        <f t="shared" si="55"/>
        <v>-1.1923477316152549</v>
      </c>
      <c r="V187" s="383">
        <f t="shared" si="56"/>
        <v>61.121839979506973</v>
      </c>
      <c r="W187" s="58"/>
      <c r="X187" s="157">
        <f t="shared" si="57"/>
        <v>43638</v>
      </c>
      <c r="Y187" s="385">
        <f t="shared" si="58"/>
        <v>52.521999999999998</v>
      </c>
      <c r="Z187" s="385">
        <f t="shared" si="59"/>
        <v>52.959808359212602</v>
      </c>
      <c r="AA187" s="386">
        <f t="shared" si="60"/>
        <v>54.117147189097949</v>
      </c>
      <c r="AB187" s="197">
        <f t="shared" si="61"/>
        <v>43638</v>
      </c>
      <c r="AC187" s="426">
        <f>IF(OR(t&lt;Tnet,NoTnet),'2018'!Resal_s+('2018'!Salim-'2018'!Resal_s)*(1-EXP(('2018'!Tnet_s-t)/'2018'!Tau_j)),Resal_s+(Salim-Resal_s)*(1-EXP((Tnet_s-t)/Tau_j)))*Salcycl</f>
        <v>2.1385806347872214E-2</v>
      </c>
      <c r="AD187" s="231">
        <f>(INDEX(Models!$BJ187:$BT187,,AH187)*(1-AF187)+INDEX(Models!$BJ187:$BT187,,AH187+1)*AF187-ERP_i)*AE187*Ramure*Pc/MaxiM</f>
        <v>1.8510244579016193E-5</v>
      </c>
      <c r="AE187" s="305">
        <f t="shared" si="62"/>
        <v>0.5</v>
      </c>
      <c r="AF187" s="177">
        <f t="shared" si="63"/>
        <v>0.80765226838474513</v>
      </c>
      <c r="AG187" s="176">
        <f t="shared" si="64"/>
        <v>-2</v>
      </c>
      <c r="AH187" s="176">
        <f t="shared" si="65"/>
        <v>4</v>
      </c>
      <c r="AI187" s="225">
        <f t="shared" si="66"/>
        <v>-1.1923477316152549</v>
      </c>
      <c r="AJ187" s="265" t="b">
        <f t="shared" si="67"/>
        <v>0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7">
        <v>53.749000000000002</v>
      </c>
      <c r="C188" s="390"/>
      <c r="D188" s="393">
        <f t="shared" si="48"/>
        <v>54.19822336020971</v>
      </c>
      <c r="E188" s="385">
        <f t="shared" si="73"/>
        <v>55.385767647069244</v>
      </c>
      <c r="F188" s="385">
        <f t="shared" si="49"/>
        <v>55.386626209177535</v>
      </c>
      <c r="G188" s="110">
        <f t="shared" si="74"/>
        <v>0.88050091807535236</v>
      </c>
      <c r="H188" s="414" t="b">
        <f>Wh_hp&gt;='2018'!Maxi_hp</f>
        <v>1</v>
      </c>
      <c r="I188" s="390">
        <f>IF(H188,Wh_hp,'2018'!Maxi_hp)</f>
        <v>55.386626209177535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8.2885255707387806E-3</v>
      </c>
      <c r="M188" s="845"/>
      <c r="N188" s="845"/>
      <c r="O188" s="48">
        <f>IF(t&lt;Tnet,'2018'!Resal+('2018'!Salim-'2018'!Resal)*(1-EXP(('2018'!Tnet-t)/('2018'!Tau_j))),Resal+(Salim-Resal)*(1-EXP((Tnet-t)/(Tau_j))))*Salcycl</f>
        <v>2.1441325764893829E-2</v>
      </c>
      <c r="P188" s="169">
        <f>(INDEX(Models!$BJ188:$BT188,,T188)*(1-R188)+INDEX(Models!$BJ188:$BT188,,T188+1)*R188-ERP_i)*Q188*Ramure*Pc/MaxiM</f>
        <v>1.8692174769068432E-5</v>
      </c>
      <c r="Q188" s="305">
        <f t="shared" si="51"/>
        <v>0.5</v>
      </c>
      <c r="R188" s="177">
        <f t="shared" si="52"/>
        <v>0.81247288321596711</v>
      </c>
      <c r="S188" s="811">
        <f t="shared" si="53"/>
        <v>-2</v>
      </c>
      <c r="T188" s="176">
        <f t="shared" si="54"/>
        <v>4</v>
      </c>
      <c r="U188" s="251">
        <f t="shared" si="55"/>
        <v>-1.1875271167840329</v>
      </c>
      <c r="V188" s="383">
        <f t="shared" si="56"/>
        <v>61.043466718895523</v>
      </c>
      <c r="W188" s="58"/>
      <c r="X188" s="157">
        <f t="shared" si="57"/>
        <v>43639</v>
      </c>
      <c r="Y188" s="385">
        <f t="shared" si="58"/>
        <v>53.749000000000002</v>
      </c>
      <c r="Z188" s="385">
        <f t="shared" si="59"/>
        <v>54.19822336020971</v>
      </c>
      <c r="AA188" s="386">
        <f t="shared" si="60"/>
        <v>55.385767647069244</v>
      </c>
      <c r="AB188" s="197">
        <f t="shared" si="61"/>
        <v>43639</v>
      </c>
      <c r="AC188" s="426">
        <f>IF(OR(t&lt;Tnet,NoTnet),'2018'!Resal_s+('2018'!Salim-'2018'!Resal_s)*(1-EXP(('2018'!Tnet_s-t)/'2018'!Tau_j)),Resal_s+(Salim-Resal_s)*(1-EXP((Tnet_s-t)/Tau_j)))*Salcycl</f>
        <v>2.1441325764893829E-2</v>
      </c>
      <c r="AD188" s="231">
        <f>(INDEX(Models!$BJ188:$BT188,,AH188)*(1-AF188)+INDEX(Models!$BJ188:$BT188,,AH188+1)*AF188-ERP_i)*AE188*Ramure*Pc/MaxiM</f>
        <v>1.8692174769068432E-5</v>
      </c>
      <c r="AE188" s="305">
        <f t="shared" si="62"/>
        <v>0.5</v>
      </c>
      <c r="AF188" s="177">
        <f t="shared" si="63"/>
        <v>0.81247288321596711</v>
      </c>
      <c r="AG188" s="176">
        <f t="shared" si="64"/>
        <v>-2</v>
      </c>
      <c r="AH188" s="176">
        <f t="shared" si="65"/>
        <v>4</v>
      </c>
      <c r="AI188" s="225">
        <f t="shared" si="66"/>
        <v>-1.1875271167840329</v>
      </c>
      <c r="AJ188" s="265" t="b">
        <f t="shared" si="67"/>
        <v>0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7">
        <v>40.631999999999998</v>
      </c>
      <c r="C189" s="390"/>
      <c r="D189" s="393">
        <f t="shared" si="48"/>
        <v>40.972491508133828</v>
      </c>
      <c r="E189" s="385">
        <f t="shared" si="73"/>
        <v>41.8726050916597</v>
      </c>
      <c r="F189" s="385">
        <f t="shared" si="49"/>
        <v>41.873018598792463</v>
      </c>
      <c r="G189" s="110">
        <f t="shared" si="74"/>
        <v>0.66648248150448286</v>
      </c>
      <c r="H189" s="414" t="b">
        <f>Wh_hp&gt;='2018'!Maxi_hp</f>
        <v>1</v>
      </c>
      <c r="I189" s="390">
        <f>IF(H189,Wh_hp,'2018'!Maxi_hp)</f>
        <v>41.873018598792463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8.3102465971891526E-3</v>
      </c>
      <c r="M189" s="845"/>
      <c r="N189" s="845"/>
      <c r="O189" s="48">
        <f>IF(t&lt;Tnet,'2018'!Resal+('2018'!Salim-'2018'!Resal)*(1-EXP(('2018'!Tnet-t)/('2018'!Tau_j))),Resal+(Salim-Resal)*(1-EXP((Tnet-t)/(Tau_j))))*Salcycl</f>
        <v>2.1496479179060186E-2</v>
      </c>
      <c r="P189" s="169">
        <f>(INDEX(Models!$BJ189:$BT189,,T189)*(1-R189)+INDEX(Models!$BJ189:$BT189,,T189+1)*R189-ERP_i)*Q189*Ramure*Pc/MaxiM</f>
        <v>1.886194429967633E-5</v>
      </c>
      <c r="Q189" s="305">
        <f t="shared" si="51"/>
        <v>0.5</v>
      </c>
      <c r="R189" s="177">
        <f t="shared" si="52"/>
        <v>0.81724208559750933</v>
      </c>
      <c r="S189" s="811">
        <f t="shared" si="53"/>
        <v>-2</v>
      </c>
      <c r="T189" s="176">
        <f t="shared" si="54"/>
        <v>4</v>
      </c>
      <c r="U189" s="251">
        <f t="shared" si="55"/>
        <v>-1.1827579144024907</v>
      </c>
      <c r="V189" s="383">
        <f t="shared" si="56"/>
        <v>60.964295352369057</v>
      </c>
      <c r="W189" s="58"/>
      <c r="X189" s="157">
        <f t="shared" si="57"/>
        <v>43640</v>
      </c>
      <c r="Y189" s="385">
        <f t="shared" si="58"/>
        <v>40.631999999999998</v>
      </c>
      <c r="Z189" s="385">
        <f t="shared" si="59"/>
        <v>40.972491508133828</v>
      </c>
      <c r="AA189" s="386">
        <f t="shared" si="60"/>
        <v>41.8726050916597</v>
      </c>
      <c r="AB189" s="197">
        <f t="shared" si="61"/>
        <v>43640</v>
      </c>
      <c r="AC189" s="426">
        <f>IF(OR(t&lt;Tnet,NoTnet),'2018'!Resal_s+('2018'!Salim-'2018'!Resal_s)*(1-EXP(('2018'!Tnet_s-t)/'2018'!Tau_j)),Resal_s+(Salim-Resal_s)*(1-EXP((Tnet_s-t)/Tau_j)))*Salcycl</f>
        <v>2.1496479179060186E-2</v>
      </c>
      <c r="AD189" s="231">
        <f>(INDEX(Models!$BJ189:$BT189,,AH189)*(1-AF189)+INDEX(Models!$BJ189:$BT189,,AH189+1)*AF189-ERP_i)*AE189*Ramure*Pc/MaxiM</f>
        <v>1.886194429967633E-5</v>
      </c>
      <c r="AE189" s="305">
        <f t="shared" si="62"/>
        <v>0.5</v>
      </c>
      <c r="AF189" s="177">
        <f t="shared" si="63"/>
        <v>0.81724208559750933</v>
      </c>
      <c r="AG189" s="176">
        <f t="shared" si="64"/>
        <v>-2</v>
      </c>
      <c r="AH189" s="176">
        <f t="shared" si="65"/>
        <v>4</v>
      </c>
      <c r="AI189" s="225">
        <f t="shared" si="66"/>
        <v>-1.1827579144024907</v>
      </c>
      <c r="AJ189" s="265" t="b">
        <f t="shared" si="67"/>
        <v>0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7">
        <v>54.634999999999998</v>
      </c>
      <c r="C190" s="390"/>
      <c r="D190" s="393">
        <f t="shared" si="48"/>
        <v>55.094041745871266</v>
      </c>
      <c r="E190" s="385">
        <f t="shared" si="73"/>
        <v>56.307540455048347</v>
      </c>
      <c r="F190" s="385">
        <f t="shared" si="49"/>
        <v>56.30845434497148</v>
      </c>
      <c r="G190" s="110">
        <f t="shared" si="74"/>
        <v>0.89734874605712189</v>
      </c>
      <c r="H190" s="414" t="b">
        <f>Wh_hp&gt;='2018'!Maxi_hp</f>
        <v>1</v>
      </c>
      <c r="I190" s="390">
        <f>IF(H190,Wh_hp,'2018'!Maxi_hp)</f>
        <v>56.30845434497148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8.3319671478934154E-3</v>
      </c>
      <c r="M190" s="845"/>
      <c r="N190" s="845"/>
      <c r="O190" s="48">
        <f>IF(t&lt;Tnet,'2018'!Resal+('2018'!Salim-'2018'!Resal)*(1-EXP(('2018'!Tnet-t)/('2018'!Tau_j))),Resal+(Salim-Resal)*(1-EXP((Tnet-t)/(Tau_j))))*Salcycl</f>
        <v>2.1551264703984805E-2</v>
      </c>
      <c r="P190" s="169">
        <f>(INDEX(Models!$BJ190:$BT190,,T190)*(1-R190)+INDEX(Models!$BJ190:$BT190,,T190+1)*R190-ERP_i)*Q190*Ramure*Pc/MaxiM</f>
        <v>1.9019038016624369E-5</v>
      </c>
      <c r="Q190" s="305">
        <f t="shared" si="51"/>
        <v>0.5</v>
      </c>
      <c r="R190" s="177">
        <f t="shared" si="52"/>
        <v>0.82195673298848537</v>
      </c>
      <c r="S190" s="811">
        <f t="shared" si="53"/>
        <v>-2</v>
      </c>
      <c r="T190" s="176">
        <f t="shared" si="54"/>
        <v>4</v>
      </c>
      <c r="U190" s="251">
        <f t="shared" si="55"/>
        <v>-1.1780432670115146</v>
      </c>
      <c r="V190" s="383">
        <f t="shared" si="56"/>
        <v>60.884742818324376</v>
      </c>
      <c r="W190" s="58"/>
      <c r="X190" s="157">
        <f t="shared" si="57"/>
        <v>43641</v>
      </c>
      <c r="Y190" s="385">
        <f t="shared" si="58"/>
        <v>54.634999999999998</v>
      </c>
      <c r="Z190" s="385">
        <f t="shared" si="59"/>
        <v>55.094041745871266</v>
      </c>
      <c r="AA190" s="386">
        <f t="shared" si="60"/>
        <v>56.307540455048347</v>
      </c>
      <c r="AB190" s="197">
        <f t="shared" si="61"/>
        <v>43641</v>
      </c>
      <c r="AC190" s="426">
        <f>IF(OR(t&lt;Tnet,NoTnet),'2018'!Resal_s+('2018'!Salim-'2018'!Resal_s)*(1-EXP(('2018'!Tnet_s-t)/'2018'!Tau_j)),Resal_s+(Salim-Resal_s)*(1-EXP((Tnet_s-t)/Tau_j)))*Salcycl</f>
        <v>2.1551264703984805E-2</v>
      </c>
      <c r="AD190" s="231">
        <f>(INDEX(Models!$BJ190:$BT190,,AH190)*(1-AF190)+INDEX(Models!$BJ190:$BT190,,AH190+1)*AF190-ERP_i)*AE190*Ramure*Pc/MaxiM</f>
        <v>1.9019038016624369E-5</v>
      </c>
      <c r="AE190" s="305">
        <f t="shared" si="62"/>
        <v>0.5</v>
      </c>
      <c r="AF190" s="177">
        <f t="shared" si="63"/>
        <v>0.82195673298848537</v>
      </c>
      <c r="AG190" s="176">
        <f t="shared" si="64"/>
        <v>-2</v>
      </c>
      <c r="AH190" s="176">
        <f t="shared" si="65"/>
        <v>4</v>
      </c>
      <c r="AI190" s="225">
        <f t="shared" si="66"/>
        <v>-1.1780432670115146</v>
      </c>
      <c r="AJ190" s="265" t="b">
        <f t="shared" si="67"/>
        <v>0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7">
        <v>59.722999999999999</v>
      </c>
      <c r="C191" s="390"/>
      <c r="D191" s="393">
        <f t="shared" si="48"/>
        <v>60.226110086310676</v>
      </c>
      <c r="E191" s="385">
        <f t="shared" si="73"/>
        <v>61.556070947355686</v>
      </c>
      <c r="F191" s="385">
        <f t="shared" si="49"/>
        <v>61.557220620707511</v>
      </c>
      <c r="G191" s="110">
        <f t="shared" si="74"/>
        <v>0.98221811043825213</v>
      </c>
      <c r="H191" s="414" t="b">
        <f>Wh_hp&gt;='2018'!Maxi_hp</f>
        <v>1</v>
      </c>
      <c r="I191" s="390">
        <f>IF(H191,Wh_hp,'2018'!Maxi_hp)</f>
        <v>61.557220620707511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8.3536872228617831E-3</v>
      </c>
      <c r="M191" s="845"/>
      <c r="N191" s="845"/>
      <c r="O191" s="48">
        <f>IF(t&lt;Tnet,'2018'!Resal+('2018'!Salim-'2018'!Resal)*(1-EXP(('2018'!Tnet-t)/('2018'!Tau_j))),Resal+(Salim-Resal)*(1-EXP((Tnet-t)/(Tau_j))))*Salcycl</f>
        <v>2.1605681463692263E-2</v>
      </c>
      <c r="P191" s="169">
        <f>(INDEX(Models!$BJ191:$BT191,,T191)*(1-R191)+INDEX(Models!$BJ191:$BT191,,T191+1)*R191-ERP_i)*Q191*Ramure*Pc/MaxiM</f>
        <v>1.9163284787949339E-5</v>
      </c>
      <c r="Q191" s="305">
        <f t="shared" si="51"/>
        <v>0.5</v>
      </c>
      <c r="R191" s="177">
        <f t="shared" si="52"/>
        <v>0.8266138453293177</v>
      </c>
      <c r="S191" s="811">
        <f t="shared" si="53"/>
        <v>-2</v>
      </c>
      <c r="T191" s="176">
        <f t="shared" si="54"/>
        <v>4</v>
      </c>
      <c r="U191" s="251">
        <f t="shared" si="55"/>
        <v>-1.1733861546706823</v>
      </c>
      <c r="V191" s="383">
        <f t="shared" si="56"/>
        <v>60.804184215749011</v>
      </c>
      <c r="W191" s="58"/>
      <c r="X191" s="157">
        <f t="shared" si="57"/>
        <v>43642</v>
      </c>
      <c r="Y191" s="385">
        <f t="shared" si="58"/>
        <v>59.722999999999999</v>
      </c>
      <c r="Z191" s="385">
        <f t="shared" si="59"/>
        <v>60.226110086310676</v>
      </c>
      <c r="AA191" s="386">
        <f t="shared" si="60"/>
        <v>61.556070947355686</v>
      </c>
      <c r="AB191" s="197">
        <f t="shared" si="61"/>
        <v>43642</v>
      </c>
      <c r="AC191" s="426">
        <f>IF(OR(t&lt;Tnet,NoTnet),'2018'!Resal_s+('2018'!Salim-'2018'!Resal_s)*(1-EXP(('2018'!Tnet_s-t)/'2018'!Tau_j)),Resal_s+(Salim-Resal_s)*(1-EXP((Tnet_s-t)/Tau_j)))*Salcycl</f>
        <v>2.1605681463692263E-2</v>
      </c>
      <c r="AD191" s="231">
        <f>(INDEX(Models!$BJ191:$BT191,,AH191)*(1-AF191)+INDEX(Models!$BJ191:$BT191,,AH191+1)*AF191-ERP_i)*AE191*Ramure*Pc/MaxiM</f>
        <v>1.9163284787949339E-5</v>
      </c>
      <c r="AE191" s="305">
        <f t="shared" si="62"/>
        <v>0.5</v>
      </c>
      <c r="AF191" s="177">
        <f t="shared" si="63"/>
        <v>0.8266138453293177</v>
      </c>
      <c r="AG191" s="176">
        <f t="shared" si="64"/>
        <v>-2</v>
      </c>
      <c r="AH191" s="176">
        <f t="shared" si="65"/>
        <v>4</v>
      </c>
      <c r="AI191" s="225">
        <f t="shared" si="66"/>
        <v>-1.1733861546706823</v>
      </c>
      <c r="AJ191" s="265" t="b">
        <f t="shared" si="67"/>
        <v>0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7">
        <v>59.49</v>
      </c>
      <c r="C192" s="390"/>
      <c r="D192" s="393">
        <f t="shared" si="48"/>
        <v>59.992461269390503</v>
      </c>
      <c r="E192" s="385">
        <f t="shared" si="73"/>
        <v>61.320649965047409</v>
      </c>
      <c r="F192" s="385">
        <f t="shared" si="49"/>
        <v>61.321800192772599</v>
      </c>
      <c r="G192" s="110">
        <f t="shared" si="74"/>
        <v>0.97971485244424861</v>
      </c>
      <c r="H192" s="414" t="b">
        <f>Wh_hp&gt;='2018'!Maxi_hp</f>
        <v>1</v>
      </c>
      <c r="I192" s="390">
        <f>IF(H192,Wh_hp,'2018'!Maxi_hp)</f>
        <v>61.321800192772599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8.3754068221046918E-3</v>
      </c>
      <c r="M192" s="845"/>
      <c r="N192" s="845"/>
      <c r="O192" s="48">
        <f>IF(t&lt;Tnet,'2018'!Resal+('2018'!Salim-'2018'!Resal)*(1-EXP(('2018'!Tnet-t)/('2018'!Tau_j))),Resal+(Salim-Resal)*(1-EXP((Tnet-t)/(Tau_j))))*Salcycl</f>
        <v>2.1659729575827555E-2</v>
      </c>
      <c r="P192" s="169">
        <f>(INDEX(Models!$BJ192:$BT192,,T192)*(1-R192)+INDEX(Models!$BJ192:$BT192,,T192+1)*R192-ERP_i)*Q192*Ramure*Pc/MaxiM</f>
        <v>1.9317008270109144E-5</v>
      </c>
      <c r="Q192" s="305">
        <f t="shared" si="51"/>
        <v>0.5</v>
      </c>
      <c r="R192" s="177">
        <f t="shared" si="52"/>
        <v>0.83121061074703473</v>
      </c>
      <c r="S192" s="811">
        <f t="shared" si="53"/>
        <v>-2</v>
      </c>
      <c r="T192" s="176">
        <f t="shared" si="54"/>
        <v>4</v>
      </c>
      <c r="U192" s="251">
        <f t="shared" si="55"/>
        <v>-1.1687893892529653</v>
      </c>
      <c r="V192" s="383">
        <f t="shared" si="56"/>
        <v>60.721715660779971</v>
      </c>
      <c r="W192" s="58"/>
      <c r="X192" s="157">
        <f t="shared" si="57"/>
        <v>43643</v>
      </c>
      <c r="Y192" s="385">
        <f t="shared" si="58"/>
        <v>59.49</v>
      </c>
      <c r="Z192" s="385">
        <f t="shared" si="59"/>
        <v>59.992461269390503</v>
      </c>
      <c r="AA192" s="386">
        <f t="shared" si="60"/>
        <v>61.320649965047409</v>
      </c>
      <c r="AB192" s="197">
        <f t="shared" si="61"/>
        <v>43643</v>
      </c>
      <c r="AC192" s="426">
        <f>IF(OR(t&lt;Tnet,NoTnet),'2018'!Resal_s+('2018'!Salim-'2018'!Resal_s)*(1-EXP(('2018'!Tnet_s-t)/'2018'!Tau_j)),Resal_s+(Salim-Resal_s)*(1-EXP((Tnet_s-t)/Tau_j)))*Salcycl</f>
        <v>2.1659729575827555E-2</v>
      </c>
      <c r="AD192" s="231">
        <f>(INDEX(Models!$BJ192:$BT192,,AH192)*(1-AF192)+INDEX(Models!$BJ192:$BT192,,AH192+1)*AF192-ERP_i)*AE192*Ramure*Pc/MaxiM</f>
        <v>1.9317008270109144E-5</v>
      </c>
      <c r="AE192" s="305">
        <f t="shared" si="62"/>
        <v>0.5</v>
      </c>
      <c r="AF192" s="177">
        <f t="shared" si="63"/>
        <v>0.83121061074703473</v>
      </c>
      <c r="AG192" s="176">
        <f t="shared" si="64"/>
        <v>-2</v>
      </c>
      <c r="AH192" s="176">
        <f t="shared" si="65"/>
        <v>4</v>
      </c>
      <c r="AI192" s="225">
        <f t="shared" si="66"/>
        <v>-1.1687893892529653</v>
      </c>
      <c r="AJ192" s="265" t="b">
        <f t="shared" si="67"/>
        <v>0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7">
        <v>56.537999999999997</v>
      </c>
      <c r="C193" s="390"/>
      <c r="D193" s="393">
        <f t="shared" si="48"/>
        <v>57.016777057969833</v>
      </c>
      <c r="E193" s="385">
        <f t="shared" si="73"/>
        <v>58.282284198032222</v>
      </c>
      <c r="F193" s="385">
        <f t="shared" si="49"/>
        <v>58.28331019002183</v>
      </c>
      <c r="G193" s="110">
        <f t="shared" si="74"/>
        <v>0.93239407057263701</v>
      </c>
      <c r="H193" s="414" t="b">
        <f>Wh_hp&gt;='2018'!Maxi_hp</f>
        <v>1</v>
      </c>
      <c r="I193" s="390">
        <f>IF(H193,Wh_hp,'2018'!Maxi_hp)</f>
        <v>58.28331019002183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8.3971259456327996E-3</v>
      </c>
      <c r="M193" s="845"/>
      <c r="N193" s="845"/>
      <c r="O193" s="48">
        <f>IF(t&lt;Tnet,'2018'!Resal+('2018'!Salim-'2018'!Resal)*(1-EXP(('2018'!Tnet-t)/('2018'!Tau_j))),Resal+(Salim-Resal)*(1-EXP((Tnet-t)/(Tau_j))))*Salcycl</f>
        <v>2.1713410129267363E-2</v>
      </c>
      <c r="P193" s="169">
        <f>(INDEX(Models!$BJ193:$BT193,,T193)*(1-R193)+INDEX(Models!$BJ193:$BT193,,T193+1)*R193-ERP_i)*Q193*Ramure*Pc/MaxiM</f>
        <v>1.9485376706188521E-5</v>
      </c>
      <c r="Q193" s="305">
        <f t="shared" si="51"/>
        <v>0.5</v>
      </c>
      <c r="R193" s="177">
        <f t="shared" si="52"/>
        <v>0.83574439027786429</v>
      </c>
      <c r="S193" s="811">
        <f t="shared" si="53"/>
        <v>-2</v>
      </c>
      <c r="T193" s="176">
        <f t="shared" si="54"/>
        <v>4</v>
      </c>
      <c r="U193" s="251">
        <f t="shared" si="55"/>
        <v>-1.1642556097221357</v>
      </c>
      <c r="V193" s="383">
        <f t="shared" si="56"/>
        <v>60.637337137445797</v>
      </c>
      <c r="W193" s="58"/>
      <c r="X193" s="157">
        <f t="shared" si="57"/>
        <v>43644</v>
      </c>
      <c r="Y193" s="385">
        <f t="shared" si="58"/>
        <v>56.537999999999997</v>
      </c>
      <c r="Z193" s="385">
        <f t="shared" si="59"/>
        <v>57.016777057969833</v>
      </c>
      <c r="AA193" s="386">
        <f t="shared" si="60"/>
        <v>58.282284198032222</v>
      </c>
      <c r="AB193" s="197">
        <f t="shared" si="61"/>
        <v>43644</v>
      </c>
      <c r="AC193" s="426">
        <f>IF(OR(t&lt;Tnet,NoTnet),'2018'!Resal_s+('2018'!Salim-'2018'!Resal_s)*(1-EXP(('2018'!Tnet_s-t)/'2018'!Tau_j)),Resal_s+(Salim-Resal_s)*(1-EXP((Tnet_s-t)/Tau_j)))*Salcycl</f>
        <v>2.1713410129267363E-2</v>
      </c>
      <c r="AD193" s="231">
        <f>(INDEX(Models!$BJ193:$BT193,,AH193)*(1-AF193)+INDEX(Models!$BJ193:$BT193,,AH193+1)*AF193-ERP_i)*AE193*Ramure*Pc/MaxiM</f>
        <v>1.9485376706188521E-5</v>
      </c>
      <c r="AE193" s="305">
        <f t="shared" si="62"/>
        <v>0.5</v>
      </c>
      <c r="AF193" s="177">
        <f t="shared" si="63"/>
        <v>0.83574439027786429</v>
      </c>
      <c r="AG193" s="176">
        <f t="shared" si="64"/>
        <v>-2</v>
      </c>
      <c r="AH193" s="176">
        <f t="shared" si="65"/>
        <v>4</v>
      </c>
      <c r="AI193" s="225">
        <f t="shared" si="66"/>
        <v>-1.1642556097221357</v>
      </c>
      <c r="AJ193" s="265" t="b">
        <f t="shared" si="67"/>
        <v>0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7">
        <v>56.514000000000003</v>
      </c>
      <c r="C194" s="390"/>
      <c r="D194" s="393">
        <f t="shared" si="48"/>
        <v>56.993822131310594</v>
      </c>
      <c r="E194" s="385">
        <f t="shared" si="73"/>
        <v>58.26199496272254</v>
      </c>
      <c r="F194" s="385">
        <f t="shared" si="49"/>
        <v>58.263031779023748</v>
      </c>
      <c r="G194" s="110">
        <f t="shared" si="74"/>
        <v>0.9333264278079304</v>
      </c>
      <c r="H194" s="414" t="b">
        <f>Wh_hp&gt;='2018'!Maxi_hp</f>
        <v>1</v>
      </c>
      <c r="I194" s="390">
        <f>IF(H194,Wh_hp,'2018'!Maxi_hp)</f>
        <v>58.263031779023748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8.4188445934562095E-3</v>
      </c>
      <c r="M194" s="845"/>
      <c r="N194" s="845"/>
      <c r="O194" s="48">
        <f>IF(t&lt;Tnet,'2018'!Resal+('2018'!Salim-'2018'!Resal)*(1-EXP(('2018'!Tnet-t)/('2018'!Tau_j))),Resal+(Salim-Resal)*(1-EXP((Tnet-t)/(Tau_j))))*Salcycl</f>
        <v>2.1766725156310854E-2</v>
      </c>
      <c r="P194" s="169">
        <f>(INDEX(Models!$BJ194:$BT194,,T194)*(1-R194)+INDEX(Models!$BJ194:$BT194,,T194+1)*R194-ERP_i)*Q194*Ramure*Pc/MaxiM</f>
        <v>1.9668804651242984E-5</v>
      </c>
      <c r="Q194" s="305">
        <f t="shared" si="51"/>
        <v>0.5</v>
      </c>
      <c r="R194" s="177">
        <f t="shared" si="52"/>
        <v>0.84021272160963667</v>
      </c>
      <c r="S194" s="811">
        <f t="shared" si="53"/>
        <v>-2</v>
      </c>
      <c r="T194" s="176">
        <f t="shared" si="54"/>
        <v>4</v>
      </c>
      <c r="U194" s="251">
        <f t="shared" si="55"/>
        <v>-1.1597872783903633</v>
      </c>
      <c r="V194" s="383">
        <f t="shared" si="56"/>
        <v>60.551048853864209</v>
      </c>
      <c r="W194" s="58"/>
      <c r="X194" s="157">
        <f t="shared" si="57"/>
        <v>43645</v>
      </c>
      <c r="Y194" s="385">
        <f t="shared" si="58"/>
        <v>56.514000000000003</v>
      </c>
      <c r="Z194" s="385">
        <f t="shared" si="59"/>
        <v>56.993822131310594</v>
      </c>
      <c r="AA194" s="386">
        <f t="shared" si="60"/>
        <v>58.26199496272254</v>
      </c>
      <c r="AB194" s="197">
        <f t="shared" si="61"/>
        <v>43645</v>
      </c>
      <c r="AC194" s="426">
        <f>IF(OR(t&lt;Tnet,NoTnet),'2018'!Resal_s+('2018'!Salim-'2018'!Resal_s)*(1-EXP(('2018'!Tnet_s-t)/'2018'!Tau_j)),Resal_s+(Salim-Resal_s)*(1-EXP((Tnet_s-t)/Tau_j)))*Salcycl</f>
        <v>2.1766725156310854E-2</v>
      </c>
      <c r="AD194" s="231">
        <f>(INDEX(Models!$BJ194:$BT194,,AH194)*(1-AF194)+INDEX(Models!$BJ194:$BT194,,AH194+1)*AF194-ERP_i)*AE194*Ramure*Pc/MaxiM</f>
        <v>1.9668804651242984E-5</v>
      </c>
      <c r="AE194" s="305">
        <f t="shared" si="62"/>
        <v>0.5</v>
      </c>
      <c r="AF194" s="177">
        <f t="shared" si="63"/>
        <v>0.84021272160963667</v>
      </c>
      <c r="AG194" s="176">
        <f t="shared" si="64"/>
        <v>-2</v>
      </c>
      <c r="AH194" s="176">
        <f t="shared" si="65"/>
        <v>4</v>
      </c>
      <c r="AI194" s="225">
        <f t="shared" si="66"/>
        <v>-1.1597872783903633</v>
      </c>
      <c r="AJ194" s="265" t="b">
        <f t="shared" si="67"/>
        <v>0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7">
        <v>50.889000000000003</v>
      </c>
      <c r="C195" s="390"/>
      <c r="D195" s="393">
        <f t="shared" si="48"/>
        <v>51.322188150350229</v>
      </c>
      <c r="E195" s="385">
        <f t="shared" si="73"/>
        <v>52.467001201181574</v>
      </c>
      <c r="F195" s="385">
        <f t="shared" si="49"/>
        <v>52.467807817786799</v>
      </c>
      <c r="G195" s="110">
        <f t="shared" si="74"/>
        <v>0.84165351923900666</v>
      </c>
      <c r="H195" s="414" t="b">
        <f>Wh_hp&gt;='2018'!Maxi_hp</f>
        <v>1</v>
      </c>
      <c r="I195" s="390">
        <f>IF(H195,Wh_hp,'2018'!Maxi_hp)</f>
        <v>52.467807817786799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8.4405627655855797E-3</v>
      </c>
      <c r="M195" s="845"/>
      <c r="N195" s="845"/>
      <c r="O195" s="48">
        <f>IF(t&lt;Tnet,'2018'!Resal+('2018'!Salim-'2018'!Resal)*(1-EXP(('2018'!Tnet-t)/('2018'!Tau_j))),Resal+(Salim-Resal)*(1-EXP((Tnet-t)/(Tau_j))))*Salcycl</f>
        <v>2.1819677599671208E-2</v>
      </c>
      <c r="P195" s="169">
        <f>(INDEX(Models!$BJ195:$BT195,,T195)*(1-R195)+INDEX(Models!$BJ195:$BT195,,T195+1)*R195-ERP_i)*Q195*Ramure*Pc/MaxiM</f>
        <v>1.9867703821946628E-5</v>
      </c>
      <c r="Q195" s="305">
        <f t="shared" si="51"/>
        <v>0.5</v>
      </c>
      <c r="R195" s="177">
        <f t="shared" si="52"/>
        <v>0.84461332185519211</v>
      </c>
      <c r="S195" s="811">
        <f t="shared" si="53"/>
        <v>-2</v>
      </c>
      <c r="T195" s="176">
        <f t="shared" si="54"/>
        <v>4</v>
      </c>
      <c r="U195" s="251">
        <f t="shared" si="55"/>
        <v>-1.1553866781448079</v>
      </c>
      <c r="V195" s="383">
        <f t="shared" si="56"/>
        <v>60.462850959901111</v>
      </c>
      <c r="W195" s="58"/>
      <c r="X195" s="157">
        <f t="shared" si="57"/>
        <v>43646</v>
      </c>
      <c r="Y195" s="385">
        <f t="shared" si="58"/>
        <v>50.889000000000003</v>
      </c>
      <c r="Z195" s="385">
        <f t="shared" si="59"/>
        <v>51.322188150350229</v>
      </c>
      <c r="AA195" s="386">
        <f t="shared" si="60"/>
        <v>52.467001201181574</v>
      </c>
      <c r="AB195" s="197">
        <f t="shared" si="61"/>
        <v>43646</v>
      </c>
      <c r="AC195" s="426">
        <f>IF(OR(t&lt;Tnet,NoTnet),'2018'!Resal_s+('2018'!Salim-'2018'!Resal_s)*(1-EXP(('2018'!Tnet_s-t)/'2018'!Tau_j)),Resal_s+(Salim-Resal_s)*(1-EXP((Tnet_s-t)/Tau_j)))*Salcycl</f>
        <v>2.1819677599671208E-2</v>
      </c>
      <c r="AD195" s="231">
        <f>(INDEX(Models!$BJ195:$BT195,,AH195)*(1-AF195)+INDEX(Models!$BJ195:$BT195,,AH195+1)*AF195-ERP_i)*AE195*Ramure*Pc/MaxiM</f>
        <v>1.9867703821946628E-5</v>
      </c>
      <c r="AE195" s="305">
        <f t="shared" si="62"/>
        <v>0.5</v>
      </c>
      <c r="AF195" s="177">
        <f t="shared" si="63"/>
        <v>0.84461332185519211</v>
      </c>
      <c r="AG195" s="176">
        <f t="shared" si="64"/>
        <v>-2</v>
      </c>
      <c r="AH195" s="176">
        <f t="shared" si="65"/>
        <v>4</v>
      </c>
      <c r="AI195" s="225">
        <f t="shared" si="66"/>
        <v>-1.1553866781448079</v>
      </c>
      <c r="AJ195" s="265" t="b">
        <f t="shared" si="67"/>
        <v>0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7">
        <v>18.844000000000001</v>
      </c>
      <c r="C196" s="390"/>
      <c r="D196" s="393">
        <f t="shared" si="48"/>
        <v>19.004824152106714</v>
      </c>
      <c r="E196" s="385">
        <f t="shared" si="73"/>
        <v>19.429797963984299</v>
      </c>
      <c r="F196" s="385">
        <f t="shared" si="49"/>
        <v>19.429804724236973</v>
      </c>
      <c r="G196" s="110">
        <f t="shared" si="74"/>
        <v>0.31212144775783374</v>
      </c>
      <c r="H196" s="414" t="b">
        <f>Wh_hp&gt;='2018'!Maxi_hp</f>
        <v>1</v>
      </c>
      <c r="I196" s="390">
        <f>IF(H196,Wh_hp,'2018'!Maxi_hp)</f>
        <v>19.429804724236973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8.4622804620312353E-3</v>
      </c>
      <c r="M196" s="845"/>
      <c r="N196" s="845"/>
      <c r="O196" s="48">
        <f>IF(t&lt;Tnet,'2018'!Resal+('2018'!Salim-'2018'!Resal)*(1-EXP(('2018'!Tnet-t)/('2018'!Tau_j))),Resal+(Salim-Resal)*(1-EXP((Tnet-t)/(Tau_j))))*Salcycl</f>
        <v>2.1872271274530477E-2</v>
      </c>
      <c r="P196" s="169">
        <f>(INDEX(Models!$BJ196:$BT196,,T196)*(1-R196)+INDEX(Models!$BJ196:$BT196,,T196+1)*R196-ERP_i)*Q196*Ramure*Pc/MaxiM</f>
        <v>2.0082482697669821E-5</v>
      </c>
      <c r="Q196" s="305">
        <f t="shared" si="51"/>
        <v>0.5</v>
      </c>
      <c r="R196" s="177">
        <f t="shared" si="52"/>
        <v>0.84894408937613508</v>
      </c>
      <c r="S196" s="811">
        <f t="shared" si="53"/>
        <v>-2</v>
      </c>
      <c r="T196" s="176">
        <f t="shared" si="54"/>
        <v>4</v>
      </c>
      <c r="U196" s="251">
        <f t="shared" si="55"/>
        <v>-1.1510559106238649</v>
      </c>
      <c r="V196" s="383">
        <f t="shared" si="56"/>
        <v>60.372743550194315</v>
      </c>
      <c r="W196" s="58"/>
      <c r="X196" s="157">
        <f t="shared" si="57"/>
        <v>43647</v>
      </c>
      <c r="Y196" s="385">
        <f t="shared" si="58"/>
        <v>18.844000000000001</v>
      </c>
      <c r="Z196" s="385">
        <f t="shared" si="59"/>
        <v>19.004824152106714</v>
      </c>
      <c r="AA196" s="386">
        <f t="shared" si="60"/>
        <v>19.429797963984299</v>
      </c>
      <c r="AB196" s="197">
        <f t="shared" si="61"/>
        <v>43647</v>
      </c>
      <c r="AC196" s="426">
        <f>IF(OR(t&lt;Tnet,NoTnet),'2018'!Resal_s+('2018'!Salim-'2018'!Resal_s)*(1-EXP(('2018'!Tnet_s-t)/'2018'!Tau_j)),Resal_s+(Salim-Resal_s)*(1-EXP((Tnet_s-t)/Tau_j)))*Salcycl</f>
        <v>2.1872271274530477E-2</v>
      </c>
      <c r="AD196" s="231">
        <f>(INDEX(Models!$BJ196:$BT196,,AH196)*(1-AF196)+INDEX(Models!$BJ196:$BT196,,AH196+1)*AF196-ERP_i)*AE196*Ramure*Pc/MaxiM</f>
        <v>2.0082482697669821E-5</v>
      </c>
      <c r="AE196" s="305">
        <f t="shared" si="62"/>
        <v>0.5</v>
      </c>
      <c r="AF196" s="177">
        <f t="shared" si="63"/>
        <v>0.84894408937613508</v>
      </c>
      <c r="AG196" s="176">
        <f t="shared" si="64"/>
        <v>-2</v>
      </c>
      <c r="AH196" s="176">
        <f t="shared" si="65"/>
        <v>4</v>
      </c>
      <c r="AI196" s="225">
        <f t="shared" si="66"/>
        <v>-1.1510559106238649</v>
      </c>
      <c r="AJ196" s="265" t="b">
        <f t="shared" si="67"/>
        <v>0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7">
        <v>31.425999999999998</v>
      </c>
      <c r="C197" s="390"/>
      <c r="D197" s="393">
        <f t="shared" si="48"/>
        <v>31.69489945352036</v>
      </c>
      <c r="E197" s="385">
        <f t="shared" si="73"/>
        <v>32.405371368917415</v>
      </c>
      <c r="F197" s="385">
        <f t="shared" si="49"/>
        <v>32.405579502835508</v>
      </c>
      <c r="G197" s="110">
        <f t="shared" si="74"/>
        <v>0.5213202495278948</v>
      </c>
      <c r="H197" s="414" t="b">
        <f>Wh_hp&gt;='2018'!Maxi_hp</f>
        <v>1</v>
      </c>
      <c r="I197" s="390">
        <f>IF(H197,Wh_hp,'2018'!Maxi_hp)</f>
        <v>32.405579502835508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8.4839976828036123E-3</v>
      </c>
      <c r="M197" s="845"/>
      <c r="N197" s="845"/>
      <c r="O197" s="48">
        <f>IF(t&lt;Tnet,'2018'!Resal+('2018'!Salim-'2018'!Resal)*(1-EXP(('2018'!Tnet-t)/('2018'!Tau_j))),Resal+(Salim-Resal)*(1-EXP((Tnet-t)/(Tau_j))))*Salcycl</f>
        <v>2.1924510825959042E-2</v>
      </c>
      <c r="P197" s="169">
        <f>(INDEX(Models!$BJ197:$BT197,,T197)*(1-R197)+INDEX(Models!$BJ197:$BT197,,T197+1)*R197-ERP_i)*Q197*Ramure*Pc/MaxiM</f>
        <v>2.0313546208066536E-5</v>
      </c>
      <c r="Q197" s="305">
        <f t="shared" si="51"/>
        <v>0.5</v>
      </c>
      <c r="R197" s="177">
        <f t="shared" si="52"/>
        <v>0.85320310468379557</v>
      </c>
      <c r="S197" s="811">
        <f t="shared" si="53"/>
        <v>-2</v>
      </c>
      <c r="T197" s="176">
        <f t="shared" si="54"/>
        <v>4</v>
      </c>
      <c r="U197" s="251">
        <f t="shared" si="55"/>
        <v>-1.1467968953162044</v>
      </c>
      <c r="V197" s="383">
        <f t="shared" si="56"/>
        <v>60.280726663593249</v>
      </c>
      <c r="W197" s="58"/>
      <c r="X197" s="157">
        <f t="shared" si="57"/>
        <v>43648</v>
      </c>
      <c r="Y197" s="385">
        <f t="shared" si="58"/>
        <v>31.425999999999998</v>
      </c>
      <c r="Z197" s="385">
        <f t="shared" si="59"/>
        <v>31.69489945352036</v>
      </c>
      <c r="AA197" s="386">
        <f t="shared" si="60"/>
        <v>32.405371368917415</v>
      </c>
      <c r="AB197" s="197">
        <f t="shared" si="61"/>
        <v>43648</v>
      </c>
      <c r="AC197" s="426">
        <f>IF(OR(t&lt;Tnet,NoTnet),'2018'!Resal_s+('2018'!Salim-'2018'!Resal_s)*(1-EXP(('2018'!Tnet_s-t)/'2018'!Tau_j)),Resal_s+(Salim-Resal_s)*(1-EXP((Tnet_s-t)/Tau_j)))*Salcycl</f>
        <v>2.1924510825959042E-2</v>
      </c>
      <c r="AD197" s="231">
        <f>(INDEX(Models!$BJ197:$BT197,,AH197)*(1-AF197)+INDEX(Models!$BJ197:$BT197,,AH197+1)*AF197-ERP_i)*AE197*Ramure*Pc/MaxiM</f>
        <v>2.0313546208066536E-5</v>
      </c>
      <c r="AE197" s="305">
        <f t="shared" si="62"/>
        <v>0.5</v>
      </c>
      <c r="AF197" s="177">
        <f t="shared" si="63"/>
        <v>0.85320310468379557</v>
      </c>
      <c r="AG197" s="176">
        <f t="shared" si="64"/>
        <v>-2</v>
      </c>
      <c r="AH197" s="176">
        <f t="shared" si="65"/>
        <v>4</v>
      </c>
      <c r="AI197" s="225">
        <f t="shared" si="66"/>
        <v>-1.1467968953162044</v>
      </c>
      <c r="AJ197" s="265" t="b">
        <f t="shared" si="67"/>
        <v>0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7">
        <v>52.134</v>
      </c>
      <c r="C198" s="390"/>
      <c r="D198" s="393">
        <f t="shared" si="48"/>
        <v>52.58124102038466</v>
      </c>
      <c r="E198" s="385">
        <f t="shared" si="73"/>
        <v>53.762752873055064</v>
      </c>
      <c r="F198" s="385">
        <f t="shared" si="49"/>
        <v>53.763656051916264</v>
      </c>
      <c r="G198" s="110">
        <f t="shared" si="74"/>
        <v>0.86619995755369716</v>
      </c>
      <c r="H198" s="414" t="b">
        <f>Wh_hp&gt;='2018'!Maxi_hp</f>
        <v>1</v>
      </c>
      <c r="I198" s="390">
        <f>IF(H198,Wh_hp,'2018'!Maxi_hp)</f>
        <v>53.763656051916264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8.5057144279130359E-3</v>
      </c>
      <c r="M198" s="845"/>
      <c r="N198" s="845"/>
      <c r="O198" s="48">
        <f>IF(t&lt;Tnet,'2018'!Resal+('2018'!Salim-'2018'!Resal)*(1-EXP(('2018'!Tnet-t)/('2018'!Tau_j))),Resal+(Salim-Resal)*(1-EXP((Tnet-t)/(Tau_j))))*Salcycl</f>
        <v>2.197640168203803E-2</v>
      </c>
      <c r="P198" s="169">
        <f>(INDEX(Models!$BJ198:$BT198,,T198)*(1-R198)+INDEX(Models!$BJ198:$BT198,,T198+1)*R198-ERP_i)*Q198*Ramure*Pc/MaxiM</f>
        <v>2.0768758691050887E-5</v>
      </c>
      <c r="Q198" s="305">
        <f t="shared" si="51"/>
        <v>0.5</v>
      </c>
      <c r="R198" s="177">
        <f t="shared" si="52"/>
        <v>0.85738863045109204</v>
      </c>
      <c r="S198" s="811">
        <f t="shared" si="53"/>
        <v>-2</v>
      </c>
      <c r="T198" s="176">
        <f t="shared" si="54"/>
        <v>4</v>
      </c>
      <c r="U198" s="251">
        <f t="shared" si="55"/>
        <v>-1.142611369548908</v>
      </c>
      <c r="V198" s="383">
        <f t="shared" si="56"/>
        <v>60.186787802974351</v>
      </c>
      <c r="W198" s="58"/>
      <c r="X198" s="157">
        <f t="shared" si="57"/>
        <v>43649</v>
      </c>
      <c r="Y198" s="385">
        <f t="shared" si="58"/>
        <v>52.134</v>
      </c>
      <c r="Z198" s="385">
        <f t="shared" si="59"/>
        <v>52.58124102038466</v>
      </c>
      <c r="AA198" s="386">
        <f t="shared" si="60"/>
        <v>53.762752873055064</v>
      </c>
      <c r="AB198" s="197">
        <f t="shared" si="61"/>
        <v>43649</v>
      </c>
      <c r="AC198" s="426">
        <f>IF(OR(t&lt;Tnet,NoTnet),'2018'!Resal_s+('2018'!Salim-'2018'!Resal_s)*(1-EXP(('2018'!Tnet_s-t)/'2018'!Tau_j)),Resal_s+(Salim-Resal_s)*(1-EXP((Tnet_s-t)/Tau_j)))*Salcycl</f>
        <v>2.197640168203803E-2</v>
      </c>
      <c r="AD198" s="231">
        <f>(INDEX(Models!$BJ198:$BT198,,AH198)*(1-AF198)+INDEX(Models!$BJ198:$BT198,,AH198+1)*AF198-ERP_i)*AE198*Ramure*Pc/MaxiM</f>
        <v>2.0768758691050887E-5</v>
      </c>
      <c r="AE198" s="305">
        <f t="shared" si="62"/>
        <v>0.5</v>
      </c>
      <c r="AF198" s="177">
        <f t="shared" si="63"/>
        <v>0.85738863045109204</v>
      </c>
      <c r="AG198" s="176">
        <f t="shared" si="64"/>
        <v>-2</v>
      </c>
      <c r="AH198" s="176">
        <f t="shared" si="65"/>
        <v>4</v>
      </c>
      <c r="AI198" s="225">
        <f t="shared" si="66"/>
        <v>-1.142611369548908</v>
      </c>
      <c r="AJ198" s="265" t="b">
        <f t="shared" si="67"/>
        <v>0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7">
        <v>57.203000000000003</v>
      </c>
      <c r="C199" s="390"/>
      <c r="D199" s="393">
        <f t="shared" si="48"/>
        <v>57.69499002905826</v>
      </c>
      <c r="E199" s="385">
        <f t="shared" si="73"/>
        <v>58.994518329269795</v>
      </c>
      <c r="F199" s="385">
        <f t="shared" si="49"/>
        <v>58.995697367701958</v>
      </c>
      <c r="G199" s="110">
        <f t="shared" si="74"/>
        <v>0.95193932217810484</v>
      </c>
      <c r="H199" s="414" t="b">
        <f>Wh_hp&gt;='2018'!Maxi_hp</f>
        <v>1</v>
      </c>
      <c r="I199" s="390">
        <f>IF(H199,Wh_hp,'2018'!Maxi_hp)</f>
        <v>58.995697367701958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8.5274306973701641E-3</v>
      </c>
      <c r="M199" s="845"/>
      <c r="N199" s="845"/>
      <c r="O199" s="48">
        <f>IF(t&lt;Tnet,'2018'!Resal+('2018'!Salim-'2018'!Resal)*(1-EXP(('2018'!Tnet-t)/('2018'!Tau_j))),Resal+(Salim-Resal)*(1-EXP((Tnet-t)/(Tau_j))))*Salcycl</f>
        <v>2.2027950003056081E-2</v>
      </c>
      <c r="P199" s="169">
        <f>(INDEX(Models!$BJ199:$BT199,,T199)*(1-R199)+INDEX(Models!$BJ199:$BT199,,T199+1)*R199-ERP_i)*Q199*Ramure*Pc/MaxiM</f>
        <v>2.1458410627070009E-5</v>
      </c>
      <c r="Q199" s="305">
        <f t="shared" si="51"/>
        <v>0.5</v>
      </c>
      <c r="R199" s="177">
        <f t="shared" si="52"/>
        <v>0.86149911067504936</v>
      </c>
      <c r="S199" s="811">
        <f t="shared" si="53"/>
        <v>-2</v>
      </c>
      <c r="T199" s="176">
        <f t="shared" si="54"/>
        <v>4</v>
      </c>
      <c r="U199" s="251">
        <f t="shared" si="55"/>
        <v>-1.1385008893249506</v>
      </c>
      <c r="V199" s="383">
        <f t="shared" si="56"/>
        <v>60.090926376543955</v>
      </c>
      <c r="W199" s="58"/>
      <c r="X199" s="157">
        <f t="shared" si="57"/>
        <v>43650</v>
      </c>
      <c r="Y199" s="385">
        <f t="shared" si="58"/>
        <v>57.203000000000003</v>
      </c>
      <c r="Z199" s="385">
        <f t="shared" si="59"/>
        <v>57.69499002905826</v>
      </c>
      <c r="AA199" s="386">
        <f t="shared" si="60"/>
        <v>58.994518329269795</v>
      </c>
      <c r="AB199" s="197">
        <f t="shared" si="61"/>
        <v>43650</v>
      </c>
      <c r="AC199" s="426">
        <f>IF(OR(t&lt;Tnet,NoTnet),'2018'!Resal_s+('2018'!Salim-'2018'!Resal_s)*(1-EXP(('2018'!Tnet_s-t)/'2018'!Tau_j)),Resal_s+(Salim-Resal_s)*(1-EXP((Tnet_s-t)/Tau_j)))*Salcycl</f>
        <v>2.2027950003056081E-2</v>
      </c>
      <c r="AD199" s="231">
        <f>(INDEX(Models!$BJ199:$BT199,,AH199)*(1-AF199)+INDEX(Models!$BJ199:$BT199,,AH199+1)*AF199-ERP_i)*AE199*Ramure*Pc/MaxiM</f>
        <v>2.1458410627070009E-5</v>
      </c>
      <c r="AE199" s="305">
        <f t="shared" si="62"/>
        <v>0.5</v>
      </c>
      <c r="AF199" s="177">
        <f t="shared" si="63"/>
        <v>0.86149911067504936</v>
      </c>
      <c r="AG199" s="176">
        <f t="shared" si="64"/>
        <v>-2</v>
      </c>
      <c r="AH199" s="176">
        <f t="shared" si="65"/>
        <v>4</v>
      </c>
      <c r="AI199" s="225">
        <f t="shared" si="66"/>
        <v>-1.1385008893249506</v>
      </c>
      <c r="AJ199" s="265" t="b">
        <f t="shared" si="67"/>
        <v>0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7">
        <v>56.540999999999997</v>
      </c>
      <c r="C200" s="390"/>
      <c r="D200" s="393">
        <f t="shared" si="48"/>
        <v>57.028545388707251</v>
      </c>
      <c r="E200" s="385">
        <f t="shared" si="73"/>
        <v>58.316116406635018</v>
      </c>
      <c r="F200" s="385">
        <f t="shared" si="49"/>
        <v>58.317314668186953</v>
      </c>
      <c r="G200" s="110">
        <f t="shared" si="74"/>
        <v>0.9424559873925189</v>
      </c>
      <c r="H200" s="414" t="b">
        <f>Wh_hp&gt;='2018'!Maxi_hp</f>
        <v>1</v>
      </c>
      <c r="I200" s="390">
        <f>IF(H200,Wh_hp,'2018'!Maxi_hp)</f>
        <v>58.317314668186953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8.5491464911851001E-3</v>
      </c>
      <c r="M200" s="845"/>
      <c r="N200" s="845"/>
      <c r="O200" s="48">
        <f>IF(t&lt;Tnet,'2018'!Resal+('2018'!Salim-'2018'!Resal)*(1-EXP(('2018'!Tnet-t)/('2018'!Tau_j))),Resal+(Salim-Resal)*(1-EXP((Tnet-t)/(Tau_j))))*Salcycl</f>
        <v>2.2079162627181955E-2</v>
      </c>
      <c r="P200" s="169">
        <f>(INDEX(Models!$BJ200:$BT200,,T200)*(1-R200)+INDEX(Models!$BJ200:$BT200,,T200+1)*R200-ERP_i)*Q200*Ramure*Pc/MaxiM</f>
        <v>2.2387602812723062E-5</v>
      </c>
      <c r="Q200" s="305">
        <f t="shared" si="51"/>
        <v>0.5</v>
      </c>
      <c r="R200" s="177">
        <f t="shared" si="52"/>
        <v>0.86553316903502298</v>
      </c>
      <c r="S200" s="811">
        <f t="shared" si="53"/>
        <v>-2</v>
      </c>
      <c r="T200" s="176">
        <f t="shared" si="54"/>
        <v>4</v>
      </c>
      <c r="U200" s="251">
        <f t="shared" si="55"/>
        <v>-1.134466830964977</v>
      </c>
      <c r="V200" s="383">
        <f t="shared" si="56"/>
        <v>59.993142067014588</v>
      </c>
      <c r="W200" s="58"/>
      <c r="X200" s="157">
        <f t="shared" si="57"/>
        <v>43651</v>
      </c>
      <c r="Y200" s="385">
        <f t="shared" si="58"/>
        <v>56.540999999999997</v>
      </c>
      <c r="Z200" s="385">
        <f t="shared" si="59"/>
        <v>57.028545388707251</v>
      </c>
      <c r="AA200" s="386">
        <f t="shared" si="60"/>
        <v>58.316116406635018</v>
      </c>
      <c r="AB200" s="197">
        <f t="shared" si="61"/>
        <v>43651</v>
      </c>
      <c r="AC200" s="426">
        <f>IF(OR(t&lt;Tnet,NoTnet),'2018'!Resal_s+('2018'!Salim-'2018'!Resal_s)*(1-EXP(('2018'!Tnet_s-t)/'2018'!Tau_j)),Resal_s+(Salim-Resal_s)*(1-EXP((Tnet_s-t)/Tau_j)))*Salcycl</f>
        <v>2.2079162627181955E-2</v>
      </c>
      <c r="AD200" s="231">
        <f>(INDEX(Models!$BJ200:$BT200,,AH200)*(1-AF200)+INDEX(Models!$BJ200:$BT200,,AH200+1)*AF200-ERP_i)*AE200*Ramure*Pc/MaxiM</f>
        <v>2.2387602812723062E-5</v>
      </c>
      <c r="AE200" s="305">
        <f t="shared" si="62"/>
        <v>0.5</v>
      </c>
      <c r="AF200" s="177">
        <f t="shared" si="63"/>
        <v>0.86553316903502298</v>
      </c>
      <c r="AG200" s="176">
        <f t="shared" si="64"/>
        <v>-2</v>
      </c>
      <c r="AH200" s="176">
        <f t="shared" si="65"/>
        <v>4</v>
      </c>
      <c r="AI200" s="225">
        <f t="shared" si="66"/>
        <v>-1.134466830964977</v>
      </c>
      <c r="AJ200" s="265" t="b">
        <f t="shared" si="67"/>
        <v>0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7">
        <v>54.552999999999997</v>
      </c>
      <c r="C201" s="390"/>
      <c r="D201" s="393">
        <f t="shared" si="48"/>
        <v>55.024608313973694</v>
      </c>
      <c r="E201" s="385">
        <f t="shared" si="73"/>
        <v>56.269863028205265</v>
      </c>
      <c r="F201" s="385">
        <f t="shared" si="49"/>
        <v>56.271019962523255</v>
      </c>
      <c r="G201" s="110">
        <f t="shared" si="74"/>
        <v>0.91083165786082454</v>
      </c>
      <c r="H201" s="414" t="b">
        <f>Wh_hp&gt;='2018'!Maxi_hp</f>
        <v>1</v>
      </c>
      <c r="I201" s="390">
        <f>IF(H201,Wh_hp,'2018'!Maxi_hp)</f>
        <v>56.271019962523255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8.5708618093685018E-3</v>
      </c>
      <c r="M201" s="845"/>
      <c r="N201" s="845"/>
      <c r="O201" s="48">
        <f>IF(t&lt;Tnet,'2018'!Resal+('2018'!Salim-'2018'!Resal)*(1-EXP(('2018'!Tnet-t)/('2018'!Tau_j))),Resal+(Salim-Resal)*(1-EXP((Tnet-t)/(Tau_j))))*Salcycl</f>
        <v>2.213004701304121E-2</v>
      </c>
      <c r="P201" s="169">
        <f>(INDEX(Models!$BJ201:$BT201,,T201)*(1-R201)+INDEX(Models!$BJ201:$BT201,,T201+1)*R201-ERP_i)*Q201*Ramure*Pc/MaxiM</f>
        <v>2.3561258034507071E-5</v>
      </c>
      <c r="Q201" s="305">
        <f t="shared" si="51"/>
        <v>0.5</v>
      </c>
      <c r="R201" s="177">
        <f t="shared" si="52"/>
        <v>0.86948960649614926</v>
      </c>
      <c r="S201" s="811">
        <f t="shared" si="53"/>
        <v>-2</v>
      </c>
      <c r="T201" s="176">
        <f t="shared" si="54"/>
        <v>4</v>
      </c>
      <c r="U201" s="251">
        <f t="shared" si="55"/>
        <v>-1.1305103935038507</v>
      </c>
      <c r="V201" s="383">
        <f t="shared" si="56"/>
        <v>59.893434533455647</v>
      </c>
      <c r="W201" s="58"/>
      <c r="X201" s="157">
        <f t="shared" si="57"/>
        <v>43652</v>
      </c>
      <c r="Y201" s="385">
        <f t="shared" si="58"/>
        <v>54.552999999999997</v>
      </c>
      <c r="Z201" s="385">
        <f t="shared" si="59"/>
        <v>55.024608313973694</v>
      </c>
      <c r="AA201" s="386">
        <f t="shared" si="60"/>
        <v>56.269863028205265</v>
      </c>
      <c r="AB201" s="197">
        <f t="shared" si="61"/>
        <v>43652</v>
      </c>
      <c r="AC201" s="426">
        <f>IF(OR(t&lt;Tnet,NoTnet),'2018'!Resal_s+('2018'!Salim-'2018'!Resal_s)*(1-EXP(('2018'!Tnet_s-t)/'2018'!Tau_j)),Resal_s+(Salim-Resal_s)*(1-EXP((Tnet_s-t)/Tau_j)))*Salcycl</f>
        <v>2.213004701304121E-2</v>
      </c>
      <c r="AD201" s="231">
        <f>(INDEX(Models!$BJ201:$BT201,,AH201)*(1-AF201)+INDEX(Models!$BJ201:$BT201,,AH201+1)*AF201-ERP_i)*AE201*Ramure*Pc/MaxiM</f>
        <v>2.3561258034507071E-5</v>
      </c>
      <c r="AE201" s="305">
        <f t="shared" si="62"/>
        <v>0.5</v>
      </c>
      <c r="AF201" s="177">
        <f t="shared" si="63"/>
        <v>0.86948960649614926</v>
      </c>
      <c r="AG201" s="176">
        <f t="shared" si="64"/>
        <v>-2</v>
      </c>
      <c r="AH201" s="176">
        <f t="shared" si="65"/>
        <v>4</v>
      </c>
      <c r="AI201" s="225">
        <f t="shared" si="66"/>
        <v>-1.1305103935038507</v>
      </c>
      <c r="AJ201" s="265" t="b">
        <f t="shared" si="67"/>
        <v>0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7">
        <v>52.55</v>
      </c>
      <c r="C202" s="390"/>
      <c r="D202" s="393">
        <f t="shared" si="48"/>
        <v>53.005453421494529</v>
      </c>
      <c r="E202" s="385">
        <f t="shared" si="73"/>
        <v>54.207815909071542</v>
      </c>
      <c r="F202" s="385">
        <f t="shared" si="49"/>
        <v>54.208935934270478</v>
      </c>
      <c r="G202" s="110">
        <f t="shared" si="74"/>
        <v>0.87887920800712938</v>
      </c>
      <c r="H202" s="414" t="b">
        <f>Wh_hp&gt;='2018'!Maxi_hp</f>
        <v>1</v>
      </c>
      <c r="I202" s="390">
        <f>IF(H202,Wh_hp,'2018'!Maxi_hp)</f>
        <v>54.208935934270478</v>
      </c>
      <c r="J202" s="85">
        <f>IF(H202,An,'2018'!An_max)</f>
        <v>2019</v>
      </c>
      <c r="K202" s="197">
        <f t="shared" si="50"/>
        <v>43653</v>
      </c>
      <c r="L202" s="147">
        <f>IF(t&lt;Tvie,1-EXP((T0-t)*PertePVj)+'2018'!Pspv,1-EXP((T0-t)*PertePVj)+Pspv)</f>
        <v>8.5925766519306945E-3</v>
      </c>
      <c r="M202" s="845"/>
      <c r="N202" s="845"/>
      <c r="O202" s="48">
        <f>IF(t&lt;Tnet,'2018'!Resal+('2018'!Salim-'2018'!Resal)*(1-EXP(('2018'!Tnet-t)/('2018'!Tau_j))),Resal+(Salim-Resal)*(1-EXP((Tnet-t)/(Tau_j))))*Salcycl</f>
        <v>2.218061117964721E-2</v>
      </c>
      <c r="P202" s="169">
        <f>(INDEX(Models!$BJ202:$BT202,,T202)*(1-R202)+INDEX(Models!$BJ202:$BT202,,T202+1)*R202-ERP_i)*Q202*Ramure*Pc/MaxiM</f>
        <v>2.4984125327721569E-5</v>
      </c>
      <c r="Q202" s="305">
        <f t="shared" si="51"/>
        <v>0.5</v>
      </c>
      <c r="R202" s="177">
        <f t="shared" si="52"/>
        <v>0.87336739821118892</v>
      </c>
      <c r="S202" s="811">
        <f t="shared" si="53"/>
        <v>-2</v>
      </c>
      <c r="T202" s="176">
        <f t="shared" si="54"/>
        <v>4</v>
      </c>
      <c r="U202" s="251">
        <f t="shared" si="55"/>
        <v>-1.1266326017888111</v>
      </c>
      <c r="V202" s="383">
        <f t="shared" si="56"/>
        <v>59.791803413078163</v>
      </c>
      <c r="W202" s="58"/>
      <c r="X202" s="157">
        <f t="shared" si="57"/>
        <v>43653</v>
      </c>
      <c r="Y202" s="385">
        <f t="shared" si="58"/>
        <v>52.55</v>
      </c>
      <c r="Z202" s="385">
        <f t="shared" si="59"/>
        <v>53.005453421494529</v>
      </c>
      <c r="AA202" s="386">
        <f t="shared" si="60"/>
        <v>54.207815909071542</v>
      </c>
      <c r="AB202" s="197">
        <f t="shared" si="61"/>
        <v>43653</v>
      </c>
      <c r="AC202" s="426">
        <f>IF(OR(t&lt;Tnet,NoTnet),'2018'!Resal_s+('2018'!Salim-'2018'!Resal_s)*(1-EXP(('2018'!Tnet_s-t)/'2018'!Tau_j)),Resal_s+(Salim-Resal_s)*(1-EXP((Tnet_s-t)/Tau_j)))*Salcycl</f>
        <v>2.218061117964721E-2</v>
      </c>
      <c r="AD202" s="231">
        <f>(INDEX(Models!$BJ202:$BT202,,AH202)*(1-AF202)+INDEX(Models!$BJ202:$BT202,,AH202+1)*AF202-ERP_i)*AE202*Ramure*Pc/MaxiM</f>
        <v>2.4984125327721569E-5</v>
      </c>
      <c r="AE202" s="305">
        <f t="shared" si="62"/>
        <v>0.5</v>
      </c>
      <c r="AF202" s="177">
        <f t="shared" si="63"/>
        <v>0.87336739821118892</v>
      </c>
      <c r="AG202" s="176">
        <f t="shared" si="64"/>
        <v>-2</v>
      </c>
      <c r="AH202" s="176">
        <f t="shared" si="65"/>
        <v>4</v>
      </c>
      <c r="AI202" s="225">
        <f t="shared" si="66"/>
        <v>-1.1266326017888111</v>
      </c>
      <c r="AJ202" s="265" t="b">
        <f t="shared" si="67"/>
        <v>0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7">
        <v>36.337000000000003</v>
      </c>
      <c r="C203" s="390"/>
      <c r="D203" s="393">
        <f t="shared" si="48"/>
        <v>36.652737346138288</v>
      </c>
      <c r="E203" s="385">
        <f t="shared" si="73"/>
        <v>37.486085399201095</v>
      </c>
      <c r="F203" s="385">
        <f t="shared" si="49"/>
        <v>37.486526257466686</v>
      </c>
      <c r="G203" s="110">
        <f t="shared" si="74"/>
        <v>0.60877073086994582</v>
      </c>
      <c r="H203" s="414" t="b">
        <f>Wh_hp&gt;='2018'!Maxi_hp</f>
        <v>1</v>
      </c>
      <c r="I203" s="390">
        <f>IF(H203,Wh_hp,'2018'!Maxi_hp)</f>
        <v>37.486526257466686</v>
      </c>
      <c r="J203" s="85">
        <f>IF(H203,An,'2018'!An_max)</f>
        <v>2019</v>
      </c>
      <c r="K203" s="197">
        <f t="shared" si="50"/>
        <v>43654</v>
      </c>
      <c r="L203" s="147">
        <f>IF(t&lt;Tvie,1-EXP((T0-t)*PertePVj)+'2018'!Pspv,1-EXP((T0-t)*PertePVj)+Pspv)</f>
        <v>8.6142910188821142E-3</v>
      </c>
      <c r="M203" s="845"/>
      <c r="N203" s="845"/>
      <c r="O203" s="48">
        <f>IF(t&lt;Tnet,'2018'!Resal+('2018'!Salim-'2018'!Resal)*(1-EXP(('2018'!Tnet-t)/('2018'!Tau_j))),Resal+(Salim-Resal)*(1-EXP((Tnet-t)/(Tau_j))))*Salcycl</f>
        <v>2.2230863644155465E-2</v>
      </c>
      <c r="P203" s="169">
        <f>(INDEX(Models!$BJ203:$BT203,,T203)*(1-R203)+INDEX(Models!$BJ203:$BT203,,T203+1)*R203-ERP_i)*Q203*Ramure*Pc/MaxiM</f>
        <v>2.6660785795570118E-5</v>
      </c>
      <c r="Q203" s="305">
        <f t="shared" si="51"/>
        <v>0.5</v>
      </c>
      <c r="R203" s="177">
        <f t="shared" si="52"/>
        <v>0.87716568977679121</v>
      </c>
      <c r="S203" s="811">
        <f t="shared" si="53"/>
        <v>-2</v>
      </c>
      <c r="T203" s="176">
        <f t="shared" si="54"/>
        <v>4</v>
      </c>
      <c r="U203" s="251">
        <f t="shared" si="55"/>
        <v>-1.1228343102232088</v>
      </c>
      <c r="V203" s="383">
        <f t="shared" si="56"/>
        <v>59.688248329642285</v>
      </c>
      <c r="W203" s="58"/>
      <c r="X203" s="157">
        <f t="shared" si="57"/>
        <v>43654</v>
      </c>
      <c r="Y203" s="385">
        <f t="shared" si="58"/>
        <v>36.337000000000003</v>
      </c>
      <c r="Z203" s="385">
        <f t="shared" si="59"/>
        <v>36.652737346138288</v>
      </c>
      <c r="AA203" s="386">
        <f t="shared" si="60"/>
        <v>37.486085399201095</v>
      </c>
      <c r="AB203" s="197">
        <f t="shared" si="61"/>
        <v>43654</v>
      </c>
      <c r="AC203" s="426">
        <f>IF(OR(t&lt;Tnet,NoTnet),'2018'!Resal_s+('2018'!Salim-'2018'!Resal_s)*(1-EXP(('2018'!Tnet_s-t)/'2018'!Tau_j)),Resal_s+(Salim-Resal_s)*(1-EXP((Tnet_s-t)/Tau_j)))*Salcycl</f>
        <v>2.2230863644155465E-2</v>
      </c>
      <c r="AD203" s="231">
        <f>(INDEX(Models!$BJ203:$BT203,,AH203)*(1-AF203)+INDEX(Models!$BJ203:$BT203,,AH203+1)*AF203-ERP_i)*AE203*Ramure*Pc/MaxiM</f>
        <v>2.6660785795570118E-5</v>
      </c>
      <c r="AE203" s="305">
        <f t="shared" si="62"/>
        <v>0.5</v>
      </c>
      <c r="AF203" s="177">
        <f t="shared" si="63"/>
        <v>0.87716568977679121</v>
      </c>
      <c r="AG203" s="176">
        <f t="shared" si="64"/>
        <v>-2</v>
      </c>
      <c r="AH203" s="176">
        <f t="shared" si="65"/>
        <v>4</v>
      </c>
      <c r="AI203" s="225">
        <f t="shared" si="66"/>
        <v>-1.1228343102232088</v>
      </c>
      <c r="AJ203" s="265" t="b">
        <f t="shared" si="67"/>
        <v>0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7">
        <v>20.405000000000001</v>
      </c>
      <c r="C204" s="390"/>
      <c r="D204" s="393">
        <f t="shared" si="48"/>
        <v>20.58275275384835</v>
      </c>
      <c r="E204" s="385">
        <f t="shared" si="73"/>
        <v>21.051804071206487</v>
      </c>
      <c r="F204" s="385">
        <f t="shared" si="49"/>
        <v>21.051840590390182</v>
      </c>
      <c r="G204" s="110">
        <f t="shared" si="74"/>
        <v>0.34245558374204077</v>
      </c>
      <c r="H204" s="414" t="b">
        <f>Wh_hp&gt;='2018'!Maxi_hp</f>
        <v>1</v>
      </c>
      <c r="I204" s="390">
        <f>IF(H204,Wh_hp,'2018'!Maxi_hp)</f>
        <v>21.051840590390182</v>
      </c>
      <c r="J204" s="85">
        <f>IF(H204,An,'2018'!An_max)</f>
        <v>2019</v>
      </c>
      <c r="K204" s="197">
        <f t="shared" si="50"/>
        <v>43655</v>
      </c>
      <c r="L204" s="147">
        <f>IF(t&lt;Tvie,1-EXP((T0-t)*PertePVj)+'2018'!Pspv,1-EXP((T0-t)*PertePVj)+Pspv)</f>
        <v>8.636004910233086E-3</v>
      </c>
      <c r="M204" s="845"/>
      <c r="N204" s="845"/>
      <c r="O204" s="48">
        <f>IF(t&lt;Tnet,'2018'!Resal+('2018'!Salim-'2018'!Resal)*(1-EXP(('2018'!Tnet-t)/('2018'!Tau_j))),Resal+(Salim-Resal)*(1-EXP((Tnet-t)/(Tau_j))))*Salcycl</f>
        <v>2.2280813357924031E-2</v>
      </c>
      <c r="P204" s="169">
        <f>(INDEX(Models!$BJ204:$BT204,,T204)*(1-R204)+INDEX(Models!$BJ204:$BT204,,T204+1)*R204-ERP_i)*Q204*Ramure*Pc/MaxiM</f>
        <v>2.8595659863502045E-5</v>
      </c>
      <c r="Q204" s="305">
        <f t="shared" si="51"/>
        <v>0.5</v>
      </c>
      <c r="R204" s="177">
        <f t="shared" si="52"/>
        <v>0.88088379290224328</v>
      </c>
      <c r="S204" s="811">
        <f t="shared" si="53"/>
        <v>-2</v>
      </c>
      <c r="T204" s="176">
        <f t="shared" si="54"/>
        <v>4</v>
      </c>
      <c r="U204" s="251">
        <f t="shared" si="55"/>
        <v>-1.1191162070977567</v>
      </c>
      <c r="V204" s="383">
        <f t="shared" si="56"/>
        <v>59.58276889148889</v>
      </c>
      <c r="W204" s="58"/>
      <c r="X204" s="157">
        <f t="shared" si="57"/>
        <v>43655</v>
      </c>
      <c r="Y204" s="385">
        <f t="shared" si="58"/>
        <v>20.405000000000001</v>
      </c>
      <c r="Z204" s="385">
        <f t="shared" si="59"/>
        <v>20.58275275384835</v>
      </c>
      <c r="AA204" s="386">
        <f t="shared" si="60"/>
        <v>21.051804071206487</v>
      </c>
      <c r="AB204" s="197">
        <f t="shared" si="61"/>
        <v>43655</v>
      </c>
      <c r="AC204" s="426">
        <f>IF(OR(t&lt;Tnet,NoTnet),'2018'!Resal_s+('2018'!Salim-'2018'!Resal_s)*(1-EXP(('2018'!Tnet_s-t)/'2018'!Tau_j)),Resal_s+(Salim-Resal_s)*(1-EXP((Tnet_s-t)/Tau_j)))*Salcycl</f>
        <v>2.2280813357924031E-2</v>
      </c>
      <c r="AD204" s="231">
        <f>(INDEX(Models!$BJ204:$BT204,,AH204)*(1-AF204)+INDEX(Models!$BJ204:$BT204,,AH204+1)*AF204-ERP_i)*AE204*Ramure*Pc/MaxiM</f>
        <v>2.8595659863502045E-5</v>
      </c>
      <c r="AE204" s="305">
        <f t="shared" si="62"/>
        <v>0.5</v>
      </c>
      <c r="AF204" s="177">
        <f t="shared" si="63"/>
        <v>0.88088379290224328</v>
      </c>
      <c r="AG204" s="176">
        <f t="shared" si="64"/>
        <v>-2</v>
      </c>
      <c r="AH204" s="176">
        <f t="shared" si="65"/>
        <v>4</v>
      </c>
      <c r="AI204" s="225">
        <f t="shared" si="66"/>
        <v>-1.1191162070977567</v>
      </c>
      <c r="AJ204" s="265" t="b">
        <f t="shared" si="67"/>
        <v>0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7">
        <v>58.134</v>
      </c>
      <c r="C205" s="390"/>
      <c r="D205" s="393">
        <f t="shared" si="48"/>
        <v>58.641703349758728</v>
      </c>
      <c r="E205" s="385">
        <f t="shared" si="73"/>
        <v>59.981109698946881</v>
      </c>
      <c r="F205" s="385">
        <f t="shared" si="49"/>
        <v>59.982897259607313</v>
      </c>
      <c r="G205" s="110">
        <f t="shared" si="74"/>
        <v>0.97744945311123188</v>
      </c>
      <c r="H205" s="414" t="b">
        <f>Wh_hp&gt;='2018'!Maxi_hp</f>
        <v>1</v>
      </c>
      <c r="I205" s="390">
        <f>IF(H205,Wh_hp,'2018'!Maxi_hp)</f>
        <v>59.982897259607313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8.657718325994268E-3</v>
      </c>
      <c r="M205" s="845"/>
      <c r="N205" s="845"/>
      <c r="O205" s="48">
        <f>IF(t&lt;Tnet,'2018'!Resal+('2018'!Salim-'2018'!Resal)*(1-EXP(('2018'!Tnet-t)/('2018'!Tau_j))),Resal+(Salim-Resal)*(1-EXP((Tnet-t)/(Tau_j))))*Salcycl</f>
        <v>2.233046964137236E-2</v>
      </c>
      <c r="P205" s="169">
        <f>(INDEX(Models!$BJ205:$BT205,,T205)*(1-R205)+INDEX(Models!$BJ205:$BT205,,T205+1)*R205-ERP_i)*Q205*Ramure*Pc/MaxiM</f>
        <v>3.0793132542821582E-5</v>
      </c>
      <c r="Q205" s="305">
        <f t="shared" si="51"/>
        <v>0.5</v>
      </c>
      <c r="R205" s="177">
        <f t="shared" si="52"/>
        <v>0.88452118055007212</v>
      </c>
      <c r="S205" s="811">
        <f t="shared" si="53"/>
        <v>-2</v>
      </c>
      <c r="T205" s="176">
        <f t="shared" si="54"/>
        <v>4</v>
      </c>
      <c r="U205" s="251">
        <f t="shared" si="55"/>
        <v>-1.1154788194499279</v>
      </c>
      <c r="V205" s="383">
        <f t="shared" si="56"/>
        <v>59.475139247996637</v>
      </c>
      <c r="W205" s="58"/>
      <c r="X205" s="157">
        <f t="shared" si="57"/>
        <v>43656</v>
      </c>
      <c r="Y205" s="385">
        <f t="shared" si="58"/>
        <v>58.134</v>
      </c>
      <c r="Z205" s="385">
        <f t="shared" si="59"/>
        <v>58.641703349758728</v>
      </c>
      <c r="AA205" s="386">
        <f t="shared" si="60"/>
        <v>59.981109698946881</v>
      </c>
      <c r="AB205" s="197">
        <f t="shared" si="61"/>
        <v>43656</v>
      </c>
      <c r="AC205" s="426">
        <f>IF(OR(t&lt;Tnet,NoTnet),'2018'!Resal_s+('2018'!Salim-'2018'!Resal_s)*(1-EXP(('2018'!Tnet_s-t)/'2018'!Tau_j)),Resal_s+(Salim-Resal_s)*(1-EXP((Tnet_s-t)/Tau_j)))*Salcycl</f>
        <v>2.233046964137236E-2</v>
      </c>
      <c r="AD205" s="231">
        <f>(INDEX(Models!$BJ205:$BT205,,AH205)*(1-AF205)+INDEX(Models!$BJ205:$BT205,,AH205+1)*AF205-ERP_i)*AE205*Ramure*Pc/MaxiM</f>
        <v>3.0793132542821582E-5</v>
      </c>
      <c r="AE205" s="305">
        <f t="shared" si="62"/>
        <v>0.5</v>
      </c>
      <c r="AF205" s="177">
        <f t="shared" si="63"/>
        <v>0.88452118055007212</v>
      </c>
      <c r="AG205" s="176">
        <f t="shared" si="64"/>
        <v>-2</v>
      </c>
      <c r="AH205" s="176">
        <f t="shared" si="65"/>
        <v>4</v>
      </c>
      <c r="AI205" s="225">
        <f t="shared" si="66"/>
        <v>-1.1154788194499279</v>
      </c>
      <c r="AJ205" s="265" t="b">
        <f t="shared" si="67"/>
        <v>0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7">
        <v>59.554000000000002</v>
      </c>
      <c r="C206" s="390"/>
      <c r="D206" s="393">
        <f t="shared" si="48"/>
        <v>60.075420482867656</v>
      </c>
      <c r="E206" s="385">
        <f t="shared" si="73"/>
        <v>61.450676930627665</v>
      </c>
      <c r="F206" s="385">
        <f t="shared" si="49"/>
        <v>61.452728703103304</v>
      </c>
      <c r="G206" s="110">
        <f t="shared" si="74"/>
        <v>1.0031803949602056</v>
      </c>
      <c r="H206" s="414" t="b">
        <f>Wh_hp&gt;='2018'!Maxi_hp</f>
        <v>1</v>
      </c>
      <c r="I206" s="390">
        <f>IF(H206,Wh_hp,'2018'!Maxi_hp)</f>
        <v>61.452728703103304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8.6794312661757633E-3</v>
      </c>
      <c r="M206" s="845"/>
      <c r="N206" s="845"/>
      <c r="O206" s="48">
        <f>IF(t&lt;Tnet,'2018'!Resal+('2018'!Salim-'2018'!Resal)*(1-EXP(('2018'!Tnet-t)/('2018'!Tau_j))),Resal+(Salim-Resal)*(1-EXP((Tnet-t)/(Tau_j))))*Salcycl</f>
        <v>2.23798421181357E-2</v>
      </c>
      <c r="P206" s="169">
        <f>(INDEX(Models!$BJ206:$BT206,,T206)*(1-R206)+INDEX(Models!$BJ206:$BT206,,T206+1)*R206-ERP_i)*Q206*Ramure*Pc/MaxiM</f>
        <v>3.3387817253051952E-5</v>
      </c>
      <c r="Q206" s="305">
        <f t="shared" si="51"/>
        <v>0.5</v>
      </c>
      <c r="R206" s="177">
        <f t="shared" si="52"/>
        <v>0.88807748160843625</v>
      </c>
      <c r="S206" s="811">
        <f t="shared" si="53"/>
        <v>-2</v>
      </c>
      <c r="T206" s="176">
        <f t="shared" si="54"/>
        <v>4</v>
      </c>
      <c r="U206" s="251">
        <f t="shared" si="55"/>
        <v>-1.1119225183915638</v>
      </c>
      <c r="V206" s="383">
        <f t="shared" si="56"/>
        <v>59.36519523227166</v>
      </c>
      <c r="W206" s="58"/>
      <c r="X206" s="157">
        <f t="shared" si="57"/>
        <v>43657</v>
      </c>
      <c r="Y206" s="385">
        <f t="shared" si="58"/>
        <v>59.554000000000002</v>
      </c>
      <c r="Z206" s="385">
        <f t="shared" si="59"/>
        <v>60.075420482867656</v>
      </c>
      <c r="AA206" s="386">
        <f t="shared" si="60"/>
        <v>61.450676930627665</v>
      </c>
      <c r="AB206" s="197">
        <f t="shared" si="61"/>
        <v>43657</v>
      </c>
      <c r="AC206" s="426">
        <f>IF(OR(t&lt;Tnet,NoTnet),'2018'!Resal_s+('2018'!Salim-'2018'!Resal_s)*(1-EXP(('2018'!Tnet_s-t)/'2018'!Tau_j)),Resal_s+(Salim-Resal_s)*(1-EXP((Tnet_s-t)/Tau_j)))*Salcycl</f>
        <v>2.23798421181357E-2</v>
      </c>
      <c r="AD206" s="231">
        <f>(INDEX(Models!$BJ206:$BT206,,AH206)*(1-AF206)+INDEX(Models!$BJ206:$BT206,,AH206+1)*AF206-ERP_i)*AE206*Ramure*Pc/MaxiM</f>
        <v>3.3387817253051952E-5</v>
      </c>
      <c r="AE206" s="305">
        <f t="shared" si="62"/>
        <v>0.5</v>
      </c>
      <c r="AF206" s="177">
        <f t="shared" si="63"/>
        <v>0.88807748160843625</v>
      </c>
      <c r="AG206" s="176">
        <f t="shared" si="64"/>
        <v>-2</v>
      </c>
      <c r="AH206" s="176">
        <f t="shared" si="65"/>
        <v>4</v>
      </c>
      <c r="AI206" s="225">
        <f t="shared" si="66"/>
        <v>-1.1119225183915638</v>
      </c>
      <c r="AJ206" s="265" t="b">
        <f t="shared" si="67"/>
        <v>0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7">
        <v>59.959000000000003</v>
      </c>
      <c r="C207" s="390"/>
      <c r="D207" s="393">
        <f t="shared" ref="D207:D270" si="75">Wh/(1-Ppv)</f>
        <v>60.485291212438007</v>
      </c>
      <c r="E207" s="385">
        <f t="shared" si="73"/>
        <v>61.873037907438039</v>
      </c>
      <c r="F207" s="385">
        <f t="shared" ref="F207:F270" si="76">Wh_sa/(1-Pvg*MEDIAN((-Sdif+Wh/Env_an)/Csdif,0,1))</f>
        <v>61.87528776158792</v>
      </c>
      <c r="G207" s="110">
        <f t="shared" si="74"/>
        <v>1.0119142921741808</v>
      </c>
      <c r="H207" s="414" t="b">
        <f>Wh_hp&gt;='2018'!Maxi_hp</f>
        <v>1</v>
      </c>
      <c r="I207" s="390">
        <f>IF(H207,Wh_hp,'2018'!Maxi_hp)</f>
        <v>61.87528776158792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8.70114373078823E-3</v>
      </c>
      <c r="M207" s="845"/>
      <c r="N207" s="845"/>
      <c r="O207" s="48">
        <f>IF(t&lt;Tnet,'2018'!Resal+('2018'!Salim-'2018'!Resal)*(1-EXP(('2018'!Tnet-t)/('2018'!Tau_j))),Resal+(Salim-Resal)*(1-EXP((Tnet-t)/(Tau_j))))*Salcycl</f>
        <v>2.2428940649012619E-2</v>
      </c>
      <c r="P207" s="169">
        <f>(INDEX(Models!$BJ207:$BT207,,T207)*(1-R207)+INDEX(Models!$BJ207:$BT207,,T207+1)*R207-ERP_i)*Q207*Ramure*Pc/MaxiM</f>
        <v>3.6361110085592341E-5</v>
      </c>
      <c r="Q207" s="305">
        <f t="shared" ref="Q207:Q270" si="78">IF(OR(t&lt;Ttai,Notai),Dd+PousD*Croivg,Dens+PousD*(Croivg-Croi_tai))</f>
        <v>0.5</v>
      </c>
      <c r="R207" s="177">
        <f t="shared" ref="R207:R270" si="79">(Hp_vg-S207)/(INDEX(Echel_vg,T207+1)-S207)</f>
        <v>0.89155247515515446</v>
      </c>
      <c r="S207" s="811">
        <f t="shared" ref="S207:S270" si="80">INDEX(Echel_vg,T207)</f>
        <v>-2</v>
      </c>
      <c r="T207" s="176">
        <f t="shared" ref="T207:T270" si="81">MIN(MATCH(Hp_vg,Echel_vg),10)</f>
        <v>4</v>
      </c>
      <c r="U207" s="251">
        <f t="shared" ref="U207:U270" si="82">IF(OR(t&lt;Ttai,Notai),Hdd+PousH*Croivg,Hdtf+PousH*(Croivg-Croi_tai))</f>
        <v>-1.1084475248448455</v>
      </c>
      <c r="V207" s="383">
        <f t="shared" ref="V207:V270" si="83">MaxiM*(1-Ppv)*(1-Pvg)*(1-Psa)</f>
        <v>59.253041946045819</v>
      </c>
      <c r="W207" s="58"/>
      <c r="X207" s="157">
        <f t="shared" ref="X207:X270" si="84">t</f>
        <v>43658</v>
      </c>
      <c r="Y207" s="385">
        <f t="shared" ref="Y207:Y270" si="85">Wh_pvt_s*(1-Ppv)</f>
        <v>59.959000000000003</v>
      </c>
      <c r="Z207" s="385">
        <f t="shared" ref="Z207:Z270" si="86">Wh_sa_s*(1-Psa_s)</f>
        <v>60.485291212438007</v>
      </c>
      <c r="AA207" s="386">
        <f t="shared" ref="AA207:AA270" si="87">Wh_hp*(1-Pvg_s*MEDIAN((-Sdif+Wh/Env_an)/Csdif,0,1))</f>
        <v>61.873037907438039</v>
      </c>
      <c r="AB207" s="197">
        <f t="shared" ref="AB207:AB270" si="88">t</f>
        <v>43658</v>
      </c>
      <c r="AC207" s="426">
        <f>IF(OR(t&lt;Tnet,NoTnet),'2018'!Resal_s+('2018'!Salim-'2018'!Resal_s)*(1-EXP(('2018'!Tnet_s-t)/'2018'!Tau_j)),Resal_s+(Salim-Resal_s)*(1-EXP((Tnet_s-t)/Tau_j)))*Salcycl</f>
        <v>2.2428940649012619E-2</v>
      </c>
      <c r="AD207" s="231">
        <f>(INDEX(Models!$BJ207:$BT207,,AH207)*(1-AF207)+INDEX(Models!$BJ207:$BT207,,AH207+1)*AF207-ERP_i)*AE207*Ramure*Pc/MaxiM</f>
        <v>3.6361110085592341E-5</v>
      </c>
      <c r="AE207" s="305">
        <f t="shared" ref="AE207:AE270" si="89">IF(OR(t&lt;Ttai,Notai),Dd_s+PousD*Croivg,Dens_s+PousD*(Croivg-Croi_tai))</f>
        <v>0.5</v>
      </c>
      <c r="AF207" s="177">
        <f t="shared" ref="AF207:AF270" si="90">(Hp_vg_s-AG207)/(INDEX(Echel_vg,AH207+1)-AG207)</f>
        <v>0.89155247515515446</v>
      </c>
      <c r="AG207" s="176">
        <f t="shared" ref="AG207:AG270" si="91">INDEX(Echel_vg,AH207)</f>
        <v>-2</v>
      </c>
      <c r="AH207" s="176">
        <f t="shared" ref="AH207:AH270" si="92">MIN(MATCH(Hp_vg_s,Echel_vg),10)</f>
        <v>4</v>
      </c>
      <c r="AI207" s="225">
        <f t="shared" ref="AI207:AI270" si="93">IF(OR(t&lt;Ttai,Notai),Hdd_s+PousH*Croivg,Hdtai_s+PousH*(Croivg-Croi_tai))</f>
        <v>-1.1084475248448455</v>
      </c>
      <c r="AJ207" s="265" t="b">
        <f t="shared" ref="AJ207:AJ270" si="94">t&lt;Tnet</f>
        <v>0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7">
        <v>51.207999999999998</v>
      </c>
      <c r="C208" s="390"/>
      <c r="D208" s="393">
        <f t="shared" si="75"/>
        <v>51.65861060701247</v>
      </c>
      <c r="E208" s="385">
        <f t="shared" si="73"/>
        <v>52.846481951937342</v>
      </c>
      <c r="F208" s="385">
        <f t="shared" si="76"/>
        <v>52.848178882001989</v>
      </c>
      <c r="G208" s="110">
        <f t="shared" si="74"/>
        <v>0.86588880818613656</v>
      </c>
      <c r="H208" s="414" t="b">
        <f>Wh_hp&gt;='2018'!Maxi_hp</f>
        <v>1</v>
      </c>
      <c r="I208" s="390">
        <f>IF(H208,Wh_hp,'2018'!Maxi_hp)</f>
        <v>52.848178882001989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8.7228557198419931E-3</v>
      </c>
      <c r="M208" s="845"/>
      <c r="N208" s="845"/>
      <c r="O208" s="48">
        <f>IF(t&lt;Tnet,'2018'!Resal+('2018'!Salim-'2018'!Resal)*(1-EXP(('2018'!Tnet-t)/('2018'!Tau_j))),Resal+(Salim-Resal)*(1-EXP((Tnet-t)/(Tau_j))))*Salcycl</f>
        <v>2.2477775266198683E-2</v>
      </c>
      <c r="P208" s="169">
        <f>(INDEX(Models!$BJ208:$BT208,,T208)*(1-R208)+INDEX(Models!$BJ208:$BT208,,T208+1)*R208-ERP_i)*Q208*Ramure*Pc/MaxiM</f>
        <v>3.97187704891264E-5</v>
      </c>
      <c r="Q208" s="305">
        <f t="shared" si="78"/>
        <v>0.5</v>
      </c>
      <c r="R208" s="177">
        <f t="shared" si="79"/>
        <v>0.89494608437249989</v>
      </c>
      <c r="S208" s="811">
        <f t="shared" si="80"/>
        <v>-2</v>
      </c>
      <c r="T208" s="176">
        <f t="shared" si="81"/>
        <v>4</v>
      </c>
      <c r="U208" s="251">
        <f t="shared" si="82"/>
        <v>-1.1050539156275001</v>
      </c>
      <c r="V208" s="383">
        <f t="shared" si="83"/>
        <v>59.138783004545161</v>
      </c>
      <c r="W208" s="58"/>
      <c r="X208" s="157">
        <f t="shared" si="84"/>
        <v>43659</v>
      </c>
      <c r="Y208" s="385">
        <f t="shared" si="85"/>
        <v>51.207999999999998</v>
      </c>
      <c r="Z208" s="385">
        <f t="shared" si="86"/>
        <v>51.65861060701247</v>
      </c>
      <c r="AA208" s="386">
        <f t="shared" si="87"/>
        <v>52.846481951937342</v>
      </c>
      <c r="AB208" s="197">
        <f t="shared" si="88"/>
        <v>43659</v>
      </c>
      <c r="AC208" s="426">
        <f>IF(OR(t&lt;Tnet,NoTnet),'2018'!Resal_s+('2018'!Salim-'2018'!Resal_s)*(1-EXP(('2018'!Tnet_s-t)/'2018'!Tau_j)),Resal_s+(Salim-Resal_s)*(1-EXP((Tnet_s-t)/Tau_j)))*Salcycl</f>
        <v>2.2477775266198683E-2</v>
      </c>
      <c r="AD208" s="231">
        <f>(INDEX(Models!$BJ208:$BT208,,AH208)*(1-AF208)+INDEX(Models!$BJ208:$BT208,,AH208+1)*AF208-ERP_i)*AE208*Ramure*Pc/MaxiM</f>
        <v>3.97187704891264E-5</v>
      </c>
      <c r="AE208" s="305">
        <f t="shared" si="89"/>
        <v>0.5</v>
      </c>
      <c r="AF208" s="177">
        <f t="shared" si="90"/>
        <v>0.89494608437249989</v>
      </c>
      <c r="AG208" s="176">
        <f t="shared" si="91"/>
        <v>-2</v>
      </c>
      <c r="AH208" s="176">
        <f t="shared" si="92"/>
        <v>4</v>
      </c>
      <c r="AI208" s="225">
        <f t="shared" si="93"/>
        <v>-1.1050539156275001</v>
      </c>
      <c r="AJ208" s="265" t="b">
        <f t="shared" si="94"/>
        <v>0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7">
        <v>59.984000000000002</v>
      </c>
      <c r="C209" s="390"/>
      <c r="D209" s="393">
        <f t="shared" si="75"/>
        <v>60.513161408438492</v>
      </c>
      <c r="E209" s="385">
        <f t="shared" si="73"/>
        <v>61.907716680228468</v>
      </c>
      <c r="F209" s="385">
        <f t="shared" si="76"/>
        <v>61.910407700916835</v>
      </c>
      <c r="G209" s="110">
        <f t="shared" si="74"/>
        <v>1.0162900188421986</v>
      </c>
      <c r="H209" s="414" t="b">
        <f>Wh_hp&gt;='2018'!Maxi_hp</f>
        <v>1</v>
      </c>
      <c r="I209" s="390">
        <f>IF(H209,Wh_hp,'2018'!Maxi_hp)</f>
        <v>61.910407700916835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8.7445672333473778E-3</v>
      </c>
      <c r="M209" s="845"/>
      <c r="N209" s="845"/>
      <c r="O209" s="48">
        <f>IF(t&lt;Tnet,'2018'!Resal+('2018'!Salim-'2018'!Resal)*(1-EXP(('2018'!Tnet-t)/('2018'!Tau_j))),Resal+(Salim-Resal)*(1-EXP((Tnet-t)/(Tau_j))))*Salcycl</f>
        <v>2.2526356108290339E-2</v>
      </c>
      <c r="P209" s="169">
        <f>(INDEX(Models!$BJ209:$BT209,,T209)*(1-R209)+INDEX(Models!$BJ209:$BT209,,T209+1)*R209-ERP_i)*Q209*Ramure*Pc/MaxiM</f>
        <v>4.3466370006300006E-5</v>
      </c>
      <c r="Q209" s="305">
        <f t="shared" si="78"/>
        <v>0.5</v>
      </c>
      <c r="R209" s="177">
        <f t="shared" si="79"/>
        <v>0.89825837017063281</v>
      </c>
      <c r="S209" s="811">
        <f t="shared" si="80"/>
        <v>-2</v>
      </c>
      <c r="T209" s="176">
        <f t="shared" si="81"/>
        <v>4</v>
      </c>
      <c r="U209" s="251">
        <f t="shared" si="82"/>
        <v>-1.1017416298293672</v>
      </c>
      <c r="V209" s="383">
        <f t="shared" si="83"/>
        <v>59.022522004433689</v>
      </c>
      <c r="W209" s="58"/>
      <c r="X209" s="157">
        <f t="shared" si="84"/>
        <v>43660</v>
      </c>
      <c r="Y209" s="385">
        <f t="shared" si="85"/>
        <v>59.984000000000002</v>
      </c>
      <c r="Z209" s="385">
        <f t="shared" si="86"/>
        <v>60.513161408438492</v>
      </c>
      <c r="AA209" s="386">
        <f t="shared" si="87"/>
        <v>61.907716680228468</v>
      </c>
      <c r="AB209" s="197">
        <f t="shared" si="88"/>
        <v>43660</v>
      </c>
      <c r="AC209" s="426">
        <f>IF(OR(t&lt;Tnet,NoTnet),'2018'!Resal_s+('2018'!Salim-'2018'!Resal_s)*(1-EXP(('2018'!Tnet_s-t)/'2018'!Tau_j)),Resal_s+(Salim-Resal_s)*(1-EXP((Tnet_s-t)/Tau_j)))*Salcycl</f>
        <v>2.2526356108290339E-2</v>
      </c>
      <c r="AD209" s="231">
        <f>(INDEX(Models!$BJ209:$BT209,,AH209)*(1-AF209)+INDEX(Models!$BJ209:$BT209,,AH209+1)*AF209-ERP_i)*AE209*Ramure*Pc/MaxiM</f>
        <v>4.3466370006300006E-5</v>
      </c>
      <c r="AE209" s="305">
        <f t="shared" si="89"/>
        <v>0.5</v>
      </c>
      <c r="AF209" s="177">
        <f t="shared" si="90"/>
        <v>0.89825837017063281</v>
      </c>
      <c r="AG209" s="176">
        <f t="shared" si="91"/>
        <v>-2</v>
      </c>
      <c r="AH209" s="176">
        <f t="shared" si="92"/>
        <v>4</v>
      </c>
      <c r="AI209" s="225">
        <f t="shared" si="93"/>
        <v>-1.1017416298293672</v>
      </c>
      <c r="AJ209" s="265" t="b">
        <f t="shared" si="94"/>
        <v>0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7">
        <v>61.366</v>
      </c>
      <c r="C210" s="390"/>
      <c r="D210" s="393">
        <f t="shared" si="75"/>
        <v>61.908708970251077</v>
      </c>
      <c r="E210" s="385">
        <f t="shared" si="73"/>
        <v>63.33855748307645</v>
      </c>
      <c r="F210" s="385">
        <f t="shared" si="76"/>
        <v>63.341573131215071</v>
      </c>
      <c r="G210" s="110">
        <f t="shared" si="74"/>
        <v>1.0417904101662807</v>
      </c>
      <c r="H210" s="414" t="b">
        <f>Wh_hp&gt;='2018'!Maxi_hp</f>
        <v>1</v>
      </c>
      <c r="I210" s="390">
        <f>IF(H210,Wh_hp,'2018'!Maxi_hp)</f>
        <v>63.341573131215071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8.7662782713150422E-3</v>
      </c>
      <c r="M210" s="845"/>
      <c r="N210" s="845"/>
      <c r="O210" s="48">
        <f>IF(t&lt;Tnet,'2018'!Resal+('2018'!Salim-'2018'!Resal)*(1-EXP(('2018'!Tnet-t)/('2018'!Tau_j))),Resal+(Salim-Resal)*(1-EXP((Tnet-t)/(Tau_j))))*Salcycl</f>
        <v>2.257469335652959E-2</v>
      </c>
      <c r="P210" s="169">
        <f>(INDEX(Models!$BJ210:$BT210,,T210)*(1-R210)+INDEX(Models!$BJ210:$BT210,,T210+1)*R210-ERP_i)*Q210*Ramure*Pc/MaxiM</f>
        <v>4.760930285659491E-5</v>
      </c>
      <c r="Q210" s="305">
        <f t="shared" si="78"/>
        <v>0.5</v>
      </c>
      <c r="R210" s="177">
        <f t="shared" si="79"/>
        <v>0.90148952457578524</v>
      </c>
      <c r="S210" s="811">
        <f t="shared" si="80"/>
        <v>-2</v>
      </c>
      <c r="T210" s="176">
        <f t="shared" si="81"/>
        <v>4</v>
      </c>
      <c r="U210" s="251">
        <f t="shared" si="82"/>
        <v>-1.0985104754242148</v>
      </c>
      <c r="V210" s="383">
        <f t="shared" si="83"/>
        <v>58.904362529316558</v>
      </c>
      <c r="W210" s="58"/>
      <c r="X210" s="157">
        <f t="shared" si="84"/>
        <v>43661</v>
      </c>
      <c r="Y210" s="385">
        <f t="shared" si="85"/>
        <v>61.366</v>
      </c>
      <c r="Z210" s="385">
        <f t="shared" si="86"/>
        <v>61.908708970251077</v>
      </c>
      <c r="AA210" s="386">
        <f t="shared" si="87"/>
        <v>63.33855748307645</v>
      </c>
      <c r="AB210" s="197">
        <f t="shared" si="88"/>
        <v>43661</v>
      </c>
      <c r="AC210" s="426">
        <f>IF(OR(t&lt;Tnet,NoTnet),'2018'!Resal_s+('2018'!Salim-'2018'!Resal_s)*(1-EXP(('2018'!Tnet_s-t)/'2018'!Tau_j)),Resal_s+(Salim-Resal_s)*(1-EXP((Tnet_s-t)/Tau_j)))*Salcycl</f>
        <v>2.257469335652959E-2</v>
      </c>
      <c r="AD210" s="231">
        <f>(INDEX(Models!$BJ210:$BT210,,AH210)*(1-AF210)+INDEX(Models!$BJ210:$BT210,,AH210+1)*AF210-ERP_i)*AE210*Ramure*Pc/MaxiM</f>
        <v>4.760930285659491E-5</v>
      </c>
      <c r="AE210" s="305">
        <f t="shared" si="89"/>
        <v>0.5</v>
      </c>
      <c r="AF210" s="177">
        <f t="shared" si="90"/>
        <v>0.90148952457578524</v>
      </c>
      <c r="AG210" s="176">
        <f t="shared" si="91"/>
        <v>-2</v>
      </c>
      <c r="AH210" s="176">
        <f t="shared" si="92"/>
        <v>4</v>
      </c>
      <c r="AI210" s="225">
        <f t="shared" si="93"/>
        <v>-1.0985104754242148</v>
      </c>
      <c r="AJ210" s="265" t="b">
        <f t="shared" si="94"/>
        <v>0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7">
        <v>59.423000000000002</v>
      </c>
      <c r="C211" s="390"/>
      <c r="D211" s="393">
        <f t="shared" si="75"/>
        <v>59.94983851142382</v>
      </c>
      <c r="E211" s="385">
        <f t="shared" si="73"/>
        <v>61.337463507443182</v>
      </c>
      <c r="F211" s="385">
        <f t="shared" si="76"/>
        <v>61.340662594559738</v>
      </c>
      <c r="G211" s="110">
        <f t="shared" si="74"/>
        <v>1.0108632862054205</v>
      </c>
      <c r="H211" s="414" t="b">
        <f>Wh_hp&gt;='2018'!Maxi_hp</f>
        <v>1</v>
      </c>
      <c r="I211" s="390">
        <f>IF(H211,Wh_hp,'2018'!Maxi_hp)</f>
        <v>61.340662594559738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8.7879888337552003E-3</v>
      </c>
      <c r="M211" s="845"/>
      <c r="N211" s="845"/>
      <c r="O211" s="48">
        <f>IF(t&lt;Tnet,'2018'!Resal+('2018'!Salim-'2018'!Resal)*(1-EXP(('2018'!Tnet-t)/('2018'!Tau_j))),Resal+(Salim-Resal)*(1-EXP((Tnet-t)/(Tau_j))))*Salcycl</f>
        <v>2.2622797172742147E-2</v>
      </c>
      <c r="P211" s="169">
        <f>(INDEX(Models!$BJ211:$BT211,,T211)*(1-R211)+INDEX(Models!$BJ211:$BT211,,T211+1)*R211-ERP_i)*Q211*Ramure*Pc/MaxiM</f>
        <v>5.2152796876465115E-5</v>
      </c>
      <c r="Q211" s="305">
        <f t="shared" si="78"/>
        <v>0.5</v>
      </c>
      <c r="R211" s="177">
        <f t="shared" si="79"/>
        <v>0.9046398639371267</v>
      </c>
      <c r="S211" s="811">
        <f t="shared" si="80"/>
        <v>-2</v>
      </c>
      <c r="T211" s="176">
        <f t="shared" si="81"/>
        <v>4</v>
      </c>
      <c r="U211" s="251">
        <f t="shared" si="82"/>
        <v>-1.0953601360628733</v>
      </c>
      <c r="V211" s="383">
        <f t="shared" si="83"/>
        <v>58.784408149851906</v>
      </c>
      <c r="W211" s="58"/>
      <c r="X211" s="157">
        <f t="shared" si="84"/>
        <v>43662</v>
      </c>
      <c r="Y211" s="385">
        <f t="shared" si="85"/>
        <v>59.423000000000002</v>
      </c>
      <c r="Z211" s="385">
        <f t="shared" si="86"/>
        <v>59.94983851142382</v>
      </c>
      <c r="AA211" s="386">
        <f t="shared" si="87"/>
        <v>61.337463507443182</v>
      </c>
      <c r="AB211" s="197">
        <f t="shared" si="88"/>
        <v>43662</v>
      </c>
      <c r="AC211" s="426">
        <f>IF(OR(t&lt;Tnet,NoTnet),'2018'!Resal_s+('2018'!Salim-'2018'!Resal_s)*(1-EXP(('2018'!Tnet_s-t)/'2018'!Tau_j)),Resal_s+(Salim-Resal_s)*(1-EXP((Tnet_s-t)/Tau_j)))*Salcycl</f>
        <v>2.2622797172742147E-2</v>
      </c>
      <c r="AD211" s="231">
        <f>(INDEX(Models!$BJ211:$BT211,,AH211)*(1-AF211)+INDEX(Models!$BJ211:$BT211,,AH211+1)*AF211-ERP_i)*AE211*Ramure*Pc/MaxiM</f>
        <v>5.2152796876465115E-5</v>
      </c>
      <c r="AE211" s="305">
        <f t="shared" si="89"/>
        <v>0.5</v>
      </c>
      <c r="AF211" s="177">
        <f t="shared" si="90"/>
        <v>0.9046398639371267</v>
      </c>
      <c r="AG211" s="176">
        <f t="shared" si="91"/>
        <v>-2</v>
      </c>
      <c r="AH211" s="176">
        <f t="shared" si="92"/>
        <v>4</v>
      </c>
      <c r="AI211" s="225">
        <f t="shared" si="93"/>
        <v>-1.0953601360628733</v>
      </c>
      <c r="AJ211" s="265" t="b">
        <f t="shared" si="94"/>
        <v>0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7">
        <v>51.502000000000002</v>
      </c>
      <c r="C212" s="390"/>
      <c r="D212" s="393">
        <f t="shared" si="75"/>
        <v>51.959749751302766</v>
      </c>
      <c r="E212" s="385">
        <f t="shared" si="73"/>
        <v>53.165037170686084</v>
      </c>
      <c r="F212" s="385">
        <f t="shared" si="76"/>
        <v>53.167525253576699</v>
      </c>
      <c r="G212" s="110">
        <f t="shared" si="74"/>
        <v>0.87792437861373696</v>
      </c>
      <c r="H212" s="414" t="b">
        <f>Wh_hp&gt;='2018'!Maxi_hp</f>
        <v>1</v>
      </c>
      <c r="I212" s="390">
        <f>IF(H212,Wh_hp,'2018'!Maxi_hp)</f>
        <v>53.167525253576699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8.8096989206782883E-3</v>
      </c>
      <c r="M212" s="845"/>
      <c r="N212" s="845"/>
      <c r="O212" s="48">
        <f>IF(t&lt;Tnet,'2018'!Resal+('2018'!Salim-'2018'!Resal)*(1-EXP(('2018'!Tnet-t)/('2018'!Tau_j))),Resal+(Salim-Resal)*(1-EXP((Tnet-t)/(Tau_j))))*Salcycl</f>
        <v>2.2670677639399572E-2</v>
      </c>
      <c r="P212" s="169">
        <f>(INDEX(Models!$BJ212:$BT212,,T212)*(1-R212)+INDEX(Models!$BJ212:$BT212,,T212+1)*R212-ERP_i)*Q212*Ramure*Pc/MaxiM</f>
        <v>5.6681182600882225E-5</v>
      </c>
      <c r="Q212" s="305">
        <f t="shared" si="78"/>
        <v>0.5</v>
      </c>
      <c r="R212" s="177">
        <f t="shared" si="79"/>
        <v>0.90770982200370298</v>
      </c>
      <c r="S212" s="811">
        <f t="shared" si="80"/>
        <v>-2</v>
      </c>
      <c r="T212" s="176">
        <f t="shared" si="81"/>
        <v>4</v>
      </c>
      <c r="U212" s="251">
        <f t="shared" si="82"/>
        <v>-1.092290177996297</v>
      </c>
      <c r="V212" s="383">
        <f t="shared" si="83"/>
        <v>58.662787112106976</v>
      </c>
      <c r="W212" s="58"/>
      <c r="X212" s="157">
        <f t="shared" si="84"/>
        <v>43663</v>
      </c>
      <c r="Y212" s="385">
        <f t="shared" si="85"/>
        <v>51.502000000000002</v>
      </c>
      <c r="Z212" s="385">
        <f t="shared" si="86"/>
        <v>51.959749751302766</v>
      </c>
      <c r="AA212" s="386">
        <f t="shared" si="87"/>
        <v>53.165037170686084</v>
      </c>
      <c r="AB212" s="197">
        <f t="shared" si="88"/>
        <v>43663</v>
      </c>
      <c r="AC212" s="426">
        <f>IF(OR(t&lt;Tnet,NoTnet),'2018'!Resal_s+('2018'!Salim-'2018'!Resal_s)*(1-EXP(('2018'!Tnet_s-t)/'2018'!Tau_j)),Resal_s+(Salim-Resal_s)*(1-EXP((Tnet_s-t)/Tau_j)))*Salcycl</f>
        <v>2.2670677639399572E-2</v>
      </c>
      <c r="AD212" s="231">
        <f>(INDEX(Models!$BJ212:$BT212,,AH212)*(1-AF212)+INDEX(Models!$BJ212:$BT212,,AH212+1)*AF212-ERP_i)*AE212*Ramure*Pc/MaxiM</f>
        <v>5.6681182600882225E-5</v>
      </c>
      <c r="AE212" s="305">
        <f t="shared" si="89"/>
        <v>0.5</v>
      </c>
      <c r="AF212" s="177">
        <f t="shared" si="90"/>
        <v>0.90770982200370298</v>
      </c>
      <c r="AG212" s="176">
        <f t="shared" si="91"/>
        <v>-2</v>
      </c>
      <c r="AH212" s="176">
        <f t="shared" si="92"/>
        <v>4</v>
      </c>
      <c r="AI212" s="225">
        <f t="shared" si="93"/>
        <v>-1.092290177996297</v>
      </c>
      <c r="AJ212" s="265" t="b">
        <f t="shared" si="94"/>
        <v>0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7">
        <v>39.661999999999999</v>
      </c>
      <c r="C213" s="390"/>
      <c r="D213" s="393">
        <f t="shared" si="75"/>
        <v>40.015392276768168</v>
      </c>
      <c r="E213" s="385">
        <f t="shared" si="73"/>
        <v>40.945608729936687</v>
      </c>
      <c r="F213" s="385">
        <f t="shared" si="76"/>
        <v>40.946955028301232</v>
      </c>
      <c r="G213" s="110">
        <f t="shared" si="74"/>
        <v>0.67750505323525811</v>
      </c>
      <c r="H213" s="414" t="b">
        <f>Wh_hp&gt;='2018'!Maxi_hp</f>
        <v>1</v>
      </c>
      <c r="I213" s="390">
        <f>IF(H213,Wh_hp,'2018'!Maxi_hp)</f>
        <v>40.946955028301232</v>
      </c>
      <c r="J213" s="85">
        <f>IF(H213,An,'2018'!An_max)</f>
        <v>2019</v>
      </c>
      <c r="K213" s="197">
        <f t="shared" si="77"/>
        <v>43664</v>
      </c>
      <c r="L213" s="147">
        <f>IF(t&lt;Tvie,1-EXP((T0-t)*PertePVj)+'2018'!Pspv,1-EXP((T0-t)*PertePVj)+Pspv)</f>
        <v>8.8314085320947422E-3</v>
      </c>
      <c r="M213" s="845"/>
      <c r="N213" s="845"/>
      <c r="O213" s="48">
        <f>IF(t&lt;Tnet,'2018'!Resal+('2018'!Salim-'2018'!Resal)*(1-EXP(('2018'!Tnet-t)/('2018'!Tau_j))),Resal+(Salim-Resal)*(1-EXP((Tnet-t)/(Tau_j))))*Salcycl</f>
        <v>2.2718344702210028E-2</v>
      </c>
      <c r="P213" s="169">
        <f>(INDEX(Models!$BJ213:$BT213,,T213)*(1-R213)+INDEX(Models!$BJ213:$BT213,,T213+1)*R213-ERP_i)*Q213*Ramure*Pc/MaxiM</f>
        <v>6.0963948354857838E-5</v>
      </c>
      <c r="Q213" s="305">
        <f t="shared" si="78"/>
        <v>0.5</v>
      </c>
      <c r="R213" s="177">
        <f t="shared" si="79"/>
        <v>0.91069994291999334</v>
      </c>
      <c r="S213" s="811">
        <f t="shared" si="80"/>
        <v>-2</v>
      </c>
      <c r="T213" s="176">
        <f t="shared" si="81"/>
        <v>4</v>
      </c>
      <c r="U213" s="251">
        <f t="shared" si="82"/>
        <v>-1.0893000570800067</v>
      </c>
      <c r="V213" s="383">
        <f t="shared" si="83"/>
        <v>58.539616600768994</v>
      </c>
      <c r="W213" s="58"/>
      <c r="X213" s="157">
        <f t="shared" si="84"/>
        <v>43664</v>
      </c>
      <c r="Y213" s="385">
        <f t="shared" si="85"/>
        <v>39.661999999999999</v>
      </c>
      <c r="Z213" s="385">
        <f t="shared" si="86"/>
        <v>40.015392276768168</v>
      </c>
      <c r="AA213" s="386">
        <f t="shared" si="87"/>
        <v>40.945608729936687</v>
      </c>
      <c r="AB213" s="197">
        <f t="shared" si="88"/>
        <v>43664</v>
      </c>
      <c r="AC213" s="426">
        <f>IF(OR(t&lt;Tnet,NoTnet),'2018'!Resal_s+('2018'!Salim-'2018'!Resal_s)*(1-EXP(('2018'!Tnet_s-t)/'2018'!Tau_j)),Resal_s+(Salim-Resal_s)*(1-EXP((Tnet_s-t)/Tau_j)))*Salcycl</f>
        <v>2.2718344702210028E-2</v>
      </c>
      <c r="AD213" s="231">
        <f>(INDEX(Models!$BJ213:$BT213,,AH213)*(1-AF213)+INDEX(Models!$BJ213:$BT213,,AH213+1)*AF213-ERP_i)*AE213*Ramure*Pc/MaxiM</f>
        <v>6.0963948354857838E-5</v>
      </c>
      <c r="AE213" s="305">
        <f t="shared" si="89"/>
        <v>0.5</v>
      </c>
      <c r="AF213" s="177">
        <f t="shared" si="90"/>
        <v>0.91069994291999334</v>
      </c>
      <c r="AG213" s="176">
        <f t="shared" si="91"/>
        <v>-2</v>
      </c>
      <c r="AH213" s="176">
        <f t="shared" si="92"/>
        <v>4</v>
      </c>
      <c r="AI213" s="225">
        <f t="shared" si="93"/>
        <v>-1.0893000570800067</v>
      </c>
      <c r="AJ213" s="265" t="b">
        <f t="shared" si="94"/>
        <v>0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7">
        <v>57.97</v>
      </c>
      <c r="C214" s="390"/>
      <c r="D214" s="393">
        <f t="shared" si="75"/>
        <v>58.487799369965558</v>
      </c>
      <c r="E214" s="385">
        <f t="shared" si="73"/>
        <v>59.850340742974119</v>
      </c>
      <c r="F214" s="385">
        <f t="shared" si="76"/>
        <v>59.854188661420928</v>
      </c>
      <c r="G214" s="110">
        <f t="shared" si="74"/>
        <v>0.99238138269496645</v>
      </c>
      <c r="H214" s="414" t="b">
        <f>Wh_hp&gt;='2018'!Maxi_hp</f>
        <v>1</v>
      </c>
      <c r="I214" s="390">
        <f>IF(H214,Wh_hp,'2018'!Maxi_hp)</f>
        <v>59.854188661420928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8.8531176680149981E-3</v>
      </c>
      <c r="M214" s="845"/>
      <c r="N214" s="845"/>
      <c r="O214" s="48">
        <f>IF(t&lt;Tnet,'2018'!Resal+('2018'!Salim-'2018'!Resal)*(1-EXP(('2018'!Tnet-t)/('2018'!Tau_j))),Resal+(Salim-Resal)*(1-EXP((Tnet-t)/(Tau_j))))*Salcycl</f>
        <v>2.2765808115612254E-2</v>
      </c>
      <c r="P214" s="169">
        <f>(INDEX(Models!$BJ214:$BT214,,T214)*(1-R214)+INDEX(Models!$BJ214:$BT214,,T214+1)*R214-ERP_i)*Q214*Ramure*Pc/MaxiM</f>
        <v>6.4995535873569148E-5</v>
      </c>
      <c r="Q214" s="305">
        <f t="shared" si="78"/>
        <v>0.5</v>
      </c>
      <c r="R214" s="177">
        <f t="shared" si="79"/>
        <v>0.91361087418555709</v>
      </c>
      <c r="S214" s="811">
        <f t="shared" si="80"/>
        <v>-2</v>
      </c>
      <c r="T214" s="176">
        <f t="shared" si="81"/>
        <v>4</v>
      </c>
      <c r="U214" s="251">
        <f t="shared" si="82"/>
        <v>-1.0863891258144429</v>
      </c>
      <c r="V214" s="383">
        <f t="shared" si="83"/>
        <v>58.415000527377458</v>
      </c>
      <c r="W214" s="58"/>
      <c r="X214" s="157">
        <f t="shared" si="84"/>
        <v>43665</v>
      </c>
      <c r="Y214" s="385">
        <f t="shared" si="85"/>
        <v>57.97</v>
      </c>
      <c r="Z214" s="385">
        <f t="shared" si="86"/>
        <v>58.487799369965558</v>
      </c>
      <c r="AA214" s="386">
        <f t="shared" si="87"/>
        <v>59.850340742974119</v>
      </c>
      <c r="AB214" s="197">
        <f t="shared" si="88"/>
        <v>43665</v>
      </c>
      <c r="AC214" s="426">
        <f>IF(OR(t&lt;Tnet,NoTnet),'2018'!Resal_s+('2018'!Salim-'2018'!Resal_s)*(1-EXP(('2018'!Tnet_s-t)/'2018'!Tau_j)),Resal_s+(Salim-Resal_s)*(1-EXP((Tnet_s-t)/Tau_j)))*Salcycl</f>
        <v>2.2765808115612254E-2</v>
      </c>
      <c r="AD214" s="231">
        <f>(INDEX(Models!$BJ214:$BT214,,AH214)*(1-AF214)+INDEX(Models!$BJ214:$BT214,,AH214+1)*AF214-ERP_i)*AE214*Ramure*Pc/MaxiM</f>
        <v>6.4995535873569148E-5</v>
      </c>
      <c r="AE214" s="305">
        <f t="shared" si="89"/>
        <v>0.5</v>
      </c>
      <c r="AF214" s="177">
        <f t="shared" si="90"/>
        <v>0.91361087418555709</v>
      </c>
      <c r="AG214" s="176">
        <f t="shared" si="91"/>
        <v>-2</v>
      </c>
      <c r="AH214" s="176">
        <f t="shared" si="92"/>
        <v>4</v>
      </c>
      <c r="AI214" s="225">
        <f t="shared" si="93"/>
        <v>-1.0863891258144429</v>
      </c>
      <c r="AJ214" s="265" t="b">
        <f t="shared" si="94"/>
        <v>0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7">
        <v>27.257000000000001</v>
      </c>
      <c r="C215" s="390"/>
      <c r="D215" s="393">
        <f t="shared" si="75"/>
        <v>27.50106719520446</v>
      </c>
      <c r="E215" s="385">
        <f t="shared" si="73"/>
        <v>28.143097864831834</v>
      </c>
      <c r="F215" s="385">
        <f t="shared" si="76"/>
        <v>28.143561316152542</v>
      </c>
      <c r="G215" s="110">
        <f t="shared" si="74"/>
        <v>0.46759344555762183</v>
      </c>
      <c r="H215" s="414" t="b">
        <f>Wh_hp&gt;='2018'!Maxi_hp</f>
        <v>1</v>
      </c>
      <c r="I215" s="390">
        <f>IF(H215,Wh_hp,'2018'!Maxi_hp)</f>
        <v>28.143561316152542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8.8748263284494922E-3</v>
      </c>
      <c r="M215" s="845"/>
      <c r="N215" s="845"/>
      <c r="O215" s="48">
        <f>IF(t&lt;Tnet,'2018'!Resal+('2018'!Salim-'2018'!Resal)*(1-EXP(('2018'!Tnet-t)/('2018'!Tau_j))),Resal+(Salim-Resal)*(1-EXP((Tnet-t)/(Tau_j))))*Salcycl</f>
        <v>2.2813077391514551E-2</v>
      </c>
      <c r="P215" s="169">
        <f>(INDEX(Models!$BJ215:$BT215,,T215)*(1-R215)+INDEX(Models!$BJ215:$BT215,,T215+1)*R215-ERP_i)*Q215*Ramure*Pc/MaxiM</f>
        <v>6.8770583013389242E-5</v>
      </c>
      <c r="Q215" s="305">
        <f t="shared" si="78"/>
        <v>0.5</v>
      </c>
      <c r="R215" s="177">
        <f t="shared" si="79"/>
        <v>0.91644335962099222</v>
      </c>
      <c r="S215" s="811">
        <f t="shared" si="80"/>
        <v>-2</v>
      </c>
      <c r="T215" s="176">
        <f t="shared" si="81"/>
        <v>4</v>
      </c>
      <c r="U215" s="251">
        <f t="shared" si="82"/>
        <v>-1.0835566403790078</v>
      </c>
      <c r="V215" s="383">
        <f t="shared" si="83"/>
        <v>58.289042773468417</v>
      </c>
      <c r="W215" s="58"/>
      <c r="X215" s="157">
        <f t="shared" si="84"/>
        <v>43666</v>
      </c>
      <c r="Y215" s="385">
        <f t="shared" si="85"/>
        <v>27.257000000000001</v>
      </c>
      <c r="Z215" s="385">
        <f t="shared" si="86"/>
        <v>27.50106719520446</v>
      </c>
      <c r="AA215" s="386">
        <f t="shared" si="87"/>
        <v>28.143097864831834</v>
      </c>
      <c r="AB215" s="197">
        <f t="shared" si="88"/>
        <v>43666</v>
      </c>
      <c r="AC215" s="426">
        <f>IF(OR(t&lt;Tnet,NoTnet),'2018'!Resal_s+('2018'!Salim-'2018'!Resal_s)*(1-EXP(('2018'!Tnet_s-t)/'2018'!Tau_j)),Resal_s+(Salim-Resal_s)*(1-EXP((Tnet_s-t)/Tau_j)))*Salcycl</f>
        <v>2.2813077391514551E-2</v>
      </c>
      <c r="AD215" s="231">
        <f>(INDEX(Models!$BJ215:$BT215,,AH215)*(1-AF215)+INDEX(Models!$BJ215:$BT215,,AH215+1)*AF215-ERP_i)*AE215*Ramure*Pc/MaxiM</f>
        <v>6.8770583013389242E-5</v>
      </c>
      <c r="AE215" s="305">
        <f t="shared" si="89"/>
        <v>0.5</v>
      </c>
      <c r="AF215" s="177">
        <f t="shared" si="90"/>
        <v>0.91644335962099222</v>
      </c>
      <c r="AG215" s="176">
        <f t="shared" si="91"/>
        <v>-2</v>
      </c>
      <c r="AH215" s="176">
        <f t="shared" si="92"/>
        <v>4</v>
      </c>
      <c r="AI215" s="225">
        <f t="shared" si="93"/>
        <v>-1.0835566403790078</v>
      </c>
      <c r="AJ215" s="265" t="b">
        <f t="shared" si="94"/>
        <v>0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7">
        <v>45.609000000000002</v>
      </c>
      <c r="C216" s="390"/>
      <c r="D216" s="393">
        <f t="shared" si="75"/>
        <v>46.018404322305386</v>
      </c>
      <c r="E216" s="385">
        <f t="shared" si="73"/>
        <v>47.095003725153859</v>
      </c>
      <c r="F216" s="385">
        <f t="shared" si="76"/>
        <v>47.09735845725158</v>
      </c>
      <c r="G216" s="110">
        <f t="shared" si="74"/>
        <v>0.78415637863872456</v>
      </c>
      <c r="H216" s="414" t="b">
        <f>Wh_hp&gt;='2018'!Maxi_hp</f>
        <v>1</v>
      </c>
      <c r="I216" s="390">
        <f>IF(H216,Wh_hp,'2018'!Maxi_hp)</f>
        <v>47.09735845725158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8.8965345134086604E-3</v>
      </c>
      <c r="M216" s="845"/>
      <c r="N216" s="845"/>
      <c r="O216" s="48">
        <f>IF(t&lt;Tnet,'2018'!Resal+('2018'!Salim-'2018'!Resal)*(1-EXP(('2018'!Tnet-t)/('2018'!Tau_j))),Resal+(Salim-Resal)*(1-EXP((Tnet-t)/(Tau_j))))*Salcycl</f>
        <v>2.2860161751584101E-2</v>
      </c>
      <c r="P216" s="169">
        <f>(INDEX(Models!$BJ216:$BT216,,T216)*(1-R216)+INDEX(Models!$BJ216:$BT216,,T216+1)*R216-ERP_i)*Q216*Ramure*Pc/MaxiM</f>
        <v>7.2283913729074905E-5</v>
      </c>
      <c r="Q216" s="305">
        <f t="shared" si="78"/>
        <v>0.5</v>
      </c>
      <c r="R216" s="177">
        <f t="shared" si="79"/>
        <v>0.91919823237905218</v>
      </c>
      <c r="S216" s="811">
        <f t="shared" si="80"/>
        <v>-2</v>
      </c>
      <c r="T216" s="176">
        <f t="shared" si="81"/>
        <v>4</v>
      </c>
      <c r="U216" s="251">
        <f t="shared" si="82"/>
        <v>-1.0808017676209478</v>
      </c>
      <c r="V216" s="383">
        <f t="shared" si="83"/>
        <v>58.161847194046501</v>
      </c>
      <c r="W216" s="58"/>
      <c r="X216" s="157">
        <f t="shared" si="84"/>
        <v>43667</v>
      </c>
      <c r="Y216" s="385">
        <f t="shared" si="85"/>
        <v>45.609000000000002</v>
      </c>
      <c r="Z216" s="385">
        <f t="shared" si="86"/>
        <v>46.018404322305386</v>
      </c>
      <c r="AA216" s="386">
        <f t="shared" si="87"/>
        <v>47.095003725153859</v>
      </c>
      <c r="AB216" s="197">
        <f t="shared" si="88"/>
        <v>43667</v>
      </c>
      <c r="AC216" s="426">
        <f>IF(OR(t&lt;Tnet,NoTnet),'2018'!Resal_s+('2018'!Salim-'2018'!Resal_s)*(1-EXP(('2018'!Tnet_s-t)/'2018'!Tau_j)),Resal_s+(Salim-Resal_s)*(1-EXP((Tnet_s-t)/Tau_j)))*Salcycl</f>
        <v>2.2860161751584101E-2</v>
      </c>
      <c r="AD216" s="231">
        <f>(INDEX(Models!$BJ216:$BT216,,AH216)*(1-AF216)+INDEX(Models!$BJ216:$BT216,,AH216+1)*AF216-ERP_i)*AE216*Ramure*Pc/MaxiM</f>
        <v>7.2283913729074905E-5</v>
      </c>
      <c r="AE216" s="305">
        <f t="shared" si="89"/>
        <v>0.5</v>
      </c>
      <c r="AF216" s="177">
        <f t="shared" si="90"/>
        <v>0.91919823237905218</v>
      </c>
      <c r="AG216" s="176">
        <f t="shared" si="91"/>
        <v>-2</v>
      </c>
      <c r="AH216" s="176">
        <f t="shared" si="92"/>
        <v>4</v>
      </c>
      <c r="AI216" s="225">
        <f t="shared" si="93"/>
        <v>-1.0808017676209478</v>
      </c>
      <c r="AJ216" s="265" t="b">
        <f t="shared" si="94"/>
        <v>0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7">
        <v>48.156999999999996</v>
      </c>
      <c r="C217" s="390"/>
      <c r="D217" s="393">
        <f t="shared" si="75"/>
        <v>48.590340425608886</v>
      </c>
      <c r="E217" s="385">
        <f t="shared" si="73"/>
        <v>49.729497510286969</v>
      </c>
      <c r="F217" s="385">
        <f t="shared" si="76"/>
        <v>49.732340573058359</v>
      </c>
      <c r="G217" s="110">
        <f t="shared" si="74"/>
        <v>0.82979832352416294</v>
      </c>
      <c r="H217" s="414" t="b">
        <f>Wh_hp&gt;='2018'!Maxi_hp</f>
        <v>1</v>
      </c>
      <c r="I217" s="390">
        <f>IF(H217,Wh_hp,'2018'!Maxi_hp)</f>
        <v>49.732340573058359</v>
      </c>
      <c r="J217" s="85">
        <f>IF(H217,An,'2018'!An_max)</f>
        <v>2019</v>
      </c>
      <c r="K217" s="197">
        <f t="shared" si="77"/>
        <v>43668</v>
      </c>
      <c r="L217" s="147">
        <f>IF(t&lt;Tvie,1-EXP((T0-t)*PertePVj)+'2018'!Pspv,1-EXP((T0-t)*PertePVj)+Pspv)</f>
        <v>8.918242222902828E-3</v>
      </c>
      <c r="M217" s="845"/>
      <c r="N217" s="845"/>
      <c r="O217" s="48">
        <f>IF(t&lt;Tnet,'2018'!Resal+('2018'!Salim-'2018'!Resal)*(1-EXP(('2018'!Tnet-t)/('2018'!Tau_j))),Resal+(Salim-Resal)*(1-EXP((Tnet-t)/(Tau_j))))*Salcycl</f>
        <v>2.2907070083353197E-2</v>
      </c>
      <c r="P217" s="169">
        <f>(INDEX(Models!$BJ217:$BT217,,T217)*(1-R217)+INDEX(Models!$BJ217:$BT217,,T217+1)*R217-ERP_i)*Q217*Ramure*Pc/MaxiM</f>
        <v>7.5530527536912473E-5</v>
      </c>
      <c r="Q217" s="305">
        <f t="shared" si="78"/>
        <v>0.5</v>
      </c>
      <c r="R217" s="177">
        <f t="shared" si="79"/>
        <v>0.92187640803633131</v>
      </c>
      <c r="S217" s="811">
        <f t="shared" si="80"/>
        <v>-2</v>
      </c>
      <c r="T217" s="176">
        <f t="shared" si="81"/>
        <v>4</v>
      </c>
      <c r="U217" s="251">
        <f t="shared" si="82"/>
        <v>-1.0781235919636687</v>
      </c>
      <c r="V217" s="383">
        <f t="shared" si="83"/>
        <v>58.033517621655804</v>
      </c>
      <c r="W217" s="58"/>
      <c r="X217" s="157">
        <f t="shared" si="84"/>
        <v>43668</v>
      </c>
      <c r="Y217" s="385">
        <f t="shared" si="85"/>
        <v>48.156999999999996</v>
      </c>
      <c r="Z217" s="385">
        <f t="shared" si="86"/>
        <v>48.590340425608886</v>
      </c>
      <c r="AA217" s="386">
        <f t="shared" si="87"/>
        <v>49.729497510286969</v>
      </c>
      <c r="AB217" s="197">
        <f t="shared" si="88"/>
        <v>43668</v>
      </c>
      <c r="AC217" s="426">
        <f>IF(OR(t&lt;Tnet,NoTnet),'2018'!Resal_s+('2018'!Salim-'2018'!Resal_s)*(1-EXP(('2018'!Tnet_s-t)/'2018'!Tau_j)),Resal_s+(Salim-Resal_s)*(1-EXP((Tnet_s-t)/Tau_j)))*Salcycl</f>
        <v>2.2907070083353197E-2</v>
      </c>
      <c r="AD217" s="231">
        <f>(INDEX(Models!$BJ217:$BT217,,AH217)*(1-AF217)+INDEX(Models!$BJ217:$BT217,,AH217+1)*AF217-ERP_i)*AE217*Ramure*Pc/MaxiM</f>
        <v>7.5530527536912473E-5</v>
      </c>
      <c r="AE217" s="305">
        <f t="shared" si="89"/>
        <v>0.5</v>
      </c>
      <c r="AF217" s="177">
        <f t="shared" si="90"/>
        <v>0.92187640803633131</v>
      </c>
      <c r="AG217" s="176">
        <f t="shared" si="91"/>
        <v>-2</v>
      </c>
      <c r="AH217" s="176">
        <f t="shared" si="92"/>
        <v>4</v>
      </c>
      <c r="AI217" s="225">
        <f t="shared" si="93"/>
        <v>-1.0781235919636687</v>
      </c>
      <c r="AJ217" s="265" t="b">
        <f t="shared" si="94"/>
        <v>0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7">
        <v>56.097000000000001</v>
      </c>
      <c r="C218" s="390"/>
      <c r="D218" s="393">
        <f t="shared" si="75"/>
        <v>56.603028211319078</v>
      </c>
      <c r="E218" s="385">
        <f t="shared" si="73"/>
        <v>57.932806905966153</v>
      </c>
      <c r="F218" s="385">
        <f t="shared" si="76"/>
        <v>57.937152506467669</v>
      </c>
      <c r="G218" s="110">
        <f t="shared" si="74"/>
        <v>0.96878714239874464</v>
      </c>
      <c r="H218" s="414" t="b">
        <f>Wh_hp&gt;='2018'!Maxi_hp</f>
        <v>1</v>
      </c>
      <c r="I218" s="390">
        <f>IF(H218,Wh_hp,'2018'!Maxi_hp)</f>
        <v>57.937152506467669</v>
      </c>
      <c r="J218" s="85">
        <f>IF(H218,An,'2018'!An_max)</f>
        <v>2019</v>
      </c>
      <c r="K218" s="197">
        <f t="shared" si="77"/>
        <v>43669</v>
      </c>
      <c r="L218" s="147">
        <f>IF(t&lt;Tvie,1-EXP((T0-t)*PertePVj)+'2018'!Pspv,1-EXP((T0-t)*PertePVj)+Pspv)</f>
        <v>8.9399494569424309E-3</v>
      </c>
      <c r="M218" s="845"/>
      <c r="N218" s="845"/>
      <c r="O218" s="48">
        <f>IF(t&lt;Tnet,'2018'!Resal+('2018'!Salim-'2018'!Resal)*(1-EXP(('2018'!Tnet-t)/('2018'!Tau_j))),Resal+(Salim-Resal)*(1-EXP((Tnet-t)/(Tau_j))))*Salcycl</f>
        <v>2.2953810900367938E-2</v>
      </c>
      <c r="P218" s="169">
        <f>(INDEX(Models!$BJ218:$BT218,,T218)*(1-R218)+INDEX(Models!$BJ218:$BT218,,T218+1)*R218-ERP_i)*Q218*Ramure*Pc/MaxiM</f>
        <v>7.8505588666705558E-5</v>
      </c>
      <c r="Q218" s="305">
        <f t="shared" si="78"/>
        <v>0.5</v>
      </c>
      <c r="R218" s="177">
        <f t="shared" si="79"/>
        <v>0.92447887779746352</v>
      </c>
      <c r="S218" s="811">
        <f t="shared" si="80"/>
        <v>-2</v>
      </c>
      <c r="T218" s="176">
        <f t="shared" si="81"/>
        <v>4</v>
      </c>
      <c r="U218" s="251">
        <f t="shared" si="82"/>
        <v>-1.0755211222025365</v>
      </c>
      <c r="V218" s="383">
        <f t="shared" si="83"/>
        <v>57.904157870484767</v>
      </c>
      <c r="W218" s="58"/>
      <c r="X218" s="157">
        <f t="shared" si="84"/>
        <v>43669</v>
      </c>
      <c r="Y218" s="385">
        <f t="shared" si="85"/>
        <v>56.097000000000001</v>
      </c>
      <c r="Z218" s="385">
        <f t="shared" si="86"/>
        <v>56.603028211319078</v>
      </c>
      <c r="AA218" s="386">
        <f t="shared" si="87"/>
        <v>57.932806905966153</v>
      </c>
      <c r="AB218" s="197">
        <f t="shared" si="88"/>
        <v>43669</v>
      </c>
      <c r="AC218" s="426">
        <f>IF(OR(t&lt;Tnet,NoTnet),'2018'!Resal_s+('2018'!Salim-'2018'!Resal_s)*(1-EXP(('2018'!Tnet_s-t)/'2018'!Tau_j)),Resal_s+(Salim-Resal_s)*(1-EXP((Tnet_s-t)/Tau_j)))*Salcycl</f>
        <v>2.2953810900367938E-2</v>
      </c>
      <c r="AD218" s="231">
        <f>(INDEX(Models!$BJ218:$BT218,,AH218)*(1-AF218)+INDEX(Models!$BJ218:$BT218,,AH218+1)*AF218-ERP_i)*AE218*Ramure*Pc/MaxiM</f>
        <v>7.8505588666705558E-5</v>
      </c>
      <c r="AE218" s="305">
        <f t="shared" si="89"/>
        <v>0.5</v>
      </c>
      <c r="AF218" s="177">
        <f t="shared" si="90"/>
        <v>0.92447887779746352</v>
      </c>
      <c r="AG218" s="176">
        <f t="shared" si="91"/>
        <v>-2</v>
      </c>
      <c r="AH218" s="176">
        <f t="shared" si="92"/>
        <v>4</v>
      </c>
      <c r="AI218" s="225">
        <f t="shared" si="93"/>
        <v>-1.0755211222025365</v>
      </c>
      <c r="AJ218" s="265" t="b">
        <f t="shared" si="94"/>
        <v>0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7">
        <v>56.081000000000003</v>
      </c>
      <c r="C219" s="390"/>
      <c r="D219" s="393">
        <f t="shared" si="75"/>
        <v>56.588123306959439</v>
      </c>
      <c r="E219" s="385">
        <f t="shared" si="73"/>
        <v>57.920313233857094</v>
      </c>
      <c r="F219" s="385">
        <f t="shared" si="76"/>
        <v>57.924820130429069</v>
      </c>
      <c r="G219" s="110">
        <f t="shared" si="74"/>
        <v>0.97069938286253277</v>
      </c>
      <c r="H219" s="414" t="b">
        <f>Wh_hp&gt;='2018'!Maxi_hp</f>
        <v>1</v>
      </c>
      <c r="I219" s="390">
        <f>IF(H219,Wh_hp,'2018'!Maxi_hp)</f>
        <v>57.924820130429069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8.9616562155379054E-3</v>
      </c>
      <c r="M219" s="845"/>
      <c r="N219" s="845"/>
      <c r="O219" s="48">
        <f>IF(t&lt;Tnet,'2018'!Resal+('2018'!Salim-'2018'!Resal)*(1-EXP(('2018'!Tnet-t)/('2018'!Tau_j))),Resal+(Salim-Resal)*(1-EXP((Tnet-t)/(Tau_j))))*Salcycl</f>
        <v>2.3000392306561819E-2</v>
      </c>
      <c r="P219" s="169">
        <f>(INDEX(Models!$BJ219:$BT219,,T219)*(1-R219)+INDEX(Models!$BJ219:$BT219,,T219+1)*R219-ERP_i)*Q219*Ramure*Pc/MaxiM</f>
        <v>8.1204649210494517E-5</v>
      </c>
      <c r="Q219" s="305">
        <f t="shared" si="78"/>
        <v>0.5</v>
      </c>
      <c r="R219" s="177">
        <f t="shared" si="79"/>
        <v>0.92700670184034073</v>
      </c>
      <c r="S219" s="811">
        <f t="shared" si="80"/>
        <v>-2</v>
      </c>
      <c r="T219" s="176">
        <f t="shared" si="81"/>
        <v>4</v>
      </c>
      <c r="U219" s="251">
        <f t="shared" si="82"/>
        <v>-1.0729932981596593</v>
      </c>
      <c r="V219" s="383">
        <f t="shared" si="83"/>
        <v>57.773611865522888</v>
      </c>
      <c r="W219" s="58"/>
      <c r="X219" s="157">
        <f t="shared" si="84"/>
        <v>43670</v>
      </c>
      <c r="Y219" s="385">
        <f t="shared" si="85"/>
        <v>56.081000000000003</v>
      </c>
      <c r="Z219" s="385">
        <f t="shared" si="86"/>
        <v>56.588123306959439</v>
      </c>
      <c r="AA219" s="386">
        <f t="shared" si="87"/>
        <v>57.920313233857094</v>
      </c>
      <c r="AB219" s="197">
        <f t="shared" si="88"/>
        <v>43670</v>
      </c>
      <c r="AC219" s="426">
        <f>IF(OR(t&lt;Tnet,NoTnet),'2018'!Resal_s+('2018'!Salim-'2018'!Resal_s)*(1-EXP(('2018'!Tnet_s-t)/'2018'!Tau_j)),Resal_s+(Salim-Resal_s)*(1-EXP((Tnet_s-t)/Tau_j)))*Salcycl</f>
        <v>2.3000392306561819E-2</v>
      </c>
      <c r="AD219" s="231">
        <f>(INDEX(Models!$BJ219:$BT219,,AH219)*(1-AF219)+INDEX(Models!$BJ219:$BT219,,AH219+1)*AF219-ERP_i)*AE219*Ramure*Pc/MaxiM</f>
        <v>8.1204649210494517E-5</v>
      </c>
      <c r="AE219" s="305">
        <f t="shared" si="89"/>
        <v>0.5</v>
      </c>
      <c r="AF219" s="177">
        <f t="shared" si="90"/>
        <v>0.92700670184034073</v>
      </c>
      <c r="AG219" s="176">
        <f t="shared" si="91"/>
        <v>-2</v>
      </c>
      <c r="AH219" s="176">
        <f t="shared" si="92"/>
        <v>4</v>
      </c>
      <c r="AI219" s="225">
        <f t="shared" si="93"/>
        <v>-1.0729932981596593</v>
      </c>
      <c r="AJ219" s="265" t="b">
        <f t="shared" si="94"/>
        <v>0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7">
        <v>56.749000000000002</v>
      </c>
      <c r="C220" s="390"/>
      <c r="D220" s="393">
        <f t="shared" si="75"/>
        <v>57.263418042187546</v>
      </c>
      <c r="E220" s="385">
        <f t="shared" si="73"/>
        <v>58.614291175513841</v>
      </c>
      <c r="F220" s="385">
        <f t="shared" si="76"/>
        <v>58.619065963281635</v>
      </c>
      <c r="G220" s="110">
        <f t="shared" si="74"/>
        <v>0.98451159312676451</v>
      </c>
      <c r="H220" s="414" t="b">
        <f>Wh_hp&gt;='2018'!Maxi_hp</f>
        <v>1</v>
      </c>
      <c r="I220" s="390">
        <f>IF(H220,Wh_hp,'2018'!Maxi_hp)</f>
        <v>58.619065963281635</v>
      </c>
      <c r="J220" s="85">
        <f>IF(H220,An,'2018'!An_max)</f>
        <v>2019</v>
      </c>
      <c r="K220" s="197">
        <f t="shared" si="77"/>
        <v>43671</v>
      </c>
      <c r="L220" s="147">
        <f>IF(t&lt;Tvie,1-EXP((T0-t)*PertePVj)+'2018'!Pspv,1-EXP((T0-t)*PertePVj)+Pspv)</f>
        <v>8.9833624986995764E-3</v>
      </c>
      <c r="M220" s="845"/>
      <c r="N220" s="845"/>
      <c r="O220" s="48">
        <f>IF(t&lt;Tnet,'2018'!Resal+('2018'!Salim-'2018'!Resal)*(1-EXP(('2018'!Tnet-t)/('2018'!Tau_j))),Resal+(Salim-Resal)*(1-EXP((Tnet-t)/(Tau_j))))*Salcycl</f>
        <v>2.3046821964992397E-2</v>
      </c>
      <c r="P220" s="169">
        <f>(INDEX(Models!$BJ220:$BT220,,T220)*(1-R220)+INDEX(Models!$BJ220:$BT220,,T220+1)*R220-ERP_i)*Q220*Ramure*Pc/MaxiM</f>
        <v>8.3297364256145658E-5</v>
      </c>
      <c r="Q220" s="305">
        <f t="shared" si="78"/>
        <v>0.5</v>
      </c>
      <c r="R220" s="177">
        <f t="shared" si="79"/>
        <v>0.92946100282747568</v>
      </c>
      <c r="S220" s="811">
        <f t="shared" si="80"/>
        <v>-2</v>
      </c>
      <c r="T220" s="176">
        <f t="shared" si="81"/>
        <v>4</v>
      </c>
      <c r="U220" s="251">
        <f t="shared" si="82"/>
        <v>-1.0705389971725243</v>
      </c>
      <c r="V220" s="383">
        <f t="shared" si="83"/>
        <v>57.641673097592182</v>
      </c>
      <c r="W220" s="58"/>
      <c r="X220" s="157">
        <f t="shared" si="84"/>
        <v>43671</v>
      </c>
      <c r="Y220" s="385">
        <f t="shared" si="85"/>
        <v>56.749000000000002</v>
      </c>
      <c r="Z220" s="385">
        <f t="shared" si="86"/>
        <v>57.263418042187546</v>
      </c>
      <c r="AA220" s="386">
        <f t="shared" si="87"/>
        <v>58.614291175513841</v>
      </c>
      <c r="AB220" s="197">
        <f t="shared" si="88"/>
        <v>43671</v>
      </c>
      <c r="AC220" s="426">
        <f>IF(OR(t&lt;Tnet,NoTnet),'2018'!Resal_s+('2018'!Salim-'2018'!Resal_s)*(1-EXP(('2018'!Tnet_s-t)/'2018'!Tau_j)),Resal_s+(Salim-Resal_s)*(1-EXP((Tnet_s-t)/Tau_j)))*Salcycl</f>
        <v>2.3046821964992397E-2</v>
      </c>
      <c r="AD220" s="231">
        <f>(INDEX(Models!$BJ220:$BT220,,AH220)*(1-AF220)+INDEX(Models!$BJ220:$BT220,,AH220+1)*AF220-ERP_i)*AE220*Ramure*Pc/MaxiM</f>
        <v>8.3297364256145658E-5</v>
      </c>
      <c r="AE220" s="305">
        <f t="shared" si="89"/>
        <v>0.5</v>
      </c>
      <c r="AF220" s="177">
        <f t="shared" si="90"/>
        <v>0.92946100282747568</v>
      </c>
      <c r="AG220" s="176">
        <f t="shared" si="91"/>
        <v>-2</v>
      </c>
      <c r="AH220" s="176">
        <f t="shared" si="92"/>
        <v>4</v>
      </c>
      <c r="AI220" s="225">
        <f t="shared" si="93"/>
        <v>-1.0705389971725243</v>
      </c>
      <c r="AJ220" s="265" t="b">
        <f t="shared" si="94"/>
        <v>0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7">
        <v>20.655999999999999</v>
      </c>
      <c r="C221" s="390"/>
      <c r="D221" s="393">
        <f t="shared" si="75"/>
        <v>20.843698932647317</v>
      </c>
      <c r="E221" s="385">
        <f t="shared" si="73"/>
        <v>21.336423239018881</v>
      </c>
      <c r="F221" s="385">
        <f t="shared" si="76"/>
        <v>21.336575912466561</v>
      </c>
      <c r="G221" s="110">
        <f t="shared" si="74"/>
        <v>0.35915479537008077</v>
      </c>
      <c r="H221" s="414" t="b">
        <f>Wh_hp&gt;='2018'!Maxi_hp</f>
        <v>0</v>
      </c>
      <c r="I221" s="390">
        <f>IF(H221,Wh_hp,'2018'!Maxi_hp)</f>
        <v>56.688146923000261</v>
      </c>
      <c r="J221" s="85">
        <f>IF(H221,An,'2018'!An_max)</f>
        <v>2018</v>
      </c>
      <c r="K221" s="197">
        <f t="shared" si="77"/>
        <v>43672</v>
      </c>
      <c r="L221" s="147">
        <f>IF(t&lt;Tvie,1-EXP((T0-t)*PertePVj)+'2018'!Pspv,1-EXP((T0-t)*PertePVj)+Pspv)</f>
        <v>9.0050683064379911E-3</v>
      </c>
      <c r="M221" s="845"/>
      <c r="N221" s="845"/>
      <c r="O221" s="48">
        <f>IF(t&lt;Tnet,'2018'!Resal+('2018'!Salim-'2018'!Resal)*(1-EXP(('2018'!Tnet-t)/('2018'!Tau_j))),Resal+(Salim-Resal)*(1-EXP((Tnet-t)/(Tau_j))))*Salcycl</f>
        <v>2.3093107071034128E-2</v>
      </c>
      <c r="P221" s="169">
        <f>(INDEX(Models!$BJ221:$BT221,,T221)*(1-R221)+INDEX(Models!$BJ221:$BT221,,T221+1)*R221-ERP_i)*Q221*Ramure*Pc/MaxiM</f>
        <v>8.4633559840683212E-5</v>
      </c>
      <c r="Q221" s="305">
        <f t="shared" si="78"/>
        <v>0.5</v>
      </c>
      <c r="R221" s="177">
        <f t="shared" si="79"/>
        <v>0.93184295960533459</v>
      </c>
      <c r="S221" s="811">
        <f t="shared" si="80"/>
        <v>-2</v>
      </c>
      <c r="T221" s="176">
        <f t="shared" si="81"/>
        <v>4</v>
      </c>
      <c r="U221" s="251">
        <f t="shared" si="82"/>
        <v>-1.0681570403946654</v>
      </c>
      <c r="V221" s="383">
        <f t="shared" si="83"/>
        <v>57.508349791219544</v>
      </c>
      <c r="W221" s="58"/>
      <c r="X221" s="157">
        <f t="shared" si="84"/>
        <v>43672</v>
      </c>
      <c r="Y221" s="385">
        <f t="shared" si="85"/>
        <v>20.655999999999999</v>
      </c>
      <c r="Z221" s="385">
        <f t="shared" si="86"/>
        <v>20.843698932647317</v>
      </c>
      <c r="AA221" s="386">
        <f t="shared" si="87"/>
        <v>21.336423239018881</v>
      </c>
      <c r="AB221" s="197">
        <f t="shared" si="88"/>
        <v>43672</v>
      </c>
      <c r="AC221" s="426">
        <f>IF(OR(t&lt;Tnet,NoTnet),'2018'!Resal_s+('2018'!Salim-'2018'!Resal_s)*(1-EXP(('2018'!Tnet_s-t)/'2018'!Tau_j)),Resal_s+(Salim-Resal_s)*(1-EXP((Tnet_s-t)/Tau_j)))*Salcycl</f>
        <v>2.3093107071034128E-2</v>
      </c>
      <c r="AD221" s="231">
        <f>(INDEX(Models!$BJ221:$BT221,,AH221)*(1-AF221)+INDEX(Models!$BJ221:$BT221,,AH221+1)*AF221-ERP_i)*AE221*Ramure*Pc/MaxiM</f>
        <v>8.4633559840683212E-5</v>
      </c>
      <c r="AE221" s="305">
        <f t="shared" si="89"/>
        <v>0.5</v>
      </c>
      <c r="AF221" s="177">
        <f t="shared" si="90"/>
        <v>0.93184295960533459</v>
      </c>
      <c r="AG221" s="176">
        <f t="shared" si="91"/>
        <v>-2</v>
      </c>
      <c r="AH221" s="176">
        <f t="shared" si="92"/>
        <v>4</v>
      </c>
      <c r="AI221" s="225">
        <f t="shared" si="93"/>
        <v>-1.0681570403946654</v>
      </c>
      <c r="AJ221" s="265" t="b">
        <f t="shared" si="94"/>
        <v>0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7">
        <v>13.117000000000001</v>
      </c>
      <c r="C222" s="390"/>
      <c r="D222" s="393">
        <f t="shared" si="75"/>
        <v>13.236482733407877</v>
      </c>
      <c r="E222" s="385">
        <f t="shared" si="73"/>
        <v>13.55002009455337</v>
      </c>
      <c r="F222" s="385">
        <f t="shared" si="76"/>
        <v>13.55002009455337</v>
      </c>
      <c r="G222" s="110">
        <f t="shared" si="74"/>
        <v>0.22860466784335037</v>
      </c>
      <c r="H222" s="414" t="b">
        <f>Wh_hp&gt;='2018'!Maxi_hp</f>
        <v>0</v>
      </c>
      <c r="I222" s="390">
        <f>IF(H222,Wh_hp,'2018'!Maxi_hp)</f>
        <v>50.330259368541505</v>
      </c>
      <c r="J222" s="85">
        <f>IF(H222,An,'2018'!An_max)</f>
        <v>2018</v>
      </c>
      <c r="K222" s="197">
        <f t="shared" si="77"/>
        <v>43673</v>
      </c>
      <c r="L222" s="147">
        <f>IF(t&lt;Tvie,1-EXP((T0-t)*PertePVj)+'2018'!Pspv,1-EXP((T0-t)*PertePVj)+Pspv)</f>
        <v>9.0267736387635855E-3</v>
      </c>
      <c r="M222" s="845"/>
      <c r="N222" s="845"/>
      <c r="O222" s="48">
        <f>IF(t&lt;Tnet,'2018'!Resal+('2018'!Salim-'2018'!Resal)*(1-EXP(('2018'!Tnet-t)/('2018'!Tau_j))),Resal+(Salim-Resal)*(1-EXP((Tnet-t)/(Tau_j))))*Salcycl</f>
        <v>2.3139254330074611E-2</v>
      </c>
      <c r="P222" s="169">
        <f>(INDEX(Models!$BJ222:$BT222,,T222)*(1-R222)+INDEX(Models!$BJ222:$BT222,,T222+1)*R222-ERP_i)*Q222*Ramure*Pc/MaxiM</f>
        <v>8.5202646888603111E-5</v>
      </c>
      <c r="Q222" s="305">
        <f t="shared" si="78"/>
        <v>0.5</v>
      </c>
      <c r="R222" s="177">
        <f t="shared" si="79"/>
        <v>0.93415380111030055</v>
      </c>
      <c r="S222" s="811">
        <f t="shared" si="80"/>
        <v>-2</v>
      </c>
      <c r="T222" s="176">
        <f t="shared" si="81"/>
        <v>4</v>
      </c>
      <c r="U222" s="251">
        <f t="shared" si="82"/>
        <v>-1.0658461988896994</v>
      </c>
      <c r="V222" s="383">
        <f t="shared" si="83"/>
        <v>57.373642107204581</v>
      </c>
      <c r="W222" s="58"/>
      <c r="X222" s="157">
        <f t="shared" si="84"/>
        <v>43673</v>
      </c>
      <c r="Y222" s="385">
        <f t="shared" si="85"/>
        <v>13.117000000000001</v>
      </c>
      <c r="Z222" s="385">
        <f t="shared" si="86"/>
        <v>13.236482733407877</v>
      </c>
      <c r="AA222" s="386">
        <f t="shared" si="87"/>
        <v>13.55002009455337</v>
      </c>
      <c r="AB222" s="197">
        <f t="shared" si="88"/>
        <v>43673</v>
      </c>
      <c r="AC222" s="426">
        <f>IF(OR(t&lt;Tnet,NoTnet),'2018'!Resal_s+('2018'!Salim-'2018'!Resal_s)*(1-EXP(('2018'!Tnet_s-t)/'2018'!Tau_j)),Resal_s+(Salim-Resal_s)*(1-EXP((Tnet_s-t)/Tau_j)))*Salcycl</f>
        <v>2.3139254330074611E-2</v>
      </c>
      <c r="AD222" s="231">
        <f>(INDEX(Models!$BJ222:$BT222,,AH222)*(1-AF222)+INDEX(Models!$BJ222:$BT222,,AH222+1)*AF222-ERP_i)*AE222*Ramure*Pc/MaxiM</f>
        <v>8.5202646888603111E-5</v>
      </c>
      <c r="AE222" s="305">
        <f t="shared" si="89"/>
        <v>0.5</v>
      </c>
      <c r="AF222" s="177">
        <f t="shared" si="90"/>
        <v>0.93415380111030055</v>
      </c>
      <c r="AG222" s="176">
        <f t="shared" si="91"/>
        <v>-2</v>
      </c>
      <c r="AH222" s="176">
        <f t="shared" si="92"/>
        <v>4</v>
      </c>
      <c r="AI222" s="225">
        <f t="shared" si="93"/>
        <v>-1.0658461988896994</v>
      </c>
      <c r="AJ222" s="265" t="b">
        <f t="shared" si="94"/>
        <v>0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7">
        <v>52.652000000000001</v>
      </c>
      <c r="C223" s="390"/>
      <c r="D223" s="393">
        <f t="shared" si="75"/>
        <v>53.132770733397393</v>
      </c>
      <c r="E223" s="385">
        <f t="shared" si="73"/>
        <v>54.393908177570481</v>
      </c>
      <c r="F223" s="385">
        <f t="shared" si="76"/>
        <v>54.398002538827562</v>
      </c>
      <c r="G223" s="110">
        <f t="shared" si="74"/>
        <v>0.91987668223596086</v>
      </c>
      <c r="H223" s="414" t="b">
        <f>Wh_hp&gt;='2018'!Maxi_hp</f>
        <v>1</v>
      </c>
      <c r="I223" s="390">
        <f>IF(H223,Wh_hp,'2018'!Maxi_hp)</f>
        <v>54.398002538827562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9.0484784956865738E-3</v>
      </c>
      <c r="M223" s="845"/>
      <c r="N223" s="845"/>
      <c r="O223" s="48">
        <f>IF(t&lt;Tnet,'2018'!Resal+('2018'!Salim-'2018'!Resal)*(1-EXP(('2018'!Tnet-t)/('2018'!Tau_j))),Resal+(Salim-Resal)*(1-EXP((Tnet-t)/(Tau_j))))*Salcycl</f>
        <v>2.3185269939715866E-2</v>
      </c>
      <c r="P223" s="169">
        <f>(INDEX(Models!$BJ223:$BT223,,T223)*(1-R223)+INDEX(Models!$BJ223:$BT223,,T223+1)*R223-ERP_i)*Q223*Ramure*Pc/MaxiM</f>
        <v>8.4994275550615087E-5</v>
      </c>
      <c r="Q223" s="305">
        <f t="shared" si="78"/>
        <v>0.5</v>
      </c>
      <c r="R223" s="177">
        <f t="shared" si="79"/>
        <v>0.93639480049688206</v>
      </c>
      <c r="S223" s="811">
        <f t="shared" si="80"/>
        <v>-2</v>
      </c>
      <c r="T223" s="176">
        <f t="shared" si="81"/>
        <v>4</v>
      </c>
      <c r="U223" s="251">
        <f t="shared" si="82"/>
        <v>-1.0636051995031179</v>
      </c>
      <c r="V223" s="383">
        <f t="shared" si="83"/>
        <v>57.237550211815275</v>
      </c>
      <c r="W223" s="58"/>
      <c r="X223" s="157">
        <f t="shared" si="84"/>
        <v>43674</v>
      </c>
      <c r="Y223" s="385">
        <f t="shared" si="85"/>
        <v>52.652000000000001</v>
      </c>
      <c r="Z223" s="385">
        <f t="shared" si="86"/>
        <v>53.132770733397393</v>
      </c>
      <c r="AA223" s="386">
        <f t="shared" si="87"/>
        <v>54.393908177570481</v>
      </c>
      <c r="AB223" s="197">
        <f t="shared" si="88"/>
        <v>43674</v>
      </c>
      <c r="AC223" s="426">
        <f>IF(OR(t&lt;Tnet,NoTnet),'2018'!Resal_s+('2018'!Salim-'2018'!Resal_s)*(1-EXP(('2018'!Tnet_s-t)/'2018'!Tau_j)),Resal_s+(Salim-Resal_s)*(1-EXP((Tnet_s-t)/Tau_j)))*Salcycl</f>
        <v>2.3185269939715866E-2</v>
      </c>
      <c r="AD223" s="231">
        <f>(INDEX(Models!$BJ223:$BT223,,AH223)*(1-AF223)+INDEX(Models!$BJ223:$BT223,,AH223+1)*AF223-ERP_i)*AE223*Ramure*Pc/MaxiM</f>
        <v>8.4994275550615087E-5</v>
      </c>
      <c r="AE223" s="305">
        <f t="shared" si="89"/>
        <v>0.5</v>
      </c>
      <c r="AF223" s="177">
        <f t="shared" si="90"/>
        <v>0.93639480049688206</v>
      </c>
      <c r="AG223" s="176">
        <f t="shared" si="91"/>
        <v>-2</v>
      </c>
      <c r="AH223" s="176">
        <f t="shared" si="92"/>
        <v>4</v>
      </c>
      <c r="AI223" s="225">
        <f t="shared" si="93"/>
        <v>-1.0636051995031179</v>
      </c>
      <c r="AJ223" s="265" t="b">
        <f t="shared" si="94"/>
        <v>0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7">
        <v>57.725000000000001</v>
      </c>
      <c r="C224" s="390"/>
      <c r="D224" s="393">
        <f t="shared" si="75"/>
        <v>58.253368707390017</v>
      </c>
      <c r="E224" s="385">
        <f t="shared" si="73"/>
        <v>59.638848309421128</v>
      </c>
      <c r="F224" s="385">
        <f t="shared" si="76"/>
        <v>59.643858292588483</v>
      </c>
      <c r="G224" s="110">
        <f t="shared" si="74"/>
        <v>1.0109443941648826</v>
      </c>
      <c r="H224" s="414" t="b">
        <f>Wh_hp&gt;='2018'!Maxi_hp</f>
        <v>1</v>
      </c>
      <c r="I224" s="390">
        <f>IF(H224,Wh_hp,'2018'!Maxi_hp)</f>
        <v>59.643858292588483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9.0701828772176141E-3</v>
      </c>
      <c r="M224" s="845"/>
      <c r="N224" s="845"/>
      <c r="O224" s="48">
        <f>IF(t&lt;Tnet,'2018'!Resal+('2018'!Salim-'2018'!Resal)*(1-EXP(('2018'!Tnet-t)/('2018'!Tau_j))),Resal+(Salim-Resal)*(1-EXP((Tnet-t)/(Tau_j))))*Salcycl</f>
        <v>2.323115957643752E-2</v>
      </c>
      <c r="P224" s="169">
        <f>(INDEX(Models!$BJ224:$BT224,,T224)*(1-R224)+INDEX(Models!$BJ224:$BT224,,T224+1)*R224-ERP_i)*Q224*Ramure*Pc/MaxiM</f>
        <v>8.3998307801972215E-5</v>
      </c>
      <c r="Q224" s="305">
        <f t="shared" si="78"/>
        <v>0.5</v>
      </c>
      <c r="R224" s="177">
        <f t="shared" si="79"/>
        <v>0.93856726950091529</v>
      </c>
      <c r="S224" s="811">
        <f t="shared" si="80"/>
        <v>-2</v>
      </c>
      <c r="T224" s="176">
        <f t="shared" si="81"/>
        <v>4</v>
      </c>
      <c r="U224" s="251">
        <f t="shared" si="82"/>
        <v>-1.0614327304990847</v>
      </c>
      <c r="V224" s="383">
        <f t="shared" si="83"/>
        <v>57.100074280233066</v>
      </c>
      <c r="W224" s="58"/>
      <c r="X224" s="157">
        <f t="shared" si="84"/>
        <v>43675</v>
      </c>
      <c r="Y224" s="385">
        <f t="shared" si="85"/>
        <v>57.725000000000001</v>
      </c>
      <c r="Z224" s="385">
        <f t="shared" si="86"/>
        <v>58.253368707390017</v>
      </c>
      <c r="AA224" s="386">
        <f t="shared" si="87"/>
        <v>59.638848309421128</v>
      </c>
      <c r="AB224" s="197">
        <f t="shared" si="88"/>
        <v>43675</v>
      </c>
      <c r="AC224" s="426">
        <f>IF(OR(t&lt;Tnet,NoTnet),'2018'!Resal_s+('2018'!Salim-'2018'!Resal_s)*(1-EXP(('2018'!Tnet_s-t)/'2018'!Tau_j)),Resal_s+(Salim-Resal_s)*(1-EXP((Tnet_s-t)/Tau_j)))*Salcycl</f>
        <v>2.323115957643752E-2</v>
      </c>
      <c r="AD224" s="231">
        <f>(INDEX(Models!$BJ224:$BT224,,AH224)*(1-AF224)+INDEX(Models!$BJ224:$BT224,,AH224+1)*AF224-ERP_i)*AE224*Ramure*Pc/MaxiM</f>
        <v>8.3998307801972215E-5</v>
      </c>
      <c r="AE224" s="305">
        <f t="shared" si="89"/>
        <v>0.5</v>
      </c>
      <c r="AF224" s="177">
        <f t="shared" si="90"/>
        <v>0.93856726950091529</v>
      </c>
      <c r="AG224" s="176">
        <f t="shared" si="91"/>
        <v>-2</v>
      </c>
      <c r="AH224" s="176">
        <f t="shared" si="92"/>
        <v>4</v>
      </c>
      <c r="AI224" s="225">
        <f t="shared" si="93"/>
        <v>-1.0614327304990847</v>
      </c>
      <c r="AJ224" s="265" t="b">
        <f t="shared" si="94"/>
        <v>0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7">
        <v>28.071000000000002</v>
      </c>
      <c r="C225" s="390"/>
      <c r="D225" s="393">
        <f t="shared" si="75"/>
        <v>28.328560060808684</v>
      </c>
      <c r="E225" s="385">
        <f t="shared" si="73"/>
        <v>29.00367656311747</v>
      </c>
      <c r="F225" s="385">
        <f t="shared" si="76"/>
        <v>29.004333296836958</v>
      </c>
      <c r="G225" s="110">
        <f t="shared" si="74"/>
        <v>0.49277966138256596</v>
      </c>
      <c r="H225" s="414" t="b">
        <f>Wh_hp&gt;='2018'!Maxi_hp</f>
        <v>0</v>
      </c>
      <c r="I225" s="390">
        <f>IF(H225,Wh_hp,'2018'!Maxi_hp)</f>
        <v>55.994393253662331</v>
      </c>
      <c r="J225" s="85">
        <f>IF(H225,An,'2018'!An_max)</f>
        <v>2018</v>
      </c>
      <c r="K225" s="197">
        <f t="shared" si="77"/>
        <v>43676</v>
      </c>
      <c r="L225" s="147">
        <f>IF(t&lt;Tvie,1-EXP((T0-t)*PertePVj)+'2018'!Pspv,1-EXP((T0-t)*PertePVj)+Pspv)</f>
        <v>9.0918867833669204E-3</v>
      </c>
      <c r="M225" s="845"/>
      <c r="N225" s="845"/>
      <c r="O225" s="48">
        <f>IF(t&lt;Tnet,'2018'!Resal+('2018'!Salim-'2018'!Resal)*(1-EXP(('2018'!Tnet-t)/('2018'!Tau_j))),Resal+(Salim-Resal)*(1-EXP((Tnet-t)/(Tau_j))))*Salcycl</f>
        <v>2.3276928386634196E-2</v>
      </c>
      <c r="P225" s="169">
        <f>(INDEX(Models!$BJ225:$BT225,,T225)*(1-R225)+INDEX(Models!$BJ225:$BT225,,T225+1)*R225-ERP_i)*Q225*Ramure*Pc/MaxiM</f>
        <v>8.2204791608923175E-5</v>
      </c>
      <c r="Q225" s="305">
        <f t="shared" si="78"/>
        <v>0.5</v>
      </c>
      <c r="R225" s="177">
        <f t="shared" si="79"/>
        <v>0.94067255304779795</v>
      </c>
      <c r="S225" s="811">
        <f t="shared" si="80"/>
        <v>-2</v>
      </c>
      <c r="T225" s="176">
        <f t="shared" si="81"/>
        <v>4</v>
      </c>
      <c r="U225" s="251">
        <f t="shared" si="82"/>
        <v>-1.059327446952202</v>
      </c>
      <c r="V225" s="383">
        <f t="shared" si="83"/>
        <v>56.961214497578823</v>
      </c>
      <c r="W225" s="58"/>
      <c r="X225" s="157">
        <f t="shared" si="84"/>
        <v>43676</v>
      </c>
      <c r="Y225" s="385">
        <f t="shared" si="85"/>
        <v>28.071000000000002</v>
      </c>
      <c r="Z225" s="385">
        <f t="shared" si="86"/>
        <v>28.328560060808684</v>
      </c>
      <c r="AA225" s="386">
        <f t="shared" si="87"/>
        <v>29.00367656311747</v>
      </c>
      <c r="AB225" s="197">
        <f t="shared" si="88"/>
        <v>43676</v>
      </c>
      <c r="AC225" s="426">
        <f>IF(OR(t&lt;Tnet,NoTnet),'2018'!Resal_s+('2018'!Salim-'2018'!Resal_s)*(1-EXP(('2018'!Tnet_s-t)/'2018'!Tau_j)),Resal_s+(Salim-Resal_s)*(1-EXP((Tnet_s-t)/Tau_j)))*Salcycl</f>
        <v>2.3276928386634196E-2</v>
      </c>
      <c r="AD225" s="231">
        <f>(INDEX(Models!$BJ225:$BT225,,AH225)*(1-AF225)+INDEX(Models!$BJ225:$BT225,,AH225+1)*AF225-ERP_i)*AE225*Ramure*Pc/MaxiM</f>
        <v>8.2204791608923175E-5</v>
      </c>
      <c r="AE225" s="305">
        <f t="shared" si="89"/>
        <v>0.5</v>
      </c>
      <c r="AF225" s="177">
        <f t="shared" si="90"/>
        <v>0.94067255304779795</v>
      </c>
      <c r="AG225" s="176">
        <f t="shared" si="91"/>
        <v>-2</v>
      </c>
      <c r="AH225" s="176">
        <f t="shared" si="92"/>
        <v>4</v>
      </c>
      <c r="AI225" s="225">
        <f t="shared" si="93"/>
        <v>-1.059327446952202</v>
      </c>
      <c r="AJ225" s="265" t="b">
        <f t="shared" si="94"/>
        <v>0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7">
        <v>56.369</v>
      </c>
      <c r="C226" s="390"/>
      <c r="D226" s="393">
        <f t="shared" si="75"/>
        <v>56.887448897580668</v>
      </c>
      <c r="E226" s="385">
        <f t="shared" si="73"/>
        <v>58.245893464775875</v>
      </c>
      <c r="F226" s="385">
        <f t="shared" si="76"/>
        <v>58.250484133448317</v>
      </c>
      <c r="G226" s="110">
        <f t="shared" si="74"/>
        <v>0.99204491125279404</v>
      </c>
      <c r="H226" s="414" t="b">
        <f>Wh_hp&gt;='2018'!Maxi_hp</f>
        <v>1</v>
      </c>
      <c r="I226" s="390">
        <f>IF(H226,Wh_hp,'2018'!Maxi_hp)</f>
        <v>58.250484133448317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9.1135902141450398E-3</v>
      </c>
      <c r="M226" s="845"/>
      <c r="N226" s="845"/>
      <c r="O226" s="48">
        <f>IF(t&lt;Tnet,'2018'!Resal+('2018'!Salim-'2018'!Resal)*(1-EXP(('2018'!Tnet-t)/('2018'!Tau_j))),Resal+(Salim-Resal)*(1-EXP((Tnet-t)/(Tau_j))))*Salcycl</f>
        <v>2.3322580981897385E-2</v>
      </c>
      <c r="P226" s="169">
        <f>(INDEX(Models!$BJ226:$BT226,,T226)*(1-R226)+INDEX(Models!$BJ226:$BT226,,T226+1)*R226-ERP_i)*Q226*Ramure*Pc/MaxiM</f>
        <v>7.9714918486424073E-5</v>
      </c>
      <c r="Q226" s="305">
        <f t="shared" si="78"/>
        <v>0.5</v>
      </c>
      <c r="R226" s="177">
        <f t="shared" si="79"/>
        <v>0.94271202411327093</v>
      </c>
      <c r="S226" s="811">
        <f t="shared" si="80"/>
        <v>-2</v>
      </c>
      <c r="T226" s="176">
        <f t="shared" si="81"/>
        <v>4</v>
      </c>
      <c r="U226" s="251">
        <f t="shared" si="82"/>
        <v>-1.0572879758867291</v>
      </c>
      <c r="V226" s="383">
        <f t="shared" si="83"/>
        <v>56.820964753639522</v>
      </c>
      <c r="W226" s="58"/>
      <c r="X226" s="157">
        <f t="shared" si="84"/>
        <v>43677</v>
      </c>
      <c r="Y226" s="385">
        <f t="shared" si="85"/>
        <v>56.369</v>
      </c>
      <c r="Z226" s="385">
        <f t="shared" si="86"/>
        <v>56.887448897580668</v>
      </c>
      <c r="AA226" s="386">
        <f t="shared" si="87"/>
        <v>58.245893464775875</v>
      </c>
      <c r="AB226" s="197">
        <f t="shared" si="88"/>
        <v>43677</v>
      </c>
      <c r="AC226" s="426">
        <f>IF(OR(t&lt;Tnet,NoTnet),'2018'!Resal_s+('2018'!Salim-'2018'!Resal_s)*(1-EXP(('2018'!Tnet_s-t)/'2018'!Tau_j)),Resal_s+(Salim-Resal_s)*(1-EXP((Tnet_s-t)/Tau_j)))*Salcycl</f>
        <v>2.3322580981897385E-2</v>
      </c>
      <c r="AD226" s="231">
        <f>(INDEX(Models!$BJ226:$BT226,,AH226)*(1-AF226)+INDEX(Models!$BJ226:$BT226,,AH226+1)*AF226-ERP_i)*AE226*Ramure*Pc/MaxiM</f>
        <v>7.9714918486424073E-5</v>
      </c>
      <c r="AE226" s="305">
        <f t="shared" si="89"/>
        <v>0.5</v>
      </c>
      <c r="AF226" s="177">
        <f t="shared" si="90"/>
        <v>0.94271202411327093</v>
      </c>
      <c r="AG226" s="176">
        <f t="shared" si="91"/>
        <v>-2</v>
      </c>
      <c r="AH226" s="176">
        <f t="shared" si="92"/>
        <v>4</v>
      </c>
      <c r="AI226" s="225">
        <f t="shared" si="93"/>
        <v>-1.0572879758867291</v>
      </c>
      <c r="AJ226" s="265" t="b">
        <f t="shared" si="94"/>
        <v>0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7">
        <v>47.819000000000003</v>
      </c>
      <c r="C227" s="390"/>
      <c r="D227" s="393">
        <f t="shared" si="75"/>
        <v>48.259868042896251</v>
      </c>
      <c r="E227" s="385">
        <f t="shared" si="73"/>
        <v>49.414594282927538</v>
      </c>
      <c r="F227" s="385">
        <f t="shared" si="76"/>
        <v>49.417548619689114</v>
      </c>
      <c r="G227" s="110">
        <f t="shared" si="74"/>
        <v>0.84366211846185901</v>
      </c>
      <c r="H227" s="414" t="b">
        <f>Wh_hp&gt;='2018'!Maxi_hp</f>
        <v>0</v>
      </c>
      <c r="I227" s="390">
        <f>IF(H227,Wh_hp,'2018'!Maxi_hp)</f>
        <v>54.762972636889117</v>
      </c>
      <c r="J227" s="85">
        <f>IF(H227,An,'2018'!An_max)</f>
        <v>2018</v>
      </c>
      <c r="K227" s="197">
        <f t="shared" si="77"/>
        <v>43678</v>
      </c>
      <c r="L227" s="147">
        <f>IF(t&lt;Tvie,1-EXP((T0-t)*PertePVj)+'2018'!Pspv,1-EXP((T0-t)*PertePVj)+Pspv)</f>
        <v>9.1352931695622974E-3</v>
      </c>
      <c r="M227" s="845"/>
      <c r="N227" s="845"/>
      <c r="O227" s="48">
        <f>IF(t&lt;Tnet,'2018'!Resal+('2018'!Salim-'2018'!Resal)*(1-EXP(('2018'!Tnet-t)/('2018'!Tau_j))),Resal+(Salim-Resal)*(1-EXP((Tnet-t)/(Tau_j))))*Salcycl</f>
        <v>2.3368121438371057E-2</v>
      </c>
      <c r="P227" s="169">
        <f>(INDEX(Models!$BJ227:$BT227,,T227)*(1-R227)+INDEX(Models!$BJ227:$BT227,,T227+1)*R227-ERP_i)*Q227*Ramure*Pc/MaxiM</f>
        <v>7.6972604478589167E-5</v>
      </c>
      <c r="Q227" s="305">
        <f t="shared" si="78"/>
        <v>0.5</v>
      </c>
      <c r="R227" s="177">
        <f t="shared" si="79"/>
        <v>0.94468707884194014</v>
      </c>
      <c r="S227" s="811">
        <f t="shared" si="80"/>
        <v>-2</v>
      </c>
      <c r="T227" s="176">
        <f t="shared" si="81"/>
        <v>4</v>
      </c>
      <c r="U227" s="251">
        <f t="shared" si="82"/>
        <v>-1.0553129211580599</v>
      </c>
      <c r="V227" s="383">
        <f t="shared" si="83"/>
        <v>56.679299593955847</v>
      </c>
      <c r="W227" s="58"/>
      <c r="X227" s="157">
        <f t="shared" si="84"/>
        <v>43678</v>
      </c>
      <c r="Y227" s="385">
        <f t="shared" si="85"/>
        <v>47.819000000000003</v>
      </c>
      <c r="Z227" s="385">
        <f t="shared" si="86"/>
        <v>48.259868042896251</v>
      </c>
      <c r="AA227" s="386">
        <f t="shared" si="87"/>
        <v>49.414594282927538</v>
      </c>
      <c r="AB227" s="197">
        <f t="shared" si="88"/>
        <v>43678</v>
      </c>
      <c r="AC227" s="426">
        <f>IF(OR(t&lt;Tnet,NoTnet),'2018'!Resal_s+('2018'!Salim-'2018'!Resal_s)*(1-EXP(('2018'!Tnet_s-t)/'2018'!Tau_j)),Resal_s+(Salim-Resal_s)*(1-EXP((Tnet_s-t)/Tau_j)))*Salcycl</f>
        <v>2.3368121438371057E-2</v>
      </c>
      <c r="AD227" s="231">
        <f>(INDEX(Models!$BJ227:$BT227,,AH227)*(1-AF227)+INDEX(Models!$BJ227:$BT227,,AH227+1)*AF227-ERP_i)*AE227*Ramure*Pc/MaxiM</f>
        <v>7.6972604478589167E-5</v>
      </c>
      <c r="AE227" s="305">
        <f t="shared" si="89"/>
        <v>0.5</v>
      </c>
      <c r="AF227" s="177">
        <f t="shared" si="90"/>
        <v>0.94468707884194014</v>
      </c>
      <c r="AG227" s="176">
        <f t="shared" si="91"/>
        <v>-2</v>
      </c>
      <c r="AH227" s="176">
        <f t="shared" si="92"/>
        <v>4</v>
      </c>
      <c r="AI227" s="225">
        <f t="shared" si="93"/>
        <v>-1.0553129211580599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7">
        <v>55.002000000000002</v>
      </c>
      <c r="C228" s="390"/>
      <c r="D228" s="393">
        <f t="shared" si="75"/>
        <v>55.510307645620514</v>
      </c>
      <c r="E228" s="385">
        <f t="shared" si="73"/>
        <v>56.841161203081164</v>
      </c>
      <c r="F228" s="385">
        <f t="shared" si="76"/>
        <v>56.845203333586923</v>
      </c>
      <c r="G228" s="110">
        <f t="shared" si="74"/>
        <v>0.9728602858564277</v>
      </c>
      <c r="H228" s="414" t="b">
        <f>Wh_hp&gt;='2018'!Maxi_hp</f>
        <v>1</v>
      </c>
      <c r="I228" s="390">
        <f>IF(H228,Wh_hp,'2018'!Maxi_hp)</f>
        <v>56.845203333586923</v>
      </c>
      <c r="J228" s="85">
        <f>IF(H228,An,'2018'!An_max)</f>
        <v>2019</v>
      </c>
      <c r="K228" s="197">
        <f t="shared" si="77"/>
        <v>43679</v>
      </c>
      <c r="L228" s="147">
        <f>IF(t&lt;Tvie,1-EXP((T0-t)*PertePVj)+'2018'!Pspv,1-EXP((T0-t)*PertePVj)+Pspv)</f>
        <v>9.1569956496290184E-3</v>
      </c>
      <c r="M228" s="845"/>
      <c r="N228" s="845"/>
      <c r="O228" s="48">
        <f>IF(t&lt;Tnet,'2018'!Resal+('2018'!Salim-'2018'!Resal)*(1-EXP(('2018'!Tnet-t)/('2018'!Tau_j))),Resal+(Salim-Resal)*(1-EXP((Tnet-t)/(Tau_j))))*Salcycl</f>
        <v>2.3413553299972151E-2</v>
      </c>
      <c r="P228" s="169">
        <f>(INDEX(Models!$BJ228:$BT228,,T228)*(1-R228)+INDEX(Models!$BJ228:$BT228,,T228+1)*R228-ERP_i)*Q228*Ramure*Pc/MaxiM</f>
        <v>7.397548995662083E-5</v>
      </c>
      <c r="Q228" s="305">
        <f t="shared" si="78"/>
        <v>0.5</v>
      </c>
      <c r="R228" s="177">
        <f t="shared" si="79"/>
        <v>0.94659913192657696</v>
      </c>
      <c r="S228" s="811">
        <f t="shared" si="80"/>
        <v>-2</v>
      </c>
      <c r="T228" s="176">
        <f t="shared" si="81"/>
        <v>4</v>
      </c>
      <c r="U228" s="251">
        <f t="shared" si="82"/>
        <v>-1.053400868073423</v>
      </c>
      <c r="V228" s="383">
        <f t="shared" si="83"/>
        <v>56.536219078013758</v>
      </c>
      <c r="W228" s="58"/>
      <c r="X228" s="157">
        <f t="shared" si="84"/>
        <v>43679</v>
      </c>
      <c r="Y228" s="385">
        <f t="shared" si="85"/>
        <v>55.002000000000002</v>
      </c>
      <c r="Z228" s="385">
        <f t="shared" si="86"/>
        <v>55.510307645620514</v>
      </c>
      <c r="AA228" s="386">
        <f t="shared" si="87"/>
        <v>56.841161203081164</v>
      </c>
      <c r="AB228" s="197">
        <f t="shared" si="88"/>
        <v>43679</v>
      </c>
      <c r="AC228" s="426">
        <f>IF(OR(t&lt;Tnet,NoTnet),'2018'!Resal_s+('2018'!Salim-'2018'!Resal_s)*(1-EXP(('2018'!Tnet_s-t)/'2018'!Tau_j)),Resal_s+(Salim-Resal_s)*(1-EXP((Tnet_s-t)/Tau_j)))*Salcycl</f>
        <v>2.3413553299972151E-2</v>
      </c>
      <c r="AD228" s="231">
        <f>(INDEX(Models!$BJ228:$BT228,,AH228)*(1-AF228)+INDEX(Models!$BJ228:$BT228,,AH228+1)*AF228-ERP_i)*AE228*Ramure*Pc/MaxiM</f>
        <v>7.397548995662083E-5</v>
      </c>
      <c r="AE228" s="305">
        <f t="shared" si="89"/>
        <v>0.5</v>
      </c>
      <c r="AF228" s="177">
        <f t="shared" si="90"/>
        <v>0.94659913192657696</v>
      </c>
      <c r="AG228" s="176">
        <f t="shared" si="91"/>
        <v>-2</v>
      </c>
      <c r="AH228" s="176">
        <f t="shared" si="92"/>
        <v>4</v>
      </c>
      <c r="AI228" s="225">
        <f t="shared" si="93"/>
        <v>-1.053400868073423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7">
        <v>55.662999999999997</v>
      </c>
      <c r="C229" s="390"/>
      <c r="D229" s="393">
        <f t="shared" si="75"/>
        <v>56.178646813734105</v>
      </c>
      <c r="E229" s="385">
        <f t="shared" si="73"/>
        <v>57.528193784480102</v>
      </c>
      <c r="F229" s="385">
        <f t="shared" si="76"/>
        <v>57.532187418566849</v>
      </c>
      <c r="G229" s="110">
        <f t="shared" si="74"/>
        <v>0.98707618907742922</v>
      </c>
      <c r="H229" s="414" t="b">
        <f>Wh_hp&gt;='2018'!Maxi_hp</f>
        <v>1</v>
      </c>
      <c r="I229" s="390">
        <f>IF(H229,Wh_hp,'2018'!Maxi_hp)</f>
        <v>57.532187418566849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9.1786976543558607E-3</v>
      </c>
      <c r="M229" s="845"/>
      <c r="N229" s="845"/>
      <c r="O229" s="48">
        <f>IF(t&lt;Tnet,'2018'!Resal+('2018'!Salim-'2018'!Resal)*(1-EXP(('2018'!Tnet-t)/('2018'!Tau_j))),Resal+(Salim-Resal)*(1-EXP((Tnet-t)/(Tau_j))))*Salcycl</f>
        <v>2.3458879585231737E-2</v>
      </c>
      <c r="P229" s="169">
        <f>(INDEX(Models!$BJ229:$BT229,,T229)*(1-R229)+INDEX(Models!$BJ229:$BT229,,T229+1)*R229-ERP_i)*Q229*Ramure*Pc/MaxiM</f>
        <v>7.0721214656386527E-5</v>
      </c>
      <c r="Q229" s="305">
        <f t="shared" si="78"/>
        <v>0.5</v>
      </c>
      <c r="R229" s="177">
        <f t="shared" si="79"/>
        <v>0.9484496122492998</v>
      </c>
      <c r="S229" s="811">
        <f t="shared" si="80"/>
        <v>-2</v>
      </c>
      <c r="T229" s="176">
        <f t="shared" si="81"/>
        <v>4</v>
      </c>
      <c r="U229" s="251">
        <f t="shared" si="82"/>
        <v>-1.0515503877507002</v>
      </c>
      <c r="V229" s="383">
        <f t="shared" si="83"/>
        <v>56.391723292646098</v>
      </c>
      <c r="W229" s="58"/>
      <c r="X229" s="157">
        <f t="shared" si="84"/>
        <v>43680</v>
      </c>
      <c r="Y229" s="385">
        <f t="shared" si="85"/>
        <v>55.662999999999997</v>
      </c>
      <c r="Z229" s="385">
        <f t="shared" si="86"/>
        <v>56.178646813734105</v>
      </c>
      <c r="AA229" s="386">
        <f t="shared" si="87"/>
        <v>57.528193784480102</v>
      </c>
      <c r="AB229" s="197">
        <f t="shared" si="88"/>
        <v>43680</v>
      </c>
      <c r="AC229" s="426">
        <f>IF(OR(t&lt;Tnet,NoTnet),'2018'!Resal_s+('2018'!Salim-'2018'!Resal_s)*(1-EXP(('2018'!Tnet_s-t)/'2018'!Tau_j)),Resal_s+(Salim-Resal_s)*(1-EXP((Tnet_s-t)/Tau_j)))*Salcycl</f>
        <v>2.3458879585231737E-2</v>
      </c>
      <c r="AD229" s="231">
        <f>(INDEX(Models!$BJ229:$BT229,,AH229)*(1-AF229)+INDEX(Models!$BJ229:$BT229,,AH229+1)*AF229-ERP_i)*AE229*Ramure*Pc/MaxiM</f>
        <v>7.0721214656386527E-5</v>
      </c>
      <c r="AE229" s="305">
        <f t="shared" si="89"/>
        <v>0.5</v>
      </c>
      <c r="AF229" s="177">
        <f t="shared" si="90"/>
        <v>0.9484496122492998</v>
      </c>
      <c r="AG229" s="176">
        <f t="shared" si="91"/>
        <v>-2</v>
      </c>
      <c r="AH229" s="176">
        <f t="shared" si="92"/>
        <v>4</v>
      </c>
      <c r="AI229" s="225">
        <f t="shared" si="93"/>
        <v>-1.0515503877507002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7">
        <v>53.036000000000001</v>
      </c>
      <c r="C230" s="390"/>
      <c r="D230" s="393">
        <f t="shared" si="75"/>
        <v>53.528483415120007</v>
      </c>
      <c r="E230" s="385">
        <f t="shared" si="73"/>
        <v>54.816905599367296</v>
      </c>
      <c r="F230" s="385">
        <f t="shared" si="76"/>
        <v>54.820289563876685</v>
      </c>
      <c r="G230" s="110">
        <f t="shared" si="74"/>
        <v>0.94292725404737499</v>
      </c>
      <c r="H230" s="414" t="b">
        <f>Wh_hp&gt;='2018'!Maxi_hp</f>
        <v>1</v>
      </c>
      <c r="I230" s="390">
        <f>IF(H230,Wh_hp,'2018'!Maxi_hp)</f>
        <v>54.820289563876685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9.2003991837530386E-3</v>
      </c>
      <c r="M230" s="845"/>
      <c r="N230" s="845"/>
      <c r="O230" s="48">
        <f>IF(t&lt;Tnet,'2018'!Resal+('2018'!Salim-'2018'!Resal)*(1-EXP(('2018'!Tnet-t)/('2018'!Tau_j))),Resal+(Salim-Resal)*(1-EXP((Tnet-t)/(Tau_j))))*Salcycl</f>
        <v>2.3504102797480071E-2</v>
      </c>
      <c r="P230" s="169">
        <f>(INDEX(Models!$BJ230:$BT230,,T230)*(1-R230)+INDEX(Models!$BJ230:$BT230,,T230+1)*R230-ERP_i)*Q230*Ramure*Pc/MaxiM</f>
        <v>6.7207414493109617E-5</v>
      </c>
      <c r="Q230" s="305">
        <f t="shared" si="78"/>
        <v>0.5</v>
      </c>
      <c r="R230" s="177">
        <f t="shared" si="79"/>
        <v>0.95023995878397671</v>
      </c>
      <c r="S230" s="811">
        <f t="shared" si="80"/>
        <v>-2</v>
      </c>
      <c r="T230" s="176">
        <f t="shared" si="81"/>
        <v>4</v>
      </c>
      <c r="U230" s="251">
        <f t="shared" si="82"/>
        <v>-1.0497600412160233</v>
      </c>
      <c r="V230" s="383">
        <f t="shared" si="83"/>
        <v>56.245812352210912</v>
      </c>
      <c r="W230" s="58"/>
      <c r="X230" s="157">
        <f t="shared" si="84"/>
        <v>43681</v>
      </c>
      <c r="Y230" s="385">
        <f t="shared" si="85"/>
        <v>53.036000000000001</v>
      </c>
      <c r="Z230" s="385">
        <f t="shared" si="86"/>
        <v>53.528483415120007</v>
      </c>
      <c r="AA230" s="386">
        <f t="shared" si="87"/>
        <v>54.816905599367296</v>
      </c>
      <c r="AB230" s="197">
        <f t="shared" si="88"/>
        <v>43681</v>
      </c>
      <c r="AC230" s="426">
        <f>IF(OR(t&lt;Tnet,NoTnet),'2018'!Resal_s+('2018'!Salim-'2018'!Resal_s)*(1-EXP(('2018'!Tnet_s-t)/'2018'!Tau_j)),Resal_s+(Salim-Resal_s)*(1-EXP((Tnet_s-t)/Tau_j)))*Salcycl</f>
        <v>2.3504102797480071E-2</v>
      </c>
      <c r="AD230" s="231">
        <f>(INDEX(Models!$BJ230:$BT230,,AH230)*(1-AF230)+INDEX(Models!$BJ230:$BT230,,AH230+1)*AF230-ERP_i)*AE230*Ramure*Pc/MaxiM</f>
        <v>6.7207414493109617E-5</v>
      </c>
      <c r="AE230" s="305">
        <f t="shared" si="89"/>
        <v>0.5</v>
      </c>
      <c r="AF230" s="177">
        <f t="shared" si="90"/>
        <v>0.95023995878397671</v>
      </c>
      <c r="AG230" s="176">
        <f t="shared" si="91"/>
        <v>-2</v>
      </c>
      <c r="AH230" s="176">
        <f t="shared" si="92"/>
        <v>4</v>
      </c>
      <c r="AI230" s="225">
        <f t="shared" si="93"/>
        <v>-1.0497600412160233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7">
        <v>53.048999999999999</v>
      </c>
      <c r="C231" s="390"/>
      <c r="D231" s="393">
        <f t="shared" si="75"/>
        <v>53.542776855170203</v>
      </c>
      <c r="E231" s="385">
        <f t="shared" si="73"/>
        <v>54.834076865548433</v>
      </c>
      <c r="F231" s="385">
        <f t="shared" si="76"/>
        <v>54.837285166822504</v>
      </c>
      <c r="G231" s="110">
        <f t="shared" si="74"/>
        <v>0.94563582868098561</v>
      </c>
      <c r="H231" s="414" t="b">
        <f>Wh_hp&gt;='2018'!Maxi_hp</f>
        <v>1</v>
      </c>
      <c r="I231" s="390">
        <f>IF(H231,Wh_hp,'2018'!Maxi_hp)</f>
        <v>54.837285166822504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9.222100237831099E-3</v>
      </c>
      <c r="M231" s="845"/>
      <c r="N231" s="845"/>
      <c r="O231" s="48">
        <f>IF(t&lt;Tnet,'2018'!Resal+('2018'!Salim-'2018'!Resal)*(1-EXP(('2018'!Tnet-t)/('2018'!Tau_j))),Resal+(Salim-Resal)*(1-EXP((Tnet-t)/(Tau_j))))*Salcycl</f>
        <v>2.3549224938070237E-2</v>
      </c>
      <c r="P231" s="169">
        <f>(INDEX(Models!$BJ231:$BT231,,T231)*(1-R231)+INDEX(Models!$BJ231:$BT231,,T231+1)*R231-ERP_i)*Q231*Ramure*Pc/MaxiM</f>
        <v>6.3431719051653082E-5</v>
      </c>
      <c r="Q231" s="305">
        <f t="shared" si="78"/>
        <v>0.5</v>
      </c>
      <c r="R231" s="177">
        <f t="shared" si="79"/>
        <v>0.9519716167576191</v>
      </c>
      <c r="S231" s="811">
        <f t="shared" si="80"/>
        <v>-2</v>
      </c>
      <c r="T231" s="176">
        <f t="shared" si="81"/>
        <v>4</v>
      </c>
      <c r="U231" s="251">
        <f t="shared" si="82"/>
        <v>-1.0480283832423809</v>
      </c>
      <c r="V231" s="383">
        <f t="shared" si="83"/>
        <v>56.098486396813954</v>
      </c>
      <c r="W231" s="58"/>
      <c r="X231" s="157">
        <f t="shared" si="84"/>
        <v>43682</v>
      </c>
      <c r="Y231" s="385">
        <f t="shared" si="85"/>
        <v>53.048999999999999</v>
      </c>
      <c r="Z231" s="385">
        <f t="shared" si="86"/>
        <v>53.542776855170203</v>
      </c>
      <c r="AA231" s="386">
        <f t="shared" si="87"/>
        <v>54.834076865548433</v>
      </c>
      <c r="AB231" s="197">
        <f t="shared" si="88"/>
        <v>43682</v>
      </c>
      <c r="AC231" s="426">
        <f>IF(OR(t&lt;Tnet,NoTnet),'2018'!Resal_s+('2018'!Salim-'2018'!Resal_s)*(1-EXP(('2018'!Tnet_s-t)/'2018'!Tau_j)),Resal_s+(Salim-Resal_s)*(1-EXP((Tnet_s-t)/Tau_j)))*Salcycl</f>
        <v>2.3549224938070237E-2</v>
      </c>
      <c r="AD231" s="231">
        <f>(INDEX(Models!$BJ231:$BT231,,AH231)*(1-AF231)+INDEX(Models!$BJ231:$BT231,,AH231+1)*AF231-ERP_i)*AE231*Ramure*Pc/MaxiM</f>
        <v>6.3431719051653082E-5</v>
      </c>
      <c r="AE231" s="305">
        <f t="shared" si="89"/>
        <v>0.5</v>
      </c>
      <c r="AF231" s="177">
        <f t="shared" si="90"/>
        <v>0.9519716167576191</v>
      </c>
      <c r="AG231" s="176">
        <f t="shared" si="91"/>
        <v>-2</v>
      </c>
      <c r="AH231" s="176">
        <f t="shared" si="92"/>
        <v>4</v>
      </c>
      <c r="AI231" s="225">
        <f t="shared" si="93"/>
        <v>-1.0480283832423809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7">
        <v>40.968000000000004</v>
      </c>
      <c r="C232" s="390"/>
      <c r="D232" s="393">
        <f t="shared" si="75"/>
        <v>41.350233320534983</v>
      </c>
      <c r="E232" s="385">
        <f t="shared" si="73"/>
        <v>42.349436405517075</v>
      </c>
      <c r="F232" s="385">
        <f t="shared" si="76"/>
        <v>42.350989525732196</v>
      </c>
      <c r="G232" s="110">
        <f t="shared" si="74"/>
        <v>0.7322118943310475</v>
      </c>
      <c r="H232" s="414" t="b">
        <f>Wh_hp&gt;='2018'!Maxi_hp</f>
        <v>0</v>
      </c>
      <c r="I232" s="390">
        <f>IF(H232,Wh_hp,'2018'!Maxi_hp)</f>
        <v>54.183969884065412</v>
      </c>
      <c r="J232" s="85">
        <f>IF(H232,An,'2018'!An_max)</f>
        <v>2018</v>
      </c>
      <c r="K232" s="197">
        <f t="shared" si="77"/>
        <v>43683</v>
      </c>
      <c r="L232" s="147">
        <f>IF(t&lt;Tvie,1-EXP((T0-t)*PertePVj)+'2018'!Pspv,1-EXP((T0-t)*PertePVj)+Pspv)</f>
        <v>9.2438008166003671E-3</v>
      </c>
      <c r="M232" s="845"/>
      <c r="N232" s="845"/>
      <c r="O232" s="48">
        <f>IF(t&lt;Tnet,'2018'!Resal+('2018'!Salim-'2018'!Resal)*(1-EXP(('2018'!Tnet-t)/('2018'!Tau_j))),Resal+(Salim-Resal)*(1-EXP((Tnet-t)/(Tau_j))))*Salcycl</f>
        <v>2.3594247522309982E-2</v>
      </c>
      <c r="P232" s="169">
        <f>(INDEX(Models!$BJ232:$BT232,,T232)*(1-R232)+INDEX(Models!$BJ232:$BT232,,T232+1)*R232-ERP_i)*Q232*Ramure*Pc/MaxiM</f>
        <v>5.9391749710658139E-5</v>
      </c>
      <c r="Q232" s="305">
        <f t="shared" si="78"/>
        <v>0.5</v>
      </c>
      <c r="R232" s="177">
        <f t="shared" si="79"/>
        <v>0.95364603406715065</v>
      </c>
      <c r="S232" s="811">
        <f t="shared" si="80"/>
        <v>-2</v>
      </c>
      <c r="T232" s="176">
        <f t="shared" si="81"/>
        <v>4</v>
      </c>
      <c r="U232" s="251">
        <f t="shared" si="82"/>
        <v>-1.0463539659328494</v>
      </c>
      <c r="V232" s="383">
        <f t="shared" si="83"/>
        <v>55.949745591754898</v>
      </c>
      <c r="W232" s="58"/>
      <c r="X232" s="157">
        <f t="shared" si="84"/>
        <v>43683</v>
      </c>
      <c r="Y232" s="385">
        <f t="shared" si="85"/>
        <v>40.968000000000004</v>
      </c>
      <c r="Z232" s="385">
        <f t="shared" si="86"/>
        <v>41.350233320534983</v>
      </c>
      <c r="AA232" s="386">
        <f t="shared" si="87"/>
        <v>42.349436405517075</v>
      </c>
      <c r="AB232" s="197">
        <f t="shared" si="88"/>
        <v>43683</v>
      </c>
      <c r="AC232" s="426">
        <f>IF(OR(t&lt;Tnet,NoTnet),'2018'!Resal_s+('2018'!Salim-'2018'!Resal_s)*(1-EXP(('2018'!Tnet_s-t)/'2018'!Tau_j)),Resal_s+(Salim-Resal_s)*(1-EXP((Tnet_s-t)/Tau_j)))*Salcycl</f>
        <v>2.3594247522309982E-2</v>
      </c>
      <c r="AD232" s="231">
        <f>(INDEX(Models!$BJ232:$BT232,,AH232)*(1-AF232)+INDEX(Models!$BJ232:$BT232,,AH232+1)*AF232-ERP_i)*AE232*Ramure*Pc/MaxiM</f>
        <v>5.9391749710658139E-5</v>
      </c>
      <c r="AE232" s="305">
        <f t="shared" si="89"/>
        <v>0.5</v>
      </c>
      <c r="AF232" s="177">
        <f t="shared" si="90"/>
        <v>0.95364603406715065</v>
      </c>
      <c r="AG232" s="176">
        <f t="shared" si="91"/>
        <v>-2</v>
      </c>
      <c r="AH232" s="176">
        <f t="shared" si="92"/>
        <v>4</v>
      </c>
      <c r="AI232" s="225">
        <f t="shared" si="93"/>
        <v>-1.0463539659328494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7">
        <v>42.311</v>
      </c>
      <c r="C233" s="390"/>
      <c r="D233" s="393">
        <f t="shared" si="75"/>
        <v>42.706698958493121</v>
      </c>
      <c r="E233" s="385">
        <f t="shared" ref="E233:E296" si="97">Wh_pvt/(1-Psa)</f>
        <v>43.740692699009472</v>
      </c>
      <c r="F233" s="385">
        <f t="shared" si="76"/>
        <v>43.742270134864029</v>
      </c>
      <c r="G233" s="110">
        <f t="shared" ref="G233:G296" si="98">+Wh_hp/MaxiM</f>
        <v>0.75824973595239831</v>
      </c>
      <c r="H233" s="414" t="b">
        <f>Wh_hp&gt;='2018'!Maxi_hp</f>
        <v>1</v>
      </c>
      <c r="I233" s="390">
        <f>IF(H233,Wh_hp,'2018'!Maxi_hp)</f>
        <v>43.742270134864029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9.265500920071168E-3</v>
      </c>
      <c r="M233" s="845"/>
      <c r="N233" s="845"/>
      <c r="O233" s="48">
        <f>IF(t&lt;Tnet,'2018'!Resal+('2018'!Salim-'2018'!Resal)*(1-EXP(('2018'!Tnet-t)/('2018'!Tau_j))),Resal+(Salim-Resal)*(1-EXP((Tnet-t)/(Tau_j))))*Salcycl</f>
        <v>2.3639171597750419E-2</v>
      </c>
      <c r="P233" s="169">
        <f>(INDEX(Models!$BJ233:$BT233,,T233)*(1-R233)+INDEX(Models!$BJ233:$BT233,,T233+1)*R233-ERP_i)*Q233*Ramure*Pc/MaxiM</f>
        <v>5.5084896240278061E-5</v>
      </c>
      <c r="Q233" s="305">
        <f t="shared" si="78"/>
        <v>0.5</v>
      </c>
      <c r="R233" s="177">
        <f t="shared" si="79"/>
        <v>0.95526465794671411</v>
      </c>
      <c r="S233" s="811">
        <f t="shared" si="80"/>
        <v>-2</v>
      </c>
      <c r="T233" s="176">
        <f t="shared" si="81"/>
        <v>4</v>
      </c>
      <c r="U233" s="251">
        <f t="shared" si="82"/>
        <v>-1.0447353420532859</v>
      </c>
      <c r="V233" s="383">
        <f t="shared" si="83"/>
        <v>55.79981513888292</v>
      </c>
      <c r="W233" s="58"/>
      <c r="X233" s="157">
        <f t="shared" si="84"/>
        <v>43684</v>
      </c>
      <c r="Y233" s="385">
        <f t="shared" si="85"/>
        <v>42.311</v>
      </c>
      <c r="Z233" s="385">
        <f t="shared" si="86"/>
        <v>42.706698958493121</v>
      </c>
      <c r="AA233" s="386">
        <f t="shared" si="87"/>
        <v>43.740692699009472</v>
      </c>
      <c r="AB233" s="197">
        <f t="shared" si="88"/>
        <v>43684</v>
      </c>
      <c r="AC233" s="426">
        <f>IF(OR(t&lt;Tnet,NoTnet),'2018'!Resal_s+('2018'!Salim-'2018'!Resal_s)*(1-EXP(('2018'!Tnet_s-t)/'2018'!Tau_j)),Resal_s+(Salim-Resal_s)*(1-EXP((Tnet_s-t)/Tau_j)))*Salcycl</f>
        <v>2.3639171597750419E-2</v>
      </c>
      <c r="AD233" s="231">
        <f>(INDEX(Models!$BJ233:$BT233,,AH233)*(1-AF233)+INDEX(Models!$BJ233:$BT233,,AH233+1)*AF233-ERP_i)*AE233*Ramure*Pc/MaxiM</f>
        <v>5.5084896240278061E-5</v>
      </c>
      <c r="AE233" s="305">
        <f t="shared" si="89"/>
        <v>0.5</v>
      </c>
      <c r="AF233" s="177">
        <f t="shared" si="90"/>
        <v>0.95526465794671411</v>
      </c>
      <c r="AG233" s="176">
        <f t="shared" si="91"/>
        <v>-2</v>
      </c>
      <c r="AH233" s="176">
        <f t="shared" si="92"/>
        <v>4</v>
      </c>
      <c r="AI233" s="225">
        <f t="shared" si="93"/>
        <v>-1.0447353420532859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7">
        <v>53.247999999999998</v>
      </c>
      <c r="C234" s="390"/>
      <c r="D234" s="393">
        <f t="shared" si="75"/>
        <v>53.747160659948172</v>
      </c>
      <c r="E234" s="385">
        <f t="shared" si="97"/>
        <v>55.050988139987155</v>
      </c>
      <c r="F234" s="385">
        <f t="shared" si="76"/>
        <v>55.053603871117858</v>
      </c>
      <c r="G234" s="110">
        <f t="shared" si="98"/>
        <v>0.95685426598375733</v>
      </c>
      <c r="H234" s="414" t="b">
        <f>Wh_hp&gt;='2018'!Maxi_hp</f>
        <v>1</v>
      </c>
      <c r="I234" s="390">
        <f>IF(H234,Wh_hp,'2018'!Maxi_hp)</f>
        <v>55.053603871117858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9.2872005482541597E-3</v>
      </c>
      <c r="M234" s="845"/>
      <c r="N234" s="845"/>
      <c r="O234" s="48">
        <f>IF(t&lt;Tnet,'2018'!Resal+('2018'!Salim-'2018'!Resal)*(1-EXP(('2018'!Tnet-t)/('2018'!Tau_j))),Resal+(Salim-Resal)*(1-EXP((Tnet-t)/(Tau_j))))*Salcycl</f>
        <v>2.3683997764463872E-2</v>
      </c>
      <c r="P234" s="169">
        <f>(INDEX(Models!$BJ234:$BT234,,T234)*(1-R234)+INDEX(Models!$BJ234:$BT234,,T234+1)*R234-ERP_i)*Q234*Ramure*Pc/MaxiM</f>
        <v>5.0633084903788509E-5</v>
      </c>
      <c r="Q234" s="305">
        <f t="shared" si="78"/>
        <v>0.5</v>
      </c>
      <c r="R234" s="177">
        <f t="shared" si="79"/>
        <v>0.95682893187963569</v>
      </c>
      <c r="S234" s="811">
        <f t="shared" si="80"/>
        <v>-2</v>
      </c>
      <c r="T234" s="176">
        <f t="shared" si="81"/>
        <v>4</v>
      </c>
      <c r="U234" s="251">
        <f t="shared" si="82"/>
        <v>-1.0431710681203643</v>
      </c>
      <c r="V234" s="383">
        <f t="shared" si="83"/>
        <v>55.64884404767443</v>
      </c>
      <c r="W234" s="58"/>
      <c r="X234" s="157">
        <f t="shared" si="84"/>
        <v>43685</v>
      </c>
      <c r="Y234" s="385">
        <f t="shared" si="85"/>
        <v>53.247999999999998</v>
      </c>
      <c r="Z234" s="385">
        <f t="shared" si="86"/>
        <v>53.747160659948172</v>
      </c>
      <c r="AA234" s="386">
        <f t="shared" si="87"/>
        <v>55.050988139987155</v>
      </c>
      <c r="AB234" s="197">
        <f t="shared" si="88"/>
        <v>43685</v>
      </c>
      <c r="AC234" s="426">
        <f>IF(OR(t&lt;Tnet,NoTnet),'2018'!Resal_s+('2018'!Salim-'2018'!Resal_s)*(1-EXP(('2018'!Tnet_s-t)/'2018'!Tau_j)),Resal_s+(Salim-Resal_s)*(1-EXP((Tnet_s-t)/Tau_j)))*Salcycl</f>
        <v>2.3683997764463872E-2</v>
      </c>
      <c r="AD234" s="231">
        <f>(INDEX(Models!$BJ234:$BT234,,AH234)*(1-AF234)+INDEX(Models!$BJ234:$BT234,,AH234+1)*AF234-ERP_i)*AE234*Ramure*Pc/MaxiM</f>
        <v>5.0633084903788509E-5</v>
      </c>
      <c r="AE234" s="305">
        <f t="shared" si="89"/>
        <v>0.5</v>
      </c>
      <c r="AF234" s="177">
        <f t="shared" si="90"/>
        <v>0.95682893187963569</v>
      </c>
      <c r="AG234" s="176">
        <f t="shared" si="91"/>
        <v>-2</v>
      </c>
      <c r="AH234" s="176">
        <f t="shared" si="92"/>
        <v>4</v>
      </c>
      <c r="AI234" s="225">
        <f t="shared" si="93"/>
        <v>-1.0431710681203643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7">
        <v>51.384</v>
      </c>
      <c r="C235" s="390"/>
      <c r="D235" s="393">
        <f t="shared" si="75"/>
        <v>51.866823053623975</v>
      </c>
      <c r="E235" s="385">
        <f t="shared" si="97"/>
        <v>53.127470248690749</v>
      </c>
      <c r="F235" s="385">
        <f t="shared" si="76"/>
        <v>53.129673681331845</v>
      </c>
      <c r="G235" s="110">
        <f t="shared" si="98"/>
        <v>0.925888188748201</v>
      </c>
      <c r="H235" s="414" t="b">
        <f>Wh_hp&gt;='2018'!Maxi_hp</f>
        <v>1</v>
      </c>
      <c r="I235" s="390">
        <f>IF(H235,Wh_hp,'2018'!Maxi_hp)</f>
        <v>53.129673681331845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9.3088997011595565E-3</v>
      </c>
      <c r="M235" s="845"/>
      <c r="N235" s="845"/>
      <c r="O235" s="48">
        <f>IF(t&lt;Tnet,'2018'!Resal+('2018'!Salim-'2018'!Resal)*(1-EXP(('2018'!Tnet-t)/('2018'!Tau_j))),Resal+(Salim-Resal)*(1-EXP((Tnet-t)/(Tau_j))))*Salcycl</f>
        <v>2.3728726196930845E-2</v>
      </c>
      <c r="P235" s="169">
        <f>(INDEX(Models!$BJ235:$BT235,,T235)*(1-R235)+INDEX(Models!$BJ235:$BT235,,T235+1)*R235-ERP_i)*Q235*Ramure*Pc/MaxiM</f>
        <v>4.6383205526891309E-5</v>
      </c>
      <c r="Q235" s="305">
        <f t="shared" si="78"/>
        <v>0.5</v>
      </c>
      <c r="R235" s="177">
        <f t="shared" si="79"/>
        <v>0.95834029274826404</v>
      </c>
      <c r="S235" s="811">
        <f t="shared" si="80"/>
        <v>-2</v>
      </c>
      <c r="T235" s="176">
        <f t="shared" si="81"/>
        <v>4</v>
      </c>
      <c r="U235" s="251">
        <f t="shared" si="82"/>
        <v>-1.041659707251736</v>
      </c>
      <c r="V235" s="383">
        <f t="shared" si="83"/>
        <v>55.49670931558159</v>
      </c>
      <c r="W235" s="58"/>
      <c r="X235" s="157">
        <f t="shared" si="84"/>
        <v>43686</v>
      </c>
      <c r="Y235" s="385">
        <f t="shared" si="85"/>
        <v>51.384</v>
      </c>
      <c r="Z235" s="385">
        <f t="shared" si="86"/>
        <v>51.866823053623975</v>
      </c>
      <c r="AA235" s="386">
        <f t="shared" si="87"/>
        <v>53.127470248690749</v>
      </c>
      <c r="AB235" s="197">
        <f t="shared" si="88"/>
        <v>43686</v>
      </c>
      <c r="AC235" s="426">
        <f>IF(OR(t&lt;Tnet,NoTnet),'2018'!Resal_s+('2018'!Salim-'2018'!Resal_s)*(1-EXP(('2018'!Tnet_s-t)/'2018'!Tau_j)),Resal_s+(Salim-Resal_s)*(1-EXP((Tnet_s-t)/Tau_j)))*Salcycl</f>
        <v>2.3728726196930845E-2</v>
      </c>
      <c r="AD235" s="231">
        <f>(INDEX(Models!$BJ235:$BT235,,AH235)*(1-AF235)+INDEX(Models!$BJ235:$BT235,,AH235+1)*AF235-ERP_i)*AE235*Ramure*Pc/MaxiM</f>
        <v>4.6383205526891309E-5</v>
      </c>
      <c r="AE235" s="305">
        <f t="shared" si="89"/>
        <v>0.5</v>
      </c>
      <c r="AF235" s="177">
        <f t="shared" si="90"/>
        <v>0.95834029274826404</v>
      </c>
      <c r="AG235" s="176">
        <f t="shared" si="91"/>
        <v>-2</v>
      </c>
      <c r="AH235" s="176">
        <f t="shared" si="92"/>
        <v>4</v>
      </c>
      <c r="AI235" s="225">
        <f t="shared" si="93"/>
        <v>-1.041659707251736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7">
        <v>39.244</v>
      </c>
      <c r="C236" s="390"/>
      <c r="D236" s="393">
        <f t="shared" si="75"/>
        <v>39.613618767046113</v>
      </c>
      <c r="E236" s="385">
        <f t="shared" si="97"/>
        <v>40.57830119428484</v>
      </c>
      <c r="F236" s="385">
        <f t="shared" si="76"/>
        <v>40.579305285135696</v>
      </c>
      <c r="G236" s="110">
        <f t="shared" si="98"/>
        <v>0.70908862286680729</v>
      </c>
      <c r="H236" s="414" t="b">
        <f>Wh_hp&gt;='2018'!Maxi_hp</f>
        <v>0</v>
      </c>
      <c r="I236" s="390">
        <f>IF(H236,Wh_hp,'2018'!Maxi_hp)</f>
        <v>52.024091924029669</v>
      </c>
      <c r="J236" s="85">
        <f>IF(H236,An,'2018'!An_max)</f>
        <v>2018</v>
      </c>
      <c r="K236" s="197">
        <f t="shared" si="77"/>
        <v>43687</v>
      </c>
      <c r="L236" s="147">
        <f>IF(t&lt;Tvie,1-EXP((T0-t)*PertePVj)+'2018'!Pspv,1-EXP((T0-t)*PertePVj)+Pspv)</f>
        <v>9.3305983787976832E-3</v>
      </c>
      <c r="M236" s="845"/>
      <c r="N236" s="845"/>
      <c r="O236" s="48">
        <f>IF(t&lt;Tnet,'2018'!Resal+('2018'!Salim-'2018'!Resal)*(1-EXP(('2018'!Tnet-t)/('2018'!Tau_j))),Resal+(Salim-Resal)*(1-EXP((Tnet-t)/(Tau_j))))*Salcycl</f>
        <v>2.3773356667148939E-2</v>
      </c>
      <c r="P236" s="169">
        <f>(INDEX(Models!$BJ236:$BT236,,T236)*(1-R236)+INDEX(Models!$BJ236:$BT236,,T236+1)*R236-ERP_i)*Q236*Ramure*Pc/MaxiM</f>
        <v>4.2338531976844486E-5</v>
      </c>
      <c r="Q236" s="305">
        <f t="shared" si="78"/>
        <v>0.5</v>
      </c>
      <c r="R236" s="177">
        <f t="shared" si="79"/>
        <v>0.95980016821416125</v>
      </c>
      <c r="S236" s="811">
        <f t="shared" si="80"/>
        <v>-2</v>
      </c>
      <c r="T236" s="176">
        <f t="shared" si="81"/>
        <v>4</v>
      </c>
      <c r="U236" s="251">
        <f t="shared" si="82"/>
        <v>-1.0401998317858387</v>
      </c>
      <c r="V236" s="383">
        <f t="shared" si="83"/>
        <v>55.343307217478952</v>
      </c>
      <c r="W236" s="58"/>
      <c r="X236" s="157">
        <f t="shared" si="84"/>
        <v>43687</v>
      </c>
      <c r="Y236" s="385">
        <f t="shared" si="85"/>
        <v>39.244</v>
      </c>
      <c r="Z236" s="385">
        <f t="shared" si="86"/>
        <v>39.613618767046113</v>
      </c>
      <c r="AA236" s="386">
        <f t="shared" si="87"/>
        <v>40.57830119428484</v>
      </c>
      <c r="AB236" s="197">
        <f t="shared" si="88"/>
        <v>43687</v>
      </c>
      <c r="AC236" s="426">
        <f>IF(OR(t&lt;Tnet,NoTnet),'2018'!Resal_s+('2018'!Salim-'2018'!Resal_s)*(1-EXP(('2018'!Tnet_s-t)/'2018'!Tau_j)),Resal_s+(Salim-Resal_s)*(1-EXP((Tnet_s-t)/Tau_j)))*Salcycl</f>
        <v>2.3773356667148939E-2</v>
      </c>
      <c r="AD236" s="231">
        <f>(INDEX(Models!$BJ236:$BT236,,AH236)*(1-AF236)+INDEX(Models!$BJ236:$BT236,,AH236+1)*AF236-ERP_i)*AE236*Ramure*Pc/MaxiM</f>
        <v>4.2338531976844486E-5</v>
      </c>
      <c r="AE236" s="305">
        <f t="shared" si="89"/>
        <v>0.5</v>
      </c>
      <c r="AF236" s="177">
        <f t="shared" si="90"/>
        <v>0.95980016821416125</v>
      </c>
      <c r="AG236" s="176">
        <f t="shared" si="91"/>
        <v>-2</v>
      </c>
      <c r="AH236" s="176">
        <f t="shared" si="92"/>
        <v>4</v>
      </c>
      <c r="AI236" s="225">
        <f t="shared" si="93"/>
        <v>-1.0401998317858387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7">
        <v>27.021999999999998</v>
      </c>
      <c r="C237" s="390"/>
      <c r="D237" s="393">
        <f t="shared" si="75"/>
        <v>27.277103562391019</v>
      </c>
      <c r="E237" s="385">
        <f t="shared" si="97"/>
        <v>27.942638205481131</v>
      </c>
      <c r="F237" s="385">
        <f t="shared" si="76"/>
        <v>27.942929658558946</v>
      </c>
      <c r="G237" s="110">
        <f t="shared" si="98"/>
        <v>0.48961694453260035</v>
      </c>
      <c r="H237" s="414" t="b">
        <f>Wh_hp&gt;='2018'!Maxi_hp</f>
        <v>0</v>
      </c>
      <c r="I237" s="390">
        <f>IF(H237,Wh_hp,'2018'!Maxi_hp)</f>
        <v>54.934751797677123</v>
      </c>
      <c r="J237" s="85">
        <f>IF(H237,An,'2018'!An_max)</f>
        <v>2018</v>
      </c>
      <c r="K237" s="197">
        <f t="shared" si="77"/>
        <v>43688</v>
      </c>
      <c r="L237" s="147">
        <f>IF(t&lt;Tvie,1-EXP((T0-t)*PertePVj)+'2018'!Pspv,1-EXP((T0-t)*PertePVj)+Pspv)</f>
        <v>9.352296581179198E-3</v>
      </c>
      <c r="M237" s="845"/>
      <c r="N237" s="845"/>
      <c r="O237" s="48">
        <f>IF(t&lt;Tnet,'2018'!Resal+('2018'!Salim-'2018'!Resal)*(1-EXP(('2018'!Tnet-t)/('2018'!Tau_j))),Resal+(Salim-Resal)*(1-EXP((Tnet-t)/(Tau_j))))*Salcycl</f>
        <v>2.3817888568573371E-2</v>
      </c>
      <c r="P237" s="169">
        <f>(INDEX(Models!$BJ237:$BT237,,T237)*(1-R237)+INDEX(Models!$BJ237:$BT237,,T237+1)*R237-ERP_i)*Q237*Ramure*Pc/MaxiM</f>
        <v>3.8502251289313378E-5</v>
      </c>
      <c r="Q237" s="305">
        <f t="shared" si="78"/>
        <v>0.5</v>
      </c>
      <c r="R237" s="177">
        <f t="shared" si="79"/>
        <v>0.96120997432050359</v>
      </c>
      <c r="S237" s="811">
        <f t="shared" si="80"/>
        <v>-2</v>
      </c>
      <c r="T237" s="176">
        <f t="shared" si="81"/>
        <v>4</v>
      </c>
      <c r="U237" s="251">
        <f t="shared" si="82"/>
        <v>-1.0387900256794964</v>
      </c>
      <c r="V237" s="383">
        <f t="shared" si="83"/>
        <v>55.188534084652417</v>
      </c>
      <c r="W237" s="58"/>
      <c r="X237" s="157">
        <f t="shared" si="84"/>
        <v>43688</v>
      </c>
      <c r="Y237" s="385">
        <f t="shared" si="85"/>
        <v>27.021999999999998</v>
      </c>
      <c r="Z237" s="385">
        <f t="shared" si="86"/>
        <v>27.277103562391019</v>
      </c>
      <c r="AA237" s="386">
        <f t="shared" si="87"/>
        <v>27.942638205481131</v>
      </c>
      <c r="AB237" s="197">
        <f t="shared" si="88"/>
        <v>43688</v>
      </c>
      <c r="AC237" s="426">
        <f>IF(OR(t&lt;Tnet,NoTnet),'2018'!Resal_s+('2018'!Salim-'2018'!Resal_s)*(1-EXP(('2018'!Tnet_s-t)/'2018'!Tau_j)),Resal_s+(Salim-Resal_s)*(1-EXP((Tnet_s-t)/Tau_j)))*Salcycl</f>
        <v>2.3817888568573371E-2</v>
      </c>
      <c r="AD237" s="231">
        <f>(INDEX(Models!$BJ237:$BT237,,AH237)*(1-AF237)+INDEX(Models!$BJ237:$BT237,,AH237+1)*AF237-ERP_i)*AE237*Ramure*Pc/MaxiM</f>
        <v>3.8502251289313378E-5</v>
      </c>
      <c r="AE237" s="305">
        <f t="shared" si="89"/>
        <v>0.5</v>
      </c>
      <c r="AF237" s="177">
        <f t="shared" si="90"/>
        <v>0.96120997432050359</v>
      </c>
      <c r="AG237" s="176">
        <f t="shared" si="91"/>
        <v>-2</v>
      </c>
      <c r="AH237" s="176">
        <f t="shared" si="92"/>
        <v>4</v>
      </c>
      <c r="AI237" s="225">
        <f t="shared" si="93"/>
        <v>-1.0387900256794964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7">
        <v>28.064</v>
      </c>
      <c r="C238" s="390"/>
      <c r="D238" s="393">
        <f t="shared" si="75"/>
        <v>28.329561144929617</v>
      </c>
      <c r="E238" s="385">
        <f t="shared" si="97"/>
        <v>29.022095707057364</v>
      </c>
      <c r="F238" s="385">
        <f t="shared" si="76"/>
        <v>29.022399310644996</v>
      </c>
      <c r="G238" s="110">
        <f t="shared" si="98"/>
        <v>0.50994273826593106</v>
      </c>
      <c r="H238" s="414" t="b">
        <f>Wh_hp&gt;='2018'!Maxi_hp</f>
        <v>0</v>
      </c>
      <c r="I238" s="390">
        <f>IF(H238,Wh_hp,'2018'!Maxi_hp)</f>
        <v>52.198759439863373</v>
      </c>
      <c r="J238" s="85">
        <f>IF(H238,An,'2018'!An_max)</f>
        <v>2018</v>
      </c>
      <c r="K238" s="197">
        <f t="shared" si="77"/>
        <v>43689</v>
      </c>
      <c r="L238" s="147">
        <f>IF(t&lt;Tvie,1-EXP((T0-t)*PertePVj)+'2018'!Pspv,1-EXP((T0-t)*PertePVj)+Pspv)</f>
        <v>9.3739943083144261E-3</v>
      </c>
      <c r="M238" s="845"/>
      <c r="N238" s="845"/>
      <c r="O238" s="48">
        <f>IF(t&lt;Tnet,'2018'!Resal+('2018'!Salim-'2018'!Resal)*(1-EXP(('2018'!Tnet-t)/('2018'!Tau_j))),Resal+(Salim-Resal)*(1-EXP((Tnet-t)/(Tau_j))))*Salcycl</f>
        <v>2.386232094050126E-2</v>
      </c>
      <c r="P238" s="169">
        <f>(INDEX(Models!$BJ238:$BT238,,T238)*(1-R238)+INDEX(Models!$BJ238:$BT238,,T238+1)*R238-ERP_i)*Q238*Ramure*Pc/MaxiM</f>
        <v>3.4877473070327938E-5</v>
      </c>
      <c r="Q238" s="305">
        <f t="shared" si="78"/>
        <v>0.5</v>
      </c>
      <c r="R238" s="177">
        <f t="shared" si="79"/>
        <v>0.96257111330806966</v>
      </c>
      <c r="S238" s="811">
        <f t="shared" si="80"/>
        <v>-2</v>
      </c>
      <c r="T238" s="176">
        <f t="shared" si="81"/>
        <v>4</v>
      </c>
      <c r="U238" s="251">
        <f t="shared" si="82"/>
        <v>-1.0374288866919303</v>
      </c>
      <c r="V238" s="383">
        <f t="shared" si="83"/>
        <v>55.032286300655855</v>
      </c>
      <c r="W238" s="58"/>
      <c r="X238" s="157">
        <f t="shared" si="84"/>
        <v>43689</v>
      </c>
      <c r="Y238" s="385">
        <f t="shared" si="85"/>
        <v>28.064</v>
      </c>
      <c r="Z238" s="385">
        <f t="shared" si="86"/>
        <v>28.329561144929617</v>
      </c>
      <c r="AA238" s="386">
        <f t="shared" si="87"/>
        <v>29.022095707057364</v>
      </c>
      <c r="AB238" s="197">
        <f t="shared" si="88"/>
        <v>43689</v>
      </c>
      <c r="AC238" s="426">
        <f>IF(OR(t&lt;Tnet,NoTnet),'2018'!Resal_s+('2018'!Salim-'2018'!Resal_s)*(1-EXP(('2018'!Tnet_s-t)/'2018'!Tau_j)),Resal_s+(Salim-Resal_s)*(1-EXP((Tnet_s-t)/Tau_j)))*Salcycl</f>
        <v>2.386232094050126E-2</v>
      </c>
      <c r="AD238" s="231">
        <f>(INDEX(Models!$BJ238:$BT238,,AH238)*(1-AF238)+INDEX(Models!$BJ238:$BT238,,AH238+1)*AF238-ERP_i)*AE238*Ramure*Pc/MaxiM</f>
        <v>3.4877473070327938E-5</v>
      </c>
      <c r="AE238" s="305">
        <f t="shared" si="89"/>
        <v>0.5</v>
      </c>
      <c r="AF238" s="177">
        <f t="shared" si="90"/>
        <v>0.96257111330806966</v>
      </c>
      <c r="AG238" s="176">
        <f t="shared" si="91"/>
        <v>-2</v>
      </c>
      <c r="AH238" s="176">
        <f t="shared" si="92"/>
        <v>4</v>
      </c>
      <c r="AI238" s="225">
        <f t="shared" si="93"/>
        <v>-1.0374288866919303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7">
        <v>47.930999999999997</v>
      </c>
      <c r="C239" s="390"/>
      <c r="D239" s="393">
        <f t="shared" si="75"/>
        <v>48.385616326958946</v>
      </c>
      <c r="E239" s="385">
        <f t="shared" si="97"/>
        <v>49.570685478509589</v>
      </c>
      <c r="F239" s="385">
        <f t="shared" si="76"/>
        <v>49.571963401626377</v>
      </c>
      <c r="G239" s="110">
        <f t="shared" si="98"/>
        <v>0.87346148090256859</v>
      </c>
      <c r="H239" s="414" t="b">
        <f>Wh_hp&gt;='2018'!Maxi_hp</f>
        <v>1</v>
      </c>
      <c r="I239" s="390">
        <f>IF(H239,Wh_hp,'2018'!Maxi_hp)</f>
        <v>49.571963401626377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9.3956915602136926E-3</v>
      </c>
      <c r="M239" s="845"/>
      <c r="N239" s="845"/>
      <c r="O239" s="48">
        <f>IF(t&lt;Tnet,'2018'!Resal+('2018'!Salim-'2018'!Resal)*(1-EXP(('2018'!Tnet-t)/('2018'!Tau_j))),Resal+(Salim-Resal)*(1-EXP((Tnet-t)/(Tau_j))))*Salcycl</f>
        <v>2.3906652492518072E-2</v>
      </c>
      <c r="P239" s="169">
        <f>(INDEX(Models!$BJ239:$BT239,,T239)*(1-R239)+INDEX(Models!$BJ239:$BT239,,T239+1)*R239-ERP_i)*Q239*Ramure*Pc/MaxiM</f>
        <v>3.1467238465683034E-5</v>
      </c>
      <c r="Q239" s="305">
        <f t="shared" si="78"/>
        <v>0.5</v>
      </c>
      <c r="R239" s="177">
        <f t="shared" si="79"/>
        <v>0.96388497163581333</v>
      </c>
      <c r="S239" s="811">
        <f t="shared" si="80"/>
        <v>-2</v>
      </c>
      <c r="T239" s="176">
        <f t="shared" si="81"/>
        <v>4</v>
      </c>
      <c r="U239" s="251">
        <f t="shared" si="82"/>
        <v>-1.0361150283641867</v>
      </c>
      <c r="V239" s="383">
        <f t="shared" si="83"/>
        <v>54.874460299852657</v>
      </c>
      <c r="W239" s="58"/>
      <c r="X239" s="157">
        <f t="shared" si="84"/>
        <v>43690</v>
      </c>
      <c r="Y239" s="385">
        <f t="shared" si="85"/>
        <v>47.930999999999997</v>
      </c>
      <c r="Z239" s="385">
        <f t="shared" si="86"/>
        <v>48.385616326958946</v>
      </c>
      <c r="AA239" s="386">
        <f t="shared" si="87"/>
        <v>49.570685478509589</v>
      </c>
      <c r="AB239" s="197">
        <f t="shared" si="88"/>
        <v>43690</v>
      </c>
      <c r="AC239" s="426">
        <f>IF(OR(t&lt;Tnet,NoTnet),'2018'!Resal_s+('2018'!Salim-'2018'!Resal_s)*(1-EXP(('2018'!Tnet_s-t)/'2018'!Tau_j)),Resal_s+(Salim-Resal_s)*(1-EXP((Tnet_s-t)/Tau_j)))*Salcycl</f>
        <v>2.3906652492518072E-2</v>
      </c>
      <c r="AD239" s="231">
        <f>(INDEX(Models!$BJ239:$BT239,,AH239)*(1-AF239)+INDEX(Models!$BJ239:$BT239,,AH239+1)*AF239-ERP_i)*AE239*Ramure*Pc/MaxiM</f>
        <v>3.1467238465683034E-5</v>
      </c>
      <c r="AE239" s="305">
        <f t="shared" si="89"/>
        <v>0.5</v>
      </c>
      <c r="AF239" s="177">
        <f t="shared" si="90"/>
        <v>0.96388497163581333</v>
      </c>
      <c r="AG239" s="176">
        <f t="shared" si="91"/>
        <v>-2</v>
      </c>
      <c r="AH239" s="176">
        <f t="shared" si="92"/>
        <v>4</v>
      </c>
      <c r="AI239" s="225">
        <f t="shared" si="93"/>
        <v>-1.0361150283641867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7">
        <v>55.481999999999999</v>
      </c>
      <c r="C240" s="390"/>
      <c r="D240" s="393">
        <f t="shared" si="75"/>
        <v>56.009462862314891</v>
      </c>
      <c r="E240" s="385">
        <f t="shared" si="97"/>
        <v>57.383856824513408</v>
      </c>
      <c r="F240" s="385">
        <f t="shared" si="76"/>
        <v>57.385484130512104</v>
      </c>
      <c r="G240" s="110">
        <f t="shared" si="98"/>
        <v>1.0140190569077845</v>
      </c>
      <c r="H240" s="414" t="b">
        <f>Wh_hp&gt;='2018'!Maxi_hp</f>
        <v>1</v>
      </c>
      <c r="I240" s="390">
        <f>IF(H240,Wh_hp,'2018'!Maxi_hp)</f>
        <v>57.385484130512104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9.4173883368874334E-3</v>
      </c>
      <c r="M240" s="845"/>
      <c r="N240" s="845"/>
      <c r="O240" s="48">
        <f>IF(t&lt;Tnet,'2018'!Resal+('2018'!Salim-'2018'!Resal)*(1-EXP(('2018'!Tnet-t)/('2018'!Tau_j))),Resal+(Salim-Resal)*(1-EXP((Tnet-t)/(Tau_j))))*Salcycl</f>
        <v>2.3950881628636018E-2</v>
      </c>
      <c r="P240" s="169">
        <f>(INDEX(Models!$BJ240:$BT240,,T240)*(1-R240)+INDEX(Models!$BJ240:$BT240,,T240+1)*R240-ERP_i)*Q240*Ramure*Pc/MaxiM</f>
        <v>2.8357450030265355E-5</v>
      </c>
      <c r="Q240" s="305">
        <f t="shared" si="78"/>
        <v>0.5</v>
      </c>
      <c r="R240" s="177">
        <f t="shared" si="79"/>
        <v>0.96515291819676219</v>
      </c>
      <c r="S240" s="811">
        <f t="shared" si="80"/>
        <v>-2</v>
      </c>
      <c r="T240" s="176">
        <f t="shared" si="81"/>
        <v>4</v>
      </c>
      <c r="U240" s="251">
        <f t="shared" si="82"/>
        <v>-1.0348470818032378</v>
      </c>
      <c r="V240" s="383">
        <f t="shared" si="83"/>
        <v>54.714948029862882</v>
      </c>
      <c r="W240" s="58"/>
      <c r="X240" s="157">
        <f t="shared" si="84"/>
        <v>43691</v>
      </c>
      <c r="Y240" s="385">
        <f t="shared" si="85"/>
        <v>55.481999999999999</v>
      </c>
      <c r="Z240" s="385">
        <f t="shared" si="86"/>
        <v>56.009462862314891</v>
      </c>
      <c r="AA240" s="386">
        <f t="shared" si="87"/>
        <v>57.383856824513408</v>
      </c>
      <c r="AB240" s="197">
        <f t="shared" si="88"/>
        <v>43691</v>
      </c>
      <c r="AC240" s="426">
        <f>IF(OR(t&lt;Tnet,NoTnet),'2018'!Resal_s+('2018'!Salim-'2018'!Resal_s)*(1-EXP(('2018'!Tnet_s-t)/'2018'!Tau_j)),Resal_s+(Salim-Resal_s)*(1-EXP((Tnet_s-t)/Tau_j)))*Salcycl</f>
        <v>2.3950881628636018E-2</v>
      </c>
      <c r="AD240" s="231">
        <f>(INDEX(Models!$BJ240:$BT240,,AH240)*(1-AF240)+INDEX(Models!$BJ240:$BT240,,AH240+1)*AF240-ERP_i)*AE240*Ramure*Pc/MaxiM</f>
        <v>2.8357450030265355E-5</v>
      </c>
      <c r="AE240" s="305">
        <f t="shared" si="89"/>
        <v>0.5</v>
      </c>
      <c r="AF240" s="177">
        <f t="shared" si="90"/>
        <v>0.96515291819676219</v>
      </c>
      <c r="AG240" s="176">
        <f t="shared" si="91"/>
        <v>-2</v>
      </c>
      <c r="AH240" s="176">
        <f t="shared" si="92"/>
        <v>4</v>
      </c>
      <c r="AI240" s="225">
        <f t="shared" si="93"/>
        <v>-1.0348470818032378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7">
        <v>28.876000000000001</v>
      </c>
      <c r="C241" s="390"/>
      <c r="D241" s="393">
        <f t="shared" si="75"/>
        <v>29.151160269085896</v>
      </c>
      <c r="E241" s="385">
        <f t="shared" si="97"/>
        <v>29.867839265530218</v>
      </c>
      <c r="F241" s="385">
        <f t="shared" si="76"/>
        <v>29.868088126300982</v>
      </c>
      <c r="G241" s="110">
        <f t="shared" si="98"/>
        <v>0.52930472779909832</v>
      </c>
      <c r="H241" s="414" t="b">
        <f>Wh_hp&gt;='2018'!Maxi_hp</f>
        <v>0</v>
      </c>
      <c r="I241" s="390">
        <f>IF(H241,Wh_hp,'2018'!Maxi_hp)</f>
        <v>56.300151621417385</v>
      </c>
      <c r="J241" s="85">
        <f>IF(H241,An,'2018'!An_max)</f>
        <v>2018</v>
      </c>
      <c r="K241" s="197">
        <f t="shared" si="77"/>
        <v>43692</v>
      </c>
      <c r="L241" s="147">
        <f>IF(t&lt;Tvie,1-EXP((T0-t)*PertePVj)+'2018'!Pspv,1-EXP((T0-t)*PertePVj)+Pspv)</f>
        <v>9.4390846383460847E-3</v>
      </c>
      <c r="M241" s="845"/>
      <c r="N241" s="845"/>
      <c r="O241" s="48">
        <f>IF(t&lt;Tnet,'2018'!Resal+('2018'!Salim-'2018'!Resal)*(1-EXP(('2018'!Tnet-t)/('2018'!Tau_j))),Resal+(Salim-Resal)*(1-EXP((Tnet-t)/(Tau_j))))*Salcycl</f>
        <v>2.3995006470770259E-2</v>
      </c>
      <c r="P241" s="169">
        <f>(INDEX(Models!$BJ241:$BT241,,T241)*(1-R241)+INDEX(Models!$BJ241:$BT241,,T241+1)*R241-ERP_i)*Q241*Ramure*Pc/MaxiM</f>
        <v>2.5434131013346175E-5</v>
      </c>
      <c r="Q241" s="305">
        <f t="shared" si="78"/>
        <v>0.5</v>
      </c>
      <c r="R241" s="177">
        <f t="shared" si="79"/>
        <v>0.96637630271980246</v>
      </c>
      <c r="S241" s="811">
        <f t="shared" si="80"/>
        <v>-2</v>
      </c>
      <c r="T241" s="176">
        <f t="shared" si="81"/>
        <v>4</v>
      </c>
      <c r="U241" s="251">
        <f t="shared" si="82"/>
        <v>-1.0336236972801975</v>
      </c>
      <c r="V241" s="383">
        <f t="shared" si="83"/>
        <v>54.553652438893742</v>
      </c>
      <c r="W241" s="58"/>
      <c r="X241" s="157">
        <f t="shared" si="84"/>
        <v>43692</v>
      </c>
      <c r="Y241" s="385">
        <f t="shared" si="85"/>
        <v>28.876000000000001</v>
      </c>
      <c r="Z241" s="385">
        <f t="shared" si="86"/>
        <v>29.151160269085896</v>
      </c>
      <c r="AA241" s="386">
        <f t="shared" si="87"/>
        <v>29.867839265530218</v>
      </c>
      <c r="AB241" s="197">
        <f t="shared" si="88"/>
        <v>43692</v>
      </c>
      <c r="AC241" s="426">
        <f>IF(OR(t&lt;Tnet,NoTnet),'2018'!Resal_s+('2018'!Salim-'2018'!Resal_s)*(1-EXP(('2018'!Tnet_s-t)/'2018'!Tau_j)),Resal_s+(Salim-Resal_s)*(1-EXP((Tnet_s-t)/Tau_j)))*Salcycl</f>
        <v>2.3995006470770259E-2</v>
      </c>
      <c r="AD241" s="231">
        <f>(INDEX(Models!$BJ241:$BT241,,AH241)*(1-AF241)+INDEX(Models!$BJ241:$BT241,,AH241+1)*AF241-ERP_i)*AE241*Ramure*Pc/MaxiM</f>
        <v>2.5434131013346175E-5</v>
      </c>
      <c r="AE241" s="305">
        <f t="shared" si="89"/>
        <v>0.5</v>
      </c>
      <c r="AF241" s="177">
        <f t="shared" si="90"/>
        <v>0.96637630271980246</v>
      </c>
      <c r="AG241" s="176">
        <f t="shared" si="91"/>
        <v>-2</v>
      </c>
      <c r="AH241" s="176">
        <f t="shared" si="92"/>
        <v>4</v>
      </c>
      <c r="AI241" s="225">
        <f t="shared" si="93"/>
        <v>-1.0336236972801975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7">
        <v>54.542999999999999</v>
      </c>
      <c r="C242" s="390"/>
      <c r="D242" s="393">
        <f t="shared" si="75"/>
        <v>55.063947922811892</v>
      </c>
      <c r="E242" s="385">
        <f t="shared" si="97"/>
        <v>56.420235364544375</v>
      </c>
      <c r="F242" s="385">
        <f t="shared" si="76"/>
        <v>56.421516120211891</v>
      </c>
      <c r="G242" s="110">
        <f t="shared" si="98"/>
        <v>1.0028043495664432</v>
      </c>
      <c r="H242" s="414" t="b">
        <f>Wh_hp&gt;='2018'!Maxi_hp</f>
        <v>1</v>
      </c>
      <c r="I242" s="390">
        <f>IF(H242,Wh_hp,'2018'!Maxi_hp)</f>
        <v>56.421516120211891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9.4607804646000826E-3</v>
      </c>
      <c r="M242" s="845"/>
      <c r="N242" s="845"/>
      <c r="O242" s="48">
        <f>IF(t&lt;Tnet,'2018'!Resal+('2018'!Salim-'2018'!Resal)*(1-EXP(('2018'!Tnet-t)/('2018'!Tau_j))),Resal+(Salim-Resal)*(1-EXP((Tnet-t)/(Tau_j))))*Salcycl</f>
        <v>2.4039024881218472E-2</v>
      </c>
      <c r="P242" s="169">
        <f>(INDEX(Models!$BJ242:$BT242,,T242)*(1-R242)+INDEX(Models!$BJ242:$BT242,,T242+1)*R242-ERP_i)*Q242*Ramure*Pc/MaxiM</f>
        <v>2.2699774050488871E-5</v>
      </c>
      <c r="Q242" s="305">
        <f t="shared" si="78"/>
        <v>0.5</v>
      </c>
      <c r="R242" s="177">
        <f t="shared" si="79"/>
        <v>0.96755645434782123</v>
      </c>
      <c r="S242" s="811">
        <f t="shared" si="80"/>
        <v>-2</v>
      </c>
      <c r="T242" s="176">
        <f t="shared" si="81"/>
        <v>4</v>
      </c>
      <c r="U242" s="251">
        <f t="shared" si="82"/>
        <v>-1.0324435456521788</v>
      </c>
      <c r="V242" s="383">
        <f t="shared" si="83"/>
        <v>54.390470108731932</v>
      </c>
      <c r="W242" s="58"/>
      <c r="X242" s="157">
        <f t="shared" si="84"/>
        <v>43693</v>
      </c>
      <c r="Y242" s="385">
        <f t="shared" si="85"/>
        <v>54.542999999999999</v>
      </c>
      <c r="Z242" s="385">
        <f t="shared" si="86"/>
        <v>55.063947922811892</v>
      </c>
      <c r="AA242" s="386">
        <f t="shared" si="87"/>
        <v>56.420235364544375</v>
      </c>
      <c r="AB242" s="197">
        <f t="shared" si="88"/>
        <v>43693</v>
      </c>
      <c r="AC242" s="426">
        <f>IF(OR(t&lt;Tnet,NoTnet),'2018'!Resal_s+('2018'!Salim-'2018'!Resal_s)*(1-EXP(('2018'!Tnet_s-t)/'2018'!Tau_j)),Resal_s+(Salim-Resal_s)*(1-EXP((Tnet_s-t)/Tau_j)))*Salcycl</f>
        <v>2.4039024881218472E-2</v>
      </c>
      <c r="AD242" s="231">
        <f>(INDEX(Models!$BJ242:$BT242,,AH242)*(1-AF242)+INDEX(Models!$BJ242:$BT242,,AH242+1)*AF242-ERP_i)*AE242*Ramure*Pc/MaxiM</f>
        <v>2.2699774050488871E-5</v>
      </c>
      <c r="AE242" s="305">
        <f t="shared" si="89"/>
        <v>0.5</v>
      </c>
      <c r="AF242" s="177">
        <f t="shared" si="90"/>
        <v>0.96755645434782123</v>
      </c>
      <c r="AG242" s="176">
        <f t="shared" si="91"/>
        <v>-2</v>
      </c>
      <c r="AH242" s="176">
        <f t="shared" si="92"/>
        <v>4</v>
      </c>
      <c r="AI242" s="225">
        <f t="shared" si="93"/>
        <v>-1.0324435456521788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7">
        <v>53.448999999999998</v>
      </c>
      <c r="C243" s="390"/>
      <c r="D243" s="393">
        <f t="shared" si="75"/>
        <v>53.960680851167737</v>
      </c>
      <c r="E243" s="385">
        <f t="shared" si="97"/>
        <v>55.292281237676413</v>
      </c>
      <c r="F243" s="385">
        <f t="shared" si="76"/>
        <v>55.293372982977111</v>
      </c>
      <c r="G243" s="110">
        <f t="shared" si="98"/>
        <v>0.98568344055234092</v>
      </c>
      <c r="H243" s="414" t="b">
        <f>Wh_hp&gt;='2018'!Maxi_hp</f>
        <v>1</v>
      </c>
      <c r="I243" s="390">
        <f>IF(H243,Wh_hp,'2018'!Maxi_hp)</f>
        <v>55.293372982977111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9.4824758156598632E-3</v>
      </c>
      <c r="M243" s="845"/>
      <c r="N243" s="845"/>
      <c r="O243" s="48">
        <f>IF(t&lt;Tnet,'2018'!Resal+('2018'!Salim-'2018'!Resal)*(1-EXP(('2018'!Tnet-t)/('2018'!Tau_j))),Resal+(Salim-Resal)*(1-EXP((Tnet-t)/(Tau_j))))*Salcycl</f>
        <v>2.4082934483833862E-2</v>
      </c>
      <c r="P243" s="169">
        <f>(INDEX(Models!$BJ243:$BT243,,T243)*(1-R243)+INDEX(Models!$BJ243:$BT243,,T243+1)*R243-ERP_i)*Q243*Ramure*Pc/MaxiM</f>
        <v>2.0156836320010201E-5</v>
      </c>
      <c r="Q243" s="305">
        <f t="shared" si="78"/>
        <v>0.5</v>
      </c>
      <c r="R243" s="177">
        <f t="shared" si="79"/>
        <v>0.96869468038267392</v>
      </c>
      <c r="S243" s="811">
        <f t="shared" si="80"/>
        <v>-2</v>
      </c>
      <c r="T243" s="176">
        <f t="shared" si="81"/>
        <v>4</v>
      </c>
      <c r="U243" s="251">
        <f t="shared" si="82"/>
        <v>-1.0313053196173261</v>
      </c>
      <c r="V243" s="383">
        <f t="shared" si="83"/>
        <v>54.225297663285531</v>
      </c>
      <c r="W243" s="58"/>
      <c r="X243" s="157">
        <f t="shared" si="84"/>
        <v>43694</v>
      </c>
      <c r="Y243" s="385">
        <f t="shared" si="85"/>
        <v>53.448999999999998</v>
      </c>
      <c r="Z243" s="385">
        <f t="shared" si="86"/>
        <v>53.960680851167737</v>
      </c>
      <c r="AA243" s="386">
        <f t="shared" si="87"/>
        <v>55.292281237676413</v>
      </c>
      <c r="AB243" s="197">
        <f t="shared" si="88"/>
        <v>43694</v>
      </c>
      <c r="AC243" s="426">
        <f>IF(OR(t&lt;Tnet,NoTnet),'2018'!Resal_s+('2018'!Salim-'2018'!Resal_s)*(1-EXP(('2018'!Tnet_s-t)/'2018'!Tau_j)),Resal_s+(Salim-Resal_s)*(1-EXP((Tnet_s-t)/Tau_j)))*Salcycl</f>
        <v>2.4082934483833862E-2</v>
      </c>
      <c r="AD243" s="231">
        <f>(INDEX(Models!$BJ243:$BT243,,AH243)*(1-AF243)+INDEX(Models!$BJ243:$BT243,,AH243+1)*AF243-ERP_i)*AE243*Ramure*Pc/MaxiM</f>
        <v>2.0156836320010201E-5</v>
      </c>
      <c r="AE243" s="305">
        <f t="shared" si="89"/>
        <v>0.5</v>
      </c>
      <c r="AF243" s="177">
        <f t="shared" si="90"/>
        <v>0.96869468038267392</v>
      </c>
      <c r="AG243" s="176">
        <f t="shared" si="91"/>
        <v>-2</v>
      </c>
      <c r="AH243" s="176">
        <f t="shared" si="92"/>
        <v>4</v>
      </c>
      <c r="AI243" s="225">
        <f t="shared" si="93"/>
        <v>-1.0313053196173261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7">
        <v>37.186</v>
      </c>
      <c r="C244" s="390"/>
      <c r="D244" s="393">
        <f t="shared" si="75"/>
        <v>37.542813305899728</v>
      </c>
      <c r="E244" s="385">
        <f t="shared" si="97"/>
        <v>38.470992661927141</v>
      </c>
      <c r="F244" s="385">
        <f t="shared" si="76"/>
        <v>38.471372289365526</v>
      </c>
      <c r="G244" s="110">
        <f t="shared" si="98"/>
        <v>0.68788491784529693</v>
      </c>
      <c r="H244" s="414" t="b">
        <f>Wh_hp&gt;='2018'!Maxi_hp</f>
        <v>1</v>
      </c>
      <c r="I244" s="390">
        <f>IF(H244,Wh_hp,'2018'!Maxi_hp)</f>
        <v>38.471372289365526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9.5041706915357516E-3</v>
      </c>
      <c r="M244" s="845"/>
      <c r="N244" s="845"/>
      <c r="O244" s="48">
        <f>IF(t&lt;Tnet,'2018'!Resal+('2018'!Salim-'2018'!Resal)*(1-EXP(('2018'!Tnet-t)/('2018'!Tau_j))),Resal+(Salim-Resal)*(1-EXP((Tnet-t)/(Tau_j))))*Salcycl</f>
        <v>2.4126732683609448E-2</v>
      </c>
      <c r="P244" s="169">
        <f>(INDEX(Models!$BJ244:$BT244,,T244)*(1-R244)+INDEX(Models!$BJ244:$BT244,,T244+1)*R244-ERP_i)*Q244*Ramure*Pc/MaxiM</f>
        <v>1.7807745810192261E-5</v>
      </c>
      <c r="Q244" s="305">
        <f t="shared" si="78"/>
        <v>0.5</v>
      </c>
      <c r="R244" s="177">
        <f t="shared" si="79"/>
        <v>0.96979226518748751</v>
      </c>
      <c r="S244" s="811">
        <f t="shared" si="80"/>
        <v>-2</v>
      </c>
      <c r="T244" s="176">
        <f t="shared" si="81"/>
        <v>4</v>
      </c>
      <c r="U244" s="251">
        <f t="shared" si="82"/>
        <v>-1.0302077348125125</v>
      </c>
      <c r="V244" s="383">
        <f t="shared" si="83"/>
        <v>54.058031768429821</v>
      </c>
      <c r="W244" s="58"/>
      <c r="X244" s="157">
        <f t="shared" si="84"/>
        <v>43695</v>
      </c>
      <c r="Y244" s="385">
        <f t="shared" si="85"/>
        <v>37.186</v>
      </c>
      <c r="Z244" s="385">
        <f t="shared" si="86"/>
        <v>37.542813305899728</v>
      </c>
      <c r="AA244" s="386">
        <f t="shared" si="87"/>
        <v>38.470992661927141</v>
      </c>
      <c r="AB244" s="197">
        <f t="shared" si="88"/>
        <v>43695</v>
      </c>
      <c r="AC244" s="426">
        <f>IF(OR(t&lt;Tnet,NoTnet),'2018'!Resal_s+('2018'!Salim-'2018'!Resal_s)*(1-EXP(('2018'!Tnet_s-t)/'2018'!Tau_j)),Resal_s+(Salim-Resal_s)*(1-EXP((Tnet_s-t)/Tau_j)))*Salcycl</f>
        <v>2.4126732683609448E-2</v>
      </c>
      <c r="AD244" s="231">
        <f>(INDEX(Models!$BJ244:$BT244,,AH244)*(1-AF244)+INDEX(Models!$BJ244:$BT244,,AH244+1)*AF244-ERP_i)*AE244*Ramure*Pc/MaxiM</f>
        <v>1.7807745810192261E-5</v>
      </c>
      <c r="AE244" s="305">
        <f t="shared" si="89"/>
        <v>0.5</v>
      </c>
      <c r="AF244" s="177">
        <f t="shared" si="90"/>
        <v>0.96979226518748751</v>
      </c>
      <c r="AG244" s="176">
        <f t="shared" si="91"/>
        <v>-2</v>
      </c>
      <c r="AH244" s="176">
        <f t="shared" si="92"/>
        <v>4</v>
      </c>
      <c r="AI244" s="225">
        <f t="shared" si="93"/>
        <v>-1.0302077348125125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7">
        <v>34.682000000000002</v>
      </c>
      <c r="C245" s="390"/>
      <c r="D245" s="393">
        <f t="shared" si="75"/>
        <v>35.015553438182181</v>
      </c>
      <c r="E245" s="385">
        <f t="shared" si="97"/>
        <v>35.882857044782149</v>
      </c>
      <c r="F245" s="385">
        <f t="shared" si="76"/>
        <v>35.883132772195509</v>
      </c>
      <c r="G245" s="110">
        <f t="shared" si="98"/>
        <v>0.6435821939915316</v>
      </c>
      <c r="H245" s="414" t="b">
        <f>Wh_hp&gt;='2018'!Maxi_hp</f>
        <v>0</v>
      </c>
      <c r="I245" s="390">
        <f>IF(H245,Wh_hp,'2018'!Maxi_hp)</f>
        <v>53.076716411968974</v>
      </c>
      <c r="J245" s="85">
        <f>IF(H245,An,'2018'!An_max)</f>
        <v>2018</v>
      </c>
      <c r="K245" s="197">
        <f t="shared" si="77"/>
        <v>43696</v>
      </c>
      <c r="L245" s="147">
        <f>IF(t&lt;Tvie,1-EXP((T0-t)*PertePVj)+'2018'!Pspv,1-EXP((T0-t)*PertePVj)+Pspv)</f>
        <v>9.5258650922380728E-3</v>
      </c>
      <c r="M245" s="845"/>
      <c r="N245" s="845"/>
      <c r="O245" s="48">
        <f>IF(t&lt;Tnet,'2018'!Resal+('2018'!Salim-'2018'!Resal)*(1-EXP(('2018'!Tnet-t)/('2018'!Tau_j))),Resal+(Salim-Resal)*(1-EXP((Tnet-t)/(Tau_j))))*Salcycl</f>
        <v>2.4170416684423098E-2</v>
      </c>
      <c r="P245" s="169">
        <f>(INDEX(Models!$BJ245:$BT245,,T245)*(1-R245)+INDEX(Models!$BJ245:$BT245,,T245+1)*R245-ERP_i)*Q245*Ramure*Pc/MaxiM</f>
        <v>1.5654907349083529E-5</v>
      </c>
      <c r="Q245" s="305">
        <f t="shared" si="78"/>
        <v>0.5</v>
      </c>
      <c r="R245" s="177">
        <f t="shared" si="79"/>
        <v>0.97085046923692686</v>
      </c>
      <c r="S245" s="811">
        <f t="shared" si="80"/>
        <v>-2</v>
      </c>
      <c r="T245" s="176">
        <f t="shared" si="81"/>
        <v>4</v>
      </c>
      <c r="U245" s="251">
        <f t="shared" si="82"/>
        <v>-1.0291495307630731</v>
      </c>
      <c r="V245" s="383">
        <f t="shared" si="83"/>
        <v>53.888569130762811</v>
      </c>
      <c r="W245" s="58"/>
      <c r="X245" s="157">
        <f t="shared" si="84"/>
        <v>43696</v>
      </c>
      <c r="Y245" s="385">
        <f t="shared" si="85"/>
        <v>34.682000000000002</v>
      </c>
      <c r="Z245" s="385">
        <f t="shared" si="86"/>
        <v>35.015553438182181</v>
      </c>
      <c r="AA245" s="386">
        <f t="shared" si="87"/>
        <v>35.882857044782149</v>
      </c>
      <c r="AB245" s="197">
        <f t="shared" si="88"/>
        <v>43696</v>
      </c>
      <c r="AC245" s="426">
        <f>IF(OR(t&lt;Tnet,NoTnet),'2018'!Resal_s+('2018'!Salim-'2018'!Resal_s)*(1-EXP(('2018'!Tnet_s-t)/'2018'!Tau_j)),Resal_s+(Salim-Resal_s)*(1-EXP((Tnet_s-t)/Tau_j)))*Salcycl</f>
        <v>2.4170416684423098E-2</v>
      </c>
      <c r="AD245" s="231">
        <f>(INDEX(Models!$BJ245:$BT245,,AH245)*(1-AF245)+INDEX(Models!$BJ245:$BT245,,AH245+1)*AF245-ERP_i)*AE245*Ramure*Pc/MaxiM</f>
        <v>1.5654907349083529E-5</v>
      </c>
      <c r="AE245" s="305">
        <f t="shared" si="89"/>
        <v>0.5</v>
      </c>
      <c r="AF245" s="177">
        <f t="shared" si="90"/>
        <v>0.97085046923692686</v>
      </c>
      <c r="AG245" s="176">
        <f t="shared" si="91"/>
        <v>-2</v>
      </c>
      <c r="AH245" s="176">
        <f t="shared" si="92"/>
        <v>4</v>
      </c>
      <c r="AI245" s="225">
        <f t="shared" si="93"/>
        <v>-1.0291495307630731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7">
        <v>32.069000000000003</v>
      </c>
      <c r="C246" s="390"/>
      <c r="D246" s="393">
        <f t="shared" si="75"/>
        <v>32.378132127371479</v>
      </c>
      <c r="E246" s="385">
        <f t="shared" si="97"/>
        <v>33.181590615188263</v>
      </c>
      <c r="F246" s="385">
        <f t="shared" si="76"/>
        <v>33.181783502193191</v>
      </c>
      <c r="G246" s="110">
        <f t="shared" si="98"/>
        <v>0.59699652943857429</v>
      </c>
      <c r="H246" s="414" t="b">
        <f>Wh_hp&gt;='2018'!Maxi_hp</f>
        <v>0</v>
      </c>
      <c r="I246" s="390">
        <f>IF(H246,Wh_hp,'2018'!Maxi_hp)</f>
        <v>53.656818151544883</v>
      </c>
      <c r="J246" s="85">
        <f>IF(H246,An,'2018'!An_max)</f>
        <v>2018</v>
      </c>
      <c r="K246" s="197">
        <f t="shared" si="77"/>
        <v>43697</v>
      </c>
      <c r="L246" s="147">
        <f>IF(t&lt;Tvie,1-EXP((T0-t)*PertePVj)+'2018'!Pspv,1-EXP((T0-t)*PertePVj)+Pspv)</f>
        <v>9.5475590177774849E-3</v>
      </c>
      <c r="M246" s="845"/>
      <c r="N246" s="845"/>
      <c r="O246" s="48">
        <f>IF(t&lt;Tnet,'2018'!Resal+('2018'!Salim-'2018'!Resal)*(1-EXP(('2018'!Tnet-t)/('2018'!Tau_j))),Resal+(Salim-Resal)*(1-EXP((Tnet-t)/(Tau_j))))*Salcycl</f>
        <v>2.4213983504727372E-2</v>
      </c>
      <c r="P246" s="169">
        <f>(INDEX(Models!$BJ246:$BT246,,T246)*(1-R246)+INDEX(Models!$BJ246:$BT246,,T246+1)*R246-ERP_i)*Q246*Ramure*Pc/MaxiM</f>
        <v>1.3700708428845555E-5</v>
      </c>
      <c r="Q246" s="305">
        <f t="shared" si="78"/>
        <v>0.5</v>
      </c>
      <c r="R246" s="177">
        <f t="shared" si="79"/>
        <v>0.97187052830621212</v>
      </c>
      <c r="S246" s="811">
        <f t="shared" si="80"/>
        <v>-2</v>
      </c>
      <c r="T246" s="176">
        <f t="shared" si="81"/>
        <v>4</v>
      </c>
      <c r="U246" s="251">
        <f t="shared" si="82"/>
        <v>-1.0281294716937879</v>
      </c>
      <c r="V246" s="383">
        <f t="shared" si="83"/>
        <v>53.716806493029196</v>
      </c>
      <c r="W246" s="58"/>
      <c r="X246" s="157">
        <f t="shared" si="84"/>
        <v>43697</v>
      </c>
      <c r="Y246" s="385">
        <f t="shared" si="85"/>
        <v>32.069000000000003</v>
      </c>
      <c r="Z246" s="385">
        <f t="shared" si="86"/>
        <v>32.378132127371479</v>
      </c>
      <c r="AA246" s="386">
        <f t="shared" si="87"/>
        <v>33.181590615188263</v>
      </c>
      <c r="AB246" s="197">
        <f t="shared" si="88"/>
        <v>43697</v>
      </c>
      <c r="AC246" s="426">
        <f>IF(OR(t&lt;Tnet,NoTnet),'2018'!Resal_s+('2018'!Salim-'2018'!Resal_s)*(1-EXP(('2018'!Tnet_s-t)/'2018'!Tau_j)),Resal_s+(Salim-Resal_s)*(1-EXP((Tnet_s-t)/Tau_j)))*Salcycl</f>
        <v>2.4213983504727372E-2</v>
      </c>
      <c r="AD246" s="231">
        <f>(INDEX(Models!$BJ246:$BT246,,AH246)*(1-AF246)+INDEX(Models!$BJ246:$BT246,,AH246+1)*AF246-ERP_i)*AE246*Ramure*Pc/MaxiM</f>
        <v>1.3700708428845555E-5</v>
      </c>
      <c r="AE246" s="305">
        <f t="shared" si="89"/>
        <v>0.5</v>
      </c>
      <c r="AF246" s="177">
        <f t="shared" si="90"/>
        <v>0.97187052830621212</v>
      </c>
      <c r="AG246" s="176">
        <f t="shared" si="91"/>
        <v>-2</v>
      </c>
      <c r="AH246" s="176">
        <f t="shared" si="92"/>
        <v>4</v>
      </c>
      <c r="AI246" s="225">
        <f t="shared" si="93"/>
        <v>-1.0281294716937879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7">
        <v>49.094999999999999</v>
      </c>
      <c r="C247" s="390"/>
      <c r="D247" s="393">
        <f t="shared" si="75"/>
        <v>49.569341543914369</v>
      </c>
      <c r="E247" s="385">
        <f t="shared" si="97"/>
        <v>50.801659236264982</v>
      </c>
      <c r="F247" s="385">
        <f t="shared" si="76"/>
        <v>50.802194119135478</v>
      </c>
      <c r="G247" s="110">
        <f t="shared" si="98"/>
        <v>0.91689619693377244</v>
      </c>
      <c r="H247" s="414" t="b">
        <f>Wh_hp&gt;='2018'!Maxi_hp</f>
        <v>0</v>
      </c>
      <c r="I247" s="390">
        <f>IF(H247,Wh_hp,'2018'!Maxi_hp)</f>
        <v>52.817898849662711</v>
      </c>
      <c r="J247" s="85">
        <f>IF(H247,An,'2018'!An_max)</f>
        <v>2018</v>
      </c>
      <c r="K247" s="197">
        <f t="shared" si="77"/>
        <v>43698</v>
      </c>
      <c r="L247" s="147">
        <f>IF(t&lt;Tvie,1-EXP((T0-t)*PertePVj)+'2018'!Pspv,1-EXP((T0-t)*PertePVj)+Pspv)</f>
        <v>9.5692524681640911E-3</v>
      </c>
      <c r="M247" s="845"/>
      <c r="N247" s="845"/>
      <c r="O247" s="48">
        <f>IF(t&lt;Tnet,'2018'!Resal+('2018'!Salim-'2018'!Resal)*(1-EXP(('2018'!Tnet-t)/('2018'!Tau_j))),Resal+(Salim-Resal)*(1-EXP((Tnet-t)/(Tau_j))))*Salcycl</f>
        <v>2.4257429991005486E-2</v>
      </c>
      <c r="P247" s="169">
        <f>(INDEX(Models!$BJ247:$BT247,,T247)*(1-R247)+INDEX(Models!$BJ247:$BT247,,T247+1)*R247-ERP_i)*Q247*Ramure*Pc/MaxiM</f>
        <v>1.1947065696998642E-5</v>
      </c>
      <c r="Q247" s="305">
        <f t="shared" si="78"/>
        <v>0.5</v>
      </c>
      <c r="R247" s="177">
        <f t="shared" si="79"/>
        <v>0.97285365278987634</v>
      </c>
      <c r="S247" s="811">
        <f t="shared" si="80"/>
        <v>-2</v>
      </c>
      <c r="T247" s="176">
        <f t="shared" si="81"/>
        <v>4</v>
      </c>
      <c r="U247" s="251">
        <f t="shared" si="82"/>
        <v>-1.0271463472101237</v>
      </c>
      <c r="V247" s="383">
        <f t="shared" si="83"/>
        <v>53.544698440817676</v>
      </c>
      <c r="W247" s="58"/>
      <c r="X247" s="157">
        <f t="shared" si="84"/>
        <v>43698</v>
      </c>
      <c r="Y247" s="385">
        <f t="shared" si="85"/>
        <v>49.094999999999999</v>
      </c>
      <c r="Z247" s="385">
        <f t="shared" si="86"/>
        <v>49.569341543914369</v>
      </c>
      <c r="AA247" s="386">
        <f t="shared" si="87"/>
        <v>50.801659236264982</v>
      </c>
      <c r="AB247" s="197">
        <f t="shared" si="88"/>
        <v>43698</v>
      </c>
      <c r="AC247" s="426">
        <f>IF(OR(t&lt;Tnet,NoTnet),'2018'!Resal_s+('2018'!Salim-'2018'!Resal_s)*(1-EXP(('2018'!Tnet_s-t)/'2018'!Tau_j)),Resal_s+(Salim-Resal_s)*(1-EXP((Tnet_s-t)/Tau_j)))*Salcycl</f>
        <v>2.4257429991005486E-2</v>
      </c>
      <c r="AD247" s="231">
        <f>(INDEX(Models!$BJ247:$BT247,,AH247)*(1-AF247)+INDEX(Models!$BJ247:$BT247,,AH247+1)*AF247-ERP_i)*AE247*Ramure*Pc/MaxiM</f>
        <v>1.1947065696998642E-5</v>
      </c>
      <c r="AE247" s="305">
        <f t="shared" si="89"/>
        <v>0.5</v>
      </c>
      <c r="AF247" s="177">
        <f t="shared" si="90"/>
        <v>0.97285365278987634</v>
      </c>
      <c r="AG247" s="176">
        <f t="shared" si="91"/>
        <v>-2</v>
      </c>
      <c r="AH247" s="176">
        <f t="shared" si="92"/>
        <v>4</v>
      </c>
      <c r="AI247" s="225">
        <f t="shared" si="93"/>
        <v>-1.0271463472101237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7">
        <v>54.921999999999997</v>
      </c>
      <c r="C248" s="390"/>
      <c r="D248" s="393">
        <f t="shared" si="75"/>
        <v>55.453854896943277</v>
      </c>
      <c r="E248" s="385">
        <f t="shared" si="97"/>
        <v>56.834987889681358</v>
      </c>
      <c r="F248" s="385">
        <f t="shared" si="76"/>
        <v>56.835581680919191</v>
      </c>
      <c r="G248" s="110">
        <f t="shared" si="98"/>
        <v>1.0290084347657977</v>
      </c>
      <c r="H248" s="414" t="b">
        <f>Wh_hp&gt;='2018'!Maxi_hp</f>
        <v>1</v>
      </c>
      <c r="I248" s="390">
        <f>IF(H248,Wh_hp,'2018'!Maxi_hp)</f>
        <v>56.835581680919191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9.5909454434085495E-3</v>
      </c>
      <c r="M248" s="845"/>
      <c r="N248" s="845"/>
      <c r="O248" s="48">
        <f>IF(t&lt;Tnet,'2018'!Resal+('2018'!Salim-'2018'!Resal)*(1-EXP(('2018'!Tnet-t)/('2018'!Tau_j))),Resal+(Salim-Resal)*(1-EXP((Tnet-t)/(Tau_j))))*Salcycl</f>
        <v>2.4300752828854459E-2</v>
      </c>
      <c r="P248" s="169">
        <f>(INDEX(Models!$BJ248:$BT248,,T248)*(1-R248)+INDEX(Models!$BJ248:$BT248,,T248+1)*R248-ERP_i)*Q248*Ramure*Pc/MaxiM</f>
        <v>1.0447526360567212E-5</v>
      </c>
      <c r="Q248" s="305">
        <f t="shared" si="78"/>
        <v>0.5</v>
      </c>
      <c r="R248" s="177">
        <f t="shared" si="79"/>
        <v>0.97380102714149475</v>
      </c>
      <c r="S248" s="811">
        <f t="shared" si="80"/>
        <v>-2</v>
      </c>
      <c r="T248" s="176">
        <f t="shared" si="81"/>
        <v>4</v>
      </c>
      <c r="U248" s="251">
        <f t="shared" si="82"/>
        <v>-1.0261989728585053</v>
      </c>
      <c r="V248" s="383">
        <f t="shared" si="83"/>
        <v>53.373712152806831</v>
      </c>
      <c r="W248" s="58"/>
      <c r="X248" s="157">
        <f t="shared" si="84"/>
        <v>43699</v>
      </c>
      <c r="Y248" s="385">
        <f t="shared" si="85"/>
        <v>54.921999999999997</v>
      </c>
      <c r="Z248" s="385">
        <f t="shared" si="86"/>
        <v>55.453854896943277</v>
      </c>
      <c r="AA248" s="386">
        <f t="shared" si="87"/>
        <v>56.834987889681358</v>
      </c>
      <c r="AB248" s="197">
        <f t="shared" si="88"/>
        <v>43699</v>
      </c>
      <c r="AC248" s="426">
        <f>IF(OR(t&lt;Tnet,NoTnet),'2018'!Resal_s+('2018'!Salim-'2018'!Resal_s)*(1-EXP(('2018'!Tnet_s-t)/'2018'!Tau_j)),Resal_s+(Salim-Resal_s)*(1-EXP((Tnet_s-t)/Tau_j)))*Salcycl</f>
        <v>2.4300752828854459E-2</v>
      </c>
      <c r="AD248" s="231">
        <f>(INDEX(Models!$BJ248:$BT248,,AH248)*(1-AF248)+INDEX(Models!$BJ248:$BT248,,AH248+1)*AF248-ERP_i)*AE248*Ramure*Pc/MaxiM</f>
        <v>1.0447526360567212E-5</v>
      </c>
      <c r="AE248" s="305">
        <f t="shared" si="89"/>
        <v>0.5</v>
      </c>
      <c r="AF248" s="177">
        <f t="shared" si="90"/>
        <v>0.97380102714149475</v>
      </c>
      <c r="AG248" s="176">
        <f t="shared" si="91"/>
        <v>-2</v>
      </c>
      <c r="AH248" s="176">
        <f t="shared" si="92"/>
        <v>4</v>
      </c>
      <c r="AI248" s="225">
        <f t="shared" si="93"/>
        <v>-1.0261989728585053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7">
        <v>52.311999999999998</v>
      </c>
      <c r="C249" s="390"/>
      <c r="D249" s="393">
        <f t="shared" si="75"/>
        <v>52.81973700813117</v>
      </c>
      <c r="E249" s="385">
        <f t="shared" si="97"/>
        <v>54.137661453252989</v>
      </c>
      <c r="F249" s="385">
        <f t="shared" si="76"/>
        <v>54.138140935976416</v>
      </c>
      <c r="G249" s="110">
        <f t="shared" si="98"/>
        <v>0.98325215642308172</v>
      </c>
      <c r="H249" s="414" t="b">
        <f>Wh_hp&gt;='2018'!Maxi_hp</f>
        <v>1</v>
      </c>
      <c r="I249" s="390">
        <f>IF(H249,Wh_hp,'2018'!Maxi_hp)</f>
        <v>54.138140935976416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9.6126379435211851E-3</v>
      </c>
      <c r="M249" s="845"/>
      <c r="N249" s="845"/>
      <c r="O249" s="48">
        <f>IF(t&lt;Tnet,'2018'!Resal+('2018'!Salim-'2018'!Resal)*(1-EXP(('2018'!Tnet-t)/('2018'!Tau_j))),Resal+(Salim-Resal)*(1-EXP((Tnet-t)/(Tau_j))))*Salcycl</f>
        <v>2.4343948551597942E-2</v>
      </c>
      <c r="P249" s="169">
        <f>(INDEX(Models!$BJ249:$BT249,,T249)*(1-R249)+INDEX(Models!$BJ249:$BT249,,T249+1)*R249-ERP_i)*Q249*Ramure*Pc/MaxiM</f>
        <v>9.0737439193922718E-6</v>
      </c>
      <c r="Q249" s="305">
        <f t="shared" si="78"/>
        <v>0.5</v>
      </c>
      <c r="R249" s="177">
        <f t="shared" si="79"/>
        <v>0.97471380942588093</v>
      </c>
      <c r="S249" s="811">
        <f t="shared" si="80"/>
        <v>-2</v>
      </c>
      <c r="T249" s="176">
        <f t="shared" si="81"/>
        <v>4</v>
      </c>
      <c r="U249" s="251">
        <f t="shared" si="82"/>
        <v>-1.0252861905741191</v>
      </c>
      <c r="V249" s="383">
        <f t="shared" si="83"/>
        <v>53.20302457686681</v>
      </c>
      <c r="W249" s="58"/>
      <c r="X249" s="157">
        <f t="shared" si="84"/>
        <v>43700</v>
      </c>
      <c r="Y249" s="385">
        <f t="shared" si="85"/>
        <v>52.311999999999998</v>
      </c>
      <c r="Z249" s="385">
        <f t="shared" si="86"/>
        <v>52.81973700813117</v>
      </c>
      <c r="AA249" s="386">
        <f t="shared" si="87"/>
        <v>54.137661453252989</v>
      </c>
      <c r="AB249" s="197">
        <f t="shared" si="88"/>
        <v>43700</v>
      </c>
      <c r="AC249" s="426">
        <f>IF(OR(t&lt;Tnet,NoTnet),'2018'!Resal_s+('2018'!Salim-'2018'!Resal_s)*(1-EXP(('2018'!Tnet_s-t)/'2018'!Tau_j)),Resal_s+(Salim-Resal_s)*(1-EXP((Tnet_s-t)/Tau_j)))*Salcycl</f>
        <v>2.4343948551597942E-2</v>
      </c>
      <c r="AD249" s="231">
        <f>(INDEX(Models!$BJ249:$BT249,,AH249)*(1-AF249)+INDEX(Models!$BJ249:$BT249,,AH249+1)*AF249-ERP_i)*AE249*Ramure*Pc/MaxiM</f>
        <v>9.0737439193922718E-6</v>
      </c>
      <c r="AE249" s="305">
        <f t="shared" si="89"/>
        <v>0.5</v>
      </c>
      <c r="AF249" s="177">
        <f t="shared" si="90"/>
        <v>0.97471380942588093</v>
      </c>
      <c r="AG249" s="176">
        <f t="shared" si="91"/>
        <v>-2</v>
      </c>
      <c r="AH249" s="176">
        <f t="shared" si="92"/>
        <v>4</v>
      </c>
      <c r="AI249" s="225">
        <f t="shared" si="93"/>
        <v>-1.0252861905741191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7">
        <v>52.639000000000003</v>
      </c>
      <c r="C250" s="390"/>
      <c r="D250" s="393">
        <f t="shared" si="75"/>
        <v>53.151074994679902</v>
      </c>
      <c r="E250" s="385">
        <f t="shared" si="97"/>
        <v>54.47967148109128</v>
      </c>
      <c r="F250" s="385">
        <f t="shared" si="76"/>
        <v>54.480093410292213</v>
      </c>
      <c r="G250" s="110">
        <f t="shared" si="98"/>
        <v>0.99259293086775779</v>
      </c>
      <c r="H250" s="414" t="b">
        <f>Wh_hp&gt;='2018'!Maxi_hp</f>
        <v>1</v>
      </c>
      <c r="I250" s="390">
        <f>IF(H250,Wh_hp,'2018'!Maxi_hp)</f>
        <v>54.480093410292213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9.634329968512434E-3</v>
      </c>
      <c r="M250" s="845"/>
      <c r="N250" s="845"/>
      <c r="O250" s="48">
        <f>IF(t&lt;Tnet,'2018'!Resal+('2018'!Salim-'2018'!Resal)*(1-EXP(('2018'!Tnet-t)/('2018'!Tau_j))),Resal+(Salim-Resal)*(1-EXP((Tnet-t)/(Tau_j))))*Salcycl</f>
        <v>2.4387013546373962E-2</v>
      </c>
      <c r="P250" s="169">
        <f>(INDEX(Models!$BJ250:$BT250,,T250)*(1-R250)+INDEX(Models!$BJ250:$BT250,,T250+1)*R250-ERP_i)*Q250*Ramure*Pc/MaxiM</f>
        <v>7.8274747180709136E-6</v>
      </c>
      <c r="Q250" s="305">
        <f t="shared" si="78"/>
        <v>0.5</v>
      </c>
      <c r="R250" s="177">
        <f t="shared" si="79"/>
        <v>0.97559313097554523</v>
      </c>
      <c r="S250" s="811">
        <f t="shared" si="80"/>
        <v>-2</v>
      </c>
      <c r="T250" s="176">
        <f t="shared" si="81"/>
        <v>4</v>
      </c>
      <c r="U250" s="251">
        <f t="shared" si="82"/>
        <v>-1.0244068690244548</v>
      </c>
      <c r="V250" s="383">
        <f t="shared" si="83"/>
        <v>53.031805892557067</v>
      </c>
      <c r="W250" s="58"/>
      <c r="X250" s="157">
        <f t="shared" si="84"/>
        <v>43701</v>
      </c>
      <c r="Y250" s="385">
        <f t="shared" si="85"/>
        <v>52.639000000000003</v>
      </c>
      <c r="Z250" s="385">
        <f t="shared" si="86"/>
        <v>53.151074994679902</v>
      </c>
      <c r="AA250" s="386">
        <f t="shared" si="87"/>
        <v>54.47967148109128</v>
      </c>
      <c r="AB250" s="197">
        <f t="shared" si="88"/>
        <v>43701</v>
      </c>
      <c r="AC250" s="426">
        <f>IF(OR(t&lt;Tnet,NoTnet),'2018'!Resal_s+('2018'!Salim-'2018'!Resal_s)*(1-EXP(('2018'!Tnet_s-t)/'2018'!Tau_j)),Resal_s+(Salim-Resal_s)*(1-EXP((Tnet_s-t)/Tau_j)))*Salcycl</f>
        <v>2.4387013546373962E-2</v>
      </c>
      <c r="AD250" s="231">
        <f>(INDEX(Models!$BJ250:$BT250,,AH250)*(1-AF250)+INDEX(Models!$BJ250:$BT250,,AH250+1)*AF250-ERP_i)*AE250*Ramure*Pc/MaxiM</f>
        <v>7.8274747180709136E-6</v>
      </c>
      <c r="AE250" s="305">
        <f t="shared" si="89"/>
        <v>0.5</v>
      </c>
      <c r="AF250" s="177">
        <f t="shared" si="90"/>
        <v>0.97559313097554523</v>
      </c>
      <c r="AG250" s="176">
        <f t="shared" si="91"/>
        <v>-2</v>
      </c>
      <c r="AH250" s="176">
        <f t="shared" si="92"/>
        <v>4</v>
      </c>
      <c r="AI250" s="225">
        <f t="shared" si="93"/>
        <v>-1.0244068690244548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7">
        <v>44.978000000000002</v>
      </c>
      <c r="C251" s="390"/>
      <c r="D251" s="393">
        <f t="shared" si="75"/>
        <v>45.416543117634887</v>
      </c>
      <c r="E251" s="385">
        <f t="shared" si="97"/>
        <v>46.553851095569534</v>
      </c>
      <c r="F251" s="385">
        <f t="shared" si="76"/>
        <v>46.554096951446645</v>
      </c>
      <c r="G251" s="110">
        <f t="shared" si="98"/>
        <v>0.85090037604831192</v>
      </c>
      <c r="H251" s="414" t="b">
        <f>Wh_hp&gt;='2018'!Maxi_hp</f>
        <v>1</v>
      </c>
      <c r="I251" s="390">
        <f>IF(H251,Wh_hp,'2018'!Maxi_hp)</f>
        <v>46.554096951446645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9.6560215183926212E-3</v>
      </c>
      <c r="M251" s="845"/>
      <c r="N251" s="845"/>
      <c r="O251" s="48">
        <f>IF(t&lt;Tnet,'2018'!Resal+('2018'!Salim-'2018'!Resal)*(1-EXP(('2018'!Tnet-t)/('2018'!Tau_j))),Resal+(Salim-Resal)*(1-EXP((Tnet-t)/(Tau_j))))*Salcycl</f>
        <v>2.4429944057686819E-2</v>
      </c>
      <c r="P251" s="169">
        <f>(INDEX(Models!$BJ251:$BT251,,T251)*(1-R251)+INDEX(Models!$BJ251:$BT251,,T251+1)*R251-ERP_i)*Q251*Ramure*Pc/MaxiM</f>
        <v>6.7103735995444649E-6</v>
      </c>
      <c r="Q251" s="305">
        <f t="shared" si="78"/>
        <v>0.5</v>
      </c>
      <c r="R251" s="177">
        <f t="shared" si="79"/>
        <v>0.97644009614350979</v>
      </c>
      <c r="S251" s="811">
        <f t="shared" si="80"/>
        <v>-2</v>
      </c>
      <c r="T251" s="176">
        <f t="shared" si="81"/>
        <v>4</v>
      </c>
      <c r="U251" s="251">
        <f t="shared" si="82"/>
        <v>-1.0235599038564902</v>
      </c>
      <c r="V251" s="383">
        <f t="shared" si="83"/>
        <v>52.85922650750733</v>
      </c>
      <c r="W251" s="58"/>
      <c r="X251" s="157">
        <f t="shared" si="84"/>
        <v>43702</v>
      </c>
      <c r="Y251" s="385">
        <f t="shared" si="85"/>
        <v>44.978000000000002</v>
      </c>
      <c r="Z251" s="385">
        <f t="shared" si="86"/>
        <v>45.416543117634887</v>
      </c>
      <c r="AA251" s="386">
        <f t="shared" si="87"/>
        <v>46.553851095569534</v>
      </c>
      <c r="AB251" s="197">
        <f t="shared" si="88"/>
        <v>43702</v>
      </c>
      <c r="AC251" s="426">
        <f>IF(OR(t&lt;Tnet,NoTnet),'2018'!Resal_s+('2018'!Salim-'2018'!Resal_s)*(1-EXP(('2018'!Tnet_s-t)/'2018'!Tau_j)),Resal_s+(Salim-Resal_s)*(1-EXP((Tnet_s-t)/Tau_j)))*Salcycl</f>
        <v>2.4429944057686819E-2</v>
      </c>
      <c r="AD251" s="231">
        <f>(INDEX(Models!$BJ251:$BT251,,AH251)*(1-AF251)+INDEX(Models!$BJ251:$BT251,,AH251+1)*AF251-ERP_i)*AE251*Ramure*Pc/MaxiM</f>
        <v>6.7103735995444649E-6</v>
      </c>
      <c r="AE251" s="305">
        <f t="shared" si="89"/>
        <v>0.5</v>
      </c>
      <c r="AF251" s="177">
        <f t="shared" si="90"/>
        <v>0.97644009614350979</v>
      </c>
      <c r="AG251" s="176">
        <f t="shared" si="91"/>
        <v>-2</v>
      </c>
      <c r="AH251" s="176">
        <f t="shared" si="92"/>
        <v>4</v>
      </c>
      <c r="AI251" s="225">
        <f t="shared" si="93"/>
        <v>-1.0235599038564902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7">
        <v>44.438000000000002</v>
      </c>
      <c r="C252" s="390"/>
      <c r="D252" s="393">
        <f t="shared" si="75"/>
        <v>44.872260843852665</v>
      </c>
      <c r="E252" s="385">
        <f t="shared" si="97"/>
        <v>45.997956703464574</v>
      </c>
      <c r="F252" s="385">
        <f t="shared" si="76"/>
        <v>45.998161122716255</v>
      </c>
      <c r="G252" s="110">
        <f t="shared" si="98"/>
        <v>0.84347349496801238</v>
      </c>
      <c r="H252" s="414" t="b">
        <f>Wh_hp&gt;='2018'!Maxi_hp</f>
        <v>0</v>
      </c>
      <c r="I252" s="390">
        <f>IF(H252,Wh_hp,'2018'!Maxi_hp)</f>
        <v>54.589001673677714</v>
      </c>
      <c r="J252" s="85">
        <f>IF(H252,An,'2018'!An_max)</f>
        <v>2018</v>
      </c>
      <c r="K252" s="197">
        <f t="shared" si="77"/>
        <v>43703</v>
      </c>
      <c r="L252" s="147">
        <f>IF(t&lt;Tvie,1-EXP((T0-t)*PertePVj)+'2018'!Pspv,1-EXP((T0-t)*PertePVj)+Pspv)</f>
        <v>9.677712593172183E-3</v>
      </c>
      <c r="M252" s="845"/>
      <c r="N252" s="845"/>
      <c r="O252" s="48">
        <f>IF(t&lt;Tnet,'2018'!Resal+('2018'!Salim-'2018'!Resal)*(1-EXP(('2018'!Tnet-t)/('2018'!Tau_j))),Resal+(Salim-Resal)*(1-EXP((Tnet-t)/(Tau_j))))*Salcycl</f>
        <v>2.4472736188455954E-2</v>
      </c>
      <c r="P252" s="169">
        <f>(INDEX(Models!$BJ252:$BT252,,T252)*(1-R252)+INDEX(Models!$BJ252:$BT252,,T252+1)*R252-ERP_i)*Q252*Ramure*Pc/MaxiM</f>
        <v>5.7240066908531672E-6</v>
      </c>
      <c r="Q252" s="305">
        <f t="shared" si="78"/>
        <v>0.5</v>
      </c>
      <c r="R252" s="177">
        <f t="shared" si="79"/>
        <v>0.97725578214491349</v>
      </c>
      <c r="S252" s="811">
        <f t="shared" si="80"/>
        <v>-2</v>
      </c>
      <c r="T252" s="176">
        <f t="shared" si="81"/>
        <v>4</v>
      </c>
      <c r="U252" s="251">
        <f t="shared" si="82"/>
        <v>-1.0227442178550865</v>
      </c>
      <c r="V252" s="383">
        <f t="shared" si="83"/>
        <v>52.68445705434133</v>
      </c>
      <c r="W252" s="58"/>
      <c r="X252" s="157">
        <f t="shared" si="84"/>
        <v>43703</v>
      </c>
      <c r="Y252" s="385">
        <f t="shared" si="85"/>
        <v>44.438000000000002</v>
      </c>
      <c r="Z252" s="385">
        <f t="shared" si="86"/>
        <v>44.872260843852665</v>
      </c>
      <c r="AA252" s="386">
        <f t="shared" si="87"/>
        <v>45.997956703464574</v>
      </c>
      <c r="AB252" s="197">
        <f t="shared" si="88"/>
        <v>43703</v>
      </c>
      <c r="AC252" s="426">
        <f>IF(OR(t&lt;Tnet,NoTnet),'2018'!Resal_s+('2018'!Salim-'2018'!Resal_s)*(1-EXP(('2018'!Tnet_s-t)/'2018'!Tau_j)),Resal_s+(Salim-Resal_s)*(1-EXP((Tnet_s-t)/Tau_j)))*Salcycl</f>
        <v>2.4472736188455954E-2</v>
      </c>
      <c r="AD252" s="231">
        <f>(INDEX(Models!$BJ252:$BT252,,AH252)*(1-AF252)+INDEX(Models!$BJ252:$BT252,,AH252+1)*AF252-ERP_i)*AE252*Ramure*Pc/MaxiM</f>
        <v>5.7240066908531672E-6</v>
      </c>
      <c r="AE252" s="305">
        <f t="shared" si="89"/>
        <v>0.5</v>
      </c>
      <c r="AF252" s="177">
        <f t="shared" si="90"/>
        <v>0.97725578214491349</v>
      </c>
      <c r="AG252" s="176">
        <f t="shared" si="91"/>
        <v>-2</v>
      </c>
      <c r="AH252" s="176">
        <f t="shared" si="92"/>
        <v>4</v>
      </c>
      <c r="AI252" s="225">
        <f t="shared" si="93"/>
        <v>-1.0227442178550865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7">
        <v>31.416</v>
      </c>
      <c r="C253" s="390"/>
      <c r="D253" s="393">
        <f t="shared" si="75"/>
        <v>31.723700966443307</v>
      </c>
      <c r="E253" s="385">
        <f t="shared" si="97"/>
        <v>32.520964972541272</v>
      </c>
      <c r="F253" s="385">
        <f t="shared" si="76"/>
        <v>32.521032467695917</v>
      </c>
      <c r="G253" s="110">
        <f t="shared" si="98"/>
        <v>0.59832233071937335</v>
      </c>
      <c r="H253" s="414" t="b">
        <f>Wh_hp&gt;='2018'!Maxi_hp</f>
        <v>0</v>
      </c>
      <c r="I253" s="390">
        <f>IF(H253,Wh_hp,'2018'!Maxi_hp)</f>
        <v>52.049973436944512</v>
      </c>
      <c r="J253" s="85">
        <f>IF(H253,An,'2018'!An_max)</f>
        <v>2018</v>
      </c>
      <c r="K253" s="197">
        <f t="shared" si="77"/>
        <v>43704</v>
      </c>
      <c r="L253" s="147">
        <f>IF(t&lt;Tvie,1-EXP((T0-t)*PertePVj)+'2018'!Pspv,1-EXP((T0-t)*PertePVj)+Pspv)</f>
        <v>9.6994031928615554E-3</v>
      </c>
      <c r="M253" s="845"/>
      <c r="N253" s="845"/>
      <c r="O253" s="48">
        <f>IF(t&lt;Tnet,'2018'!Resal+('2018'!Salim-'2018'!Resal)*(1-EXP(('2018'!Tnet-t)/('2018'!Tau_j))),Resal+(Salim-Resal)*(1-EXP((Tnet-t)/(Tau_j))))*Salcycl</f>
        <v>2.4515385898638928E-2</v>
      </c>
      <c r="P253" s="169">
        <f>(INDEX(Models!$BJ253:$BT253,,T253)*(1-R253)+INDEX(Models!$BJ253:$BT253,,T253+1)*R253-ERP_i)*Q253*Ramure*Pc/MaxiM</f>
        <v>4.8698783688153785E-6</v>
      </c>
      <c r="Q253" s="305">
        <f t="shared" si="78"/>
        <v>0.5</v>
      </c>
      <c r="R253" s="177">
        <f t="shared" si="79"/>
        <v>0.97804123898016071</v>
      </c>
      <c r="S253" s="811">
        <f t="shared" si="80"/>
        <v>-2</v>
      </c>
      <c r="T253" s="176">
        <f t="shared" si="81"/>
        <v>4</v>
      </c>
      <c r="U253" s="251">
        <f t="shared" si="82"/>
        <v>-1.0219587610198393</v>
      </c>
      <c r="V253" s="383">
        <f t="shared" si="83"/>
        <v>52.506668390068633</v>
      </c>
      <c r="W253" s="58"/>
      <c r="X253" s="157">
        <f t="shared" si="84"/>
        <v>43704</v>
      </c>
      <c r="Y253" s="385">
        <f t="shared" si="85"/>
        <v>31.415999999999997</v>
      </c>
      <c r="Z253" s="385">
        <f t="shared" si="86"/>
        <v>31.723700966443303</v>
      </c>
      <c r="AA253" s="386">
        <f t="shared" si="87"/>
        <v>32.520964972541272</v>
      </c>
      <c r="AB253" s="197">
        <f t="shared" si="88"/>
        <v>43704</v>
      </c>
      <c r="AC253" s="426">
        <f>IF(OR(t&lt;Tnet,NoTnet),'2018'!Resal_s+('2018'!Salim-'2018'!Resal_s)*(1-EXP(('2018'!Tnet_s-t)/'2018'!Tau_j)),Resal_s+(Salim-Resal_s)*(1-EXP((Tnet_s-t)/Tau_j)))*Salcycl</f>
        <v>2.4515385898638928E-2</v>
      </c>
      <c r="AD253" s="231">
        <f>(INDEX(Models!$BJ253:$BT253,,AH253)*(1-AF253)+INDEX(Models!$BJ253:$BT253,,AH253+1)*AF253-ERP_i)*AE253*Ramure*Pc/MaxiM</f>
        <v>4.8698783688153785E-6</v>
      </c>
      <c r="AE253" s="305">
        <f t="shared" si="89"/>
        <v>0.5</v>
      </c>
      <c r="AF253" s="177">
        <f t="shared" si="90"/>
        <v>0.97804123898016071</v>
      </c>
      <c r="AG253" s="176">
        <f t="shared" si="91"/>
        <v>-2</v>
      </c>
      <c r="AH253" s="176">
        <f t="shared" si="92"/>
        <v>4</v>
      </c>
      <c r="AI253" s="225">
        <f t="shared" si="93"/>
        <v>-1.0219587610198393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7">
        <v>37.887999999999998</v>
      </c>
      <c r="C254" s="390"/>
      <c r="D254" s="393">
        <f t="shared" si="75"/>
        <v>38.259928333651175</v>
      </c>
      <c r="E254" s="385">
        <f t="shared" si="97"/>
        <v>39.223166502919113</v>
      </c>
      <c r="F254" s="385">
        <f t="shared" si="76"/>
        <v>39.223265501484377</v>
      </c>
      <c r="G254" s="110">
        <f t="shared" si="98"/>
        <v>0.72408820901249793</v>
      </c>
      <c r="H254" s="414" t="b">
        <f>Wh_hp&gt;='2018'!Maxi_hp</f>
        <v>0</v>
      </c>
      <c r="I254" s="390">
        <f>IF(H254,Wh_hp,'2018'!Maxi_hp)</f>
        <v>42.53568926066756</v>
      </c>
      <c r="J254" s="85">
        <f>IF(H254,An,'2018'!An_max)</f>
        <v>2018</v>
      </c>
      <c r="K254" s="197">
        <f t="shared" si="77"/>
        <v>43705</v>
      </c>
      <c r="L254" s="147">
        <f>IF(t&lt;Tvie,1-EXP((T0-t)*PertePVj)+'2018'!Pspv,1-EXP((T0-t)*PertePVj)+Pspv)</f>
        <v>9.7210933174710634E-3</v>
      </c>
      <c r="M254" s="845"/>
      <c r="N254" s="845"/>
      <c r="O254" s="48">
        <f>IF(t&lt;Tnet,'2018'!Resal+('2018'!Salim-'2018'!Resal)*(1-EXP(('2018'!Tnet-t)/('2018'!Tau_j))),Resal+(Salim-Resal)*(1-EXP((Tnet-t)/(Tau_j))))*Salcycl</f>
        <v>2.4557889001548362E-2</v>
      </c>
      <c r="P254" s="169">
        <f>(INDEX(Models!$BJ254:$BT254,,T254)*(1-R254)+INDEX(Models!$BJ254:$BT254,,T254+1)*R254-ERP_i)*Q254*Ramure*Pc/MaxiM</f>
        <v>4.1660624659553468E-6</v>
      </c>
      <c r="Q254" s="305">
        <f t="shared" si="78"/>
        <v>0.5</v>
      </c>
      <c r="R254" s="177">
        <f t="shared" si="79"/>
        <v>0.97879748943272049</v>
      </c>
      <c r="S254" s="811">
        <f t="shared" si="80"/>
        <v>-2</v>
      </c>
      <c r="T254" s="176">
        <f t="shared" si="81"/>
        <v>4</v>
      </c>
      <c r="U254" s="251">
        <f t="shared" si="82"/>
        <v>-1.0212025105672795</v>
      </c>
      <c r="V254" s="383">
        <f t="shared" si="83"/>
        <v>52.32503072536845</v>
      </c>
      <c r="W254" s="58"/>
      <c r="X254" s="157">
        <f t="shared" si="84"/>
        <v>43705</v>
      </c>
      <c r="Y254" s="385">
        <f t="shared" si="85"/>
        <v>37.887999999999998</v>
      </c>
      <c r="Z254" s="385">
        <f t="shared" si="86"/>
        <v>38.259928333651175</v>
      </c>
      <c r="AA254" s="386">
        <f t="shared" si="87"/>
        <v>39.223166502919113</v>
      </c>
      <c r="AB254" s="197">
        <f t="shared" si="88"/>
        <v>43705</v>
      </c>
      <c r="AC254" s="426">
        <f>IF(OR(t&lt;Tnet,NoTnet),'2018'!Resal_s+('2018'!Salim-'2018'!Resal_s)*(1-EXP(('2018'!Tnet_s-t)/'2018'!Tau_j)),Resal_s+(Salim-Resal_s)*(1-EXP((Tnet_s-t)/Tau_j)))*Salcycl</f>
        <v>2.4557889001548362E-2</v>
      </c>
      <c r="AD254" s="231">
        <f>(INDEX(Models!$BJ254:$BT254,,AH254)*(1-AF254)+INDEX(Models!$BJ254:$BT254,,AH254+1)*AF254-ERP_i)*AE254*Ramure*Pc/MaxiM</f>
        <v>4.1660624659553468E-6</v>
      </c>
      <c r="AE254" s="305">
        <f t="shared" si="89"/>
        <v>0.5</v>
      </c>
      <c r="AF254" s="177">
        <f t="shared" si="90"/>
        <v>0.97879748943272049</v>
      </c>
      <c r="AG254" s="176">
        <f t="shared" si="91"/>
        <v>-2</v>
      </c>
      <c r="AH254" s="176">
        <f t="shared" si="92"/>
        <v>4</v>
      </c>
      <c r="AI254" s="225">
        <f t="shared" si="93"/>
        <v>-1.0212025105672795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7">
        <v>49.3</v>
      </c>
      <c r="C255" s="390"/>
      <c r="D255" s="393">
        <f t="shared" si="75"/>
        <v>49.78504488734027</v>
      </c>
      <c r="E255" s="385">
        <f t="shared" si="97"/>
        <v>51.040657367443508</v>
      </c>
      <c r="F255" s="385">
        <f t="shared" si="76"/>
        <v>51.040823369252443</v>
      </c>
      <c r="G255" s="110">
        <f t="shared" si="98"/>
        <v>0.94555421664408557</v>
      </c>
      <c r="H255" s="414" t="b">
        <f>Wh_hp&gt;='2018'!Maxi_hp</f>
        <v>1</v>
      </c>
      <c r="I255" s="390">
        <f>IF(H255,Wh_hp,'2018'!Maxi_hp)</f>
        <v>51.040823369252443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9.7427829670112542E-3</v>
      </c>
      <c r="M255" s="845"/>
      <c r="N255" s="845"/>
      <c r="O255" s="48">
        <f>IF(t&lt;Tnet,'2018'!Resal+('2018'!Salim-'2018'!Resal)*(1-EXP(('2018'!Tnet-t)/('2018'!Tau_j))),Resal+(Salim-Resal)*(1-EXP((Tnet-t)/(Tau_j))))*Salcycl</f>
        <v>2.460024115802506E-2</v>
      </c>
      <c r="P255" s="169">
        <f>(INDEX(Models!$BJ255:$BT255,,T255)*(1-R255)+INDEX(Models!$BJ255:$BT255,,T255+1)*R255-ERP_i)*Q255*Ramure*Pc/MaxiM</f>
        <v>3.5266332050613772E-6</v>
      </c>
      <c r="Q255" s="305">
        <f t="shared" si="78"/>
        <v>0.5</v>
      </c>
      <c r="R255" s="177">
        <f t="shared" si="79"/>
        <v>0.97952552913501512</v>
      </c>
      <c r="S255" s="811">
        <f t="shared" si="80"/>
        <v>-2</v>
      </c>
      <c r="T255" s="176">
        <f t="shared" si="81"/>
        <v>4</v>
      </c>
      <c r="U255" s="251">
        <f t="shared" si="82"/>
        <v>-1.0204744708649849</v>
      </c>
      <c r="V255" s="383">
        <f t="shared" si="83"/>
        <v>52.138719926586411</v>
      </c>
      <c r="W255" s="58"/>
      <c r="X255" s="157">
        <f t="shared" si="84"/>
        <v>43706</v>
      </c>
      <c r="Y255" s="385">
        <f t="shared" si="85"/>
        <v>49.3</v>
      </c>
      <c r="Z255" s="385">
        <f t="shared" si="86"/>
        <v>49.78504488734027</v>
      </c>
      <c r="AA255" s="386">
        <f t="shared" si="87"/>
        <v>51.040657367443508</v>
      </c>
      <c r="AB255" s="197">
        <f t="shared" si="88"/>
        <v>43706</v>
      </c>
      <c r="AC255" s="426">
        <f>IF(OR(t&lt;Tnet,NoTnet),'2018'!Resal_s+('2018'!Salim-'2018'!Resal_s)*(1-EXP(('2018'!Tnet_s-t)/'2018'!Tau_j)),Resal_s+(Salim-Resal_s)*(1-EXP((Tnet_s-t)/Tau_j)))*Salcycl</f>
        <v>2.460024115802506E-2</v>
      </c>
      <c r="AD255" s="231">
        <f>(INDEX(Models!$BJ255:$BT255,,AH255)*(1-AF255)+INDEX(Models!$BJ255:$BT255,,AH255+1)*AF255-ERP_i)*AE255*Ramure*Pc/MaxiM</f>
        <v>3.5266332050613772E-6</v>
      </c>
      <c r="AE255" s="305">
        <f t="shared" si="89"/>
        <v>0.5</v>
      </c>
      <c r="AF255" s="177">
        <f t="shared" si="90"/>
        <v>0.97952552913501512</v>
      </c>
      <c r="AG255" s="176">
        <f t="shared" si="91"/>
        <v>-2</v>
      </c>
      <c r="AH255" s="176">
        <f t="shared" si="92"/>
        <v>4</v>
      </c>
      <c r="AI255" s="225">
        <f t="shared" si="93"/>
        <v>-1.0204744708649849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7">
        <v>48.89</v>
      </c>
      <c r="C256" s="390"/>
      <c r="D256" s="393">
        <f t="shared" si="75"/>
        <v>49.372092421012162</v>
      </c>
      <c r="E256" s="385">
        <f t="shared" si="97"/>
        <v>50.619479807103062</v>
      </c>
      <c r="F256" s="385">
        <f t="shared" si="76"/>
        <v>50.619616686697206</v>
      </c>
      <c r="G256" s="110">
        <f t="shared" si="98"/>
        <v>0.94115300034484028</v>
      </c>
      <c r="H256" s="414" t="b">
        <f>Wh_hp&gt;='2018'!Maxi_hp</f>
        <v>1</v>
      </c>
      <c r="I256" s="390">
        <f>IF(H256,Wh_hp,'2018'!Maxi_hp)</f>
        <v>50.619616686697206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9.7644721414924529E-3</v>
      </c>
      <c r="M256" s="845"/>
      <c r="N256" s="845"/>
      <c r="O256" s="48">
        <f>IF(t&lt;Tnet,'2018'!Resal+('2018'!Salim-'2018'!Resal)*(1-EXP(('2018'!Tnet-t)/('2018'!Tau_j))),Resal+(Salim-Resal)*(1-EXP((Tnet-t)/(Tau_j))))*Salcycl</f>
        <v>2.4642437868669344E-2</v>
      </c>
      <c r="P256" s="169">
        <f>(INDEX(Models!$BJ256:$BT256,,T256)*(1-R256)+INDEX(Models!$BJ256:$BT256,,T256+1)*R256-ERP_i)*Q256*Ramure*Pc/MaxiM</f>
        <v>2.9522699056254903E-6</v>
      </c>
      <c r="Q256" s="305">
        <f t="shared" si="78"/>
        <v>0.5</v>
      </c>
      <c r="R256" s="177">
        <f t="shared" si="79"/>
        <v>0.98022632669618992</v>
      </c>
      <c r="S256" s="811">
        <f t="shared" si="80"/>
        <v>-2</v>
      </c>
      <c r="T256" s="176">
        <f t="shared" si="81"/>
        <v>4</v>
      </c>
      <c r="U256" s="251">
        <f t="shared" si="82"/>
        <v>-1.0197736733038101</v>
      </c>
      <c r="V256" s="383">
        <f t="shared" si="83"/>
        <v>51.946907514662243</v>
      </c>
      <c r="W256" s="58"/>
      <c r="X256" s="157">
        <f t="shared" si="84"/>
        <v>43707</v>
      </c>
      <c r="Y256" s="385">
        <f t="shared" si="85"/>
        <v>48.89</v>
      </c>
      <c r="Z256" s="385">
        <f t="shared" si="86"/>
        <v>49.372092421012162</v>
      </c>
      <c r="AA256" s="386">
        <f t="shared" si="87"/>
        <v>50.619479807103062</v>
      </c>
      <c r="AB256" s="197">
        <f t="shared" si="88"/>
        <v>43707</v>
      </c>
      <c r="AC256" s="426">
        <f>IF(OR(t&lt;Tnet,NoTnet),'2018'!Resal_s+('2018'!Salim-'2018'!Resal_s)*(1-EXP(('2018'!Tnet_s-t)/'2018'!Tau_j)),Resal_s+(Salim-Resal_s)*(1-EXP((Tnet_s-t)/Tau_j)))*Salcycl</f>
        <v>2.4642437868669344E-2</v>
      </c>
      <c r="AD256" s="231">
        <f>(INDEX(Models!$BJ256:$BT256,,AH256)*(1-AF256)+INDEX(Models!$BJ256:$BT256,,AH256+1)*AF256-ERP_i)*AE256*Ramure*Pc/MaxiM</f>
        <v>2.9522699056254903E-6</v>
      </c>
      <c r="AE256" s="305">
        <f t="shared" si="89"/>
        <v>0.5</v>
      </c>
      <c r="AF256" s="177">
        <f t="shared" si="90"/>
        <v>0.98022632669618992</v>
      </c>
      <c r="AG256" s="176">
        <f t="shared" si="91"/>
        <v>-2</v>
      </c>
      <c r="AH256" s="176">
        <f t="shared" si="92"/>
        <v>4</v>
      </c>
      <c r="AI256" s="225">
        <f t="shared" si="93"/>
        <v>-1.0197736733038101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7">
        <v>46.273000000000003</v>
      </c>
      <c r="C257" s="390"/>
      <c r="D257" s="393">
        <f t="shared" si="75"/>
        <v>46.730310333065724</v>
      </c>
      <c r="E257" s="385">
        <f t="shared" si="97"/>
        <v>47.913018002458344</v>
      </c>
      <c r="F257" s="385">
        <f t="shared" si="76"/>
        <v>47.913117386310404</v>
      </c>
      <c r="G257" s="110">
        <f t="shared" si="98"/>
        <v>0.89418525643441915</v>
      </c>
      <c r="H257" s="414" t="b">
        <f>Wh_hp&gt;='2018'!Maxi_hp</f>
        <v>1</v>
      </c>
      <c r="I257" s="390">
        <f>IF(H257,Wh_hp,'2018'!Maxi_hp)</f>
        <v>47.913117386310404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9.7861608409249845E-3</v>
      </c>
      <c r="M257" s="845"/>
      <c r="N257" s="845"/>
      <c r="O257" s="48">
        <f>IF(t&lt;Tnet,'2018'!Resal+('2018'!Salim-'2018'!Resal)*(1-EXP(('2018'!Tnet-t)/('2018'!Tau_j))),Resal+(Salim-Resal)*(1-EXP((Tnet-t)/(Tau_j))))*Salcycl</f>
        <v>2.4684474464370783E-2</v>
      </c>
      <c r="P257" s="169">
        <f>(INDEX(Models!$BJ257:$BT257,,T257)*(1-R257)+INDEX(Models!$BJ257:$BT257,,T257+1)*R257-ERP_i)*Q257*Ramure*Pc/MaxiM</f>
        <v>2.4436405570911274E-6</v>
      </c>
      <c r="Q257" s="305">
        <f t="shared" si="78"/>
        <v>0.5</v>
      </c>
      <c r="R257" s="177">
        <f t="shared" si="79"/>
        <v>0.98090082388589006</v>
      </c>
      <c r="S257" s="811">
        <f t="shared" si="80"/>
        <v>-2</v>
      </c>
      <c r="T257" s="176">
        <f t="shared" si="81"/>
        <v>4</v>
      </c>
      <c r="U257" s="251">
        <f t="shared" si="82"/>
        <v>-1.0190991761141099</v>
      </c>
      <c r="V257" s="383">
        <f t="shared" si="83"/>
        <v>51.748765229853696</v>
      </c>
      <c r="W257" s="58"/>
      <c r="X257" s="157">
        <f t="shared" si="84"/>
        <v>43708</v>
      </c>
      <c r="Y257" s="385">
        <f t="shared" si="85"/>
        <v>46.273000000000003</v>
      </c>
      <c r="Z257" s="385">
        <f t="shared" si="86"/>
        <v>46.730310333065724</v>
      </c>
      <c r="AA257" s="386">
        <f t="shared" si="87"/>
        <v>47.913018002458344</v>
      </c>
      <c r="AB257" s="197">
        <f t="shared" si="88"/>
        <v>43708</v>
      </c>
      <c r="AC257" s="426">
        <f>IF(OR(t&lt;Tnet,NoTnet),'2018'!Resal_s+('2018'!Salim-'2018'!Resal_s)*(1-EXP(('2018'!Tnet_s-t)/'2018'!Tau_j)),Resal_s+(Salim-Resal_s)*(1-EXP((Tnet_s-t)/Tau_j)))*Salcycl</f>
        <v>2.4684474464370783E-2</v>
      </c>
      <c r="AD257" s="231">
        <f>(INDEX(Models!$BJ257:$BT257,,AH257)*(1-AF257)+INDEX(Models!$BJ257:$BT257,,AH257+1)*AF257-ERP_i)*AE257*Ramure*Pc/MaxiM</f>
        <v>2.4436405570911274E-6</v>
      </c>
      <c r="AE257" s="305">
        <f t="shared" si="89"/>
        <v>0.5</v>
      </c>
      <c r="AF257" s="177">
        <f t="shared" si="90"/>
        <v>0.98090082388589006</v>
      </c>
      <c r="AG257" s="176">
        <f t="shared" si="91"/>
        <v>-2</v>
      </c>
      <c r="AH257" s="176">
        <f t="shared" si="92"/>
        <v>4</v>
      </c>
      <c r="AI257" s="225">
        <f t="shared" si="93"/>
        <v>-1.0190991761141099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7">
        <v>17.157</v>
      </c>
      <c r="C258" s="390"/>
      <c r="D258" s="393">
        <f t="shared" si="75"/>
        <v>17.326940012405515</v>
      </c>
      <c r="E258" s="385">
        <f t="shared" si="97"/>
        <v>17.766234064701418</v>
      </c>
      <c r="F258" s="385">
        <f t="shared" si="76"/>
        <v>17.766235734114236</v>
      </c>
      <c r="G258" s="110">
        <f t="shared" si="98"/>
        <v>0.33286406462641832</v>
      </c>
      <c r="H258" s="414" t="b">
        <f>Wh_hp&gt;='2018'!Maxi_hp</f>
        <v>0</v>
      </c>
      <c r="I258" s="390">
        <f>IF(H258,Wh_hp,'2018'!Maxi_hp)</f>
        <v>53.475031417285187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9.8078490653193962E-3</v>
      </c>
      <c r="M258" s="845"/>
      <c r="N258" s="845"/>
      <c r="O258" s="48">
        <f>IF(t&lt;Tnet,'2018'!Resal+('2018'!Salim-'2018'!Resal)*(1-EXP(('2018'!Tnet-t)/('2018'!Tau_j))),Resal+(Salim-Resal)*(1-EXP((Tnet-t)/(Tau_j))))*Salcycl</f>
        <v>2.4726346095411831E-2</v>
      </c>
      <c r="P258" s="169">
        <f>(INDEX(Models!$BJ258:$BT258,,T258)*(1-R258)+INDEX(Models!$BJ258:$BT258,,T258+1)*R258-ERP_i)*Q258*Ramure*Pc/MaxiM</f>
        <v>2.0014129089136718E-6</v>
      </c>
      <c r="Q258" s="305">
        <f t="shared" si="78"/>
        <v>0.5</v>
      </c>
      <c r="R258" s="177">
        <f t="shared" si="79"/>
        <v>0.98154993586851158</v>
      </c>
      <c r="S258" s="811">
        <f t="shared" si="80"/>
        <v>-2</v>
      </c>
      <c r="T258" s="176">
        <f t="shared" si="81"/>
        <v>4</v>
      </c>
      <c r="U258" s="251">
        <f t="shared" si="82"/>
        <v>-1.0184500641314884</v>
      </c>
      <c r="V258" s="383">
        <f t="shared" si="83"/>
        <v>51.543465027313871</v>
      </c>
      <c r="W258" s="58"/>
      <c r="X258" s="157">
        <f t="shared" si="84"/>
        <v>43709</v>
      </c>
      <c r="Y258" s="385">
        <f t="shared" si="85"/>
        <v>17.157</v>
      </c>
      <c r="Z258" s="385">
        <f t="shared" si="86"/>
        <v>17.326940012405515</v>
      </c>
      <c r="AA258" s="386">
        <f t="shared" si="87"/>
        <v>17.766234064701418</v>
      </c>
      <c r="AB258" s="197">
        <f t="shared" si="88"/>
        <v>43709</v>
      </c>
      <c r="AC258" s="426">
        <f>IF(OR(t&lt;Tnet,NoTnet),'2018'!Resal_s+('2018'!Salim-'2018'!Resal_s)*(1-EXP(('2018'!Tnet_s-t)/'2018'!Tau_j)),Resal_s+(Salim-Resal_s)*(1-EXP((Tnet_s-t)/Tau_j)))*Salcycl</f>
        <v>2.4726346095411831E-2</v>
      </c>
      <c r="AD258" s="231">
        <f>(INDEX(Models!$BJ258:$BT258,,AH258)*(1-AF258)+INDEX(Models!$BJ258:$BT258,,AH258+1)*AF258-ERP_i)*AE258*Ramure*Pc/MaxiM</f>
        <v>2.0014129089136718E-6</v>
      </c>
      <c r="AE258" s="305">
        <f t="shared" si="89"/>
        <v>0.5</v>
      </c>
      <c r="AF258" s="177">
        <f t="shared" si="90"/>
        <v>0.98154993586851158</v>
      </c>
      <c r="AG258" s="176">
        <f t="shared" si="91"/>
        <v>-2</v>
      </c>
      <c r="AH258" s="176">
        <f t="shared" si="92"/>
        <v>4</v>
      </c>
      <c r="AI258" s="225">
        <f t="shared" si="93"/>
        <v>-1.0184500641314884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7">
        <v>49.661000000000001</v>
      </c>
      <c r="C259" s="390"/>
      <c r="D259" s="393">
        <f t="shared" si="75"/>
        <v>50.153990495983685</v>
      </c>
      <c r="E259" s="385">
        <f t="shared" si="97"/>
        <v>51.427755600808865</v>
      </c>
      <c r="F259" s="385">
        <f t="shared" si="76"/>
        <v>51.427835350869806</v>
      </c>
      <c r="G259" s="110">
        <f t="shared" si="98"/>
        <v>0.96748145318133938</v>
      </c>
      <c r="H259" s="414" t="b">
        <f>Wh_hp&gt;='2018'!Maxi_hp</f>
        <v>1</v>
      </c>
      <c r="I259" s="390">
        <f>IF(H259,Wh_hp,'2018'!Maxi_hp)</f>
        <v>51.427835350869806</v>
      </c>
      <c r="J259" s="85">
        <f>IF(H259,An,'2018'!An_max)</f>
        <v>2019</v>
      </c>
      <c r="K259" s="197">
        <f t="shared" si="77"/>
        <v>43710</v>
      </c>
      <c r="L259" s="147">
        <f>IF(t&lt;Tvie,1-EXP((T0-t)*PertePVj)+'2018'!Pspv,1-EXP((T0-t)*PertePVj)+Pspv)</f>
        <v>9.8295368146860129E-3</v>
      </c>
      <c r="M259" s="845"/>
      <c r="N259" s="845"/>
      <c r="O259" s="48">
        <f>IF(t&lt;Tnet,'2018'!Resal+('2018'!Salim-'2018'!Resal)*(1-EXP(('2018'!Tnet-t)/('2018'!Tau_j))),Resal+(Salim-Resal)*(1-EXP((Tnet-t)/(Tau_j))))*Salcycl</f>
        <v>2.4768047719452672E-2</v>
      </c>
      <c r="P259" s="169">
        <f>(INDEX(Models!$BJ259:$BT259,,T259)*(1-R259)+INDEX(Models!$BJ259:$BT259,,T259+1)*R259-ERP_i)*Q259*Ramure*Pc/MaxiM</f>
        <v>1.6262659477834047E-6</v>
      </c>
      <c r="Q259" s="305">
        <f t="shared" si="78"/>
        <v>0.5</v>
      </c>
      <c r="R259" s="177">
        <f t="shared" si="79"/>
        <v>0.98217455148271826</v>
      </c>
      <c r="S259" s="811">
        <f t="shared" si="80"/>
        <v>-2</v>
      </c>
      <c r="T259" s="176">
        <f t="shared" si="81"/>
        <v>4</v>
      </c>
      <c r="U259" s="251">
        <f t="shared" si="82"/>
        <v>-1.0178254485172817</v>
      </c>
      <c r="V259" s="383">
        <f t="shared" si="83"/>
        <v>51.330179079816048</v>
      </c>
      <c r="W259" s="58"/>
      <c r="X259" s="157">
        <f t="shared" si="84"/>
        <v>43710</v>
      </c>
      <c r="Y259" s="385">
        <f t="shared" si="85"/>
        <v>49.661000000000001</v>
      </c>
      <c r="Z259" s="385">
        <f t="shared" si="86"/>
        <v>50.153990495983685</v>
      </c>
      <c r="AA259" s="386">
        <f t="shared" si="87"/>
        <v>51.427755600808865</v>
      </c>
      <c r="AB259" s="197">
        <f t="shared" si="88"/>
        <v>43710</v>
      </c>
      <c r="AC259" s="426">
        <f>IF(OR(t&lt;Tnet,NoTnet),'2018'!Resal_s+('2018'!Salim-'2018'!Resal_s)*(1-EXP(('2018'!Tnet_s-t)/'2018'!Tau_j)),Resal_s+(Salim-Resal_s)*(1-EXP((Tnet_s-t)/Tau_j)))*Salcycl</f>
        <v>2.4768047719452672E-2</v>
      </c>
      <c r="AD259" s="231">
        <f>(INDEX(Models!$BJ259:$BT259,,AH259)*(1-AF259)+INDEX(Models!$BJ259:$BT259,,AH259+1)*AF259-ERP_i)*AE259*Ramure*Pc/MaxiM</f>
        <v>1.6262659477834047E-6</v>
      </c>
      <c r="AE259" s="305">
        <f t="shared" si="89"/>
        <v>0.5</v>
      </c>
      <c r="AF259" s="177">
        <f t="shared" si="90"/>
        <v>0.98217455148271826</v>
      </c>
      <c r="AG259" s="176">
        <f t="shared" si="91"/>
        <v>-2</v>
      </c>
      <c r="AH259" s="176">
        <f t="shared" si="92"/>
        <v>4</v>
      </c>
      <c r="AI259" s="225">
        <f t="shared" si="93"/>
        <v>-1.0178254485172817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7">
        <v>51.9</v>
      </c>
      <c r="C260" s="390"/>
      <c r="D260" s="393">
        <f t="shared" si="75"/>
        <v>52.416365361104987</v>
      </c>
      <c r="E260" s="385">
        <f t="shared" si="97"/>
        <v>53.749876914680051</v>
      </c>
      <c r="F260" s="385">
        <f t="shared" si="76"/>
        <v>53.749947805583197</v>
      </c>
      <c r="G260" s="110">
        <f t="shared" si="98"/>
        <v>1.015495010462617</v>
      </c>
      <c r="H260" s="414" t="b">
        <f>Wh_hp&gt;='2018'!Maxi_hp</f>
        <v>1</v>
      </c>
      <c r="I260" s="390">
        <f>IF(H260,Wh_hp,'2018'!Maxi_hp)</f>
        <v>53.749947805583197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9.8512240890352709E-3</v>
      </c>
      <c r="M260" s="845"/>
      <c r="N260" s="845"/>
      <c r="O260" s="48">
        <f>IF(t&lt;Tnet,'2018'!Resal+('2018'!Salim-'2018'!Resal)*(1-EXP(('2018'!Tnet-t)/('2018'!Tau_j))),Resal+(Salim-Resal)*(1-EXP((Tnet-t)/(Tau_j))))*Salcycl</f>
        <v>2.4809574088733532E-2</v>
      </c>
      <c r="P260" s="169">
        <f>(INDEX(Models!$BJ260:$BT260,,T260)*(1-R260)+INDEX(Models!$BJ260:$BT260,,T260+1)*R260-ERP_i)*Q260*Ramure*Pc/MaxiM</f>
        <v>1.3189018043123199E-6</v>
      </c>
      <c r="Q260" s="305">
        <f t="shared" si="78"/>
        <v>0.5</v>
      </c>
      <c r="R260" s="177">
        <f t="shared" si="79"/>
        <v>0.98277553356134373</v>
      </c>
      <c r="S260" s="811">
        <f t="shared" si="80"/>
        <v>-2</v>
      </c>
      <c r="T260" s="176">
        <f t="shared" si="81"/>
        <v>4</v>
      </c>
      <c r="U260" s="251">
        <f t="shared" si="82"/>
        <v>-1.0172244664386563</v>
      </c>
      <c r="V260" s="383">
        <f t="shared" si="83"/>
        <v>51.108079769251191</v>
      </c>
      <c r="W260" s="58"/>
      <c r="X260" s="157">
        <f t="shared" si="84"/>
        <v>43711</v>
      </c>
      <c r="Y260" s="385">
        <f t="shared" si="85"/>
        <v>51.9</v>
      </c>
      <c r="Z260" s="385">
        <f t="shared" si="86"/>
        <v>52.416365361104987</v>
      </c>
      <c r="AA260" s="386">
        <f t="shared" si="87"/>
        <v>53.749876914680051</v>
      </c>
      <c r="AB260" s="197">
        <f t="shared" si="88"/>
        <v>43711</v>
      </c>
      <c r="AC260" s="426">
        <f>IF(OR(t&lt;Tnet,NoTnet),'2018'!Resal_s+('2018'!Salim-'2018'!Resal_s)*(1-EXP(('2018'!Tnet_s-t)/'2018'!Tau_j)),Resal_s+(Salim-Resal_s)*(1-EXP((Tnet_s-t)/Tau_j)))*Salcycl</f>
        <v>2.4809574088733532E-2</v>
      </c>
      <c r="AD260" s="231">
        <f>(INDEX(Models!$BJ260:$BT260,,AH260)*(1-AF260)+INDEX(Models!$BJ260:$BT260,,AH260+1)*AF260-ERP_i)*AE260*Ramure*Pc/MaxiM</f>
        <v>1.3189018043123199E-6</v>
      </c>
      <c r="AE260" s="305">
        <f t="shared" si="89"/>
        <v>0.5</v>
      </c>
      <c r="AF260" s="177">
        <f t="shared" si="90"/>
        <v>0.98277553356134373</v>
      </c>
      <c r="AG260" s="176">
        <f t="shared" si="91"/>
        <v>-2</v>
      </c>
      <c r="AH260" s="176">
        <f t="shared" si="92"/>
        <v>4</v>
      </c>
      <c r="AI260" s="225">
        <f t="shared" si="93"/>
        <v>-1.0172244664386563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7">
        <v>51.445999999999998</v>
      </c>
      <c r="C261" s="390"/>
      <c r="D261" s="393">
        <f t="shared" si="75"/>
        <v>51.958986443002182</v>
      </c>
      <c r="E261" s="385">
        <f t="shared" si="97"/>
        <v>53.28312100646292</v>
      </c>
      <c r="F261" s="385">
        <f t="shared" si="76"/>
        <v>53.283178554064911</v>
      </c>
      <c r="G261" s="110">
        <f t="shared" si="98"/>
        <v>1.0111736097050568</v>
      </c>
      <c r="H261" s="414" t="b">
        <f>Wh_hp&gt;='2018'!Maxi_hp</f>
        <v>1</v>
      </c>
      <c r="I261" s="390">
        <f>IF(H261,Wh_hp,'2018'!Maxi_hp)</f>
        <v>53.283178554064911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9.8729108883776062E-3</v>
      </c>
      <c r="M261" s="845"/>
      <c r="N261" s="845"/>
      <c r="O261" s="48">
        <f>IF(t&lt;Tnet,'2018'!Resal+('2018'!Salim-'2018'!Resal)*(1-EXP(('2018'!Tnet-t)/('2018'!Tau_j))),Resal+(Salim-Resal)*(1-EXP((Tnet-t)/(Tau_j))))*Salcycl</f>
        <v>2.4850919736854979E-2</v>
      </c>
      <c r="P261" s="169">
        <f>(INDEX(Models!$BJ261:$BT261,,T261)*(1-R261)+INDEX(Models!$BJ261:$BT261,,T261+1)*R261-ERP_i)*Q261*Ramure*Pc/MaxiM</f>
        <v>1.0800332027575147E-6</v>
      </c>
      <c r="Q261" s="305">
        <f t="shared" si="78"/>
        <v>0.5</v>
      </c>
      <c r="R261" s="177">
        <f t="shared" si="79"/>
        <v>0.9833537192871078</v>
      </c>
      <c r="S261" s="811">
        <f t="shared" si="80"/>
        <v>-2</v>
      </c>
      <c r="T261" s="176">
        <f t="shared" si="81"/>
        <v>4</v>
      </c>
      <c r="U261" s="251">
        <f t="shared" si="82"/>
        <v>-1.0166462807128922</v>
      </c>
      <c r="V261" s="383">
        <f t="shared" si="83"/>
        <v>50.877514510100774</v>
      </c>
      <c r="W261" s="58"/>
      <c r="X261" s="157">
        <f t="shared" si="84"/>
        <v>43712</v>
      </c>
      <c r="Y261" s="385">
        <f t="shared" si="85"/>
        <v>51.445999999999998</v>
      </c>
      <c r="Z261" s="385">
        <f t="shared" si="86"/>
        <v>51.958986443002182</v>
      </c>
      <c r="AA261" s="386">
        <f t="shared" si="87"/>
        <v>53.28312100646292</v>
      </c>
      <c r="AB261" s="197">
        <f t="shared" si="88"/>
        <v>43712</v>
      </c>
      <c r="AC261" s="426">
        <f>IF(OR(t&lt;Tnet,NoTnet),'2018'!Resal_s+('2018'!Salim-'2018'!Resal_s)*(1-EXP(('2018'!Tnet_s-t)/'2018'!Tau_j)),Resal_s+(Salim-Resal_s)*(1-EXP((Tnet_s-t)/Tau_j)))*Salcycl</f>
        <v>2.4850919736854979E-2</v>
      </c>
      <c r="AD261" s="231">
        <f>(INDEX(Models!$BJ261:$BT261,,AH261)*(1-AF261)+INDEX(Models!$BJ261:$BT261,,AH261+1)*AF261-ERP_i)*AE261*Ramure*Pc/MaxiM</f>
        <v>1.0800332027575147E-6</v>
      </c>
      <c r="AE261" s="305">
        <f t="shared" si="89"/>
        <v>0.5</v>
      </c>
      <c r="AF261" s="177">
        <f t="shared" si="90"/>
        <v>0.9833537192871078</v>
      </c>
      <c r="AG261" s="176">
        <f t="shared" si="91"/>
        <v>-2</v>
      </c>
      <c r="AH261" s="176">
        <f t="shared" si="92"/>
        <v>4</v>
      </c>
      <c r="AI261" s="225">
        <f t="shared" si="93"/>
        <v>-1.0166462807128922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7">
        <v>38.332999999999998</v>
      </c>
      <c r="C262" s="390"/>
      <c r="D262" s="393">
        <f t="shared" si="75"/>
        <v>38.716080017428013</v>
      </c>
      <c r="E262" s="385">
        <f t="shared" si="97"/>
        <v>39.704405207122598</v>
      </c>
      <c r="F262" s="385">
        <f t="shared" si="76"/>
        <v>39.704429035063079</v>
      </c>
      <c r="G262" s="110">
        <f t="shared" si="98"/>
        <v>0.75697562394109408</v>
      </c>
      <c r="H262" s="414" t="b">
        <f>Wh_hp&gt;='2018'!Maxi_hp</f>
        <v>0</v>
      </c>
      <c r="I262" s="390">
        <f>IF(H262,Wh_hp,'2018'!Maxi_hp)</f>
        <v>43.306810025682772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9.8945972127233439E-3</v>
      </c>
      <c r="M262" s="845"/>
      <c r="N262" s="845"/>
      <c r="O262" s="48">
        <f>IF(t&lt;Tnet,'2018'!Resal+('2018'!Salim-'2018'!Resal)*(1-EXP(('2018'!Tnet-t)/('2018'!Tau_j))),Resal+(Salim-Resal)*(1-EXP((Tnet-t)/(Tau_j))))*Salcycl</f>
        <v>2.4892078965517046E-2</v>
      </c>
      <c r="P262" s="169">
        <f>(INDEX(Models!$BJ262:$BT262,,T262)*(1-R262)+INDEX(Models!$BJ262:$BT262,,T262+1)*R262-ERP_i)*Q262*Ramure*Pc/MaxiM</f>
        <v>9.1928955889131134E-7</v>
      </c>
      <c r="Q262" s="305">
        <f t="shared" si="78"/>
        <v>0.5</v>
      </c>
      <c r="R262" s="177">
        <f t="shared" si="79"/>
        <v>0.9839099205798798</v>
      </c>
      <c r="S262" s="811">
        <f t="shared" si="80"/>
        <v>-2</v>
      </c>
      <c r="T262" s="176">
        <f t="shared" si="81"/>
        <v>4</v>
      </c>
      <c r="U262" s="251">
        <f t="shared" si="82"/>
        <v>-1.0160900794201202</v>
      </c>
      <c r="V262" s="383">
        <f t="shared" si="83"/>
        <v>50.639659393774018</v>
      </c>
      <c r="W262" s="58"/>
      <c r="X262" s="157">
        <f t="shared" si="84"/>
        <v>43713</v>
      </c>
      <c r="Y262" s="385">
        <f t="shared" si="85"/>
        <v>38.332999999999998</v>
      </c>
      <c r="Z262" s="385">
        <f t="shared" si="86"/>
        <v>38.716080017428013</v>
      </c>
      <c r="AA262" s="386">
        <f t="shared" si="87"/>
        <v>39.704405207122598</v>
      </c>
      <c r="AB262" s="197">
        <f t="shared" si="88"/>
        <v>43713</v>
      </c>
      <c r="AC262" s="426">
        <f>IF(OR(t&lt;Tnet,NoTnet),'2018'!Resal_s+('2018'!Salim-'2018'!Resal_s)*(1-EXP(('2018'!Tnet_s-t)/'2018'!Tau_j)),Resal_s+(Salim-Resal_s)*(1-EXP((Tnet_s-t)/Tau_j)))*Salcycl</f>
        <v>2.4892078965517046E-2</v>
      </c>
      <c r="AD262" s="231">
        <f>(INDEX(Models!$BJ262:$BT262,,AH262)*(1-AF262)+INDEX(Models!$BJ262:$BT262,,AH262+1)*AF262-ERP_i)*AE262*Ramure*Pc/MaxiM</f>
        <v>9.1928955889131134E-7</v>
      </c>
      <c r="AE262" s="305">
        <f t="shared" si="89"/>
        <v>0.5</v>
      </c>
      <c r="AF262" s="177">
        <f t="shared" si="90"/>
        <v>0.9839099205798798</v>
      </c>
      <c r="AG262" s="176">
        <f t="shared" si="91"/>
        <v>-2</v>
      </c>
      <c r="AH262" s="176">
        <f t="shared" si="92"/>
        <v>4</v>
      </c>
      <c r="AI262" s="225">
        <f t="shared" si="93"/>
        <v>-1.0160900794201202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7">
        <v>52.781999999999996</v>
      </c>
      <c r="C263" s="390"/>
      <c r="D263" s="393">
        <f t="shared" si="75"/>
        <v>53.310643430478393</v>
      </c>
      <c r="E263" s="385">
        <f t="shared" si="97"/>
        <v>54.673828502316447</v>
      </c>
      <c r="F263" s="385">
        <f t="shared" si="76"/>
        <v>54.673871330579189</v>
      </c>
      <c r="G263" s="110">
        <f t="shared" si="98"/>
        <v>1.0473671957278603</v>
      </c>
      <c r="H263" s="414" t="b">
        <f>Wh_hp&gt;='2018'!Maxi_hp</f>
        <v>1</v>
      </c>
      <c r="I263" s="390">
        <f>IF(H263,Wh_hp,'2018'!Maxi_hp)</f>
        <v>54.673871330579189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9.9162830620829201E-3</v>
      </c>
      <c r="M263" s="845"/>
      <c r="N263" s="845"/>
      <c r="O263" s="48">
        <f>IF(t&lt;Tnet,'2018'!Resal+('2018'!Salim-'2018'!Resal)*(1-EXP(('2018'!Tnet-t)/('2018'!Tau_j))),Resal+(Salim-Resal)*(1-EXP((Tnet-t)/(Tau_j))))*Salcycl</f>
        <v>2.4933045831613931E-2</v>
      </c>
      <c r="P263" s="169">
        <f>(INDEX(Models!$BJ263:$BT263,,T263)*(1-R263)+INDEX(Models!$BJ263:$BT263,,T263+1)*R263-ERP_i)*Q263*Ramure*Pc/MaxiM</f>
        <v>7.8334059215834662E-7</v>
      </c>
      <c r="Q263" s="305">
        <f t="shared" si="78"/>
        <v>0.5</v>
      </c>
      <c r="R263" s="177">
        <f t="shared" si="79"/>
        <v>0.98444492451151144</v>
      </c>
      <c r="S263" s="811">
        <f t="shared" si="80"/>
        <v>-2</v>
      </c>
      <c r="T263" s="176">
        <f t="shared" si="81"/>
        <v>4</v>
      </c>
      <c r="U263" s="251">
        <f t="shared" si="82"/>
        <v>-1.0155550754884886</v>
      </c>
      <c r="V263" s="383">
        <f t="shared" si="83"/>
        <v>50.394933329298638</v>
      </c>
      <c r="W263" s="58"/>
      <c r="X263" s="157">
        <f t="shared" si="84"/>
        <v>43714</v>
      </c>
      <c r="Y263" s="385">
        <f t="shared" si="85"/>
        <v>52.781999999999996</v>
      </c>
      <c r="Z263" s="385">
        <f t="shared" si="86"/>
        <v>53.310643430478393</v>
      </c>
      <c r="AA263" s="386">
        <f t="shared" si="87"/>
        <v>54.673828502316447</v>
      </c>
      <c r="AB263" s="197">
        <f t="shared" si="88"/>
        <v>43714</v>
      </c>
      <c r="AC263" s="426">
        <f>IF(OR(t&lt;Tnet,NoTnet),'2018'!Resal_s+('2018'!Salim-'2018'!Resal_s)*(1-EXP(('2018'!Tnet_s-t)/'2018'!Tau_j)),Resal_s+(Salim-Resal_s)*(1-EXP((Tnet_s-t)/Tau_j)))*Salcycl</f>
        <v>2.4933045831613931E-2</v>
      </c>
      <c r="AD263" s="231">
        <f>(INDEX(Models!$BJ263:$BT263,,AH263)*(1-AF263)+INDEX(Models!$BJ263:$BT263,,AH263+1)*AF263-ERP_i)*AE263*Ramure*Pc/MaxiM</f>
        <v>7.8334059215834662E-7</v>
      </c>
      <c r="AE263" s="305">
        <f t="shared" si="89"/>
        <v>0.5</v>
      </c>
      <c r="AF263" s="177">
        <f t="shared" si="90"/>
        <v>0.98444492451151144</v>
      </c>
      <c r="AG263" s="176">
        <f t="shared" si="91"/>
        <v>-2</v>
      </c>
      <c r="AH263" s="176">
        <f t="shared" si="92"/>
        <v>4</v>
      </c>
      <c r="AI263" s="225">
        <f t="shared" si="93"/>
        <v>-1.0155550754884886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7">
        <v>48.402000000000001</v>
      </c>
      <c r="C264" s="390"/>
      <c r="D264" s="393">
        <f t="shared" si="75"/>
        <v>48.887845869174711</v>
      </c>
      <c r="E264" s="385">
        <f t="shared" si="97"/>
        <v>50.140033752845497</v>
      </c>
      <c r="F264" s="385">
        <f t="shared" si="76"/>
        <v>50.140065797662274</v>
      </c>
      <c r="G264" s="110">
        <f t="shared" si="98"/>
        <v>0.96526478562610996</v>
      </c>
      <c r="H264" s="414" t="b">
        <f>Wh_hp&gt;='2018'!Maxi_hp</f>
        <v>1</v>
      </c>
      <c r="I264" s="390">
        <f>IF(H264,Wh_hp,'2018'!Maxi_hp)</f>
        <v>50.140065797662274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9.9379684364667709E-3</v>
      </c>
      <c r="M264" s="845"/>
      <c r="N264" s="845"/>
      <c r="O264" s="48">
        <f>IF(t&lt;Tnet,'2018'!Resal+('2018'!Salim-'2018'!Resal)*(1-EXP(('2018'!Tnet-t)/('2018'!Tau_j))),Resal+(Salim-Resal)*(1-EXP((Tnet-t)/(Tau_j))))*Salcycl</f>
        <v>2.4973814135091567E-2</v>
      </c>
      <c r="P264" s="169">
        <f>(INDEX(Models!$BJ264:$BT264,,T264)*(1-R264)+INDEX(Models!$BJ264:$BT264,,T264+1)*R264-ERP_i)*Q264*Ramure*Pc/MaxiM</f>
        <v>6.7247536081043244E-7</v>
      </c>
      <c r="Q264" s="305">
        <f t="shared" si="78"/>
        <v>0.5</v>
      </c>
      <c r="R264" s="177">
        <f t="shared" si="79"/>
        <v>0.98495949374454894</v>
      </c>
      <c r="S264" s="811">
        <f t="shared" si="80"/>
        <v>-2</v>
      </c>
      <c r="T264" s="176">
        <f t="shared" si="81"/>
        <v>4</v>
      </c>
      <c r="U264" s="251">
        <f t="shared" si="82"/>
        <v>-1.0150405062554511</v>
      </c>
      <c r="V264" s="383">
        <f t="shared" si="83"/>
        <v>50.143752373044002</v>
      </c>
      <c r="W264" s="58"/>
      <c r="X264" s="157">
        <f t="shared" si="84"/>
        <v>43715</v>
      </c>
      <c r="Y264" s="385">
        <f t="shared" si="85"/>
        <v>48.402000000000001</v>
      </c>
      <c r="Z264" s="385">
        <f t="shared" si="86"/>
        <v>48.887845869174711</v>
      </c>
      <c r="AA264" s="386">
        <f t="shared" si="87"/>
        <v>50.140033752845497</v>
      </c>
      <c r="AB264" s="197">
        <f t="shared" si="88"/>
        <v>43715</v>
      </c>
      <c r="AC264" s="426">
        <f>IF(OR(t&lt;Tnet,NoTnet),'2018'!Resal_s+('2018'!Salim-'2018'!Resal_s)*(1-EXP(('2018'!Tnet_s-t)/'2018'!Tau_j)),Resal_s+(Salim-Resal_s)*(1-EXP((Tnet_s-t)/Tau_j)))*Salcycl</f>
        <v>2.4973814135091567E-2</v>
      </c>
      <c r="AD264" s="231">
        <f>(INDEX(Models!$BJ264:$BT264,,AH264)*(1-AF264)+INDEX(Models!$BJ264:$BT264,,AH264+1)*AF264-ERP_i)*AE264*Ramure*Pc/MaxiM</f>
        <v>6.7247536081043244E-7</v>
      </c>
      <c r="AE264" s="305">
        <f t="shared" si="89"/>
        <v>0.5</v>
      </c>
      <c r="AF264" s="177">
        <f t="shared" si="90"/>
        <v>0.98495949374454894</v>
      </c>
      <c r="AG264" s="176">
        <f t="shared" si="91"/>
        <v>-2</v>
      </c>
      <c r="AH264" s="176">
        <f t="shared" si="92"/>
        <v>4</v>
      </c>
      <c r="AI264" s="225">
        <f t="shared" si="93"/>
        <v>-1.0150405062554511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7">
        <v>45.802</v>
      </c>
      <c r="C265" s="390"/>
      <c r="D265" s="393">
        <f t="shared" si="75"/>
        <v>46.262761062543824</v>
      </c>
      <c r="E265" s="385">
        <f t="shared" si="97"/>
        <v>47.449685401055824</v>
      </c>
      <c r="F265" s="385">
        <f t="shared" si="76"/>
        <v>47.449709996286849</v>
      </c>
      <c r="G265" s="110">
        <f t="shared" si="98"/>
        <v>0.91812348098638963</v>
      </c>
      <c r="H265" s="414" t="b">
        <f>Wh_hp&gt;='2018'!Maxi_hp</f>
        <v>0</v>
      </c>
      <c r="I265" s="390">
        <f>IF(H265,Wh_hp,'2018'!Maxi_hp)</f>
        <v>49.195092920557293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9.9596533358852213E-3</v>
      </c>
      <c r="M265" s="845"/>
      <c r="N265" s="845"/>
      <c r="O265" s="48">
        <f>IF(t&lt;Tnet,'2018'!Resal+('2018'!Salim-'2018'!Resal)*(1-EXP(('2018'!Tnet-t)/('2018'!Tau_j))),Resal+(Salim-Resal)*(1-EXP((Tnet-t)/(Tau_j))))*Salcycl</f>
        <v>2.5014377407981493E-2</v>
      </c>
      <c r="P265" s="169">
        <f>(INDEX(Models!$BJ265:$BT265,,T265)*(1-R265)+INDEX(Models!$BJ265:$BT265,,T265+1)*R265-ERP_i)*Q265*Ramure*Pc/MaxiM</f>
        <v>5.8700269863121403E-7</v>
      </c>
      <c r="Q265" s="305">
        <f t="shared" si="78"/>
        <v>0.5</v>
      </c>
      <c r="R265" s="177">
        <f t="shared" si="79"/>
        <v>0.98545436699139488</v>
      </c>
      <c r="S265" s="811">
        <f t="shared" si="80"/>
        <v>-2</v>
      </c>
      <c r="T265" s="176">
        <f t="shared" si="81"/>
        <v>4</v>
      </c>
      <c r="U265" s="251">
        <f t="shared" si="82"/>
        <v>-1.0145456330086051</v>
      </c>
      <c r="V265" s="383">
        <f t="shared" si="83"/>
        <v>49.886532480407837</v>
      </c>
      <c r="W265" s="58"/>
      <c r="X265" s="157">
        <f t="shared" si="84"/>
        <v>43716</v>
      </c>
      <c r="Y265" s="385">
        <f t="shared" si="85"/>
        <v>45.802</v>
      </c>
      <c r="Z265" s="385">
        <f t="shared" si="86"/>
        <v>46.262761062543824</v>
      </c>
      <c r="AA265" s="386">
        <f t="shared" si="87"/>
        <v>47.449685401055824</v>
      </c>
      <c r="AB265" s="197">
        <f t="shared" si="88"/>
        <v>43716</v>
      </c>
      <c r="AC265" s="426">
        <f>IF(OR(t&lt;Tnet,NoTnet),'2018'!Resal_s+('2018'!Salim-'2018'!Resal_s)*(1-EXP(('2018'!Tnet_s-t)/'2018'!Tau_j)),Resal_s+(Salim-Resal_s)*(1-EXP((Tnet_s-t)/Tau_j)))*Salcycl</f>
        <v>2.5014377407981493E-2</v>
      </c>
      <c r="AD265" s="231">
        <f>(INDEX(Models!$BJ265:$BT265,,AH265)*(1-AF265)+INDEX(Models!$BJ265:$BT265,,AH265+1)*AF265-ERP_i)*AE265*Ramure*Pc/MaxiM</f>
        <v>5.8700269863121403E-7</v>
      </c>
      <c r="AE265" s="305">
        <f t="shared" si="89"/>
        <v>0.5</v>
      </c>
      <c r="AF265" s="177">
        <f t="shared" si="90"/>
        <v>0.98545436699139488</v>
      </c>
      <c r="AG265" s="176">
        <f t="shared" si="91"/>
        <v>-2</v>
      </c>
      <c r="AH265" s="176">
        <f t="shared" si="92"/>
        <v>4</v>
      </c>
      <c r="AI265" s="225">
        <f t="shared" si="93"/>
        <v>-1.0145456330086051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7">
        <v>40.838000000000001</v>
      </c>
      <c r="C266" s="390"/>
      <c r="D266" s="393">
        <f t="shared" si="75"/>
        <v>41.24972746232379</v>
      </c>
      <c r="E266" s="385">
        <f t="shared" si="97"/>
        <v>42.30978772377204</v>
      </c>
      <c r="F266" s="385">
        <f t="shared" si="76"/>
        <v>42.309804389436295</v>
      </c>
      <c r="G266" s="110">
        <f t="shared" si="98"/>
        <v>0.82295361283907742</v>
      </c>
      <c r="H266" s="414" t="b">
        <f>Wh_hp&gt;='2018'!Maxi_hp</f>
        <v>1</v>
      </c>
      <c r="I266" s="390">
        <f>IF(H266,Wh_hp,'2018'!Maxi_hp)</f>
        <v>42.309804389436295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9.9813377603487075E-3</v>
      </c>
      <c r="M266" s="845"/>
      <c r="N266" s="845"/>
      <c r="O266" s="48">
        <f>IF(t&lt;Tnet,'2018'!Resal+('2018'!Salim-'2018'!Resal)*(1-EXP(('2018'!Tnet-t)/('2018'!Tau_j))),Resal+(Salim-Resal)*(1-EXP((Tnet-t)/(Tau_j))))*Salcycl</f>
        <v>2.5054728905024734E-2</v>
      </c>
      <c r="P266" s="169">
        <f>(INDEX(Models!$BJ266:$BT266,,T266)*(1-R266)+INDEX(Models!$BJ266:$BT266,,T266+1)*R266-ERP_i)*Q266*Ramure*Pc/MaxiM</f>
        <v>5.2724976167007315E-7</v>
      </c>
      <c r="Q266" s="305">
        <f t="shared" si="78"/>
        <v>0.5</v>
      </c>
      <c r="R266" s="177">
        <f t="shared" si="79"/>
        <v>0.98593025949074997</v>
      </c>
      <c r="S266" s="811">
        <f t="shared" si="80"/>
        <v>-2</v>
      </c>
      <c r="T266" s="176">
        <f t="shared" si="81"/>
        <v>4</v>
      </c>
      <c r="U266" s="251">
        <f t="shared" si="82"/>
        <v>-1.01406974050925</v>
      </c>
      <c r="V266" s="383">
        <f t="shared" si="83"/>
        <v>49.623689497167319</v>
      </c>
      <c r="W266" s="58"/>
      <c r="X266" s="157">
        <f t="shared" si="84"/>
        <v>43717</v>
      </c>
      <c r="Y266" s="385">
        <f t="shared" si="85"/>
        <v>40.838000000000001</v>
      </c>
      <c r="Z266" s="385">
        <f t="shared" si="86"/>
        <v>41.24972746232379</v>
      </c>
      <c r="AA266" s="386">
        <f t="shared" si="87"/>
        <v>42.30978772377204</v>
      </c>
      <c r="AB266" s="197">
        <f t="shared" si="88"/>
        <v>43717</v>
      </c>
      <c r="AC266" s="426">
        <f>IF(OR(t&lt;Tnet,NoTnet),'2018'!Resal_s+('2018'!Salim-'2018'!Resal_s)*(1-EXP(('2018'!Tnet_s-t)/'2018'!Tau_j)),Resal_s+(Salim-Resal_s)*(1-EXP((Tnet_s-t)/Tau_j)))*Salcycl</f>
        <v>2.5054728905024734E-2</v>
      </c>
      <c r="AD266" s="231">
        <f>(INDEX(Models!$BJ266:$BT266,,AH266)*(1-AF266)+INDEX(Models!$BJ266:$BT266,,AH266+1)*AF266-ERP_i)*AE266*Ramure*Pc/MaxiM</f>
        <v>5.2724976167007315E-7</v>
      </c>
      <c r="AE266" s="305">
        <f t="shared" si="89"/>
        <v>0.5</v>
      </c>
      <c r="AF266" s="177">
        <f t="shared" si="90"/>
        <v>0.98593025949074997</v>
      </c>
      <c r="AG266" s="176">
        <f t="shared" si="91"/>
        <v>-2</v>
      </c>
      <c r="AH266" s="176">
        <f t="shared" si="92"/>
        <v>4</v>
      </c>
      <c r="AI266" s="225">
        <f t="shared" si="93"/>
        <v>-1.01406974050925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7">
        <v>13.752000000000001</v>
      </c>
      <c r="C267" s="390"/>
      <c r="D267" s="393">
        <f t="shared" si="75"/>
        <v>13.89095148931837</v>
      </c>
      <c r="E267" s="385">
        <f t="shared" si="97"/>
        <v>14.248516026967719</v>
      </c>
      <c r="F267" s="385">
        <f t="shared" si="76"/>
        <v>14.248516026967719</v>
      </c>
      <c r="G267" s="110">
        <f t="shared" si="98"/>
        <v>0.27863063763539048</v>
      </c>
      <c r="H267" s="414" t="b">
        <f>Wh_hp&gt;='2018'!Maxi_hp</f>
        <v>0</v>
      </c>
      <c r="I267" s="390">
        <f>IF(H267,Wh_hp,'2018'!Maxi_hp)</f>
        <v>39.947514243105942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1.0003021709867665E-2</v>
      </c>
      <c r="M267" s="845"/>
      <c r="N267" s="845"/>
      <c r="O267" s="48">
        <f>IF(t&lt;Tnet,'2018'!Resal+('2018'!Salim-'2018'!Resal)*(1-EXP(('2018'!Tnet-t)/('2018'!Tau_j))),Resal+(Salim-Resal)*(1-EXP((Tnet-t)/(Tau_j))))*Salcycl</f>
        <v>2.5094861596295228E-2</v>
      </c>
      <c r="P267" s="169">
        <f>(INDEX(Models!$BJ267:$BT267,,T267)*(1-R267)+INDEX(Models!$BJ267:$BT267,,T267+1)*R267-ERP_i)*Q267*Ramure*Pc/MaxiM</f>
        <v>4.9356046806000232E-7</v>
      </c>
      <c r="Q267" s="305">
        <f t="shared" si="78"/>
        <v>0.5</v>
      </c>
      <c r="R267" s="177">
        <f t="shared" si="79"/>
        <v>0.9863878634984149</v>
      </c>
      <c r="S267" s="811">
        <f t="shared" si="80"/>
        <v>-2</v>
      </c>
      <c r="T267" s="176">
        <f t="shared" si="81"/>
        <v>4</v>
      </c>
      <c r="U267" s="251">
        <f t="shared" si="82"/>
        <v>-1.0136121365015851</v>
      </c>
      <c r="V267" s="383">
        <f t="shared" si="83"/>
        <v>49.355639168984638</v>
      </c>
      <c r="W267" s="58"/>
      <c r="X267" s="157">
        <f t="shared" si="84"/>
        <v>43718</v>
      </c>
      <c r="Y267" s="385">
        <f t="shared" si="85"/>
        <v>13.752000000000001</v>
      </c>
      <c r="Z267" s="385">
        <f t="shared" si="86"/>
        <v>13.89095148931837</v>
      </c>
      <c r="AA267" s="386">
        <f t="shared" si="87"/>
        <v>14.248516026967719</v>
      </c>
      <c r="AB267" s="197">
        <f t="shared" si="88"/>
        <v>43718</v>
      </c>
      <c r="AC267" s="426">
        <f>IF(OR(t&lt;Tnet,NoTnet),'2018'!Resal_s+('2018'!Salim-'2018'!Resal_s)*(1-EXP(('2018'!Tnet_s-t)/'2018'!Tau_j)),Resal_s+(Salim-Resal_s)*(1-EXP((Tnet_s-t)/Tau_j)))*Salcycl</f>
        <v>2.5094861596295228E-2</v>
      </c>
      <c r="AD267" s="231">
        <f>(INDEX(Models!$BJ267:$BT267,,AH267)*(1-AF267)+INDEX(Models!$BJ267:$BT267,,AH267+1)*AF267-ERP_i)*AE267*Ramure*Pc/MaxiM</f>
        <v>4.9356046806000232E-7</v>
      </c>
      <c r="AE267" s="305">
        <f t="shared" si="89"/>
        <v>0.5</v>
      </c>
      <c r="AF267" s="177">
        <f t="shared" si="90"/>
        <v>0.9863878634984149</v>
      </c>
      <c r="AG267" s="176">
        <f t="shared" si="91"/>
        <v>-2</v>
      </c>
      <c r="AH267" s="176">
        <f t="shared" si="92"/>
        <v>4</v>
      </c>
      <c r="AI267" s="225">
        <f t="shared" si="93"/>
        <v>-1.0136121365015851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7">
        <v>44.582000000000001</v>
      </c>
      <c r="C268" s="390"/>
      <c r="D268" s="393">
        <f t="shared" si="75"/>
        <v>45.033447029914555</v>
      </c>
      <c r="E268" s="385">
        <f t="shared" si="97"/>
        <v>46.194535982188278</v>
      </c>
      <c r="F268" s="385">
        <f t="shared" si="76"/>
        <v>46.194555757298346</v>
      </c>
      <c r="G268" s="110">
        <f t="shared" si="98"/>
        <v>0.90830189007405182</v>
      </c>
      <c r="H268" s="414" t="b">
        <f>Wh_hp&gt;='2018'!Maxi_hp</f>
        <v>0</v>
      </c>
      <c r="I268" s="390">
        <f>IF(H268,Wh_hp,'2018'!Maxi_hp)</f>
        <v>46.653482601520295</v>
      </c>
      <c r="J268" s="85">
        <f>IF(H268,An,'2018'!An_max)</f>
        <v>2018</v>
      </c>
      <c r="K268" s="197">
        <f t="shared" si="77"/>
        <v>43719</v>
      </c>
      <c r="L268" s="147">
        <f>IF(t&lt;Tvie,1-EXP((T0-t)*PertePVj)+'2018'!Pspv,1-EXP((T0-t)*PertePVj)+Pspv)</f>
        <v>1.0024705184452531E-2</v>
      </c>
      <c r="M268" s="845"/>
      <c r="N268" s="845"/>
      <c r="O268" s="48">
        <f>IF(t&lt;Tnet,'2018'!Resal+('2018'!Salim-'2018'!Resal)*(1-EXP(('2018'!Tnet-t)/('2018'!Tau_j))),Resal+(Salim-Resal)*(1-EXP((Tnet-t)/(Tau_j))))*Salcycl</f>
        <v>2.513476816222189E-2</v>
      </c>
      <c r="P268" s="169">
        <f>(INDEX(Models!$BJ268:$BT268,,T268)*(1-R268)+INDEX(Models!$BJ268:$BT268,,T268+1)*R268-ERP_i)*Q268*Ramure*Pc/MaxiM</f>
        <v>4.926142230736226E-7</v>
      </c>
      <c r="Q268" s="305">
        <f t="shared" si="78"/>
        <v>0.5</v>
      </c>
      <c r="R268" s="177">
        <f t="shared" si="79"/>
        <v>0.98682784878975172</v>
      </c>
      <c r="S268" s="811">
        <f t="shared" si="80"/>
        <v>-2</v>
      </c>
      <c r="T268" s="176">
        <f t="shared" si="81"/>
        <v>4</v>
      </c>
      <c r="U268" s="251">
        <f t="shared" si="82"/>
        <v>-1.0131721512102483</v>
      </c>
      <c r="V268" s="383">
        <f t="shared" si="83"/>
        <v>49.082796821482958</v>
      </c>
      <c r="W268" s="58"/>
      <c r="X268" s="157">
        <f t="shared" si="84"/>
        <v>43719</v>
      </c>
      <c r="Y268" s="385">
        <f t="shared" si="85"/>
        <v>44.582000000000001</v>
      </c>
      <c r="Z268" s="385">
        <f t="shared" si="86"/>
        <v>45.033447029914555</v>
      </c>
      <c r="AA268" s="386">
        <f t="shared" si="87"/>
        <v>46.194535982188278</v>
      </c>
      <c r="AB268" s="197">
        <f t="shared" si="88"/>
        <v>43719</v>
      </c>
      <c r="AC268" s="426">
        <f>IF(OR(t&lt;Tnet,NoTnet),'2018'!Resal_s+('2018'!Salim-'2018'!Resal_s)*(1-EXP(('2018'!Tnet_s-t)/'2018'!Tau_j)),Resal_s+(Salim-Resal_s)*(1-EXP((Tnet_s-t)/Tau_j)))*Salcycl</f>
        <v>2.513476816222189E-2</v>
      </c>
      <c r="AD268" s="231">
        <f>(INDEX(Models!$BJ268:$BT268,,AH268)*(1-AF268)+INDEX(Models!$BJ268:$BT268,,AH268+1)*AF268-ERP_i)*AE268*Ramure*Pc/MaxiM</f>
        <v>4.926142230736226E-7</v>
      </c>
      <c r="AE268" s="305">
        <f t="shared" si="89"/>
        <v>0.5</v>
      </c>
      <c r="AF268" s="177">
        <f t="shared" si="90"/>
        <v>0.98682784878975172</v>
      </c>
      <c r="AG268" s="176">
        <f t="shared" si="91"/>
        <v>-2</v>
      </c>
      <c r="AH268" s="176">
        <f t="shared" si="92"/>
        <v>4</v>
      </c>
      <c r="AI268" s="225">
        <f t="shared" si="93"/>
        <v>-1.0131721512102483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7">
        <v>48.985999999999997</v>
      </c>
      <c r="C269" s="390"/>
      <c r="D269" s="393">
        <f t="shared" si="75"/>
        <v>49.4831266993857</v>
      </c>
      <c r="E269" s="385">
        <f t="shared" si="97"/>
        <v>50.761006666372019</v>
      </c>
      <c r="F269" s="385">
        <f t="shared" si="76"/>
        <v>50.761032411385656</v>
      </c>
      <c r="G269" s="110">
        <f t="shared" si="98"/>
        <v>1.003696731989391</v>
      </c>
      <c r="H269" s="414" t="b">
        <f>Wh_hp&gt;='2018'!Maxi_hp</f>
        <v>1</v>
      </c>
      <c r="I269" s="390">
        <f>IF(H269,Wh_hp,'2018'!Maxi_hp)</f>
        <v>50.761032411385656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1.0046388184113519E-2</v>
      </c>
      <c r="M269" s="845"/>
      <c r="N269" s="845"/>
      <c r="O269" s="48">
        <f>IF(t&lt;Tnet,'2018'!Resal+('2018'!Salim-'2018'!Resal)*(1-EXP(('2018'!Tnet-t)/('2018'!Tau_j))),Resal+(Salim-Resal)*(1-EXP((Tnet-t)/(Tau_j))))*Salcycl</f>
        <v>2.5174440991393709E-2</v>
      </c>
      <c r="P269" s="169">
        <f>(INDEX(Models!$BJ269:$BT269,,T269)*(1-R269)+INDEX(Models!$BJ269:$BT269,,T269+1)*R269-ERP_i)*Q269*Ramure*Pc/MaxiM</f>
        <v>5.0718065447107548E-7</v>
      </c>
      <c r="Q269" s="305">
        <f t="shared" si="78"/>
        <v>0.5</v>
      </c>
      <c r="R269" s="177">
        <f t="shared" si="79"/>
        <v>0.98725086317133859</v>
      </c>
      <c r="S269" s="811">
        <f t="shared" si="80"/>
        <v>-2</v>
      </c>
      <c r="T269" s="176">
        <f t="shared" si="81"/>
        <v>4</v>
      </c>
      <c r="U269" s="251">
        <f t="shared" si="82"/>
        <v>-1.0127491368286614</v>
      </c>
      <c r="V269" s="383">
        <f t="shared" si="83"/>
        <v>48.805578855384546</v>
      </c>
      <c r="W269" s="58"/>
      <c r="X269" s="157">
        <f t="shared" si="84"/>
        <v>43720</v>
      </c>
      <c r="Y269" s="385">
        <f t="shared" si="85"/>
        <v>48.985999999999997</v>
      </c>
      <c r="Z269" s="385">
        <f t="shared" si="86"/>
        <v>49.4831266993857</v>
      </c>
      <c r="AA269" s="386">
        <f t="shared" si="87"/>
        <v>50.761006666372019</v>
      </c>
      <c r="AB269" s="197">
        <f t="shared" si="88"/>
        <v>43720</v>
      </c>
      <c r="AC269" s="426">
        <f>IF(OR(t&lt;Tnet,NoTnet),'2018'!Resal_s+('2018'!Salim-'2018'!Resal_s)*(1-EXP(('2018'!Tnet_s-t)/'2018'!Tau_j)),Resal_s+(Salim-Resal_s)*(1-EXP((Tnet_s-t)/Tau_j)))*Salcycl</f>
        <v>2.5174440991393709E-2</v>
      </c>
      <c r="AD269" s="231">
        <f>(INDEX(Models!$BJ269:$BT269,,AH269)*(1-AF269)+INDEX(Models!$BJ269:$BT269,,AH269+1)*AF269-ERP_i)*AE269*Ramure*Pc/MaxiM</f>
        <v>5.0718065447107548E-7</v>
      </c>
      <c r="AE269" s="305">
        <f t="shared" si="89"/>
        <v>0.5</v>
      </c>
      <c r="AF269" s="177">
        <f t="shared" si="90"/>
        <v>0.98725086317133859</v>
      </c>
      <c r="AG269" s="176">
        <f t="shared" si="91"/>
        <v>-2</v>
      </c>
      <c r="AH269" s="176">
        <f t="shared" si="92"/>
        <v>4</v>
      </c>
      <c r="AI269" s="225">
        <f t="shared" si="93"/>
        <v>-1.0127491368286614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7">
        <v>39.640999999999998</v>
      </c>
      <c r="C270" s="390"/>
      <c r="D270" s="393">
        <f t="shared" si="75"/>
        <v>40.044167509967842</v>
      </c>
      <c r="E270" s="385">
        <f t="shared" si="97"/>
        <v>41.07995217328773</v>
      </c>
      <c r="F270" s="385">
        <f t="shared" si="76"/>
        <v>41.079968478465787</v>
      </c>
      <c r="G270" s="110">
        <f t="shared" si="98"/>
        <v>0.81692908838134948</v>
      </c>
      <c r="H270" s="414" t="b">
        <f>Wh_hp&gt;='2018'!Maxi_hp</f>
        <v>1</v>
      </c>
      <c r="I270" s="390">
        <f>IF(H270,Wh_hp,'2018'!Maxi_hp)</f>
        <v>41.079968478465787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1.0068070708861288E-2</v>
      </c>
      <c r="M270" s="845"/>
      <c r="N270" s="845"/>
      <c r="O270" s="48">
        <f>IF(t&lt;Tnet,'2018'!Resal+('2018'!Salim-'2018'!Resal)*(1-EXP(('2018'!Tnet-t)/('2018'!Tau_j))),Resal+(Salim-Resal)*(1-EXP((Tnet-t)/(Tau_j))))*Salcycl</f>
        <v>2.5213872181511589E-2</v>
      </c>
      <c r="P270" s="169">
        <f>(INDEX(Models!$BJ270:$BT270,,T270)*(1-R270)+INDEX(Models!$BJ270:$BT270,,T270+1)*R270-ERP_i)*Q270*Ramure*Pc/MaxiM</f>
        <v>5.374801335333259E-7</v>
      </c>
      <c r="Q270" s="305">
        <f t="shared" si="78"/>
        <v>0.5</v>
      </c>
      <c r="R270" s="177">
        <f t="shared" si="79"/>
        <v>0.98765753299954873</v>
      </c>
      <c r="S270" s="811">
        <f t="shared" si="80"/>
        <v>-2</v>
      </c>
      <c r="T270" s="176">
        <f t="shared" si="81"/>
        <v>4</v>
      </c>
      <c r="U270" s="251">
        <f t="shared" si="82"/>
        <v>-1.0123424670004513</v>
      </c>
      <c r="V270" s="383">
        <f t="shared" si="83"/>
        <v>48.52440069960597</v>
      </c>
      <c r="W270" s="58"/>
      <c r="X270" s="157">
        <f t="shared" si="84"/>
        <v>43721</v>
      </c>
      <c r="Y270" s="385">
        <f t="shared" si="85"/>
        <v>39.640999999999998</v>
      </c>
      <c r="Z270" s="385">
        <f t="shared" si="86"/>
        <v>40.044167509967842</v>
      </c>
      <c r="AA270" s="386">
        <f t="shared" si="87"/>
        <v>41.07995217328773</v>
      </c>
      <c r="AB270" s="197">
        <f t="shared" si="88"/>
        <v>43721</v>
      </c>
      <c r="AC270" s="426">
        <f>IF(OR(t&lt;Tnet,NoTnet),'2018'!Resal_s+('2018'!Salim-'2018'!Resal_s)*(1-EXP(('2018'!Tnet_s-t)/'2018'!Tau_j)),Resal_s+(Salim-Resal_s)*(1-EXP((Tnet_s-t)/Tau_j)))*Salcycl</f>
        <v>2.5213872181511589E-2</v>
      </c>
      <c r="AD270" s="231">
        <f>(INDEX(Models!$BJ270:$BT270,,AH270)*(1-AF270)+INDEX(Models!$BJ270:$BT270,,AH270+1)*AF270-ERP_i)*AE270*Ramure*Pc/MaxiM</f>
        <v>5.374801335333259E-7</v>
      </c>
      <c r="AE270" s="305">
        <f t="shared" si="89"/>
        <v>0.5</v>
      </c>
      <c r="AF270" s="177">
        <f t="shared" si="90"/>
        <v>0.98765753299954873</v>
      </c>
      <c r="AG270" s="176">
        <f t="shared" si="91"/>
        <v>-2</v>
      </c>
      <c r="AH270" s="176">
        <f t="shared" si="92"/>
        <v>4</v>
      </c>
      <c r="AI270" s="225">
        <f t="shared" si="93"/>
        <v>-1.0123424670004513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7">
        <v>40.052999999999997</v>
      </c>
      <c r="C271" s="390"/>
      <c r="D271" s="393">
        <f t="shared" ref="D271:D334" si="99">Wh/(1-Ppv)</f>
        <v>40.461243947742418</v>
      </c>
      <c r="E271" s="385">
        <f t="shared" si="97"/>
        <v>41.509485200076575</v>
      </c>
      <c r="F271" s="385">
        <f t="shared" ref="F271:F334" si="100">Wh_sa/(1-Pvg*MEDIAN((-Sdif+Wh/Env_an)/Csdif,0,1))</f>
        <v>41.509503556258394</v>
      </c>
      <c r="G271" s="110">
        <f t="shared" si="98"/>
        <v>0.83029149982326667</v>
      </c>
      <c r="H271" s="414" t="b">
        <f>Wh_hp&gt;='2018'!Maxi_hp</f>
        <v>1</v>
      </c>
      <c r="I271" s="390">
        <f>IF(H271,Wh_hp,'2018'!Maxi_hp)</f>
        <v>41.509503556258394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1.0089752758706161E-2</v>
      </c>
      <c r="M271" s="845"/>
      <c r="N271" s="845"/>
      <c r="O271" s="48">
        <f>IF(t&lt;Tnet,'2018'!Resal+('2018'!Salim-'2018'!Resal)*(1-EXP(('2018'!Tnet-t)/('2018'!Tau_j))),Resal+(Salim-Resal)*(1-EXP((Tnet-t)/(Tau_j))))*Salcycl</f>
        <v>2.5253053543825302E-2</v>
      </c>
      <c r="P271" s="169">
        <f>(INDEX(Models!$BJ271:$BT271,,T271)*(1-R271)+INDEX(Models!$BJ271:$BT271,,T271+1)*R271-ERP_i)*Q271*Ramure*Pc/MaxiM</f>
        <v>5.8373816615854496E-7</v>
      </c>
      <c r="Q271" s="305">
        <f t="shared" ref="Q271:Q334" si="102">IF(OR(t&lt;Ttai,Notai),Dd+PousD*Croivg,Dens+PousD*(Croivg-Croi_tai))</f>
        <v>0.5</v>
      </c>
      <c r="R271" s="177">
        <f t="shared" ref="R271:R334" si="103">(Hp_vg-S271)/(INDEX(Echel_vg,T271+1)-S271)</f>
        <v>0.98804846370398414</v>
      </c>
      <c r="S271" s="811">
        <f t="shared" ref="S271:S334" si="104">INDEX(Echel_vg,T271)</f>
        <v>-2</v>
      </c>
      <c r="T271" s="176">
        <f t="shared" ref="T271:T334" si="105">MIN(MATCH(Hp_vg,Echel_vg),10)</f>
        <v>4</v>
      </c>
      <c r="U271" s="251">
        <f t="shared" ref="U271:U334" si="106">IF(OR(t&lt;Ttai,Notai),Hdd+PousH*Croivg,Hdtf+PousH*(Croivg-Croi_tai))</f>
        <v>-1.0119515362960159</v>
      </c>
      <c r="V271" s="383">
        <f t="shared" ref="V271:V334" si="107">MaxiM*(1-Ppv)*(1-Pvg)*(1-Psa)</f>
        <v>48.239677679646718</v>
      </c>
      <c r="W271" s="58"/>
      <c r="X271" s="157">
        <f t="shared" ref="X271:X334" si="108">t</f>
        <v>43722</v>
      </c>
      <c r="Y271" s="385">
        <f t="shared" ref="Y271:Y334" si="109">Wh_pvt_s*(1-Ppv)</f>
        <v>40.052999999999997</v>
      </c>
      <c r="Z271" s="385">
        <f t="shared" ref="Z271:Z334" si="110">Wh_sa_s*(1-Psa_s)</f>
        <v>40.461243947742418</v>
      </c>
      <c r="AA271" s="386">
        <f t="shared" ref="AA271:AA334" si="111">Wh_hp*(1-Pvg_s*MEDIAN((-Sdif+Wh/Env_an)/Csdif,0,1))</f>
        <v>41.509485200076575</v>
      </c>
      <c r="AB271" s="197">
        <f t="shared" ref="AB271:AB334" si="112">t</f>
        <v>43722</v>
      </c>
      <c r="AC271" s="426">
        <f>IF(OR(t&lt;Tnet,NoTnet),'2018'!Resal_s+('2018'!Salim-'2018'!Resal_s)*(1-EXP(('2018'!Tnet_s-t)/'2018'!Tau_j)),Resal_s+(Salim-Resal_s)*(1-EXP((Tnet_s-t)/Tau_j)))*Salcycl</f>
        <v>2.5253053543825302E-2</v>
      </c>
      <c r="AD271" s="231">
        <f>(INDEX(Models!$BJ271:$BT271,,AH271)*(1-AF271)+INDEX(Models!$BJ271:$BT271,,AH271+1)*AF271-ERP_i)*AE271*Ramure*Pc/MaxiM</f>
        <v>5.8373816615854496E-7</v>
      </c>
      <c r="AE271" s="305">
        <f t="shared" ref="AE271:AE334" si="113">IF(OR(t&lt;Ttai,Notai),Dd_s+PousD*Croivg,Dens_s+PousD*(Croivg-Croi_tai))</f>
        <v>0.5</v>
      </c>
      <c r="AF271" s="177">
        <f t="shared" ref="AF271:AF334" si="114">(Hp_vg_s-AG271)/(INDEX(Echel_vg,AH271+1)-AG271)</f>
        <v>0.98804846370398414</v>
      </c>
      <c r="AG271" s="176">
        <f t="shared" ref="AG271:AG334" si="115">INDEX(Echel_vg,AH271)</f>
        <v>-2</v>
      </c>
      <c r="AH271" s="176">
        <f t="shared" ref="AH271:AH334" si="116">MIN(MATCH(Hp_vg_s,Echel_vg),10)</f>
        <v>4</v>
      </c>
      <c r="AI271" s="225">
        <f t="shared" ref="AI271:AI334" si="117">IF(OR(t&lt;Ttai,Notai),Hdd_s+PousH*Croivg,Hdtai_s+PousH*(Croivg-Croi_tai))</f>
        <v>-1.0119515362960159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7">
        <v>41.899000000000001</v>
      </c>
      <c r="C272" s="390"/>
      <c r="D272" s="393">
        <f t="shared" si="99"/>
        <v>42.326986544991321</v>
      </c>
      <c r="E272" s="385">
        <f t="shared" si="97"/>
        <v>43.425298170665286</v>
      </c>
      <c r="F272" s="385">
        <f t="shared" si="100"/>
        <v>43.42532117137236</v>
      </c>
      <c r="G272" s="110">
        <f t="shared" si="98"/>
        <v>0.87377268963612176</v>
      </c>
      <c r="H272" s="414" t="b">
        <f>Wh_hp&gt;='2018'!Maxi_hp</f>
        <v>1</v>
      </c>
      <c r="I272" s="390">
        <f>IF(H272,Wh_hp,'2018'!Maxi_hp)</f>
        <v>43.42532117137236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1.0111434333658353E-2</v>
      </c>
      <c r="M272" s="845"/>
      <c r="N272" s="845"/>
      <c r="O272" s="48">
        <f>IF(t&lt;Tnet,'2018'!Resal+('2018'!Salim-'2018'!Resal)*(1-EXP(('2018'!Tnet-t)/('2018'!Tau_j))),Resal+(Salim-Resal)*(1-EXP((Tnet-t)/(Tau_j))))*Salcycl</f>
        <v>2.5291976611363797E-2</v>
      </c>
      <c r="P272" s="169">
        <f>(INDEX(Models!$BJ272:$BT272,,T272)*(1-R272)+INDEX(Models!$BJ272:$BT272,,T272+1)*R272-ERP_i)*Q272*Ramure*Pc/MaxiM</f>
        <v>6.461840560257979E-7</v>
      </c>
      <c r="Q272" s="305">
        <f t="shared" si="102"/>
        <v>0.5</v>
      </c>
      <c r="R272" s="177">
        <f t="shared" si="103"/>
        <v>0.98842424031388232</v>
      </c>
      <c r="S272" s="811">
        <f t="shared" si="104"/>
        <v>-2</v>
      </c>
      <c r="T272" s="176">
        <f t="shared" si="105"/>
        <v>4</v>
      </c>
      <c r="U272" s="251">
        <f t="shared" si="106"/>
        <v>-1.0115757596861177</v>
      </c>
      <c r="V272" s="383">
        <f t="shared" si="107"/>
        <v>47.951825016703452</v>
      </c>
      <c r="W272" s="58"/>
      <c r="X272" s="157">
        <f t="shared" si="108"/>
        <v>43723</v>
      </c>
      <c r="Y272" s="385">
        <f t="shared" si="109"/>
        <v>41.899000000000001</v>
      </c>
      <c r="Z272" s="385">
        <f t="shared" si="110"/>
        <v>42.326986544991321</v>
      </c>
      <c r="AA272" s="386">
        <f t="shared" si="111"/>
        <v>43.425298170665286</v>
      </c>
      <c r="AB272" s="197">
        <f t="shared" si="112"/>
        <v>43723</v>
      </c>
      <c r="AC272" s="426">
        <f>IF(OR(t&lt;Tnet,NoTnet),'2018'!Resal_s+('2018'!Salim-'2018'!Resal_s)*(1-EXP(('2018'!Tnet_s-t)/'2018'!Tau_j)),Resal_s+(Salim-Resal_s)*(1-EXP((Tnet_s-t)/Tau_j)))*Salcycl</f>
        <v>2.5291976611363797E-2</v>
      </c>
      <c r="AD272" s="231">
        <f>(INDEX(Models!$BJ272:$BT272,,AH272)*(1-AF272)+INDEX(Models!$BJ272:$BT272,,AH272+1)*AF272-ERP_i)*AE272*Ramure*Pc/MaxiM</f>
        <v>6.461840560257979E-7</v>
      </c>
      <c r="AE272" s="305">
        <f t="shared" si="113"/>
        <v>0.5</v>
      </c>
      <c r="AF272" s="177">
        <f t="shared" si="114"/>
        <v>0.98842424031388232</v>
      </c>
      <c r="AG272" s="176">
        <f t="shared" si="115"/>
        <v>-2</v>
      </c>
      <c r="AH272" s="176">
        <f t="shared" si="116"/>
        <v>4</v>
      </c>
      <c r="AI272" s="225">
        <f t="shared" si="117"/>
        <v>-1.0115757596861177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7">
        <v>42.637999999999998</v>
      </c>
      <c r="C273" s="390"/>
      <c r="D273" s="393">
        <f t="shared" si="99"/>
        <v>43.074478664555613</v>
      </c>
      <c r="E273" s="385">
        <f t="shared" si="97"/>
        <v>44.19393910134265</v>
      </c>
      <c r="F273" s="385">
        <f t="shared" si="100"/>
        <v>44.193966319651537</v>
      </c>
      <c r="G273" s="110">
        <f t="shared" si="98"/>
        <v>0.89460491159702749</v>
      </c>
      <c r="H273" s="414" t="b">
        <f>Wh_hp&gt;='2018'!Maxi_hp</f>
        <v>0</v>
      </c>
      <c r="I273" s="390">
        <f>IF(H273,Wh_hp,'2018'!Maxi_hp)</f>
        <v>46.225866499783969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1.0133115433728523E-2</v>
      </c>
      <c r="M273" s="845"/>
      <c r="N273" s="845"/>
      <c r="O273" s="48">
        <f>IF(t&lt;Tnet,'2018'!Resal+('2018'!Salim-'2018'!Resal)*(1-EXP(('2018'!Tnet-t)/('2018'!Tau_j))),Resal+(Salim-Resal)*(1-EXP((Tnet-t)/(Tau_j))))*Salcycl</f>
        <v>2.5330632651232188E-2</v>
      </c>
      <c r="P273" s="169">
        <f>(INDEX(Models!$BJ273:$BT273,,T273)*(1-R273)+INDEX(Models!$BJ273:$BT273,,T273+1)*R273-ERP_i)*Q273*Ramure*Pc/MaxiM</f>
        <v>7.2504946158154572E-7</v>
      </c>
      <c r="Q273" s="305">
        <f t="shared" si="102"/>
        <v>0.5</v>
      </c>
      <c r="R273" s="177">
        <f t="shared" si="103"/>
        <v>0.98878542798577795</v>
      </c>
      <c r="S273" s="811">
        <f t="shared" si="104"/>
        <v>-2</v>
      </c>
      <c r="T273" s="176">
        <f t="shared" si="105"/>
        <v>4</v>
      </c>
      <c r="U273" s="251">
        <f t="shared" si="106"/>
        <v>-1.011214572014222</v>
      </c>
      <c r="V273" s="383">
        <f t="shared" si="107"/>
        <v>47.661257827477897</v>
      </c>
      <c r="W273" s="58"/>
      <c r="X273" s="157">
        <f t="shared" si="108"/>
        <v>43724</v>
      </c>
      <c r="Y273" s="385">
        <f t="shared" si="109"/>
        <v>42.637999999999998</v>
      </c>
      <c r="Z273" s="385">
        <f t="shared" si="110"/>
        <v>43.074478664555613</v>
      </c>
      <c r="AA273" s="386">
        <f t="shared" si="111"/>
        <v>44.19393910134265</v>
      </c>
      <c r="AB273" s="197">
        <f t="shared" si="112"/>
        <v>43724</v>
      </c>
      <c r="AC273" s="426">
        <f>IF(OR(t&lt;Tnet,NoTnet),'2018'!Resal_s+('2018'!Salim-'2018'!Resal_s)*(1-EXP(('2018'!Tnet_s-t)/'2018'!Tau_j)),Resal_s+(Salim-Resal_s)*(1-EXP((Tnet_s-t)/Tau_j)))*Salcycl</f>
        <v>2.5330632651232188E-2</v>
      </c>
      <c r="AD273" s="231">
        <f>(INDEX(Models!$BJ273:$BT273,,AH273)*(1-AF273)+INDEX(Models!$BJ273:$BT273,,AH273+1)*AF273-ERP_i)*AE273*Ramure*Pc/MaxiM</f>
        <v>7.2504946158154572E-7</v>
      </c>
      <c r="AE273" s="305">
        <f t="shared" si="113"/>
        <v>0.5</v>
      </c>
      <c r="AF273" s="177">
        <f t="shared" si="114"/>
        <v>0.98878542798577795</v>
      </c>
      <c r="AG273" s="176">
        <f t="shared" si="115"/>
        <v>-2</v>
      </c>
      <c r="AH273" s="176">
        <f t="shared" si="116"/>
        <v>4</v>
      </c>
      <c r="AI273" s="225">
        <f t="shared" si="117"/>
        <v>-1.011214572014222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7">
        <v>41.603999999999999</v>
      </c>
      <c r="C274" s="390"/>
      <c r="D274" s="393">
        <f t="shared" si="99"/>
        <v>42.030814347893475</v>
      </c>
      <c r="E274" s="385">
        <f t="shared" si="97"/>
        <v>43.124849193970569</v>
      </c>
      <c r="F274" s="385">
        <f t="shared" si="100"/>
        <v>43.124878428925108</v>
      </c>
      <c r="G274" s="110">
        <f t="shared" si="98"/>
        <v>0.87830709631212034</v>
      </c>
      <c r="H274" s="414" t="b">
        <f>Wh_hp&gt;='2018'!Maxi_hp</f>
        <v>0</v>
      </c>
      <c r="I274" s="390">
        <f>IF(H274,Wh_hp,'2018'!Maxi_hp)</f>
        <v>43.928763597128906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1.0154796058926885E-2</v>
      </c>
      <c r="M274" s="845"/>
      <c r="N274" s="845"/>
      <c r="O274" s="48">
        <f>IF(t&lt;Tnet,'2018'!Resal+('2018'!Salim-'2018'!Resal)*(1-EXP(('2018'!Tnet-t)/('2018'!Tau_j))),Resal+(Salim-Resal)*(1-EXP((Tnet-t)/(Tau_j))))*Salcycl</f>
        <v>2.5369012681209665E-2</v>
      </c>
      <c r="P274" s="169">
        <f>(INDEX(Models!$BJ274:$BT274,,T274)*(1-R274)+INDEX(Models!$BJ274:$BT274,,T274+1)*R274-ERP_i)*Q274*Ramure*Pc/MaxiM</f>
        <v>8.2056684146602538E-7</v>
      </c>
      <c r="Q274" s="305">
        <f t="shared" si="102"/>
        <v>0.5</v>
      </c>
      <c r="R274" s="177">
        <f t="shared" si="103"/>
        <v>0.98913257253087616</v>
      </c>
      <c r="S274" s="811">
        <f t="shared" si="104"/>
        <v>-2</v>
      </c>
      <c r="T274" s="176">
        <f t="shared" si="105"/>
        <v>4</v>
      </c>
      <c r="U274" s="251">
        <f t="shared" si="106"/>
        <v>-1.0108674274691238</v>
      </c>
      <c r="V274" s="383">
        <f t="shared" si="107"/>
        <v>47.368391123961025</v>
      </c>
      <c r="W274" s="58"/>
      <c r="X274" s="157">
        <f t="shared" si="108"/>
        <v>43725</v>
      </c>
      <c r="Y274" s="385">
        <f t="shared" si="109"/>
        <v>41.603999999999999</v>
      </c>
      <c r="Z274" s="385">
        <f t="shared" si="110"/>
        <v>42.030814347893475</v>
      </c>
      <c r="AA274" s="386">
        <f t="shared" si="111"/>
        <v>43.124849193970569</v>
      </c>
      <c r="AB274" s="197">
        <f t="shared" si="112"/>
        <v>43725</v>
      </c>
      <c r="AC274" s="426">
        <f>IF(OR(t&lt;Tnet,NoTnet),'2018'!Resal_s+('2018'!Salim-'2018'!Resal_s)*(1-EXP(('2018'!Tnet_s-t)/'2018'!Tau_j)),Resal_s+(Salim-Resal_s)*(1-EXP((Tnet_s-t)/Tau_j)))*Salcycl</f>
        <v>2.5369012681209665E-2</v>
      </c>
      <c r="AD274" s="231">
        <f>(INDEX(Models!$BJ274:$BT274,,AH274)*(1-AF274)+INDEX(Models!$BJ274:$BT274,,AH274+1)*AF274-ERP_i)*AE274*Ramure*Pc/MaxiM</f>
        <v>8.2056684146602538E-7</v>
      </c>
      <c r="AE274" s="305">
        <f t="shared" si="113"/>
        <v>0.5</v>
      </c>
      <c r="AF274" s="177">
        <f t="shared" si="114"/>
        <v>0.98913257253087616</v>
      </c>
      <c r="AG274" s="176">
        <f t="shared" si="115"/>
        <v>-2</v>
      </c>
      <c r="AH274" s="176">
        <f t="shared" si="116"/>
        <v>4</v>
      </c>
      <c r="AI274" s="225">
        <f t="shared" si="117"/>
        <v>-1.0108674274691238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7">
        <v>27.244</v>
      </c>
      <c r="C275" s="390"/>
      <c r="D275" s="393">
        <f t="shared" si="99"/>
        <v>27.524098331855569</v>
      </c>
      <c r="E275" s="385">
        <f t="shared" si="97"/>
        <v>28.241636629416387</v>
      </c>
      <c r="F275" s="385">
        <f t="shared" si="100"/>
        <v>28.241647123830155</v>
      </c>
      <c r="G275" s="110">
        <f t="shared" si="98"/>
        <v>0.57878726378843814</v>
      </c>
      <c r="H275" s="414" t="b">
        <f>Wh_hp&gt;='2018'!Maxi_hp</f>
        <v>0</v>
      </c>
      <c r="I275" s="390">
        <f>IF(H275,Wh_hp,'2018'!Maxi_hp)</f>
        <v>42.23353390254551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1.0176476209263985E-2</v>
      </c>
      <c r="M275" s="845"/>
      <c r="N275" s="845"/>
      <c r="O275" s="48">
        <f>IF(t&lt;Tnet,'2018'!Resal+('2018'!Salim-'2018'!Resal)*(1-EXP(('2018'!Tnet-t)/('2018'!Tau_j))),Resal+(Salim-Resal)*(1-EXP((Tnet-t)/(Tau_j))))*Salcycl</f>
        <v>2.5407107490839746E-2</v>
      </c>
      <c r="P275" s="169">
        <f>(INDEX(Models!$BJ275:$BT275,,T275)*(1-R275)+INDEX(Models!$BJ275:$BT275,,T275+1)*R275-ERP_i)*Q275*Ramure*Pc/MaxiM</f>
        <v>9.33023893403511E-7</v>
      </c>
      <c r="Q275" s="305">
        <f t="shared" si="102"/>
        <v>0.5</v>
      </c>
      <c r="R275" s="177">
        <f t="shared" si="103"/>
        <v>0.98946620094073401</v>
      </c>
      <c r="S275" s="811">
        <f t="shared" si="104"/>
        <v>-2</v>
      </c>
      <c r="T275" s="176">
        <f t="shared" si="105"/>
        <v>4</v>
      </c>
      <c r="U275" s="251">
        <f t="shared" si="106"/>
        <v>-1.010533799059266</v>
      </c>
      <c r="V275" s="383">
        <f t="shared" si="107"/>
        <v>47.070808929106441</v>
      </c>
      <c r="W275" s="58"/>
      <c r="X275" s="157">
        <f t="shared" si="108"/>
        <v>43726</v>
      </c>
      <c r="Y275" s="385">
        <f t="shared" si="109"/>
        <v>27.244</v>
      </c>
      <c r="Z275" s="385">
        <f t="shared" si="110"/>
        <v>27.524098331855569</v>
      </c>
      <c r="AA275" s="386">
        <f t="shared" si="111"/>
        <v>28.241636629416387</v>
      </c>
      <c r="AB275" s="197">
        <f t="shared" si="112"/>
        <v>43726</v>
      </c>
      <c r="AC275" s="426">
        <f>IF(OR(t&lt;Tnet,NoTnet),'2018'!Resal_s+('2018'!Salim-'2018'!Resal_s)*(1-EXP(('2018'!Tnet_s-t)/'2018'!Tau_j)),Resal_s+(Salim-Resal_s)*(1-EXP((Tnet_s-t)/Tau_j)))*Salcycl</f>
        <v>2.5407107490839746E-2</v>
      </c>
      <c r="AD275" s="231">
        <f>(INDEX(Models!$BJ275:$BT275,,AH275)*(1-AF275)+INDEX(Models!$BJ275:$BT275,,AH275+1)*AF275-ERP_i)*AE275*Ramure*Pc/MaxiM</f>
        <v>9.33023893403511E-7</v>
      </c>
      <c r="AE275" s="305">
        <f t="shared" si="113"/>
        <v>0.5</v>
      </c>
      <c r="AF275" s="177">
        <f t="shared" si="114"/>
        <v>0.98946620094073401</v>
      </c>
      <c r="AG275" s="176">
        <f t="shared" si="115"/>
        <v>-2</v>
      </c>
      <c r="AH275" s="176">
        <f t="shared" si="116"/>
        <v>4</v>
      </c>
      <c r="AI275" s="225">
        <f t="shared" si="117"/>
        <v>-1.010533799059266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7">
        <v>40.912999999999997</v>
      </c>
      <c r="C276" s="390"/>
      <c r="D276" s="393">
        <f t="shared" si="99"/>
        <v>41.334536041979923</v>
      </c>
      <c r="E276" s="385">
        <f t="shared" si="97"/>
        <v>42.413749994405478</v>
      </c>
      <c r="F276" s="385">
        <f t="shared" si="100"/>
        <v>42.413786815005437</v>
      </c>
      <c r="G276" s="110">
        <f t="shared" si="98"/>
        <v>0.87483784346870441</v>
      </c>
      <c r="H276" s="414" t="b">
        <f>Wh_hp&gt;='2018'!Maxi_hp</f>
        <v>1</v>
      </c>
      <c r="I276" s="390">
        <f>IF(H276,Wh_hp,'2018'!Maxi_hp)</f>
        <v>42.413786815005437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1.0198155884750038E-2</v>
      </c>
      <c r="M276" s="845"/>
      <c r="N276" s="845"/>
      <c r="O276" s="48">
        <f>IF(t&lt;Tnet,'2018'!Resal+('2018'!Salim-'2018'!Resal)*(1-EXP(('2018'!Tnet-t)/('2018'!Tau_j))),Resal+(Salim-Resal)*(1-EXP((Tnet-t)/(Tau_j))))*Salcycl</f>
        <v>2.5444907667157585E-2</v>
      </c>
      <c r="P276" s="169">
        <f>(INDEX(Models!$BJ276:$BT276,,T276)*(1-R276)+INDEX(Models!$BJ276:$BT276,,T276+1)*R276-ERP_i)*Q276*Ramure*Pc/MaxiM</f>
        <v>1.0571494182976143E-6</v>
      </c>
      <c r="Q276" s="305">
        <f t="shared" si="102"/>
        <v>0.5</v>
      </c>
      <c r="R276" s="177">
        <f t="shared" si="103"/>
        <v>0.98978682190999567</v>
      </c>
      <c r="S276" s="811">
        <f t="shared" si="104"/>
        <v>-2</v>
      </c>
      <c r="T276" s="176">
        <f t="shared" si="105"/>
        <v>4</v>
      </c>
      <c r="U276" s="251">
        <f t="shared" si="106"/>
        <v>-1.0102131780900043</v>
      </c>
      <c r="V276" s="383">
        <f t="shared" si="107"/>
        <v>46.766372273454898</v>
      </c>
      <c r="W276" s="58"/>
      <c r="X276" s="157">
        <f t="shared" si="108"/>
        <v>43727</v>
      </c>
      <c r="Y276" s="385">
        <f t="shared" si="109"/>
        <v>40.912999999999997</v>
      </c>
      <c r="Z276" s="385">
        <f t="shared" si="110"/>
        <v>41.334536041979923</v>
      </c>
      <c r="AA276" s="386">
        <f t="shared" si="111"/>
        <v>42.413749994405478</v>
      </c>
      <c r="AB276" s="197">
        <f t="shared" si="112"/>
        <v>43727</v>
      </c>
      <c r="AC276" s="426">
        <f>IF(OR(t&lt;Tnet,NoTnet),'2018'!Resal_s+('2018'!Salim-'2018'!Resal_s)*(1-EXP(('2018'!Tnet_s-t)/'2018'!Tau_j)),Resal_s+(Salim-Resal_s)*(1-EXP((Tnet_s-t)/Tau_j)))*Salcycl</f>
        <v>2.5444907667157585E-2</v>
      </c>
      <c r="AD276" s="231">
        <f>(INDEX(Models!$BJ276:$BT276,,AH276)*(1-AF276)+INDEX(Models!$BJ276:$BT276,,AH276+1)*AF276-ERP_i)*AE276*Ramure*Pc/MaxiM</f>
        <v>1.0571494182976143E-6</v>
      </c>
      <c r="AE276" s="305">
        <f t="shared" si="113"/>
        <v>0.5</v>
      </c>
      <c r="AF276" s="177">
        <f t="shared" si="114"/>
        <v>0.98978682190999567</v>
      </c>
      <c r="AG276" s="176">
        <f t="shared" si="115"/>
        <v>-2</v>
      </c>
      <c r="AH276" s="176">
        <f t="shared" si="116"/>
        <v>4</v>
      </c>
      <c r="AI276" s="225">
        <f t="shared" si="117"/>
        <v>-1.0102131780900043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7">
        <v>46.457000000000001</v>
      </c>
      <c r="C277" s="390"/>
      <c r="D277" s="393">
        <f t="shared" si="99"/>
        <v>46.936685182015331</v>
      </c>
      <c r="E277" s="385">
        <f t="shared" si="97"/>
        <v>48.164020184568365</v>
      </c>
      <c r="F277" s="385">
        <f t="shared" si="100"/>
        <v>48.16407719164706</v>
      </c>
      <c r="G277" s="110">
        <f t="shared" si="98"/>
        <v>1.0000234309450107</v>
      </c>
      <c r="H277" s="414" t="b">
        <f>Wh_hp&gt;='2018'!Maxi_hp</f>
        <v>1</v>
      </c>
      <c r="I277" s="390">
        <f>IF(H277,Wh_hp,'2018'!Maxi_hp)</f>
        <v>48.16407719164706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1.0219835085395701E-2</v>
      </c>
      <c r="M277" s="845"/>
      <c r="N277" s="845"/>
      <c r="O277" s="48">
        <f>IF(t&lt;Tnet,'2018'!Resal+('2018'!Salim-'2018'!Resal)*(1-EXP(('2018'!Tnet-t)/('2018'!Tau_j))),Resal+(Salim-Resal)*(1-EXP((Tnet-t)/(Tau_j))))*Salcycl</f>
        <v>2.5482403625149891E-2</v>
      </c>
      <c r="P277" s="169">
        <f>(INDEX(Models!$BJ277:$BT277,,T277)*(1-R277)+INDEX(Models!$BJ277:$BT277,,T277+1)*R277-ERP_i)*Q277*Ramure*Pc/MaxiM</f>
        <v>1.1836015973224709E-6</v>
      </c>
      <c r="Q277" s="305">
        <f t="shared" si="102"/>
        <v>0.5</v>
      </c>
      <c r="R277" s="177">
        <f t="shared" si="103"/>
        <v>0.99009492635505447</v>
      </c>
      <c r="S277" s="811">
        <f t="shared" si="104"/>
        <v>-2</v>
      </c>
      <c r="T277" s="176">
        <f t="shared" si="105"/>
        <v>4</v>
      </c>
      <c r="U277" s="251">
        <f t="shared" si="106"/>
        <v>-1.0099050736449455</v>
      </c>
      <c r="V277" s="383">
        <f t="shared" si="107"/>
        <v>46.455911494092355</v>
      </c>
      <c r="W277" s="58"/>
      <c r="X277" s="157">
        <f t="shared" si="108"/>
        <v>43728</v>
      </c>
      <c r="Y277" s="385">
        <f t="shared" si="109"/>
        <v>46.457000000000001</v>
      </c>
      <c r="Z277" s="385">
        <f t="shared" si="110"/>
        <v>46.936685182015331</v>
      </c>
      <c r="AA277" s="386">
        <f t="shared" si="111"/>
        <v>48.164020184568365</v>
      </c>
      <c r="AB277" s="197">
        <f t="shared" si="112"/>
        <v>43728</v>
      </c>
      <c r="AC277" s="426">
        <f>IF(OR(t&lt;Tnet,NoTnet),'2018'!Resal_s+('2018'!Salim-'2018'!Resal_s)*(1-EXP(('2018'!Tnet_s-t)/'2018'!Tau_j)),Resal_s+(Salim-Resal_s)*(1-EXP((Tnet_s-t)/Tau_j)))*Salcycl</f>
        <v>2.5482403625149891E-2</v>
      </c>
      <c r="AD277" s="231">
        <f>(INDEX(Models!$BJ277:$BT277,,AH277)*(1-AF277)+INDEX(Models!$BJ277:$BT277,,AH277+1)*AF277-ERP_i)*AE277*Ramure*Pc/MaxiM</f>
        <v>1.1836015973224709E-6</v>
      </c>
      <c r="AE277" s="305">
        <f t="shared" si="113"/>
        <v>0.5</v>
      </c>
      <c r="AF277" s="177">
        <f t="shared" si="114"/>
        <v>0.99009492635505447</v>
      </c>
      <c r="AG277" s="176">
        <f t="shared" si="115"/>
        <v>-2</v>
      </c>
      <c r="AH277" s="176">
        <f t="shared" si="116"/>
        <v>4</v>
      </c>
      <c r="AI277" s="225">
        <f t="shared" si="117"/>
        <v>-1.0099050736449455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7">
        <v>33.671999999999997</v>
      </c>
      <c r="C278" s="390"/>
      <c r="D278" s="393">
        <f t="shared" si="99"/>
        <v>34.020420607515071</v>
      </c>
      <c r="E278" s="385">
        <f t="shared" si="97"/>
        <v>34.911343631223957</v>
      </c>
      <c r="F278" s="385">
        <f t="shared" si="100"/>
        <v>34.911371761935094</v>
      </c>
      <c r="G278" s="110">
        <f t="shared" si="98"/>
        <v>0.72977451076367161</v>
      </c>
      <c r="H278" s="414" t="b">
        <f>Wh_hp&gt;='2018'!Maxi_hp</f>
        <v>1</v>
      </c>
      <c r="I278" s="390">
        <f>IF(H278,Wh_hp,'2018'!Maxi_hp)</f>
        <v>34.911371761935094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1.0241513811211078E-2</v>
      </c>
      <c r="M278" s="845"/>
      <c r="N278" s="845"/>
      <c r="O278" s="48">
        <f>IF(t&lt;Tnet,'2018'!Resal+('2018'!Salim-'2018'!Resal)*(1-EXP(('2018'!Tnet-t)/('2018'!Tau_j))),Resal+(Salim-Resal)*(1-EXP((Tnet-t)/(Tau_j))))*Salcycl</f>
        <v>2.5519585642990446E-2</v>
      </c>
      <c r="P278" s="169">
        <f>(INDEX(Models!$BJ278:$BT278,,T278)*(1-R278)+INDEX(Models!$BJ278:$BT278,,T278+1)*R278-ERP_i)*Q278*Ramure*Pc/MaxiM</f>
        <v>1.3124138629083334E-6</v>
      </c>
      <c r="Q278" s="305">
        <f t="shared" si="102"/>
        <v>0.5</v>
      </c>
      <c r="R278" s="177">
        <f t="shared" si="103"/>
        <v>0.99039098792764202</v>
      </c>
      <c r="S278" s="811">
        <f t="shared" si="104"/>
        <v>-2</v>
      </c>
      <c r="T278" s="176">
        <f t="shared" si="105"/>
        <v>4</v>
      </c>
      <c r="U278" s="251">
        <f t="shared" si="106"/>
        <v>-1.009609012072358</v>
      </c>
      <c r="V278" s="383">
        <f t="shared" si="107"/>
        <v>46.140256262454258</v>
      </c>
      <c r="W278" s="58"/>
      <c r="X278" s="157">
        <f t="shared" si="108"/>
        <v>43729</v>
      </c>
      <c r="Y278" s="385">
        <f t="shared" si="109"/>
        <v>33.671999999999997</v>
      </c>
      <c r="Z278" s="385">
        <f t="shared" si="110"/>
        <v>34.020420607515071</v>
      </c>
      <c r="AA278" s="386">
        <f t="shared" si="111"/>
        <v>34.911343631223957</v>
      </c>
      <c r="AB278" s="197">
        <f t="shared" si="112"/>
        <v>43729</v>
      </c>
      <c r="AC278" s="426">
        <f>IF(OR(t&lt;Tnet,NoTnet),'2018'!Resal_s+('2018'!Salim-'2018'!Resal_s)*(1-EXP(('2018'!Tnet_s-t)/'2018'!Tau_j)),Resal_s+(Salim-Resal_s)*(1-EXP((Tnet_s-t)/Tau_j)))*Salcycl</f>
        <v>2.5519585642990446E-2</v>
      </c>
      <c r="AD278" s="231">
        <f>(INDEX(Models!$BJ278:$BT278,,AH278)*(1-AF278)+INDEX(Models!$BJ278:$BT278,,AH278+1)*AF278-ERP_i)*AE278*Ramure*Pc/MaxiM</f>
        <v>1.3124138629083334E-6</v>
      </c>
      <c r="AE278" s="305">
        <f t="shared" si="113"/>
        <v>0.5</v>
      </c>
      <c r="AF278" s="177">
        <f t="shared" si="114"/>
        <v>0.99039098792764202</v>
      </c>
      <c r="AG278" s="176">
        <f t="shared" si="115"/>
        <v>-2</v>
      </c>
      <c r="AH278" s="176">
        <f t="shared" si="116"/>
        <v>4</v>
      </c>
      <c r="AI278" s="225">
        <f t="shared" si="117"/>
        <v>-1.009609012072358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7">
        <v>8.7050000000000001</v>
      </c>
      <c r="C279" s="390"/>
      <c r="D279" s="393">
        <f t="shared" si="99"/>
        <v>8.7952675197941375</v>
      </c>
      <c r="E279" s="385">
        <f t="shared" si="97"/>
        <v>9.02593840839147</v>
      </c>
      <c r="F279" s="385">
        <f t="shared" si="100"/>
        <v>9.02593840839147</v>
      </c>
      <c r="G279" s="110">
        <f t="shared" si="98"/>
        <v>0.1899812874521252</v>
      </c>
      <c r="H279" s="414" t="b">
        <f>Wh_hp&gt;='2018'!Maxi_hp</f>
        <v>0</v>
      </c>
      <c r="I279" s="390">
        <f>IF(H279,Wh_hp,'2018'!Maxi_hp)</f>
        <v>43.945672735997164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1.0263192062206827E-2</v>
      </c>
      <c r="M279" s="845"/>
      <c r="N279" s="845"/>
      <c r="O279" s="48">
        <f>IF(t&lt;Tnet,'2018'!Resal+('2018'!Salim-'2018'!Resal)*(1-EXP(('2018'!Tnet-t)/('2018'!Tau_j))),Resal+(Salim-Resal)*(1-EXP((Tnet-t)/(Tau_j))))*Salcycl</f>
        <v>2.555644390204086E-2</v>
      </c>
      <c r="P279" s="169">
        <f>(INDEX(Models!$BJ279:$BT279,,T279)*(1-R279)+INDEX(Models!$BJ279:$BT279,,T279+1)*R279-ERP_i)*Q279*Ramure*Pc/MaxiM</f>
        <v>1.4436112214830696E-6</v>
      </c>
      <c r="Q279" s="305">
        <f t="shared" si="102"/>
        <v>0.5</v>
      </c>
      <c r="R279" s="177">
        <f t="shared" si="103"/>
        <v>0.99067546352245239</v>
      </c>
      <c r="S279" s="811">
        <f t="shared" si="104"/>
        <v>-2</v>
      </c>
      <c r="T279" s="176">
        <f t="shared" si="105"/>
        <v>4</v>
      </c>
      <c r="U279" s="251">
        <f t="shared" si="106"/>
        <v>-1.0093245364775476</v>
      </c>
      <c r="V279" s="383">
        <f t="shared" si="107"/>
        <v>45.820236035393499</v>
      </c>
      <c r="W279" s="58"/>
      <c r="X279" s="157">
        <f t="shared" si="108"/>
        <v>43730</v>
      </c>
      <c r="Y279" s="385">
        <f t="shared" si="109"/>
        <v>8.7050000000000001</v>
      </c>
      <c r="Z279" s="385">
        <f t="shared" si="110"/>
        <v>8.7952675197941375</v>
      </c>
      <c r="AA279" s="386">
        <f t="shared" si="111"/>
        <v>9.02593840839147</v>
      </c>
      <c r="AB279" s="197">
        <f t="shared" si="112"/>
        <v>43730</v>
      </c>
      <c r="AC279" s="426">
        <f>IF(OR(t&lt;Tnet,NoTnet),'2018'!Resal_s+('2018'!Salim-'2018'!Resal_s)*(1-EXP(('2018'!Tnet_s-t)/'2018'!Tau_j)),Resal_s+(Salim-Resal_s)*(1-EXP((Tnet_s-t)/Tau_j)))*Salcycl</f>
        <v>2.555644390204086E-2</v>
      </c>
      <c r="AD279" s="231">
        <f>(INDEX(Models!$BJ279:$BT279,,AH279)*(1-AF279)+INDEX(Models!$BJ279:$BT279,,AH279+1)*AF279-ERP_i)*AE279*Ramure*Pc/MaxiM</f>
        <v>1.4436112214830696E-6</v>
      </c>
      <c r="AE279" s="305">
        <f t="shared" si="113"/>
        <v>0.5</v>
      </c>
      <c r="AF279" s="177">
        <f t="shared" si="114"/>
        <v>0.99067546352245239</v>
      </c>
      <c r="AG279" s="176">
        <f t="shared" si="115"/>
        <v>-2</v>
      </c>
      <c r="AH279" s="176">
        <f t="shared" si="116"/>
        <v>4</v>
      </c>
      <c r="AI279" s="225">
        <f t="shared" si="117"/>
        <v>-1.0093245364775476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7">
        <v>40.462000000000003</v>
      </c>
      <c r="C280" s="390"/>
      <c r="D280" s="393">
        <f t="shared" si="99"/>
        <v>40.882470891794007</v>
      </c>
      <c r="E280" s="385">
        <f t="shared" si="97"/>
        <v>41.956256032125857</v>
      </c>
      <c r="F280" s="385">
        <f t="shared" si="100"/>
        <v>41.956311745133924</v>
      </c>
      <c r="G280" s="110">
        <f t="shared" si="98"/>
        <v>0.88933939501291881</v>
      </c>
      <c r="H280" s="414" t="b">
        <f>Wh_hp&gt;='2018'!Maxi_hp</f>
        <v>0</v>
      </c>
      <c r="I280" s="390">
        <f>IF(H280,Wh_hp,'2018'!Maxi_hp)</f>
        <v>44.303472000025792</v>
      </c>
      <c r="J280" s="85">
        <f>IF(H280,An,'2018'!An_max)</f>
        <v>2018</v>
      </c>
      <c r="K280" s="197">
        <f t="shared" si="101"/>
        <v>43731</v>
      </c>
      <c r="L280" s="147">
        <f>IF(t&lt;Tvie,1-EXP((T0-t)*PertePVj)+'2018'!Pspv,1-EXP((T0-t)*PertePVj)+Pspv)</f>
        <v>1.0284869838393274E-2</v>
      </c>
      <c r="M280" s="845"/>
      <c r="N280" s="845"/>
      <c r="O280" s="48">
        <f>IF(t&lt;Tnet,'2018'!Resal+('2018'!Salim-'2018'!Resal)*(1-EXP(('2018'!Tnet-t)/('2018'!Tau_j))),Resal+(Salim-Resal)*(1-EXP((Tnet-t)/(Tau_j))))*Salcycl</f>
        <v>2.5592968531549912E-2</v>
      </c>
      <c r="P280" s="169">
        <f>(INDEX(Models!$BJ280:$BT280,,T280)*(1-R280)+INDEX(Models!$BJ280:$BT280,,T280+1)*R280-ERP_i)*Q280*Ramure*Pc/MaxiM</f>
        <v>1.577217937392919E-6</v>
      </c>
      <c r="Q280" s="305">
        <f t="shared" si="102"/>
        <v>0.5</v>
      </c>
      <c r="R280" s="177">
        <f t="shared" si="103"/>
        <v>0.99094879377801748</v>
      </c>
      <c r="S280" s="811">
        <f t="shared" si="104"/>
        <v>-2</v>
      </c>
      <c r="T280" s="176">
        <f t="shared" si="105"/>
        <v>4</v>
      </c>
      <c r="U280" s="251">
        <f t="shared" si="106"/>
        <v>-1.0090512062219825</v>
      </c>
      <c r="V280" s="383">
        <f t="shared" si="107"/>
        <v>45.496680050641281</v>
      </c>
      <c r="W280" s="58"/>
      <c r="X280" s="157">
        <f t="shared" si="108"/>
        <v>43731</v>
      </c>
      <c r="Y280" s="385">
        <f t="shared" si="109"/>
        <v>40.462000000000003</v>
      </c>
      <c r="Z280" s="385">
        <f t="shared" si="110"/>
        <v>40.882470891794007</v>
      </c>
      <c r="AA280" s="386">
        <f t="shared" si="111"/>
        <v>41.956256032125857</v>
      </c>
      <c r="AB280" s="197">
        <f t="shared" si="112"/>
        <v>43731</v>
      </c>
      <c r="AC280" s="426">
        <f>IF(OR(t&lt;Tnet,NoTnet),'2018'!Resal_s+('2018'!Salim-'2018'!Resal_s)*(1-EXP(('2018'!Tnet_s-t)/'2018'!Tau_j)),Resal_s+(Salim-Resal_s)*(1-EXP((Tnet_s-t)/Tau_j)))*Salcycl</f>
        <v>2.5592968531549912E-2</v>
      </c>
      <c r="AD280" s="231">
        <f>(INDEX(Models!$BJ280:$BT280,,AH280)*(1-AF280)+INDEX(Models!$BJ280:$BT280,,AH280+1)*AF280-ERP_i)*AE280*Ramure*Pc/MaxiM</f>
        <v>1.577217937392919E-6</v>
      </c>
      <c r="AE280" s="305">
        <f t="shared" si="113"/>
        <v>0.5</v>
      </c>
      <c r="AF280" s="177">
        <f t="shared" si="114"/>
        <v>0.99094879377801748</v>
      </c>
      <c r="AG280" s="176">
        <f t="shared" si="115"/>
        <v>-2</v>
      </c>
      <c r="AH280" s="176">
        <f t="shared" si="116"/>
        <v>4</v>
      </c>
      <c r="AI280" s="225">
        <f t="shared" si="117"/>
        <v>-1.0090512062219825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7">
        <v>27.86</v>
      </c>
      <c r="C281" s="390"/>
      <c r="D281" s="393">
        <f t="shared" si="99"/>
        <v>28.150130648519958</v>
      </c>
      <c r="E281" s="385">
        <f t="shared" si="97"/>
        <v>28.890571427334194</v>
      </c>
      <c r="F281" s="385">
        <f t="shared" si="100"/>
        <v>28.890593826390468</v>
      </c>
      <c r="G281" s="110">
        <f t="shared" si="98"/>
        <v>0.61677477245245227</v>
      </c>
      <c r="H281" s="414" t="b">
        <f>Wh_hp&gt;='2018'!Maxi_hp</f>
        <v>0</v>
      </c>
      <c r="I281" s="390">
        <f>IF(H281,Wh_hp,'2018'!Maxi_hp)</f>
        <v>40.084162591234495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1.0306547139780742E-2</v>
      </c>
      <c r="M281" s="845"/>
      <c r="N281" s="845"/>
      <c r="O281" s="48">
        <f>IF(t&lt;Tnet,'2018'!Resal+('2018'!Salim-'2018'!Resal)*(1-EXP(('2018'!Tnet-t)/('2018'!Tau_j))),Resal+(Salim-Resal)*(1-EXP((Tnet-t)/(Tau_j))))*Salcycl</f>
        <v>2.5629149657929007E-2</v>
      </c>
      <c r="P281" s="169">
        <f>(INDEX(Models!$BJ281:$BT281,,T281)*(1-R281)+INDEX(Models!$BJ281:$BT281,,T281+1)*R281-ERP_i)*Q281*Ramure*Pc/MaxiM</f>
        <v>1.7132467297604793E-6</v>
      </c>
      <c r="Q281" s="305">
        <f t="shared" si="102"/>
        <v>0.5</v>
      </c>
      <c r="R281" s="177">
        <f t="shared" si="103"/>
        <v>0.99121140357015358</v>
      </c>
      <c r="S281" s="811">
        <f t="shared" si="104"/>
        <v>-2</v>
      </c>
      <c r="T281" s="176">
        <f t="shared" si="105"/>
        <v>4</v>
      </c>
      <c r="U281" s="251">
        <f t="shared" si="106"/>
        <v>-1.0087885964298464</v>
      </c>
      <c r="V281" s="383">
        <f t="shared" si="107"/>
        <v>45.170417327832752</v>
      </c>
      <c r="W281" s="58"/>
      <c r="X281" s="157">
        <f t="shared" si="108"/>
        <v>43732</v>
      </c>
      <c r="Y281" s="385">
        <f t="shared" si="109"/>
        <v>27.86</v>
      </c>
      <c r="Z281" s="385">
        <f t="shared" si="110"/>
        <v>28.150130648519958</v>
      </c>
      <c r="AA281" s="386">
        <f t="shared" si="111"/>
        <v>28.890571427334194</v>
      </c>
      <c r="AB281" s="197">
        <f t="shared" si="112"/>
        <v>43732</v>
      </c>
      <c r="AC281" s="426">
        <f>IF(OR(t&lt;Tnet,NoTnet),'2018'!Resal_s+('2018'!Salim-'2018'!Resal_s)*(1-EXP(('2018'!Tnet_s-t)/'2018'!Tau_j)),Resal_s+(Salim-Resal_s)*(1-EXP((Tnet_s-t)/Tau_j)))*Salcycl</f>
        <v>2.5629149657929007E-2</v>
      </c>
      <c r="AD281" s="231">
        <f>(INDEX(Models!$BJ281:$BT281,,AH281)*(1-AF281)+INDEX(Models!$BJ281:$BT281,,AH281+1)*AF281-ERP_i)*AE281*Ramure*Pc/MaxiM</f>
        <v>1.7132467297604793E-6</v>
      </c>
      <c r="AE281" s="305">
        <f t="shared" si="113"/>
        <v>0.5</v>
      </c>
      <c r="AF281" s="177">
        <f t="shared" si="114"/>
        <v>0.99121140357015358</v>
      </c>
      <c r="AG281" s="176">
        <f t="shared" si="115"/>
        <v>-2</v>
      </c>
      <c r="AH281" s="176">
        <f t="shared" si="116"/>
        <v>4</v>
      </c>
      <c r="AI281" s="225">
        <f t="shared" si="117"/>
        <v>-1.0087885964298464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7">
        <v>29.43</v>
      </c>
      <c r="C282" s="390"/>
      <c r="D282" s="393">
        <f t="shared" si="99"/>
        <v>29.737131756903036</v>
      </c>
      <c r="E282" s="385">
        <f t="shared" si="97"/>
        <v>30.520438113096898</v>
      </c>
      <c r="F282" s="385">
        <f t="shared" si="100"/>
        <v>30.520470967672125</v>
      </c>
      <c r="G282" s="110">
        <f t="shared" si="98"/>
        <v>0.65629979943172023</v>
      </c>
      <c r="H282" s="414" t="b">
        <f>Wh_hp&gt;='2018'!Maxi_hp</f>
        <v>0</v>
      </c>
      <c r="I282" s="390">
        <f>IF(H282,Wh_hp,'2018'!Maxi_hp)</f>
        <v>46.514117854235721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1.0328223966379668E-2</v>
      </c>
      <c r="M282" s="845"/>
      <c r="N282" s="845"/>
      <c r="O282" s="48">
        <f>IF(t&lt;Tnet,'2018'!Resal+('2018'!Salim-'2018'!Resal)*(1-EXP(('2018'!Tnet-t)/('2018'!Tau_j))),Resal+(Salim-Resal)*(1-EXP((Tnet-t)/(Tau_j))))*Salcycl</f>
        <v>2.566497745842412E-2</v>
      </c>
      <c r="P282" s="169">
        <f>(INDEX(Models!$BJ282:$BT282,,T282)*(1-R282)+INDEX(Models!$BJ282:$BT282,,T282+1)*R282-ERP_i)*Q282*Ramure*Pc/MaxiM</f>
        <v>2.1148825655096428E-6</v>
      </c>
      <c r="Q282" s="305">
        <f t="shared" si="102"/>
        <v>0.5</v>
      </c>
      <c r="R282" s="177">
        <f t="shared" si="103"/>
        <v>0.99146370249737181</v>
      </c>
      <c r="S282" s="811">
        <f t="shared" si="104"/>
        <v>-2</v>
      </c>
      <c r="T282" s="176">
        <f t="shared" si="105"/>
        <v>4</v>
      </c>
      <c r="U282" s="251">
        <f t="shared" si="106"/>
        <v>-1.0085362975026282</v>
      </c>
      <c r="V282" s="383">
        <f t="shared" si="107"/>
        <v>44.842264869141843</v>
      </c>
      <c r="W282" s="58"/>
      <c r="X282" s="157">
        <f t="shared" si="108"/>
        <v>43733</v>
      </c>
      <c r="Y282" s="385">
        <f t="shared" si="109"/>
        <v>29.43</v>
      </c>
      <c r="Z282" s="385">
        <f t="shared" si="110"/>
        <v>29.737131756903036</v>
      </c>
      <c r="AA282" s="386">
        <f t="shared" si="111"/>
        <v>30.520438113096898</v>
      </c>
      <c r="AB282" s="197">
        <f t="shared" si="112"/>
        <v>43733</v>
      </c>
      <c r="AC282" s="426">
        <f>IF(OR(t&lt;Tnet,NoTnet),'2018'!Resal_s+('2018'!Salim-'2018'!Resal_s)*(1-EXP(('2018'!Tnet_s-t)/'2018'!Tau_j)),Resal_s+(Salim-Resal_s)*(1-EXP((Tnet_s-t)/Tau_j)))*Salcycl</f>
        <v>2.566497745842412E-2</v>
      </c>
      <c r="AD282" s="231">
        <f>(INDEX(Models!$BJ282:$BT282,,AH282)*(1-AF282)+INDEX(Models!$BJ282:$BT282,,AH282+1)*AF282-ERP_i)*AE282*Ramure*Pc/MaxiM</f>
        <v>2.1148825655096428E-6</v>
      </c>
      <c r="AE282" s="305">
        <f t="shared" si="113"/>
        <v>0.5</v>
      </c>
      <c r="AF282" s="177">
        <f t="shared" si="114"/>
        <v>0.99146370249737181</v>
      </c>
      <c r="AG282" s="176">
        <f t="shared" si="115"/>
        <v>-2</v>
      </c>
      <c r="AH282" s="176">
        <f t="shared" si="116"/>
        <v>4</v>
      </c>
      <c r="AI282" s="225">
        <f t="shared" si="117"/>
        <v>-1.0085362975026282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7">
        <v>36.067999999999998</v>
      </c>
      <c r="C283" s="390"/>
      <c r="D283" s="393">
        <f t="shared" si="99"/>
        <v>36.445204230865919</v>
      </c>
      <c r="E283" s="385">
        <f t="shared" si="97"/>
        <v>37.406569611782615</v>
      </c>
      <c r="F283" s="385">
        <f t="shared" si="100"/>
        <v>37.406645403180605</v>
      </c>
      <c r="G283" s="110">
        <f t="shared" si="98"/>
        <v>0.81027859250335665</v>
      </c>
      <c r="H283" s="414" t="b">
        <f>Wh_hp&gt;='2018'!Maxi_hp</f>
        <v>0</v>
      </c>
      <c r="I283" s="390">
        <f>IF(H283,Wh_hp,'2018'!Maxi_hp)</f>
        <v>46.475483095151723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1.0349900318200489E-2</v>
      </c>
      <c r="M283" s="845"/>
      <c r="N283" s="845"/>
      <c r="O283" s="48">
        <f>IF(t&lt;Tnet,'2018'!Resal+('2018'!Salim-'2018'!Resal)*(1-EXP(('2018'!Tnet-t)/('2018'!Tau_j))),Resal+(Salim-Resal)*(1-EXP((Tnet-t)/(Tau_j))))*Salcycl</f>
        <v>2.5700442218948519E-2</v>
      </c>
      <c r="P283" s="169">
        <f>(INDEX(Models!$BJ283:$BT283,,T283)*(1-R283)+INDEX(Models!$BJ283:$BT283,,T283+1)*R283-ERP_i)*Q283*Ramure*Pc/MaxiM</f>
        <v>2.779465748378263E-6</v>
      </c>
      <c r="Q283" s="305">
        <f t="shared" si="102"/>
        <v>0.5</v>
      </c>
      <c r="R283" s="177">
        <f t="shared" si="103"/>
        <v>0.99170608535774973</v>
      </c>
      <c r="S283" s="811">
        <f t="shared" si="104"/>
        <v>-2</v>
      </c>
      <c r="T283" s="176">
        <f t="shared" si="105"/>
        <v>4</v>
      </c>
      <c r="U283" s="251">
        <f t="shared" si="106"/>
        <v>-1.0082939146422503</v>
      </c>
      <c r="V283" s="383">
        <f t="shared" si="107"/>
        <v>44.513051638013337</v>
      </c>
      <c r="W283" s="58"/>
      <c r="X283" s="157">
        <f t="shared" si="108"/>
        <v>43734</v>
      </c>
      <c r="Y283" s="385">
        <f t="shared" si="109"/>
        <v>36.067999999999998</v>
      </c>
      <c r="Z283" s="385">
        <f t="shared" si="110"/>
        <v>36.445204230865919</v>
      </c>
      <c r="AA283" s="386">
        <f t="shared" si="111"/>
        <v>37.406569611782615</v>
      </c>
      <c r="AB283" s="197">
        <f t="shared" si="112"/>
        <v>43734</v>
      </c>
      <c r="AC283" s="426">
        <f>IF(OR(t&lt;Tnet,NoTnet),'2018'!Resal_s+('2018'!Salim-'2018'!Resal_s)*(1-EXP(('2018'!Tnet_s-t)/'2018'!Tau_j)),Resal_s+(Salim-Resal_s)*(1-EXP((Tnet_s-t)/Tau_j)))*Salcycl</f>
        <v>2.5700442218948519E-2</v>
      </c>
      <c r="AD283" s="231">
        <f>(INDEX(Models!$BJ283:$BT283,,AH283)*(1-AF283)+INDEX(Models!$BJ283:$BT283,,AH283+1)*AF283-ERP_i)*AE283*Ramure*Pc/MaxiM</f>
        <v>2.779465748378263E-6</v>
      </c>
      <c r="AE283" s="305">
        <f t="shared" si="113"/>
        <v>0.5</v>
      </c>
      <c r="AF283" s="177">
        <f t="shared" si="114"/>
        <v>0.99170608535774973</v>
      </c>
      <c r="AG283" s="176">
        <f t="shared" si="115"/>
        <v>-2</v>
      </c>
      <c r="AH283" s="176">
        <f t="shared" si="116"/>
        <v>4</v>
      </c>
      <c r="AI283" s="225">
        <f t="shared" si="117"/>
        <v>-1.0082939146422503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7">
        <v>36.637</v>
      </c>
      <c r="C284" s="390"/>
      <c r="D284" s="393">
        <f t="shared" si="99"/>
        <v>37.02096576727719</v>
      </c>
      <c r="E284" s="385">
        <f t="shared" si="97"/>
        <v>37.998887442043461</v>
      </c>
      <c r="F284" s="385">
        <f t="shared" si="100"/>
        <v>37.998994048795808</v>
      </c>
      <c r="G284" s="110">
        <f t="shared" si="98"/>
        <v>0.8291982043384204</v>
      </c>
      <c r="H284" s="414" t="b">
        <f>Wh_hp&gt;='2018'!Maxi_hp</f>
        <v>0</v>
      </c>
      <c r="I284" s="390">
        <f>IF(H284,Wh_hp,'2018'!Maxi_hp)</f>
        <v>45.12039737403196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1.0371576195253529E-2</v>
      </c>
      <c r="M284" s="845"/>
      <c r="N284" s="845"/>
      <c r="O284" s="48">
        <f>IF(t&lt;Tnet,'2018'!Resal+('2018'!Salim-'2018'!Resal)*(1-EXP(('2018'!Tnet-t)/('2018'!Tau_j))),Resal+(Salim-Resal)*(1-EXP((Tnet-t)/(Tau_j))))*Salcycl</f>
        <v>2.5735534395785017E-2</v>
      </c>
      <c r="P284" s="169">
        <f>(INDEX(Models!$BJ284:$BT284,,T284)*(1-R284)+INDEX(Models!$BJ284:$BT284,,T284+1)*R284-ERP_i)*Q284*Ramure*Pc/MaxiM</f>
        <v>3.7110061628060504E-6</v>
      </c>
      <c r="Q284" s="305">
        <f t="shared" si="102"/>
        <v>0.5</v>
      </c>
      <c r="R284" s="177">
        <f t="shared" si="103"/>
        <v>0.99193893261681909</v>
      </c>
      <c r="S284" s="811">
        <f t="shared" si="104"/>
        <v>-2</v>
      </c>
      <c r="T284" s="176">
        <f t="shared" si="105"/>
        <v>4</v>
      </c>
      <c r="U284" s="251">
        <f t="shared" si="106"/>
        <v>-1.0080610673831809</v>
      </c>
      <c r="V284" s="383">
        <f t="shared" si="107"/>
        <v>44.183606083255526</v>
      </c>
      <c r="W284" s="58"/>
      <c r="X284" s="157">
        <f t="shared" si="108"/>
        <v>43735</v>
      </c>
      <c r="Y284" s="385">
        <f t="shared" si="109"/>
        <v>36.637</v>
      </c>
      <c r="Z284" s="385">
        <f t="shared" si="110"/>
        <v>37.02096576727719</v>
      </c>
      <c r="AA284" s="386">
        <f t="shared" si="111"/>
        <v>37.998887442043461</v>
      </c>
      <c r="AB284" s="197">
        <f t="shared" si="112"/>
        <v>43735</v>
      </c>
      <c r="AC284" s="426">
        <f>IF(OR(t&lt;Tnet,NoTnet),'2018'!Resal_s+('2018'!Salim-'2018'!Resal_s)*(1-EXP(('2018'!Tnet_s-t)/'2018'!Tau_j)),Resal_s+(Salim-Resal_s)*(1-EXP((Tnet_s-t)/Tau_j)))*Salcycl</f>
        <v>2.5735534395785017E-2</v>
      </c>
      <c r="AD284" s="231">
        <f>(INDEX(Models!$BJ284:$BT284,,AH284)*(1-AF284)+INDEX(Models!$BJ284:$BT284,,AH284+1)*AF284-ERP_i)*AE284*Ramure*Pc/MaxiM</f>
        <v>3.7110061628060504E-6</v>
      </c>
      <c r="AE284" s="305">
        <f t="shared" si="113"/>
        <v>0.5</v>
      </c>
      <c r="AF284" s="177">
        <f t="shared" si="114"/>
        <v>0.99193893261681909</v>
      </c>
      <c r="AG284" s="176">
        <f t="shared" si="115"/>
        <v>-2</v>
      </c>
      <c r="AH284" s="176">
        <f t="shared" si="116"/>
        <v>4</v>
      </c>
      <c r="AI284" s="225">
        <f t="shared" si="117"/>
        <v>-1.0080610673831809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7">
        <v>32.487000000000002</v>
      </c>
      <c r="C285" s="390"/>
      <c r="D285" s="393">
        <f t="shared" si="99"/>
        <v>32.828191655366794</v>
      </c>
      <c r="E285" s="385">
        <f t="shared" si="97"/>
        <v>33.696560258120286</v>
      </c>
      <c r="F285" s="385">
        <f t="shared" si="100"/>
        <v>33.696664513876591</v>
      </c>
      <c r="G285" s="110">
        <f t="shared" si="98"/>
        <v>0.74078488914530882</v>
      </c>
      <c r="H285" s="414" t="b">
        <f>Wh_hp&gt;='2018'!Maxi_hp</f>
        <v>0</v>
      </c>
      <c r="I285" s="390">
        <f>IF(H285,Wh_hp,'2018'!Maxi_hp)</f>
        <v>42.169880552957594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1.0393251597549225E-2</v>
      </c>
      <c r="M285" s="845"/>
      <c r="N285" s="845"/>
      <c r="O285" s="48">
        <f>IF(t&lt;Tnet,'2018'!Resal+('2018'!Salim-'2018'!Resal)*(1-EXP(('2018'!Tnet-t)/('2018'!Tau_j))),Resal+(Salim-Resal)*(1-EXP((Tnet-t)/(Tau_j))))*Salcycl</f>
        <v>2.577024468081214E-2</v>
      </c>
      <c r="P285" s="169">
        <f>(INDEX(Models!$BJ285:$BT285,,T285)*(1-R285)+INDEX(Models!$BJ285:$BT285,,T285+1)*R285-ERP_i)*Q285*Ramure*Pc/MaxiM</f>
        <v>4.9134115605919149E-6</v>
      </c>
      <c r="Q285" s="305">
        <f t="shared" si="102"/>
        <v>0.5</v>
      </c>
      <c r="R285" s="177">
        <f t="shared" si="103"/>
        <v>0.99216261086610569</v>
      </c>
      <c r="S285" s="811">
        <f t="shared" si="104"/>
        <v>-2</v>
      </c>
      <c r="T285" s="176">
        <f t="shared" si="105"/>
        <v>4</v>
      </c>
      <c r="U285" s="251">
        <f t="shared" si="106"/>
        <v>-1.0078373891338943</v>
      </c>
      <c r="V285" s="383">
        <f t="shared" si="107"/>
        <v>43.85475644409297</v>
      </c>
      <c r="W285" s="58"/>
      <c r="X285" s="157">
        <f t="shared" si="108"/>
        <v>43736</v>
      </c>
      <c r="Y285" s="385">
        <f t="shared" si="109"/>
        <v>32.487000000000002</v>
      </c>
      <c r="Z285" s="385">
        <f t="shared" si="110"/>
        <v>32.828191655366794</v>
      </c>
      <c r="AA285" s="386">
        <f t="shared" si="111"/>
        <v>33.696560258120286</v>
      </c>
      <c r="AB285" s="197">
        <f t="shared" si="112"/>
        <v>43736</v>
      </c>
      <c r="AC285" s="426">
        <f>IF(OR(t&lt;Tnet,NoTnet),'2018'!Resal_s+('2018'!Salim-'2018'!Resal_s)*(1-EXP(('2018'!Tnet_s-t)/'2018'!Tau_j)),Resal_s+(Salim-Resal_s)*(1-EXP((Tnet_s-t)/Tau_j)))*Salcycl</f>
        <v>2.577024468081214E-2</v>
      </c>
      <c r="AD285" s="231">
        <f>(INDEX(Models!$BJ285:$BT285,,AH285)*(1-AF285)+INDEX(Models!$BJ285:$BT285,,AH285+1)*AF285-ERP_i)*AE285*Ramure*Pc/MaxiM</f>
        <v>4.9134115605919149E-6</v>
      </c>
      <c r="AE285" s="305">
        <f t="shared" si="113"/>
        <v>0.5</v>
      </c>
      <c r="AF285" s="177">
        <f t="shared" si="114"/>
        <v>0.99216261086610569</v>
      </c>
      <c r="AG285" s="176">
        <f t="shared" si="115"/>
        <v>-2</v>
      </c>
      <c r="AH285" s="176">
        <f t="shared" si="116"/>
        <v>4</v>
      </c>
      <c r="AI285" s="225">
        <f t="shared" si="117"/>
        <v>-1.0078373891338943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7">
        <v>42.859000000000002</v>
      </c>
      <c r="C286" s="390"/>
      <c r="D286" s="393">
        <f t="shared" si="99"/>
        <v>43.310071209443116</v>
      </c>
      <c r="E286" s="385">
        <f t="shared" si="97"/>
        <v>44.45727172606955</v>
      </c>
      <c r="F286" s="385">
        <f t="shared" si="100"/>
        <v>44.457549596928516</v>
      </c>
      <c r="G286" s="110">
        <f t="shared" si="98"/>
        <v>0.98464558363487931</v>
      </c>
      <c r="H286" s="414" t="b">
        <f>Wh_hp&gt;='2018'!Maxi_hp</f>
        <v>1</v>
      </c>
      <c r="I286" s="390">
        <f>IF(H286,Wh_hp,'2018'!Maxi_hp)</f>
        <v>44.457549596928516</v>
      </c>
      <c r="J286" s="85">
        <f>IF(H286,An,'2018'!An_max)</f>
        <v>2019</v>
      </c>
      <c r="K286" s="197">
        <f t="shared" si="101"/>
        <v>43737</v>
      </c>
      <c r="L286" s="147">
        <f>IF(t&lt;Tvie,1-EXP((T0-t)*PertePVj)+'2018'!Pspv,1-EXP((T0-t)*PertePVj)+Pspv)</f>
        <v>1.0414926525098012E-2</v>
      </c>
      <c r="M286" s="845"/>
      <c r="N286" s="845"/>
      <c r="O286" s="48">
        <f>IF(t&lt;Tnet,'2018'!Resal+('2018'!Salim-'2018'!Resal)*(1-EXP(('2018'!Tnet-t)/('2018'!Tau_j))),Resal+(Salim-Resal)*(1-EXP((Tnet-t)/(Tau_j))))*Salcycl</f>
        <v>2.5804564069857629E-2</v>
      </c>
      <c r="P286" s="169">
        <f>(INDEX(Models!$BJ286:$BT286,,T286)*(1-R286)+INDEX(Models!$BJ286:$BT286,,T286+1)*R286-ERP_i)*Q286*Ramure*Pc/MaxiM</f>
        <v>6.3904232509887764E-6</v>
      </c>
      <c r="Q286" s="305">
        <f t="shared" si="102"/>
        <v>0.5</v>
      </c>
      <c r="R286" s="177">
        <f t="shared" si="103"/>
        <v>0.99237747327201586</v>
      </c>
      <c r="S286" s="811">
        <f t="shared" si="104"/>
        <v>-2</v>
      </c>
      <c r="T286" s="176">
        <f t="shared" si="105"/>
        <v>4</v>
      </c>
      <c r="U286" s="251">
        <f t="shared" si="106"/>
        <v>-1.0076225267279841</v>
      </c>
      <c r="V286" s="383">
        <f t="shared" si="107"/>
        <v>43.527330751962502</v>
      </c>
      <c r="W286" s="58"/>
      <c r="X286" s="157">
        <f t="shared" si="108"/>
        <v>43737</v>
      </c>
      <c r="Y286" s="385">
        <f t="shared" si="109"/>
        <v>42.859000000000002</v>
      </c>
      <c r="Z286" s="385">
        <f t="shared" si="110"/>
        <v>43.310071209443116</v>
      </c>
      <c r="AA286" s="386">
        <f t="shared" si="111"/>
        <v>44.45727172606955</v>
      </c>
      <c r="AB286" s="197">
        <f t="shared" si="112"/>
        <v>43737</v>
      </c>
      <c r="AC286" s="426">
        <f>IF(OR(t&lt;Tnet,NoTnet),'2018'!Resal_s+('2018'!Salim-'2018'!Resal_s)*(1-EXP(('2018'!Tnet_s-t)/'2018'!Tau_j)),Resal_s+(Salim-Resal_s)*(1-EXP((Tnet_s-t)/Tau_j)))*Salcycl</f>
        <v>2.5804564069857629E-2</v>
      </c>
      <c r="AD286" s="231">
        <f>(INDEX(Models!$BJ286:$BT286,,AH286)*(1-AF286)+INDEX(Models!$BJ286:$BT286,,AH286+1)*AF286-ERP_i)*AE286*Ramure*Pc/MaxiM</f>
        <v>6.3904232509887764E-6</v>
      </c>
      <c r="AE286" s="305">
        <f t="shared" si="113"/>
        <v>0.5</v>
      </c>
      <c r="AF286" s="177">
        <f t="shared" si="114"/>
        <v>0.99237747327201586</v>
      </c>
      <c r="AG286" s="176">
        <f t="shared" si="115"/>
        <v>-2</v>
      </c>
      <c r="AH286" s="176">
        <f t="shared" si="116"/>
        <v>4</v>
      </c>
      <c r="AI286" s="225">
        <f t="shared" si="117"/>
        <v>-1.0076225267279841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7">
        <v>27.280999999999999</v>
      </c>
      <c r="C287" s="390"/>
      <c r="D287" s="393">
        <f t="shared" si="99"/>
        <v>27.568723769451999</v>
      </c>
      <c r="E287" s="385">
        <f t="shared" si="97"/>
        <v>28.299951614570492</v>
      </c>
      <c r="F287" s="385">
        <f t="shared" si="100"/>
        <v>28.300060773163633</v>
      </c>
      <c r="G287" s="110">
        <f t="shared" si="98"/>
        <v>0.63147039429638663</v>
      </c>
      <c r="H287" s="414" t="b">
        <f>Wh_hp&gt;='2018'!Maxi_hp</f>
        <v>0</v>
      </c>
      <c r="I287" s="390">
        <f>IF(H287,Wh_hp,'2018'!Maxi_hp)</f>
        <v>41.406216750872005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1.0436600977910215E-2</v>
      </c>
      <c r="M287" s="845"/>
      <c r="N287" s="845"/>
      <c r="O287" s="48">
        <f>IF(t&lt;Tnet,'2018'!Resal+('2018'!Salim-'2018'!Resal)*(1-EXP(('2018'!Tnet-t)/('2018'!Tau_j))),Resal+(Salim-Resal)*(1-EXP((Tnet-t)/(Tau_j))))*Salcycl</f>
        <v>2.5838483933732694E-2</v>
      </c>
      <c r="P287" s="169">
        <f>(INDEX(Models!$BJ287:$BT287,,T287)*(1-R287)+INDEX(Models!$BJ287:$BT287,,T287+1)*R287-ERP_i)*Q287*Ramure*Pc/MaxiM</f>
        <v>8.1455480274706962E-6</v>
      </c>
      <c r="Q287" s="305">
        <f t="shared" si="102"/>
        <v>0.5</v>
      </c>
      <c r="R287" s="177">
        <f t="shared" si="103"/>
        <v>0.9925838600148249</v>
      </c>
      <c r="S287" s="811">
        <f t="shared" si="104"/>
        <v>-2</v>
      </c>
      <c r="T287" s="176">
        <f t="shared" si="105"/>
        <v>4</v>
      </c>
      <c r="U287" s="251">
        <f t="shared" si="106"/>
        <v>-1.0074161399851751</v>
      </c>
      <c r="V287" s="383">
        <f t="shared" si="107"/>
        <v>43.202156831338073</v>
      </c>
      <c r="W287" s="58"/>
      <c r="X287" s="157">
        <f t="shared" si="108"/>
        <v>43738</v>
      </c>
      <c r="Y287" s="385">
        <f t="shared" si="109"/>
        <v>27.280999999999999</v>
      </c>
      <c r="Z287" s="385">
        <f t="shared" si="110"/>
        <v>27.568723769451999</v>
      </c>
      <c r="AA287" s="386">
        <f t="shared" si="111"/>
        <v>28.299951614570492</v>
      </c>
      <c r="AB287" s="197">
        <f t="shared" si="112"/>
        <v>43738</v>
      </c>
      <c r="AC287" s="426">
        <f>IF(OR(t&lt;Tnet,NoTnet),'2018'!Resal_s+('2018'!Salim-'2018'!Resal_s)*(1-EXP(('2018'!Tnet_s-t)/'2018'!Tau_j)),Resal_s+(Salim-Resal_s)*(1-EXP((Tnet_s-t)/Tau_j)))*Salcycl</f>
        <v>2.5838483933732694E-2</v>
      </c>
      <c r="AD287" s="231">
        <f>(INDEX(Models!$BJ287:$BT287,,AH287)*(1-AF287)+INDEX(Models!$BJ287:$BT287,,AH287+1)*AF287-ERP_i)*AE287*Ramure*Pc/MaxiM</f>
        <v>8.1455480274706962E-6</v>
      </c>
      <c r="AE287" s="305">
        <f t="shared" si="113"/>
        <v>0.5</v>
      </c>
      <c r="AF287" s="177">
        <f t="shared" si="114"/>
        <v>0.9925838600148249</v>
      </c>
      <c r="AG287" s="176">
        <f t="shared" si="115"/>
        <v>-2</v>
      </c>
      <c r="AH287" s="176">
        <f t="shared" si="116"/>
        <v>4</v>
      </c>
      <c r="AI287" s="225">
        <f t="shared" si="117"/>
        <v>-1.0074161399851751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7">
        <v>33.765999999999998</v>
      </c>
      <c r="C288" s="390"/>
      <c r="D288" s="393">
        <f t="shared" si="99"/>
        <v>34.122866318242892</v>
      </c>
      <c r="E288" s="385">
        <f t="shared" si="97"/>
        <v>35.029140093837704</v>
      </c>
      <c r="F288" s="385">
        <f t="shared" si="100"/>
        <v>35.0293884638035</v>
      </c>
      <c r="G288" s="110">
        <f t="shared" si="98"/>
        <v>0.78744977955976336</v>
      </c>
      <c r="H288" s="414" t="b">
        <f>Wh_hp&gt;='2018'!Maxi_hp</f>
        <v>1</v>
      </c>
      <c r="I288" s="390">
        <f>IF(H288,Wh_hp,'2018'!Maxi_hp)</f>
        <v>35.0293884638035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1.0458274955996383E-2</v>
      </c>
      <c r="M288" s="845"/>
      <c r="N288" s="845"/>
      <c r="O288" s="48">
        <f>IF(t&lt;Tnet,'2018'!Resal+('2018'!Salim-'2018'!Resal)*(1-EXP(('2018'!Tnet-t)/('2018'!Tau_j))),Resal+(Salim-Resal)*(1-EXP((Tnet-t)/(Tau_j))))*Salcycl</f>
        <v>2.5871996091455334E-2</v>
      </c>
      <c r="P288" s="169">
        <f>(INDEX(Models!$BJ288:$BT288,,T288)*(1-R288)+INDEX(Models!$BJ288:$BT288,,T288+1)*R288-ERP_i)*Q288*Ramure*Pc/MaxiM</f>
        <v>1.0181986445904615E-5</v>
      </c>
      <c r="Q288" s="305">
        <f t="shared" si="102"/>
        <v>0.5</v>
      </c>
      <c r="R288" s="177">
        <f t="shared" si="103"/>
        <v>0.99278209871757328</v>
      </c>
      <c r="S288" s="811">
        <f t="shared" si="104"/>
        <v>-2</v>
      </c>
      <c r="T288" s="176">
        <f t="shared" si="105"/>
        <v>4</v>
      </c>
      <c r="U288" s="251">
        <f t="shared" si="106"/>
        <v>-1.0072179012824267</v>
      </c>
      <c r="V288" s="383">
        <f t="shared" si="107"/>
        <v>42.880062300996542</v>
      </c>
      <c r="W288" s="58"/>
      <c r="X288" s="157">
        <f t="shared" si="108"/>
        <v>43739</v>
      </c>
      <c r="Y288" s="385">
        <f t="shared" si="109"/>
        <v>33.765999999999998</v>
      </c>
      <c r="Z288" s="385">
        <f t="shared" si="110"/>
        <v>34.122866318242892</v>
      </c>
      <c r="AA288" s="386">
        <f t="shared" si="111"/>
        <v>35.029140093837704</v>
      </c>
      <c r="AB288" s="197">
        <f t="shared" si="112"/>
        <v>43739</v>
      </c>
      <c r="AC288" s="426">
        <f>IF(OR(t&lt;Tnet,NoTnet),'2018'!Resal_s+('2018'!Salim-'2018'!Resal_s)*(1-EXP(('2018'!Tnet_s-t)/'2018'!Tau_j)),Resal_s+(Salim-Resal_s)*(1-EXP((Tnet_s-t)/Tau_j)))*Salcycl</f>
        <v>2.5871996091455334E-2</v>
      </c>
      <c r="AD288" s="231">
        <f>(INDEX(Models!$BJ288:$BT288,,AH288)*(1-AF288)+INDEX(Models!$BJ288:$BT288,,AH288+1)*AF288-ERP_i)*AE288*Ramure*Pc/MaxiM</f>
        <v>1.0181986445904615E-5</v>
      </c>
      <c r="AE288" s="305">
        <f t="shared" si="113"/>
        <v>0.5</v>
      </c>
      <c r="AF288" s="177">
        <f t="shared" si="114"/>
        <v>0.99278209871757328</v>
      </c>
      <c r="AG288" s="176">
        <f t="shared" si="115"/>
        <v>-2</v>
      </c>
      <c r="AH288" s="176">
        <f t="shared" si="116"/>
        <v>4</v>
      </c>
      <c r="AI288" s="225">
        <f t="shared" si="117"/>
        <v>-1.0072179012824267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7">
        <v>22.747</v>
      </c>
      <c r="C289" s="390"/>
      <c r="D289" s="393">
        <f t="shared" si="99"/>
        <v>22.987912134356506</v>
      </c>
      <c r="E289" s="385">
        <f t="shared" si="97"/>
        <v>23.599252974685381</v>
      </c>
      <c r="F289" s="385">
        <f t="shared" si="100"/>
        <v>23.599351809957287</v>
      </c>
      <c r="G289" s="110">
        <f t="shared" si="98"/>
        <v>0.53446699096752659</v>
      </c>
      <c r="H289" s="414" t="b">
        <f>Wh_hp&gt;='2018'!Maxi_hp</f>
        <v>0</v>
      </c>
      <c r="I289" s="390">
        <f>IF(H289,Wh_hp,'2018'!Maxi_hp)</f>
        <v>44.550821163435508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1.0479948459366728E-2</v>
      </c>
      <c r="M289" s="845"/>
      <c r="N289" s="845"/>
      <c r="O289" s="48">
        <f>IF(t&lt;Tnet,'2018'!Resal+('2018'!Salim-'2018'!Resal)*(1-EXP(('2018'!Tnet-t)/('2018'!Tau_j))),Resal+(Salim-Resal)*(1-EXP((Tnet-t)/(Tau_j))))*Salcycl</f>
        <v>2.590509288512869E-2</v>
      </c>
      <c r="P289" s="169">
        <f>(INDEX(Models!$BJ289:$BT289,,T289)*(1-R289)+INDEX(Models!$BJ289:$BT289,,T289+1)*R289-ERP_i)*Q289*Ramure*Pc/MaxiM</f>
        <v>1.2503165651229152E-5</v>
      </c>
      <c r="Q289" s="305">
        <f t="shared" si="102"/>
        <v>0.5</v>
      </c>
      <c r="R289" s="177">
        <f t="shared" si="103"/>
        <v>0.99297250486472954</v>
      </c>
      <c r="S289" s="811">
        <f t="shared" si="104"/>
        <v>-2</v>
      </c>
      <c r="T289" s="176">
        <f t="shared" si="105"/>
        <v>4</v>
      </c>
      <c r="U289" s="251">
        <f t="shared" si="106"/>
        <v>-1.0070274951352705</v>
      </c>
      <c r="V289" s="383">
        <f t="shared" si="107"/>
        <v>42.55980488916763</v>
      </c>
      <c r="W289" s="58"/>
      <c r="X289" s="157">
        <f t="shared" si="108"/>
        <v>43740</v>
      </c>
      <c r="Y289" s="385">
        <f t="shared" si="109"/>
        <v>22.747</v>
      </c>
      <c r="Z289" s="385">
        <f t="shared" si="110"/>
        <v>22.987912134356506</v>
      </c>
      <c r="AA289" s="386">
        <f t="shared" si="111"/>
        <v>23.599252974685381</v>
      </c>
      <c r="AB289" s="197">
        <f t="shared" si="112"/>
        <v>43740</v>
      </c>
      <c r="AC289" s="426">
        <f>IF(OR(t&lt;Tnet,NoTnet),'2018'!Resal_s+('2018'!Salim-'2018'!Resal_s)*(1-EXP(('2018'!Tnet_s-t)/'2018'!Tau_j)),Resal_s+(Salim-Resal_s)*(1-EXP((Tnet_s-t)/Tau_j)))*Salcycl</f>
        <v>2.590509288512869E-2</v>
      </c>
      <c r="AD289" s="231">
        <f>(INDEX(Models!$BJ289:$BT289,,AH289)*(1-AF289)+INDEX(Models!$BJ289:$BT289,,AH289+1)*AF289-ERP_i)*AE289*Ramure*Pc/MaxiM</f>
        <v>1.2503165651229152E-5</v>
      </c>
      <c r="AE289" s="305">
        <f t="shared" si="113"/>
        <v>0.5</v>
      </c>
      <c r="AF289" s="177">
        <f t="shared" si="114"/>
        <v>0.99297250486472954</v>
      </c>
      <c r="AG289" s="176">
        <f t="shared" si="115"/>
        <v>-2</v>
      </c>
      <c r="AH289" s="176">
        <f t="shared" si="116"/>
        <v>4</v>
      </c>
      <c r="AI289" s="225">
        <f t="shared" si="117"/>
        <v>-1.0070274951352705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7">
        <v>33.405999999999999</v>
      </c>
      <c r="C290" s="390"/>
      <c r="D290" s="393">
        <f t="shared" si="99"/>
        <v>33.760540416687448</v>
      </c>
      <c r="E290" s="385">
        <f t="shared" si="97"/>
        <v>34.659531272019784</v>
      </c>
      <c r="F290" s="385">
        <f t="shared" si="100"/>
        <v>34.659903047096897</v>
      </c>
      <c r="G290" s="110">
        <f t="shared" si="98"/>
        <v>0.7908659368299028</v>
      </c>
      <c r="H290" s="414" t="b">
        <f>Wh_hp&gt;='2018'!Maxi_hp</f>
        <v>0</v>
      </c>
      <c r="I290" s="390">
        <f>IF(H290,Wh_hp,'2018'!Maxi_hp)</f>
        <v>42.516161138689995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1.0501621488031687E-2</v>
      </c>
      <c r="M290" s="845"/>
      <c r="N290" s="845"/>
      <c r="O290" s="48">
        <f>IF(t&lt;Tnet,'2018'!Resal+('2018'!Salim-'2018'!Resal)*(1-EXP(('2018'!Tnet-t)/('2018'!Tau_j))),Resal+(Salim-Resal)*(1-EXP((Tnet-t)/(Tau_j))))*Salcycl</f>
        <v>2.5937767255902942E-2</v>
      </c>
      <c r="P290" s="169">
        <f>(INDEX(Models!$BJ290:$BT290,,T290)*(1-R290)+INDEX(Models!$BJ290:$BT290,,T290+1)*R290-ERP_i)*Q290*Ramure*Pc/MaxiM</f>
        <v>1.5296246563845686E-5</v>
      </c>
      <c r="Q290" s="305">
        <f t="shared" si="102"/>
        <v>0.5</v>
      </c>
      <c r="R290" s="177">
        <f t="shared" si="103"/>
        <v>0.99315538221051769</v>
      </c>
      <c r="S290" s="811">
        <f t="shared" si="104"/>
        <v>-2</v>
      </c>
      <c r="T290" s="176">
        <f t="shared" si="105"/>
        <v>4</v>
      </c>
      <c r="U290" s="251">
        <f t="shared" si="106"/>
        <v>-1.0068446177894823</v>
      </c>
      <c r="V290" s="383">
        <f t="shared" si="107"/>
        <v>42.239582945116638</v>
      </c>
      <c r="W290" s="58"/>
      <c r="X290" s="157">
        <f t="shared" si="108"/>
        <v>43741</v>
      </c>
      <c r="Y290" s="385">
        <f t="shared" si="109"/>
        <v>33.405999999999999</v>
      </c>
      <c r="Z290" s="385">
        <f t="shared" si="110"/>
        <v>33.760540416687448</v>
      </c>
      <c r="AA290" s="386">
        <f t="shared" si="111"/>
        <v>34.659531272019784</v>
      </c>
      <c r="AB290" s="197">
        <f t="shared" si="112"/>
        <v>43741</v>
      </c>
      <c r="AC290" s="426">
        <f>IF(OR(t&lt;Tnet,NoTnet),'2018'!Resal_s+('2018'!Salim-'2018'!Resal_s)*(1-EXP(('2018'!Tnet_s-t)/'2018'!Tau_j)),Resal_s+(Salim-Resal_s)*(1-EXP((Tnet_s-t)/Tau_j)))*Salcycl</f>
        <v>2.5937767255902942E-2</v>
      </c>
      <c r="AD290" s="231">
        <f>(INDEX(Models!$BJ290:$BT290,,AH290)*(1-AF290)+INDEX(Models!$BJ290:$BT290,,AH290+1)*AF290-ERP_i)*AE290*Ramure*Pc/MaxiM</f>
        <v>1.5296246563845686E-5</v>
      </c>
      <c r="AE290" s="305">
        <f t="shared" si="113"/>
        <v>0.5</v>
      </c>
      <c r="AF290" s="177">
        <f t="shared" si="114"/>
        <v>0.99315538221051769</v>
      </c>
      <c r="AG290" s="176">
        <f t="shared" si="115"/>
        <v>-2</v>
      </c>
      <c r="AH290" s="176">
        <f t="shared" si="116"/>
        <v>4</v>
      </c>
      <c r="AI290" s="225">
        <f t="shared" si="117"/>
        <v>-1.0068446177894823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7">
        <v>10.093999999999999</v>
      </c>
      <c r="C291" s="390"/>
      <c r="D291" s="393">
        <f t="shared" si="99"/>
        <v>10.201351824879113</v>
      </c>
      <c r="E291" s="385">
        <f t="shared" si="97"/>
        <v>10.473344721570951</v>
      </c>
      <c r="F291" s="385">
        <f t="shared" si="100"/>
        <v>10.473344721570951</v>
      </c>
      <c r="G291" s="110">
        <f t="shared" si="98"/>
        <v>0.24079098027024867</v>
      </c>
      <c r="H291" s="414" t="b">
        <f>Wh_hp&gt;='2018'!Maxi_hp</f>
        <v>0</v>
      </c>
      <c r="I291" s="390">
        <f>IF(H291,Wh_hp,'2018'!Maxi_hp)</f>
        <v>42.093320826448114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1.0523294042001807E-2</v>
      </c>
      <c r="M291" s="845"/>
      <c r="N291" s="845"/>
      <c r="O291" s="48">
        <f>IF(t&lt;Tnet,'2018'!Resal+('2018'!Salim-'2018'!Resal)*(1-EXP(('2018'!Tnet-t)/('2018'!Tau_j))),Resal+(Salim-Resal)*(1-EXP((Tnet-t)/(Tau_j))))*Salcycl</f>
        <v>2.5970012820416451E-2</v>
      </c>
      <c r="P291" s="169">
        <f>(INDEX(Models!$BJ291:$BT291,,T291)*(1-R291)+INDEX(Models!$BJ291:$BT291,,T291+1)*R291-ERP_i)*Q291*Ramure*Pc/MaxiM</f>
        <v>1.8572995205106385E-5</v>
      </c>
      <c r="Q291" s="305">
        <f t="shared" si="102"/>
        <v>0.5</v>
      </c>
      <c r="R291" s="177">
        <f t="shared" si="103"/>
        <v>0.99333102317684796</v>
      </c>
      <c r="S291" s="811">
        <f t="shared" si="104"/>
        <v>-2</v>
      </c>
      <c r="T291" s="176">
        <f t="shared" si="105"/>
        <v>4</v>
      </c>
      <c r="U291" s="251">
        <f t="shared" si="106"/>
        <v>-1.006668976823152</v>
      </c>
      <c r="V291" s="383">
        <f t="shared" si="107"/>
        <v>41.919396286595692</v>
      </c>
      <c r="W291" s="58"/>
      <c r="X291" s="157">
        <f t="shared" si="108"/>
        <v>43742</v>
      </c>
      <c r="Y291" s="385">
        <f t="shared" si="109"/>
        <v>10.093999999999999</v>
      </c>
      <c r="Z291" s="385">
        <f t="shared" si="110"/>
        <v>10.201351824879113</v>
      </c>
      <c r="AA291" s="386">
        <f t="shared" si="111"/>
        <v>10.473344721570951</v>
      </c>
      <c r="AB291" s="197">
        <f t="shared" si="112"/>
        <v>43742</v>
      </c>
      <c r="AC291" s="426">
        <f>IF(OR(t&lt;Tnet,NoTnet),'2018'!Resal_s+('2018'!Salim-'2018'!Resal_s)*(1-EXP(('2018'!Tnet_s-t)/'2018'!Tau_j)),Resal_s+(Salim-Resal_s)*(1-EXP((Tnet_s-t)/Tau_j)))*Salcycl</f>
        <v>2.5970012820416451E-2</v>
      </c>
      <c r="AD291" s="231">
        <f>(INDEX(Models!$BJ291:$BT291,,AH291)*(1-AF291)+INDEX(Models!$BJ291:$BT291,,AH291+1)*AF291-ERP_i)*AE291*Ramure*Pc/MaxiM</f>
        <v>1.8572995205106385E-5</v>
      </c>
      <c r="AE291" s="305">
        <f t="shared" si="113"/>
        <v>0.5</v>
      </c>
      <c r="AF291" s="177">
        <f t="shared" si="114"/>
        <v>0.99333102317684796</v>
      </c>
      <c r="AG291" s="176">
        <f t="shared" si="115"/>
        <v>-2</v>
      </c>
      <c r="AH291" s="176">
        <f t="shared" si="116"/>
        <v>4</v>
      </c>
      <c r="AI291" s="225">
        <f t="shared" si="117"/>
        <v>-1.006668976823152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7">
        <v>36.823</v>
      </c>
      <c r="C292" s="390"/>
      <c r="D292" s="393">
        <f t="shared" si="99"/>
        <v>37.215435506606113</v>
      </c>
      <c r="E292" s="385">
        <f t="shared" si="97"/>
        <v>38.208937574626688</v>
      </c>
      <c r="F292" s="385">
        <f t="shared" si="100"/>
        <v>38.209651137394687</v>
      </c>
      <c r="G292" s="110">
        <f t="shared" si="98"/>
        <v>0.88518109183295079</v>
      </c>
      <c r="H292" s="414" t="b">
        <f>Wh_hp&gt;='2018'!Maxi_hp</f>
        <v>0</v>
      </c>
      <c r="I292" s="390">
        <f>IF(H292,Wh_hp,'2018'!Maxi_hp)</f>
        <v>42.281588278704412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1.0544966121287302E-2</v>
      </c>
      <c r="M292" s="845"/>
      <c r="N292" s="845"/>
      <c r="O292" s="48">
        <f>IF(t&lt;Tnet,'2018'!Resal+('2018'!Salim-'2018'!Resal)*(1-EXP(('2018'!Tnet-t)/('2018'!Tau_j))),Resal+(Salim-Resal)*(1-EXP((Tnet-t)/(Tau_j))))*Salcycl</f>
        <v>2.6001823947084196E-2</v>
      </c>
      <c r="P292" s="169">
        <f>(INDEX(Models!$BJ292:$BT292,,T292)*(1-R292)+INDEX(Models!$BJ292:$BT292,,T292+1)*R292-ERP_i)*Q292*Ramure*Pc/MaxiM</f>
        <v>2.233903748999234E-5</v>
      </c>
      <c r="Q292" s="305">
        <f t="shared" si="102"/>
        <v>0.5</v>
      </c>
      <c r="R292" s="177">
        <f t="shared" si="103"/>
        <v>0.99349970924082975</v>
      </c>
      <c r="S292" s="811">
        <f t="shared" si="104"/>
        <v>-2</v>
      </c>
      <c r="T292" s="176">
        <f t="shared" si="105"/>
        <v>4</v>
      </c>
      <c r="U292" s="251">
        <f t="shared" si="106"/>
        <v>-1.0065002907591702</v>
      </c>
      <c r="V292" s="383">
        <f t="shared" si="107"/>
        <v>41.599244961277861</v>
      </c>
      <c r="W292" s="58"/>
      <c r="X292" s="157">
        <f t="shared" si="108"/>
        <v>43743</v>
      </c>
      <c r="Y292" s="385">
        <f t="shared" si="109"/>
        <v>36.823</v>
      </c>
      <c r="Z292" s="385">
        <f t="shared" si="110"/>
        <v>37.215435506606113</v>
      </c>
      <c r="AA292" s="386">
        <f t="shared" si="111"/>
        <v>38.208937574626688</v>
      </c>
      <c r="AB292" s="197">
        <f t="shared" si="112"/>
        <v>43743</v>
      </c>
      <c r="AC292" s="426">
        <f>IF(OR(t&lt;Tnet,NoTnet),'2018'!Resal_s+('2018'!Salim-'2018'!Resal_s)*(1-EXP(('2018'!Tnet_s-t)/'2018'!Tau_j)),Resal_s+(Salim-Resal_s)*(1-EXP((Tnet_s-t)/Tau_j)))*Salcycl</f>
        <v>2.6001823947084196E-2</v>
      </c>
      <c r="AD292" s="231">
        <f>(INDEX(Models!$BJ292:$BT292,,AH292)*(1-AF292)+INDEX(Models!$BJ292:$BT292,,AH292+1)*AF292-ERP_i)*AE292*Ramure*Pc/MaxiM</f>
        <v>2.233903748999234E-5</v>
      </c>
      <c r="AE292" s="305">
        <f t="shared" si="113"/>
        <v>0.5</v>
      </c>
      <c r="AF292" s="177">
        <f t="shared" si="114"/>
        <v>0.99349970924082975</v>
      </c>
      <c r="AG292" s="176">
        <f t="shared" si="115"/>
        <v>-2</v>
      </c>
      <c r="AH292" s="176">
        <f t="shared" si="116"/>
        <v>4</v>
      </c>
      <c r="AI292" s="225">
        <f t="shared" si="117"/>
        <v>-1.0065002907591702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7">
        <v>18.936</v>
      </c>
      <c r="C293" s="390"/>
      <c r="D293" s="393">
        <f t="shared" si="99"/>
        <v>19.138226708343179</v>
      </c>
      <c r="E293" s="385">
        <f t="shared" si="97"/>
        <v>19.649773099488264</v>
      </c>
      <c r="F293" s="385">
        <f t="shared" si="100"/>
        <v>19.649891622021556</v>
      </c>
      <c r="G293" s="110">
        <f t="shared" si="98"/>
        <v>0.4587211742064693</v>
      </c>
      <c r="H293" s="414" t="b">
        <f>Wh_hp&gt;='2018'!Maxi_hp</f>
        <v>0</v>
      </c>
      <c r="I293" s="390">
        <f>IF(H293,Wh_hp,'2018'!Maxi_hp)</f>
        <v>39.638043153684698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1.0566637725898609E-2</v>
      </c>
      <c r="M293" s="845"/>
      <c r="N293" s="845"/>
      <c r="O293" s="48">
        <f>IF(t&lt;Tnet,'2018'!Resal+('2018'!Salim-'2018'!Resal)*(1-EXP(('2018'!Tnet-t)/('2018'!Tau_j))),Resal+(Salim-Resal)*(1-EXP((Tnet-t)/(Tau_j))))*Salcycl</f>
        <v>2.6033195831579686E-2</v>
      </c>
      <c r="P293" s="169">
        <f>(INDEX(Models!$BJ293:$BT293,,T293)*(1-R293)+INDEX(Models!$BJ293:$BT293,,T293+1)*R293-ERP_i)*Q293*Ramure*Pc/MaxiM</f>
        <v>2.6599784753767056E-5</v>
      </c>
      <c r="Q293" s="305">
        <f t="shared" si="102"/>
        <v>0.5</v>
      </c>
      <c r="R293" s="177">
        <f t="shared" si="103"/>
        <v>0.99366171131186887</v>
      </c>
      <c r="S293" s="811">
        <f t="shared" si="104"/>
        <v>-2</v>
      </c>
      <c r="T293" s="176">
        <f t="shared" si="105"/>
        <v>4</v>
      </c>
      <c r="U293" s="251">
        <f t="shared" si="106"/>
        <v>-1.0063382886881311</v>
      </c>
      <c r="V293" s="383">
        <f t="shared" si="107"/>
        <v>41.279128990341206</v>
      </c>
      <c r="W293" s="58"/>
      <c r="X293" s="157">
        <f t="shared" si="108"/>
        <v>43744</v>
      </c>
      <c r="Y293" s="385">
        <f t="shared" si="109"/>
        <v>18.936</v>
      </c>
      <c r="Z293" s="385">
        <f t="shared" si="110"/>
        <v>19.138226708343179</v>
      </c>
      <c r="AA293" s="386">
        <f t="shared" si="111"/>
        <v>19.649773099488264</v>
      </c>
      <c r="AB293" s="197">
        <f t="shared" si="112"/>
        <v>43744</v>
      </c>
      <c r="AC293" s="426">
        <f>IF(OR(t&lt;Tnet,NoTnet),'2018'!Resal_s+('2018'!Salim-'2018'!Resal_s)*(1-EXP(('2018'!Tnet_s-t)/'2018'!Tau_j)),Resal_s+(Salim-Resal_s)*(1-EXP((Tnet_s-t)/Tau_j)))*Salcycl</f>
        <v>2.6033195831579686E-2</v>
      </c>
      <c r="AD293" s="231">
        <f>(INDEX(Models!$BJ293:$BT293,,AH293)*(1-AF293)+INDEX(Models!$BJ293:$BT293,,AH293+1)*AF293-ERP_i)*AE293*Ramure*Pc/MaxiM</f>
        <v>2.6599784753767056E-5</v>
      </c>
      <c r="AE293" s="305">
        <f t="shared" si="113"/>
        <v>0.5</v>
      </c>
      <c r="AF293" s="177">
        <f t="shared" si="114"/>
        <v>0.99366171131186887</v>
      </c>
      <c r="AG293" s="176">
        <f t="shared" si="115"/>
        <v>-2</v>
      </c>
      <c r="AH293" s="176">
        <f t="shared" si="116"/>
        <v>4</v>
      </c>
      <c r="AI293" s="225">
        <f t="shared" si="117"/>
        <v>-1.0063382886881311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7">
        <v>31.305</v>
      </c>
      <c r="C294" s="390"/>
      <c r="D294" s="393">
        <f t="shared" si="99"/>
        <v>31.640014243008345</v>
      </c>
      <c r="E294" s="385">
        <f t="shared" si="97"/>
        <v>32.48675302064045</v>
      </c>
      <c r="F294" s="385">
        <f t="shared" si="100"/>
        <v>32.487428789010735</v>
      </c>
      <c r="G294" s="110">
        <f t="shared" si="98"/>
        <v>0.76429191292465037</v>
      </c>
      <c r="H294" s="414" t="b">
        <f>Wh_hp&gt;='2018'!Maxi_hp</f>
        <v>1</v>
      </c>
      <c r="I294" s="390">
        <f>IF(H294,Wh_hp,'2018'!Maxi_hp)</f>
        <v>32.487428789010735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1.0588308855846162E-2</v>
      </c>
      <c r="M294" s="845"/>
      <c r="N294" s="845"/>
      <c r="O294" s="48">
        <f>IF(t&lt;Tnet,'2018'!Resal+('2018'!Salim-'2018'!Resal)*(1-EXP(('2018'!Tnet-t)/('2018'!Tau_j))),Resal+(Salim-Resal)*(1-EXP((Tnet-t)/(Tau_j))))*Salcycl</f>
        <v>2.6064124570840581E-2</v>
      </c>
      <c r="P294" s="169">
        <f>(INDEX(Models!$BJ294:$BT294,,T294)*(1-R294)+INDEX(Models!$BJ294:$BT294,,T294+1)*R294-ERP_i)*Q294*Ramure*Pc/MaxiM</f>
        <v>3.1360421525086454E-5</v>
      </c>
      <c r="Q294" s="305">
        <f t="shared" si="102"/>
        <v>0.5</v>
      </c>
      <c r="R294" s="177">
        <f t="shared" si="103"/>
        <v>0.9938172900983917</v>
      </c>
      <c r="S294" s="811">
        <f t="shared" si="104"/>
        <v>-2</v>
      </c>
      <c r="T294" s="176">
        <f t="shared" si="105"/>
        <v>4</v>
      </c>
      <c r="U294" s="251">
        <f t="shared" si="106"/>
        <v>-1.0061827099016083</v>
      </c>
      <c r="V294" s="383">
        <f t="shared" si="107"/>
        <v>40.959048366876004</v>
      </c>
      <c r="W294" s="58"/>
      <c r="X294" s="157">
        <f t="shared" si="108"/>
        <v>43745</v>
      </c>
      <c r="Y294" s="385">
        <f t="shared" si="109"/>
        <v>31.305</v>
      </c>
      <c r="Z294" s="385">
        <f t="shared" si="110"/>
        <v>31.640014243008345</v>
      </c>
      <c r="AA294" s="386">
        <f t="shared" si="111"/>
        <v>32.48675302064045</v>
      </c>
      <c r="AB294" s="197">
        <f t="shared" si="112"/>
        <v>43745</v>
      </c>
      <c r="AC294" s="426">
        <f>IF(OR(t&lt;Tnet,NoTnet),'2018'!Resal_s+('2018'!Salim-'2018'!Resal_s)*(1-EXP(('2018'!Tnet_s-t)/'2018'!Tau_j)),Resal_s+(Salim-Resal_s)*(1-EXP((Tnet_s-t)/Tau_j)))*Salcycl</f>
        <v>2.6064124570840581E-2</v>
      </c>
      <c r="AD294" s="231">
        <f>(INDEX(Models!$BJ294:$BT294,,AH294)*(1-AF294)+INDEX(Models!$BJ294:$BT294,,AH294+1)*AF294-ERP_i)*AE294*Ramure*Pc/MaxiM</f>
        <v>3.1360421525086454E-5</v>
      </c>
      <c r="AE294" s="305">
        <f t="shared" si="113"/>
        <v>0.5</v>
      </c>
      <c r="AF294" s="177">
        <f t="shared" si="114"/>
        <v>0.9938172900983917</v>
      </c>
      <c r="AG294" s="176">
        <f t="shared" si="115"/>
        <v>-2</v>
      </c>
      <c r="AH294" s="176">
        <f t="shared" si="116"/>
        <v>4</v>
      </c>
      <c r="AI294" s="225">
        <f t="shared" si="117"/>
        <v>-1.0061827099016083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7">
        <v>38.939</v>
      </c>
      <c r="C295" s="390"/>
      <c r="D295" s="393">
        <f t="shared" si="99"/>
        <v>39.356572427080032</v>
      </c>
      <c r="E295" s="385">
        <f t="shared" si="97"/>
        <v>40.411083786424143</v>
      </c>
      <c r="F295" s="385">
        <f t="shared" si="100"/>
        <v>40.412475476580589</v>
      </c>
      <c r="G295" s="110">
        <f t="shared" si="98"/>
        <v>0.95816609273276521</v>
      </c>
      <c r="H295" s="414" t="b">
        <f>Wh_hp&gt;='2018'!Maxi_hp</f>
        <v>1</v>
      </c>
      <c r="I295" s="390">
        <f>IF(H295,Wh_hp,'2018'!Maxi_hp)</f>
        <v>40.412475476580589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1.0609979511140399E-2</v>
      </c>
      <c r="M295" s="845"/>
      <c r="N295" s="845"/>
      <c r="O295" s="48">
        <f>IF(t&lt;Tnet,'2018'!Resal+('2018'!Salim-'2018'!Resal)*(1-EXP(('2018'!Tnet-t)/('2018'!Tau_j))),Resal+(Salim-Resal)*(1-EXP((Tnet-t)/(Tau_j))))*Salcycl</f>
        <v>2.6094607234918233E-2</v>
      </c>
      <c r="P295" s="169">
        <f>(INDEX(Models!$BJ295:$BT295,,T295)*(1-R295)+INDEX(Models!$BJ295:$BT295,,T295+1)*R295-ERP_i)*Q295*Ramure*Pc/MaxiM</f>
        <v>3.6625895575554596E-5</v>
      </c>
      <c r="Q295" s="305">
        <f t="shared" si="102"/>
        <v>0.5</v>
      </c>
      <c r="R295" s="177">
        <f t="shared" si="103"/>
        <v>0.99396669646425284</v>
      </c>
      <c r="S295" s="811">
        <f t="shared" si="104"/>
        <v>-2</v>
      </c>
      <c r="T295" s="176">
        <f t="shared" si="105"/>
        <v>4</v>
      </c>
      <c r="U295" s="251">
        <f t="shared" si="106"/>
        <v>-1.0060333035357472</v>
      </c>
      <c r="V295" s="383">
        <f t="shared" si="107"/>
        <v>40.63900305439995</v>
      </c>
      <c r="W295" s="58"/>
      <c r="X295" s="157">
        <f t="shared" si="108"/>
        <v>43746</v>
      </c>
      <c r="Y295" s="385">
        <f t="shared" si="109"/>
        <v>38.939</v>
      </c>
      <c r="Z295" s="385">
        <f t="shared" si="110"/>
        <v>39.356572427080032</v>
      </c>
      <c r="AA295" s="386">
        <f t="shared" si="111"/>
        <v>40.411083786424143</v>
      </c>
      <c r="AB295" s="197">
        <f t="shared" si="112"/>
        <v>43746</v>
      </c>
      <c r="AC295" s="426">
        <f>IF(OR(t&lt;Tnet,NoTnet),'2018'!Resal_s+('2018'!Salim-'2018'!Resal_s)*(1-EXP(('2018'!Tnet_s-t)/'2018'!Tau_j)),Resal_s+(Salim-Resal_s)*(1-EXP((Tnet_s-t)/Tau_j)))*Salcycl</f>
        <v>2.6094607234918233E-2</v>
      </c>
      <c r="AD295" s="231">
        <f>(INDEX(Models!$BJ295:$BT295,,AH295)*(1-AF295)+INDEX(Models!$BJ295:$BT295,,AH295+1)*AF295-ERP_i)*AE295*Ramure*Pc/MaxiM</f>
        <v>3.6625895575554596E-5</v>
      </c>
      <c r="AE295" s="305">
        <f t="shared" si="113"/>
        <v>0.5</v>
      </c>
      <c r="AF295" s="177">
        <f t="shared" si="114"/>
        <v>0.99396669646425284</v>
      </c>
      <c r="AG295" s="176">
        <f t="shared" si="115"/>
        <v>-2</v>
      </c>
      <c r="AH295" s="176">
        <f t="shared" si="116"/>
        <v>4</v>
      </c>
      <c r="AI295" s="225">
        <f t="shared" si="117"/>
        <v>-1.0060333035357472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7">
        <v>9.6110000000000007</v>
      </c>
      <c r="C296" s="390"/>
      <c r="D296" s="393">
        <f t="shared" si="99"/>
        <v>9.7142788093089685</v>
      </c>
      <c r="E296" s="385">
        <f t="shared" si="97"/>
        <v>9.9748686819843115</v>
      </c>
      <c r="F296" s="385">
        <f t="shared" si="100"/>
        <v>9.9748686819843115</v>
      </c>
      <c r="G296" s="110">
        <f t="shared" si="98"/>
        <v>0.2383639018043591</v>
      </c>
      <c r="H296" s="414" t="b">
        <f>Wh_hp&gt;='2018'!Maxi_hp</f>
        <v>0</v>
      </c>
      <c r="I296" s="390">
        <f>IF(H296,Wh_hp,'2018'!Maxi_hp)</f>
        <v>34.817249653456408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1.0631649691791645E-2</v>
      </c>
      <c r="M296" s="845"/>
      <c r="N296" s="845"/>
      <c r="O296" s="48">
        <f>IF(t&lt;Tnet,'2018'!Resal+('2018'!Salim-'2018'!Resal)*(1-EXP(('2018'!Tnet-t)/('2018'!Tau_j))),Resal+(Salim-Resal)*(1-EXP((Tnet-t)/(Tau_j))))*Salcycl</f>
        <v>2.6124641935988308E-2</v>
      </c>
      <c r="P296" s="169">
        <f>(INDEX(Models!$BJ296:$BT296,,T296)*(1-R296)+INDEX(Models!$BJ296:$BT296,,T296+1)*R296-ERP_i)*Q296*Ramure*Pc/MaxiM</f>
        <v>4.193787701661027E-5</v>
      </c>
      <c r="Q296" s="305">
        <f t="shared" si="102"/>
        <v>0.5</v>
      </c>
      <c r="R296" s="177">
        <f t="shared" si="103"/>
        <v>0.99411017177491545</v>
      </c>
      <c r="S296" s="811">
        <f t="shared" si="104"/>
        <v>-2</v>
      </c>
      <c r="T296" s="176">
        <f t="shared" si="105"/>
        <v>4</v>
      </c>
      <c r="U296" s="251">
        <f t="shared" si="106"/>
        <v>-1.0058898282250845</v>
      </c>
      <c r="V296" s="383">
        <f t="shared" si="107"/>
        <v>40.319011655347218</v>
      </c>
      <c r="W296" s="58"/>
      <c r="X296" s="157">
        <f t="shared" si="108"/>
        <v>43747</v>
      </c>
      <c r="Y296" s="385">
        <f t="shared" si="109"/>
        <v>9.6110000000000007</v>
      </c>
      <c r="Z296" s="385">
        <f t="shared" si="110"/>
        <v>9.7142788093089685</v>
      </c>
      <c r="AA296" s="386">
        <f t="shared" si="111"/>
        <v>9.9748686819843115</v>
      </c>
      <c r="AB296" s="197">
        <f t="shared" si="112"/>
        <v>43747</v>
      </c>
      <c r="AC296" s="426">
        <f>IF(OR(t&lt;Tnet,NoTnet),'2018'!Resal_s+('2018'!Salim-'2018'!Resal_s)*(1-EXP(('2018'!Tnet_s-t)/'2018'!Tau_j)),Resal_s+(Salim-Resal_s)*(1-EXP((Tnet_s-t)/Tau_j)))*Salcycl</f>
        <v>2.6124641935988308E-2</v>
      </c>
      <c r="AD296" s="231">
        <f>(INDEX(Models!$BJ296:$BT296,,AH296)*(1-AF296)+INDEX(Models!$BJ296:$BT296,,AH296+1)*AF296-ERP_i)*AE296*Ramure*Pc/MaxiM</f>
        <v>4.193787701661027E-5</v>
      </c>
      <c r="AE296" s="305">
        <f t="shared" si="113"/>
        <v>0.5</v>
      </c>
      <c r="AF296" s="177">
        <f t="shared" si="114"/>
        <v>0.99411017177491545</v>
      </c>
      <c r="AG296" s="176">
        <f t="shared" si="115"/>
        <v>-2</v>
      </c>
      <c r="AH296" s="176">
        <f t="shared" si="116"/>
        <v>4</v>
      </c>
      <c r="AI296" s="225">
        <f t="shared" si="117"/>
        <v>-1.0058898282250845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7">
        <v>29.167999999999999</v>
      </c>
      <c r="C297" s="390"/>
      <c r="D297" s="393">
        <f t="shared" si="99"/>
        <v>29.482082036446712</v>
      </c>
      <c r="E297" s="385">
        <f t="shared" ref="E297:E360" si="121">Wh_pvt/(1-Psa)</f>
        <v>30.273871778161723</v>
      </c>
      <c r="F297" s="385">
        <f t="shared" si="100"/>
        <v>30.27474450167183</v>
      </c>
      <c r="G297" s="110">
        <f t="shared" ref="G297:G360" si="122">+Wh_hp/MaxiM</f>
        <v>0.72920341621982254</v>
      </c>
      <c r="H297" s="414" t="b">
        <f>Wh_hp&gt;='2018'!Maxi_hp</f>
        <v>1</v>
      </c>
      <c r="I297" s="390">
        <f>IF(H297,Wh_hp,'2018'!Maxi_hp)</f>
        <v>30.27474450167183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1.0653319397810335E-2</v>
      </c>
      <c r="M297" s="845"/>
      <c r="N297" s="845"/>
      <c r="O297" s="48">
        <f>IF(t&lt;Tnet,'2018'!Resal+('2018'!Salim-'2018'!Resal)*(1-EXP(('2018'!Tnet-t)/('2018'!Tau_j))),Resal+(Salim-Resal)*(1-EXP((Tnet-t)/(Tau_j))))*Salcycl</f>
        <v>2.6154227893842572E-2</v>
      </c>
      <c r="P297" s="169">
        <f>(INDEX(Models!$BJ297:$BT297,,T297)*(1-R297)+INDEX(Models!$BJ297:$BT297,,T297+1)*R297-ERP_i)*Q297*Ramure*Pc/MaxiM</f>
        <v>4.7012964741281121E-5</v>
      </c>
      <c r="Q297" s="305">
        <f t="shared" si="102"/>
        <v>0.5</v>
      </c>
      <c r="R297" s="177">
        <f t="shared" si="103"/>
        <v>0.99424794823350648</v>
      </c>
      <c r="S297" s="811">
        <f t="shared" si="104"/>
        <v>-2</v>
      </c>
      <c r="T297" s="176">
        <f t="shared" si="105"/>
        <v>4</v>
      </c>
      <c r="U297" s="251">
        <f t="shared" si="106"/>
        <v>-1.0057520517664935</v>
      </c>
      <c r="V297" s="383">
        <f t="shared" si="107"/>
        <v>39.999085140579993</v>
      </c>
      <c r="W297" s="58"/>
      <c r="X297" s="157">
        <f t="shared" si="108"/>
        <v>43748</v>
      </c>
      <c r="Y297" s="385">
        <f t="shared" si="109"/>
        <v>29.167999999999999</v>
      </c>
      <c r="Z297" s="385">
        <f t="shared" si="110"/>
        <v>29.482082036446712</v>
      </c>
      <c r="AA297" s="386">
        <f t="shared" si="111"/>
        <v>30.273871778161723</v>
      </c>
      <c r="AB297" s="197">
        <f t="shared" si="112"/>
        <v>43748</v>
      </c>
      <c r="AC297" s="426">
        <f>IF(OR(t&lt;Tnet,NoTnet),'2018'!Resal_s+('2018'!Salim-'2018'!Resal_s)*(1-EXP(('2018'!Tnet_s-t)/'2018'!Tau_j)),Resal_s+(Salim-Resal_s)*(1-EXP((Tnet_s-t)/Tau_j)))*Salcycl</f>
        <v>2.6154227893842572E-2</v>
      </c>
      <c r="AD297" s="231">
        <f>(INDEX(Models!$BJ297:$BT297,,AH297)*(1-AF297)+INDEX(Models!$BJ297:$BT297,,AH297+1)*AF297-ERP_i)*AE297*Ramure*Pc/MaxiM</f>
        <v>4.7012964741281121E-5</v>
      </c>
      <c r="AE297" s="305">
        <f t="shared" si="113"/>
        <v>0.5</v>
      </c>
      <c r="AF297" s="177">
        <f t="shared" si="114"/>
        <v>0.99424794823350648</v>
      </c>
      <c r="AG297" s="176">
        <f t="shared" si="115"/>
        <v>-2</v>
      </c>
      <c r="AH297" s="176">
        <f t="shared" si="116"/>
        <v>4</v>
      </c>
      <c r="AI297" s="225">
        <f t="shared" si="117"/>
        <v>-1.0057520517664935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7">
        <v>40.823</v>
      </c>
      <c r="C298" s="390"/>
      <c r="D298" s="393">
        <f t="shared" si="99"/>
        <v>41.263487257272814</v>
      </c>
      <c r="E298" s="385">
        <f t="shared" si="121"/>
        <v>42.372953793647518</v>
      </c>
      <c r="F298" s="385">
        <f t="shared" si="100"/>
        <v>42.375150802238252</v>
      </c>
      <c r="G298" s="110">
        <f t="shared" si="122"/>
        <v>1.0288255895480938</v>
      </c>
      <c r="H298" s="414" t="b">
        <f>Wh_hp&gt;='2018'!Maxi_hp</f>
        <v>1</v>
      </c>
      <c r="I298" s="390">
        <f>IF(H298,Wh_hp,'2018'!Maxi_hp)</f>
        <v>42.375150802238252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1.0674988629206905E-2</v>
      </c>
      <c r="M298" s="845"/>
      <c r="N298" s="845"/>
      <c r="O298" s="48">
        <f>IF(t&lt;Tnet,'2018'!Resal+('2018'!Salim-'2018'!Resal)*(1-EXP(('2018'!Tnet-t)/('2018'!Tau_j))),Resal+(Salim-Resal)*(1-EXP((Tnet-t)/(Tau_j))))*Salcycl</f>
        <v>2.6183365497192013E-2</v>
      </c>
      <c r="P298" s="169">
        <f>(INDEX(Models!$BJ298:$BT298,,T298)*(1-R298)+INDEX(Models!$BJ298:$BT298,,T298+1)*R298-ERP_i)*Q298*Ramure*Pc/MaxiM</f>
        <v>5.1846625891318487E-5</v>
      </c>
      <c r="Q298" s="305">
        <f t="shared" si="102"/>
        <v>0.5</v>
      </c>
      <c r="R298" s="177">
        <f t="shared" si="103"/>
        <v>0.99438024920687296</v>
      </c>
      <c r="S298" s="811">
        <f t="shared" si="104"/>
        <v>-2</v>
      </c>
      <c r="T298" s="176">
        <f t="shared" si="105"/>
        <v>4</v>
      </c>
      <c r="U298" s="251">
        <f t="shared" si="106"/>
        <v>-1.005619750793127</v>
      </c>
      <c r="V298" s="383">
        <f t="shared" si="107"/>
        <v>39.679223004096627</v>
      </c>
      <c r="W298" s="58"/>
      <c r="X298" s="157">
        <f t="shared" si="108"/>
        <v>43749</v>
      </c>
      <c r="Y298" s="385">
        <f t="shared" si="109"/>
        <v>40.823</v>
      </c>
      <c r="Z298" s="385">
        <f t="shared" si="110"/>
        <v>41.263487257272814</v>
      </c>
      <c r="AA298" s="386">
        <f t="shared" si="111"/>
        <v>42.372953793647518</v>
      </c>
      <c r="AB298" s="197">
        <f t="shared" si="112"/>
        <v>43749</v>
      </c>
      <c r="AC298" s="426">
        <f>IF(OR(t&lt;Tnet,NoTnet),'2018'!Resal_s+('2018'!Salim-'2018'!Resal_s)*(1-EXP(('2018'!Tnet_s-t)/'2018'!Tau_j)),Resal_s+(Salim-Resal_s)*(1-EXP((Tnet_s-t)/Tau_j)))*Salcycl</f>
        <v>2.6183365497192013E-2</v>
      </c>
      <c r="AD298" s="231">
        <f>(INDEX(Models!$BJ298:$BT298,,AH298)*(1-AF298)+INDEX(Models!$BJ298:$BT298,,AH298+1)*AF298-ERP_i)*AE298*Ramure*Pc/MaxiM</f>
        <v>5.1846625891318487E-5</v>
      </c>
      <c r="AE298" s="305">
        <f t="shared" si="113"/>
        <v>0.5</v>
      </c>
      <c r="AF298" s="177">
        <f t="shared" si="114"/>
        <v>0.99438024920687296</v>
      </c>
      <c r="AG298" s="176">
        <f t="shared" si="115"/>
        <v>-2</v>
      </c>
      <c r="AH298" s="176">
        <f t="shared" si="116"/>
        <v>4</v>
      </c>
      <c r="AI298" s="225">
        <f t="shared" si="117"/>
        <v>-1.005619750793127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7">
        <v>20.11</v>
      </c>
      <c r="C299" s="390"/>
      <c r="D299" s="393">
        <f t="shared" si="99"/>
        <v>20.32743561430199</v>
      </c>
      <c r="E299" s="385">
        <f t="shared" si="121"/>
        <v>20.874601854610262</v>
      </c>
      <c r="F299" s="385">
        <f t="shared" si="100"/>
        <v>20.8749568434826</v>
      </c>
      <c r="G299" s="110">
        <f t="shared" si="122"/>
        <v>0.51091211910310241</v>
      </c>
      <c r="H299" s="414" t="b">
        <f>Wh_hp&gt;='2018'!Maxi_hp</f>
        <v>0</v>
      </c>
      <c r="I299" s="390">
        <f>IF(H299,Wh_hp,'2018'!Maxi_hp)</f>
        <v>35.169239917574913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1.069665738599157E-2</v>
      </c>
      <c r="M299" s="845"/>
      <c r="N299" s="845"/>
      <c r="O299" s="48">
        <f>IF(t&lt;Tnet,'2018'!Resal+('2018'!Salim-'2018'!Resal)*(1-EXP(('2018'!Tnet-t)/('2018'!Tau_j))),Resal+(Salim-Resal)*(1-EXP((Tnet-t)/(Tau_j))))*Salcycl</f>
        <v>2.6212056360127741E-2</v>
      </c>
      <c r="P299" s="169">
        <f>(INDEX(Models!$BJ299:$BT299,,T299)*(1-R299)+INDEX(Models!$BJ299:$BT299,,T299+1)*R299-ERP_i)*Q299*Ramure*Pc/MaxiM</f>
        <v>5.643443446316062E-5</v>
      </c>
      <c r="Q299" s="305">
        <f t="shared" si="102"/>
        <v>0.5</v>
      </c>
      <c r="R299" s="177">
        <f t="shared" si="103"/>
        <v>0.99450728954177436</v>
      </c>
      <c r="S299" s="811">
        <f t="shared" si="104"/>
        <v>-2</v>
      </c>
      <c r="T299" s="176">
        <f t="shared" si="105"/>
        <v>4</v>
      </c>
      <c r="U299" s="251">
        <f t="shared" si="106"/>
        <v>-1.0054927104582256</v>
      </c>
      <c r="V299" s="383">
        <f t="shared" si="107"/>
        <v>39.359424680992994</v>
      </c>
      <c r="W299" s="58"/>
      <c r="X299" s="157">
        <f t="shared" si="108"/>
        <v>43750</v>
      </c>
      <c r="Y299" s="385">
        <f t="shared" si="109"/>
        <v>20.11</v>
      </c>
      <c r="Z299" s="385">
        <f t="shared" si="110"/>
        <v>20.32743561430199</v>
      </c>
      <c r="AA299" s="386">
        <f t="shared" si="111"/>
        <v>20.874601854610262</v>
      </c>
      <c r="AB299" s="197">
        <f t="shared" si="112"/>
        <v>43750</v>
      </c>
      <c r="AC299" s="426">
        <f>IF(OR(t&lt;Tnet,NoTnet),'2018'!Resal_s+('2018'!Salim-'2018'!Resal_s)*(1-EXP(('2018'!Tnet_s-t)/'2018'!Tau_j)),Resal_s+(Salim-Resal_s)*(1-EXP((Tnet_s-t)/Tau_j)))*Salcycl</f>
        <v>2.6212056360127741E-2</v>
      </c>
      <c r="AD299" s="231">
        <f>(INDEX(Models!$BJ299:$BT299,,AH299)*(1-AF299)+INDEX(Models!$BJ299:$BT299,,AH299+1)*AF299-ERP_i)*AE299*Ramure*Pc/MaxiM</f>
        <v>5.643443446316062E-5</v>
      </c>
      <c r="AE299" s="305">
        <f t="shared" si="113"/>
        <v>0.5</v>
      </c>
      <c r="AF299" s="177">
        <f t="shared" si="114"/>
        <v>0.99450728954177436</v>
      </c>
      <c r="AG299" s="176">
        <f t="shared" si="115"/>
        <v>-2</v>
      </c>
      <c r="AH299" s="176">
        <f t="shared" si="116"/>
        <v>4</v>
      </c>
      <c r="AI299" s="225">
        <f t="shared" si="117"/>
        <v>-1.0054927104582256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7">
        <v>38.390999999999998</v>
      </c>
      <c r="C300" s="390"/>
      <c r="D300" s="393">
        <f t="shared" si="99"/>
        <v>38.806945479840032</v>
      </c>
      <c r="E300" s="385">
        <f t="shared" si="121"/>
        <v>39.852692213764364</v>
      </c>
      <c r="F300" s="385">
        <f t="shared" si="100"/>
        <v>39.855056795061437</v>
      </c>
      <c r="G300" s="110">
        <f t="shared" si="122"/>
        <v>0.98338242594965108</v>
      </c>
      <c r="H300" s="414" t="b">
        <f>Wh_hp&gt;='2018'!Maxi_hp</f>
        <v>1</v>
      </c>
      <c r="I300" s="390">
        <f>IF(H300,Wh_hp,'2018'!Maxi_hp)</f>
        <v>39.855056795061437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1.0718325668174988E-2</v>
      </c>
      <c r="M300" s="845"/>
      <c r="N300" s="845"/>
      <c r="O300" s="48">
        <f>IF(t&lt;Tnet,'2018'!Resal+('2018'!Salim-'2018'!Resal)*(1-EXP(('2018'!Tnet-t)/('2018'!Tau_j))),Resal+(Salim-Resal)*(1-EXP((Tnet-t)/(Tau_j))))*Salcycl</f>
        <v>2.6240303373109498E-2</v>
      </c>
      <c r="P300" s="169">
        <f>(INDEX(Models!$BJ300:$BT300,,T300)*(1-R300)+INDEX(Models!$BJ300:$BT300,,T300+1)*R300-ERP_i)*Q300*Ramure*Pc/MaxiM</f>
        <v>6.0772086884464298E-5</v>
      </c>
      <c r="Q300" s="305">
        <f t="shared" si="102"/>
        <v>0.5</v>
      </c>
      <c r="R300" s="177">
        <f t="shared" si="103"/>
        <v>0.99462927587136862</v>
      </c>
      <c r="S300" s="811">
        <f t="shared" si="104"/>
        <v>-2</v>
      </c>
      <c r="T300" s="176">
        <f t="shared" si="105"/>
        <v>4</v>
      </c>
      <c r="U300" s="251">
        <f t="shared" si="106"/>
        <v>-1.0053707241286314</v>
      </c>
      <c r="V300" s="383">
        <f t="shared" si="107"/>
        <v>39.039689546989734</v>
      </c>
      <c r="W300" s="58"/>
      <c r="X300" s="157">
        <f t="shared" si="108"/>
        <v>43751</v>
      </c>
      <c r="Y300" s="385">
        <f t="shared" si="109"/>
        <v>38.390999999999998</v>
      </c>
      <c r="Z300" s="385">
        <f t="shared" si="110"/>
        <v>38.806945479840032</v>
      </c>
      <c r="AA300" s="386">
        <f t="shared" si="111"/>
        <v>39.852692213764364</v>
      </c>
      <c r="AB300" s="197">
        <f t="shared" si="112"/>
        <v>43751</v>
      </c>
      <c r="AC300" s="426">
        <f>IF(OR(t&lt;Tnet,NoTnet),'2018'!Resal_s+('2018'!Salim-'2018'!Resal_s)*(1-EXP(('2018'!Tnet_s-t)/'2018'!Tau_j)),Resal_s+(Salim-Resal_s)*(1-EXP((Tnet_s-t)/Tau_j)))*Salcycl</f>
        <v>2.6240303373109498E-2</v>
      </c>
      <c r="AD300" s="231">
        <f>(INDEX(Models!$BJ300:$BT300,,AH300)*(1-AF300)+INDEX(Models!$BJ300:$BT300,,AH300+1)*AF300-ERP_i)*AE300*Ramure*Pc/MaxiM</f>
        <v>6.0772086884464298E-5</v>
      </c>
      <c r="AE300" s="305">
        <f t="shared" si="113"/>
        <v>0.5</v>
      </c>
      <c r="AF300" s="177">
        <f t="shared" si="114"/>
        <v>0.99462927587136862</v>
      </c>
      <c r="AG300" s="176">
        <f t="shared" si="115"/>
        <v>-2</v>
      </c>
      <c r="AH300" s="176">
        <f t="shared" si="116"/>
        <v>4</v>
      </c>
      <c r="AI300" s="225">
        <f t="shared" si="117"/>
        <v>-1.0053707241286314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7">
        <v>13.038</v>
      </c>
      <c r="C301" s="390"/>
      <c r="D301" s="393">
        <f t="shared" si="99"/>
        <v>13.179548262351211</v>
      </c>
      <c r="E301" s="385">
        <f t="shared" si="121"/>
        <v>13.535089492112505</v>
      </c>
      <c r="F301" s="385">
        <f t="shared" si="100"/>
        <v>13.53513554674611</v>
      </c>
      <c r="G301" s="110">
        <f t="shared" si="122"/>
        <v>0.33670436670833365</v>
      </c>
      <c r="H301" s="414" t="b">
        <f>Wh_hp&gt;='2018'!Maxi_hp</f>
        <v>0</v>
      </c>
      <c r="I301" s="390">
        <f>IF(H301,Wh_hp,'2018'!Maxi_hp)</f>
        <v>35.714648786243551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1.0739993475767262E-2</v>
      </c>
      <c r="M301" s="845"/>
      <c r="N301" s="845"/>
      <c r="O301" s="48">
        <f>IF(t&lt;Tnet,'2018'!Resal+('2018'!Salim-'2018'!Resal)*(1-EXP(('2018'!Tnet-t)/('2018'!Tau_j))),Resal+(Salim-Resal)*(1-EXP((Tnet-t)/(Tau_j))))*Salcycl</f>
        <v>2.6268110747881143E-2</v>
      </c>
      <c r="P301" s="169">
        <f>(INDEX(Models!$BJ301:$BT301,,T301)*(1-R301)+INDEX(Models!$BJ301:$BT301,,T301+1)*R301-ERP_i)*Q301*Ramure*Pc/MaxiM</f>
        <v>6.4855416747472403E-5</v>
      </c>
      <c r="Q301" s="305">
        <f t="shared" si="102"/>
        <v>0.5</v>
      </c>
      <c r="R301" s="177">
        <f t="shared" si="103"/>
        <v>0.99474640691214944</v>
      </c>
      <c r="S301" s="811">
        <f t="shared" si="104"/>
        <v>-2</v>
      </c>
      <c r="T301" s="176">
        <f t="shared" si="105"/>
        <v>4</v>
      </c>
      <c r="U301" s="251">
        <f t="shared" si="106"/>
        <v>-1.0052535930878506</v>
      </c>
      <c r="V301" s="383">
        <f t="shared" si="107"/>
        <v>38.720016918356166</v>
      </c>
      <c r="W301" s="58"/>
      <c r="X301" s="157">
        <f t="shared" si="108"/>
        <v>43752</v>
      </c>
      <c r="Y301" s="385">
        <f t="shared" si="109"/>
        <v>13.038</v>
      </c>
      <c r="Z301" s="385">
        <f t="shared" si="110"/>
        <v>13.179548262351211</v>
      </c>
      <c r="AA301" s="386">
        <f t="shared" si="111"/>
        <v>13.535089492112505</v>
      </c>
      <c r="AB301" s="197">
        <f t="shared" si="112"/>
        <v>43752</v>
      </c>
      <c r="AC301" s="426">
        <f>IF(OR(t&lt;Tnet,NoTnet),'2018'!Resal_s+('2018'!Salim-'2018'!Resal_s)*(1-EXP(('2018'!Tnet_s-t)/'2018'!Tau_j)),Resal_s+(Salim-Resal_s)*(1-EXP((Tnet_s-t)/Tau_j)))*Salcycl</f>
        <v>2.6268110747881143E-2</v>
      </c>
      <c r="AD301" s="231">
        <f>(INDEX(Models!$BJ301:$BT301,,AH301)*(1-AF301)+INDEX(Models!$BJ301:$BT301,,AH301+1)*AF301-ERP_i)*AE301*Ramure*Pc/MaxiM</f>
        <v>6.4855416747472403E-5</v>
      </c>
      <c r="AE301" s="305">
        <f t="shared" si="113"/>
        <v>0.5</v>
      </c>
      <c r="AF301" s="177">
        <f t="shared" si="114"/>
        <v>0.99474640691214944</v>
      </c>
      <c r="AG301" s="176">
        <f t="shared" si="115"/>
        <v>-2</v>
      </c>
      <c r="AH301" s="176">
        <f t="shared" si="116"/>
        <v>4</v>
      </c>
      <c r="AI301" s="225">
        <f t="shared" si="117"/>
        <v>-1.0052535930878506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7">
        <v>31.039000000000001</v>
      </c>
      <c r="C302" s="390"/>
      <c r="D302" s="393">
        <f t="shared" si="99"/>
        <v>31.37666502632398</v>
      </c>
      <c r="E302" s="385">
        <f t="shared" si="121"/>
        <v>32.224010993618947</v>
      </c>
      <c r="F302" s="385">
        <f t="shared" si="100"/>
        <v>32.225618138846443</v>
      </c>
      <c r="G302" s="110">
        <f t="shared" si="122"/>
        <v>0.80828354064912233</v>
      </c>
      <c r="H302" s="414" t="b">
        <f>Wh_hp&gt;='2018'!Maxi_hp</f>
        <v>1</v>
      </c>
      <c r="I302" s="390">
        <f>IF(H302,Wh_hp,'2018'!Maxi_hp)</f>
        <v>32.225618138846443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1.076166080877905E-2</v>
      </c>
      <c r="M302" s="845"/>
      <c r="N302" s="845"/>
      <c r="O302" s="48">
        <f>IF(t&lt;Tnet,'2018'!Resal+('2018'!Salim-'2018'!Resal)*(1-EXP(('2018'!Tnet-t)/('2018'!Tau_j))),Resal+(Salim-Resal)*(1-EXP((Tnet-t)/(Tau_j))))*Salcycl</f>
        <v>2.6295484055748303E-2</v>
      </c>
      <c r="P302" s="169">
        <f>(INDEX(Models!$BJ302:$BT302,,T302)*(1-R302)+INDEX(Models!$BJ302:$BT302,,T302+1)*R302-ERP_i)*Q302*Ramure*Pc/MaxiM</f>
        <v>6.8680408470968109E-5</v>
      </c>
      <c r="Q302" s="305">
        <f t="shared" si="102"/>
        <v>0.5</v>
      </c>
      <c r="R302" s="177">
        <f t="shared" si="103"/>
        <v>0.99485887375151538</v>
      </c>
      <c r="S302" s="811">
        <f t="shared" si="104"/>
        <v>-2</v>
      </c>
      <c r="T302" s="176">
        <f t="shared" si="105"/>
        <v>4</v>
      </c>
      <c r="U302" s="251">
        <f t="shared" si="106"/>
        <v>-1.0051411262484846</v>
      </c>
      <c r="V302" s="383">
        <f t="shared" si="107"/>
        <v>38.400406052266661</v>
      </c>
      <c r="W302" s="58"/>
      <c r="X302" s="157">
        <f t="shared" si="108"/>
        <v>43753</v>
      </c>
      <c r="Y302" s="385">
        <f t="shared" si="109"/>
        <v>31.039000000000001</v>
      </c>
      <c r="Z302" s="385">
        <f t="shared" si="110"/>
        <v>31.37666502632398</v>
      </c>
      <c r="AA302" s="386">
        <f t="shared" si="111"/>
        <v>32.224010993618947</v>
      </c>
      <c r="AB302" s="197">
        <f t="shared" si="112"/>
        <v>43753</v>
      </c>
      <c r="AC302" s="426">
        <f>IF(OR(t&lt;Tnet,NoTnet),'2018'!Resal_s+('2018'!Salim-'2018'!Resal_s)*(1-EXP(('2018'!Tnet_s-t)/'2018'!Tau_j)),Resal_s+(Salim-Resal_s)*(1-EXP((Tnet_s-t)/Tau_j)))*Salcycl</f>
        <v>2.6295484055748303E-2</v>
      </c>
      <c r="AD302" s="231">
        <f>(INDEX(Models!$BJ302:$BT302,,AH302)*(1-AF302)+INDEX(Models!$BJ302:$BT302,,AH302+1)*AF302-ERP_i)*AE302*Ramure*Pc/MaxiM</f>
        <v>6.8680408470968109E-5</v>
      </c>
      <c r="AE302" s="305">
        <f t="shared" si="113"/>
        <v>0.5</v>
      </c>
      <c r="AF302" s="177">
        <f t="shared" si="114"/>
        <v>0.99485887375151538</v>
      </c>
      <c r="AG302" s="176">
        <f t="shared" si="115"/>
        <v>-2</v>
      </c>
      <c r="AH302" s="176">
        <f t="shared" si="116"/>
        <v>4</v>
      </c>
      <c r="AI302" s="225">
        <f t="shared" si="117"/>
        <v>-1.0051411262484846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7">
        <v>33.832000000000001</v>
      </c>
      <c r="C303" s="390"/>
      <c r="D303" s="393">
        <f t="shared" si="99"/>
        <v>34.200798415798111</v>
      </c>
      <c r="E303" s="385">
        <f t="shared" si="121"/>
        <v>35.125383883378248</v>
      </c>
      <c r="F303" s="385">
        <f t="shared" si="100"/>
        <v>35.127517240266528</v>
      </c>
      <c r="G303" s="110">
        <f t="shared" si="122"/>
        <v>0.88843608331906609</v>
      </c>
      <c r="H303" s="414" t="b">
        <f>Wh_hp&gt;='2018'!Maxi_hp</f>
        <v>1</v>
      </c>
      <c r="I303" s="390">
        <f>IF(H303,Wh_hp,'2018'!Maxi_hp)</f>
        <v>35.127517240266528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1.0783327667220677E-2</v>
      </c>
      <c r="M303" s="845"/>
      <c r="N303" s="845"/>
      <c r="O303" s="48">
        <f>IF(t&lt;Tnet,'2018'!Resal+('2018'!Salim-'2018'!Resal)*(1-EXP(('2018'!Tnet-t)/('2018'!Tau_j))),Resal+(Salim-Resal)*(1-EXP((Tnet-t)/(Tau_j))))*Salcycl</f>
        <v>2.6322430258695649E-2</v>
      </c>
      <c r="P303" s="169">
        <f>(INDEX(Models!$BJ303:$BT303,,T303)*(1-R303)+INDEX(Models!$BJ303:$BT303,,T303+1)*R303-ERP_i)*Q303*Ramure*Pc/MaxiM</f>
        <v>7.2244909771443722E-5</v>
      </c>
      <c r="Q303" s="305">
        <f t="shared" si="102"/>
        <v>0.5</v>
      </c>
      <c r="R303" s="177">
        <f t="shared" si="103"/>
        <v>0.99496686012614832</v>
      </c>
      <c r="S303" s="811">
        <f t="shared" si="104"/>
        <v>-2</v>
      </c>
      <c r="T303" s="176">
        <f t="shared" si="105"/>
        <v>4</v>
      </c>
      <c r="U303" s="251">
        <f t="shared" si="106"/>
        <v>-1.0050331398738517</v>
      </c>
      <c r="V303" s="383">
        <f t="shared" si="107"/>
        <v>38.07995994261843</v>
      </c>
      <c r="W303" s="58"/>
      <c r="X303" s="157">
        <f t="shared" si="108"/>
        <v>43754</v>
      </c>
      <c r="Y303" s="385">
        <f t="shared" si="109"/>
        <v>33.832000000000001</v>
      </c>
      <c r="Z303" s="385">
        <f t="shared" si="110"/>
        <v>34.200798415798111</v>
      </c>
      <c r="AA303" s="386">
        <f t="shared" si="111"/>
        <v>35.125383883378248</v>
      </c>
      <c r="AB303" s="197">
        <f t="shared" si="112"/>
        <v>43754</v>
      </c>
      <c r="AC303" s="426">
        <f>IF(OR(t&lt;Tnet,NoTnet),'2018'!Resal_s+('2018'!Salim-'2018'!Resal_s)*(1-EXP(('2018'!Tnet_s-t)/'2018'!Tau_j)),Resal_s+(Salim-Resal_s)*(1-EXP((Tnet_s-t)/Tau_j)))*Salcycl</f>
        <v>2.6322430258695649E-2</v>
      </c>
      <c r="AD303" s="231">
        <f>(INDEX(Models!$BJ303:$BT303,,AH303)*(1-AF303)+INDEX(Models!$BJ303:$BT303,,AH303+1)*AF303-ERP_i)*AE303*Ramure*Pc/MaxiM</f>
        <v>7.2244909771443722E-5</v>
      </c>
      <c r="AE303" s="305">
        <f t="shared" si="113"/>
        <v>0.5</v>
      </c>
      <c r="AF303" s="177">
        <f t="shared" si="114"/>
        <v>0.99496686012614832</v>
      </c>
      <c r="AG303" s="176">
        <f t="shared" si="115"/>
        <v>-2</v>
      </c>
      <c r="AH303" s="176">
        <f t="shared" si="116"/>
        <v>4</v>
      </c>
      <c r="AI303" s="225">
        <f t="shared" si="117"/>
        <v>-1.0050331398738517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7">
        <v>19.731000000000002</v>
      </c>
      <c r="C304" s="390"/>
      <c r="D304" s="393">
        <f t="shared" si="99"/>
        <v>19.946522052113266</v>
      </c>
      <c r="E304" s="385">
        <f t="shared" si="121"/>
        <v>20.486315102860779</v>
      </c>
      <c r="F304" s="385">
        <f t="shared" si="100"/>
        <v>20.486805349819925</v>
      </c>
      <c r="G304" s="110">
        <f t="shared" si="122"/>
        <v>0.52253698570736473</v>
      </c>
      <c r="H304" s="414" t="b">
        <f>Wh_hp&gt;='2018'!Maxi_hp</f>
        <v>0</v>
      </c>
      <c r="I304" s="390">
        <f>IF(H304,Wh_hp,'2018'!Maxi_hp)</f>
        <v>21.822298308807774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1.0804994051102357E-2</v>
      </c>
      <c r="M304" s="845"/>
      <c r="N304" s="845"/>
      <c r="O304" s="48">
        <f>IF(t&lt;Tnet,'2018'!Resal+('2018'!Salim-'2018'!Resal)*(1-EXP(('2018'!Tnet-t)/('2018'!Tau_j))),Resal+(Salim-Resal)*(1-EXP((Tnet-t)/(Tau_j))))*Salcycl</f>
        <v>2.6348957732868855E-2</v>
      </c>
      <c r="P304" s="169">
        <f>(INDEX(Models!$BJ304:$BT304,,T304)*(1-R304)+INDEX(Models!$BJ304:$BT304,,T304+1)*R304-ERP_i)*Q304*Ramure*Pc/MaxiM</f>
        <v>7.526345612920514E-5</v>
      </c>
      <c r="Q304" s="305">
        <f t="shared" si="102"/>
        <v>0.5</v>
      </c>
      <c r="R304" s="177">
        <f t="shared" si="103"/>
        <v>0.99507054269139328</v>
      </c>
      <c r="S304" s="811">
        <f t="shared" si="104"/>
        <v>-2</v>
      </c>
      <c r="T304" s="176">
        <f t="shared" si="105"/>
        <v>4</v>
      </c>
      <c r="U304" s="251">
        <f t="shared" si="106"/>
        <v>-1.0049294573086067</v>
      </c>
      <c r="V304" s="383">
        <f t="shared" si="107"/>
        <v>37.758068142146605</v>
      </c>
      <c r="W304" s="58"/>
      <c r="X304" s="157">
        <f t="shared" si="108"/>
        <v>43755</v>
      </c>
      <c r="Y304" s="385">
        <f t="shared" si="109"/>
        <v>19.731000000000002</v>
      </c>
      <c r="Z304" s="385">
        <f t="shared" si="110"/>
        <v>19.946522052113266</v>
      </c>
      <c r="AA304" s="386">
        <f t="shared" si="111"/>
        <v>20.486315102860779</v>
      </c>
      <c r="AB304" s="197">
        <f t="shared" si="112"/>
        <v>43755</v>
      </c>
      <c r="AC304" s="426">
        <f>IF(OR(t&lt;Tnet,NoTnet),'2018'!Resal_s+('2018'!Salim-'2018'!Resal_s)*(1-EXP(('2018'!Tnet_s-t)/'2018'!Tau_j)),Resal_s+(Salim-Resal_s)*(1-EXP((Tnet_s-t)/Tau_j)))*Salcycl</f>
        <v>2.6348957732868855E-2</v>
      </c>
      <c r="AD304" s="231">
        <f>(INDEX(Models!$BJ304:$BT304,,AH304)*(1-AF304)+INDEX(Models!$BJ304:$BT304,,AH304+1)*AF304-ERP_i)*AE304*Ramure*Pc/MaxiM</f>
        <v>7.526345612920514E-5</v>
      </c>
      <c r="AE304" s="305">
        <f t="shared" si="113"/>
        <v>0.5</v>
      </c>
      <c r="AF304" s="177">
        <f t="shared" si="114"/>
        <v>0.99507054269139328</v>
      </c>
      <c r="AG304" s="176">
        <f t="shared" si="115"/>
        <v>-2</v>
      </c>
      <c r="AH304" s="176">
        <f t="shared" si="116"/>
        <v>4</v>
      </c>
      <c r="AI304" s="225">
        <f t="shared" si="117"/>
        <v>-1.0049294573086067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7">
        <v>15.233000000000001</v>
      </c>
      <c r="C305" s="390"/>
      <c r="D305" s="393">
        <f t="shared" si="99"/>
        <v>15.399727614364037</v>
      </c>
      <c r="E305" s="385">
        <f t="shared" si="121"/>
        <v>15.816899546478771</v>
      </c>
      <c r="F305" s="385">
        <f t="shared" si="100"/>
        <v>15.817086860699005</v>
      </c>
      <c r="G305" s="110">
        <f t="shared" si="122"/>
        <v>0.40689028968587776</v>
      </c>
      <c r="H305" s="414" t="b">
        <f>Wh_hp&gt;='2018'!Maxi_hp</f>
        <v>1</v>
      </c>
      <c r="I305" s="390">
        <f>IF(H305,Wh_hp,'2018'!Maxi_hp)</f>
        <v>15.817086860699005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1.0826659960434748E-2</v>
      </c>
      <c r="M305" s="845"/>
      <c r="N305" s="845"/>
      <c r="O305" s="48">
        <f>IF(t&lt;Tnet,'2018'!Resal+('2018'!Salim-'2018'!Resal)*(1-EXP(('2018'!Tnet-t)/('2018'!Tau_j))),Resal+(Salim-Resal)*(1-EXP((Tnet-t)/(Tau_j))))*Salcycl</f>
        <v>2.6375076283999342E-2</v>
      </c>
      <c r="P305" s="169">
        <f>(INDEX(Models!$BJ305:$BT305,,T305)*(1-R305)+INDEX(Models!$BJ305:$BT305,,T305+1)*R305-ERP_i)*Q305*Ramure*Pc/MaxiM</f>
        <v>7.7534579992880498E-5</v>
      </c>
      <c r="Q305" s="305">
        <f t="shared" si="102"/>
        <v>0.5</v>
      </c>
      <c r="R305" s="177">
        <f t="shared" si="103"/>
        <v>0.99517009128183354</v>
      </c>
      <c r="S305" s="811">
        <f t="shared" si="104"/>
        <v>-2</v>
      </c>
      <c r="T305" s="176">
        <f t="shared" si="105"/>
        <v>4</v>
      </c>
      <c r="U305" s="251">
        <f t="shared" si="106"/>
        <v>-1.0048299087181665</v>
      </c>
      <c r="V305" s="383">
        <f t="shared" si="107"/>
        <v>37.43515067122722</v>
      </c>
      <c r="W305" s="58"/>
      <c r="X305" s="157">
        <f t="shared" si="108"/>
        <v>43756</v>
      </c>
      <c r="Y305" s="385">
        <f t="shared" si="109"/>
        <v>15.233000000000001</v>
      </c>
      <c r="Z305" s="385">
        <f t="shared" si="110"/>
        <v>15.399727614364037</v>
      </c>
      <c r="AA305" s="386">
        <f t="shared" si="111"/>
        <v>15.816899546478771</v>
      </c>
      <c r="AB305" s="197">
        <f t="shared" si="112"/>
        <v>43756</v>
      </c>
      <c r="AC305" s="426">
        <f>IF(OR(t&lt;Tnet,NoTnet),'2018'!Resal_s+('2018'!Salim-'2018'!Resal_s)*(1-EXP(('2018'!Tnet_s-t)/'2018'!Tau_j)),Resal_s+(Salim-Resal_s)*(1-EXP((Tnet_s-t)/Tau_j)))*Salcycl</f>
        <v>2.6375076283999342E-2</v>
      </c>
      <c r="AD305" s="231">
        <f>(INDEX(Models!$BJ305:$BT305,,AH305)*(1-AF305)+INDEX(Models!$BJ305:$BT305,,AH305+1)*AF305-ERP_i)*AE305*Ramure*Pc/MaxiM</f>
        <v>7.7534579992880498E-5</v>
      </c>
      <c r="AE305" s="305">
        <f t="shared" si="113"/>
        <v>0.5</v>
      </c>
      <c r="AF305" s="177">
        <f t="shared" si="114"/>
        <v>0.99517009128183354</v>
      </c>
      <c r="AG305" s="176">
        <f t="shared" si="115"/>
        <v>-2</v>
      </c>
      <c r="AH305" s="176">
        <f t="shared" si="116"/>
        <v>4</v>
      </c>
      <c r="AI305" s="225">
        <f t="shared" si="117"/>
        <v>-1.0048299087181665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7">
        <v>30.802</v>
      </c>
      <c r="C306" s="390"/>
      <c r="D306" s="393">
        <f t="shared" si="99"/>
        <v>31.139814844176783</v>
      </c>
      <c r="E306" s="385">
        <f t="shared" si="121"/>
        <v>31.984223850186758</v>
      </c>
      <c r="F306" s="385">
        <f t="shared" si="100"/>
        <v>31.986138216585289</v>
      </c>
      <c r="G306" s="110">
        <f t="shared" si="122"/>
        <v>0.82996669436943871</v>
      </c>
      <c r="H306" s="414" t="b">
        <f>Wh_hp&gt;='2018'!Maxi_hp</f>
        <v>1</v>
      </c>
      <c r="I306" s="390">
        <f>IF(H306,Wh_hp,'2018'!Maxi_hp)</f>
        <v>31.986138216585289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1.0848325395228064E-2</v>
      </c>
      <c r="M306" s="845"/>
      <c r="N306" s="845"/>
      <c r="O306" s="48">
        <f>IF(t&lt;Tnet,'2018'!Resal+('2018'!Salim-'2018'!Resal)*(1-EXP(('2018'!Tnet-t)/('2018'!Tau_j))),Resal+(Salim-Resal)*(1-EXP((Tnet-t)/(Tau_j))))*Salcycl</f>
        <v>2.6400797154408441E-2</v>
      </c>
      <c r="P306" s="169">
        <f>(INDEX(Models!$BJ306:$BT306,,T306)*(1-R306)+INDEX(Models!$BJ306:$BT306,,T306+1)*R306-ERP_i)*Q306*Ramure*Pc/MaxiM</f>
        <v>7.9049596355682753E-5</v>
      </c>
      <c r="Q306" s="305">
        <f t="shared" si="102"/>
        <v>0.5</v>
      </c>
      <c r="R306" s="177">
        <f t="shared" si="103"/>
        <v>0.99526566916326376</v>
      </c>
      <c r="S306" s="811">
        <f t="shared" si="104"/>
        <v>-2</v>
      </c>
      <c r="T306" s="176">
        <f t="shared" si="105"/>
        <v>4</v>
      </c>
      <c r="U306" s="251">
        <f t="shared" si="106"/>
        <v>-1.0047343308367362</v>
      </c>
      <c r="V306" s="383">
        <f t="shared" si="107"/>
        <v>37.111620000861436</v>
      </c>
      <c r="W306" s="58"/>
      <c r="X306" s="157">
        <f t="shared" si="108"/>
        <v>43757</v>
      </c>
      <c r="Y306" s="385">
        <f t="shared" si="109"/>
        <v>30.802</v>
      </c>
      <c r="Z306" s="385">
        <f t="shared" si="110"/>
        <v>31.139814844176783</v>
      </c>
      <c r="AA306" s="386">
        <f t="shared" si="111"/>
        <v>31.984223850186758</v>
      </c>
      <c r="AB306" s="197">
        <f t="shared" si="112"/>
        <v>43757</v>
      </c>
      <c r="AC306" s="426">
        <f>IF(OR(t&lt;Tnet,NoTnet),'2018'!Resal_s+('2018'!Salim-'2018'!Resal_s)*(1-EXP(('2018'!Tnet_s-t)/'2018'!Tau_j)),Resal_s+(Salim-Resal_s)*(1-EXP((Tnet_s-t)/Tau_j)))*Salcycl</f>
        <v>2.6400797154408441E-2</v>
      </c>
      <c r="AD306" s="231">
        <f>(INDEX(Models!$BJ306:$BT306,,AH306)*(1-AF306)+INDEX(Models!$BJ306:$BT306,,AH306+1)*AF306-ERP_i)*AE306*Ramure*Pc/MaxiM</f>
        <v>7.9049596355682753E-5</v>
      </c>
      <c r="AE306" s="305">
        <f t="shared" si="113"/>
        <v>0.5</v>
      </c>
      <c r="AF306" s="177">
        <f t="shared" si="114"/>
        <v>0.99526566916326376</v>
      </c>
      <c r="AG306" s="176">
        <f t="shared" si="115"/>
        <v>-2</v>
      </c>
      <c r="AH306" s="176">
        <f t="shared" si="116"/>
        <v>4</v>
      </c>
      <c r="AI306" s="225">
        <f t="shared" si="117"/>
        <v>-1.0047343308367362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7">
        <v>13.285</v>
      </c>
      <c r="C307" s="390"/>
      <c r="D307" s="393">
        <f t="shared" si="99"/>
        <v>13.43099478376419</v>
      </c>
      <c r="E307" s="385">
        <f t="shared" si="121"/>
        <v>13.79555803551359</v>
      </c>
      <c r="F307" s="385">
        <f t="shared" si="100"/>
        <v>13.795654165984132</v>
      </c>
      <c r="G307" s="110">
        <f t="shared" si="122"/>
        <v>0.36109798576915825</v>
      </c>
      <c r="H307" s="414" t="b">
        <f>Wh_hp&gt;='2018'!Maxi_hp</f>
        <v>1</v>
      </c>
      <c r="I307" s="390">
        <f>IF(H307,Wh_hp,'2018'!Maxi_hp)</f>
        <v>13.795654165984132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1.0869990355492742E-2</v>
      </c>
      <c r="M307" s="845"/>
      <c r="N307" s="845"/>
      <c r="O307" s="48">
        <f>IF(t&lt;Tnet,'2018'!Resal+('2018'!Salim-'2018'!Resal)*(1-EXP(('2018'!Tnet-t)/('2018'!Tau_j))),Resal+(Salim-Resal)*(1-EXP((Tnet-t)/(Tau_j))))*Salcycl</f>
        <v>2.6426133021289395E-2</v>
      </c>
      <c r="P307" s="169">
        <f>(INDEX(Models!$BJ307:$BT307,,T307)*(1-R307)+INDEX(Models!$BJ307:$BT307,,T307+1)*R307-ERP_i)*Q307*Ramure*Pc/MaxiM</f>
        <v>7.9800020141398669E-5</v>
      </c>
      <c r="Q307" s="305">
        <f t="shared" si="102"/>
        <v>0.5</v>
      </c>
      <c r="R307" s="177">
        <f t="shared" si="103"/>
        <v>0.99535743327625714</v>
      </c>
      <c r="S307" s="811">
        <f t="shared" si="104"/>
        <v>-2</v>
      </c>
      <c r="T307" s="176">
        <f t="shared" si="105"/>
        <v>4</v>
      </c>
      <c r="U307" s="251">
        <f t="shared" si="106"/>
        <v>-1.0046425667237429</v>
      </c>
      <c r="V307" s="383">
        <f t="shared" si="107"/>
        <v>36.787888455926186</v>
      </c>
      <c r="W307" s="58"/>
      <c r="X307" s="157">
        <f t="shared" si="108"/>
        <v>43758</v>
      </c>
      <c r="Y307" s="385">
        <f t="shared" si="109"/>
        <v>13.285</v>
      </c>
      <c r="Z307" s="385">
        <f t="shared" si="110"/>
        <v>13.43099478376419</v>
      </c>
      <c r="AA307" s="386">
        <f t="shared" si="111"/>
        <v>13.79555803551359</v>
      </c>
      <c r="AB307" s="197">
        <f t="shared" si="112"/>
        <v>43758</v>
      </c>
      <c r="AC307" s="426">
        <f>IF(OR(t&lt;Tnet,NoTnet),'2018'!Resal_s+('2018'!Salim-'2018'!Resal_s)*(1-EXP(('2018'!Tnet_s-t)/'2018'!Tau_j)),Resal_s+(Salim-Resal_s)*(1-EXP((Tnet_s-t)/Tau_j)))*Salcycl</f>
        <v>2.6426133021289395E-2</v>
      </c>
      <c r="AD307" s="231">
        <f>(INDEX(Models!$BJ307:$BT307,,AH307)*(1-AF307)+INDEX(Models!$BJ307:$BT307,,AH307+1)*AF307-ERP_i)*AE307*Ramure*Pc/MaxiM</f>
        <v>7.9800020141398669E-5</v>
      </c>
      <c r="AE307" s="305">
        <f t="shared" si="113"/>
        <v>0.5</v>
      </c>
      <c r="AF307" s="177">
        <f t="shared" si="114"/>
        <v>0.99535743327625714</v>
      </c>
      <c r="AG307" s="176">
        <f t="shared" si="115"/>
        <v>-2</v>
      </c>
      <c r="AH307" s="176">
        <f t="shared" si="116"/>
        <v>4</v>
      </c>
      <c r="AI307" s="225">
        <f t="shared" si="117"/>
        <v>-1.0046425667237429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7">
        <v>23.687000000000001</v>
      </c>
      <c r="C308" s="390"/>
      <c r="D308" s="393">
        <f t="shared" si="99"/>
        <v>23.947831515058166</v>
      </c>
      <c r="E308" s="385">
        <f t="shared" si="121"/>
        <v>24.598488545893915</v>
      </c>
      <c r="F308" s="385">
        <f t="shared" si="100"/>
        <v>24.59946864863414</v>
      </c>
      <c r="G308" s="110">
        <f t="shared" si="122"/>
        <v>0.64956710268880846</v>
      </c>
      <c r="H308" s="414" t="b">
        <f>Wh_hp&gt;='2018'!Maxi_hp</f>
        <v>1</v>
      </c>
      <c r="I308" s="390">
        <f>IF(H308,Wh_hp,'2018'!Maxi_hp)</f>
        <v>24.59946864863414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1.0891654841239218E-2</v>
      </c>
      <c r="M308" s="845"/>
      <c r="N308" s="845"/>
      <c r="O308" s="48">
        <f>IF(t&lt;Tnet,'2018'!Resal+('2018'!Salim-'2018'!Resal)*(1-EXP(('2018'!Tnet-t)/('2018'!Tau_j))),Resal+(Salim-Resal)*(1-EXP((Tnet-t)/(Tau_j))))*Salcycl</f>
        <v>2.6451097986033002E-2</v>
      </c>
      <c r="P308" s="169">
        <f>(INDEX(Models!$BJ308:$BT308,,T308)*(1-R308)+INDEX(Models!$BJ308:$BT308,,T308+1)*R308-ERP_i)*Q308*Ramure*Pc/MaxiM</f>
        <v>7.977763042795377E-5</v>
      </c>
      <c r="Q308" s="305">
        <f t="shared" si="102"/>
        <v>0.5</v>
      </c>
      <c r="R308" s="177">
        <f t="shared" si="103"/>
        <v>0.99544553447154249</v>
      </c>
      <c r="S308" s="811">
        <f t="shared" si="104"/>
        <v>-2</v>
      </c>
      <c r="T308" s="176">
        <f t="shared" si="105"/>
        <v>4</v>
      </c>
      <c r="U308" s="251">
        <f t="shared" si="106"/>
        <v>-1.0045544655284575</v>
      </c>
      <c r="V308" s="383">
        <f t="shared" si="107"/>
        <v>36.46436822200377</v>
      </c>
      <c r="W308" s="58"/>
      <c r="X308" s="157">
        <f t="shared" si="108"/>
        <v>43759</v>
      </c>
      <c r="Y308" s="385">
        <f t="shared" si="109"/>
        <v>23.687000000000001</v>
      </c>
      <c r="Z308" s="385">
        <f t="shared" si="110"/>
        <v>23.947831515058166</v>
      </c>
      <c r="AA308" s="386">
        <f t="shared" si="111"/>
        <v>24.598488545893915</v>
      </c>
      <c r="AB308" s="197">
        <f t="shared" si="112"/>
        <v>43759</v>
      </c>
      <c r="AC308" s="426">
        <f>IF(OR(t&lt;Tnet,NoTnet),'2018'!Resal_s+('2018'!Salim-'2018'!Resal_s)*(1-EXP(('2018'!Tnet_s-t)/'2018'!Tau_j)),Resal_s+(Salim-Resal_s)*(1-EXP((Tnet_s-t)/Tau_j)))*Salcycl</f>
        <v>2.6451097986033002E-2</v>
      </c>
      <c r="AD308" s="231">
        <f>(INDEX(Models!$BJ308:$BT308,,AH308)*(1-AF308)+INDEX(Models!$BJ308:$BT308,,AH308+1)*AF308-ERP_i)*AE308*Ramure*Pc/MaxiM</f>
        <v>7.977763042795377E-5</v>
      </c>
      <c r="AE308" s="305">
        <f t="shared" si="113"/>
        <v>0.5</v>
      </c>
      <c r="AF308" s="177">
        <f t="shared" si="114"/>
        <v>0.99544553447154249</v>
      </c>
      <c r="AG308" s="176">
        <f t="shared" si="115"/>
        <v>-2</v>
      </c>
      <c r="AH308" s="176">
        <f t="shared" si="116"/>
        <v>4</v>
      </c>
      <c r="AI308" s="225">
        <f t="shared" si="117"/>
        <v>-1.0045544655284575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7">
        <v>4.8620000000000001</v>
      </c>
      <c r="C309" s="390"/>
      <c r="D309" s="393">
        <f t="shared" si="99"/>
        <v>4.9156460122981205</v>
      </c>
      <c r="E309" s="385">
        <f t="shared" si="121"/>
        <v>5.0493306129522848</v>
      </c>
      <c r="F309" s="385">
        <f t="shared" si="100"/>
        <v>5.0493306129522848</v>
      </c>
      <c r="G309" s="110">
        <f t="shared" si="122"/>
        <v>0.13451627297745081</v>
      </c>
      <c r="H309" s="414" t="b">
        <f>Wh_hp&gt;='2018'!Maxi_hp</f>
        <v>0</v>
      </c>
      <c r="I309" s="390">
        <f>IF(H309,Wh_hp,'2018'!Maxi_hp)</f>
        <v>23.345897574822558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1.0913318852477816E-2</v>
      </c>
      <c r="M309" s="845"/>
      <c r="N309" s="845"/>
      <c r="O309" s="48">
        <f>IF(t&lt;Tnet,'2018'!Resal+('2018'!Salim-'2018'!Resal)*(1-EXP(('2018'!Tnet-t)/('2018'!Tau_j))),Resal+(Salim-Resal)*(1-EXP((Tnet-t)/(Tau_j))))*Salcycl</f>
        <v>2.6475707554431689E-2</v>
      </c>
      <c r="P309" s="169">
        <f>(INDEX(Models!$BJ309:$BT309,,T309)*(1-R309)+INDEX(Models!$BJ309:$BT309,,T309+1)*R309-ERP_i)*Q309*Ramure*Pc/MaxiM</f>
        <v>7.8974533587198345E-5</v>
      </c>
      <c r="Q309" s="305">
        <f t="shared" si="102"/>
        <v>0.5</v>
      </c>
      <c r="R309" s="177">
        <f t="shared" si="103"/>
        <v>0.99553011773738831</v>
      </c>
      <c r="S309" s="811">
        <f t="shared" si="104"/>
        <v>-2</v>
      </c>
      <c r="T309" s="176">
        <f t="shared" si="105"/>
        <v>4</v>
      </c>
      <c r="U309" s="251">
        <f t="shared" si="106"/>
        <v>-1.0044698822626117</v>
      </c>
      <c r="V309" s="383">
        <f t="shared" si="107"/>
        <v>36.141471349214832</v>
      </c>
      <c r="W309" s="58"/>
      <c r="X309" s="157">
        <f t="shared" si="108"/>
        <v>43760</v>
      </c>
      <c r="Y309" s="385">
        <f t="shared" si="109"/>
        <v>4.8620000000000001</v>
      </c>
      <c r="Z309" s="385">
        <f t="shared" si="110"/>
        <v>4.9156460122981205</v>
      </c>
      <c r="AA309" s="386">
        <f t="shared" si="111"/>
        <v>5.0493306129522848</v>
      </c>
      <c r="AB309" s="197">
        <f t="shared" si="112"/>
        <v>43760</v>
      </c>
      <c r="AC309" s="426">
        <f>IF(OR(t&lt;Tnet,NoTnet),'2018'!Resal_s+('2018'!Salim-'2018'!Resal_s)*(1-EXP(('2018'!Tnet_s-t)/'2018'!Tau_j)),Resal_s+(Salim-Resal_s)*(1-EXP((Tnet_s-t)/Tau_j)))*Salcycl</f>
        <v>2.6475707554431689E-2</v>
      </c>
      <c r="AD309" s="231">
        <f>(INDEX(Models!$BJ309:$BT309,,AH309)*(1-AF309)+INDEX(Models!$BJ309:$BT309,,AH309+1)*AF309-ERP_i)*AE309*Ramure*Pc/MaxiM</f>
        <v>7.8974533587198345E-5</v>
      </c>
      <c r="AE309" s="305">
        <f t="shared" si="113"/>
        <v>0.5</v>
      </c>
      <c r="AF309" s="177">
        <f t="shared" si="114"/>
        <v>0.99553011773738831</v>
      </c>
      <c r="AG309" s="176">
        <f t="shared" si="115"/>
        <v>-2</v>
      </c>
      <c r="AH309" s="176">
        <f t="shared" si="116"/>
        <v>4</v>
      </c>
      <c r="AI309" s="225">
        <f t="shared" si="117"/>
        <v>-1.0044698822626117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7">
        <v>17.206</v>
      </c>
      <c r="C310" s="390"/>
      <c r="D310" s="393">
        <f t="shared" si="99"/>
        <v>17.396227440702933</v>
      </c>
      <c r="E310" s="385">
        <f t="shared" si="121"/>
        <v>17.869776125759408</v>
      </c>
      <c r="F310" s="385">
        <f t="shared" si="100"/>
        <v>17.870133454324247</v>
      </c>
      <c r="G310" s="110">
        <f t="shared" si="122"/>
        <v>0.48032384183411042</v>
      </c>
      <c r="H310" s="414" t="b">
        <f>Wh_hp&gt;='2018'!Maxi_hp</f>
        <v>0</v>
      </c>
      <c r="I310" s="390">
        <f>IF(H310,Wh_hp,'2018'!Maxi_hp)</f>
        <v>37.419724893736571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1.0934982389218972E-2</v>
      </c>
      <c r="M310" s="845"/>
      <c r="N310" s="845"/>
      <c r="O310" s="48">
        <f>IF(t&lt;Tnet,'2018'!Resal+('2018'!Salim-'2018'!Resal)*(1-EXP(('2018'!Tnet-t)/('2018'!Tau_j))),Resal+(Salim-Resal)*(1-EXP((Tnet-t)/(Tau_j))))*Salcycl</f>
        <v>2.6499978607669835E-2</v>
      </c>
      <c r="P310" s="169">
        <f>(INDEX(Models!$BJ310:$BT310,,T310)*(1-R310)+INDEX(Models!$BJ310:$BT310,,T310+1)*R310-ERP_i)*Q310*Ramure*Pc/MaxiM</f>
        <v>7.7610088461307585E-5</v>
      </c>
      <c r="Q310" s="305">
        <f t="shared" si="102"/>
        <v>0.5</v>
      </c>
      <c r="R310" s="177">
        <f t="shared" si="103"/>
        <v>0.99561132241921024</v>
      </c>
      <c r="S310" s="811">
        <f t="shared" si="104"/>
        <v>-2</v>
      </c>
      <c r="T310" s="176">
        <f t="shared" si="105"/>
        <v>4</v>
      </c>
      <c r="U310" s="251">
        <f t="shared" si="106"/>
        <v>-1.0043886775807898</v>
      </c>
      <c r="V310" s="383">
        <f t="shared" si="107"/>
        <v>35.819601633656426</v>
      </c>
      <c r="W310" s="58"/>
      <c r="X310" s="157">
        <f t="shared" si="108"/>
        <v>43761</v>
      </c>
      <c r="Y310" s="385">
        <f t="shared" si="109"/>
        <v>17.206</v>
      </c>
      <c r="Z310" s="385">
        <f t="shared" si="110"/>
        <v>17.396227440702933</v>
      </c>
      <c r="AA310" s="386">
        <f t="shared" si="111"/>
        <v>17.869776125759408</v>
      </c>
      <c r="AB310" s="197">
        <f t="shared" si="112"/>
        <v>43761</v>
      </c>
      <c r="AC310" s="426">
        <f>IF(OR(t&lt;Tnet,NoTnet),'2018'!Resal_s+('2018'!Salim-'2018'!Resal_s)*(1-EXP(('2018'!Tnet_s-t)/'2018'!Tau_j)),Resal_s+(Salim-Resal_s)*(1-EXP((Tnet_s-t)/Tau_j)))*Salcycl</f>
        <v>2.6499978607669835E-2</v>
      </c>
      <c r="AD310" s="231">
        <f>(INDEX(Models!$BJ310:$BT310,,AH310)*(1-AF310)+INDEX(Models!$BJ310:$BT310,,AH310+1)*AF310-ERP_i)*AE310*Ramure*Pc/MaxiM</f>
        <v>7.7610088461307585E-5</v>
      </c>
      <c r="AE310" s="305">
        <f t="shared" si="113"/>
        <v>0.5</v>
      </c>
      <c r="AF310" s="177">
        <f t="shared" si="114"/>
        <v>0.99561132241921024</v>
      </c>
      <c r="AG310" s="176">
        <f t="shared" si="115"/>
        <v>-2</v>
      </c>
      <c r="AH310" s="176">
        <f t="shared" si="116"/>
        <v>4</v>
      </c>
      <c r="AI310" s="225">
        <f t="shared" si="117"/>
        <v>-1.0043886775807898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7">
        <v>17.562000000000001</v>
      </c>
      <c r="C311" s="390"/>
      <c r="D311" s="393">
        <f t="shared" si="99"/>
        <v>17.756552247415492</v>
      </c>
      <c r="E311" s="385">
        <f t="shared" si="121"/>
        <v>18.240358220429737</v>
      </c>
      <c r="F311" s="385">
        <f t="shared" si="100"/>
        <v>18.240744692042515</v>
      </c>
      <c r="G311" s="110">
        <f t="shared" si="122"/>
        <v>0.49468881907270223</v>
      </c>
      <c r="H311" s="414" t="b">
        <f>Wh_hp&gt;='2018'!Maxi_hp</f>
        <v>0</v>
      </c>
      <c r="I311" s="390">
        <f>IF(H311,Wh_hp,'2018'!Maxi_hp)</f>
        <v>35.856341166256932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1.0956645451473124E-2</v>
      </c>
      <c r="M311" s="845"/>
      <c r="N311" s="845"/>
      <c r="O311" s="48">
        <f>IF(t&lt;Tnet,'2018'!Resal+('2018'!Salim-'2018'!Resal)*(1-EXP(('2018'!Tnet-t)/('2018'!Tau_j))),Resal+(Salim-Resal)*(1-EXP((Tnet-t)/(Tau_j))))*Salcycl</f>
        <v>2.6523929364082727E-2</v>
      </c>
      <c r="P311" s="169">
        <f>(INDEX(Models!$BJ311:$BT311,,T311)*(1-R311)+INDEX(Models!$BJ311:$BT311,,T311+1)*R311-ERP_i)*Q311*Ramure*Pc/MaxiM</f>
        <v>7.6167796552514748E-5</v>
      </c>
      <c r="Q311" s="305">
        <f t="shared" si="102"/>
        <v>0.5</v>
      </c>
      <c r="R311" s="177">
        <f t="shared" si="103"/>
        <v>0.99568928243160282</v>
      </c>
      <c r="S311" s="811">
        <f t="shared" si="104"/>
        <v>-2</v>
      </c>
      <c r="T311" s="176">
        <f t="shared" si="105"/>
        <v>4</v>
      </c>
      <c r="U311" s="251">
        <f t="shared" si="106"/>
        <v>-1.0043107175683972</v>
      </c>
      <c r="V311" s="383">
        <f t="shared" si="107"/>
        <v>35.499153679037377</v>
      </c>
      <c r="W311" s="58"/>
      <c r="X311" s="157">
        <f t="shared" si="108"/>
        <v>43762</v>
      </c>
      <c r="Y311" s="385">
        <f t="shared" si="109"/>
        <v>17.562000000000001</v>
      </c>
      <c r="Z311" s="385">
        <f t="shared" si="110"/>
        <v>17.756552247415492</v>
      </c>
      <c r="AA311" s="386">
        <f t="shared" si="111"/>
        <v>18.240358220429737</v>
      </c>
      <c r="AB311" s="197">
        <f t="shared" si="112"/>
        <v>43762</v>
      </c>
      <c r="AC311" s="426">
        <f>IF(OR(t&lt;Tnet,NoTnet),'2018'!Resal_s+('2018'!Salim-'2018'!Resal_s)*(1-EXP(('2018'!Tnet_s-t)/'2018'!Tau_j)),Resal_s+(Salim-Resal_s)*(1-EXP((Tnet_s-t)/Tau_j)))*Salcycl</f>
        <v>2.6523929364082727E-2</v>
      </c>
      <c r="AD311" s="231">
        <f>(INDEX(Models!$BJ311:$BT311,,AH311)*(1-AF311)+INDEX(Models!$BJ311:$BT311,,AH311+1)*AF311-ERP_i)*AE311*Ramure*Pc/MaxiM</f>
        <v>7.6167796552514748E-5</v>
      </c>
      <c r="AE311" s="305">
        <f t="shared" si="113"/>
        <v>0.5</v>
      </c>
      <c r="AF311" s="177">
        <f t="shared" si="114"/>
        <v>0.99568928243160282</v>
      </c>
      <c r="AG311" s="176">
        <f t="shared" si="115"/>
        <v>-2</v>
      </c>
      <c r="AH311" s="176">
        <f t="shared" si="116"/>
        <v>4</v>
      </c>
      <c r="AI311" s="225">
        <f t="shared" si="117"/>
        <v>-1.0043107175683972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7">
        <v>29.033999999999999</v>
      </c>
      <c r="C312" s="390"/>
      <c r="D312" s="393">
        <f t="shared" si="99"/>
        <v>29.356282310087341</v>
      </c>
      <c r="E312" s="385">
        <f t="shared" si="121"/>
        <v>30.156874323590237</v>
      </c>
      <c r="F312" s="385">
        <f t="shared" si="100"/>
        <v>30.158563690697754</v>
      </c>
      <c r="G312" s="110">
        <f t="shared" si="122"/>
        <v>0.8252704287634931</v>
      </c>
      <c r="H312" s="414" t="b">
        <f>Wh_hp&gt;='2018'!Maxi_hp</f>
        <v>0</v>
      </c>
      <c r="I312" s="390">
        <f>IF(H312,Wh_hp,'2018'!Maxi_hp)</f>
        <v>35.926796289859503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1.0978308039250595E-2</v>
      </c>
      <c r="M312" s="845"/>
      <c r="N312" s="845"/>
      <c r="O312" s="48">
        <f>IF(t&lt;Tnet,'2018'!Resal+('2018'!Salim-'2018'!Resal)*(1-EXP(('2018'!Tnet-t)/('2018'!Tau_j))),Resal+(Salim-Resal)*(1-EXP((Tnet-t)/(Tau_j))))*Salcycl</f>
        <v>2.6547579331742302E-2</v>
      </c>
      <c r="P312" s="169">
        <f>(INDEX(Models!$BJ312:$BT312,,T312)*(1-R312)+INDEX(Models!$BJ312:$BT312,,T312+1)*R312-ERP_i)*Q312*Ramure*Pc/MaxiM</f>
        <v>7.4647583665397608E-5</v>
      </c>
      <c r="Q312" s="305">
        <f t="shared" si="102"/>
        <v>0.5</v>
      </c>
      <c r="R312" s="177">
        <f t="shared" si="103"/>
        <v>0.99576412646301105</v>
      </c>
      <c r="S312" s="811">
        <f t="shared" si="104"/>
        <v>-2</v>
      </c>
      <c r="T312" s="176">
        <f t="shared" si="105"/>
        <v>4</v>
      </c>
      <c r="U312" s="251">
        <f t="shared" si="106"/>
        <v>-1.004235873536989</v>
      </c>
      <c r="V312" s="383">
        <f t="shared" si="107"/>
        <v>35.180539630645356</v>
      </c>
      <c r="W312" s="58"/>
      <c r="X312" s="157">
        <f t="shared" si="108"/>
        <v>43763</v>
      </c>
      <c r="Y312" s="385">
        <f t="shared" si="109"/>
        <v>29.033999999999999</v>
      </c>
      <c r="Z312" s="385">
        <f t="shared" si="110"/>
        <v>29.356282310087341</v>
      </c>
      <c r="AA312" s="386">
        <f t="shared" si="111"/>
        <v>30.156874323590237</v>
      </c>
      <c r="AB312" s="197">
        <f t="shared" si="112"/>
        <v>43763</v>
      </c>
      <c r="AC312" s="426">
        <f>IF(OR(t&lt;Tnet,NoTnet),'2018'!Resal_s+('2018'!Salim-'2018'!Resal_s)*(1-EXP(('2018'!Tnet_s-t)/'2018'!Tau_j)),Resal_s+(Salim-Resal_s)*(1-EXP((Tnet_s-t)/Tau_j)))*Salcycl</f>
        <v>2.6547579331742302E-2</v>
      </c>
      <c r="AD312" s="231">
        <f>(INDEX(Models!$BJ312:$BT312,,AH312)*(1-AF312)+INDEX(Models!$BJ312:$BT312,,AH312+1)*AF312-ERP_i)*AE312*Ramure*Pc/MaxiM</f>
        <v>7.4647583665397608E-5</v>
      </c>
      <c r="AE312" s="305">
        <f t="shared" si="113"/>
        <v>0.5</v>
      </c>
      <c r="AF312" s="177">
        <f t="shared" si="114"/>
        <v>0.99576412646301105</v>
      </c>
      <c r="AG312" s="176">
        <f t="shared" si="115"/>
        <v>-2</v>
      </c>
      <c r="AH312" s="176">
        <f t="shared" si="116"/>
        <v>4</v>
      </c>
      <c r="AI312" s="225">
        <f t="shared" si="117"/>
        <v>-1.004235873536989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7">
        <v>35.819000000000003</v>
      </c>
      <c r="C313" s="390"/>
      <c r="D313" s="393">
        <f t="shared" si="99"/>
        <v>36.217390211328301</v>
      </c>
      <c r="E313" s="385">
        <f t="shared" si="121"/>
        <v>37.205988647553099</v>
      </c>
      <c r="F313" s="385">
        <f t="shared" si="100"/>
        <v>37.208706699200022</v>
      </c>
      <c r="G313" s="110">
        <f t="shared" si="122"/>
        <v>1.0273870966503345</v>
      </c>
      <c r="H313" s="414" t="b">
        <f>Wh_hp&gt;='2018'!Maxi_hp</f>
        <v>1</v>
      </c>
      <c r="I313" s="390">
        <f>IF(H313,Wh_hp,'2018'!Maxi_hp)</f>
        <v>37.208706699200022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1.0999970152561822E-2</v>
      </c>
      <c r="M313" s="845"/>
      <c r="N313" s="845"/>
      <c r="O313" s="48">
        <f>IF(t&lt;Tnet,'2018'!Resal+('2018'!Salim-'2018'!Resal)*(1-EXP(('2018'!Tnet-t)/('2018'!Tau_j))),Resal+(Salim-Resal)*(1-EXP((Tnet-t)/(Tau_j))))*Salcycl</f>
        <v>2.6570949252004743E-2</v>
      </c>
      <c r="P313" s="169">
        <f>(INDEX(Models!$BJ313:$BT313,,T313)*(1-R313)+INDEX(Models!$BJ313:$BT313,,T313+1)*R313-ERP_i)*Q313*Ramure*Pc/MaxiM</f>
        <v>7.3048807336846989E-5</v>
      </c>
      <c r="Q313" s="305">
        <f t="shared" si="102"/>
        <v>0.5</v>
      </c>
      <c r="R313" s="177">
        <f t="shared" si="103"/>
        <v>0.99583597817324065</v>
      </c>
      <c r="S313" s="811">
        <f t="shared" si="104"/>
        <v>-2</v>
      </c>
      <c r="T313" s="176">
        <f t="shared" si="105"/>
        <v>4</v>
      </c>
      <c r="U313" s="251">
        <f t="shared" si="106"/>
        <v>-1.0041640218267593</v>
      </c>
      <c r="V313" s="383">
        <f t="shared" si="107"/>
        <v>34.864171563749757</v>
      </c>
      <c r="W313" s="58"/>
      <c r="X313" s="157">
        <f t="shared" si="108"/>
        <v>43764</v>
      </c>
      <c r="Y313" s="385">
        <f t="shared" si="109"/>
        <v>35.819000000000003</v>
      </c>
      <c r="Z313" s="385">
        <f t="shared" si="110"/>
        <v>36.217390211328301</v>
      </c>
      <c r="AA313" s="386">
        <f t="shared" si="111"/>
        <v>37.205988647553099</v>
      </c>
      <c r="AB313" s="197">
        <f t="shared" si="112"/>
        <v>43764</v>
      </c>
      <c r="AC313" s="426">
        <f>IF(OR(t&lt;Tnet,NoTnet),'2018'!Resal_s+('2018'!Salim-'2018'!Resal_s)*(1-EXP(('2018'!Tnet_s-t)/'2018'!Tau_j)),Resal_s+(Salim-Resal_s)*(1-EXP((Tnet_s-t)/Tau_j)))*Salcycl</f>
        <v>2.6570949252004743E-2</v>
      </c>
      <c r="AD313" s="231">
        <f>(INDEX(Models!$BJ313:$BT313,,AH313)*(1-AF313)+INDEX(Models!$BJ313:$BT313,,AH313+1)*AF313-ERP_i)*AE313*Ramure*Pc/MaxiM</f>
        <v>7.3048807336846989E-5</v>
      </c>
      <c r="AE313" s="305">
        <f t="shared" si="113"/>
        <v>0.5</v>
      </c>
      <c r="AF313" s="177">
        <f t="shared" si="114"/>
        <v>0.99583597817324065</v>
      </c>
      <c r="AG313" s="176">
        <f t="shared" si="115"/>
        <v>-2</v>
      </c>
      <c r="AH313" s="176">
        <f t="shared" si="116"/>
        <v>4</v>
      </c>
      <c r="AI313" s="225">
        <f t="shared" si="117"/>
        <v>-1.0041640218267593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7">
        <v>25.091999999999999</v>
      </c>
      <c r="C314" s="390"/>
      <c r="D314" s="393">
        <f t="shared" si="99"/>
        <v>25.371636839187072</v>
      </c>
      <c r="E314" s="385">
        <f t="shared" si="121"/>
        <v>26.064805877539769</v>
      </c>
      <c r="F314" s="385">
        <f t="shared" si="100"/>
        <v>26.065938676751369</v>
      </c>
      <c r="G314" s="110">
        <f t="shared" si="122"/>
        <v>0.72622183722187561</v>
      </c>
      <c r="H314" s="414" t="b">
        <f>Wh_hp&gt;='2018'!Maxi_hp</f>
        <v>1</v>
      </c>
      <c r="I314" s="390">
        <f>IF(H314,Wh_hp,'2018'!Maxi_hp)</f>
        <v>26.065938676751369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1.102163179141713E-2</v>
      </c>
      <c r="M314" s="845"/>
      <c r="N314" s="845"/>
      <c r="O314" s="48">
        <f>IF(t&lt;Tnet,'2018'!Resal+('2018'!Salim-'2018'!Resal)*(1-EXP(('2018'!Tnet-t)/('2018'!Tau_j))),Resal+(Salim-Resal)*(1-EXP((Tnet-t)/(Tau_j))))*Salcycl</f>
        <v>2.6594061034231807E-2</v>
      </c>
      <c r="P314" s="169">
        <f>(INDEX(Models!$BJ314:$BT314,,T314)*(1-R314)+INDEX(Models!$BJ314:$BT314,,T314+1)*R314-ERP_i)*Q314*Ramure*Pc/MaxiM</f>
        <v>7.1370913748893759E-5</v>
      </c>
      <c r="Q314" s="305">
        <f t="shared" si="102"/>
        <v>0.5</v>
      </c>
      <c r="R314" s="177">
        <f t="shared" si="103"/>
        <v>0.99590495638401788</v>
      </c>
      <c r="S314" s="811">
        <f t="shared" si="104"/>
        <v>-2</v>
      </c>
      <c r="T314" s="176">
        <f t="shared" si="105"/>
        <v>4</v>
      </c>
      <c r="U314" s="251">
        <f t="shared" si="106"/>
        <v>-1.0040950436159821</v>
      </c>
      <c r="V314" s="383">
        <f t="shared" si="107"/>
        <v>34.550461466988381</v>
      </c>
      <c r="W314" s="58"/>
      <c r="X314" s="157">
        <f t="shared" si="108"/>
        <v>43765</v>
      </c>
      <c r="Y314" s="385">
        <f t="shared" si="109"/>
        <v>25.091999999999999</v>
      </c>
      <c r="Z314" s="385">
        <f t="shared" si="110"/>
        <v>25.371636839187072</v>
      </c>
      <c r="AA314" s="386">
        <f t="shared" si="111"/>
        <v>26.064805877539769</v>
      </c>
      <c r="AB314" s="197">
        <f t="shared" si="112"/>
        <v>43765</v>
      </c>
      <c r="AC314" s="426">
        <f>IF(OR(t&lt;Tnet,NoTnet),'2018'!Resal_s+('2018'!Salim-'2018'!Resal_s)*(1-EXP(('2018'!Tnet_s-t)/'2018'!Tau_j)),Resal_s+(Salim-Resal_s)*(1-EXP((Tnet_s-t)/Tau_j)))*Salcycl</f>
        <v>2.6594061034231807E-2</v>
      </c>
      <c r="AD314" s="231">
        <f>(INDEX(Models!$BJ314:$BT314,,AH314)*(1-AF314)+INDEX(Models!$BJ314:$BT314,,AH314+1)*AF314-ERP_i)*AE314*Ramure*Pc/MaxiM</f>
        <v>7.1370913748893759E-5</v>
      </c>
      <c r="AE314" s="305">
        <f t="shared" si="113"/>
        <v>0.5</v>
      </c>
      <c r="AF314" s="177">
        <f t="shared" si="114"/>
        <v>0.99590495638401788</v>
      </c>
      <c r="AG314" s="176">
        <f t="shared" si="115"/>
        <v>-2</v>
      </c>
      <c r="AH314" s="176">
        <f t="shared" si="116"/>
        <v>4</v>
      </c>
      <c r="AI314" s="225">
        <f t="shared" si="117"/>
        <v>-1.0040950436159821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7">
        <v>9.7070000000000007</v>
      </c>
      <c r="C315" s="390"/>
      <c r="D315" s="393">
        <f t="shared" si="99"/>
        <v>9.8153942744496945</v>
      </c>
      <c r="E315" s="385">
        <f t="shared" si="121"/>
        <v>10.083793990697959</v>
      </c>
      <c r="F315" s="385">
        <f t="shared" si="100"/>
        <v>10.083793990697959</v>
      </c>
      <c r="G315" s="110">
        <f t="shared" si="122"/>
        <v>0.28348057637342217</v>
      </c>
      <c r="H315" s="414" t="b">
        <f>Wh_hp&gt;='2018'!Maxi_hp</f>
        <v>1</v>
      </c>
      <c r="I315" s="390">
        <f>IF(H315,Wh_hp,'2018'!Maxi_hp)</f>
        <v>10.083793990697959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1.1043292955826955E-2</v>
      </c>
      <c r="M315" s="845"/>
      <c r="N315" s="845"/>
      <c r="O315" s="48">
        <f>IF(t&lt;Tnet,'2018'!Resal+('2018'!Salim-'2018'!Resal)*(1-EXP(('2018'!Tnet-t)/('2018'!Tau_j))),Resal+(Salim-Resal)*(1-EXP((Tnet-t)/(Tau_j))))*Salcycl</f>
        <v>2.6616937681973284E-2</v>
      </c>
      <c r="P315" s="169">
        <f>(INDEX(Models!$BJ315:$BT315,,T315)*(1-R315)+INDEX(Models!$BJ315:$BT315,,T315+1)*R315-ERP_i)*Q315*Ramure*Pc/MaxiM</f>
        <v>6.9613440999472941E-5</v>
      </c>
      <c r="Q315" s="305">
        <f t="shared" si="102"/>
        <v>0.5</v>
      </c>
      <c r="R315" s="177">
        <f t="shared" si="103"/>
        <v>0.99597117526279999</v>
      </c>
      <c r="S315" s="811">
        <f t="shared" si="104"/>
        <v>-2</v>
      </c>
      <c r="T315" s="176">
        <f t="shared" si="105"/>
        <v>4</v>
      </c>
      <c r="U315" s="251">
        <f t="shared" si="106"/>
        <v>-1.0040288247372</v>
      </c>
      <c r="V315" s="383">
        <f t="shared" si="107"/>
        <v>34.239821248078428</v>
      </c>
      <c r="W315" s="58"/>
      <c r="X315" s="157">
        <f t="shared" si="108"/>
        <v>43766</v>
      </c>
      <c r="Y315" s="385">
        <f t="shared" si="109"/>
        <v>9.7070000000000007</v>
      </c>
      <c r="Z315" s="385">
        <f t="shared" si="110"/>
        <v>9.8153942744496945</v>
      </c>
      <c r="AA315" s="386">
        <f t="shared" si="111"/>
        <v>10.083793990697959</v>
      </c>
      <c r="AB315" s="197">
        <f t="shared" si="112"/>
        <v>43766</v>
      </c>
      <c r="AC315" s="426">
        <f>IF(OR(t&lt;Tnet,NoTnet),'2018'!Resal_s+('2018'!Salim-'2018'!Resal_s)*(1-EXP(('2018'!Tnet_s-t)/'2018'!Tau_j)),Resal_s+(Salim-Resal_s)*(1-EXP((Tnet_s-t)/Tau_j)))*Salcycl</f>
        <v>2.6616937681973284E-2</v>
      </c>
      <c r="AD315" s="231">
        <f>(INDEX(Models!$BJ315:$BT315,,AH315)*(1-AF315)+INDEX(Models!$BJ315:$BT315,,AH315+1)*AF315-ERP_i)*AE315*Ramure*Pc/MaxiM</f>
        <v>6.9613440999472941E-5</v>
      </c>
      <c r="AE315" s="305">
        <f t="shared" si="113"/>
        <v>0.5</v>
      </c>
      <c r="AF315" s="177">
        <f t="shared" si="114"/>
        <v>0.99597117526279999</v>
      </c>
      <c r="AG315" s="176">
        <f t="shared" si="115"/>
        <v>-2</v>
      </c>
      <c r="AH315" s="176">
        <f t="shared" si="116"/>
        <v>4</v>
      </c>
      <c r="AI315" s="225">
        <f t="shared" si="117"/>
        <v>-1.0040288247372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7">
        <v>28.803000000000001</v>
      </c>
      <c r="C316" s="390"/>
      <c r="D316" s="393">
        <f t="shared" si="99"/>
        <v>29.125269759813811</v>
      </c>
      <c r="E316" s="385">
        <f t="shared" si="121"/>
        <v>29.922390366295772</v>
      </c>
      <c r="F316" s="385">
        <f t="shared" si="100"/>
        <v>29.923980500554308</v>
      </c>
      <c r="G316" s="110">
        <f t="shared" si="122"/>
        <v>0.84881574470434451</v>
      </c>
      <c r="H316" s="414" t="b">
        <f>Wh_hp&gt;='2018'!Maxi_hp</f>
        <v>1</v>
      </c>
      <c r="I316" s="390">
        <f>IF(H316,Wh_hp,'2018'!Maxi_hp)</f>
        <v>29.923980500554308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1.1064953645801734E-2</v>
      </c>
      <c r="M316" s="845"/>
      <c r="N316" s="845"/>
      <c r="O316" s="48">
        <f>IF(t&lt;Tnet,'2018'!Resal+('2018'!Salim-'2018'!Resal)*(1-EXP(('2018'!Tnet-t)/('2018'!Tau_j))),Resal+(Salim-Resal)*(1-EXP((Tnet-t)/(Tau_j))))*Salcycl</f>
        <v>2.6639603210973025E-2</v>
      </c>
      <c r="P316" s="169">
        <f>(INDEX(Models!$BJ316:$BT316,,T316)*(1-R316)+INDEX(Models!$BJ316:$BT316,,T316+1)*R316-ERP_i)*Q316*Ramure*Pc/MaxiM</f>
        <v>6.7776022310408522E-5</v>
      </c>
      <c r="Q316" s="305">
        <f t="shared" si="102"/>
        <v>0.5</v>
      </c>
      <c r="R316" s="177">
        <f t="shared" si="103"/>
        <v>0.99603474450003615</v>
      </c>
      <c r="S316" s="811">
        <f t="shared" si="104"/>
        <v>-2</v>
      </c>
      <c r="T316" s="176">
        <f t="shared" si="105"/>
        <v>4</v>
      </c>
      <c r="U316" s="251">
        <f t="shared" si="106"/>
        <v>-1.0039652554999638</v>
      </c>
      <c r="V316" s="383">
        <f t="shared" si="107"/>
        <v>33.932662737292894</v>
      </c>
      <c r="W316" s="58"/>
      <c r="X316" s="157">
        <f t="shared" si="108"/>
        <v>43767</v>
      </c>
      <c r="Y316" s="385">
        <f t="shared" si="109"/>
        <v>28.803000000000001</v>
      </c>
      <c r="Z316" s="385">
        <f t="shared" si="110"/>
        <v>29.125269759813811</v>
      </c>
      <c r="AA316" s="386">
        <f t="shared" si="111"/>
        <v>29.922390366295772</v>
      </c>
      <c r="AB316" s="197">
        <f t="shared" si="112"/>
        <v>43767</v>
      </c>
      <c r="AC316" s="426">
        <f>IF(OR(t&lt;Tnet,NoTnet),'2018'!Resal_s+('2018'!Salim-'2018'!Resal_s)*(1-EXP(('2018'!Tnet_s-t)/'2018'!Tau_j)),Resal_s+(Salim-Resal_s)*(1-EXP((Tnet_s-t)/Tau_j)))*Salcycl</f>
        <v>2.6639603210973025E-2</v>
      </c>
      <c r="AD316" s="231">
        <f>(INDEX(Models!$BJ316:$BT316,,AH316)*(1-AF316)+INDEX(Models!$BJ316:$BT316,,AH316+1)*AF316-ERP_i)*AE316*Ramure*Pc/MaxiM</f>
        <v>6.7776022310408522E-5</v>
      </c>
      <c r="AE316" s="305">
        <f t="shared" si="113"/>
        <v>0.5</v>
      </c>
      <c r="AF316" s="177">
        <f t="shared" si="114"/>
        <v>0.99603474450003615</v>
      </c>
      <c r="AG316" s="176">
        <f t="shared" si="115"/>
        <v>-2</v>
      </c>
      <c r="AH316" s="176">
        <f t="shared" si="116"/>
        <v>4</v>
      </c>
      <c r="AI316" s="225">
        <f t="shared" si="117"/>
        <v>-1.0039652554999638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7">
        <v>21.863</v>
      </c>
      <c r="C317" s="390"/>
      <c r="D317" s="393">
        <f t="shared" si="99"/>
        <v>22.108104012391991</v>
      </c>
      <c r="E317" s="385">
        <f t="shared" si="121"/>
        <v>22.713698517495526</v>
      </c>
      <c r="F317" s="385">
        <f t="shared" si="100"/>
        <v>22.714446855851033</v>
      </c>
      <c r="G317" s="110">
        <f t="shared" si="122"/>
        <v>0.65013160912027645</v>
      </c>
      <c r="H317" s="414" t="b">
        <f>Wh_hp&gt;='2018'!Maxi_hp</f>
        <v>0</v>
      </c>
      <c r="I317" s="390">
        <f>IF(H317,Wh_hp,'2018'!Maxi_hp)</f>
        <v>33.09982659368044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1.1086613861351791E-2</v>
      </c>
      <c r="M317" s="845"/>
      <c r="N317" s="845"/>
      <c r="O317" s="48">
        <f>IF(t&lt;Tnet,'2018'!Resal+('2018'!Salim-'2018'!Resal)*(1-EXP(('2018'!Tnet-t)/('2018'!Tau_j))),Resal+(Salim-Resal)*(1-EXP((Tnet-t)/(Tau_j))))*Salcycl</f>
        <v>2.6662082559433073E-2</v>
      </c>
      <c r="P317" s="169">
        <f>(INDEX(Models!$BJ317:$BT317,,T317)*(1-R317)+INDEX(Models!$BJ317:$BT317,,T317+1)*R317-ERP_i)*Q317*Ramure*Pc/MaxiM</f>
        <v>6.5862166888889685E-5</v>
      </c>
      <c r="Q317" s="305">
        <f t="shared" si="102"/>
        <v>0.5</v>
      </c>
      <c r="R317" s="177">
        <f t="shared" si="103"/>
        <v>0.99609576948007872</v>
      </c>
      <c r="S317" s="811">
        <f t="shared" si="104"/>
        <v>-2</v>
      </c>
      <c r="T317" s="176">
        <f t="shared" si="105"/>
        <v>4</v>
      </c>
      <c r="U317" s="251">
        <f t="shared" si="106"/>
        <v>-1.0039042305199213</v>
      </c>
      <c r="V317" s="383">
        <f t="shared" si="107"/>
        <v>33.627468672609304</v>
      </c>
      <c r="W317" s="58"/>
      <c r="X317" s="157">
        <f t="shared" si="108"/>
        <v>43768</v>
      </c>
      <c r="Y317" s="385">
        <f t="shared" si="109"/>
        <v>21.863</v>
      </c>
      <c r="Z317" s="385">
        <f t="shared" si="110"/>
        <v>22.108104012391991</v>
      </c>
      <c r="AA317" s="386">
        <f t="shared" si="111"/>
        <v>22.713698517495526</v>
      </c>
      <c r="AB317" s="197">
        <f t="shared" si="112"/>
        <v>43768</v>
      </c>
      <c r="AC317" s="426">
        <f>IF(OR(t&lt;Tnet,NoTnet),'2018'!Resal_s+('2018'!Salim-'2018'!Resal_s)*(1-EXP(('2018'!Tnet_s-t)/'2018'!Tau_j)),Resal_s+(Salim-Resal_s)*(1-EXP((Tnet_s-t)/Tau_j)))*Salcycl</f>
        <v>2.6662082559433073E-2</v>
      </c>
      <c r="AD317" s="231">
        <f>(INDEX(Models!$BJ317:$BT317,,AH317)*(1-AF317)+INDEX(Models!$BJ317:$BT317,,AH317+1)*AF317-ERP_i)*AE317*Ramure*Pc/MaxiM</f>
        <v>6.5862166888889685E-5</v>
      </c>
      <c r="AE317" s="305">
        <f t="shared" si="113"/>
        <v>0.5</v>
      </c>
      <c r="AF317" s="177">
        <f t="shared" si="114"/>
        <v>0.99609576948007872</v>
      </c>
      <c r="AG317" s="176">
        <f t="shared" si="115"/>
        <v>-2</v>
      </c>
      <c r="AH317" s="176">
        <f t="shared" si="116"/>
        <v>4</v>
      </c>
      <c r="AI317" s="225">
        <f t="shared" si="117"/>
        <v>-1.0039042305199213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7">
        <v>16.530999999999999</v>
      </c>
      <c r="C318" s="390"/>
      <c r="D318" s="393">
        <f t="shared" si="99"/>
        <v>16.716693606307821</v>
      </c>
      <c r="E318" s="385">
        <f t="shared" si="121"/>
        <v>17.174998152620205</v>
      </c>
      <c r="F318" s="385">
        <f t="shared" si="100"/>
        <v>17.175306265940748</v>
      </c>
      <c r="G318" s="110">
        <f t="shared" si="122"/>
        <v>0.49606513495414828</v>
      </c>
      <c r="H318" s="414" t="b">
        <f>Wh_hp&gt;='2018'!Maxi_hp</f>
        <v>1</v>
      </c>
      <c r="I318" s="390">
        <f>IF(H318,Wh_hp,'2018'!Maxi_hp)</f>
        <v>17.175306265940748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1.1108273602487562E-2</v>
      </c>
      <c r="M318" s="845"/>
      <c r="N318" s="845"/>
      <c r="O318" s="48">
        <f>IF(t&lt;Tnet,'2018'!Resal+('2018'!Salim-'2018'!Resal)*(1-EXP(('2018'!Tnet-t)/('2018'!Tau_j))),Resal+(Salim-Resal)*(1-EXP((Tnet-t)/(Tau_j))))*Salcycl</f>
        <v>2.6684401491039754E-2</v>
      </c>
      <c r="P318" s="169">
        <f>(INDEX(Models!$BJ318:$BT318,,T318)*(1-R318)+INDEX(Models!$BJ318:$BT318,,T318+1)*R318-ERP_i)*Q318*Ramure*Pc/MaxiM</f>
        <v>6.4040246555783294E-5</v>
      </c>
      <c r="Q318" s="305">
        <f t="shared" si="102"/>
        <v>0.5</v>
      </c>
      <c r="R318" s="177">
        <f t="shared" si="103"/>
        <v>0.99615435144593967</v>
      </c>
      <c r="S318" s="811">
        <f t="shared" si="104"/>
        <v>-2</v>
      </c>
      <c r="T318" s="176">
        <f t="shared" si="105"/>
        <v>4</v>
      </c>
      <c r="U318" s="251">
        <f t="shared" si="106"/>
        <v>-1.0038456485540603</v>
      </c>
      <c r="V318" s="383">
        <f t="shared" si="107"/>
        <v>33.322716569154665</v>
      </c>
      <c r="W318" s="58"/>
      <c r="X318" s="157">
        <f t="shared" si="108"/>
        <v>43769</v>
      </c>
      <c r="Y318" s="385">
        <f t="shared" si="109"/>
        <v>16.530999999999999</v>
      </c>
      <c r="Z318" s="385">
        <f t="shared" si="110"/>
        <v>16.716693606307821</v>
      </c>
      <c r="AA318" s="386">
        <f t="shared" si="111"/>
        <v>17.174998152620205</v>
      </c>
      <c r="AB318" s="197">
        <f t="shared" si="112"/>
        <v>43769</v>
      </c>
      <c r="AC318" s="426">
        <f>IF(OR(t&lt;Tnet,NoTnet),'2018'!Resal_s+('2018'!Salim-'2018'!Resal_s)*(1-EXP(('2018'!Tnet_s-t)/'2018'!Tau_j)),Resal_s+(Salim-Resal_s)*(1-EXP((Tnet_s-t)/Tau_j)))*Salcycl</f>
        <v>2.6684401491039754E-2</v>
      </c>
      <c r="AD318" s="231">
        <f>(INDEX(Models!$BJ318:$BT318,,AH318)*(1-AF318)+INDEX(Models!$BJ318:$BT318,,AH318+1)*AF318-ERP_i)*AE318*Ramure*Pc/MaxiM</f>
        <v>6.4040246555783294E-5</v>
      </c>
      <c r="AE318" s="305">
        <f t="shared" si="113"/>
        <v>0.5</v>
      </c>
      <c r="AF318" s="177">
        <f t="shared" si="114"/>
        <v>0.99615435144593967</v>
      </c>
      <c r="AG318" s="176">
        <f t="shared" si="115"/>
        <v>-2</v>
      </c>
      <c r="AH318" s="176">
        <f t="shared" si="116"/>
        <v>4</v>
      </c>
      <c r="AI318" s="225">
        <f t="shared" si="117"/>
        <v>-1.0038456485540603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7">
        <v>7.492</v>
      </c>
      <c r="C319" s="390"/>
      <c r="D319" s="393">
        <f t="shared" si="99"/>
        <v>7.5763239772623878</v>
      </c>
      <c r="E319" s="385">
        <f t="shared" si="121"/>
        <v>7.7842137551820985</v>
      </c>
      <c r="F319" s="385">
        <f t="shared" si="100"/>
        <v>7.7842137551820985</v>
      </c>
      <c r="G319" s="110">
        <f t="shared" si="122"/>
        <v>0.2268867713882991</v>
      </c>
      <c r="H319" s="414" t="b">
        <f>Wh_hp&gt;='2018'!Maxi_hp</f>
        <v>0</v>
      </c>
      <c r="I319" s="390">
        <f>IF(H319,Wh_hp,'2018'!Maxi_hp)</f>
        <v>22.866137129214046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1.1129932869219372E-2</v>
      </c>
      <c r="M319" s="845"/>
      <c r="N319" s="845"/>
      <c r="O319" s="48">
        <f>IF(t&lt;Tnet,'2018'!Resal+('2018'!Salim-'2018'!Resal)*(1-EXP(('2018'!Tnet-t)/('2018'!Tau_j))),Resal+(Salim-Resal)*(1-EXP((Tnet-t)/(Tau_j))))*Salcycl</f>
        <v>2.6706586491322144E-2</v>
      </c>
      <c r="P319" s="169">
        <f>(INDEX(Models!$BJ319:$BT319,,T319)*(1-R319)+INDEX(Models!$BJ319:$BT319,,T319+1)*R319-ERP_i)*Q319*Ramure*Pc/MaxiM</f>
        <v>6.2606286387929203E-5</v>
      </c>
      <c r="Q319" s="305">
        <f t="shared" si="102"/>
        <v>0.5</v>
      </c>
      <c r="R319" s="177">
        <f t="shared" si="103"/>
        <v>0.99621058765808135</v>
      </c>
      <c r="S319" s="811">
        <f t="shared" si="104"/>
        <v>-2</v>
      </c>
      <c r="T319" s="176">
        <f t="shared" si="105"/>
        <v>4</v>
      </c>
      <c r="U319" s="251">
        <f t="shared" si="106"/>
        <v>-1.0037894123419187</v>
      </c>
      <c r="V319" s="383">
        <f t="shared" si="107"/>
        <v>33.018808932148843</v>
      </c>
      <c r="W319" s="58"/>
      <c r="X319" s="157">
        <f t="shared" si="108"/>
        <v>43770</v>
      </c>
      <c r="Y319" s="385">
        <f t="shared" si="109"/>
        <v>7.492</v>
      </c>
      <c r="Z319" s="385">
        <f t="shared" si="110"/>
        <v>7.5763239772623878</v>
      </c>
      <c r="AA319" s="386">
        <f t="shared" si="111"/>
        <v>7.7842137551820985</v>
      </c>
      <c r="AB319" s="197">
        <f t="shared" si="112"/>
        <v>43770</v>
      </c>
      <c r="AC319" s="426">
        <f>IF(OR(t&lt;Tnet,NoTnet),'2018'!Resal_s+('2018'!Salim-'2018'!Resal_s)*(1-EXP(('2018'!Tnet_s-t)/'2018'!Tau_j)),Resal_s+(Salim-Resal_s)*(1-EXP((Tnet_s-t)/Tau_j)))*Salcycl</f>
        <v>2.6706586491322144E-2</v>
      </c>
      <c r="AD319" s="231">
        <f>(INDEX(Models!$BJ319:$BT319,,AH319)*(1-AF319)+INDEX(Models!$BJ319:$BT319,,AH319+1)*AF319-ERP_i)*AE319*Ramure*Pc/MaxiM</f>
        <v>6.2606286387929203E-5</v>
      </c>
      <c r="AE319" s="305">
        <f t="shared" si="113"/>
        <v>0.5</v>
      </c>
      <c r="AF319" s="177">
        <f t="shared" si="114"/>
        <v>0.99621058765808135</v>
      </c>
      <c r="AG319" s="176">
        <f t="shared" si="115"/>
        <v>-2</v>
      </c>
      <c r="AH319" s="176">
        <f t="shared" si="116"/>
        <v>4</v>
      </c>
      <c r="AI319" s="225">
        <f t="shared" si="117"/>
        <v>-1.0037894123419187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7">
        <v>4.992</v>
      </c>
      <c r="C320" s="390"/>
      <c r="D320" s="393">
        <f t="shared" si="99"/>
        <v>5.0482965416185843</v>
      </c>
      <c r="E320" s="385">
        <f t="shared" si="121"/>
        <v>5.1869364259500346</v>
      </c>
      <c r="F320" s="385">
        <f t="shared" si="100"/>
        <v>5.1869364259500346</v>
      </c>
      <c r="G320" s="110">
        <f t="shared" si="122"/>
        <v>0.15257575943086712</v>
      </c>
      <c r="H320" s="414" t="b">
        <f>Wh_hp&gt;='2018'!Maxi_hp</f>
        <v>0</v>
      </c>
      <c r="I320" s="390">
        <f>IF(H320,Wh_hp,'2018'!Maxi_hp)</f>
        <v>9.1190346302472527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1.1151591661557658E-2</v>
      </c>
      <c r="M320" s="845"/>
      <c r="N320" s="845"/>
      <c r="O320" s="48">
        <f>IF(t&lt;Tnet,'2018'!Resal+('2018'!Salim-'2018'!Resal)*(1-EXP(('2018'!Tnet-t)/('2018'!Tau_j))),Resal+(Salim-Resal)*(1-EXP((Tnet-t)/(Tau_j))))*Salcycl</f>
        <v>2.672866465797431E-2</v>
      </c>
      <c r="P320" s="169">
        <f>(INDEX(Models!$BJ320:$BT320,,T320)*(1-R320)+INDEX(Models!$BJ320:$BT320,,T320+1)*R320-ERP_i)*Q320*Ramure*Pc/MaxiM</f>
        <v>6.1562875902870218E-5</v>
      </c>
      <c r="Q320" s="305">
        <f t="shared" si="102"/>
        <v>0.5</v>
      </c>
      <c r="R320" s="177">
        <f t="shared" si="103"/>
        <v>0.99626457154743542</v>
      </c>
      <c r="S320" s="811">
        <f t="shared" si="104"/>
        <v>-2</v>
      </c>
      <c r="T320" s="176">
        <f t="shared" si="105"/>
        <v>4</v>
      </c>
      <c r="U320" s="251">
        <f t="shared" si="106"/>
        <v>-1.0037354284525646</v>
      </c>
      <c r="V320" s="383">
        <f t="shared" si="107"/>
        <v>32.716158167872365</v>
      </c>
      <c r="W320" s="58"/>
      <c r="X320" s="157">
        <f t="shared" si="108"/>
        <v>43771</v>
      </c>
      <c r="Y320" s="385">
        <f t="shared" si="109"/>
        <v>4.992</v>
      </c>
      <c r="Z320" s="385">
        <f t="shared" si="110"/>
        <v>5.0482965416185843</v>
      </c>
      <c r="AA320" s="386">
        <f t="shared" si="111"/>
        <v>5.1869364259500346</v>
      </c>
      <c r="AB320" s="197">
        <f t="shared" si="112"/>
        <v>43771</v>
      </c>
      <c r="AC320" s="426">
        <f>IF(OR(t&lt;Tnet,NoTnet),'2018'!Resal_s+('2018'!Salim-'2018'!Resal_s)*(1-EXP(('2018'!Tnet_s-t)/'2018'!Tau_j)),Resal_s+(Salim-Resal_s)*(1-EXP((Tnet_s-t)/Tau_j)))*Salcycl</f>
        <v>2.672866465797431E-2</v>
      </c>
      <c r="AD320" s="231">
        <f>(INDEX(Models!$BJ320:$BT320,,AH320)*(1-AF320)+INDEX(Models!$BJ320:$BT320,,AH320+1)*AF320-ERP_i)*AE320*Ramure*Pc/MaxiM</f>
        <v>6.1562875902870218E-5</v>
      </c>
      <c r="AE320" s="305">
        <f t="shared" si="113"/>
        <v>0.5</v>
      </c>
      <c r="AF320" s="177">
        <f t="shared" si="114"/>
        <v>0.99626457154743542</v>
      </c>
      <c r="AG320" s="176">
        <f t="shared" si="115"/>
        <v>-2</v>
      </c>
      <c r="AH320" s="176">
        <f t="shared" si="116"/>
        <v>4</v>
      </c>
      <c r="AI320" s="225">
        <f t="shared" si="117"/>
        <v>-1.0037354284525646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7">
        <v>12.571</v>
      </c>
      <c r="C321" s="390"/>
      <c r="D321" s="393">
        <f t="shared" si="99"/>
        <v>12.713046041421862</v>
      </c>
      <c r="E321" s="385">
        <f t="shared" si="121"/>
        <v>13.062475940915292</v>
      </c>
      <c r="F321" s="385">
        <f t="shared" si="100"/>
        <v>13.062575755173354</v>
      </c>
      <c r="G321" s="110">
        <f t="shared" si="122"/>
        <v>0.38779151091140723</v>
      </c>
      <c r="H321" s="414" t="b">
        <f>Wh_hp&gt;='2018'!Maxi_hp</f>
        <v>0</v>
      </c>
      <c r="I321" s="390">
        <f>IF(H321,Wh_hp,'2018'!Maxi_hp)</f>
        <v>30.00122544451607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1.1173249979512745E-2</v>
      </c>
      <c r="M321" s="845"/>
      <c r="N321" s="845"/>
      <c r="O321" s="48">
        <f>IF(t&lt;Tnet,'2018'!Resal+('2018'!Salim-'2018'!Resal)*(1-EXP(('2018'!Tnet-t)/('2018'!Tau_j))),Resal+(Salim-Resal)*(1-EXP((Tnet-t)/(Tau_j))))*Salcycl</f>
        <v>2.6750663585830604E-2</v>
      </c>
      <c r="P321" s="169">
        <f>(INDEX(Models!$BJ321:$BT321,,T321)*(1-R321)+INDEX(Models!$BJ321:$BT321,,T321+1)*R321-ERP_i)*Q321*Ramure*Pc/MaxiM</f>
        <v>6.0912593299889695E-5</v>
      </c>
      <c r="Q321" s="305">
        <f t="shared" si="102"/>
        <v>0.5</v>
      </c>
      <c r="R321" s="177">
        <f t="shared" si="103"/>
        <v>0.99631639286282869</v>
      </c>
      <c r="S321" s="811">
        <f t="shared" si="104"/>
        <v>-2</v>
      </c>
      <c r="T321" s="176">
        <f t="shared" si="105"/>
        <v>4</v>
      </c>
      <c r="U321" s="251">
        <f t="shared" si="106"/>
        <v>-1.0036836071371713</v>
      </c>
      <c r="V321" s="383">
        <f t="shared" si="107"/>
        <v>32.415176627099051</v>
      </c>
      <c r="W321" s="58"/>
      <c r="X321" s="157">
        <f t="shared" si="108"/>
        <v>43772</v>
      </c>
      <c r="Y321" s="385">
        <f t="shared" si="109"/>
        <v>12.571</v>
      </c>
      <c r="Z321" s="385">
        <f t="shared" si="110"/>
        <v>12.713046041421862</v>
      </c>
      <c r="AA321" s="386">
        <f t="shared" si="111"/>
        <v>13.062475940915292</v>
      </c>
      <c r="AB321" s="197">
        <f t="shared" si="112"/>
        <v>43772</v>
      </c>
      <c r="AC321" s="426">
        <f>IF(OR(t&lt;Tnet,NoTnet),'2018'!Resal_s+('2018'!Salim-'2018'!Resal_s)*(1-EXP(('2018'!Tnet_s-t)/'2018'!Tau_j)),Resal_s+(Salim-Resal_s)*(1-EXP((Tnet_s-t)/Tau_j)))*Salcycl</f>
        <v>2.6750663585830604E-2</v>
      </c>
      <c r="AD321" s="231">
        <f>(INDEX(Models!$BJ321:$BT321,,AH321)*(1-AF321)+INDEX(Models!$BJ321:$BT321,,AH321+1)*AF321-ERP_i)*AE321*Ramure*Pc/MaxiM</f>
        <v>6.0912593299889695E-5</v>
      </c>
      <c r="AE321" s="305">
        <f t="shared" si="113"/>
        <v>0.5</v>
      </c>
      <c r="AF321" s="177">
        <f t="shared" si="114"/>
        <v>0.99631639286282869</v>
      </c>
      <c r="AG321" s="176">
        <f t="shared" si="115"/>
        <v>-2</v>
      </c>
      <c r="AH321" s="176">
        <f t="shared" si="116"/>
        <v>4</v>
      </c>
      <c r="AI321" s="225">
        <f t="shared" si="117"/>
        <v>-1.0036836071371713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7">
        <v>12.680999999999999</v>
      </c>
      <c r="C322" s="390"/>
      <c r="D322" s="393">
        <f t="shared" si="99"/>
        <v>12.824569877651147</v>
      </c>
      <c r="E322" s="385">
        <f t="shared" si="121"/>
        <v>13.177362275106544</v>
      </c>
      <c r="F322" s="385">
        <f t="shared" si="100"/>
        <v>13.177470578838999</v>
      </c>
      <c r="G322" s="110">
        <f t="shared" si="122"/>
        <v>0.39482581265642142</v>
      </c>
      <c r="H322" s="414" t="b">
        <f>Wh_hp&gt;='2018'!Maxi_hp</f>
        <v>0</v>
      </c>
      <c r="I322" s="390">
        <f>IF(H322,Wh_hp,'2018'!Maxi_hp)</f>
        <v>23.180990079496752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1.1194907823095179E-2</v>
      </c>
      <c r="M322" s="845"/>
      <c r="N322" s="845"/>
      <c r="O322" s="48">
        <f>IF(t&lt;Tnet,'2018'!Resal+('2018'!Salim-'2018'!Resal)*(1-EXP(('2018'!Tnet-t)/('2018'!Tau_j))),Resal+(Salim-Resal)*(1-EXP((Tnet-t)/(Tau_j))))*Salcycl</f>
        <v>2.6772611247234193E-2</v>
      </c>
      <c r="P322" s="169">
        <f>(INDEX(Models!$BJ322:$BT322,,T322)*(1-R322)+INDEX(Models!$BJ322:$BT322,,T322+1)*R322-ERP_i)*Q322*Ramure*Pc/MaxiM</f>
        <v>6.0657990098443443E-5</v>
      </c>
      <c r="Q322" s="305">
        <f t="shared" si="102"/>
        <v>0.5</v>
      </c>
      <c r="R322" s="177">
        <f t="shared" si="103"/>
        <v>0.9963661378130011</v>
      </c>
      <c r="S322" s="811">
        <f t="shared" si="104"/>
        <v>-2</v>
      </c>
      <c r="T322" s="176">
        <f t="shared" si="105"/>
        <v>4</v>
      </c>
      <c r="U322" s="251">
        <f t="shared" si="106"/>
        <v>-1.0036338621869989</v>
      </c>
      <c r="V322" s="383">
        <f t="shared" si="107"/>
        <v>32.116276614641926</v>
      </c>
      <c r="W322" s="58"/>
      <c r="X322" s="157">
        <f t="shared" si="108"/>
        <v>43773</v>
      </c>
      <c r="Y322" s="385">
        <f t="shared" si="109"/>
        <v>12.680999999999999</v>
      </c>
      <c r="Z322" s="385">
        <f t="shared" si="110"/>
        <v>12.824569877651147</v>
      </c>
      <c r="AA322" s="386">
        <f t="shared" si="111"/>
        <v>13.177362275106544</v>
      </c>
      <c r="AB322" s="197">
        <f t="shared" si="112"/>
        <v>43773</v>
      </c>
      <c r="AC322" s="426">
        <f>IF(OR(t&lt;Tnet,NoTnet),'2018'!Resal_s+('2018'!Salim-'2018'!Resal_s)*(1-EXP(('2018'!Tnet_s-t)/'2018'!Tau_j)),Resal_s+(Salim-Resal_s)*(1-EXP((Tnet_s-t)/Tau_j)))*Salcycl</f>
        <v>2.6772611247234193E-2</v>
      </c>
      <c r="AD322" s="231">
        <f>(INDEX(Models!$BJ322:$BT322,,AH322)*(1-AF322)+INDEX(Models!$BJ322:$BT322,,AH322+1)*AF322-ERP_i)*AE322*Ramure*Pc/MaxiM</f>
        <v>6.0657990098443443E-5</v>
      </c>
      <c r="AE322" s="305">
        <f t="shared" si="113"/>
        <v>0.5</v>
      </c>
      <c r="AF322" s="177">
        <f t="shared" si="114"/>
        <v>0.9963661378130011</v>
      </c>
      <c r="AG322" s="176">
        <f t="shared" si="115"/>
        <v>-2</v>
      </c>
      <c r="AH322" s="176">
        <f t="shared" si="116"/>
        <v>4</v>
      </c>
      <c r="AI322" s="225">
        <f t="shared" si="117"/>
        <v>-1.0036338621869989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7">
        <v>12.686999999999999</v>
      </c>
      <c r="C323" s="390"/>
      <c r="D323" s="393">
        <f t="shared" si="99"/>
        <v>12.830918837619464</v>
      </c>
      <c r="E323" s="385">
        <f t="shared" si="121"/>
        <v>13.184182899210345</v>
      </c>
      <c r="F323" s="385">
        <f t="shared" si="100"/>
        <v>13.184295943503002</v>
      </c>
      <c r="G323" s="110">
        <f t="shared" si="122"/>
        <v>0.39869230238485021</v>
      </c>
      <c r="H323" s="414" t="b">
        <f>Wh_hp&gt;='2018'!Maxi_hp</f>
        <v>1</v>
      </c>
      <c r="I323" s="390">
        <f>IF(H323,Wh_hp,'2018'!Maxi_hp)</f>
        <v>13.184295943503002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1.1216565192315286E-2</v>
      </c>
      <c r="M323" s="845"/>
      <c r="N323" s="845"/>
      <c r="O323" s="48">
        <f>IF(t&lt;Tnet,'2018'!Resal+('2018'!Salim-'2018'!Resal)*(1-EXP(('2018'!Tnet-t)/('2018'!Tau_j))),Resal+(Salim-Resal)*(1-EXP((Tnet-t)/(Tau_j))))*Salcycl</f>
        <v>2.6794535868585361E-2</v>
      </c>
      <c r="P323" s="169">
        <f>(INDEX(Models!$BJ323:$BT323,,T323)*(1-R323)+INDEX(Models!$BJ323:$BT323,,T323+1)*R323-ERP_i)*Q323*Ramure*Pc/MaxiM</f>
        <v>6.0801575265444583E-5</v>
      </c>
      <c r="Q323" s="305">
        <f t="shared" si="102"/>
        <v>0.5</v>
      </c>
      <c r="R323" s="177">
        <f t="shared" si="103"/>
        <v>0.99641388920339047</v>
      </c>
      <c r="S323" s="811">
        <f t="shared" si="104"/>
        <v>-2</v>
      </c>
      <c r="T323" s="176">
        <f t="shared" si="105"/>
        <v>4</v>
      </c>
      <c r="U323" s="251">
        <f t="shared" si="106"/>
        <v>-1.0035861107966095</v>
      </c>
      <c r="V323" s="383">
        <f t="shared" si="107"/>
        <v>31.819870384364489</v>
      </c>
      <c r="W323" s="58"/>
      <c r="X323" s="157">
        <f t="shared" si="108"/>
        <v>43774</v>
      </c>
      <c r="Y323" s="385">
        <f t="shared" si="109"/>
        <v>12.686999999999999</v>
      </c>
      <c r="Z323" s="385">
        <f t="shared" si="110"/>
        <v>12.830918837619464</v>
      </c>
      <c r="AA323" s="386">
        <f t="shared" si="111"/>
        <v>13.184182899210345</v>
      </c>
      <c r="AB323" s="197">
        <f t="shared" si="112"/>
        <v>43774</v>
      </c>
      <c r="AC323" s="426">
        <f>IF(OR(t&lt;Tnet,NoTnet),'2018'!Resal_s+('2018'!Salim-'2018'!Resal_s)*(1-EXP(('2018'!Tnet_s-t)/'2018'!Tau_j)),Resal_s+(Salim-Resal_s)*(1-EXP((Tnet_s-t)/Tau_j)))*Salcycl</f>
        <v>2.6794535868585361E-2</v>
      </c>
      <c r="AD323" s="231">
        <f>(INDEX(Models!$BJ323:$BT323,,AH323)*(1-AF323)+INDEX(Models!$BJ323:$BT323,,AH323+1)*AF323-ERP_i)*AE323*Ramure*Pc/MaxiM</f>
        <v>6.0801575265444583E-5</v>
      </c>
      <c r="AE323" s="305">
        <f t="shared" si="113"/>
        <v>0.5</v>
      </c>
      <c r="AF323" s="177">
        <f t="shared" si="114"/>
        <v>0.99641388920339047</v>
      </c>
      <c r="AG323" s="176">
        <f t="shared" si="115"/>
        <v>-2</v>
      </c>
      <c r="AH323" s="176">
        <f t="shared" si="116"/>
        <v>4</v>
      </c>
      <c r="AI323" s="225">
        <f t="shared" si="117"/>
        <v>-1.0035861107966095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7">
        <v>13.776</v>
      </c>
      <c r="C324" s="390"/>
      <c r="D324" s="393">
        <f t="shared" si="99"/>
        <v>13.932577399057479</v>
      </c>
      <c r="E324" s="385">
        <f t="shared" si="121"/>
        <v>14.316495203103123</v>
      </c>
      <c r="F324" s="385">
        <f t="shared" si="100"/>
        <v>14.316667345437502</v>
      </c>
      <c r="G324" s="110">
        <f t="shared" si="122"/>
        <v>0.43694597467654034</v>
      </c>
      <c r="H324" s="414" t="b">
        <f>Wh_hp&gt;='2018'!Maxi_hp</f>
        <v>0</v>
      </c>
      <c r="I324" s="390">
        <f>IF(H324,Wh_hp,'2018'!Maxi_hp)</f>
        <v>24.402629932189928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1.1238222087183281E-2</v>
      </c>
      <c r="M324" s="845"/>
      <c r="N324" s="845"/>
      <c r="O324" s="48">
        <f>IF(t&lt;Tnet,'2018'!Resal+('2018'!Salim-'2018'!Resal)*(1-EXP(('2018'!Tnet-t)/('2018'!Tau_j))),Resal+(Salim-Resal)*(1-EXP((Tnet-t)/(Tau_j))))*Salcycl</f>
        <v>2.6816465803895181E-2</v>
      </c>
      <c r="P324" s="169">
        <f>(INDEX(Models!$BJ324:$BT324,,T324)*(1-R324)+INDEX(Models!$BJ324:$BT324,,T324+1)*R324-ERP_i)*Q324*Ramure*Pc/MaxiM</f>
        <v>6.1450586792636037E-5</v>
      </c>
      <c r="Q324" s="305">
        <f t="shared" si="102"/>
        <v>0.5</v>
      </c>
      <c r="R324" s="177">
        <f t="shared" si="103"/>
        <v>0.99645972656785964</v>
      </c>
      <c r="S324" s="811">
        <f t="shared" si="104"/>
        <v>-2</v>
      </c>
      <c r="T324" s="176">
        <f t="shared" si="105"/>
        <v>4</v>
      </c>
      <c r="U324" s="251">
        <f t="shared" si="106"/>
        <v>-1.0035402734321404</v>
      </c>
      <c r="V324" s="383">
        <f t="shared" si="107"/>
        <v>31.526366846896742</v>
      </c>
      <c r="W324" s="58"/>
      <c r="X324" s="157">
        <f t="shared" si="108"/>
        <v>43775</v>
      </c>
      <c r="Y324" s="385">
        <f t="shared" si="109"/>
        <v>13.776</v>
      </c>
      <c r="Z324" s="385">
        <f t="shared" si="110"/>
        <v>13.932577399057479</v>
      </c>
      <c r="AA324" s="386">
        <f t="shared" si="111"/>
        <v>14.316495203103123</v>
      </c>
      <c r="AB324" s="197">
        <f t="shared" si="112"/>
        <v>43775</v>
      </c>
      <c r="AC324" s="426">
        <f>IF(OR(t&lt;Tnet,NoTnet),'2018'!Resal_s+('2018'!Salim-'2018'!Resal_s)*(1-EXP(('2018'!Tnet_s-t)/'2018'!Tau_j)),Resal_s+(Salim-Resal_s)*(1-EXP((Tnet_s-t)/Tau_j)))*Salcycl</f>
        <v>2.6816465803895181E-2</v>
      </c>
      <c r="AD324" s="231">
        <f>(INDEX(Models!$BJ324:$BT324,,AH324)*(1-AF324)+INDEX(Models!$BJ324:$BT324,,AH324+1)*AF324-ERP_i)*AE324*Ramure*Pc/MaxiM</f>
        <v>6.1450586792636037E-5</v>
      </c>
      <c r="AE324" s="305">
        <f t="shared" si="113"/>
        <v>0.5</v>
      </c>
      <c r="AF324" s="177">
        <f t="shared" si="114"/>
        <v>0.99645972656785964</v>
      </c>
      <c r="AG324" s="176">
        <f t="shared" si="115"/>
        <v>-2</v>
      </c>
      <c r="AH324" s="176">
        <f t="shared" si="116"/>
        <v>4</v>
      </c>
      <c r="AI324" s="225">
        <f t="shared" si="117"/>
        <v>-1.0035402734321404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7">
        <v>4.1829999999999998</v>
      </c>
      <c r="C325" s="390"/>
      <c r="D325" s="393">
        <f t="shared" si="99"/>
        <v>4.2306364524650446</v>
      </c>
      <c r="E325" s="385">
        <f t="shared" si="121"/>
        <v>4.3473114643066149</v>
      </c>
      <c r="F325" s="385">
        <f t="shared" si="100"/>
        <v>4.3473114643066149</v>
      </c>
      <c r="G325" s="110">
        <f t="shared" si="122"/>
        <v>0.13390684603693082</v>
      </c>
      <c r="H325" s="414" t="b">
        <f>Wh_hp&gt;='2018'!Maxi_hp</f>
        <v>0</v>
      </c>
      <c r="I325" s="390">
        <f>IF(H325,Wh_hp,'2018'!Maxi_hp)</f>
        <v>9.9588471464807018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1.125987850770982E-2</v>
      </c>
      <c r="M325" s="845"/>
      <c r="N325" s="845"/>
      <c r="O325" s="48">
        <f>IF(t&lt;Tnet,'2018'!Resal+('2018'!Salim-'2018'!Resal)*(1-EXP(('2018'!Tnet-t)/('2018'!Tau_j))),Resal+(Salim-Resal)*(1-EXP((Tnet-t)/(Tau_j))))*Salcycl</f>
        <v>2.6838429406203033E-2</v>
      </c>
      <c r="P325" s="169">
        <f>(INDEX(Models!$BJ325:$BT325,,T325)*(1-R325)+INDEX(Models!$BJ325:$BT325,,T325+1)*R325-ERP_i)*Q325*Ramure*Pc/MaxiM</f>
        <v>6.23728390706445E-5</v>
      </c>
      <c r="Q325" s="305">
        <f t="shared" si="102"/>
        <v>0.5</v>
      </c>
      <c r="R325" s="177">
        <f t="shared" si="103"/>
        <v>0.99650372629553075</v>
      </c>
      <c r="S325" s="811">
        <f t="shared" si="104"/>
        <v>-2</v>
      </c>
      <c r="T325" s="176">
        <f t="shared" si="105"/>
        <v>4</v>
      </c>
      <c r="U325" s="251">
        <f t="shared" si="106"/>
        <v>-1.0034962737044693</v>
      </c>
      <c r="V325" s="383">
        <f t="shared" si="107"/>
        <v>31.23618558875317</v>
      </c>
      <c r="W325" s="58"/>
      <c r="X325" s="157">
        <f t="shared" si="108"/>
        <v>43776</v>
      </c>
      <c r="Y325" s="385">
        <f t="shared" si="109"/>
        <v>4.1829999999999998</v>
      </c>
      <c r="Z325" s="385">
        <f t="shared" si="110"/>
        <v>4.2306364524650446</v>
      </c>
      <c r="AA325" s="386">
        <f t="shared" si="111"/>
        <v>4.3473114643066149</v>
      </c>
      <c r="AB325" s="197">
        <f t="shared" si="112"/>
        <v>43776</v>
      </c>
      <c r="AC325" s="426">
        <f>IF(OR(t&lt;Tnet,NoTnet),'2018'!Resal_s+('2018'!Salim-'2018'!Resal_s)*(1-EXP(('2018'!Tnet_s-t)/'2018'!Tau_j)),Resal_s+(Salim-Resal_s)*(1-EXP((Tnet_s-t)/Tau_j)))*Salcycl</f>
        <v>2.6838429406203033E-2</v>
      </c>
      <c r="AD325" s="231">
        <f>(INDEX(Models!$BJ325:$BT325,,AH325)*(1-AF325)+INDEX(Models!$BJ325:$BT325,,AH325+1)*AF325-ERP_i)*AE325*Ramure*Pc/MaxiM</f>
        <v>6.23728390706445E-5</v>
      </c>
      <c r="AE325" s="305">
        <f t="shared" si="113"/>
        <v>0.5</v>
      </c>
      <c r="AF325" s="177">
        <f t="shared" si="114"/>
        <v>0.99650372629553075</v>
      </c>
      <c r="AG325" s="176">
        <f t="shared" si="115"/>
        <v>-2</v>
      </c>
      <c r="AH325" s="176">
        <f t="shared" si="116"/>
        <v>4</v>
      </c>
      <c r="AI325" s="225">
        <f t="shared" si="117"/>
        <v>-1.0034962737044693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7">
        <v>14.471</v>
      </c>
      <c r="C326" s="390"/>
      <c r="D326" s="393">
        <f t="shared" si="99"/>
        <v>14.63611786799925</v>
      </c>
      <c r="E326" s="385">
        <f t="shared" si="121"/>
        <v>15.040101845271614</v>
      </c>
      <c r="F326" s="385">
        <f t="shared" si="100"/>
        <v>15.040330716944972</v>
      </c>
      <c r="G326" s="110">
        <f t="shared" si="122"/>
        <v>0.4675419214325936</v>
      </c>
      <c r="H326" s="414" t="b">
        <f>Wh_hp&gt;='2018'!Maxi_hp</f>
        <v>0</v>
      </c>
      <c r="I326" s="390">
        <f>IF(H326,Wh_hp,'2018'!Maxi_hp)</f>
        <v>17.42994024110709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1.1281534453905118E-2</v>
      </c>
      <c r="M326" s="845"/>
      <c r="N326" s="845"/>
      <c r="O326" s="48">
        <f>IF(t&lt;Tnet,'2018'!Resal+('2018'!Salim-'2018'!Resal)*(1-EXP(('2018'!Tnet-t)/('2018'!Tau_j))),Resal+(Salim-Resal)*(1-EXP((Tnet-t)/(Tau_j))))*Salcycl</f>
        <v>2.686045489774205E-2</v>
      </c>
      <c r="P326" s="169">
        <f>(INDEX(Models!$BJ326:$BT326,,T326)*(1-R326)+INDEX(Models!$BJ326:$BT326,,T326+1)*R326-ERP_i)*Q326*Ramure*Pc/MaxiM</f>
        <v>6.3569765149538442E-5</v>
      </c>
      <c r="Q326" s="305">
        <f t="shared" si="102"/>
        <v>0.5</v>
      </c>
      <c r="R326" s="177">
        <f t="shared" si="103"/>
        <v>0.99654596175289667</v>
      </c>
      <c r="S326" s="811">
        <f t="shared" si="104"/>
        <v>-2</v>
      </c>
      <c r="T326" s="176">
        <f t="shared" si="105"/>
        <v>4</v>
      </c>
      <c r="U326" s="251">
        <f t="shared" si="106"/>
        <v>-1.0034540382471033</v>
      </c>
      <c r="V326" s="383">
        <f t="shared" si="107"/>
        <v>30.949738656585264</v>
      </c>
      <c r="W326" s="58"/>
      <c r="X326" s="157">
        <f t="shared" si="108"/>
        <v>43777</v>
      </c>
      <c r="Y326" s="385">
        <f t="shared" si="109"/>
        <v>14.471</v>
      </c>
      <c r="Z326" s="385">
        <f t="shared" si="110"/>
        <v>14.63611786799925</v>
      </c>
      <c r="AA326" s="386">
        <f t="shared" si="111"/>
        <v>15.040101845271614</v>
      </c>
      <c r="AB326" s="197">
        <f t="shared" si="112"/>
        <v>43777</v>
      </c>
      <c r="AC326" s="426">
        <f>IF(OR(t&lt;Tnet,NoTnet),'2018'!Resal_s+('2018'!Salim-'2018'!Resal_s)*(1-EXP(('2018'!Tnet_s-t)/'2018'!Tau_j)),Resal_s+(Salim-Resal_s)*(1-EXP((Tnet_s-t)/Tau_j)))*Salcycl</f>
        <v>2.686045489774205E-2</v>
      </c>
      <c r="AD326" s="231">
        <f>(INDEX(Models!$BJ326:$BT326,,AH326)*(1-AF326)+INDEX(Models!$BJ326:$BT326,,AH326+1)*AF326-ERP_i)*AE326*Ramure*Pc/MaxiM</f>
        <v>6.3569765149538442E-5</v>
      </c>
      <c r="AE326" s="305">
        <f t="shared" si="113"/>
        <v>0.5</v>
      </c>
      <c r="AF326" s="177">
        <f t="shared" si="114"/>
        <v>0.99654596175289667</v>
      </c>
      <c r="AG326" s="176">
        <f t="shared" si="115"/>
        <v>-2</v>
      </c>
      <c r="AH326" s="176">
        <f t="shared" si="116"/>
        <v>4</v>
      </c>
      <c r="AI326" s="225">
        <f t="shared" si="117"/>
        <v>-1.0034540382471033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7">
        <v>19.785</v>
      </c>
      <c r="C327" s="390"/>
      <c r="D327" s="393">
        <f t="shared" si="99"/>
        <v>20.01119028442578</v>
      </c>
      <c r="E327" s="385">
        <f t="shared" si="121"/>
        <v>20.564003554387153</v>
      </c>
      <c r="F327" s="385">
        <f t="shared" si="100"/>
        <v>20.564663071431649</v>
      </c>
      <c r="G327" s="110">
        <f t="shared" si="122"/>
        <v>0.64512554278211987</v>
      </c>
      <c r="H327" s="414" t="b">
        <f>Wh_hp&gt;='2018'!Maxi_hp</f>
        <v>1</v>
      </c>
      <c r="I327" s="390">
        <f>IF(H327,Wh_hp,'2018'!Maxi_hp)</f>
        <v>20.564663071431649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1.1303189925779611E-2</v>
      </c>
      <c r="M327" s="845"/>
      <c r="N327" s="845"/>
      <c r="O327" s="48">
        <f>IF(t&lt;Tnet,'2018'!Resal+('2018'!Salim-'2018'!Resal)*(1-EXP(('2018'!Tnet-t)/('2018'!Tau_j))),Resal+(Salim-Resal)*(1-EXP((Tnet-t)/(Tau_j))))*Salcycl</f>
        <v>2.6882570239754485E-2</v>
      </c>
      <c r="P327" s="169">
        <f>(INDEX(Models!$BJ327:$BT327,,T327)*(1-R327)+INDEX(Models!$BJ327:$BT327,,T327+1)*R327-ERP_i)*Q327*Ramure*Pc/MaxiM</f>
        <v>6.5042705052936544E-5</v>
      </c>
      <c r="Q327" s="305">
        <f t="shared" si="102"/>
        <v>0.5</v>
      </c>
      <c r="R327" s="177">
        <f t="shared" si="103"/>
        <v>0.99658650340136634</v>
      </c>
      <c r="S327" s="811">
        <f t="shared" si="104"/>
        <v>-2</v>
      </c>
      <c r="T327" s="176">
        <f t="shared" si="105"/>
        <v>4</v>
      </c>
      <c r="U327" s="251">
        <f t="shared" si="106"/>
        <v>-1.0034134965986337</v>
      </c>
      <c r="V327" s="383">
        <f t="shared" si="107"/>
        <v>30.667438056743414</v>
      </c>
      <c r="W327" s="58"/>
      <c r="X327" s="157">
        <f t="shared" si="108"/>
        <v>43778</v>
      </c>
      <c r="Y327" s="385">
        <f t="shared" si="109"/>
        <v>19.785</v>
      </c>
      <c r="Z327" s="385">
        <f t="shared" si="110"/>
        <v>20.01119028442578</v>
      </c>
      <c r="AA327" s="386">
        <f t="shared" si="111"/>
        <v>20.564003554387153</v>
      </c>
      <c r="AB327" s="197">
        <f t="shared" si="112"/>
        <v>43778</v>
      </c>
      <c r="AC327" s="426">
        <f>IF(OR(t&lt;Tnet,NoTnet),'2018'!Resal_s+('2018'!Salim-'2018'!Resal_s)*(1-EXP(('2018'!Tnet_s-t)/'2018'!Tau_j)),Resal_s+(Salim-Resal_s)*(1-EXP((Tnet_s-t)/Tau_j)))*Salcycl</f>
        <v>2.6882570239754485E-2</v>
      </c>
      <c r="AD327" s="231">
        <f>(INDEX(Models!$BJ327:$BT327,,AH327)*(1-AF327)+INDEX(Models!$BJ327:$BT327,,AH327+1)*AF327-ERP_i)*AE327*Ramure*Pc/MaxiM</f>
        <v>6.5042705052936544E-5</v>
      </c>
      <c r="AE327" s="305">
        <f t="shared" si="113"/>
        <v>0.5</v>
      </c>
      <c r="AF327" s="177">
        <f t="shared" si="114"/>
        <v>0.99658650340136634</v>
      </c>
      <c r="AG327" s="176">
        <f t="shared" si="115"/>
        <v>-2</v>
      </c>
      <c r="AH327" s="176">
        <f t="shared" si="116"/>
        <v>4</v>
      </c>
      <c r="AI327" s="225">
        <f t="shared" si="117"/>
        <v>-1.0034134965986337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7">
        <v>19.143999999999998</v>
      </c>
      <c r="C328" s="390"/>
      <c r="D328" s="393">
        <f t="shared" si="99"/>
        <v>19.363286213575055</v>
      </c>
      <c r="E328" s="385">
        <f t="shared" si="121"/>
        <v>19.898655623137518</v>
      </c>
      <c r="F328" s="385">
        <f t="shared" si="100"/>
        <v>19.899282118991248</v>
      </c>
      <c r="G328" s="110">
        <f t="shared" si="122"/>
        <v>0.62992812308937463</v>
      </c>
      <c r="H328" s="414" t="b">
        <f>Wh_hp&gt;='2018'!Maxi_hp</f>
        <v>0</v>
      </c>
      <c r="I328" s="390">
        <f>IF(H328,Wh_hp,'2018'!Maxi_hp)</f>
        <v>21.789231727925742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1.1324844923343735E-2</v>
      </c>
      <c r="M328" s="845"/>
      <c r="N328" s="845"/>
      <c r="O328" s="48">
        <f>IF(t&lt;Tnet,'2018'!Resal+('2018'!Salim-'2018'!Resal)*(1-EXP(('2018'!Tnet-t)/('2018'!Tau_j))),Resal+(Salim-Resal)*(1-EXP((Tnet-t)/(Tau_j))))*Salcycl</f>
        <v>2.6904803002869918E-2</v>
      </c>
      <c r="P328" s="169">
        <f>(INDEX(Models!$BJ328:$BT328,,T328)*(1-R328)+INDEX(Models!$BJ328:$BT328,,T328+1)*R328-ERP_i)*Q328*Ramure*Pc/MaxiM</f>
        <v>6.6792887095871241E-5</v>
      </c>
      <c r="Q328" s="305">
        <f t="shared" si="102"/>
        <v>0.5</v>
      </c>
      <c r="R328" s="177">
        <f t="shared" si="103"/>
        <v>0.99662541891040135</v>
      </c>
      <c r="S328" s="811">
        <f t="shared" si="104"/>
        <v>-2</v>
      </c>
      <c r="T328" s="176">
        <f t="shared" si="105"/>
        <v>4</v>
      </c>
      <c r="U328" s="251">
        <f t="shared" si="106"/>
        <v>-1.0033745810895986</v>
      </c>
      <c r="V328" s="383">
        <f t="shared" si="107"/>
        <v>30.389695762196396</v>
      </c>
      <c r="W328" s="58"/>
      <c r="X328" s="157">
        <f t="shared" si="108"/>
        <v>43779</v>
      </c>
      <c r="Y328" s="385">
        <f t="shared" si="109"/>
        <v>19.143999999999998</v>
      </c>
      <c r="Z328" s="385">
        <f t="shared" si="110"/>
        <v>19.363286213575055</v>
      </c>
      <c r="AA328" s="386">
        <f t="shared" si="111"/>
        <v>19.898655623137518</v>
      </c>
      <c r="AB328" s="197">
        <f t="shared" si="112"/>
        <v>43779</v>
      </c>
      <c r="AC328" s="426">
        <f>IF(OR(t&lt;Tnet,NoTnet),'2018'!Resal_s+('2018'!Salim-'2018'!Resal_s)*(1-EXP(('2018'!Tnet_s-t)/'2018'!Tau_j)),Resal_s+(Salim-Resal_s)*(1-EXP((Tnet_s-t)/Tau_j)))*Salcycl</f>
        <v>2.6904803002869918E-2</v>
      </c>
      <c r="AD328" s="231">
        <f>(INDEX(Models!$BJ328:$BT328,,AH328)*(1-AF328)+INDEX(Models!$BJ328:$BT328,,AH328+1)*AF328-ERP_i)*AE328*Ramure*Pc/MaxiM</f>
        <v>6.6792887095871241E-5</v>
      </c>
      <c r="AE328" s="305">
        <f t="shared" si="113"/>
        <v>0.5</v>
      </c>
      <c r="AF328" s="177">
        <f t="shared" si="114"/>
        <v>0.99662541891040135</v>
      </c>
      <c r="AG328" s="176">
        <f t="shared" si="115"/>
        <v>-2</v>
      </c>
      <c r="AH328" s="176">
        <f t="shared" si="116"/>
        <v>4</v>
      </c>
      <c r="AI328" s="225">
        <f t="shared" si="117"/>
        <v>-1.0033745810895986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7">
        <v>23.521000000000001</v>
      </c>
      <c r="C329" s="390"/>
      <c r="D329" s="393">
        <f t="shared" si="99"/>
        <v>23.790943932160538</v>
      </c>
      <c r="E329" s="385">
        <f t="shared" si="121"/>
        <v>24.449294491652726</v>
      </c>
      <c r="F329" s="385">
        <f t="shared" si="100"/>
        <v>24.450450731510966</v>
      </c>
      <c r="G329" s="110">
        <f t="shared" si="122"/>
        <v>0.78097264318807325</v>
      </c>
      <c r="H329" s="414" t="b">
        <f>Wh_hp&gt;='2018'!Maxi_hp</f>
        <v>0</v>
      </c>
      <c r="I329" s="390">
        <f>IF(H329,Wh_hp,'2018'!Maxi_hp)</f>
        <v>26.827720309111356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1.1346499446607816E-2</v>
      </c>
      <c r="M329" s="845"/>
      <c r="N329" s="845"/>
      <c r="O329" s="48">
        <f>IF(t&lt;Tnet,'2018'!Resal+('2018'!Salim-'2018'!Resal)*(1-EXP(('2018'!Tnet-t)/('2018'!Tau_j))),Resal+(Salim-Resal)*(1-EXP((Tnet-t)/(Tau_j))))*Salcycl</f>
        <v>2.6927180238961752E-2</v>
      </c>
      <c r="P329" s="169">
        <f>(INDEX(Models!$BJ329:$BT329,,T329)*(1-R329)+INDEX(Models!$BJ329:$BT329,,T329+1)*R329-ERP_i)*Q329*Ramure*Pc/MaxiM</f>
        <v>6.882140693182611E-5</v>
      </c>
      <c r="Q329" s="305">
        <f t="shared" si="102"/>
        <v>0.5</v>
      </c>
      <c r="R329" s="177">
        <f t="shared" si="103"/>
        <v>0.99666277326639863</v>
      </c>
      <c r="S329" s="811">
        <f t="shared" si="104"/>
        <v>-2</v>
      </c>
      <c r="T329" s="176">
        <f t="shared" si="105"/>
        <v>4</v>
      </c>
      <c r="U329" s="251">
        <f t="shared" si="106"/>
        <v>-1.0033372267336014</v>
      </c>
      <c r="V329" s="383">
        <f t="shared" si="107"/>
        <v>30.116923710271298</v>
      </c>
      <c r="W329" s="58"/>
      <c r="X329" s="157">
        <f t="shared" si="108"/>
        <v>43780</v>
      </c>
      <c r="Y329" s="385">
        <f t="shared" si="109"/>
        <v>23.521000000000001</v>
      </c>
      <c r="Z329" s="385">
        <f t="shared" si="110"/>
        <v>23.790943932160538</v>
      </c>
      <c r="AA329" s="386">
        <f t="shared" si="111"/>
        <v>24.449294491652726</v>
      </c>
      <c r="AB329" s="197">
        <f t="shared" si="112"/>
        <v>43780</v>
      </c>
      <c r="AC329" s="426">
        <f>IF(OR(t&lt;Tnet,NoTnet),'2018'!Resal_s+('2018'!Salim-'2018'!Resal_s)*(1-EXP(('2018'!Tnet_s-t)/'2018'!Tau_j)),Resal_s+(Salim-Resal_s)*(1-EXP((Tnet_s-t)/Tau_j)))*Salcycl</f>
        <v>2.6927180238961752E-2</v>
      </c>
      <c r="AD329" s="231">
        <f>(INDEX(Models!$BJ329:$BT329,,AH329)*(1-AF329)+INDEX(Models!$BJ329:$BT329,,AH329+1)*AF329-ERP_i)*AE329*Ramure*Pc/MaxiM</f>
        <v>6.882140693182611E-5</v>
      </c>
      <c r="AE329" s="305">
        <f t="shared" si="113"/>
        <v>0.5</v>
      </c>
      <c r="AF329" s="177">
        <f t="shared" si="114"/>
        <v>0.99666277326639863</v>
      </c>
      <c r="AG329" s="176">
        <f t="shared" si="115"/>
        <v>-2</v>
      </c>
      <c r="AH329" s="176">
        <f t="shared" si="116"/>
        <v>4</v>
      </c>
      <c r="AI329" s="225">
        <f t="shared" si="117"/>
        <v>-1.0033372267336014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7">
        <v>19.785</v>
      </c>
      <c r="C330" s="390"/>
      <c r="D330" s="393">
        <f t="shared" si="99"/>
        <v>20.012505231300569</v>
      </c>
      <c r="E330" s="385">
        <f t="shared" si="121"/>
        <v>20.566774209390331</v>
      </c>
      <c r="F330" s="385">
        <f t="shared" si="100"/>
        <v>20.567532487664316</v>
      </c>
      <c r="G330" s="110">
        <f t="shared" si="122"/>
        <v>0.66280171205875538</v>
      </c>
      <c r="H330" s="414" t="b">
        <f>Wh_hp&gt;='2018'!Maxi_hp</f>
        <v>0</v>
      </c>
      <c r="I330" s="390">
        <f>IF(H330,Wh_hp,'2018'!Maxi_hp)</f>
        <v>28.254170415117652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1.1368153495582289E-2</v>
      </c>
      <c r="M330" s="845"/>
      <c r="N330" s="845"/>
      <c r="O330" s="48">
        <f>IF(t&lt;Tnet,'2018'!Resal+('2018'!Salim-'2018'!Resal)*(1-EXP(('2018'!Tnet-t)/('2018'!Tau_j))),Resal+(Salim-Resal)*(1-EXP((Tnet-t)/(Tau_j))))*Salcycl</f>
        <v>2.6949728355392541E-2</v>
      </c>
      <c r="P330" s="169">
        <f>(INDEX(Models!$BJ330:$BT330,,T330)*(1-R330)+INDEX(Models!$BJ330:$BT330,,T330+1)*R330-ERP_i)*Q330*Ramure*Pc/MaxiM</f>
        <v>7.1129203993492308E-5</v>
      </c>
      <c r="Q330" s="305">
        <f t="shared" si="102"/>
        <v>0.5</v>
      </c>
      <c r="R330" s="177">
        <f t="shared" si="103"/>
        <v>0.99669862887746175</v>
      </c>
      <c r="S330" s="811">
        <f t="shared" si="104"/>
        <v>-2</v>
      </c>
      <c r="T330" s="176">
        <f t="shared" si="105"/>
        <v>4</v>
      </c>
      <c r="U330" s="251">
        <f t="shared" si="106"/>
        <v>-1.0033013711225383</v>
      </c>
      <c r="V330" s="383">
        <f t="shared" si="107"/>
        <v>29.849533807524285</v>
      </c>
      <c r="W330" s="58"/>
      <c r="X330" s="157">
        <f t="shared" si="108"/>
        <v>43781</v>
      </c>
      <c r="Y330" s="385">
        <f t="shared" si="109"/>
        <v>19.785</v>
      </c>
      <c r="Z330" s="385">
        <f t="shared" si="110"/>
        <v>20.012505231300569</v>
      </c>
      <c r="AA330" s="386">
        <f t="shared" si="111"/>
        <v>20.566774209390331</v>
      </c>
      <c r="AB330" s="197">
        <f t="shared" si="112"/>
        <v>43781</v>
      </c>
      <c r="AC330" s="426">
        <f>IF(OR(t&lt;Tnet,NoTnet),'2018'!Resal_s+('2018'!Salim-'2018'!Resal_s)*(1-EXP(('2018'!Tnet_s-t)/'2018'!Tau_j)),Resal_s+(Salim-Resal_s)*(1-EXP((Tnet_s-t)/Tau_j)))*Salcycl</f>
        <v>2.6949728355392541E-2</v>
      </c>
      <c r="AD330" s="231">
        <f>(INDEX(Models!$BJ330:$BT330,,AH330)*(1-AF330)+INDEX(Models!$BJ330:$BT330,,AH330+1)*AF330-ERP_i)*AE330*Ramure*Pc/MaxiM</f>
        <v>7.1129203993492308E-5</v>
      </c>
      <c r="AE330" s="305">
        <f t="shared" si="113"/>
        <v>0.5</v>
      </c>
      <c r="AF330" s="177">
        <f t="shared" si="114"/>
        <v>0.99669862887746175</v>
      </c>
      <c r="AG330" s="176">
        <f t="shared" si="115"/>
        <v>-2</v>
      </c>
      <c r="AH330" s="176">
        <f t="shared" si="116"/>
        <v>4</v>
      </c>
      <c r="AI330" s="225">
        <f t="shared" si="117"/>
        <v>-1.0033013711225383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7">
        <v>18.335000000000001</v>
      </c>
      <c r="C331" s="390"/>
      <c r="D331" s="393">
        <f t="shared" si="99"/>
        <v>18.546238073537022</v>
      </c>
      <c r="E331" s="385">
        <f t="shared" si="121"/>
        <v>19.060342650917566</v>
      </c>
      <c r="F331" s="385">
        <f t="shared" si="100"/>
        <v>19.060984425268092</v>
      </c>
      <c r="G331" s="110">
        <f t="shared" si="122"/>
        <v>0.61967969305500759</v>
      </c>
      <c r="H331" s="414" t="b">
        <f>Wh_hp&gt;='2018'!Maxi_hp</f>
        <v>1</v>
      </c>
      <c r="I331" s="390">
        <f>IF(H331,Wh_hp,'2018'!Maxi_hp)</f>
        <v>19.060984425268092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1.138980707027748E-2</v>
      </c>
      <c r="M331" s="845"/>
      <c r="N331" s="845"/>
      <c r="O331" s="48">
        <f>IF(t&lt;Tnet,'2018'!Resal+('2018'!Salim-'2018'!Resal)*(1-EXP(('2018'!Tnet-t)/('2018'!Tau_j))),Resal+(Salim-Resal)*(1-EXP((Tnet-t)/(Tau_j))))*Salcycl</f>
        <v>2.6972472992545793E-2</v>
      </c>
      <c r="P331" s="169">
        <f>(INDEX(Models!$BJ331:$BT331,,T331)*(1-R331)+INDEX(Models!$BJ331:$BT331,,T331+1)*R331-ERP_i)*Q331*Ramure*Pc/MaxiM</f>
        <v>7.372016556320314E-5</v>
      </c>
      <c r="Q331" s="305">
        <f t="shared" si="102"/>
        <v>0.5</v>
      </c>
      <c r="R331" s="177">
        <f t="shared" si="103"/>
        <v>0.9967330456742125</v>
      </c>
      <c r="S331" s="811">
        <f t="shared" si="104"/>
        <v>-2</v>
      </c>
      <c r="T331" s="176">
        <f t="shared" si="105"/>
        <v>4</v>
      </c>
      <c r="U331" s="251">
        <f t="shared" si="106"/>
        <v>-1.0032669543257875</v>
      </c>
      <c r="V331" s="383">
        <f t="shared" si="107"/>
        <v>29.586681397366867</v>
      </c>
      <c r="W331" s="58"/>
      <c r="X331" s="157">
        <f t="shared" si="108"/>
        <v>43782</v>
      </c>
      <c r="Y331" s="385">
        <f t="shared" si="109"/>
        <v>18.335000000000001</v>
      </c>
      <c r="Z331" s="385">
        <f t="shared" si="110"/>
        <v>18.546238073537022</v>
      </c>
      <c r="AA331" s="386">
        <f t="shared" si="111"/>
        <v>19.060342650917566</v>
      </c>
      <c r="AB331" s="197">
        <f t="shared" si="112"/>
        <v>43782</v>
      </c>
      <c r="AC331" s="426">
        <f>IF(OR(t&lt;Tnet,NoTnet),'2018'!Resal_s+('2018'!Salim-'2018'!Resal_s)*(1-EXP(('2018'!Tnet_s-t)/'2018'!Tau_j)),Resal_s+(Salim-Resal_s)*(1-EXP((Tnet_s-t)/Tau_j)))*Salcycl</f>
        <v>2.6972472992545793E-2</v>
      </c>
      <c r="AD331" s="231">
        <f>(INDEX(Models!$BJ331:$BT331,,AH331)*(1-AF331)+INDEX(Models!$BJ331:$BT331,,AH331+1)*AF331-ERP_i)*AE331*Ramure*Pc/MaxiM</f>
        <v>7.372016556320314E-5</v>
      </c>
      <c r="AE331" s="305">
        <f t="shared" si="113"/>
        <v>0.5</v>
      </c>
      <c r="AF331" s="177">
        <f t="shared" si="114"/>
        <v>0.9967330456742125</v>
      </c>
      <c r="AG331" s="176">
        <f t="shared" si="115"/>
        <v>-2</v>
      </c>
      <c r="AH331" s="176">
        <f t="shared" si="116"/>
        <v>4</v>
      </c>
      <c r="AI331" s="225">
        <f t="shared" si="117"/>
        <v>-1.0032669543257875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7">
        <v>5.9630000000000001</v>
      </c>
      <c r="C332" s="390"/>
      <c r="D332" s="393">
        <f t="shared" si="99"/>
        <v>6.0318320107470162</v>
      </c>
      <c r="E332" s="385">
        <f t="shared" si="121"/>
        <v>6.1991816399731414</v>
      </c>
      <c r="F332" s="385">
        <f t="shared" si="100"/>
        <v>6.1991816399731414</v>
      </c>
      <c r="G332" s="110">
        <f t="shared" si="122"/>
        <v>0.20331022942217603</v>
      </c>
      <c r="H332" s="414" t="b">
        <f>Wh_hp&gt;='2018'!Maxi_hp</f>
        <v>0</v>
      </c>
      <c r="I332" s="390">
        <f>IF(H332,Wh_hp,'2018'!Maxi_hp)</f>
        <v>18.542037125391694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1.1411460170703824E-2</v>
      </c>
      <c r="M332" s="845"/>
      <c r="N332" s="845"/>
      <c r="O332" s="48">
        <f>IF(t&lt;Tnet,'2018'!Resal+('2018'!Salim-'2018'!Resal)*(1-EXP(('2018'!Tnet-t)/('2018'!Tau_j))),Resal+(Salim-Resal)*(1-EXP((Tnet-t)/(Tau_j))))*Salcycl</f>
        <v>2.6995438905521432E-2</v>
      </c>
      <c r="P332" s="169">
        <f>(INDEX(Models!$BJ332:$BT332,,T332)*(1-R332)+INDEX(Models!$BJ332:$BT332,,T332+1)*R332-ERP_i)*Q332*Ramure*Pc/MaxiM</f>
        <v>7.6671199107980847E-5</v>
      </c>
      <c r="Q332" s="305">
        <f t="shared" si="102"/>
        <v>0.5</v>
      </c>
      <c r="R332" s="177">
        <f t="shared" si="103"/>
        <v>0.99676608120677423</v>
      </c>
      <c r="S332" s="811">
        <f t="shared" si="104"/>
        <v>-2</v>
      </c>
      <c r="T332" s="176">
        <f t="shared" si="105"/>
        <v>4</v>
      </c>
      <c r="U332" s="251">
        <f t="shared" si="106"/>
        <v>-1.0032339187932258</v>
      </c>
      <c r="V332" s="383">
        <f t="shared" si="107"/>
        <v>29.327313370240855</v>
      </c>
      <c r="W332" s="58"/>
      <c r="X332" s="157">
        <f t="shared" si="108"/>
        <v>43783</v>
      </c>
      <c r="Y332" s="385">
        <f t="shared" si="109"/>
        <v>5.9630000000000001</v>
      </c>
      <c r="Z332" s="385">
        <f t="shared" si="110"/>
        <v>6.0318320107470162</v>
      </c>
      <c r="AA332" s="386">
        <f t="shared" si="111"/>
        <v>6.1991816399731414</v>
      </c>
      <c r="AB332" s="197">
        <f t="shared" si="112"/>
        <v>43783</v>
      </c>
      <c r="AC332" s="426">
        <f>IF(OR(t&lt;Tnet,NoTnet),'2018'!Resal_s+('2018'!Salim-'2018'!Resal_s)*(1-EXP(('2018'!Tnet_s-t)/'2018'!Tau_j)),Resal_s+(Salim-Resal_s)*(1-EXP((Tnet_s-t)/Tau_j)))*Salcycl</f>
        <v>2.6995438905521432E-2</v>
      </c>
      <c r="AD332" s="231">
        <f>(INDEX(Models!$BJ332:$BT332,,AH332)*(1-AF332)+INDEX(Models!$BJ332:$BT332,,AH332+1)*AF332-ERP_i)*AE332*Ramure*Pc/MaxiM</f>
        <v>7.6671199107980847E-5</v>
      </c>
      <c r="AE332" s="305">
        <f t="shared" si="113"/>
        <v>0.5</v>
      </c>
      <c r="AF332" s="177">
        <f t="shared" si="114"/>
        <v>0.99676608120677423</v>
      </c>
      <c r="AG332" s="176">
        <f t="shared" si="115"/>
        <v>-2</v>
      </c>
      <c r="AH332" s="176">
        <f t="shared" si="116"/>
        <v>4</v>
      </c>
      <c r="AI332" s="225">
        <f t="shared" si="117"/>
        <v>-1.0032339187932258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7">
        <v>11.648999999999999</v>
      </c>
      <c r="C333" s="390"/>
      <c r="D333" s="393">
        <f t="shared" si="99"/>
        <v>11.783724653126471</v>
      </c>
      <c r="E333" s="385">
        <f t="shared" si="121"/>
        <v>12.110946064197474</v>
      </c>
      <c r="F333" s="385">
        <f t="shared" si="100"/>
        <v>12.111085124124092</v>
      </c>
      <c r="G333" s="110">
        <f t="shared" si="122"/>
        <v>0.4006738256116929</v>
      </c>
      <c r="H333" s="414" t="b">
        <f>Wh_hp&gt;='2018'!Maxi_hp</f>
        <v>0</v>
      </c>
      <c r="I333" s="390">
        <f>IF(H333,Wh_hp,'2018'!Maxi_hp)</f>
        <v>20.313701286022383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1.1433112796871647E-2</v>
      </c>
      <c r="M333" s="845"/>
      <c r="N333" s="845"/>
      <c r="O333" s="48">
        <f>IF(t&lt;Tnet,'2018'!Resal+('2018'!Salim-'2018'!Resal)*(1-EXP(('2018'!Tnet-t)/('2018'!Tau_j))),Resal+(Salim-Resal)*(1-EXP((Tnet-t)/(Tau_j))))*Salcycl</f>
        <v>2.7018649850843481E-2</v>
      </c>
      <c r="P333" s="169">
        <f>(INDEX(Models!$BJ333:$BT333,,T333)*(1-R333)+INDEX(Models!$BJ333:$BT333,,T333+1)*R333-ERP_i)*Q333*Ramure*Pc/MaxiM</f>
        <v>7.9814593081585679E-5</v>
      </c>
      <c r="Q333" s="305">
        <f t="shared" si="102"/>
        <v>0.5</v>
      </c>
      <c r="R333" s="177">
        <f t="shared" si="103"/>
        <v>0.99679779073806918</v>
      </c>
      <c r="S333" s="811">
        <f t="shared" si="104"/>
        <v>-2</v>
      </c>
      <c r="T333" s="176">
        <f t="shared" si="105"/>
        <v>4</v>
      </c>
      <c r="U333" s="251">
        <f t="shared" si="106"/>
        <v>-1.0032022092619308</v>
      </c>
      <c r="V333" s="383">
        <f t="shared" si="107"/>
        <v>29.071537096616243</v>
      </c>
      <c r="W333" s="58"/>
      <c r="X333" s="157">
        <f t="shared" si="108"/>
        <v>43784</v>
      </c>
      <c r="Y333" s="385">
        <f t="shared" si="109"/>
        <v>11.648999999999999</v>
      </c>
      <c r="Z333" s="385">
        <f t="shared" si="110"/>
        <v>11.783724653126471</v>
      </c>
      <c r="AA333" s="386">
        <f t="shared" si="111"/>
        <v>12.110946064197474</v>
      </c>
      <c r="AB333" s="197">
        <f t="shared" si="112"/>
        <v>43784</v>
      </c>
      <c r="AC333" s="426">
        <f>IF(OR(t&lt;Tnet,NoTnet),'2018'!Resal_s+('2018'!Salim-'2018'!Resal_s)*(1-EXP(('2018'!Tnet_s-t)/'2018'!Tau_j)),Resal_s+(Salim-Resal_s)*(1-EXP((Tnet_s-t)/Tau_j)))*Salcycl</f>
        <v>2.7018649850843481E-2</v>
      </c>
      <c r="AD333" s="231">
        <f>(INDEX(Models!$BJ333:$BT333,,AH333)*(1-AF333)+INDEX(Models!$BJ333:$BT333,,AH333+1)*AF333-ERP_i)*AE333*Ramure*Pc/MaxiM</f>
        <v>7.9814593081585679E-5</v>
      </c>
      <c r="AE333" s="305">
        <f t="shared" si="113"/>
        <v>0.5</v>
      </c>
      <c r="AF333" s="177">
        <f t="shared" si="114"/>
        <v>0.99679779073806918</v>
      </c>
      <c r="AG333" s="176">
        <f t="shared" si="115"/>
        <v>-2</v>
      </c>
      <c r="AH333" s="176">
        <f t="shared" si="116"/>
        <v>4</v>
      </c>
      <c r="AI333" s="225">
        <f t="shared" si="117"/>
        <v>-1.0032022092619308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7">
        <v>14.532</v>
      </c>
      <c r="C334" s="390"/>
      <c r="D334" s="393">
        <f t="shared" si="99"/>
        <v>14.70038950645209</v>
      </c>
      <c r="E334" s="385">
        <f t="shared" si="121"/>
        <v>15.108968164748235</v>
      </c>
      <c r="F334" s="385">
        <f t="shared" si="100"/>
        <v>15.109334743405078</v>
      </c>
      <c r="G334" s="110">
        <f t="shared" si="122"/>
        <v>0.50421301244383865</v>
      </c>
      <c r="H334" s="414" t="b">
        <f>Wh_hp&gt;='2018'!Maxi_hp</f>
        <v>0</v>
      </c>
      <c r="I334" s="390">
        <f>IF(H334,Wh_hp,'2018'!Maxi_hp)</f>
        <v>25.63773042545121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1.1454764948791496E-2</v>
      </c>
      <c r="M334" s="845"/>
      <c r="N334" s="845"/>
      <c r="O334" s="48">
        <f>IF(t&lt;Tnet,'2018'!Resal+('2018'!Salim-'2018'!Resal)*(1-EXP(('2018'!Tnet-t)/('2018'!Tau_j))),Resal+(Salim-Resal)*(1-EXP((Tnet-t)/(Tau_j))))*Salcycl</f>
        <v>2.7042128478993527E-2</v>
      </c>
      <c r="P334" s="169">
        <f>(INDEX(Models!$BJ334:$BT334,,T334)*(1-R334)+INDEX(Models!$BJ334:$BT334,,T334+1)*R334-ERP_i)*Q334*Ramure*Pc/MaxiM</f>
        <v>8.3152117307232876E-5</v>
      </c>
      <c r="Q334" s="305">
        <f t="shared" si="102"/>
        <v>0.5</v>
      </c>
      <c r="R334" s="177">
        <f t="shared" si="103"/>
        <v>0.99682822733355891</v>
      </c>
      <c r="S334" s="811">
        <f t="shared" si="104"/>
        <v>-2</v>
      </c>
      <c r="T334" s="176">
        <f t="shared" si="105"/>
        <v>4</v>
      </c>
      <c r="U334" s="251">
        <f t="shared" si="106"/>
        <v>-1.0031717726664411</v>
      </c>
      <c r="V334" s="383">
        <f t="shared" si="107"/>
        <v>28.819454923927143</v>
      </c>
      <c r="W334" s="58"/>
      <c r="X334" s="157">
        <f t="shared" si="108"/>
        <v>43785</v>
      </c>
      <c r="Y334" s="385">
        <f t="shared" si="109"/>
        <v>14.532</v>
      </c>
      <c r="Z334" s="385">
        <f t="shared" si="110"/>
        <v>14.70038950645209</v>
      </c>
      <c r="AA334" s="386">
        <f t="shared" si="111"/>
        <v>15.108968164748235</v>
      </c>
      <c r="AB334" s="197">
        <f t="shared" si="112"/>
        <v>43785</v>
      </c>
      <c r="AC334" s="426">
        <f>IF(OR(t&lt;Tnet,NoTnet),'2018'!Resal_s+('2018'!Salim-'2018'!Resal_s)*(1-EXP(('2018'!Tnet_s-t)/'2018'!Tau_j)),Resal_s+(Salim-Resal_s)*(1-EXP((Tnet_s-t)/Tau_j)))*Salcycl</f>
        <v>2.7042128478993527E-2</v>
      </c>
      <c r="AD334" s="231">
        <f>(INDEX(Models!$BJ334:$BT334,,AH334)*(1-AF334)+INDEX(Models!$BJ334:$BT334,,AH334+1)*AF334-ERP_i)*AE334*Ramure*Pc/MaxiM</f>
        <v>8.3152117307232876E-5</v>
      </c>
      <c r="AE334" s="305">
        <f t="shared" si="113"/>
        <v>0.5</v>
      </c>
      <c r="AF334" s="177">
        <f t="shared" si="114"/>
        <v>0.99682822733355891</v>
      </c>
      <c r="AG334" s="176">
        <f t="shared" si="115"/>
        <v>-2</v>
      </c>
      <c r="AH334" s="176">
        <f t="shared" si="116"/>
        <v>4</v>
      </c>
      <c r="AI334" s="225">
        <f t="shared" si="117"/>
        <v>-1.0031717726664411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7">
        <v>12.169</v>
      </c>
      <c r="C335" s="390"/>
      <c r="D335" s="393">
        <f t="shared" ref="D335:D379" si="123">Wh/(1-Ppv)</f>
        <v>12.310277877712288</v>
      </c>
      <c r="E335" s="385">
        <f t="shared" si="121"/>
        <v>12.652735503932146</v>
      </c>
      <c r="F335" s="385">
        <f t="shared" ref="F335:F379" si="124">Wh_sa/(1-Pvg*MEDIAN((-Sdif+Wh/Env_an)/Csdif,0,1))</f>
        <v>12.65293280569685</v>
      </c>
      <c r="G335" s="110">
        <f t="shared" si="122"/>
        <v>0.42588858614544323</v>
      </c>
      <c r="H335" s="414" t="b">
        <f>Wh_hp&gt;='2018'!Maxi_hp</f>
        <v>0</v>
      </c>
      <c r="I335" s="390">
        <f>IF(H335,Wh_hp,'2018'!Maxi_hp)</f>
        <v>28.670073792979203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1.1476416626473585E-2</v>
      </c>
      <c r="M335" s="845"/>
      <c r="N335" s="845"/>
      <c r="O335" s="48">
        <f>IF(t&lt;Tnet,'2018'!Resal+('2018'!Salim-'2018'!Resal)*(1-EXP(('2018'!Tnet-t)/('2018'!Tau_j))),Resal+(Salim-Resal)*(1-EXP((Tnet-t)/(Tau_j))))*Salcycl</f>
        <v>2.706589623354012E-2</v>
      </c>
      <c r="P335" s="169">
        <f>(INDEX(Models!$BJ335:$BT335,,T335)*(1-R335)+INDEX(Models!$BJ335:$BT335,,T335+1)*R335-ERP_i)*Q335*Ramure*Pc/MaxiM</f>
        <v>8.6685608802325841E-5</v>
      </c>
      <c r="Q335" s="305">
        <f t="shared" ref="Q335:Q379" si="126">IF(OR(t&lt;Ttai,Notai),Dd+PousD*Croivg,Dens+PousD*(Croivg-Croi_tai))</f>
        <v>0.5</v>
      </c>
      <c r="R335" s="177">
        <f t="shared" ref="R335:R379" si="127">(Hp_vg-S335)/(INDEX(Echel_vg,T335+1)-S335)</f>
        <v>0.9968574419475531</v>
      </c>
      <c r="S335" s="811">
        <f t="shared" ref="S335:S379" si="128">INDEX(Echel_vg,T335)</f>
        <v>-2</v>
      </c>
      <c r="T335" s="176">
        <f t="shared" ref="T335:T379" si="129">MIN(MATCH(Hp_vg,Echel_vg),10)</f>
        <v>4</v>
      </c>
      <c r="U335" s="251">
        <f t="shared" ref="U335:U379" si="130">IF(OR(t&lt;Ttai,Notai),Hdd+PousH*Croivg,Hdtf+PousH*(Croivg-Croi_tai))</f>
        <v>-1.0031425580524469</v>
      </c>
      <c r="V335" s="383">
        <f t="shared" ref="V335:V379" si="131">MaxiM*(1-Ppv)*(1-Pvg)*(1-Psa)</f>
        <v>28.571169223130578</v>
      </c>
      <c r="W335" s="58"/>
      <c r="X335" s="157">
        <f t="shared" ref="X335:X379" si="132">t</f>
        <v>43786</v>
      </c>
      <c r="Y335" s="385">
        <f t="shared" ref="Y335:Y379" si="133">Wh_pvt_s*(1-Ppv)</f>
        <v>12.169</v>
      </c>
      <c r="Z335" s="385">
        <f t="shared" ref="Z335:Z379" si="134">Wh_sa_s*(1-Psa_s)</f>
        <v>12.310277877712288</v>
      </c>
      <c r="AA335" s="386">
        <f t="shared" ref="AA335:AA379" si="135">Wh_hp*(1-Pvg_s*MEDIAN((-Sdif+Wh/Env_an)/Csdif,0,1))</f>
        <v>12.652735503932146</v>
      </c>
      <c r="AB335" s="197">
        <f t="shared" ref="AB335:AB379" si="136">t</f>
        <v>43786</v>
      </c>
      <c r="AC335" s="426">
        <f>IF(OR(t&lt;Tnet,NoTnet),'2018'!Resal_s+('2018'!Salim-'2018'!Resal_s)*(1-EXP(('2018'!Tnet_s-t)/'2018'!Tau_j)),Resal_s+(Salim-Resal_s)*(1-EXP((Tnet_s-t)/Tau_j)))*Salcycl</f>
        <v>2.706589623354012E-2</v>
      </c>
      <c r="AD335" s="231">
        <f>(INDEX(Models!$BJ335:$BT335,,AH335)*(1-AF335)+INDEX(Models!$BJ335:$BT335,,AH335+1)*AF335-ERP_i)*AE335*Ramure*Pc/MaxiM</f>
        <v>8.6685608802325841E-5</v>
      </c>
      <c r="AE335" s="305">
        <f t="shared" ref="AE335:AE379" si="137">IF(OR(t&lt;Ttai,Notai),Dd_s+PousD*Croivg,Dens_s+PousD*(Croivg-Croi_tai))</f>
        <v>0.5</v>
      </c>
      <c r="AF335" s="177">
        <f t="shared" ref="AF335:AF379" si="138">(Hp_vg_s-AG335)/(INDEX(Echel_vg,AH335+1)-AG335)</f>
        <v>0.9968574419475531</v>
      </c>
      <c r="AG335" s="176">
        <f t="shared" ref="AG335:AG379" si="139">INDEX(Echel_vg,AH335)</f>
        <v>-2</v>
      </c>
      <c r="AH335" s="176">
        <f t="shared" ref="AH335:AH379" si="140">MIN(MATCH(Hp_vg_s,Echel_vg),10)</f>
        <v>4</v>
      </c>
      <c r="AI335" s="225">
        <f t="shared" ref="AI335:AI379" si="141">IF(OR(t&lt;Ttai,Notai),Hdd_s+PousH*Croivg,Hdtai_s+PousH*(Croivg-Croi_tai))</f>
        <v>-1.0031425580524469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7">
        <v>11.954000000000001</v>
      </c>
      <c r="C336" s="390"/>
      <c r="D336" s="393">
        <f t="shared" si="123"/>
        <v>12.093046670892411</v>
      </c>
      <c r="E336" s="385">
        <f t="shared" si="121"/>
        <v>12.429768774594137</v>
      </c>
      <c r="F336" s="385">
        <f t="shared" si="124"/>
        <v>12.42996465631713</v>
      </c>
      <c r="G336" s="110">
        <f t="shared" si="122"/>
        <v>0.42197194706226721</v>
      </c>
      <c r="H336" s="414" t="b">
        <f>Wh_hp&gt;='2018'!Maxi_hp</f>
        <v>0</v>
      </c>
      <c r="I336" s="390">
        <f>IF(H336,Wh_hp,'2018'!Maxi_hp)</f>
        <v>23.569760307357548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1.1498067829928349E-2</v>
      </c>
      <c r="M336" s="845"/>
      <c r="N336" s="845"/>
      <c r="O336" s="48">
        <f>IF(t&lt;Tnet,'2018'!Resal+('2018'!Salim-'2018'!Resal)*(1-EXP(('2018'!Tnet-t)/('2018'!Tau_j))),Resal+(Salim-Resal)*(1-EXP((Tnet-t)/(Tau_j))))*Salcycl</f>
        <v>2.7089973257585522E-2</v>
      </c>
      <c r="P336" s="169">
        <f>(INDEX(Models!$BJ336:$BT336,,T336)*(1-R336)+INDEX(Models!$BJ336:$BT336,,T336+1)*R336-ERP_i)*Q336*Ramure*Pc/MaxiM</f>
        <v>9.0416967537545982E-5</v>
      </c>
      <c r="Q336" s="305">
        <f t="shared" si="126"/>
        <v>0.5</v>
      </c>
      <c r="R336" s="177">
        <f t="shared" si="127"/>
        <v>0.99688548350621642</v>
      </c>
      <c r="S336" s="811">
        <f t="shared" si="128"/>
        <v>-2</v>
      </c>
      <c r="T336" s="176">
        <f t="shared" si="129"/>
        <v>4</v>
      </c>
      <c r="U336" s="251">
        <f t="shared" si="130"/>
        <v>-1.0031145164937836</v>
      </c>
      <c r="V336" s="383">
        <f t="shared" si="131"/>
        <v>28.326782398209591</v>
      </c>
      <c r="W336" s="58"/>
      <c r="X336" s="157">
        <f t="shared" si="132"/>
        <v>43787</v>
      </c>
      <c r="Y336" s="385">
        <f t="shared" si="133"/>
        <v>11.954000000000001</v>
      </c>
      <c r="Z336" s="385">
        <f t="shared" si="134"/>
        <v>12.093046670892411</v>
      </c>
      <c r="AA336" s="386">
        <f t="shared" si="135"/>
        <v>12.429768774594137</v>
      </c>
      <c r="AB336" s="197">
        <f t="shared" si="136"/>
        <v>43787</v>
      </c>
      <c r="AC336" s="426">
        <f>IF(OR(t&lt;Tnet,NoTnet),'2018'!Resal_s+('2018'!Salim-'2018'!Resal_s)*(1-EXP(('2018'!Tnet_s-t)/'2018'!Tau_j)),Resal_s+(Salim-Resal_s)*(1-EXP((Tnet_s-t)/Tau_j)))*Salcycl</f>
        <v>2.7089973257585522E-2</v>
      </c>
      <c r="AD336" s="231">
        <f>(INDEX(Models!$BJ336:$BT336,,AH336)*(1-AF336)+INDEX(Models!$BJ336:$BT336,,AH336+1)*AF336-ERP_i)*AE336*Ramure*Pc/MaxiM</f>
        <v>9.0416967537545982E-5</v>
      </c>
      <c r="AE336" s="305">
        <f t="shared" si="137"/>
        <v>0.5</v>
      </c>
      <c r="AF336" s="177">
        <f t="shared" si="138"/>
        <v>0.99688548350621642</v>
      </c>
      <c r="AG336" s="176">
        <f t="shared" si="139"/>
        <v>-2</v>
      </c>
      <c r="AH336" s="176">
        <f t="shared" si="140"/>
        <v>4</v>
      </c>
      <c r="AI336" s="225">
        <f t="shared" si="141"/>
        <v>-1.0031145164937836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7">
        <v>18.86</v>
      </c>
      <c r="C337" s="390"/>
      <c r="D337" s="393">
        <f t="shared" si="123"/>
        <v>19.079793855380895</v>
      </c>
      <c r="E337" s="385">
        <f t="shared" si="121"/>
        <v>19.611548808997686</v>
      </c>
      <c r="F337" s="385">
        <f t="shared" si="124"/>
        <v>19.612530844435341</v>
      </c>
      <c r="G337" s="110">
        <f t="shared" si="122"/>
        <v>0.67146971504094022</v>
      </c>
      <c r="H337" s="414" t="b">
        <f>Wh_hp&gt;='2018'!Maxi_hp</f>
        <v>0</v>
      </c>
      <c r="I337" s="390">
        <f>IF(H337,Wh_hp,'2018'!Maxi_hp)</f>
        <v>20.453499492641804</v>
      </c>
      <c r="J337" s="85">
        <f>IF(H337,An,'2018'!An_max)</f>
        <v>2018</v>
      </c>
      <c r="K337" s="197">
        <f t="shared" si="125"/>
        <v>43788</v>
      </c>
      <c r="L337" s="147">
        <f>IF(t&lt;Tvie,1-EXP((T0-t)*PertePVj)+'2018'!Pspv,1-EXP((T0-t)*PertePVj)+Pspv)</f>
        <v>1.1519718559166225E-2</v>
      </c>
      <c r="M337" s="845"/>
      <c r="N337" s="845"/>
      <c r="O337" s="48">
        <f>IF(t&lt;Tnet,'2018'!Resal+('2018'!Salim-'2018'!Resal)*(1-EXP(('2018'!Tnet-t)/('2018'!Tau_j))),Resal+(Salim-Resal)*(1-EXP((Tnet-t)/(Tau_j))))*Salcycl</f>
        <v>2.7114378308194832E-2</v>
      </c>
      <c r="P337" s="169">
        <f>(INDEX(Models!$BJ337:$BT337,,T337)*(1-R337)+INDEX(Models!$BJ337:$BT337,,T337+1)*R337-ERP_i)*Q337*Ramure*Pc/MaxiM</f>
        <v>9.4348149718915514E-5</v>
      </c>
      <c r="Q337" s="305">
        <f t="shared" si="126"/>
        <v>0.5</v>
      </c>
      <c r="R337" s="177">
        <f t="shared" si="127"/>
        <v>0.99691239898738693</v>
      </c>
      <c r="S337" s="811">
        <f t="shared" si="128"/>
        <v>-2</v>
      </c>
      <c r="T337" s="176">
        <f t="shared" si="129"/>
        <v>4</v>
      </c>
      <c r="U337" s="251">
        <f t="shared" si="130"/>
        <v>-1.0030876010126131</v>
      </c>
      <c r="V337" s="383">
        <f t="shared" si="131"/>
        <v>28.086396876094476</v>
      </c>
      <c r="W337" s="58"/>
      <c r="X337" s="157">
        <f t="shared" si="132"/>
        <v>43788</v>
      </c>
      <c r="Y337" s="385">
        <f t="shared" si="133"/>
        <v>18.86</v>
      </c>
      <c r="Z337" s="385">
        <f t="shared" si="134"/>
        <v>19.079793855380895</v>
      </c>
      <c r="AA337" s="386">
        <f t="shared" si="135"/>
        <v>19.611548808997686</v>
      </c>
      <c r="AB337" s="197">
        <f t="shared" si="136"/>
        <v>43788</v>
      </c>
      <c r="AC337" s="426">
        <f>IF(OR(t&lt;Tnet,NoTnet),'2018'!Resal_s+('2018'!Salim-'2018'!Resal_s)*(1-EXP(('2018'!Tnet_s-t)/'2018'!Tau_j)),Resal_s+(Salim-Resal_s)*(1-EXP((Tnet_s-t)/Tau_j)))*Salcycl</f>
        <v>2.7114378308194832E-2</v>
      </c>
      <c r="AD337" s="231">
        <f>(INDEX(Models!$BJ337:$BT337,,AH337)*(1-AF337)+INDEX(Models!$BJ337:$BT337,,AH337+1)*AF337-ERP_i)*AE337*Ramure*Pc/MaxiM</f>
        <v>9.4348149718915514E-5</v>
      </c>
      <c r="AE337" s="305">
        <f t="shared" si="137"/>
        <v>0.5</v>
      </c>
      <c r="AF337" s="177">
        <f t="shared" si="138"/>
        <v>0.99691239898738693</v>
      </c>
      <c r="AG337" s="176">
        <f t="shared" si="139"/>
        <v>-2</v>
      </c>
      <c r="AH337" s="176">
        <f t="shared" si="140"/>
        <v>4</v>
      </c>
      <c r="AI337" s="225">
        <f t="shared" si="141"/>
        <v>-1.0030876010126131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7">
        <v>28.952000000000002</v>
      </c>
      <c r="C338" s="390"/>
      <c r="D338" s="393">
        <f t="shared" si="123"/>
        <v>29.290047237756212</v>
      </c>
      <c r="E338" s="385">
        <f t="shared" si="121"/>
        <v>30.107128471512144</v>
      </c>
      <c r="F338" s="385">
        <f t="shared" si="124"/>
        <v>30.110087627610774</v>
      </c>
      <c r="G338" s="110">
        <f t="shared" si="122"/>
        <v>1.039564612027909</v>
      </c>
      <c r="H338" s="414" t="b">
        <f>Wh_hp&gt;='2018'!Maxi_hp</f>
        <v>1</v>
      </c>
      <c r="I338" s="390">
        <f>IF(H338,Wh_hp,'2018'!Maxi_hp)</f>
        <v>30.110087627610774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1.1541368814197539E-2</v>
      </c>
      <c r="M338" s="845"/>
      <c r="N338" s="845"/>
      <c r="O338" s="48">
        <f>IF(t&lt;Tnet,'2018'!Resal+('2018'!Salim-'2018'!Resal)*(1-EXP(('2018'!Tnet-t)/('2018'!Tau_j))),Resal+(Salim-Resal)*(1-EXP((Tnet-t)/(Tau_j))))*Salcycl</f>
        <v>2.7139128679411199E-2</v>
      </c>
      <c r="P338" s="169">
        <f>(INDEX(Models!$BJ338:$BT338,,T338)*(1-R338)+INDEX(Models!$BJ338:$BT338,,T338+1)*R338-ERP_i)*Q338*Ramure*Pc/MaxiM</f>
        <v>9.8277897269090266E-5</v>
      </c>
      <c r="Q338" s="305">
        <f t="shared" si="126"/>
        <v>0.5</v>
      </c>
      <c r="R338" s="177">
        <f t="shared" si="127"/>
        <v>0.99693823349732602</v>
      </c>
      <c r="S338" s="811">
        <f t="shared" si="128"/>
        <v>-2</v>
      </c>
      <c r="T338" s="176">
        <f t="shared" si="129"/>
        <v>4</v>
      </c>
      <c r="U338" s="251">
        <f t="shared" si="130"/>
        <v>-1.003061766502674</v>
      </c>
      <c r="V338" s="383">
        <f t="shared" si="131"/>
        <v>27.85012077654557</v>
      </c>
      <c r="W338" s="58"/>
      <c r="X338" s="157">
        <f t="shared" si="132"/>
        <v>43789</v>
      </c>
      <c r="Y338" s="385">
        <f t="shared" si="133"/>
        <v>28.952000000000002</v>
      </c>
      <c r="Z338" s="385">
        <f t="shared" si="134"/>
        <v>29.290047237756212</v>
      </c>
      <c r="AA338" s="386">
        <f t="shared" si="135"/>
        <v>30.107128471512144</v>
      </c>
      <c r="AB338" s="197">
        <f t="shared" si="136"/>
        <v>43789</v>
      </c>
      <c r="AC338" s="426">
        <f>IF(OR(t&lt;Tnet,NoTnet),'2018'!Resal_s+('2018'!Salim-'2018'!Resal_s)*(1-EXP(('2018'!Tnet_s-t)/'2018'!Tau_j)),Resal_s+(Salim-Resal_s)*(1-EXP((Tnet_s-t)/Tau_j)))*Salcycl</f>
        <v>2.7139128679411199E-2</v>
      </c>
      <c r="AD338" s="231">
        <f>(INDEX(Models!$BJ338:$BT338,,AH338)*(1-AF338)+INDEX(Models!$BJ338:$BT338,,AH338+1)*AF338-ERP_i)*AE338*Ramure*Pc/MaxiM</f>
        <v>9.8277897269090266E-5</v>
      </c>
      <c r="AE338" s="305">
        <f t="shared" si="137"/>
        <v>0.5</v>
      </c>
      <c r="AF338" s="177">
        <f t="shared" si="138"/>
        <v>0.99693823349732602</v>
      </c>
      <c r="AG338" s="176">
        <f t="shared" si="139"/>
        <v>-2</v>
      </c>
      <c r="AH338" s="176">
        <f t="shared" si="140"/>
        <v>4</v>
      </c>
      <c r="AI338" s="225">
        <f t="shared" si="141"/>
        <v>-1.003061766502674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7">
        <v>27.963999999999999</v>
      </c>
      <c r="C339" s="390"/>
      <c r="D339" s="393">
        <f t="shared" si="123"/>
        <v>28.291130872351502</v>
      </c>
      <c r="E339" s="385">
        <f t="shared" si="121"/>
        <v>29.081096768338192</v>
      </c>
      <c r="F339" s="385">
        <f t="shared" si="124"/>
        <v>29.084066217541494</v>
      </c>
      <c r="G339" s="110">
        <f t="shared" si="122"/>
        <v>1.012525881451604</v>
      </c>
      <c r="H339" s="414" t="b">
        <f>Wh_hp&gt;='2018'!Maxi_hp</f>
        <v>1</v>
      </c>
      <c r="I339" s="390">
        <f>IF(H339,Wh_hp,'2018'!Maxi_hp)</f>
        <v>29.084066217541494</v>
      </c>
      <c r="J339" s="85">
        <f>IF(H339,An,'2018'!An_max)</f>
        <v>2019</v>
      </c>
      <c r="K339" s="197">
        <f t="shared" si="125"/>
        <v>43790</v>
      </c>
      <c r="L339" s="147">
        <f>IF(t&lt;Tvie,1-EXP((T0-t)*PertePVj)+'2018'!Pspv,1-EXP((T0-t)*PertePVj)+Pspv)</f>
        <v>1.1563018595032615E-2</v>
      </c>
      <c r="M339" s="845"/>
      <c r="N339" s="845"/>
      <c r="O339" s="48">
        <f>IF(t&lt;Tnet,'2018'!Resal+('2018'!Salim-'2018'!Resal)*(1-EXP(('2018'!Tnet-t)/('2018'!Tau_j))),Resal+(Salim-Resal)*(1-EXP((Tnet-t)/(Tau_j))))*Salcycl</f>
        <v>2.7164240134394169E-2</v>
      </c>
      <c r="P339" s="169">
        <f>(INDEX(Models!$BJ339:$BT339,,T339)*(1-R339)+INDEX(Models!$BJ339:$BT339,,T339+1)*R339-ERP_i)*Q339*Ramure*Pc/MaxiM</f>
        <v>1.0209883243589582E-4</v>
      </c>
      <c r="Q339" s="305">
        <f t="shared" si="126"/>
        <v>0.5</v>
      </c>
      <c r="R339" s="177">
        <f t="shared" si="127"/>
        <v>0.99696303034451117</v>
      </c>
      <c r="S339" s="811">
        <f t="shared" si="128"/>
        <v>-2</v>
      </c>
      <c r="T339" s="176">
        <f t="shared" si="129"/>
        <v>4</v>
      </c>
      <c r="U339" s="251">
        <f t="shared" si="130"/>
        <v>-1.0030369696554888</v>
      </c>
      <c r="V339" s="383">
        <f t="shared" si="131"/>
        <v>27.618059461264849</v>
      </c>
      <c r="W339" s="58"/>
      <c r="X339" s="157">
        <f t="shared" si="132"/>
        <v>43790</v>
      </c>
      <c r="Y339" s="385">
        <f t="shared" si="133"/>
        <v>27.963999999999999</v>
      </c>
      <c r="Z339" s="385">
        <f t="shared" si="134"/>
        <v>28.291130872351502</v>
      </c>
      <c r="AA339" s="386">
        <f t="shared" si="135"/>
        <v>29.081096768338192</v>
      </c>
      <c r="AB339" s="197">
        <f t="shared" si="136"/>
        <v>43790</v>
      </c>
      <c r="AC339" s="426">
        <f>IF(OR(t&lt;Tnet,NoTnet),'2018'!Resal_s+('2018'!Salim-'2018'!Resal_s)*(1-EXP(('2018'!Tnet_s-t)/'2018'!Tau_j)),Resal_s+(Salim-Resal_s)*(1-EXP((Tnet_s-t)/Tau_j)))*Salcycl</f>
        <v>2.7164240134394169E-2</v>
      </c>
      <c r="AD339" s="231">
        <f>(INDEX(Models!$BJ339:$BT339,,AH339)*(1-AF339)+INDEX(Models!$BJ339:$BT339,,AH339+1)*AF339-ERP_i)*AE339*Ramure*Pc/MaxiM</f>
        <v>1.0209883243589582E-4</v>
      </c>
      <c r="AE339" s="305">
        <f t="shared" si="137"/>
        <v>0.5</v>
      </c>
      <c r="AF339" s="177">
        <f t="shared" si="138"/>
        <v>0.99696303034451117</v>
      </c>
      <c r="AG339" s="176">
        <f t="shared" si="139"/>
        <v>-2</v>
      </c>
      <c r="AH339" s="176">
        <f t="shared" si="140"/>
        <v>4</v>
      </c>
      <c r="AI339" s="225">
        <f t="shared" si="141"/>
        <v>-1.0030369696554888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7">
        <v>13.58</v>
      </c>
      <c r="C340" s="390"/>
      <c r="D340" s="393">
        <f t="shared" si="123"/>
        <v>13.739163648110221</v>
      </c>
      <c r="E340" s="385">
        <f t="shared" si="121"/>
        <v>14.123168748600827</v>
      </c>
      <c r="F340" s="385">
        <f t="shared" si="124"/>
        <v>14.123586752420561</v>
      </c>
      <c r="G340" s="110">
        <f t="shared" si="122"/>
        <v>0.4957578921807641</v>
      </c>
      <c r="H340" s="414" t="b">
        <f>Wh_hp&gt;='2018'!Maxi_hp</f>
        <v>0</v>
      </c>
      <c r="I340" s="390">
        <f>IF(H340,Wh_hp,'2018'!Maxi_hp)</f>
        <v>20.564505083857451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1.1584667901682111E-2</v>
      </c>
      <c r="M340" s="845"/>
      <c r="N340" s="845"/>
      <c r="O340" s="48">
        <f>IF(t&lt;Tnet,'2018'!Resal+('2018'!Salim-'2018'!Resal)*(1-EXP(('2018'!Tnet-t)/('2018'!Tau_j))),Resal+(Salim-Resal)*(1-EXP((Tnet-t)/(Tau_j))))*Salcycl</f>
        <v>2.7189726847146087E-2</v>
      </c>
      <c r="P340" s="169">
        <f>(INDEX(Models!$BJ340:$BT340,,T340)*(1-R340)+INDEX(Models!$BJ340:$BT340,,T340+1)*R340-ERP_i)*Q340*Ramure*Pc/MaxiM</f>
        <v>1.058108450029834E-4</v>
      </c>
      <c r="Q340" s="305">
        <f t="shared" si="126"/>
        <v>0.5</v>
      </c>
      <c r="R340" s="177">
        <f t="shared" si="127"/>
        <v>0.99698683111057962</v>
      </c>
      <c r="S340" s="811">
        <f t="shared" si="128"/>
        <v>-2</v>
      </c>
      <c r="T340" s="176">
        <f t="shared" si="129"/>
        <v>4</v>
      </c>
      <c r="U340" s="251">
        <f t="shared" si="130"/>
        <v>-1.0030131688894204</v>
      </c>
      <c r="V340" s="383">
        <f t="shared" si="131"/>
        <v>27.390315288988862</v>
      </c>
      <c r="W340" s="58"/>
      <c r="X340" s="157">
        <f t="shared" si="132"/>
        <v>43791</v>
      </c>
      <c r="Y340" s="385">
        <f t="shared" si="133"/>
        <v>13.58</v>
      </c>
      <c r="Z340" s="385">
        <f t="shared" si="134"/>
        <v>13.739163648110221</v>
      </c>
      <c r="AA340" s="386">
        <f t="shared" si="135"/>
        <v>14.123168748600827</v>
      </c>
      <c r="AB340" s="197">
        <f t="shared" si="136"/>
        <v>43791</v>
      </c>
      <c r="AC340" s="426">
        <f>IF(OR(t&lt;Tnet,NoTnet),'2018'!Resal_s+('2018'!Salim-'2018'!Resal_s)*(1-EXP(('2018'!Tnet_s-t)/'2018'!Tau_j)),Resal_s+(Salim-Resal_s)*(1-EXP((Tnet_s-t)/Tau_j)))*Salcycl</f>
        <v>2.7189726847146087E-2</v>
      </c>
      <c r="AD340" s="231">
        <f>(INDEX(Models!$BJ340:$BT340,,AH340)*(1-AF340)+INDEX(Models!$BJ340:$BT340,,AH340+1)*AF340-ERP_i)*AE340*Ramure*Pc/MaxiM</f>
        <v>1.058108450029834E-4</v>
      </c>
      <c r="AE340" s="305">
        <f t="shared" si="137"/>
        <v>0.5</v>
      </c>
      <c r="AF340" s="177">
        <f t="shared" si="138"/>
        <v>0.99698683111057962</v>
      </c>
      <c r="AG340" s="176">
        <f t="shared" si="139"/>
        <v>-2</v>
      </c>
      <c r="AH340" s="176">
        <f t="shared" si="140"/>
        <v>4</v>
      </c>
      <c r="AI340" s="225">
        <f t="shared" si="141"/>
        <v>-1.0030131688894204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7">
        <v>8.07</v>
      </c>
      <c r="C341" s="390"/>
      <c r="D341" s="393">
        <f t="shared" si="123"/>
        <v>8.1647628233874983</v>
      </c>
      <c r="E341" s="385">
        <f t="shared" si="121"/>
        <v>8.3931884955738294</v>
      </c>
      <c r="F341" s="385">
        <f t="shared" si="124"/>
        <v>8.3931884955738294</v>
      </c>
      <c r="G341" s="110">
        <f t="shared" si="122"/>
        <v>0.29701917063047134</v>
      </c>
      <c r="H341" s="414" t="b">
        <f>Wh_hp&gt;='2018'!Maxi_hp</f>
        <v>0</v>
      </c>
      <c r="I341" s="390">
        <f>IF(H341,Wh_hp,'2018'!Maxi_hp)</f>
        <v>12.357183585206181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1.160631673415613E-2</v>
      </c>
      <c r="M341" s="845"/>
      <c r="N341" s="845"/>
      <c r="O341" s="48">
        <f>IF(t&lt;Tnet,'2018'!Resal+('2018'!Salim-'2018'!Resal)*(1-EXP(('2018'!Tnet-t)/('2018'!Tau_j))),Resal+(Salim-Resal)*(1-EXP((Tnet-t)/(Tau_j))))*Salcycl</f>
        <v>2.72156013542162E-2</v>
      </c>
      <c r="P341" s="169">
        <f>(INDEX(Models!$BJ341:$BT341,,T341)*(1-R341)+INDEX(Models!$BJ341:$BT341,,T341+1)*R341-ERP_i)*Q341*Ramure*Pc/MaxiM</f>
        <v>1.094130363827998E-4</v>
      </c>
      <c r="Q341" s="305">
        <f t="shared" si="126"/>
        <v>0.5</v>
      </c>
      <c r="R341" s="177">
        <f t="shared" si="127"/>
        <v>0.99700967571852939</v>
      </c>
      <c r="S341" s="811">
        <f t="shared" si="128"/>
        <v>-2</v>
      </c>
      <c r="T341" s="176">
        <f t="shared" si="129"/>
        <v>4</v>
      </c>
      <c r="U341" s="251">
        <f t="shared" si="130"/>
        <v>-1.0029903242814706</v>
      </c>
      <c r="V341" s="383">
        <f t="shared" si="131"/>
        <v>27.166990668206306</v>
      </c>
      <c r="W341" s="58"/>
      <c r="X341" s="157">
        <f t="shared" si="132"/>
        <v>43792</v>
      </c>
      <c r="Y341" s="385">
        <f t="shared" si="133"/>
        <v>8.07</v>
      </c>
      <c r="Z341" s="385">
        <f t="shared" si="134"/>
        <v>8.1647628233874983</v>
      </c>
      <c r="AA341" s="386">
        <f t="shared" si="135"/>
        <v>8.3931884955738294</v>
      </c>
      <c r="AB341" s="197">
        <f t="shared" si="136"/>
        <v>43792</v>
      </c>
      <c r="AC341" s="426">
        <f>IF(OR(t&lt;Tnet,NoTnet),'2018'!Resal_s+('2018'!Salim-'2018'!Resal_s)*(1-EXP(('2018'!Tnet_s-t)/'2018'!Tau_j)),Resal_s+(Salim-Resal_s)*(1-EXP((Tnet_s-t)/Tau_j)))*Salcycl</f>
        <v>2.72156013542162E-2</v>
      </c>
      <c r="AD341" s="231">
        <f>(INDEX(Models!$BJ341:$BT341,,AH341)*(1-AF341)+INDEX(Models!$BJ341:$BT341,,AH341+1)*AF341-ERP_i)*AE341*Ramure*Pc/MaxiM</f>
        <v>1.094130363827998E-4</v>
      </c>
      <c r="AE341" s="305">
        <f t="shared" si="137"/>
        <v>0.5</v>
      </c>
      <c r="AF341" s="177">
        <f t="shared" si="138"/>
        <v>0.99700967571852939</v>
      </c>
      <c r="AG341" s="176">
        <f t="shared" si="139"/>
        <v>-2</v>
      </c>
      <c r="AH341" s="176">
        <f t="shared" si="140"/>
        <v>4</v>
      </c>
      <c r="AI341" s="225">
        <f t="shared" si="141"/>
        <v>-1.0029903242814706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7">
        <v>14.877000000000001</v>
      </c>
      <c r="C342" s="390"/>
      <c r="D342" s="393">
        <f t="shared" si="123"/>
        <v>15.0520244144623</v>
      </c>
      <c r="E342" s="385">
        <f t="shared" si="121"/>
        <v>15.473553003716958</v>
      </c>
      <c r="F342" s="385">
        <f t="shared" si="124"/>
        <v>15.474182111104609</v>
      </c>
      <c r="G342" s="110">
        <f t="shared" si="122"/>
        <v>0.55201949330116096</v>
      </c>
      <c r="H342" s="414" t="b">
        <f>Wh_hp&gt;='2018'!Maxi_hp</f>
        <v>0</v>
      </c>
      <c r="I342" s="390">
        <f>IF(H342,Wh_hp,'2018'!Maxi_hp)</f>
        <v>22.200171246280917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1.1627965092465109E-2</v>
      </c>
      <c r="M342" s="845"/>
      <c r="N342" s="845"/>
      <c r="O342" s="48">
        <f>IF(t&lt;Tnet,'2018'!Resal+('2018'!Salim-'2018'!Resal)*(1-EXP(('2018'!Tnet-t)/('2018'!Tau_j))),Resal+(Salim-Resal)*(1-EXP((Tnet-t)/(Tau_j))))*Salcycl</f>
        <v>2.7241874516693087E-2</v>
      </c>
      <c r="P342" s="169">
        <f>(INDEX(Models!$BJ342:$BT342,,T342)*(1-R342)+INDEX(Models!$BJ342:$BT342,,T342+1)*R342-ERP_i)*Q342*Ramure*Pc/MaxiM</f>
        <v>1.1290476113556602E-4</v>
      </c>
      <c r="Q342" s="305">
        <f t="shared" si="126"/>
        <v>0.5</v>
      </c>
      <c r="R342" s="177">
        <f t="shared" si="127"/>
        <v>0.99703160249827749</v>
      </c>
      <c r="S342" s="811">
        <f t="shared" si="128"/>
        <v>-2</v>
      </c>
      <c r="T342" s="176">
        <f t="shared" si="129"/>
        <v>4</v>
      </c>
      <c r="U342" s="251">
        <f t="shared" si="130"/>
        <v>-1.0029683975017225</v>
      </c>
      <c r="V342" s="383">
        <f t="shared" si="131"/>
        <v>26.948188028619544</v>
      </c>
      <c r="W342" s="58"/>
      <c r="X342" s="157">
        <f t="shared" si="132"/>
        <v>43793</v>
      </c>
      <c r="Y342" s="385">
        <f t="shared" si="133"/>
        <v>14.877000000000001</v>
      </c>
      <c r="Z342" s="385">
        <f t="shared" si="134"/>
        <v>15.0520244144623</v>
      </c>
      <c r="AA342" s="386">
        <f t="shared" si="135"/>
        <v>15.473553003716958</v>
      </c>
      <c r="AB342" s="197">
        <f t="shared" si="136"/>
        <v>43793</v>
      </c>
      <c r="AC342" s="426">
        <f>IF(OR(t&lt;Tnet,NoTnet),'2018'!Resal_s+('2018'!Salim-'2018'!Resal_s)*(1-EXP(('2018'!Tnet_s-t)/'2018'!Tau_j)),Resal_s+(Salim-Resal_s)*(1-EXP((Tnet_s-t)/Tau_j)))*Salcycl</f>
        <v>2.7241874516693087E-2</v>
      </c>
      <c r="AD342" s="231">
        <f>(INDEX(Models!$BJ342:$BT342,,AH342)*(1-AF342)+INDEX(Models!$BJ342:$BT342,,AH342+1)*AF342-ERP_i)*AE342*Ramure*Pc/MaxiM</f>
        <v>1.1290476113556602E-4</v>
      </c>
      <c r="AE342" s="305">
        <f t="shared" si="137"/>
        <v>0.5</v>
      </c>
      <c r="AF342" s="177">
        <f t="shared" si="138"/>
        <v>0.99703160249827749</v>
      </c>
      <c r="AG342" s="176">
        <f t="shared" si="139"/>
        <v>-2</v>
      </c>
      <c r="AH342" s="176">
        <f t="shared" si="140"/>
        <v>4</v>
      </c>
      <c r="AI342" s="225">
        <f t="shared" si="141"/>
        <v>-1.0029683975017225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7">
        <v>12.308</v>
      </c>
      <c r="C343" s="390"/>
      <c r="D343" s="393">
        <f t="shared" si="123"/>
        <v>12.453073486486977</v>
      </c>
      <c r="E343" s="385">
        <f t="shared" si="121"/>
        <v>12.802170174312382</v>
      </c>
      <c r="F343" s="385">
        <f t="shared" si="124"/>
        <v>12.802511283898632</v>
      </c>
      <c r="G343" s="110">
        <f t="shared" si="122"/>
        <v>0.46034608140323635</v>
      </c>
      <c r="H343" s="414" t="b">
        <f>Wh_hp&gt;='2018'!Maxi_hp</f>
        <v>0</v>
      </c>
      <c r="I343" s="390">
        <f>IF(H343,Wh_hp,'2018'!Maxi_hp)</f>
        <v>13.759431619908595</v>
      </c>
      <c r="J343" s="85">
        <f>IF(H343,An,'2018'!An_max)</f>
        <v>2018</v>
      </c>
      <c r="K343" s="197">
        <f t="shared" si="125"/>
        <v>43794</v>
      </c>
      <c r="L343" s="147">
        <f>IF(t&lt;Tvie,1-EXP((T0-t)*PertePVj)+'2018'!Pspv,1-EXP((T0-t)*PertePVj)+Pspv)</f>
        <v>1.1649612976619594E-2</v>
      </c>
      <c r="M343" s="845"/>
      <c r="N343" s="845"/>
      <c r="O343" s="48">
        <f>IF(t&lt;Tnet,'2018'!Resal+('2018'!Salim-'2018'!Resal)*(1-EXP(('2018'!Tnet-t)/('2018'!Tau_j))),Resal+(Salim-Resal)*(1-EXP((Tnet-t)/(Tau_j))))*Salcycl</f>
        <v>2.7268555492713981E-2</v>
      </c>
      <c r="P343" s="169">
        <f>(INDEX(Models!$BJ343:$BT343,,T343)*(1-R343)+INDEX(Models!$BJ343:$BT343,,T343+1)*R343-ERP_i)*Q343*Ramure*Pc/MaxiM</f>
        <v>1.1628579835061701E-4</v>
      </c>
      <c r="Q343" s="305">
        <f t="shared" si="126"/>
        <v>0.5</v>
      </c>
      <c r="R343" s="177">
        <f t="shared" si="127"/>
        <v>0.99705264824967488</v>
      </c>
      <c r="S343" s="811">
        <f t="shared" si="128"/>
        <v>-2</v>
      </c>
      <c r="T343" s="176">
        <f t="shared" si="129"/>
        <v>4</v>
      </c>
      <c r="U343" s="251">
        <f t="shared" si="130"/>
        <v>-1.0029473517503251</v>
      </c>
      <c r="V343" s="383">
        <f t="shared" si="131"/>
        <v>26.734009815680949</v>
      </c>
      <c r="W343" s="58"/>
      <c r="X343" s="157">
        <f t="shared" si="132"/>
        <v>43794</v>
      </c>
      <c r="Y343" s="385">
        <f t="shared" si="133"/>
        <v>12.308</v>
      </c>
      <c r="Z343" s="385">
        <f t="shared" si="134"/>
        <v>12.453073486486977</v>
      </c>
      <c r="AA343" s="386">
        <f t="shared" si="135"/>
        <v>12.802170174312382</v>
      </c>
      <c r="AB343" s="197">
        <f t="shared" si="136"/>
        <v>43794</v>
      </c>
      <c r="AC343" s="426">
        <f>IF(OR(t&lt;Tnet,NoTnet),'2018'!Resal_s+('2018'!Salim-'2018'!Resal_s)*(1-EXP(('2018'!Tnet_s-t)/'2018'!Tau_j)),Resal_s+(Salim-Resal_s)*(1-EXP((Tnet_s-t)/Tau_j)))*Salcycl</f>
        <v>2.7268555492713981E-2</v>
      </c>
      <c r="AD343" s="231">
        <f>(INDEX(Models!$BJ343:$BT343,,AH343)*(1-AF343)+INDEX(Models!$BJ343:$BT343,,AH343+1)*AF343-ERP_i)*AE343*Ramure*Pc/MaxiM</f>
        <v>1.1628579835061701E-4</v>
      </c>
      <c r="AE343" s="305">
        <f t="shared" si="137"/>
        <v>0.5</v>
      </c>
      <c r="AF343" s="177">
        <f t="shared" si="138"/>
        <v>0.99705264824967488</v>
      </c>
      <c r="AG343" s="176">
        <f t="shared" si="139"/>
        <v>-2</v>
      </c>
      <c r="AH343" s="176">
        <f t="shared" si="140"/>
        <v>4</v>
      </c>
      <c r="AI343" s="225">
        <f t="shared" si="141"/>
        <v>-1.0029473517503251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7">
        <v>19.038</v>
      </c>
      <c r="C344" s="390"/>
      <c r="D344" s="393">
        <f t="shared" si="123"/>
        <v>19.262821404391804</v>
      </c>
      <c r="E344" s="385">
        <f t="shared" si="121"/>
        <v>19.803367218894618</v>
      </c>
      <c r="F344" s="385">
        <f t="shared" si="124"/>
        <v>19.804780273833451</v>
      </c>
      <c r="G344" s="110">
        <f t="shared" si="122"/>
        <v>0.71771532688677075</v>
      </c>
      <c r="H344" s="414" t="b">
        <f>Wh_hp&gt;='2018'!Maxi_hp</f>
        <v>1</v>
      </c>
      <c r="I344" s="390">
        <f>IF(H344,Wh_hp,'2018'!Maxi_hp)</f>
        <v>19.804780273833451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1.16712603866298E-2</v>
      </c>
      <c r="M344" s="845"/>
      <c r="N344" s="845"/>
      <c r="O344" s="48">
        <f>IF(t&lt;Tnet,'2018'!Resal+('2018'!Salim-'2018'!Resal)*(1-EXP(('2018'!Tnet-t)/('2018'!Tau_j))),Resal+(Salim-Resal)*(1-EXP((Tnet-t)/(Tau_j))))*Salcycl</f>
        <v>2.7295651720636301E-2</v>
      </c>
      <c r="P344" s="169">
        <f>(INDEX(Models!$BJ344:$BT344,,T344)*(1-R344)+INDEX(Models!$BJ344:$BT344,,T344+1)*R344-ERP_i)*Q344*Ramure*Pc/MaxiM</f>
        <v>1.1955580649753537E-4</v>
      </c>
      <c r="Q344" s="305">
        <f t="shared" si="126"/>
        <v>0.5</v>
      </c>
      <c r="R344" s="177">
        <f t="shared" si="127"/>
        <v>0.99707284830307308</v>
      </c>
      <c r="S344" s="811">
        <f t="shared" si="128"/>
        <v>-2</v>
      </c>
      <c r="T344" s="176">
        <f t="shared" si="129"/>
        <v>4</v>
      </c>
      <c r="U344" s="251">
        <f t="shared" si="130"/>
        <v>-1.0029271516969269</v>
      </c>
      <c r="V344" s="383">
        <f t="shared" si="131"/>
        <v>26.524558503491825</v>
      </c>
      <c r="W344" s="58"/>
      <c r="X344" s="157">
        <f t="shared" si="132"/>
        <v>43795</v>
      </c>
      <c r="Y344" s="385">
        <f t="shared" si="133"/>
        <v>19.038</v>
      </c>
      <c r="Z344" s="385">
        <f t="shared" si="134"/>
        <v>19.262821404391804</v>
      </c>
      <c r="AA344" s="386">
        <f t="shared" si="135"/>
        <v>19.803367218894618</v>
      </c>
      <c r="AB344" s="197">
        <f t="shared" si="136"/>
        <v>43795</v>
      </c>
      <c r="AC344" s="426">
        <f>IF(OR(t&lt;Tnet,NoTnet),'2018'!Resal_s+('2018'!Salim-'2018'!Resal_s)*(1-EXP(('2018'!Tnet_s-t)/'2018'!Tau_j)),Resal_s+(Salim-Resal_s)*(1-EXP((Tnet_s-t)/Tau_j)))*Salcycl</f>
        <v>2.7295651720636301E-2</v>
      </c>
      <c r="AD344" s="231">
        <f>(INDEX(Models!$BJ344:$BT344,,AH344)*(1-AF344)+INDEX(Models!$BJ344:$BT344,,AH344+1)*AF344-ERP_i)*AE344*Ramure*Pc/MaxiM</f>
        <v>1.1955580649753537E-4</v>
      </c>
      <c r="AE344" s="305">
        <f t="shared" si="137"/>
        <v>0.5</v>
      </c>
      <c r="AF344" s="177">
        <f t="shared" si="138"/>
        <v>0.99707284830307308</v>
      </c>
      <c r="AG344" s="176">
        <f t="shared" si="139"/>
        <v>-2</v>
      </c>
      <c r="AH344" s="176">
        <f t="shared" si="140"/>
        <v>4</v>
      </c>
      <c r="AI344" s="225">
        <f t="shared" si="141"/>
        <v>-1.0029271516969269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7">
        <v>19.78</v>
      </c>
      <c r="C345" s="390"/>
      <c r="D345" s="393">
        <f t="shared" si="123"/>
        <v>20.014022105631742</v>
      </c>
      <c r="E345" s="385">
        <f t="shared" si="121"/>
        <v>20.57622991108359</v>
      </c>
      <c r="F345" s="385">
        <f t="shared" si="124"/>
        <v>20.577859300230649</v>
      </c>
      <c r="G345" s="110">
        <f t="shared" si="122"/>
        <v>0.75158560212311876</v>
      </c>
      <c r="H345" s="414" t="b">
        <f>Wh_hp&gt;='2018'!Maxi_hp</f>
        <v>0</v>
      </c>
      <c r="I345" s="390">
        <f>IF(H345,Wh_hp,'2018'!Maxi_hp)</f>
        <v>25.130362962848679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1.1692907322506163E-2</v>
      </c>
      <c r="M345" s="845"/>
      <c r="N345" s="845"/>
      <c r="O345" s="48">
        <f>IF(t&lt;Tnet,'2018'!Resal+('2018'!Salim-'2018'!Resal)*(1-EXP(('2018'!Tnet-t)/('2018'!Tau_j))),Resal+(Salim-Resal)*(1-EXP((Tnet-t)/(Tau_j))))*Salcycl</f>
        <v>2.7323168912931399E-2</v>
      </c>
      <c r="P345" s="169">
        <f>(INDEX(Models!$BJ345:$BT345,,T345)*(1-R345)+INDEX(Models!$BJ345:$BT345,,T345+1)*R345-ERP_i)*Q345*Ramure*Pc/MaxiM</f>
        <v>1.2273010311076416E-4</v>
      </c>
      <c r="Q345" s="305">
        <f t="shared" si="126"/>
        <v>0.5</v>
      </c>
      <c r="R345" s="177">
        <f t="shared" si="127"/>
        <v>0.99709223657753365</v>
      </c>
      <c r="S345" s="811">
        <f t="shared" si="128"/>
        <v>-2</v>
      </c>
      <c r="T345" s="176">
        <f t="shared" si="129"/>
        <v>4</v>
      </c>
      <c r="U345" s="251">
        <f t="shared" si="130"/>
        <v>-1.0029077634224663</v>
      </c>
      <c r="V345" s="383">
        <f t="shared" si="131"/>
        <v>26.316547959135402</v>
      </c>
      <c r="W345" s="58"/>
      <c r="X345" s="157">
        <f t="shared" si="132"/>
        <v>43796</v>
      </c>
      <c r="Y345" s="385">
        <f t="shared" si="133"/>
        <v>19.78</v>
      </c>
      <c r="Z345" s="385">
        <f t="shared" si="134"/>
        <v>20.014022105631742</v>
      </c>
      <c r="AA345" s="386">
        <f t="shared" si="135"/>
        <v>20.57622991108359</v>
      </c>
      <c r="AB345" s="197">
        <f t="shared" si="136"/>
        <v>43796</v>
      </c>
      <c r="AC345" s="426">
        <f>IF(OR(t&lt;Tnet,NoTnet),'2018'!Resal_s+('2018'!Salim-'2018'!Resal_s)*(1-EXP(('2018'!Tnet_s-t)/'2018'!Tau_j)),Resal_s+(Salim-Resal_s)*(1-EXP((Tnet_s-t)/Tau_j)))*Salcycl</f>
        <v>2.7323168912931399E-2</v>
      </c>
      <c r="AD345" s="231">
        <f>(INDEX(Models!$BJ345:$BT345,,AH345)*(1-AF345)+INDEX(Models!$BJ345:$BT345,,AH345+1)*AF345-ERP_i)*AE345*Ramure*Pc/MaxiM</f>
        <v>1.2273010311076416E-4</v>
      </c>
      <c r="AE345" s="305">
        <f t="shared" si="137"/>
        <v>0.5</v>
      </c>
      <c r="AF345" s="177">
        <f t="shared" si="138"/>
        <v>0.99709223657753365</v>
      </c>
      <c r="AG345" s="176">
        <f t="shared" si="139"/>
        <v>-2</v>
      </c>
      <c r="AH345" s="176">
        <f t="shared" si="140"/>
        <v>4</v>
      </c>
      <c r="AI345" s="225">
        <f t="shared" si="141"/>
        <v>-1.0029077634224663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7">
        <v>11.275</v>
      </c>
      <c r="C346" s="390"/>
      <c r="D346" s="393">
        <f t="shared" si="123"/>
        <v>11.408647211363151</v>
      </c>
      <c r="E346" s="385">
        <f t="shared" si="121"/>
        <v>11.729461001909414</v>
      </c>
      <c r="F346" s="385">
        <f t="shared" si="124"/>
        <v>11.729738656575828</v>
      </c>
      <c r="G346" s="110">
        <f t="shared" si="122"/>
        <v>0.4318226784827004</v>
      </c>
      <c r="H346" s="414" t="b">
        <f>Wh_hp&gt;='2018'!Maxi_hp</f>
        <v>0</v>
      </c>
      <c r="I346" s="390">
        <f>IF(H346,Wh_hp,'2018'!Maxi_hp)</f>
        <v>18.630206084198146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1.1714553784259119E-2</v>
      </c>
      <c r="M346" s="845"/>
      <c r="N346" s="845"/>
      <c r="O346" s="48">
        <f>IF(t&lt;Tnet,'2018'!Resal+('2018'!Salim-'2018'!Resal)*(1-EXP(('2018'!Tnet-t)/('2018'!Tau_j))),Resal+(Salim-Resal)*(1-EXP((Tnet-t)/(Tau_j))))*Salcycl</f>
        <v>2.7351111060775719E-2</v>
      </c>
      <c r="P346" s="169">
        <f>(INDEX(Models!$BJ346:$BT346,,T346)*(1-R346)+INDEX(Models!$BJ346:$BT346,,T346+1)*R346-ERP_i)*Q346*Ramure*Pc/MaxiM</f>
        <v>1.2565491109798468E-4</v>
      </c>
      <c r="Q346" s="305">
        <f t="shared" si="126"/>
        <v>0.5</v>
      </c>
      <c r="R346" s="177">
        <f t="shared" si="127"/>
        <v>0.99711084563676833</v>
      </c>
      <c r="S346" s="811">
        <f t="shared" si="128"/>
        <v>-2</v>
      </c>
      <c r="T346" s="176">
        <f t="shared" si="129"/>
        <v>4</v>
      </c>
      <c r="U346" s="251">
        <f t="shared" si="130"/>
        <v>-1.0028891543632317</v>
      </c>
      <c r="V346" s="383">
        <f t="shared" si="131"/>
        <v>26.10759153228825</v>
      </c>
      <c r="W346" s="58"/>
      <c r="X346" s="157">
        <f t="shared" si="132"/>
        <v>43797</v>
      </c>
      <c r="Y346" s="385">
        <f t="shared" si="133"/>
        <v>11.275</v>
      </c>
      <c r="Z346" s="385">
        <f t="shared" si="134"/>
        <v>11.408647211363151</v>
      </c>
      <c r="AA346" s="386">
        <f t="shared" si="135"/>
        <v>11.729461001909414</v>
      </c>
      <c r="AB346" s="197">
        <f t="shared" si="136"/>
        <v>43797</v>
      </c>
      <c r="AC346" s="426">
        <f>IF(OR(t&lt;Tnet,NoTnet),'2018'!Resal_s+('2018'!Salim-'2018'!Resal_s)*(1-EXP(('2018'!Tnet_s-t)/'2018'!Tau_j)),Resal_s+(Salim-Resal_s)*(1-EXP((Tnet_s-t)/Tau_j)))*Salcycl</f>
        <v>2.7351111060775719E-2</v>
      </c>
      <c r="AD346" s="231">
        <f>(INDEX(Models!$BJ346:$BT346,,AH346)*(1-AF346)+INDEX(Models!$BJ346:$BT346,,AH346+1)*AF346-ERP_i)*AE346*Ramure*Pc/MaxiM</f>
        <v>1.2565491109798468E-4</v>
      </c>
      <c r="AE346" s="305">
        <f t="shared" si="137"/>
        <v>0.5</v>
      </c>
      <c r="AF346" s="177">
        <f t="shared" si="138"/>
        <v>0.99711084563676833</v>
      </c>
      <c r="AG346" s="176">
        <f t="shared" si="139"/>
        <v>-2</v>
      </c>
      <c r="AH346" s="176">
        <f t="shared" si="140"/>
        <v>4</v>
      </c>
      <c r="AI346" s="225">
        <f t="shared" si="141"/>
        <v>-1.0028891543632317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7">
        <v>19.518999999999998</v>
      </c>
      <c r="C347" s="390"/>
      <c r="D347" s="393">
        <f t="shared" si="123"/>
        <v>19.750799326551089</v>
      </c>
      <c r="E347" s="385">
        <f t="shared" si="121"/>
        <v>20.30678864936295</v>
      </c>
      <c r="F347" s="385">
        <f t="shared" si="124"/>
        <v>20.308476597643072</v>
      </c>
      <c r="G347" s="110">
        <f t="shared" si="122"/>
        <v>0.75362046396610771</v>
      </c>
      <c r="H347" s="414" t="b">
        <f>Wh_hp&gt;='2018'!Maxi_hp</f>
        <v>0</v>
      </c>
      <c r="I347" s="390">
        <f>IF(H347,Wh_hp,'2018'!Maxi_hp)</f>
        <v>26.41641779115476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1.1736199771898992E-2</v>
      </c>
      <c r="M347" s="845"/>
      <c r="N347" s="845"/>
      <c r="O347" s="48">
        <f>IF(t&lt;Tnet,'2018'!Resal+('2018'!Salim-'2018'!Resal)*(1-EXP(('2018'!Tnet-t)/('2018'!Tau_j))),Resal+(Salim-Resal)*(1-EXP((Tnet-t)/(Tau_j))))*Salcycl</f>
        <v>2.7379480449229145E-2</v>
      </c>
      <c r="P347" s="169">
        <f>(INDEX(Models!$BJ347:$BT347,,T347)*(1-R347)+INDEX(Models!$BJ347:$BT347,,T347+1)*R347-ERP_i)*Q347*Ramure*Pc/MaxiM</f>
        <v>1.2824918755933236E-4</v>
      </c>
      <c r="Q347" s="305">
        <f t="shared" si="126"/>
        <v>0.5</v>
      </c>
      <c r="R347" s="177">
        <f t="shared" si="127"/>
        <v>0.99712870674289755</v>
      </c>
      <c r="S347" s="811">
        <f t="shared" si="128"/>
        <v>-2</v>
      </c>
      <c r="T347" s="176">
        <f t="shared" si="129"/>
        <v>4</v>
      </c>
      <c r="U347" s="251">
        <f t="shared" si="130"/>
        <v>-1.0028712932571024</v>
      </c>
      <c r="V347" s="383">
        <f t="shared" si="131"/>
        <v>25.899136096616264</v>
      </c>
      <c r="W347" s="58"/>
      <c r="X347" s="157">
        <f t="shared" si="132"/>
        <v>43798</v>
      </c>
      <c r="Y347" s="385">
        <f t="shared" si="133"/>
        <v>19.518999999999998</v>
      </c>
      <c r="Z347" s="385">
        <f t="shared" si="134"/>
        <v>19.750799326551089</v>
      </c>
      <c r="AA347" s="386">
        <f t="shared" si="135"/>
        <v>20.30678864936295</v>
      </c>
      <c r="AB347" s="197">
        <f t="shared" si="136"/>
        <v>43798</v>
      </c>
      <c r="AC347" s="426">
        <f>IF(OR(t&lt;Tnet,NoTnet),'2018'!Resal_s+('2018'!Salim-'2018'!Resal_s)*(1-EXP(('2018'!Tnet_s-t)/'2018'!Tau_j)),Resal_s+(Salim-Resal_s)*(1-EXP((Tnet_s-t)/Tau_j)))*Salcycl</f>
        <v>2.7379480449229145E-2</v>
      </c>
      <c r="AD347" s="231">
        <f>(INDEX(Models!$BJ347:$BT347,,AH347)*(1-AF347)+INDEX(Models!$BJ347:$BT347,,AH347+1)*AF347-ERP_i)*AE347*Ramure*Pc/MaxiM</f>
        <v>1.2824918755933236E-4</v>
      </c>
      <c r="AE347" s="305">
        <f t="shared" si="137"/>
        <v>0.5</v>
      </c>
      <c r="AF347" s="177">
        <f t="shared" si="138"/>
        <v>0.99712870674289755</v>
      </c>
      <c r="AG347" s="176">
        <f t="shared" si="139"/>
        <v>-2</v>
      </c>
      <c r="AH347" s="176">
        <f t="shared" si="140"/>
        <v>4</v>
      </c>
      <c r="AI347" s="225">
        <f t="shared" si="141"/>
        <v>-1.0028712932571024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7">
        <v>11.516</v>
      </c>
      <c r="C348" s="390"/>
      <c r="D348" s="393">
        <f t="shared" si="123"/>
        <v>11.653014339715341</v>
      </c>
      <c r="E348" s="385">
        <f t="shared" si="121"/>
        <v>11.981403987227154</v>
      </c>
      <c r="F348" s="385">
        <f t="shared" si="124"/>
        <v>11.981735087822628</v>
      </c>
      <c r="G348" s="110">
        <f t="shared" si="122"/>
        <v>0.44817587589928071</v>
      </c>
      <c r="H348" s="414" t="b">
        <f>Wh_hp&gt;='2018'!Maxi_hp</f>
        <v>1</v>
      </c>
      <c r="I348" s="390">
        <f>IF(H348,Wh_hp,'2018'!Maxi_hp)</f>
        <v>11.981735087822628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1.1757845285436108E-2</v>
      </c>
      <c r="M348" s="845"/>
      <c r="N348" s="845"/>
      <c r="O348" s="48">
        <f>IF(t&lt;Tnet,'2018'!Resal+('2018'!Salim-'2018'!Resal)*(1-EXP(('2018'!Tnet-t)/('2018'!Tau_j))),Resal+(Salim-Resal)*(1-EXP((Tnet-t)/(Tau_j))))*Salcycl</f>
        <v>2.7408277682806931E-2</v>
      </c>
      <c r="P348" s="169">
        <f>(INDEX(Models!$BJ348:$BT348,,T348)*(1-R348)+INDEX(Models!$BJ348:$BT348,,T348+1)*R348-ERP_i)*Q348*Ramure*Pc/MaxiM</f>
        <v>1.3050455202923483E-4</v>
      </c>
      <c r="Q348" s="305">
        <f t="shared" si="126"/>
        <v>0.5</v>
      </c>
      <c r="R348" s="177">
        <f t="shared" si="127"/>
        <v>0.99714584990810673</v>
      </c>
      <c r="S348" s="811">
        <f t="shared" si="128"/>
        <v>-2</v>
      </c>
      <c r="T348" s="176">
        <f t="shared" si="129"/>
        <v>4</v>
      </c>
      <c r="U348" s="251">
        <f t="shared" si="130"/>
        <v>-1.0028541500918933</v>
      </c>
      <c r="V348" s="383">
        <f t="shared" si="131"/>
        <v>25.692626325128131</v>
      </c>
      <c r="W348" s="58"/>
      <c r="X348" s="157">
        <f t="shared" si="132"/>
        <v>43799</v>
      </c>
      <c r="Y348" s="385">
        <f t="shared" si="133"/>
        <v>11.516</v>
      </c>
      <c r="Z348" s="385">
        <f t="shared" si="134"/>
        <v>11.653014339715341</v>
      </c>
      <c r="AA348" s="386">
        <f t="shared" si="135"/>
        <v>11.981403987227154</v>
      </c>
      <c r="AB348" s="197">
        <f t="shared" si="136"/>
        <v>43799</v>
      </c>
      <c r="AC348" s="426">
        <f>IF(OR(t&lt;Tnet,NoTnet),'2018'!Resal_s+('2018'!Salim-'2018'!Resal_s)*(1-EXP(('2018'!Tnet_s-t)/'2018'!Tau_j)),Resal_s+(Salim-Resal_s)*(1-EXP((Tnet_s-t)/Tau_j)))*Salcycl</f>
        <v>2.7408277682806931E-2</v>
      </c>
      <c r="AD348" s="231">
        <f>(INDEX(Models!$BJ348:$BT348,,AH348)*(1-AF348)+INDEX(Models!$BJ348:$BT348,,AH348+1)*AF348-ERP_i)*AE348*Ramure*Pc/MaxiM</f>
        <v>1.3050455202923483E-4</v>
      </c>
      <c r="AE348" s="305">
        <f t="shared" si="137"/>
        <v>0.5</v>
      </c>
      <c r="AF348" s="177">
        <f t="shared" si="138"/>
        <v>0.99714584990810673</v>
      </c>
      <c r="AG348" s="176">
        <f t="shared" si="139"/>
        <v>-2</v>
      </c>
      <c r="AH348" s="176">
        <f t="shared" si="140"/>
        <v>4</v>
      </c>
      <c r="AI348" s="225">
        <f t="shared" si="141"/>
        <v>-1.0028541500918933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7">
        <v>7.34</v>
      </c>
      <c r="C349" s="390"/>
      <c r="D349" s="393">
        <f t="shared" si="123"/>
        <v>7.4274920709883379</v>
      </c>
      <c r="E349" s="385">
        <f t="shared" si="121"/>
        <v>7.6370331820658972</v>
      </c>
      <c r="F349" s="385">
        <f t="shared" si="124"/>
        <v>7.6370331820658972</v>
      </c>
      <c r="G349" s="110">
        <f t="shared" si="122"/>
        <v>0.28792350514384801</v>
      </c>
      <c r="H349" s="414" t="b">
        <f>Wh_hp&gt;='2018'!Maxi_hp</f>
        <v>0</v>
      </c>
      <c r="I349" s="390">
        <f>IF(H349,Wh_hp,'2018'!Maxi_hp)</f>
        <v>19.027006021299115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1.1779490324881015E-2</v>
      </c>
      <c r="M349" s="845"/>
      <c r="N349" s="845"/>
      <c r="O349" s="48">
        <f>IF(t&lt;Tnet,'2018'!Resal+('2018'!Salim-'2018'!Resal)*(1-EXP(('2018'!Tnet-t)/('2018'!Tau_j))),Resal+(Salim-Resal)*(1-EXP((Tnet-t)/(Tau_j))))*Salcycl</f>
        <v>2.7437501721169166E-2</v>
      </c>
      <c r="P349" s="169">
        <f>(INDEX(Models!$BJ349:$BT349,,T349)*(1-R349)+INDEX(Models!$BJ349:$BT349,,T349+1)*R349-ERP_i)*Q349*Ramure*Pc/MaxiM</f>
        <v>1.3241139491710184E-4</v>
      </c>
      <c r="Q349" s="305">
        <f t="shared" si="126"/>
        <v>0.5</v>
      </c>
      <c r="R349" s="177">
        <f t="shared" si="127"/>
        <v>0.99716230394428207</v>
      </c>
      <c r="S349" s="811">
        <f t="shared" si="128"/>
        <v>-2</v>
      </c>
      <c r="T349" s="176">
        <f t="shared" si="129"/>
        <v>4</v>
      </c>
      <c r="U349" s="251">
        <f t="shared" si="130"/>
        <v>-1.0028376960557179</v>
      </c>
      <c r="V349" s="383">
        <f t="shared" si="131"/>
        <v>25.489506654535528</v>
      </c>
      <c r="W349" s="58"/>
      <c r="X349" s="157">
        <f t="shared" si="132"/>
        <v>43800</v>
      </c>
      <c r="Y349" s="385">
        <f t="shared" si="133"/>
        <v>7.34</v>
      </c>
      <c r="Z349" s="385">
        <f t="shared" si="134"/>
        <v>7.4274920709883379</v>
      </c>
      <c r="AA349" s="386">
        <f t="shared" si="135"/>
        <v>7.6370331820658972</v>
      </c>
      <c r="AB349" s="197">
        <f t="shared" si="136"/>
        <v>43800</v>
      </c>
      <c r="AC349" s="426">
        <f>IF(OR(t&lt;Tnet,NoTnet),'2018'!Resal_s+('2018'!Salim-'2018'!Resal_s)*(1-EXP(('2018'!Tnet_s-t)/'2018'!Tau_j)),Resal_s+(Salim-Resal_s)*(1-EXP((Tnet_s-t)/Tau_j)))*Salcycl</f>
        <v>2.7437501721169166E-2</v>
      </c>
      <c r="AD349" s="231">
        <f>(INDEX(Models!$BJ349:$BT349,,AH349)*(1-AF349)+INDEX(Models!$BJ349:$BT349,,AH349+1)*AF349-ERP_i)*AE349*Ramure*Pc/MaxiM</f>
        <v>1.3241139491710184E-4</v>
      </c>
      <c r="AE349" s="305">
        <f t="shared" si="137"/>
        <v>0.5</v>
      </c>
      <c r="AF349" s="177">
        <f t="shared" si="138"/>
        <v>0.99716230394428207</v>
      </c>
      <c r="AG349" s="176">
        <f t="shared" si="139"/>
        <v>-2</v>
      </c>
      <c r="AH349" s="176">
        <f t="shared" si="140"/>
        <v>4</v>
      </c>
      <c r="AI349" s="225">
        <f t="shared" si="141"/>
        <v>-1.0028376960557179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7">
        <v>4.0599999999999996</v>
      </c>
      <c r="C350" s="390"/>
      <c r="D350" s="393">
        <f t="shared" si="123"/>
        <v>4.1084847831201152</v>
      </c>
      <c r="E350" s="385">
        <f t="shared" si="121"/>
        <v>4.2245203159990652</v>
      </c>
      <c r="F350" s="385">
        <f t="shared" si="124"/>
        <v>4.2245203159990652</v>
      </c>
      <c r="G350" s="110">
        <f t="shared" si="122"/>
        <v>0.16050850547905685</v>
      </c>
      <c r="H350" s="414" t="b">
        <f>Wh_hp&gt;='2018'!Maxi_hp</f>
        <v>0</v>
      </c>
      <c r="I350" s="390">
        <f>IF(H350,Wh_hp,'2018'!Maxi_hp)</f>
        <v>7.4365611729539358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1.1801134890244036E-2</v>
      </c>
      <c r="M350" s="845"/>
      <c r="N350" s="845"/>
      <c r="O350" s="48">
        <f>IF(t&lt;Tnet,'2018'!Resal+('2018'!Salim-'2018'!Resal)*(1-EXP(('2018'!Tnet-t)/('2018'!Tau_j))),Resal+(Salim-Resal)*(1-EXP((Tnet-t)/(Tau_j))))*Salcycl</f>
        <v>2.746714992457281E-2</v>
      </c>
      <c r="P350" s="169">
        <f>(INDEX(Models!$BJ350:$BT350,,T350)*(1-R350)+INDEX(Models!$BJ350:$BT350,,T350+1)*R350-ERP_i)*Q350*Ramure*Pc/MaxiM</f>
        <v>1.3395902747218385E-4</v>
      </c>
      <c r="Q350" s="305">
        <f t="shared" si="126"/>
        <v>0.5</v>
      </c>
      <c r="R350" s="177">
        <f t="shared" si="127"/>
        <v>0.99717809651070421</v>
      </c>
      <c r="S350" s="811">
        <f t="shared" si="128"/>
        <v>-2</v>
      </c>
      <c r="T350" s="176">
        <f t="shared" si="129"/>
        <v>4</v>
      </c>
      <c r="U350" s="251">
        <f t="shared" si="130"/>
        <v>-1.0028219034892958</v>
      </c>
      <c r="V350" s="383">
        <f t="shared" si="131"/>
        <v>25.291221261032433</v>
      </c>
      <c r="W350" s="58"/>
      <c r="X350" s="157">
        <f t="shared" si="132"/>
        <v>43801</v>
      </c>
      <c r="Y350" s="385">
        <f t="shared" si="133"/>
        <v>4.0599999999999996</v>
      </c>
      <c r="Z350" s="385">
        <f t="shared" si="134"/>
        <v>4.1084847831201152</v>
      </c>
      <c r="AA350" s="386">
        <f t="shared" si="135"/>
        <v>4.2245203159990652</v>
      </c>
      <c r="AB350" s="197">
        <f t="shared" si="136"/>
        <v>43801</v>
      </c>
      <c r="AC350" s="426">
        <f>IF(OR(t&lt;Tnet,NoTnet),'2018'!Resal_s+('2018'!Salim-'2018'!Resal_s)*(1-EXP(('2018'!Tnet_s-t)/'2018'!Tau_j)),Resal_s+(Salim-Resal_s)*(1-EXP((Tnet_s-t)/Tau_j)))*Salcycl</f>
        <v>2.746714992457281E-2</v>
      </c>
      <c r="AD350" s="231">
        <f>(INDEX(Models!$BJ350:$BT350,,AH350)*(1-AF350)+INDEX(Models!$BJ350:$BT350,,AH350+1)*AF350-ERP_i)*AE350*Ramure*Pc/MaxiM</f>
        <v>1.3395902747218385E-4</v>
      </c>
      <c r="AE350" s="305">
        <f t="shared" si="137"/>
        <v>0.5</v>
      </c>
      <c r="AF350" s="177">
        <f t="shared" si="138"/>
        <v>0.99717809651070421</v>
      </c>
      <c r="AG350" s="176">
        <f t="shared" si="139"/>
        <v>-2</v>
      </c>
      <c r="AH350" s="176">
        <f t="shared" si="140"/>
        <v>4</v>
      </c>
      <c r="AI350" s="225">
        <f t="shared" si="141"/>
        <v>-1.0028219034892958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7">
        <v>4.5659999999999998</v>
      </c>
      <c r="C351" s="390"/>
      <c r="D351" s="393">
        <f t="shared" si="123"/>
        <v>4.6206286715393547</v>
      </c>
      <c r="E351" s="385">
        <f t="shared" si="121"/>
        <v>4.7512755311126753</v>
      </c>
      <c r="F351" s="385">
        <f t="shared" si="124"/>
        <v>4.7512755311126753</v>
      </c>
      <c r="G351" s="110">
        <f t="shared" si="122"/>
        <v>0.1818934632057658</v>
      </c>
      <c r="H351" s="414" t="b">
        <f>Wh_hp&gt;='2018'!Maxi_hp</f>
        <v>0</v>
      </c>
      <c r="I351" s="390">
        <f>IF(H351,Wh_hp,'2018'!Maxi_hp)</f>
        <v>8.0123989333500703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1.1822778981535387E-2</v>
      </c>
      <c r="M351" s="845"/>
      <c r="N351" s="845"/>
      <c r="O351" s="48">
        <f>IF(t&lt;Tnet,'2018'!Resal+('2018'!Salim-'2018'!Resal)*(1-EXP(('2018'!Tnet-t)/('2018'!Tau_j))),Resal+(Salim-Resal)*(1-EXP((Tnet-t)/(Tau_j))))*Salcycl</f>
        <v>2.749721810865504E-2</v>
      </c>
      <c r="P351" s="169">
        <f>(INDEX(Models!$BJ351:$BT351,,T351)*(1-R351)+INDEX(Models!$BJ351:$BT351,,T351+1)*R351-ERP_i)*Q351*Ramure*Pc/MaxiM</f>
        <v>1.3513585803188088E-4</v>
      </c>
      <c r="Q351" s="305">
        <f t="shared" si="126"/>
        <v>0.5</v>
      </c>
      <c r="R351" s="177">
        <f t="shared" si="127"/>
        <v>0.9971932541598667</v>
      </c>
      <c r="S351" s="811">
        <f t="shared" si="128"/>
        <v>-2</v>
      </c>
      <c r="T351" s="176">
        <f t="shared" si="129"/>
        <v>4</v>
      </c>
      <c r="U351" s="251">
        <f t="shared" si="130"/>
        <v>-1.0028067458401333</v>
      </c>
      <c r="V351" s="383">
        <f t="shared" si="131"/>
        <v>25.0992140630566</v>
      </c>
      <c r="W351" s="58"/>
      <c r="X351" s="157">
        <f t="shared" si="132"/>
        <v>43802</v>
      </c>
      <c r="Y351" s="385">
        <f t="shared" si="133"/>
        <v>4.5659999999999998</v>
      </c>
      <c r="Z351" s="385">
        <f t="shared" si="134"/>
        <v>4.6206286715393547</v>
      </c>
      <c r="AA351" s="386">
        <f t="shared" si="135"/>
        <v>4.7512755311126753</v>
      </c>
      <c r="AB351" s="197">
        <f t="shared" si="136"/>
        <v>43802</v>
      </c>
      <c r="AC351" s="426">
        <f>IF(OR(t&lt;Tnet,NoTnet),'2018'!Resal_s+('2018'!Salim-'2018'!Resal_s)*(1-EXP(('2018'!Tnet_s-t)/'2018'!Tau_j)),Resal_s+(Salim-Resal_s)*(1-EXP((Tnet_s-t)/Tau_j)))*Salcycl</f>
        <v>2.749721810865504E-2</v>
      </c>
      <c r="AD351" s="231">
        <f>(INDEX(Models!$BJ351:$BT351,,AH351)*(1-AF351)+INDEX(Models!$BJ351:$BT351,,AH351+1)*AF351-ERP_i)*AE351*Ramure*Pc/MaxiM</f>
        <v>1.3513585803188088E-4</v>
      </c>
      <c r="AE351" s="305">
        <f t="shared" si="137"/>
        <v>0.5</v>
      </c>
      <c r="AF351" s="177">
        <f t="shared" si="138"/>
        <v>0.9971932541598667</v>
      </c>
      <c r="AG351" s="176">
        <f t="shared" si="139"/>
        <v>-2</v>
      </c>
      <c r="AH351" s="176">
        <f t="shared" si="140"/>
        <v>4</v>
      </c>
      <c r="AI351" s="225">
        <f t="shared" si="141"/>
        <v>-1.0028067458401333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7">
        <v>6.2249999999999996</v>
      </c>
      <c r="C352" s="390"/>
      <c r="D352" s="393">
        <f t="shared" si="123"/>
        <v>6.2996153058926447</v>
      </c>
      <c r="E352" s="385">
        <f t="shared" si="121"/>
        <v>6.4779380449515322</v>
      </c>
      <c r="F352" s="385">
        <f t="shared" si="124"/>
        <v>6.4779380449515322</v>
      </c>
      <c r="G352" s="110">
        <f t="shared" si="122"/>
        <v>0.2498162411336021</v>
      </c>
      <c r="H352" s="414" t="b">
        <f>Wh_hp&gt;='2018'!Maxi_hp</f>
        <v>1</v>
      </c>
      <c r="I352" s="390">
        <f>IF(H352,Wh_hp,'2018'!Maxi_hp)</f>
        <v>6.4779380449515322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1.1844422598765725E-2</v>
      </c>
      <c r="M352" s="845"/>
      <c r="N352" s="845"/>
      <c r="O352" s="48">
        <f>IF(t&lt;Tnet,'2018'!Resal+('2018'!Salim-'2018'!Resal)*(1-EXP(('2018'!Tnet-t)/('2018'!Tau_j))),Resal+(Salim-Resal)*(1-EXP((Tnet-t)/(Tau_j))))*Salcycl</f>
        <v>2.7527700608044593E-2</v>
      </c>
      <c r="P352" s="169">
        <f>(INDEX(Models!$BJ352:$BT352,,T352)*(1-R352)+INDEX(Models!$BJ352:$BT352,,T352+1)*R352-ERP_i)*Q352*Ramure*Pc/MaxiM</f>
        <v>1.3598871238409009E-4</v>
      </c>
      <c r="Q352" s="305">
        <f t="shared" si="126"/>
        <v>0.5</v>
      </c>
      <c r="R352" s="177">
        <f t="shared" si="127"/>
        <v>0.99720780238150164</v>
      </c>
      <c r="S352" s="811">
        <f t="shared" si="128"/>
        <v>-2</v>
      </c>
      <c r="T352" s="176">
        <f t="shared" si="129"/>
        <v>4</v>
      </c>
      <c r="U352" s="251">
        <f t="shared" si="130"/>
        <v>-1.0027921976184984</v>
      </c>
      <c r="V352" s="383">
        <f t="shared" si="131"/>
        <v>24.914927236202878</v>
      </c>
      <c r="W352" s="58"/>
      <c r="X352" s="157">
        <f t="shared" si="132"/>
        <v>43803</v>
      </c>
      <c r="Y352" s="385">
        <f t="shared" si="133"/>
        <v>6.2249999999999996</v>
      </c>
      <c r="Z352" s="385">
        <f t="shared" si="134"/>
        <v>6.2996153058926447</v>
      </c>
      <c r="AA352" s="386">
        <f t="shared" si="135"/>
        <v>6.4779380449515322</v>
      </c>
      <c r="AB352" s="197">
        <f t="shared" si="136"/>
        <v>43803</v>
      </c>
      <c r="AC352" s="426">
        <f>IF(OR(t&lt;Tnet,NoTnet),'2018'!Resal_s+('2018'!Salim-'2018'!Resal_s)*(1-EXP(('2018'!Tnet_s-t)/'2018'!Tau_j)),Resal_s+(Salim-Resal_s)*(1-EXP((Tnet_s-t)/Tau_j)))*Salcycl</f>
        <v>2.7527700608044593E-2</v>
      </c>
      <c r="AD352" s="231">
        <f>(INDEX(Models!$BJ352:$BT352,,AH352)*(1-AF352)+INDEX(Models!$BJ352:$BT352,,AH352+1)*AF352-ERP_i)*AE352*Ramure*Pc/MaxiM</f>
        <v>1.3598871238409009E-4</v>
      </c>
      <c r="AE352" s="305">
        <f t="shared" si="137"/>
        <v>0.5</v>
      </c>
      <c r="AF352" s="177">
        <f t="shared" si="138"/>
        <v>0.99720780238150164</v>
      </c>
      <c r="AG352" s="176">
        <f t="shared" si="139"/>
        <v>-2</v>
      </c>
      <c r="AH352" s="176">
        <f t="shared" si="140"/>
        <v>4</v>
      </c>
      <c r="AI352" s="225">
        <f t="shared" si="141"/>
        <v>-1.0027921976184984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7">
        <v>9.4819999999999993</v>
      </c>
      <c r="C353" s="390"/>
      <c r="D353" s="393">
        <f t="shared" si="123"/>
        <v>9.5958651669215325</v>
      </c>
      <c r="E353" s="385">
        <f t="shared" si="121"/>
        <v>9.8678080465102838</v>
      </c>
      <c r="F353" s="385">
        <f t="shared" si="124"/>
        <v>9.8679685328122364</v>
      </c>
      <c r="G353" s="110">
        <f t="shared" si="122"/>
        <v>0.38322291419214843</v>
      </c>
      <c r="H353" s="414" t="b">
        <f>Wh_hp&gt;='2018'!Maxi_hp</f>
        <v>0</v>
      </c>
      <c r="I353" s="390">
        <f>IF(H353,Wh_hp,'2018'!Maxi_hp)</f>
        <v>19.604054954984996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1.1866065741945264E-2</v>
      </c>
      <c r="M353" s="845"/>
      <c r="N353" s="845"/>
      <c r="O353" s="48">
        <f>IF(t&lt;Tnet,'2018'!Resal+('2018'!Salim-'2018'!Resal)*(1-EXP(('2018'!Tnet-t)/('2018'!Tau_j))),Resal+(Salim-Resal)*(1-EXP((Tnet-t)/(Tau_j))))*Salcycl</f>
        <v>2.7558590348230605E-2</v>
      </c>
      <c r="P353" s="169">
        <f>(INDEX(Models!$BJ353:$BT353,,T353)*(1-R353)+INDEX(Models!$BJ353:$BT353,,T353+1)*R353-ERP_i)*Q353*Ramure*Pc/MaxiM</f>
        <v>1.3671761718095918E-4</v>
      </c>
      <c r="Q353" s="305">
        <f t="shared" si="126"/>
        <v>0.5</v>
      </c>
      <c r="R353" s="177">
        <f t="shared" si="127"/>
        <v>0.99722176564487075</v>
      </c>
      <c r="S353" s="811">
        <f t="shared" si="128"/>
        <v>-2</v>
      </c>
      <c r="T353" s="176">
        <f t="shared" si="129"/>
        <v>4</v>
      </c>
      <c r="U353" s="251">
        <f t="shared" si="130"/>
        <v>-1.0027782343551292</v>
      </c>
      <c r="V353" s="383">
        <f t="shared" si="131"/>
        <v>24.739798908220735</v>
      </c>
      <c r="W353" s="58"/>
      <c r="X353" s="157">
        <f t="shared" si="132"/>
        <v>43804</v>
      </c>
      <c r="Y353" s="385">
        <f t="shared" si="133"/>
        <v>9.4819999999999993</v>
      </c>
      <c r="Z353" s="385">
        <f t="shared" si="134"/>
        <v>9.5958651669215325</v>
      </c>
      <c r="AA353" s="386">
        <f t="shared" si="135"/>
        <v>9.8678080465102838</v>
      </c>
      <c r="AB353" s="197">
        <f t="shared" si="136"/>
        <v>43804</v>
      </c>
      <c r="AC353" s="426">
        <f>IF(OR(t&lt;Tnet,NoTnet),'2018'!Resal_s+('2018'!Salim-'2018'!Resal_s)*(1-EXP(('2018'!Tnet_s-t)/'2018'!Tau_j)),Resal_s+(Salim-Resal_s)*(1-EXP((Tnet_s-t)/Tau_j)))*Salcycl</f>
        <v>2.7558590348230605E-2</v>
      </c>
      <c r="AD353" s="231">
        <f>(INDEX(Models!$BJ353:$BT353,,AH353)*(1-AF353)+INDEX(Models!$BJ353:$BT353,,AH353+1)*AF353-ERP_i)*AE353*Ramure*Pc/MaxiM</f>
        <v>1.3671761718095918E-4</v>
      </c>
      <c r="AE353" s="305">
        <f t="shared" si="137"/>
        <v>0.5</v>
      </c>
      <c r="AF353" s="177">
        <f t="shared" si="138"/>
        <v>0.99722176564487075</v>
      </c>
      <c r="AG353" s="176">
        <f t="shared" si="139"/>
        <v>-2</v>
      </c>
      <c r="AH353" s="176">
        <f t="shared" si="140"/>
        <v>4</v>
      </c>
      <c r="AI353" s="225">
        <f t="shared" si="141"/>
        <v>-1.0027782343551292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7">
        <v>7.8840000000000003</v>
      </c>
      <c r="C354" s="390"/>
      <c r="D354" s="393">
        <f t="shared" si="123"/>
        <v>7.9788502451702943</v>
      </c>
      <c r="E354" s="385">
        <f t="shared" si="121"/>
        <v>8.2052315913270508</v>
      </c>
      <c r="F354" s="385">
        <f t="shared" si="124"/>
        <v>8.2052650864381871</v>
      </c>
      <c r="G354" s="110">
        <f t="shared" si="122"/>
        <v>0.32076753965645244</v>
      </c>
      <c r="H354" s="414" t="b">
        <f>Wh_hp&gt;='2018'!Maxi_hp</f>
        <v>0</v>
      </c>
      <c r="I354" s="390">
        <f>IF(H354,Wh_hp,'2018'!Maxi_hp)</f>
        <v>12.47460590418838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1.1887708411084441E-2</v>
      </c>
      <c r="M354" s="845"/>
      <c r="N354" s="845"/>
      <c r="O354" s="48">
        <f>IF(t&lt;Tnet,'2018'!Resal+('2018'!Salim-'2018'!Resal)*(1-EXP(('2018'!Tnet-t)/('2018'!Tau_j))),Resal+(Salim-Resal)*(1-EXP((Tnet-t)/(Tau_j))))*Salcycl</f>
        <v>2.7589878925055957E-2</v>
      </c>
      <c r="P354" s="169">
        <f>(INDEX(Models!$BJ354:$BT354,,T354)*(1-R354)+INDEX(Models!$BJ354:$BT354,,T354+1)*R354-ERP_i)*Q354*Ramure*Pc/MaxiM</f>
        <v>1.3731212696513421E-4</v>
      </c>
      <c r="Q354" s="305">
        <f t="shared" si="126"/>
        <v>0.5</v>
      </c>
      <c r="R354" s="177">
        <f t="shared" si="127"/>
        <v>0.99723516743939356</v>
      </c>
      <c r="S354" s="811">
        <f t="shared" si="128"/>
        <v>-2</v>
      </c>
      <c r="T354" s="176">
        <f t="shared" si="129"/>
        <v>4</v>
      </c>
      <c r="U354" s="251">
        <f t="shared" si="130"/>
        <v>-1.0027648325606064</v>
      </c>
      <c r="V354" s="383">
        <f t="shared" si="131"/>
        <v>24.575272232986102</v>
      </c>
      <c r="W354" s="58"/>
      <c r="X354" s="157">
        <f t="shared" si="132"/>
        <v>43805</v>
      </c>
      <c r="Y354" s="385">
        <f t="shared" si="133"/>
        <v>7.8839999999999995</v>
      </c>
      <c r="Z354" s="385">
        <f t="shared" si="134"/>
        <v>7.9788502451702934</v>
      </c>
      <c r="AA354" s="386">
        <f t="shared" si="135"/>
        <v>8.2052315913270508</v>
      </c>
      <c r="AB354" s="197">
        <f t="shared" si="136"/>
        <v>43805</v>
      </c>
      <c r="AC354" s="426">
        <f>IF(OR(t&lt;Tnet,NoTnet),'2018'!Resal_s+('2018'!Salim-'2018'!Resal_s)*(1-EXP(('2018'!Tnet_s-t)/'2018'!Tau_j)),Resal_s+(Salim-Resal_s)*(1-EXP((Tnet_s-t)/Tau_j)))*Salcycl</f>
        <v>2.7589878925055957E-2</v>
      </c>
      <c r="AD354" s="231">
        <f>(INDEX(Models!$BJ354:$BT354,,AH354)*(1-AF354)+INDEX(Models!$BJ354:$BT354,,AH354+1)*AF354-ERP_i)*AE354*Ramure*Pc/MaxiM</f>
        <v>1.3731212696513421E-4</v>
      </c>
      <c r="AE354" s="305">
        <f t="shared" si="137"/>
        <v>0.5</v>
      </c>
      <c r="AF354" s="177">
        <f t="shared" si="138"/>
        <v>0.99723516743939356</v>
      </c>
      <c r="AG354" s="176">
        <f t="shared" si="139"/>
        <v>-2</v>
      </c>
      <c r="AH354" s="176">
        <f t="shared" si="140"/>
        <v>4</v>
      </c>
      <c r="AI354" s="225">
        <f t="shared" si="141"/>
        <v>-1.0027648325606064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7">
        <v>14.693</v>
      </c>
      <c r="C355" s="390"/>
      <c r="D355" s="393">
        <f t="shared" si="123"/>
        <v>14.870093152904699</v>
      </c>
      <c r="E355" s="385">
        <f t="shared" si="121"/>
        <v>15.292495689542507</v>
      </c>
      <c r="F355" s="385">
        <f t="shared" si="124"/>
        <v>15.293403468174207</v>
      </c>
      <c r="G355" s="110">
        <f t="shared" si="122"/>
        <v>0.60156304469369637</v>
      </c>
      <c r="H355" s="414" t="b">
        <f>Wh_hp&gt;='2018'!Maxi_hp</f>
        <v>0</v>
      </c>
      <c r="I355" s="390">
        <f>IF(H355,Wh_hp,'2018'!Maxi_hp)</f>
        <v>19.491266327728862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1.1909350606193581E-2</v>
      </c>
      <c r="M355" s="845"/>
      <c r="N355" s="845"/>
      <c r="O355" s="48">
        <f>IF(t&lt;Tnet,'2018'!Resal+('2018'!Salim-'2018'!Resal)*(1-EXP(('2018'!Tnet-t)/('2018'!Tau_j))),Resal+(Salim-Resal)*(1-EXP((Tnet-t)/(Tau_j))))*Salcycl</f>
        <v>2.7621556691146156E-2</v>
      </c>
      <c r="P355" s="169">
        <f>(INDEX(Models!$BJ355:$BT355,,T355)*(1-R355)+INDEX(Models!$BJ355:$BT355,,T355+1)*R355-ERP_i)*Q355*Ramure*Pc/MaxiM</f>
        <v>1.377614805677084E-4</v>
      </c>
      <c r="Q355" s="305">
        <f t="shared" si="126"/>
        <v>0.5</v>
      </c>
      <c r="R355" s="177">
        <f t="shared" si="127"/>
        <v>0.99724803031367859</v>
      </c>
      <c r="S355" s="811">
        <f t="shared" si="128"/>
        <v>-2</v>
      </c>
      <c r="T355" s="176">
        <f t="shared" si="129"/>
        <v>4</v>
      </c>
      <c r="U355" s="251">
        <f t="shared" si="130"/>
        <v>-1.0027519696863214</v>
      </c>
      <c r="V355" s="383">
        <f t="shared" si="131"/>
        <v>24.422790049926125</v>
      </c>
      <c r="W355" s="58"/>
      <c r="X355" s="157">
        <f t="shared" si="132"/>
        <v>43806</v>
      </c>
      <c r="Y355" s="385">
        <f t="shared" si="133"/>
        <v>14.693</v>
      </c>
      <c r="Z355" s="385">
        <f t="shared" si="134"/>
        <v>14.870093152904699</v>
      </c>
      <c r="AA355" s="386">
        <f t="shared" si="135"/>
        <v>15.292495689542507</v>
      </c>
      <c r="AB355" s="197">
        <f t="shared" si="136"/>
        <v>43806</v>
      </c>
      <c r="AC355" s="426">
        <f>IF(OR(t&lt;Tnet,NoTnet),'2018'!Resal_s+('2018'!Salim-'2018'!Resal_s)*(1-EXP(('2018'!Tnet_s-t)/'2018'!Tau_j)),Resal_s+(Salim-Resal_s)*(1-EXP((Tnet_s-t)/Tau_j)))*Salcycl</f>
        <v>2.7621556691146156E-2</v>
      </c>
      <c r="AD355" s="231">
        <f>(INDEX(Models!$BJ355:$BT355,,AH355)*(1-AF355)+INDEX(Models!$BJ355:$BT355,,AH355+1)*AF355-ERP_i)*AE355*Ramure*Pc/MaxiM</f>
        <v>1.377614805677084E-4</v>
      </c>
      <c r="AE355" s="305">
        <f t="shared" si="137"/>
        <v>0.5</v>
      </c>
      <c r="AF355" s="177">
        <f t="shared" si="138"/>
        <v>0.99724803031367859</v>
      </c>
      <c r="AG355" s="176">
        <f t="shared" si="139"/>
        <v>-2</v>
      </c>
      <c r="AH355" s="176">
        <f t="shared" si="140"/>
        <v>4</v>
      </c>
      <c r="AI355" s="225">
        <f t="shared" si="141"/>
        <v>-1.0027519696863214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7">
        <v>16.099</v>
      </c>
      <c r="C356" s="390"/>
      <c r="D356" s="393">
        <f t="shared" si="123"/>
        <v>16.293396387282044</v>
      </c>
      <c r="E356" s="385">
        <f t="shared" si="121"/>
        <v>16.756781947855345</v>
      </c>
      <c r="F356" s="385">
        <f t="shared" si="124"/>
        <v>16.757981515209075</v>
      </c>
      <c r="G356" s="110">
        <f t="shared" si="122"/>
        <v>0.66290832432624469</v>
      </c>
      <c r="H356" s="414" t="b">
        <f>Wh_hp&gt;='2018'!Maxi_hp</f>
        <v>1</v>
      </c>
      <c r="I356" s="390">
        <f>IF(H356,Wh_hp,'2018'!Maxi_hp)</f>
        <v>16.757981515209075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1.1930992327283008E-2</v>
      </c>
      <c r="M356" s="845"/>
      <c r="N356" s="845"/>
      <c r="O356" s="48">
        <f>IF(t&lt;Tnet,'2018'!Resal+('2018'!Salim-'2018'!Resal)*(1-EXP(('2018'!Tnet-t)/('2018'!Tau_j))),Resal+(Salim-Resal)*(1-EXP((Tnet-t)/(Tau_j))))*Salcycl</f>
        <v>2.7653612848534351E-2</v>
      </c>
      <c r="P356" s="169">
        <f>(INDEX(Models!$BJ356:$BT356,,T356)*(1-R356)+INDEX(Models!$BJ356:$BT356,,T356+1)*R356-ERP_i)*Q356*Ramure*Pc/MaxiM</f>
        <v>1.3805473395472488E-4</v>
      </c>
      <c r="Q356" s="305">
        <f t="shared" si="126"/>
        <v>0.5</v>
      </c>
      <c r="R356" s="177">
        <f t="shared" si="127"/>
        <v>0.99726037591301275</v>
      </c>
      <c r="S356" s="811">
        <f t="shared" si="128"/>
        <v>-2</v>
      </c>
      <c r="T356" s="176">
        <f t="shared" si="129"/>
        <v>4</v>
      </c>
      <c r="U356" s="251">
        <f t="shared" si="130"/>
        <v>-1.0027396240869872</v>
      </c>
      <c r="V356" s="383">
        <f t="shared" si="131"/>
        <v>24.283794886460672</v>
      </c>
      <c r="W356" s="58"/>
      <c r="X356" s="157">
        <f t="shared" si="132"/>
        <v>43807</v>
      </c>
      <c r="Y356" s="385">
        <f t="shared" si="133"/>
        <v>16.099</v>
      </c>
      <c r="Z356" s="385">
        <f t="shared" si="134"/>
        <v>16.293396387282044</v>
      </c>
      <c r="AA356" s="386">
        <f t="shared" si="135"/>
        <v>16.756781947855345</v>
      </c>
      <c r="AB356" s="197">
        <f t="shared" si="136"/>
        <v>43807</v>
      </c>
      <c r="AC356" s="426">
        <f>IF(OR(t&lt;Tnet,NoTnet),'2018'!Resal_s+('2018'!Salim-'2018'!Resal_s)*(1-EXP(('2018'!Tnet_s-t)/'2018'!Tau_j)),Resal_s+(Salim-Resal_s)*(1-EXP((Tnet_s-t)/Tau_j)))*Salcycl</f>
        <v>2.7653612848534351E-2</v>
      </c>
      <c r="AD356" s="231">
        <f>(INDEX(Models!$BJ356:$BT356,,AH356)*(1-AF356)+INDEX(Models!$BJ356:$BT356,,AH356+1)*AF356-ERP_i)*AE356*Ramure*Pc/MaxiM</f>
        <v>1.3805473395472488E-4</v>
      </c>
      <c r="AE356" s="305">
        <f t="shared" si="137"/>
        <v>0.5</v>
      </c>
      <c r="AF356" s="177">
        <f t="shared" si="138"/>
        <v>0.99726037591301275</v>
      </c>
      <c r="AG356" s="176">
        <f t="shared" si="139"/>
        <v>-2</v>
      </c>
      <c r="AH356" s="176">
        <f t="shared" si="140"/>
        <v>4</v>
      </c>
      <c r="AI356" s="225">
        <f t="shared" si="141"/>
        <v>-1.0027396240869872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7">
        <v>11.413</v>
      </c>
      <c r="C357" s="390"/>
      <c r="D357" s="393">
        <f t="shared" si="123"/>
        <v>11.551065655169657</v>
      </c>
      <c r="E357" s="385">
        <f t="shared" si="121"/>
        <v>11.879975067173328</v>
      </c>
      <c r="F357" s="385">
        <f t="shared" si="124"/>
        <v>11.880379374635188</v>
      </c>
      <c r="G357" s="110">
        <f t="shared" si="122"/>
        <v>0.47234848238222693</v>
      </c>
      <c r="H357" s="414" t="b">
        <f>Wh_hp&gt;='2018'!Maxi_hp</f>
        <v>1</v>
      </c>
      <c r="I357" s="390">
        <f>IF(H357,Wh_hp,'2018'!Maxi_hp)</f>
        <v>11.880379374635188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1.195263357436338E-2</v>
      </c>
      <c r="M357" s="845"/>
      <c r="N357" s="845"/>
      <c r="O357" s="48">
        <f>IF(t&lt;Tnet,'2018'!Resal+('2018'!Salim-'2018'!Resal)*(1-EXP(('2018'!Tnet-t)/('2018'!Tau_j))),Resal+(Salim-Resal)*(1-EXP((Tnet-t)/(Tau_j))))*Salcycl</f>
        <v>2.7686035546699964E-2</v>
      </c>
      <c r="P357" s="169">
        <f>(INDEX(Models!$BJ357:$BT357,,T357)*(1-R357)+INDEX(Models!$BJ357:$BT357,,T357+1)*R357-ERP_i)*Q357*Ramure*Pc/MaxiM</f>
        <v>1.3818091381617001E-4</v>
      </c>
      <c r="Q357" s="305">
        <f t="shared" si="126"/>
        <v>0.5</v>
      </c>
      <c r="R357" s="177">
        <f t="shared" si="127"/>
        <v>0.99727222501537272</v>
      </c>
      <c r="S357" s="811">
        <f t="shared" si="128"/>
        <v>-2</v>
      </c>
      <c r="T357" s="176">
        <f t="shared" si="129"/>
        <v>4</v>
      </c>
      <c r="U357" s="251">
        <f t="shared" si="130"/>
        <v>-1.0027277749846273</v>
      </c>
      <c r="V357" s="383">
        <f t="shared" si="131"/>
        <v>24.159728946414976</v>
      </c>
      <c r="W357" s="58"/>
      <c r="X357" s="157">
        <f t="shared" si="132"/>
        <v>43808</v>
      </c>
      <c r="Y357" s="385">
        <f t="shared" si="133"/>
        <v>11.413</v>
      </c>
      <c r="Z357" s="385">
        <f t="shared" si="134"/>
        <v>11.551065655169657</v>
      </c>
      <c r="AA357" s="386">
        <f t="shared" si="135"/>
        <v>11.879975067173328</v>
      </c>
      <c r="AB357" s="197">
        <f t="shared" si="136"/>
        <v>43808</v>
      </c>
      <c r="AC357" s="426">
        <f>IF(OR(t&lt;Tnet,NoTnet),'2018'!Resal_s+('2018'!Salim-'2018'!Resal_s)*(1-EXP(('2018'!Tnet_s-t)/'2018'!Tau_j)),Resal_s+(Salim-Resal_s)*(1-EXP((Tnet_s-t)/Tau_j)))*Salcycl</f>
        <v>2.7686035546699964E-2</v>
      </c>
      <c r="AD357" s="231">
        <f>(INDEX(Models!$BJ357:$BT357,,AH357)*(1-AF357)+INDEX(Models!$BJ357:$BT357,,AH357+1)*AF357-ERP_i)*AE357*Ramure*Pc/MaxiM</f>
        <v>1.3818091381617001E-4</v>
      </c>
      <c r="AE357" s="305">
        <f t="shared" si="137"/>
        <v>0.5</v>
      </c>
      <c r="AF357" s="177">
        <f t="shared" si="138"/>
        <v>0.99727222501537272</v>
      </c>
      <c r="AG357" s="176">
        <f t="shared" si="139"/>
        <v>-2</v>
      </c>
      <c r="AH357" s="176">
        <f t="shared" si="140"/>
        <v>4</v>
      </c>
      <c r="AI357" s="225">
        <f t="shared" si="141"/>
        <v>-1.0027277749846273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7">
        <v>21.091999999999999</v>
      </c>
      <c r="C358" s="390"/>
      <c r="D358" s="393">
        <f t="shared" si="123"/>
        <v>21.347622285917197</v>
      </c>
      <c r="E358" s="385">
        <f t="shared" si="121"/>
        <v>21.95622269469672</v>
      </c>
      <c r="F358" s="385">
        <f t="shared" si="124"/>
        <v>21.95872257479607</v>
      </c>
      <c r="G358" s="110">
        <f t="shared" si="122"/>
        <v>0.8769107693426651</v>
      </c>
      <c r="H358" s="414" t="b">
        <f>Wh_hp&gt;='2018'!Maxi_hp</f>
        <v>1</v>
      </c>
      <c r="I358" s="390">
        <f>IF(H358,Wh_hp,'2018'!Maxi_hp)</f>
        <v>21.95872257479607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1.1974274347444802E-2</v>
      </c>
      <c r="M358" s="845"/>
      <c r="N358" s="845"/>
      <c r="O358" s="48">
        <f>IF(t&lt;Tnet,'2018'!Resal+('2018'!Salim-'2018'!Resal)*(1-EXP(('2018'!Tnet-t)/('2018'!Tau_j))),Resal+(Salim-Resal)*(1-EXP((Tnet-t)/(Tau_j))))*Salcycl</f>
        <v>2.7718811985201954E-2</v>
      </c>
      <c r="P358" s="169">
        <f>(INDEX(Models!$BJ358:$BT358,,T358)*(1-R358)+INDEX(Models!$BJ358:$BT358,,T358+1)*R358-ERP_i)*Q358*Ramure*Pc/MaxiM</f>
        <v>1.3812919101397562E-4</v>
      </c>
      <c r="Q358" s="305">
        <f t="shared" si="126"/>
        <v>0.5</v>
      </c>
      <c r="R358" s="177">
        <f t="shared" si="127"/>
        <v>0.99728359756601725</v>
      </c>
      <c r="S358" s="811">
        <f t="shared" si="128"/>
        <v>-2</v>
      </c>
      <c r="T358" s="176">
        <f t="shared" si="129"/>
        <v>4</v>
      </c>
      <c r="U358" s="251">
        <f t="shared" si="130"/>
        <v>-1.0027164024339827</v>
      </c>
      <c r="V358" s="383">
        <f t="shared" si="131"/>
        <v>24.052034102720874</v>
      </c>
      <c r="W358" s="58"/>
      <c r="X358" s="157">
        <f t="shared" si="132"/>
        <v>43809</v>
      </c>
      <c r="Y358" s="385">
        <f t="shared" si="133"/>
        <v>21.091999999999999</v>
      </c>
      <c r="Z358" s="385">
        <f t="shared" si="134"/>
        <v>21.347622285917197</v>
      </c>
      <c r="AA358" s="386">
        <f t="shared" si="135"/>
        <v>21.95622269469672</v>
      </c>
      <c r="AB358" s="197">
        <f t="shared" si="136"/>
        <v>43809</v>
      </c>
      <c r="AC358" s="426">
        <f>IF(OR(t&lt;Tnet,NoTnet),'2018'!Resal_s+('2018'!Salim-'2018'!Resal_s)*(1-EXP(('2018'!Tnet_s-t)/'2018'!Tau_j)),Resal_s+(Salim-Resal_s)*(1-EXP((Tnet_s-t)/Tau_j)))*Salcycl</f>
        <v>2.7718811985201954E-2</v>
      </c>
      <c r="AD358" s="231">
        <f>(INDEX(Models!$BJ358:$BT358,,AH358)*(1-AF358)+INDEX(Models!$BJ358:$BT358,,AH358+1)*AF358-ERP_i)*AE358*Ramure*Pc/MaxiM</f>
        <v>1.3812919101397562E-4</v>
      </c>
      <c r="AE358" s="305">
        <f t="shared" si="137"/>
        <v>0.5</v>
      </c>
      <c r="AF358" s="177">
        <f t="shared" si="138"/>
        <v>0.99728359756601725</v>
      </c>
      <c r="AG358" s="176">
        <f t="shared" si="139"/>
        <v>-2</v>
      </c>
      <c r="AH358" s="176">
        <f t="shared" si="140"/>
        <v>4</v>
      </c>
      <c r="AI358" s="225">
        <f t="shared" si="141"/>
        <v>-1.0027164024339827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7">
        <v>1.9319999999999999</v>
      </c>
      <c r="C359" s="390"/>
      <c r="D359" s="393">
        <f t="shared" si="123"/>
        <v>1.9554575012802904</v>
      </c>
      <c r="E359" s="385">
        <f t="shared" si="121"/>
        <v>2.0112742402293722</v>
      </c>
      <c r="F359" s="385">
        <f t="shared" si="124"/>
        <v>2.0112742402293722</v>
      </c>
      <c r="G359" s="110">
        <f t="shared" si="122"/>
        <v>8.0629999076842401E-2</v>
      </c>
      <c r="H359" s="414" t="b">
        <f>Wh_hp&gt;='2018'!Maxi_hp</f>
        <v>0</v>
      </c>
      <c r="I359" s="390">
        <f>IF(H359,Wh_hp,'2018'!Maxi_hp)</f>
        <v>18.260406248134906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1.199591464653782E-2</v>
      </c>
      <c r="M359" s="845"/>
      <c r="N359" s="845"/>
      <c r="O359" s="48">
        <f>IF(t&lt;Tnet,'2018'!Resal+('2018'!Salim-'2018'!Resal)*(1-EXP(('2018'!Tnet-t)/('2018'!Tau_j))),Resal+(Salim-Resal)*(1-EXP((Tnet-t)/(Tau_j))))*Salcycl</f>
        <v>2.7751928520059026E-2</v>
      </c>
      <c r="P359" s="169">
        <f>(INDEX(Models!$BJ359:$BT359,,T359)*(1-R359)+INDEX(Models!$BJ359:$BT359,,T359+1)*R359-ERP_i)*Q359*Ramure*Pc/MaxiM</f>
        <v>1.3791296248260774E-4</v>
      </c>
      <c r="Q359" s="305">
        <f t="shared" si="126"/>
        <v>0.5</v>
      </c>
      <c r="R359" s="177">
        <f t="shared" si="127"/>
        <v>0.99729451271070868</v>
      </c>
      <c r="S359" s="811">
        <f t="shared" si="128"/>
        <v>-2</v>
      </c>
      <c r="T359" s="176">
        <f t="shared" si="129"/>
        <v>4</v>
      </c>
      <c r="U359" s="251">
        <f t="shared" si="130"/>
        <v>-1.0027054872892913</v>
      </c>
      <c r="V359" s="383">
        <f t="shared" si="131"/>
        <v>23.958000425071237</v>
      </c>
      <c r="W359" s="58"/>
      <c r="X359" s="157">
        <f t="shared" si="132"/>
        <v>43810</v>
      </c>
      <c r="Y359" s="385">
        <f t="shared" si="133"/>
        <v>1.9320000000000002</v>
      </c>
      <c r="Z359" s="385">
        <f t="shared" si="134"/>
        <v>1.9554575012802906</v>
      </c>
      <c r="AA359" s="386">
        <f t="shared" si="135"/>
        <v>2.0112742402293722</v>
      </c>
      <c r="AB359" s="197">
        <f t="shared" si="136"/>
        <v>43810</v>
      </c>
      <c r="AC359" s="426">
        <f>IF(OR(t&lt;Tnet,NoTnet),'2018'!Resal_s+('2018'!Salim-'2018'!Resal_s)*(1-EXP(('2018'!Tnet_s-t)/'2018'!Tau_j)),Resal_s+(Salim-Resal_s)*(1-EXP((Tnet_s-t)/Tau_j)))*Salcycl</f>
        <v>2.7751928520059026E-2</v>
      </c>
      <c r="AD359" s="231">
        <f>(INDEX(Models!$BJ359:$BT359,,AH359)*(1-AF359)+INDEX(Models!$BJ359:$BT359,,AH359+1)*AF359-ERP_i)*AE359*Ramure*Pc/MaxiM</f>
        <v>1.3791296248260774E-4</v>
      </c>
      <c r="AE359" s="305">
        <f t="shared" si="137"/>
        <v>0.5</v>
      </c>
      <c r="AF359" s="177">
        <f t="shared" si="138"/>
        <v>0.99729451271070868</v>
      </c>
      <c r="AG359" s="176">
        <f t="shared" si="139"/>
        <v>-2</v>
      </c>
      <c r="AH359" s="176">
        <f t="shared" si="140"/>
        <v>4</v>
      </c>
      <c r="AI359" s="225">
        <f t="shared" si="141"/>
        <v>-1.0027054872892913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7">
        <v>5.2320000000000002</v>
      </c>
      <c r="C360" s="390"/>
      <c r="D360" s="393">
        <f t="shared" si="123"/>
        <v>5.295640649973353</v>
      </c>
      <c r="E360" s="385">
        <f t="shared" si="121"/>
        <v>5.4469872091761404</v>
      </c>
      <c r="F360" s="385">
        <f t="shared" si="124"/>
        <v>5.4469872091761404</v>
      </c>
      <c r="G360" s="110">
        <f t="shared" si="122"/>
        <v>0.21911926875538126</v>
      </c>
      <c r="H360" s="414" t="b">
        <f>Wh_hp&gt;='2018'!Maxi_hp</f>
        <v>1</v>
      </c>
      <c r="I360" s="390">
        <f>IF(H360,Wh_hp,'2018'!Maxi_hp)</f>
        <v>5.4469872091761404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1.2017554471652647E-2</v>
      </c>
      <c r="M360" s="845"/>
      <c r="N360" s="845"/>
      <c r="O360" s="48">
        <f>IF(t&lt;Tnet,'2018'!Resal+('2018'!Salim-'2018'!Resal)*(1-EXP(('2018'!Tnet-t)/('2018'!Tau_j))),Resal+(Salim-Resal)*(1-EXP((Tnet-t)/(Tau_j))))*Salcycl</f>
        <v>2.7785370773007398E-2</v>
      </c>
      <c r="P360" s="169">
        <f>(INDEX(Models!$BJ360:$BT360,,T360)*(1-R360)+INDEX(Models!$BJ360:$BT360,,T360+1)*R360-ERP_i)*Q360*Ramure*Pc/MaxiM</f>
        <v>1.3755077433617351E-4</v>
      </c>
      <c r="Q360" s="305">
        <f t="shared" si="126"/>
        <v>0.5</v>
      </c>
      <c r="R360" s="177">
        <f t="shared" si="127"/>
        <v>0.99730498882762331</v>
      </c>
      <c r="S360" s="811">
        <f t="shared" si="128"/>
        <v>-2</v>
      </c>
      <c r="T360" s="176">
        <f t="shared" si="129"/>
        <v>4</v>
      </c>
      <c r="U360" s="251">
        <f t="shared" si="130"/>
        <v>-1.0026950111723767</v>
      </c>
      <c r="V360" s="383">
        <f t="shared" si="131"/>
        <v>23.874122819334211</v>
      </c>
      <c r="W360" s="58"/>
      <c r="X360" s="157">
        <f t="shared" si="132"/>
        <v>43811</v>
      </c>
      <c r="Y360" s="385">
        <f t="shared" si="133"/>
        <v>5.2320000000000002</v>
      </c>
      <c r="Z360" s="385">
        <f t="shared" si="134"/>
        <v>5.295640649973353</v>
      </c>
      <c r="AA360" s="386">
        <f t="shared" si="135"/>
        <v>5.4469872091761404</v>
      </c>
      <c r="AB360" s="197">
        <f t="shared" si="136"/>
        <v>43811</v>
      </c>
      <c r="AC360" s="426">
        <f>IF(OR(t&lt;Tnet,NoTnet),'2018'!Resal_s+('2018'!Salim-'2018'!Resal_s)*(1-EXP(('2018'!Tnet_s-t)/'2018'!Tau_j)),Resal_s+(Salim-Resal_s)*(1-EXP((Tnet_s-t)/Tau_j)))*Salcycl</f>
        <v>2.7785370773007398E-2</v>
      </c>
      <c r="AD360" s="231">
        <f>(INDEX(Models!$BJ360:$BT360,,AH360)*(1-AF360)+INDEX(Models!$BJ360:$BT360,,AH360+1)*AF360-ERP_i)*AE360*Ramure*Pc/MaxiM</f>
        <v>1.3755077433617351E-4</v>
      </c>
      <c r="AE360" s="305">
        <f t="shared" si="137"/>
        <v>0.5</v>
      </c>
      <c r="AF360" s="177">
        <f t="shared" si="138"/>
        <v>0.99730498882762331</v>
      </c>
      <c r="AG360" s="176">
        <f t="shared" si="139"/>
        <v>-2</v>
      </c>
      <c r="AH360" s="176">
        <f t="shared" si="140"/>
        <v>4</v>
      </c>
      <c r="AI360" s="225">
        <f t="shared" si="141"/>
        <v>-1.0026950111723767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7">
        <v>2.4020000000000001</v>
      </c>
      <c r="C361" s="390"/>
      <c r="D361" s="393">
        <f t="shared" si="123"/>
        <v>2.431270537233416</v>
      </c>
      <c r="E361" s="385">
        <f t="shared" ref="E361:E379" si="145">Wh_pvt/(1-Psa)</f>
        <v>2.5008417637193721</v>
      </c>
      <c r="F361" s="385">
        <f t="shared" si="124"/>
        <v>2.5008417637193721</v>
      </c>
      <c r="G361" s="110">
        <f t="shared" ref="G361:G379" si="146">+Wh_hp/MaxiM</f>
        <v>0.10090778271487556</v>
      </c>
      <c r="H361" s="414" t="b">
        <f>Wh_hp&gt;='2018'!Maxi_hp</f>
        <v>1</v>
      </c>
      <c r="I361" s="390">
        <f>IF(H361,Wh_hp,'2018'!Maxi_hp)</f>
        <v>2.5008417637193721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1.2039193822799832E-2</v>
      </c>
      <c r="M361" s="845"/>
      <c r="N361" s="845"/>
      <c r="O361" s="48">
        <f>IF(t&lt;Tnet,'2018'!Resal+('2018'!Salim-'2018'!Resal)*(1-EXP(('2018'!Tnet-t)/('2018'!Tau_j))),Resal+(Salim-Resal)*(1-EXP((Tnet-t)/(Tau_j))))*Salcycl</f>
        <v>2.7819123742753912E-2</v>
      </c>
      <c r="P361" s="169">
        <f>(INDEX(Models!$BJ361:$BT361,,T361)*(1-R361)+INDEX(Models!$BJ361:$BT361,,T361+1)*R361-ERP_i)*Q361*Ramure*Pc/MaxiM</f>
        <v>1.3722288164538874E-4</v>
      </c>
      <c r="Q361" s="305">
        <f t="shared" si="126"/>
        <v>0.5</v>
      </c>
      <c r="R361" s="177">
        <f t="shared" si="127"/>
        <v>0.99731504355799938</v>
      </c>
      <c r="S361" s="811">
        <f t="shared" si="128"/>
        <v>-2</v>
      </c>
      <c r="T361" s="176">
        <f t="shared" si="129"/>
        <v>4</v>
      </c>
      <c r="U361" s="251">
        <f t="shared" si="130"/>
        <v>-1.0026849564420006</v>
      </c>
      <c r="V361" s="383">
        <f t="shared" si="131"/>
        <v>23.800645758161526</v>
      </c>
      <c r="W361" s="58"/>
      <c r="X361" s="157">
        <f t="shared" si="132"/>
        <v>43812</v>
      </c>
      <c r="Y361" s="385">
        <f t="shared" si="133"/>
        <v>2.4020000000000001</v>
      </c>
      <c r="Z361" s="385">
        <f t="shared" si="134"/>
        <v>2.431270537233416</v>
      </c>
      <c r="AA361" s="386">
        <f t="shared" si="135"/>
        <v>2.5008417637193721</v>
      </c>
      <c r="AB361" s="197">
        <f t="shared" si="136"/>
        <v>43812</v>
      </c>
      <c r="AC361" s="426">
        <f>IF(OR(t&lt;Tnet,NoTnet),'2018'!Resal_s+('2018'!Salim-'2018'!Resal_s)*(1-EXP(('2018'!Tnet_s-t)/'2018'!Tau_j)),Resal_s+(Salim-Resal_s)*(1-EXP((Tnet_s-t)/Tau_j)))*Salcycl</f>
        <v>2.7819123742753912E-2</v>
      </c>
      <c r="AD361" s="231">
        <f>(INDEX(Models!$BJ361:$BT361,,AH361)*(1-AF361)+INDEX(Models!$BJ361:$BT361,,AH361+1)*AF361-ERP_i)*AE361*Ramure*Pc/MaxiM</f>
        <v>1.3722288164538874E-4</v>
      </c>
      <c r="AE361" s="305">
        <f t="shared" si="137"/>
        <v>0.5</v>
      </c>
      <c r="AF361" s="177">
        <f t="shared" si="138"/>
        <v>0.99731504355799938</v>
      </c>
      <c r="AG361" s="176">
        <f t="shared" si="139"/>
        <v>-2</v>
      </c>
      <c r="AH361" s="176">
        <f t="shared" si="140"/>
        <v>4</v>
      </c>
      <c r="AI361" s="225">
        <f t="shared" si="141"/>
        <v>-1.0026849564420006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7">
        <v>19.030999999999999</v>
      </c>
      <c r="C362" s="390"/>
      <c r="D362" s="393">
        <f t="shared" si="123"/>
        <v>19.263331822353795</v>
      </c>
      <c r="E362" s="385">
        <f t="shared" si="145"/>
        <v>19.815249369631005</v>
      </c>
      <c r="F362" s="385">
        <f t="shared" si="124"/>
        <v>19.817194245198483</v>
      </c>
      <c r="G362" s="110">
        <f t="shared" si="146"/>
        <v>0.80168538469067263</v>
      </c>
      <c r="H362" s="414" t="b">
        <f>Wh_hp&gt;='2018'!Maxi_hp</f>
        <v>1</v>
      </c>
      <c r="I362" s="390">
        <f>IF(H362,Wh_hp,'2018'!Maxi_hp)</f>
        <v>19.817194245198483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1.2060832699989699E-2</v>
      </c>
      <c r="M362" s="845"/>
      <c r="N362" s="845"/>
      <c r="O362" s="48">
        <f>IF(t&lt;Tnet,'2018'!Resal+('2018'!Salim-'2018'!Resal)*(1-EXP(('2018'!Tnet-t)/('2018'!Tau_j))),Resal+(Salim-Resal)*(1-EXP((Tnet-t)/(Tau_j))))*Salcycl</f>
        <v>2.7853171917335728E-2</v>
      </c>
      <c r="P362" s="169">
        <f>(INDEX(Models!$BJ362:$BT362,,T362)*(1-R362)+INDEX(Models!$BJ362:$BT362,,T362+1)*R362-ERP_i)*Q362*Ramure*Pc/MaxiM</f>
        <v>1.3692707303422262E-4</v>
      </c>
      <c r="Q362" s="305">
        <f t="shared" si="126"/>
        <v>0.5</v>
      </c>
      <c r="R362" s="177">
        <f t="shared" si="127"/>
        <v>0.99732469383556865</v>
      </c>
      <c r="S362" s="811">
        <f t="shared" si="128"/>
        <v>-2</v>
      </c>
      <c r="T362" s="176">
        <f t="shared" si="129"/>
        <v>4</v>
      </c>
      <c r="U362" s="251">
        <f t="shared" si="130"/>
        <v>-1.0026753061644313</v>
      </c>
      <c r="V362" s="383">
        <f t="shared" si="131"/>
        <v>23.737818038919979</v>
      </c>
      <c r="W362" s="58"/>
      <c r="X362" s="157">
        <f t="shared" si="132"/>
        <v>43813</v>
      </c>
      <c r="Y362" s="385">
        <f t="shared" si="133"/>
        <v>19.030999999999999</v>
      </c>
      <c r="Z362" s="385">
        <f t="shared" si="134"/>
        <v>19.263331822353795</v>
      </c>
      <c r="AA362" s="386">
        <f t="shared" si="135"/>
        <v>19.815249369631005</v>
      </c>
      <c r="AB362" s="197">
        <f t="shared" si="136"/>
        <v>43813</v>
      </c>
      <c r="AC362" s="426">
        <f>IF(OR(t&lt;Tnet,NoTnet),'2018'!Resal_s+('2018'!Salim-'2018'!Resal_s)*(1-EXP(('2018'!Tnet_s-t)/'2018'!Tau_j)),Resal_s+(Salim-Resal_s)*(1-EXP((Tnet_s-t)/Tau_j)))*Salcycl</f>
        <v>2.7853171917335728E-2</v>
      </c>
      <c r="AD362" s="231">
        <f>(INDEX(Models!$BJ362:$BT362,,AH362)*(1-AF362)+INDEX(Models!$BJ362:$BT362,,AH362+1)*AF362-ERP_i)*AE362*Ramure*Pc/MaxiM</f>
        <v>1.3692707303422262E-4</v>
      </c>
      <c r="AE362" s="305">
        <f t="shared" si="137"/>
        <v>0.5</v>
      </c>
      <c r="AF362" s="177">
        <f t="shared" si="138"/>
        <v>0.99732469383556865</v>
      </c>
      <c r="AG362" s="176">
        <f t="shared" si="139"/>
        <v>-2</v>
      </c>
      <c r="AH362" s="176">
        <f t="shared" si="140"/>
        <v>4</v>
      </c>
      <c r="AI362" s="225">
        <f t="shared" si="141"/>
        <v>-1.0026753061644313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7">
        <v>24.541</v>
      </c>
      <c r="C363" s="390"/>
      <c r="D363" s="393">
        <f t="shared" si="123"/>
        <v>24.841142385038513</v>
      </c>
      <c r="E363" s="385">
        <f t="shared" si="145"/>
        <v>25.553773220040277</v>
      </c>
      <c r="F363" s="385">
        <f t="shared" si="124"/>
        <v>25.557265904120406</v>
      </c>
      <c r="G363" s="110">
        <f t="shared" si="146"/>
        <v>1.0361021552474747</v>
      </c>
      <c r="H363" s="414" t="b">
        <f>Wh_hp&gt;='2018'!Maxi_hp</f>
        <v>1</v>
      </c>
      <c r="I363" s="390">
        <f>IF(H363,Wh_hp,'2018'!Maxi_hp)</f>
        <v>25.557265904120406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1.2082471103232573E-2</v>
      </c>
      <c r="M363" s="845"/>
      <c r="N363" s="845"/>
      <c r="O363" s="48">
        <f>IF(t&lt;Tnet,'2018'!Resal+('2018'!Salim-'2018'!Resal)*(1-EXP(('2018'!Tnet-t)/('2018'!Tau_j))),Resal+(Salim-Resal)*(1-EXP((Tnet-t)/(Tau_j))))*Salcycl</f>
        <v>2.7887499386700789E-2</v>
      </c>
      <c r="P363" s="169">
        <f>(INDEX(Models!$BJ363:$BT363,,T363)*(1-R363)+INDEX(Models!$BJ363:$BT363,,T363+1)*R363-ERP_i)*Q363*Ramure*Pc/MaxiM</f>
        <v>1.3666110033957248E-4</v>
      </c>
      <c r="Q363" s="305">
        <f t="shared" si="126"/>
        <v>0.5</v>
      </c>
      <c r="R363" s="177">
        <f t="shared" si="127"/>
        <v>0.9973339559148251</v>
      </c>
      <c r="S363" s="811">
        <f t="shared" si="128"/>
        <v>-2</v>
      </c>
      <c r="T363" s="176">
        <f t="shared" si="129"/>
        <v>4</v>
      </c>
      <c r="U363" s="251">
        <f t="shared" si="130"/>
        <v>-1.0026660440851749</v>
      </c>
      <c r="V363" s="383">
        <f t="shared" si="131"/>
        <v>23.685888380512377</v>
      </c>
      <c r="W363" s="58"/>
      <c r="X363" s="157">
        <f t="shared" si="132"/>
        <v>43814</v>
      </c>
      <c r="Y363" s="385">
        <f t="shared" si="133"/>
        <v>24.541</v>
      </c>
      <c r="Z363" s="385">
        <f t="shared" si="134"/>
        <v>24.841142385038513</v>
      </c>
      <c r="AA363" s="386">
        <f t="shared" si="135"/>
        <v>25.553773220040277</v>
      </c>
      <c r="AB363" s="197">
        <f t="shared" si="136"/>
        <v>43814</v>
      </c>
      <c r="AC363" s="426">
        <f>IF(OR(t&lt;Tnet,NoTnet),'2018'!Resal_s+('2018'!Salim-'2018'!Resal_s)*(1-EXP(('2018'!Tnet_s-t)/'2018'!Tau_j)),Resal_s+(Salim-Resal_s)*(1-EXP((Tnet_s-t)/Tau_j)))*Salcycl</f>
        <v>2.7887499386700789E-2</v>
      </c>
      <c r="AD363" s="231">
        <f>(INDEX(Models!$BJ363:$BT363,,AH363)*(1-AF363)+INDEX(Models!$BJ363:$BT363,,AH363+1)*AF363-ERP_i)*AE363*Ramure*Pc/MaxiM</f>
        <v>1.3666110033957248E-4</v>
      </c>
      <c r="AE363" s="305">
        <f t="shared" si="137"/>
        <v>0.5</v>
      </c>
      <c r="AF363" s="177">
        <f t="shared" si="138"/>
        <v>0.9973339559148251</v>
      </c>
      <c r="AG363" s="176">
        <f t="shared" si="139"/>
        <v>-2</v>
      </c>
      <c r="AH363" s="176">
        <f t="shared" si="140"/>
        <v>4</v>
      </c>
      <c r="AI363" s="225">
        <f t="shared" si="141"/>
        <v>-1.0026660440851749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7">
        <v>14.27</v>
      </c>
      <c r="C364" s="390"/>
      <c r="D364" s="393">
        <f t="shared" si="123"/>
        <v>14.444841941821599</v>
      </c>
      <c r="E364" s="385">
        <f t="shared" si="145"/>
        <v>14.85975742535642</v>
      </c>
      <c r="F364" s="385">
        <f t="shared" si="124"/>
        <v>14.860636438752699</v>
      </c>
      <c r="G364" s="110">
        <f t="shared" si="146"/>
        <v>0.60346092764237036</v>
      </c>
      <c r="H364" s="414" t="b">
        <f>Wh_hp&gt;='2018'!Maxi_hp</f>
        <v>1</v>
      </c>
      <c r="I364" s="390">
        <f>IF(H364,Wh_hp,'2018'!Maxi_hp)</f>
        <v>14.860636438752699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1.210410903253889E-2</v>
      </c>
      <c r="M364" s="845"/>
      <c r="N364" s="845"/>
      <c r="O364" s="48">
        <f>IF(t&lt;Tnet,'2018'!Resal+('2018'!Salim-'2018'!Resal)*(1-EXP(('2018'!Tnet-t)/('2018'!Tau_j))),Resal+(Salim-Resal)*(1-EXP((Tnet-t)/(Tau_j))))*Salcycl</f>
        <v>2.7922089954632631E-2</v>
      </c>
      <c r="P364" s="169">
        <f>(INDEX(Models!$BJ364:$BT364,,T364)*(1-R364)+INDEX(Models!$BJ364:$BT364,,T364+1)*R364-ERP_i)*Q364*Ramure*Pc/MaxiM</f>
        <v>1.3642268860051637E-4</v>
      </c>
      <c r="Q364" s="305">
        <f t="shared" si="126"/>
        <v>0.5</v>
      </c>
      <c r="R364" s="177">
        <f t="shared" si="127"/>
        <v>0.99734284539817031</v>
      </c>
      <c r="S364" s="811">
        <f t="shared" si="128"/>
        <v>-2</v>
      </c>
      <c r="T364" s="176">
        <f t="shared" si="129"/>
        <v>4</v>
      </c>
      <c r="U364" s="251">
        <f t="shared" si="130"/>
        <v>-1.0026571546018297</v>
      </c>
      <c r="V364" s="383">
        <f t="shared" si="131"/>
        <v>23.645105434970098</v>
      </c>
      <c r="W364" s="58"/>
      <c r="X364" s="157">
        <f t="shared" si="132"/>
        <v>43815</v>
      </c>
      <c r="Y364" s="385">
        <f t="shared" si="133"/>
        <v>14.27</v>
      </c>
      <c r="Z364" s="385">
        <f t="shared" si="134"/>
        <v>14.444841941821599</v>
      </c>
      <c r="AA364" s="386">
        <f t="shared" si="135"/>
        <v>14.85975742535642</v>
      </c>
      <c r="AB364" s="197">
        <f t="shared" si="136"/>
        <v>43815</v>
      </c>
      <c r="AC364" s="426">
        <f>IF(OR(t&lt;Tnet,NoTnet),'2018'!Resal_s+('2018'!Salim-'2018'!Resal_s)*(1-EXP(('2018'!Tnet_s-t)/'2018'!Tau_j)),Resal_s+(Salim-Resal_s)*(1-EXP((Tnet_s-t)/Tau_j)))*Salcycl</f>
        <v>2.7922089954632631E-2</v>
      </c>
      <c r="AD364" s="231">
        <f>(INDEX(Models!$BJ364:$BT364,,AH364)*(1-AF364)+INDEX(Models!$BJ364:$BT364,,AH364+1)*AF364-ERP_i)*AE364*Ramure*Pc/MaxiM</f>
        <v>1.3642268860051637E-4</v>
      </c>
      <c r="AE364" s="305">
        <f t="shared" si="137"/>
        <v>0.5</v>
      </c>
      <c r="AF364" s="177">
        <f t="shared" si="138"/>
        <v>0.99734284539817031</v>
      </c>
      <c r="AG364" s="176">
        <f t="shared" si="139"/>
        <v>-2</v>
      </c>
      <c r="AH364" s="176">
        <f t="shared" si="140"/>
        <v>4</v>
      </c>
      <c r="AI364" s="225">
        <f t="shared" si="141"/>
        <v>-1.0026571546018297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7">
        <v>11.561</v>
      </c>
      <c r="C365" s="390"/>
      <c r="D365" s="393">
        <f t="shared" si="123"/>
        <v>11.702906477113302</v>
      </c>
      <c r="E365" s="385">
        <f t="shared" si="145"/>
        <v>12.039493727366006</v>
      </c>
      <c r="F365" s="385">
        <f t="shared" si="124"/>
        <v>12.039937796203741</v>
      </c>
      <c r="G365" s="110">
        <f t="shared" si="146"/>
        <v>0.48949821273611738</v>
      </c>
      <c r="H365" s="414" t="b">
        <f>Wh_hp&gt;='2018'!Maxi_hp</f>
        <v>0</v>
      </c>
      <c r="I365" s="390">
        <f>IF(H365,Wh_hp,'2018'!Maxi_hp)</f>
        <v>20.357064325924458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1.2125746487919087E-2</v>
      </c>
      <c r="M365" s="845"/>
      <c r="N365" s="845"/>
      <c r="O365" s="48">
        <f>IF(t&lt;Tnet,'2018'!Resal+('2018'!Salim-'2018'!Resal)*(1-EXP(('2018'!Tnet-t)/('2018'!Tau_j))),Resal+(Salim-Resal)*(1-EXP((Tnet-t)/(Tau_j))))*Salcycl</f>
        <v>2.7956927249161146E-2</v>
      </c>
      <c r="P365" s="169">
        <f>(INDEX(Models!$BJ365:$BT365,,T365)*(1-R365)+INDEX(Models!$BJ365:$BT365,,T365+1)*R365-ERP_i)*Q365*Ramure*Pc/MaxiM</f>
        <v>1.3620954658527306E-4</v>
      </c>
      <c r="Q365" s="305">
        <f t="shared" si="126"/>
        <v>0.5</v>
      </c>
      <c r="R365" s="177">
        <f t="shared" si="127"/>
        <v>0.99735137726198264</v>
      </c>
      <c r="S365" s="811">
        <f t="shared" si="128"/>
        <v>-2</v>
      </c>
      <c r="T365" s="176">
        <f t="shared" si="129"/>
        <v>4</v>
      </c>
      <c r="U365" s="251">
        <f t="shared" si="130"/>
        <v>-1.0026486227380174</v>
      </c>
      <c r="V365" s="383">
        <f t="shared" si="131"/>
        <v>23.615717774829466</v>
      </c>
      <c r="W365" s="58"/>
      <c r="X365" s="157">
        <f t="shared" si="132"/>
        <v>43816</v>
      </c>
      <c r="Y365" s="385">
        <f t="shared" si="133"/>
        <v>11.561</v>
      </c>
      <c r="Z365" s="385">
        <f t="shared" si="134"/>
        <v>11.702906477113302</v>
      </c>
      <c r="AA365" s="386">
        <f t="shared" si="135"/>
        <v>12.039493727366006</v>
      </c>
      <c r="AB365" s="197">
        <f t="shared" si="136"/>
        <v>43816</v>
      </c>
      <c r="AC365" s="426">
        <f>IF(OR(t&lt;Tnet,NoTnet),'2018'!Resal_s+('2018'!Salim-'2018'!Resal_s)*(1-EXP(('2018'!Tnet_s-t)/'2018'!Tau_j)),Resal_s+(Salim-Resal_s)*(1-EXP((Tnet_s-t)/Tau_j)))*Salcycl</f>
        <v>2.7956927249161146E-2</v>
      </c>
      <c r="AD365" s="231">
        <f>(INDEX(Models!$BJ365:$BT365,,AH365)*(1-AF365)+INDEX(Models!$BJ365:$BT365,,AH365+1)*AF365-ERP_i)*AE365*Ramure*Pc/MaxiM</f>
        <v>1.3620954658527306E-4</v>
      </c>
      <c r="AE365" s="305">
        <f t="shared" si="137"/>
        <v>0.5</v>
      </c>
      <c r="AF365" s="177">
        <f t="shared" si="138"/>
        <v>0.99735137726198264</v>
      </c>
      <c r="AG365" s="176">
        <f t="shared" si="139"/>
        <v>-2</v>
      </c>
      <c r="AH365" s="176">
        <f t="shared" si="140"/>
        <v>4</v>
      </c>
      <c r="AI365" s="225">
        <f t="shared" si="141"/>
        <v>-1.0026486227380174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7">
        <v>17.908999999999999</v>
      </c>
      <c r="C366" s="390"/>
      <c r="D366" s="393">
        <f t="shared" si="123"/>
        <v>18.129222619156717</v>
      </c>
      <c r="E366" s="385">
        <f t="shared" si="145"/>
        <v>18.65130999203825</v>
      </c>
      <c r="F366" s="385">
        <f t="shared" si="124"/>
        <v>18.652973480244018</v>
      </c>
      <c r="G366" s="110">
        <f t="shared" si="146"/>
        <v>0.75888553720735008</v>
      </c>
      <c r="H366" s="414" t="b">
        <f>Wh_hp&gt;='2018'!Maxi_hp</f>
        <v>1</v>
      </c>
      <c r="I366" s="390">
        <f>IF(H366,Wh_hp,'2018'!Maxi_hp)</f>
        <v>18.652973480244018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1.2147383469383488E-2</v>
      </c>
      <c r="M366" s="845"/>
      <c r="N366" s="845"/>
      <c r="O366" s="48">
        <f>IF(t&lt;Tnet,'2018'!Resal+('2018'!Salim-'2018'!Resal)*(1-EXP(('2018'!Tnet-t)/('2018'!Tau_j))),Resal+(Salim-Resal)*(1-EXP((Tnet-t)/(Tau_j))))*Salcycl</f>
        <v>2.7991994830625654E-2</v>
      </c>
      <c r="P366" s="169">
        <f>(INDEX(Models!$BJ366:$BT366,,T366)*(1-R366)+INDEX(Models!$BJ366:$BT366,,T366+1)*R366-ERP_i)*Q366*Ramure*Pc/MaxiM</f>
        <v>1.3602905237925005E-4</v>
      </c>
      <c r="Q366" s="305">
        <f t="shared" si="126"/>
        <v>0.5</v>
      </c>
      <c r="R366" s="177">
        <f t="shared" si="127"/>
        <v>0.99735956588165209</v>
      </c>
      <c r="S366" s="811">
        <f t="shared" si="128"/>
        <v>-2</v>
      </c>
      <c r="T366" s="176">
        <f t="shared" si="129"/>
        <v>4</v>
      </c>
      <c r="U366" s="251">
        <f t="shared" si="130"/>
        <v>-1.0026404341183479</v>
      </c>
      <c r="V366" s="383">
        <f t="shared" si="131"/>
        <v>23.597973663832672</v>
      </c>
      <c r="W366" s="58"/>
      <c r="X366" s="157">
        <f t="shared" si="132"/>
        <v>43817</v>
      </c>
      <c r="Y366" s="385">
        <f t="shared" si="133"/>
        <v>17.908999999999999</v>
      </c>
      <c r="Z366" s="385">
        <f t="shared" si="134"/>
        <v>18.129222619156717</v>
      </c>
      <c r="AA366" s="386">
        <f t="shared" si="135"/>
        <v>18.65130999203825</v>
      </c>
      <c r="AB366" s="197">
        <f t="shared" si="136"/>
        <v>43817</v>
      </c>
      <c r="AC366" s="426">
        <f>IF(OR(t&lt;Tnet,NoTnet),'2018'!Resal_s+('2018'!Salim-'2018'!Resal_s)*(1-EXP(('2018'!Tnet_s-t)/'2018'!Tau_j)),Resal_s+(Salim-Resal_s)*(1-EXP((Tnet_s-t)/Tau_j)))*Salcycl</f>
        <v>2.7991994830625654E-2</v>
      </c>
      <c r="AD366" s="231">
        <f>(INDEX(Models!$BJ366:$BT366,,AH366)*(1-AF366)+INDEX(Models!$BJ366:$BT366,,AH366+1)*AF366-ERP_i)*AE366*Ramure*Pc/MaxiM</f>
        <v>1.3602905237925005E-4</v>
      </c>
      <c r="AE366" s="305">
        <f t="shared" si="137"/>
        <v>0.5</v>
      </c>
      <c r="AF366" s="177">
        <f t="shared" si="138"/>
        <v>0.99735956588165209</v>
      </c>
      <c r="AG366" s="176">
        <f t="shared" si="139"/>
        <v>-2</v>
      </c>
      <c r="AH366" s="176">
        <f t="shared" si="140"/>
        <v>4</v>
      </c>
      <c r="AI366" s="225">
        <f t="shared" si="141"/>
        <v>-1.0026404341183479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7">
        <v>10.295999999999999</v>
      </c>
      <c r="C367" s="390"/>
      <c r="D367" s="393">
        <f t="shared" si="123"/>
        <v>10.422835695798559</v>
      </c>
      <c r="E367" s="385">
        <f t="shared" si="145"/>
        <v>10.723382911493099</v>
      </c>
      <c r="F367" s="385">
        <f t="shared" si="124"/>
        <v>10.723666751121604</v>
      </c>
      <c r="G367" s="110">
        <f t="shared" si="146"/>
        <v>0.43636912728546695</v>
      </c>
      <c r="H367" s="414" t="b">
        <f>Wh_hp&gt;='2018'!Maxi_hp</f>
        <v>0</v>
      </c>
      <c r="I367" s="390">
        <f>IF(H367,Wh_hp,'2018'!Maxi_hp)</f>
        <v>23.39378515963071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1.2169019976942308E-2</v>
      </c>
      <c r="M367" s="845"/>
      <c r="N367" s="845"/>
      <c r="O367" s="48">
        <f>IF(t&lt;Tnet,'2018'!Resal+('2018'!Salim-'2018'!Resal)*(1-EXP(('2018'!Tnet-t)/('2018'!Tau_j))),Resal+(Salim-Resal)*(1-EXP((Tnet-t)/(Tau_j))))*Salcycl</f>
        <v>2.8027276296589038E-2</v>
      </c>
      <c r="P367" s="169">
        <f>(INDEX(Models!$BJ367:$BT367,,T367)*(1-R367)+INDEX(Models!$BJ367:$BT367,,T367+1)*R367-ERP_i)*Q367*Ramure*Pc/MaxiM</f>
        <v>1.3581875361615506E-4</v>
      </c>
      <c r="Q367" s="305">
        <f t="shared" si="126"/>
        <v>0.5</v>
      </c>
      <c r="R367" s="177">
        <f t="shared" si="127"/>
        <v>0.99736742505561837</v>
      </c>
      <c r="S367" s="811">
        <f t="shared" si="128"/>
        <v>-2</v>
      </c>
      <c r="T367" s="176">
        <f t="shared" si="129"/>
        <v>4</v>
      </c>
      <c r="U367" s="251">
        <f t="shared" si="130"/>
        <v>-1.0026325749443816</v>
      </c>
      <c r="V367" s="383">
        <f t="shared" si="131"/>
        <v>23.592122944797655</v>
      </c>
      <c r="W367" s="58"/>
      <c r="X367" s="157">
        <f t="shared" si="132"/>
        <v>43818</v>
      </c>
      <c r="Y367" s="385">
        <f t="shared" si="133"/>
        <v>10.295999999999999</v>
      </c>
      <c r="Z367" s="385">
        <f t="shared" si="134"/>
        <v>10.422835695798559</v>
      </c>
      <c r="AA367" s="386">
        <f t="shared" si="135"/>
        <v>10.723382911493099</v>
      </c>
      <c r="AB367" s="197">
        <f t="shared" si="136"/>
        <v>43818</v>
      </c>
      <c r="AC367" s="426">
        <f>IF(OR(t&lt;Tnet,NoTnet),'2018'!Resal_s+('2018'!Salim-'2018'!Resal_s)*(1-EXP(('2018'!Tnet_s-t)/'2018'!Tau_j)),Resal_s+(Salim-Resal_s)*(1-EXP((Tnet_s-t)/Tau_j)))*Salcycl</f>
        <v>2.8027276296589038E-2</v>
      </c>
      <c r="AD367" s="231">
        <f>(INDEX(Models!$BJ367:$BT367,,AH367)*(1-AF367)+INDEX(Models!$BJ367:$BT367,,AH367+1)*AF367-ERP_i)*AE367*Ramure*Pc/MaxiM</f>
        <v>1.3581875361615506E-4</v>
      </c>
      <c r="AE367" s="305">
        <f t="shared" si="137"/>
        <v>0.5</v>
      </c>
      <c r="AF367" s="177">
        <f t="shared" si="138"/>
        <v>0.99736742505561837</v>
      </c>
      <c r="AG367" s="176">
        <f t="shared" si="139"/>
        <v>-2</v>
      </c>
      <c r="AH367" s="176">
        <f t="shared" si="140"/>
        <v>4</v>
      </c>
      <c r="AI367" s="225">
        <f t="shared" si="141"/>
        <v>-1.0026325749443816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7">
        <v>8.2949999999999999</v>
      </c>
      <c r="C368" s="390"/>
      <c r="D368" s="393">
        <f t="shared" si="123"/>
        <v>8.3973694422646243</v>
      </c>
      <c r="E368" s="385">
        <f t="shared" si="145"/>
        <v>8.6398267879654096</v>
      </c>
      <c r="F368" s="385">
        <f t="shared" si="124"/>
        <v>8.6399129784949018</v>
      </c>
      <c r="G368" s="110">
        <f t="shared" si="146"/>
        <v>0.35146252419732715</v>
      </c>
      <c r="H368" s="414" t="b">
        <f>Wh_hp&gt;='2018'!Maxi_hp</f>
        <v>0</v>
      </c>
      <c r="I368" s="390">
        <f>IF(H368,Wh_hp,'2018'!Maxi_hp)</f>
        <v>13.943536832461973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1.2190656010606205E-2</v>
      </c>
      <c r="M368" s="845"/>
      <c r="N368" s="845"/>
      <c r="O368" s="48">
        <f>IF(t&lt;Tnet,'2018'!Resal+('2018'!Salim-'2018'!Resal)*(1-EXP(('2018'!Tnet-t)/('2018'!Tau_j))),Resal+(Salim-Resal)*(1-EXP((Tnet-t)/(Tau_j))))*Salcycl</f>
        <v>2.8062755382840459E-2</v>
      </c>
      <c r="P368" s="169">
        <f>(INDEX(Models!$BJ368:$BT368,,T368)*(1-R368)+INDEX(Models!$BJ368:$BT368,,T368+1)*R368-ERP_i)*Q368*Ramure*Pc/MaxiM</f>
        <v>1.3557659197364853E-4</v>
      </c>
      <c r="Q368" s="305">
        <f t="shared" si="126"/>
        <v>0.5</v>
      </c>
      <c r="R368" s="177">
        <f t="shared" si="127"/>
        <v>0.99737496802845671</v>
      </c>
      <c r="S368" s="811">
        <f t="shared" si="128"/>
        <v>-2</v>
      </c>
      <c r="T368" s="176">
        <f t="shared" si="129"/>
        <v>4</v>
      </c>
      <c r="U368" s="251">
        <f t="shared" si="130"/>
        <v>-1.0026250319715433</v>
      </c>
      <c r="V368" s="383">
        <f t="shared" si="131"/>
        <v>23.598413943122583</v>
      </c>
      <c r="W368" s="58"/>
      <c r="X368" s="157">
        <f t="shared" si="132"/>
        <v>43819</v>
      </c>
      <c r="Y368" s="385">
        <f t="shared" si="133"/>
        <v>8.2949999999999999</v>
      </c>
      <c r="Z368" s="385">
        <f t="shared" si="134"/>
        <v>8.3973694422646243</v>
      </c>
      <c r="AA368" s="386">
        <f t="shared" si="135"/>
        <v>8.6398267879654096</v>
      </c>
      <c r="AB368" s="197">
        <f t="shared" si="136"/>
        <v>43819</v>
      </c>
      <c r="AC368" s="426">
        <f>IF(OR(t&lt;Tnet,NoTnet),'2018'!Resal_s+('2018'!Salim-'2018'!Resal_s)*(1-EXP(('2018'!Tnet_s-t)/'2018'!Tau_j)),Resal_s+(Salim-Resal_s)*(1-EXP((Tnet_s-t)/Tau_j)))*Salcycl</f>
        <v>2.8062755382840459E-2</v>
      </c>
      <c r="AD368" s="231">
        <f>(INDEX(Models!$BJ368:$BT368,,AH368)*(1-AF368)+INDEX(Models!$BJ368:$BT368,,AH368+1)*AF368-ERP_i)*AE368*Ramure*Pc/MaxiM</f>
        <v>1.3557659197364853E-4</v>
      </c>
      <c r="AE368" s="305">
        <f t="shared" si="137"/>
        <v>0.5</v>
      </c>
      <c r="AF368" s="177">
        <f t="shared" si="138"/>
        <v>0.99737496802845671</v>
      </c>
      <c r="AG368" s="176">
        <f t="shared" si="139"/>
        <v>-2</v>
      </c>
      <c r="AH368" s="176">
        <f t="shared" si="140"/>
        <v>4</v>
      </c>
      <c r="AI368" s="225">
        <f t="shared" si="141"/>
        <v>-1.0026250319715433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7">
        <v>19.690999999999999</v>
      </c>
      <c r="C369" s="390"/>
      <c r="D369" s="393">
        <f t="shared" si="123"/>
        <v>19.93444525778192</v>
      </c>
      <c r="E369" s="385">
        <f t="shared" si="145"/>
        <v>20.510765274159539</v>
      </c>
      <c r="F369" s="385">
        <f t="shared" si="124"/>
        <v>20.512881562962292</v>
      </c>
      <c r="G369" s="110">
        <f t="shared" si="146"/>
        <v>0.83373367026199396</v>
      </c>
      <c r="H369" s="414" t="b">
        <f>Wh_hp&gt;='2018'!Maxi_hp</f>
        <v>1</v>
      </c>
      <c r="I369" s="390">
        <f>IF(H369,Wh_hp,'2018'!Maxi_hp)</f>
        <v>20.512881562962292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1.2212291570385503E-2</v>
      </c>
      <c r="M369" s="845"/>
      <c r="N369" s="845"/>
      <c r="O369" s="48">
        <f>IF(t&lt;Tnet,'2018'!Resal+('2018'!Salim-'2018'!Resal)*(1-EXP(('2018'!Tnet-t)/('2018'!Tau_j))),Resal+(Salim-Resal)*(1-EXP((Tnet-t)/(Tau_j))))*Salcycl</f>
        <v>2.8098416059770027E-2</v>
      </c>
      <c r="P369" s="169">
        <f>(INDEX(Models!$BJ369:$BT369,,T369)*(1-R369)+INDEX(Models!$BJ369:$BT369,,T369+1)*R369-ERP_i)*Q369*Ramure*Pc/MaxiM</f>
        <v>1.3530065529665183E-4</v>
      </c>
      <c r="Q369" s="305">
        <f t="shared" si="126"/>
        <v>0.5</v>
      </c>
      <c r="R369" s="177">
        <f t="shared" si="127"/>
        <v>0.99738220751304363</v>
      </c>
      <c r="S369" s="811">
        <f t="shared" si="128"/>
        <v>-2</v>
      </c>
      <c r="T369" s="176">
        <f t="shared" si="129"/>
        <v>4</v>
      </c>
      <c r="U369" s="251">
        <f t="shared" si="130"/>
        <v>-1.0026177924869564</v>
      </c>
      <c r="V369" s="383">
        <f t="shared" si="131"/>
        <v>23.617094916674748</v>
      </c>
      <c r="W369" s="58"/>
      <c r="X369" s="157">
        <f t="shared" si="132"/>
        <v>43820</v>
      </c>
      <c r="Y369" s="385">
        <f t="shared" si="133"/>
        <v>19.690999999999999</v>
      </c>
      <c r="Z369" s="385">
        <f t="shared" si="134"/>
        <v>19.93444525778192</v>
      </c>
      <c r="AA369" s="386">
        <f t="shared" si="135"/>
        <v>20.510765274159539</v>
      </c>
      <c r="AB369" s="197">
        <f t="shared" si="136"/>
        <v>43820</v>
      </c>
      <c r="AC369" s="426">
        <f>IF(OR(t&lt;Tnet,NoTnet),'2018'!Resal_s+('2018'!Salim-'2018'!Resal_s)*(1-EXP(('2018'!Tnet_s-t)/'2018'!Tau_j)),Resal_s+(Salim-Resal_s)*(1-EXP((Tnet_s-t)/Tau_j)))*Salcycl</f>
        <v>2.8098416059770027E-2</v>
      </c>
      <c r="AD369" s="231">
        <f>(INDEX(Models!$BJ369:$BT369,,AH369)*(1-AF369)+INDEX(Models!$BJ369:$BT369,,AH369+1)*AF369-ERP_i)*AE369*Ramure*Pc/MaxiM</f>
        <v>1.3530065529665183E-4</v>
      </c>
      <c r="AE369" s="305">
        <f t="shared" si="137"/>
        <v>0.5</v>
      </c>
      <c r="AF369" s="177">
        <f t="shared" si="138"/>
        <v>0.99738220751304363</v>
      </c>
      <c r="AG369" s="176">
        <f t="shared" si="139"/>
        <v>-2</v>
      </c>
      <c r="AH369" s="176">
        <f t="shared" si="140"/>
        <v>4</v>
      </c>
      <c r="AI369" s="225">
        <f t="shared" si="141"/>
        <v>-1.0026177924869564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7">
        <v>7.4189999999999996</v>
      </c>
      <c r="C370" s="390"/>
      <c r="D370" s="393">
        <f t="shared" si="123"/>
        <v>7.5108876486168157</v>
      </c>
      <c r="E370" s="385">
        <f t="shared" si="145"/>
        <v>7.728318022945543</v>
      </c>
      <c r="F370" s="385">
        <f t="shared" si="124"/>
        <v>7.728338471724344</v>
      </c>
      <c r="G370" s="110">
        <f t="shared" si="146"/>
        <v>0.31367930761301699</v>
      </c>
      <c r="H370" s="414" t="b">
        <f>Wh_hp&gt;='2018'!Maxi_hp</f>
        <v>1</v>
      </c>
      <c r="I370" s="390">
        <f>IF(H370,Wh_hp,'2018'!Maxi_hp)</f>
        <v>7.728338471724344</v>
      </c>
      <c r="J370" s="85">
        <f>IF(H370,An,'2018'!An_max)</f>
        <v>2019</v>
      </c>
      <c r="K370" s="197">
        <f t="shared" si="125"/>
        <v>43821</v>
      </c>
      <c r="L370" s="147">
        <f>IF(t&lt;Tvie,1-EXP((T0-t)*PertePVj)+'2018'!Pspv,1-EXP((T0-t)*PertePVj)+Pspv)</f>
        <v>1.2233926656290417E-2</v>
      </c>
      <c r="M370" s="845"/>
      <c r="N370" s="845"/>
      <c r="O370" s="48">
        <f>IF(t&lt;Tnet,'2018'!Resal+('2018'!Salim-'2018'!Resal)*(1-EXP(('2018'!Tnet-t)/('2018'!Tau_j))),Resal+(Salim-Resal)*(1-EXP((Tnet-t)/(Tau_j))))*Salcycl</f>
        <v>2.8134242623449449E-2</v>
      </c>
      <c r="P370" s="169">
        <f>(INDEX(Models!$BJ370:$BT370,,T370)*(1-R370)+INDEX(Models!$BJ370:$BT370,,T370+1)*R370-ERP_i)*Q370*Ramure*Pc/MaxiM</f>
        <v>1.3498919528341308E-4</v>
      </c>
      <c r="Q370" s="305">
        <f t="shared" si="126"/>
        <v>0.5</v>
      </c>
      <c r="R370" s="177">
        <f t="shared" si="127"/>
        <v>0.99738915571184084</v>
      </c>
      <c r="S370" s="811">
        <f t="shared" si="128"/>
        <v>-2</v>
      </c>
      <c r="T370" s="176">
        <f t="shared" si="129"/>
        <v>4</v>
      </c>
      <c r="U370" s="251">
        <f t="shared" si="130"/>
        <v>-1.0026108442881592</v>
      </c>
      <c r="V370" s="383">
        <f t="shared" si="131"/>
        <v>23.64841404202279</v>
      </c>
      <c r="W370" s="58"/>
      <c r="X370" s="157">
        <f t="shared" si="132"/>
        <v>43821</v>
      </c>
      <c r="Y370" s="385">
        <f t="shared" si="133"/>
        <v>7.4189999999999996</v>
      </c>
      <c r="Z370" s="385">
        <f t="shared" si="134"/>
        <v>7.5108876486168157</v>
      </c>
      <c r="AA370" s="386">
        <f t="shared" si="135"/>
        <v>7.728318022945543</v>
      </c>
      <c r="AB370" s="197">
        <f t="shared" si="136"/>
        <v>43821</v>
      </c>
      <c r="AC370" s="426">
        <f>IF(OR(t&lt;Tnet,NoTnet),'2018'!Resal_s+('2018'!Salim-'2018'!Resal_s)*(1-EXP(('2018'!Tnet_s-t)/'2018'!Tau_j)),Resal_s+(Salim-Resal_s)*(1-EXP((Tnet_s-t)/Tau_j)))*Salcycl</f>
        <v>2.8134242623449449E-2</v>
      </c>
      <c r="AD370" s="231">
        <f>(INDEX(Models!$BJ370:$BT370,,AH370)*(1-AF370)+INDEX(Models!$BJ370:$BT370,,AH370+1)*AF370-ERP_i)*AE370*Ramure*Pc/MaxiM</f>
        <v>1.3498919528341308E-4</v>
      </c>
      <c r="AE370" s="305">
        <f t="shared" si="137"/>
        <v>0.5</v>
      </c>
      <c r="AF370" s="177">
        <f t="shared" si="138"/>
        <v>0.99738915571184084</v>
      </c>
      <c r="AG370" s="176">
        <f t="shared" si="139"/>
        <v>-2</v>
      </c>
      <c r="AH370" s="176">
        <f t="shared" si="140"/>
        <v>4</v>
      </c>
      <c r="AI370" s="225">
        <f t="shared" si="141"/>
        <v>-1.0026108442881592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7">
        <v>6.9009999999999998</v>
      </c>
      <c r="C371" s="390"/>
      <c r="D371" s="393">
        <f t="shared" si="123"/>
        <v>6.9866250108796919</v>
      </c>
      <c r="E371" s="385">
        <f t="shared" si="145"/>
        <v>7.1891447999297817</v>
      </c>
      <c r="F371" s="385">
        <f t="shared" si="124"/>
        <v>7.1891447999297817</v>
      </c>
      <c r="G371" s="110">
        <f t="shared" si="146"/>
        <v>0.29123292479426766</v>
      </c>
      <c r="H371" s="414" t="b">
        <f>Wh_hp&gt;='2018'!Maxi_hp</f>
        <v>1</v>
      </c>
      <c r="I371" s="390">
        <f>IF(H371,Wh_hp,'2018'!Maxi_hp)</f>
        <v>7.1891447999297817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1.2255561268331383E-2</v>
      </c>
      <c r="M371" s="845"/>
      <c r="N371" s="845"/>
      <c r="O371" s="48">
        <f>IF(t&lt;Tnet,'2018'!Resal+('2018'!Salim-'2018'!Resal)*(1-EXP(('2018'!Tnet-t)/('2018'!Tau_j))),Resal+(Salim-Resal)*(1-EXP((Tnet-t)/(Tau_j))))*Salcycl</f>
        <v>2.8170219780810007E-2</v>
      </c>
      <c r="P371" s="169">
        <f>(INDEX(Models!$BJ371:$BT371,,T371)*(1-R371)+INDEX(Models!$BJ371:$BT371,,T371+1)*R371-ERP_i)*Q371*Ramure*Pc/MaxiM</f>
        <v>1.3463983829458933E-4</v>
      </c>
      <c r="Q371" s="305">
        <f t="shared" si="126"/>
        <v>0.5</v>
      </c>
      <c r="R371" s="177">
        <f t="shared" si="127"/>
        <v>0.99738915571184084</v>
      </c>
      <c r="S371" s="811">
        <f t="shared" si="128"/>
        <v>-2</v>
      </c>
      <c r="T371" s="176">
        <f t="shared" si="129"/>
        <v>4</v>
      </c>
      <c r="U371" s="251">
        <f t="shared" si="130"/>
        <v>-1.0026108442881592</v>
      </c>
      <c r="V371" s="383">
        <f t="shared" si="131"/>
        <v>23.692619422581661</v>
      </c>
      <c r="W371" s="58"/>
      <c r="X371" s="157">
        <f t="shared" si="132"/>
        <v>43822</v>
      </c>
      <c r="Y371" s="385">
        <f t="shared" si="133"/>
        <v>6.9009999999999998</v>
      </c>
      <c r="Z371" s="385">
        <f t="shared" si="134"/>
        <v>6.9866250108796919</v>
      </c>
      <c r="AA371" s="386">
        <f t="shared" si="135"/>
        <v>7.1891447999297817</v>
      </c>
      <c r="AB371" s="197">
        <f t="shared" si="136"/>
        <v>43822</v>
      </c>
      <c r="AC371" s="426">
        <f>IF(OR(t&lt;Tnet,NoTnet),'2018'!Resal_s+('2018'!Salim-'2018'!Resal_s)*(1-EXP(('2018'!Tnet_s-t)/'2018'!Tau_j)),Resal_s+(Salim-Resal_s)*(1-EXP((Tnet_s-t)/Tau_j)))*Salcycl</f>
        <v>2.8170219780810007E-2</v>
      </c>
      <c r="AD371" s="231">
        <f>(INDEX(Models!$BJ371:$BT371,,AH371)*(1-AF371)+INDEX(Models!$BJ371:$BT371,,AH371+1)*AF371-ERP_i)*AE371*Ramure*Pc/MaxiM</f>
        <v>1.3463983829458933E-4</v>
      </c>
      <c r="AE371" s="305">
        <f t="shared" si="137"/>
        <v>0.5</v>
      </c>
      <c r="AF371" s="177">
        <f t="shared" si="138"/>
        <v>0.99738915571184084</v>
      </c>
      <c r="AG371" s="176">
        <f t="shared" si="139"/>
        <v>-2</v>
      </c>
      <c r="AH371" s="176">
        <f t="shared" si="140"/>
        <v>4</v>
      </c>
      <c r="AI371" s="225">
        <f t="shared" si="141"/>
        <v>-1.0026108442881592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7">
        <v>14.686</v>
      </c>
      <c r="C372" s="390"/>
      <c r="D372" s="393">
        <f t="shared" si="123"/>
        <v>14.868544020348244</v>
      </c>
      <c r="E372" s="385">
        <f t="shared" si="145"/>
        <v>15.300103840039004</v>
      </c>
      <c r="F372" s="385">
        <f t="shared" si="124"/>
        <v>15.301038083820069</v>
      </c>
      <c r="G372" s="110">
        <f t="shared" si="146"/>
        <v>0.61831369753360521</v>
      </c>
      <c r="H372" s="414" t="b">
        <f>Wh_hp&gt;='2018'!Maxi_hp</f>
        <v>1</v>
      </c>
      <c r="I372" s="390">
        <f>IF(H372,Wh_hp,'2018'!Maxi_hp)</f>
        <v>15.301038083820069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1.2277195406518948E-2</v>
      </c>
      <c r="M372" s="845"/>
      <c r="N372" s="845"/>
      <c r="O372" s="48">
        <f>IF(t&lt;Tnet,'2018'!Resal+('2018'!Salim-'2018'!Resal)*(1-EXP(('2018'!Tnet-t)/('2018'!Tau_j))),Resal+(Salim-Resal)*(1-EXP((Tnet-t)/(Tau_j))))*Salcycl</f>
        <v>2.820633272837049E-2</v>
      </c>
      <c r="P372" s="169">
        <f>(INDEX(Models!$BJ372:$BT372,,T372)*(1-R372)+INDEX(Models!$BJ372:$BT372,,T372+1)*R372-ERP_i)*Q372*Ramure*Pc/MaxiM</f>
        <v>1.3425185070761037E-4</v>
      </c>
      <c r="Q372" s="305">
        <f t="shared" si="126"/>
        <v>0.5</v>
      </c>
      <c r="R372" s="177">
        <f t="shared" si="127"/>
        <v>0.99738915571184084</v>
      </c>
      <c r="S372" s="811">
        <f t="shared" si="128"/>
        <v>-2</v>
      </c>
      <c r="T372" s="176">
        <f t="shared" si="129"/>
        <v>4</v>
      </c>
      <c r="U372" s="251">
        <f t="shared" si="130"/>
        <v>-1.0026108442881592</v>
      </c>
      <c r="V372" s="383">
        <f t="shared" si="131"/>
        <v>23.749959060146651</v>
      </c>
      <c r="W372" s="58"/>
      <c r="X372" s="157">
        <f t="shared" si="132"/>
        <v>43823</v>
      </c>
      <c r="Y372" s="385">
        <f t="shared" si="133"/>
        <v>14.686</v>
      </c>
      <c r="Z372" s="385">
        <f t="shared" si="134"/>
        <v>14.868544020348244</v>
      </c>
      <c r="AA372" s="386">
        <f t="shared" si="135"/>
        <v>15.300103840039004</v>
      </c>
      <c r="AB372" s="197">
        <f t="shared" si="136"/>
        <v>43823</v>
      </c>
      <c r="AC372" s="426">
        <f>IF(OR(t&lt;Tnet,NoTnet),'2018'!Resal_s+('2018'!Salim-'2018'!Resal_s)*(1-EXP(('2018'!Tnet_s-t)/'2018'!Tau_j)),Resal_s+(Salim-Resal_s)*(1-EXP((Tnet_s-t)/Tau_j)))*Salcycl</f>
        <v>2.820633272837049E-2</v>
      </c>
      <c r="AD372" s="231">
        <f>(INDEX(Models!$BJ372:$BT372,,AH372)*(1-AF372)+INDEX(Models!$BJ372:$BT372,,AH372+1)*AF372-ERP_i)*AE372*Ramure*Pc/MaxiM</f>
        <v>1.3425185070761037E-4</v>
      </c>
      <c r="AE372" s="305">
        <f t="shared" si="137"/>
        <v>0.5</v>
      </c>
      <c r="AF372" s="177">
        <f t="shared" si="138"/>
        <v>0.99738915571184084</v>
      </c>
      <c r="AG372" s="176">
        <f t="shared" si="139"/>
        <v>-2</v>
      </c>
      <c r="AH372" s="176">
        <f t="shared" si="140"/>
        <v>4</v>
      </c>
      <c r="AI372" s="225">
        <f t="shared" si="141"/>
        <v>-1.0026108442881592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7">
        <v>13.138999999999999</v>
      </c>
      <c r="C373" s="390"/>
      <c r="D373" s="393">
        <f t="shared" si="123"/>
        <v>13.3026064833355</v>
      </c>
      <c r="E373" s="385">
        <f t="shared" si="145"/>
        <v>13.689225350543156</v>
      </c>
      <c r="F373" s="385">
        <f t="shared" si="124"/>
        <v>13.689883592953603</v>
      </c>
      <c r="G373" s="110">
        <f t="shared" si="146"/>
        <v>0.55148316736885417</v>
      </c>
      <c r="H373" s="414" t="b">
        <f>Wh_hp&gt;='2018'!Maxi_hp</f>
        <v>0</v>
      </c>
      <c r="I373" s="390">
        <f>IF(H373,Wh_hp,'2018'!Maxi_hp)</f>
        <v>16.332134440633631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1.2298829070863326E-2</v>
      </c>
      <c r="M373" s="845"/>
      <c r="N373" s="845"/>
      <c r="O373" s="48">
        <f>IF(t&lt;Tnet,'2018'!Resal+('2018'!Salim-'2018'!Resal)*(1-EXP(('2018'!Tnet-t)/('2018'!Tau_j))),Resal+(Salim-Resal)*(1-EXP((Tnet-t)/(Tau_j))))*Salcycl</f>
        <v>2.8242567224033312E-2</v>
      </c>
      <c r="P373" s="169">
        <f>(INDEX(Models!$BJ373:$BT373,,T373)*(1-R373)+INDEX(Models!$BJ373:$BT373,,T373+1)*R373-ERP_i)*Q373*Ramure*Pc/MaxiM</f>
        <v>1.3381154159611855E-4</v>
      </c>
      <c r="Q373" s="305">
        <f t="shared" si="126"/>
        <v>0.5</v>
      </c>
      <c r="R373" s="177">
        <f t="shared" si="127"/>
        <v>0.99738915571184084</v>
      </c>
      <c r="S373" s="811">
        <f t="shared" si="128"/>
        <v>-2</v>
      </c>
      <c r="T373" s="176">
        <f t="shared" si="129"/>
        <v>4</v>
      </c>
      <c r="U373" s="251">
        <f t="shared" si="130"/>
        <v>-1.0026108442881592</v>
      </c>
      <c r="V373" s="383">
        <f t="shared" si="131"/>
        <v>23.822800636474486</v>
      </c>
      <c r="W373" s="58"/>
      <c r="X373" s="157">
        <f t="shared" si="132"/>
        <v>43824</v>
      </c>
      <c r="Y373" s="385">
        <f t="shared" si="133"/>
        <v>13.138999999999999</v>
      </c>
      <c r="Z373" s="385">
        <f t="shared" si="134"/>
        <v>13.3026064833355</v>
      </c>
      <c r="AA373" s="386">
        <f t="shared" si="135"/>
        <v>13.689225350543156</v>
      </c>
      <c r="AB373" s="197">
        <f t="shared" si="136"/>
        <v>43824</v>
      </c>
      <c r="AC373" s="426">
        <f>IF(OR(t&lt;Tnet,NoTnet),'2018'!Resal_s+('2018'!Salim-'2018'!Resal_s)*(1-EXP(('2018'!Tnet_s-t)/'2018'!Tau_j)),Resal_s+(Salim-Resal_s)*(1-EXP((Tnet_s-t)/Tau_j)))*Salcycl</f>
        <v>2.8242567224033312E-2</v>
      </c>
      <c r="AD373" s="231">
        <f>(INDEX(Models!$BJ373:$BT373,,AH373)*(1-AF373)+INDEX(Models!$BJ373:$BT373,,AH373+1)*AF373-ERP_i)*AE373*Ramure*Pc/MaxiM</f>
        <v>1.3381154159611855E-4</v>
      </c>
      <c r="AE373" s="305">
        <f t="shared" si="137"/>
        <v>0.5</v>
      </c>
      <c r="AF373" s="177">
        <f t="shared" si="138"/>
        <v>0.99738915571184084</v>
      </c>
      <c r="AG373" s="176">
        <f t="shared" si="139"/>
        <v>-2</v>
      </c>
      <c r="AH373" s="176">
        <f t="shared" si="140"/>
        <v>4</v>
      </c>
      <c r="AI373" s="225">
        <f t="shared" si="141"/>
        <v>-1.0026108442881592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7">
        <v>10.673</v>
      </c>
      <c r="C374" s="390"/>
      <c r="D374" s="393">
        <f t="shared" si="123"/>
        <v>10.806136598148754</v>
      </c>
      <c r="E374" s="385">
        <f t="shared" si="145"/>
        <v>11.120615478535745</v>
      </c>
      <c r="F374" s="385">
        <f t="shared" si="124"/>
        <v>11.120925402977241</v>
      </c>
      <c r="G374" s="110">
        <f t="shared" si="146"/>
        <v>0.44628740456888288</v>
      </c>
      <c r="H374" s="414" t="b">
        <f>Wh_hp&gt;='2018'!Maxi_hp</f>
        <v>0</v>
      </c>
      <c r="I374" s="390">
        <f>IF(H374,Wh_hp,'2018'!Maxi_hp)</f>
        <v>24.2954595694269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1.2320462261374843E-2</v>
      </c>
      <c r="M374" s="845"/>
      <c r="N374" s="845"/>
      <c r="O374" s="48">
        <f>IF(t&lt;Tnet,'2018'!Resal+('2018'!Salim-'2018'!Resal)*(1-EXP(('2018'!Tnet-t)/('2018'!Tau_j))),Resal+(Salim-Resal)*(1-EXP((Tnet-t)/(Tau_j))))*Salcycl</f>
        <v>2.8278909651536611E-2</v>
      </c>
      <c r="P374" s="169">
        <f>(INDEX(Models!$BJ374:$BT374,,T374)*(1-R374)+INDEX(Models!$BJ374:$BT374,,T374+1)*R374-ERP_i)*Q374*Ramure*Pc/MaxiM</f>
        <v>1.3331109790323576E-4</v>
      </c>
      <c r="Q374" s="305">
        <f t="shared" si="126"/>
        <v>0.5</v>
      </c>
      <c r="R374" s="177">
        <f t="shared" si="127"/>
        <v>0.99738915571184084</v>
      </c>
      <c r="S374" s="811">
        <f t="shared" si="128"/>
        <v>-2</v>
      </c>
      <c r="T374" s="176">
        <f t="shared" si="129"/>
        <v>4</v>
      </c>
      <c r="U374" s="251">
        <f t="shared" si="130"/>
        <v>-1.0026108442881592</v>
      </c>
      <c r="V374" s="383">
        <f t="shared" si="131"/>
        <v>23.912560541546583</v>
      </c>
      <c r="W374" s="58"/>
      <c r="X374" s="157">
        <f t="shared" si="132"/>
        <v>43825</v>
      </c>
      <c r="Y374" s="385">
        <f t="shared" si="133"/>
        <v>10.673</v>
      </c>
      <c r="Z374" s="385">
        <f t="shared" si="134"/>
        <v>10.806136598148754</v>
      </c>
      <c r="AA374" s="386">
        <f t="shared" si="135"/>
        <v>11.120615478535745</v>
      </c>
      <c r="AB374" s="197">
        <f t="shared" si="136"/>
        <v>43825</v>
      </c>
      <c r="AC374" s="426">
        <f>IF(OR(t&lt;Tnet,NoTnet),'2018'!Resal_s+('2018'!Salim-'2018'!Resal_s)*(1-EXP(('2018'!Tnet_s-t)/'2018'!Tau_j)),Resal_s+(Salim-Resal_s)*(1-EXP((Tnet_s-t)/Tau_j)))*Salcycl</f>
        <v>2.8278909651536611E-2</v>
      </c>
      <c r="AD374" s="231">
        <f>(INDEX(Models!$BJ374:$BT374,,AH374)*(1-AF374)+INDEX(Models!$BJ374:$BT374,,AH374+1)*AF374-ERP_i)*AE374*Ramure*Pc/MaxiM</f>
        <v>1.3331109790323576E-4</v>
      </c>
      <c r="AE374" s="305">
        <f t="shared" si="137"/>
        <v>0.5</v>
      </c>
      <c r="AF374" s="177">
        <f t="shared" si="138"/>
        <v>0.99738915571184084</v>
      </c>
      <c r="AG374" s="176">
        <f t="shared" si="139"/>
        <v>-2</v>
      </c>
      <c r="AH374" s="176">
        <f t="shared" si="140"/>
        <v>4</v>
      </c>
      <c r="AI374" s="225">
        <f t="shared" si="141"/>
        <v>-1.0026108442881592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7">
        <v>21.085000000000001</v>
      </c>
      <c r="C375" s="390"/>
      <c r="D375" s="393">
        <f t="shared" si="123"/>
        <v>21.348485029876514</v>
      </c>
      <c r="E375" s="385">
        <f t="shared" si="145"/>
        <v>21.970589908630711</v>
      </c>
      <c r="F375" s="385">
        <f t="shared" si="124"/>
        <v>21.972999153886398</v>
      </c>
      <c r="G375" s="110">
        <f t="shared" si="146"/>
        <v>0.87786076968465243</v>
      </c>
      <c r="H375" s="414" t="b">
        <f>Wh_hp&gt;='2018'!Maxi_hp</f>
        <v>0</v>
      </c>
      <c r="I375" s="390">
        <f>IF(H375,Wh_hp,'2018'!Maxi_hp)</f>
        <v>24.678488393426758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1.2342094978064044E-2</v>
      </c>
      <c r="M375" s="845"/>
      <c r="N375" s="845"/>
      <c r="O375" s="48">
        <f>IF(t&lt;Tnet,'2018'!Resal+('2018'!Salim-'2018'!Resal)*(1-EXP(('2018'!Tnet-t)/('2018'!Tau_j))),Resal+(Salim-Resal)*(1-EXP((Tnet-t)/(Tau_j))))*Salcycl</f>
        <v>2.8315347077222254E-2</v>
      </c>
      <c r="P375" s="169">
        <f>(INDEX(Models!$BJ375:$BT375,,T375)*(1-R375)+INDEX(Models!$BJ375:$BT375,,T375+1)*R375-ERP_i)*Q375*Ramure*Pc/MaxiM</f>
        <v>1.328162496909361E-4</v>
      </c>
      <c r="Q375" s="305">
        <f t="shared" si="126"/>
        <v>0.5</v>
      </c>
      <c r="R375" s="177">
        <f t="shared" si="127"/>
        <v>0.99738915571184084</v>
      </c>
      <c r="S375" s="811">
        <f t="shared" si="128"/>
        <v>-2</v>
      </c>
      <c r="T375" s="176">
        <f t="shared" si="129"/>
        <v>4</v>
      </c>
      <c r="U375" s="251">
        <f t="shared" si="130"/>
        <v>-1.0026108442881592</v>
      </c>
      <c r="V375" s="383">
        <f t="shared" si="131"/>
        <v>24.018058584993319</v>
      </c>
      <c r="W375" s="58"/>
      <c r="X375" s="157">
        <f t="shared" si="132"/>
        <v>43826</v>
      </c>
      <c r="Y375" s="385">
        <f t="shared" si="133"/>
        <v>21.085000000000001</v>
      </c>
      <c r="Z375" s="385">
        <f t="shared" si="134"/>
        <v>21.348485029876514</v>
      </c>
      <c r="AA375" s="386">
        <f t="shared" si="135"/>
        <v>21.970589908630711</v>
      </c>
      <c r="AB375" s="197">
        <f t="shared" si="136"/>
        <v>43826</v>
      </c>
      <c r="AC375" s="426">
        <f>IF(OR(t&lt;Tnet,NoTnet),'2018'!Resal_s+('2018'!Salim-'2018'!Resal_s)*(1-EXP(('2018'!Tnet_s-t)/'2018'!Tau_j)),Resal_s+(Salim-Resal_s)*(1-EXP((Tnet_s-t)/Tau_j)))*Salcycl</f>
        <v>2.8315347077222254E-2</v>
      </c>
      <c r="AD375" s="231">
        <f>(INDEX(Models!$BJ375:$BT375,,AH375)*(1-AF375)+INDEX(Models!$BJ375:$BT375,,AH375+1)*AF375-ERP_i)*AE375*Ramure*Pc/MaxiM</f>
        <v>1.328162496909361E-4</v>
      </c>
      <c r="AE375" s="305">
        <f t="shared" si="137"/>
        <v>0.5</v>
      </c>
      <c r="AF375" s="177">
        <f t="shared" si="138"/>
        <v>0.99738915571184084</v>
      </c>
      <c r="AG375" s="176">
        <f t="shared" si="139"/>
        <v>-2</v>
      </c>
      <c r="AH375" s="176">
        <f t="shared" si="140"/>
        <v>4</v>
      </c>
      <c r="AI375" s="225">
        <f t="shared" si="141"/>
        <v>-1.0026108442881592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7">
        <v>4.2080000000000002</v>
      </c>
      <c r="C376" s="390"/>
      <c r="D376" s="393">
        <f t="shared" si="123"/>
        <v>4.2606778588227892</v>
      </c>
      <c r="E376" s="385">
        <f t="shared" si="145"/>
        <v>4.3850008201819533</v>
      </c>
      <c r="F376" s="385">
        <f t="shared" si="124"/>
        <v>4.3850008201819533</v>
      </c>
      <c r="G376" s="110">
        <f t="shared" si="146"/>
        <v>0.17430702127053643</v>
      </c>
      <c r="H376" s="414" t="b">
        <f>Wh_hp&gt;='2018'!Maxi_hp</f>
        <v>1</v>
      </c>
      <c r="I376" s="390">
        <f>IF(H376,Wh_hp,'2018'!Maxi_hp)</f>
        <v>4.3850008201819533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1.2363727220941256E-2</v>
      </c>
      <c r="M376" s="845"/>
      <c r="N376" s="845"/>
      <c r="O376" s="48">
        <f>IF(t&lt;Tnet,'2018'!Resal+('2018'!Salim-'2018'!Resal)*(1-EXP(('2018'!Tnet-t)/('2018'!Tau_j))),Resal+(Salim-Resal)*(1-EXP((Tnet-t)/(Tau_j))))*Salcycl</f>
        <v>2.8351867298853806E-2</v>
      </c>
      <c r="P376" s="169">
        <f>(INDEX(Models!$BJ376:$BT376,,T376)*(1-R376)+INDEX(Models!$BJ376:$BT376,,T376+1)*R376-ERP_i)*Q376*Ramure*Pc/MaxiM</f>
        <v>1.3232377756946682E-4</v>
      </c>
      <c r="Q376" s="305">
        <f t="shared" si="126"/>
        <v>0.5</v>
      </c>
      <c r="R376" s="177">
        <f t="shared" si="127"/>
        <v>0.99738915571184084</v>
      </c>
      <c r="S376" s="811">
        <f t="shared" si="128"/>
        <v>-2</v>
      </c>
      <c r="T376" s="176">
        <f t="shared" si="129"/>
        <v>4</v>
      </c>
      <c r="U376" s="251">
        <f t="shared" si="130"/>
        <v>-1.0026108442881592</v>
      </c>
      <c r="V376" s="383">
        <f t="shared" si="131"/>
        <v>24.138116473310323</v>
      </c>
      <c r="W376" s="58"/>
      <c r="X376" s="157">
        <f t="shared" si="132"/>
        <v>43827</v>
      </c>
      <c r="Y376" s="385">
        <f t="shared" si="133"/>
        <v>4.2080000000000002</v>
      </c>
      <c r="Z376" s="385">
        <f t="shared" si="134"/>
        <v>4.2606778588227892</v>
      </c>
      <c r="AA376" s="386">
        <f t="shared" si="135"/>
        <v>4.3850008201819533</v>
      </c>
      <c r="AB376" s="197">
        <f t="shared" si="136"/>
        <v>43827</v>
      </c>
      <c r="AC376" s="426">
        <f>IF(OR(t&lt;Tnet,NoTnet),'2018'!Resal_s+('2018'!Salim-'2018'!Resal_s)*(1-EXP(('2018'!Tnet_s-t)/'2018'!Tau_j)),Resal_s+(Salim-Resal_s)*(1-EXP((Tnet_s-t)/Tau_j)))*Salcycl</f>
        <v>2.8351867298853806E-2</v>
      </c>
      <c r="AD376" s="231">
        <f>(INDEX(Models!$BJ376:$BT376,,AH376)*(1-AF376)+INDEX(Models!$BJ376:$BT376,,AH376+1)*AF376-ERP_i)*AE376*Ramure*Pc/MaxiM</f>
        <v>1.3232377756946682E-4</v>
      </c>
      <c r="AE376" s="305">
        <f t="shared" si="137"/>
        <v>0.5</v>
      </c>
      <c r="AF376" s="177">
        <f t="shared" si="138"/>
        <v>0.99738915571184084</v>
      </c>
      <c r="AG376" s="176">
        <f t="shared" si="139"/>
        <v>-2</v>
      </c>
      <c r="AH376" s="176">
        <f t="shared" si="140"/>
        <v>4</v>
      </c>
      <c r="AI376" s="225">
        <f t="shared" si="141"/>
        <v>-1.0026108442881592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7">
        <v>23.699000000000002</v>
      </c>
      <c r="C377" s="390"/>
      <c r="D377" s="393">
        <f t="shared" si="123"/>
        <v>23.996201570851806</v>
      </c>
      <c r="E377" s="385">
        <f t="shared" si="145"/>
        <v>24.697320436669848</v>
      </c>
      <c r="F377" s="385">
        <f t="shared" si="124"/>
        <v>24.70046719987749</v>
      </c>
      <c r="G377" s="110">
        <f t="shared" si="146"/>
        <v>0.97640607626636655</v>
      </c>
      <c r="H377" s="414" t="b">
        <f>Wh_hp&gt;='2018'!Maxi_hp</f>
        <v>1</v>
      </c>
      <c r="I377" s="390">
        <f>IF(H377,Wh_hp,'2018'!Maxi_hp)</f>
        <v>24.70046719987749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1.2385358990016804E-2</v>
      </c>
      <c r="M377" s="845"/>
      <c r="N377" s="845"/>
      <c r="O377" s="48">
        <f>IF(t&lt;Tnet,'2018'!Resal+('2018'!Salim-'2018'!Resal)*(1-EXP(('2018'!Tnet-t)/('2018'!Tau_j))),Resal+(Salim-Resal)*(1-EXP((Tnet-t)/(Tau_j))))*Salcycl</f>
        <v>2.8388458886294536E-2</v>
      </c>
      <c r="P377" s="169">
        <f>(INDEX(Models!$BJ377:$BT377,,T377)*(1-R377)+INDEX(Models!$BJ377:$BT377,,T377+1)*R377-ERP_i)*Q377*Ramure*Pc/MaxiM</f>
        <v>1.3183983471788349E-4</v>
      </c>
      <c r="Q377" s="305">
        <f t="shared" si="126"/>
        <v>0.5</v>
      </c>
      <c r="R377" s="177">
        <f t="shared" si="127"/>
        <v>0.99738915571184084</v>
      </c>
      <c r="S377" s="811">
        <f t="shared" si="128"/>
        <v>-2</v>
      </c>
      <c r="T377" s="176">
        <f t="shared" si="129"/>
        <v>4</v>
      </c>
      <c r="U377" s="251">
        <f t="shared" si="130"/>
        <v>-1.0026108442881592</v>
      </c>
      <c r="V377" s="383">
        <f t="shared" si="131"/>
        <v>24.271555933308907</v>
      </c>
      <c r="W377" s="58"/>
      <c r="X377" s="157">
        <f t="shared" si="132"/>
        <v>43828</v>
      </c>
      <c r="Y377" s="385">
        <f t="shared" si="133"/>
        <v>23.699000000000002</v>
      </c>
      <c r="Z377" s="385">
        <f t="shared" si="134"/>
        <v>23.996201570851806</v>
      </c>
      <c r="AA377" s="386">
        <f t="shared" si="135"/>
        <v>24.697320436669848</v>
      </c>
      <c r="AB377" s="197">
        <f t="shared" si="136"/>
        <v>43828</v>
      </c>
      <c r="AC377" s="426">
        <f>IF(OR(t&lt;Tnet,NoTnet),'2018'!Resal_s+('2018'!Salim-'2018'!Resal_s)*(1-EXP(('2018'!Tnet_s-t)/'2018'!Tau_j)),Resal_s+(Salim-Resal_s)*(1-EXP((Tnet_s-t)/Tau_j)))*Salcycl</f>
        <v>2.8388458886294536E-2</v>
      </c>
      <c r="AD377" s="231">
        <f>(INDEX(Models!$BJ377:$BT377,,AH377)*(1-AF377)+INDEX(Models!$BJ377:$BT377,,AH377+1)*AF377-ERP_i)*AE377*Ramure*Pc/MaxiM</f>
        <v>1.3183983471788349E-4</v>
      </c>
      <c r="AE377" s="305">
        <f t="shared" si="137"/>
        <v>0.5</v>
      </c>
      <c r="AF377" s="177">
        <f t="shared" si="138"/>
        <v>0.99738915571184084</v>
      </c>
      <c r="AG377" s="176">
        <f t="shared" si="139"/>
        <v>-2</v>
      </c>
      <c r="AH377" s="176">
        <f t="shared" si="140"/>
        <v>4</v>
      </c>
      <c r="AI377" s="225">
        <f t="shared" si="141"/>
        <v>-1.0026108442881592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7">
        <v>24.965</v>
      </c>
      <c r="C378" s="390"/>
      <c r="D378" s="393">
        <f t="shared" si="123"/>
        <v>25.27863173840408</v>
      </c>
      <c r="E378" s="385">
        <f t="shared" si="145"/>
        <v>26.01820202453813</v>
      </c>
      <c r="F378" s="385">
        <f t="shared" si="124"/>
        <v>26.021620495154139</v>
      </c>
      <c r="G378" s="110">
        <f t="shared" si="146"/>
        <v>1.0224350483072104</v>
      </c>
      <c r="H378" s="414" t="b">
        <f>Wh_hp&gt;='2018'!Maxi_hp</f>
        <v>1</v>
      </c>
      <c r="I378" s="390">
        <f>IF(H378,Wh_hp,'2018'!Maxi_hp)</f>
        <v>26.021620495154139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1.2406990285301012E-2</v>
      </c>
      <c r="M378" s="845"/>
      <c r="N378" s="845"/>
      <c r="O378" s="48">
        <f>IF(t&lt;Tnet,'2018'!Resal+('2018'!Salim-'2018'!Resal)*(1-EXP(('2018'!Tnet-t)/('2018'!Tau_j))),Resal+(Salim-Resal)*(1-EXP((Tnet-t)/(Tau_j))))*Salcycl</f>
        <v>2.8425111213932101E-2</v>
      </c>
      <c r="P378" s="169">
        <f>(INDEX(Models!$BJ378:$BT378,,T378)*(1-R378)+INDEX(Models!$BJ378:$BT378,,T378+1)*R378-ERP_i)*Q378*Ramure*Pc/MaxiM</f>
        <v>1.3137039703750353E-4</v>
      </c>
      <c r="Q378" s="305">
        <f t="shared" si="126"/>
        <v>0.5</v>
      </c>
      <c r="R378" s="177">
        <f t="shared" si="127"/>
        <v>0.99738915571184084</v>
      </c>
      <c r="S378" s="811">
        <f t="shared" si="128"/>
        <v>-2</v>
      </c>
      <c r="T378" s="176">
        <f t="shared" si="129"/>
        <v>4</v>
      </c>
      <c r="U378" s="251">
        <f t="shared" si="130"/>
        <v>-1.0026108442881592</v>
      </c>
      <c r="V378" s="383">
        <f t="shared" si="131"/>
        <v>24.417198961766012</v>
      </c>
      <c r="W378" s="58"/>
      <c r="X378" s="157">
        <f t="shared" si="132"/>
        <v>43829</v>
      </c>
      <c r="Y378" s="385">
        <f t="shared" si="133"/>
        <v>24.965</v>
      </c>
      <c r="Z378" s="385">
        <f t="shared" si="134"/>
        <v>25.27863173840408</v>
      </c>
      <c r="AA378" s="386">
        <f t="shared" si="135"/>
        <v>26.01820202453813</v>
      </c>
      <c r="AB378" s="197">
        <f t="shared" si="136"/>
        <v>43829</v>
      </c>
      <c r="AC378" s="426">
        <f>IF(OR(t&lt;Tnet,NoTnet),'2018'!Resal_s+('2018'!Salim-'2018'!Resal_s)*(1-EXP(('2018'!Tnet_s-t)/'2018'!Tau_j)),Resal_s+(Salim-Resal_s)*(1-EXP((Tnet_s-t)/Tau_j)))*Salcycl</f>
        <v>2.8425111213932101E-2</v>
      </c>
      <c r="AD378" s="231">
        <f>(INDEX(Models!$BJ378:$BT378,,AH378)*(1-AF378)+INDEX(Models!$BJ378:$BT378,,AH378+1)*AF378-ERP_i)*AE378*Ramure*Pc/MaxiM</f>
        <v>1.3137039703750353E-4</v>
      </c>
      <c r="AE378" s="305">
        <f t="shared" si="137"/>
        <v>0.5</v>
      </c>
      <c r="AF378" s="177">
        <f t="shared" si="138"/>
        <v>0.99738915571184084</v>
      </c>
      <c r="AG378" s="176">
        <f t="shared" si="139"/>
        <v>-2</v>
      </c>
      <c r="AH378" s="176">
        <f t="shared" si="140"/>
        <v>4</v>
      </c>
      <c r="AI378" s="225">
        <f t="shared" si="141"/>
        <v>-1.0026108442881592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7">
        <v>17.216000000000001</v>
      </c>
      <c r="C379" s="390"/>
      <c r="D379" s="393">
        <f t="shared" si="123"/>
        <v>17.432663975432895</v>
      </c>
      <c r="E379" s="385">
        <f t="shared" si="145"/>
        <v>17.943364692545462</v>
      </c>
      <c r="F379" s="385">
        <f t="shared" si="124"/>
        <v>17.944709126593889</v>
      </c>
      <c r="G379" s="110">
        <f t="shared" si="146"/>
        <v>0.70054237952119303</v>
      </c>
      <c r="H379" s="414" t="b">
        <f>Wh_hp&gt;='2018'!Maxi_hp</f>
        <v>1</v>
      </c>
      <c r="I379" s="390">
        <f>IF(H379,Wh_hp,'2018'!Maxi_hp)</f>
        <v>17.944709126593889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1.2428621106804427E-2</v>
      </c>
      <c r="M379" s="845"/>
      <c r="N379" s="845"/>
      <c r="O379" s="48">
        <f>IF(t&lt;Tnet,'2018'!Resal+('2018'!Salim-'2018'!Resal)*(1-EXP(('2018'!Tnet-t)/('2018'!Tau_j))),Resal+(Salim-Resal)*(1-EXP((Tnet-t)/(Tau_j))))*Salcycl</f>
        <v>2.8461814484812623E-2</v>
      </c>
      <c r="P379" s="169">
        <f>(INDEX(Models!$BJ379:$BT379,,T379)*(1-R379)+INDEX(Models!$BJ379:$BT379,,T379+1)*R379-ERP_i)*Q379*Ramure*Pc/MaxiM</f>
        <v>1.3092123884753874E-4</v>
      </c>
      <c r="Q379" s="306">
        <f t="shared" si="126"/>
        <v>0.5</v>
      </c>
      <c r="R379" s="177">
        <f t="shared" si="127"/>
        <v>0.99738915571184084</v>
      </c>
      <c r="S379" s="811">
        <f t="shared" si="128"/>
        <v>-2</v>
      </c>
      <c r="T379" s="176">
        <f t="shared" si="129"/>
        <v>4</v>
      </c>
      <c r="U379" s="307">
        <f t="shared" si="130"/>
        <v>-1.0026108442881592</v>
      </c>
      <c r="V379" s="383">
        <f t="shared" si="131"/>
        <v>24.57386780507753</v>
      </c>
      <c r="W379" s="58"/>
      <c r="X379" s="157">
        <f t="shared" si="132"/>
        <v>43830</v>
      </c>
      <c r="Y379" s="385">
        <f t="shared" si="133"/>
        <v>17.216000000000001</v>
      </c>
      <c r="Z379" s="385">
        <f t="shared" si="134"/>
        <v>17.432663975432895</v>
      </c>
      <c r="AA379" s="386">
        <f t="shared" si="135"/>
        <v>17.943364692545462</v>
      </c>
      <c r="AB379" s="197">
        <f t="shared" si="136"/>
        <v>43830</v>
      </c>
      <c r="AC379" s="426">
        <f>IF(OR(t&lt;Tnet,NoTnet),'2018'!Resal_s+('2018'!Salim-'2018'!Resal_s)*(1-EXP(('2018'!Tnet_s-t)/'2018'!Tau_j)),Resal_s+(Salim-Resal_s)*(1-EXP((Tnet_s-t)/Tau_j)))*Salcycl</f>
        <v>2.8461814484812623E-2</v>
      </c>
      <c r="AD379" s="231">
        <f>(INDEX(Models!$BJ379:$BT379,,AH379)*(1-AF379)+INDEX(Models!$BJ379:$BT379,,AH379+1)*AF379-ERP_i)*AE379*Ramure*Pc/MaxiM</f>
        <v>1.3092123884753874E-4</v>
      </c>
      <c r="AE379" s="306">
        <f t="shared" si="137"/>
        <v>0.5</v>
      </c>
      <c r="AF379" s="177">
        <f t="shared" si="138"/>
        <v>0.99738915571184084</v>
      </c>
      <c r="AG379" s="176">
        <f t="shared" si="139"/>
        <v>-2</v>
      </c>
      <c r="AH379" s="176">
        <f t="shared" si="140"/>
        <v>4</v>
      </c>
      <c r="AI379" s="222">
        <f t="shared" si="141"/>
        <v>-1.0026108442881592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9"/>
      <c r="C380" s="853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50"/>
      <c r="N380" s="850"/>
      <c r="O380" s="215"/>
      <c r="P380" s="322"/>
      <c r="Q380" s="229"/>
      <c r="R380" s="229"/>
      <c r="S380" s="229"/>
      <c r="T380" s="229"/>
      <c r="U380" s="323"/>
      <c r="V380" s="383">
        <f>(V379+V15)/2</f>
        <v>24.968183774226027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1.7709999999999999</v>
      </c>
      <c r="C381" s="375"/>
      <c r="D381" s="373">
        <f>MIN(D15:D380)</f>
        <v>1.7790477330258103</v>
      </c>
      <c r="E381" s="373">
        <f>MIN(E15:E380)</f>
        <v>1.8007726614640702</v>
      </c>
      <c r="F381" s="374">
        <f>MIN(F15:F380)</f>
        <v>1.8007726614640702</v>
      </c>
      <c r="G381" s="125">
        <f>+MIN(G15:G380)</f>
        <v>6.9822949212937954E-2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4.5236183810103414E-3</v>
      </c>
      <c r="M381" s="847"/>
      <c r="N381" s="847"/>
      <c r="O381" s="47">
        <f t="shared" si="147"/>
        <v>1.206422604205745E-2</v>
      </c>
      <c r="P381" s="168">
        <f t="shared" si="147"/>
        <v>1.5865861341858022E-7</v>
      </c>
      <c r="Q381" s="310">
        <f t="shared" si="147"/>
        <v>0.5</v>
      </c>
      <c r="R381" s="311">
        <f t="shared" si="147"/>
        <v>0.49739042874801176</v>
      </c>
      <c r="S381" s="811">
        <f t="shared" si="147"/>
        <v>-2</v>
      </c>
      <c r="T381" s="176">
        <f t="shared" si="147"/>
        <v>4</v>
      </c>
      <c r="U381" s="252">
        <f>+MIN(U15:U380)</f>
        <v>-1.5026095712519882</v>
      </c>
      <c r="V381" s="373">
        <f>MIN(V15:V380)</f>
        <v>23.592122944797655</v>
      </c>
      <c r="W381" s="58"/>
      <c r="X381" s="112" t="s">
        <v>7</v>
      </c>
      <c r="Y381" s="373">
        <f>MIN(Y15:Y380)</f>
        <v>1.7709999999999999</v>
      </c>
      <c r="Z381" s="373">
        <f>MIN(Z15:Z380)</f>
        <v>1.7790477330258103</v>
      </c>
      <c r="AA381" s="373">
        <f>MIN(AA15:AA380)</f>
        <v>1.8007726614640702</v>
      </c>
      <c r="AB381" s="200" t="s">
        <v>7</v>
      </c>
      <c r="AC381" s="47">
        <f t="shared" ref="AC381:AH381" si="148">MIN(AC15:AC380)</f>
        <v>1.206422604205745E-2</v>
      </c>
      <c r="AD381" s="168">
        <f t="shared" si="148"/>
        <v>1.5865861341858022E-7</v>
      </c>
      <c r="AE381" s="310">
        <f t="shared" si="148"/>
        <v>0.5</v>
      </c>
      <c r="AF381" s="311">
        <f t="shared" si="148"/>
        <v>0.49739042874801176</v>
      </c>
      <c r="AG381" s="811">
        <f t="shared" si="148"/>
        <v>-2</v>
      </c>
      <c r="AH381" s="176">
        <f t="shared" si="148"/>
        <v>4</v>
      </c>
      <c r="AI381" s="226">
        <f>MIN(AI15:AI380)</f>
        <v>-1.5026095712519882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32.285312328767134</v>
      </c>
      <c r="C382" s="375"/>
      <c r="D382" s="375">
        <f>AVERAGE(D15:D380)</f>
        <v>32.555927775735988</v>
      </c>
      <c r="E382" s="375">
        <f>AVERAGE(E15:E380)</f>
        <v>33.255780423201813</v>
      </c>
      <c r="F382" s="376">
        <f>AVERAGE(F15:F380)</f>
        <v>33.256502257641564</v>
      </c>
      <c r="G382" s="126">
        <f>AVERAGE(G15:G380)</f>
        <v>0.67857941551413326</v>
      </c>
      <c r="H382" s="337"/>
      <c r="I382" s="376">
        <f>AVERAGE(I15:I380)</f>
        <v>35.756700095107249</v>
      </c>
      <c r="J382" s="59">
        <f>AVERAGE(J15:J380)</f>
        <v>2018.7786885245901</v>
      </c>
      <c r="K382" s="200" t="s">
        <v>8</v>
      </c>
      <c r="L382" s="147">
        <f t="shared" ref="L382:V382" si="149">AVERAGE(L15:L380)</f>
        <v>8.4813572760990882E-3</v>
      </c>
      <c r="M382" s="845"/>
      <c r="N382" s="845"/>
      <c r="O382" s="48">
        <f t="shared" si="149"/>
        <v>2.1197498178722695E-2</v>
      </c>
      <c r="P382" s="169">
        <f t="shared" si="149"/>
        <v>4.1716901988045837E-5</v>
      </c>
      <c r="Q382" s="312">
        <f t="shared" si="149"/>
        <v>0.5</v>
      </c>
      <c r="R382" s="177">
        <f t="shared" si="149"/>
        <v>0.77727402574715687</v>
      </c>
      <c r="S382" s="811">
        <f t="shared" si="149"/>
        <v>-2</v>
      </c>
      <c r="T382" s="176">
        <f t="shared" si="149"/>
        <v>4</v>
      </c>
      <c r="U382" s="251">
        <f t="shared" si="149"/>
        <v>-1.2227259742528431</v>
      </c>
      <c r="V382" s="375">
        <f t="shared" si="149"/>
        <v>45.604101263732325</v>
      </c>
      <c r="X382" s="112" t="s">
        <v>8</v>
      </c>
      <c r="Y382" s="375">
        <f>AVERAGE(Y15:Y380)</f>
        <v>32.285312328767134</v>
      </c>
      <c r="Z382" s="375">
        <f>AVERAGE(Z15:Z380)</f>
        <v>32.555927775735988</v>
      </c>
      <c r="AA382" s="375">
        <f>AVERAGE(AA15:AA380)</f>
        <v>33.255780423201813</v>
      </c>
      <c r="AB382" s="200" t="s">
        <v>8</v>
      </c>
      <c r="AC382" s="48">
        <f t="shared" ref="AC382:AH382" si="150">AVERAGE(AC15:AC380)</f>
        <v>2.1197498178722695E-2</v>
      </c>
      <c r="AD382" s="169">
        <f t="shared" si="150"/>
        <v>4.1716901988045837E-5</v>
      </c>
      <c r="AE382" s="312">
        <f t="shared" si="150"/>
        <v>0.5</v>
      </c>
      <c r="AF382" s="177">
        <f t="shared" si="150"/>
        <v>0.77727402574715687</v>
      </c>
      <c r="AG382" s="811">
        <f t="shared" si="150"/>
        <v>-2</v>
      </c>
      <c r="AH382" s="176">
        <f t="shared" si="150"/>
        <v>4</v>
      </c>
      <c r="AI382" s="225">
        <f>AVERAGE(AI15:AI380)</f>
        <v>-1.2227259742528431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64.212000000000003</v>
      </c>
      <c r="C383" s="377"/>
      <c r="D383" s="377">
        <f>MAX(D15:D380)</f>
        <v>64.734490792380015</v>
      </c>
      <c r="E383" s="377">
        <f>MAX(E15:E380)</f>
        <v>66.11432836926889</v>
      </c>
      <c r="F383" s="378">
        <f>MAX(F15:F380)</f>
        <v>66.115436428019962</v>
      </c>
      <c r="G383" s="127">
        <f>+MAX(G15:G380)</f>
        <v>1.0473671957278603</v>
      </c>
      <c r="H383" s="337"/>
      <c r="I383" s="378">
        <f>MAX(I15:I380)</f>
        <v>66.115436428019962</v>
      </c>
      <c r="J383" s="60">
        <f>MAX(J15:J380)</f>
        <v>2019</v>
      </c>
      <c r="K383" s="200" t="s">
        <v>9</v>
      </c>
      <c r="L383" s="148">
        <f t="shared" ref="L383:T383" si="151">MAX(L15:L380)</f>
        <v>1.2428621106804427E-2</v>
      </c>
      <c r="M383" s="848"/>
      <c r="N383" s="848"/>
      <c r="O383" s="49">
        <f t="shared" si="151"/>
        <v>2.8461814484812623E-2</v>
      </c>
      <c r="P383" s="170">
        <f t="shared" si="151"/>
        <v>1.3818091381617001E-4</v>
      </c>
      <c r="Q383" s="313">
        <f t="shared" si="151"/>
        <v>0.5</v>
      </c>
      <c r="R383" s="314">
        <f t="shared" si="151"/>
        <v>0.99738915571184084</v>
      </c>
      <c r="S383" s="812">
        <f t="shared" si="151"/>
        <v>-2</v>
      </c>
      <c r="T383" s="233">
        <f t="shared" si="151"/>
        <v>4</v>
      </c>
      <c r="U383" s="253">
        <f>+MAX(U15:U380)</f>
        <v>-1.0026108442881592</v>
      </c>
      <c r="V383" s="377">
        <f>MAX(V15:V380)</f>
        <v>62.001987220111758</v>
      </c>
      <c r="X383" s="112" t="s">
        <v>9</v>
      </c>
      <c r="Y383" s="377">
        <f>MAX(Y15:Y380)</f>
        <v>64.212000000000003</v>
      </c>
      <c r="Z383" s="377">
        <f>MAX(Z15:Z380)</f>
        <v>64.734490792380015</v>
      </c>
      <c r="AA383" s="377">
        <f>MAX(AA15:AA380)</f>
        <v>66.11432836926889</v>
      </c>
      <c r="AB383" s="200" t="s">
        <v>9</v>
      </c>
      <c r="AC383" s="49">
        <f t="shared" ref="AC383:AH383" si="152">MAX(AC15:AC380)</f>
        <v>2.8461814484812623E-2</v>
      </c>
      <c r="AD383" s="170">
        <f t="shared" si="152"/>
        <v>1.3818091381617001E-4</v>
      </c>
      <c r="AE383" s="313">
        <f t="shared" si="152"/>
        <v>0.5</v>
      </c>
      <c r="AF383" s="314">
        <f t="shared" si="152"/>
        <v>0.99738915571184084</v>
      </c>
      <c r="AG383" s="812">
        <f t="shared" si="152"/>
        <v>-2</v>
      </c>
      <c r="AH383" s="233">
        <f t="shared" si="152"/>
        <v>4</v>
      </c>
      <c r="AI383" s="227">
        <f>MAX(AI15:AI380)</f>
        <v>-1.0026108442881592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'2019'!An+1</f>
        <v>2020</v>
      </c>
      <c r="K1" s="1271"/>
      <c r="L1" s="113" t="str">
        <f>"Calcul pertes et enveloppes en "&amp;TEXT(An,0)</f>
        <v>Calcul pertes et enveloppes en 2020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2020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472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/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0</v>
      </c>
      <c r="AK4" s="834">
        <f>AM12-AK12</f>
        <v>0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0</v>
      </c>
      <c r="AA5" s="237">
        <f>Wh_Pvg_s-Wh_Pvg</f>
        <v>0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2156.4030000000002</v>
      </c>
      <c r="AK5" s="516">
        <f>SUMIF(AK15:AK380,"VRAI",Wh)</f>
        <v>0</v>
      </c>
      <c r="AL5" s="516">
        <f>SUMIF(AJ15:AJ380,"VRAI",Wh_s)</f>
        <v>2156.4030000000002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9104.0819999999931</v>
      </c>
      <c r="AK6" s="516">
        <f>SUMIF(AK15:AK380,"FAUX",Wh)</f>
        <v>11260.48499999999</v>
      </c>
      <c r="AL6" s="516">
        <f>SUMIF(AJ15:AJ380,"FAUX",Wh_s)</f>
        <v>9104.0819999999949</v>
      </c>
      <c r="AM6" s="516">
        <f>SUMIF(AK15:AK380,"FAUX",Wh_s)</f>
        <v>11260.48499999999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AND(YEAR(Tnet)=An,Resal_2020="I")</f>
        <v>1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2186.1116077605402</v>
      </c>
      <c r="AK7" s="516">
        <f>SUMIF(AK15:AK380,"VRAI",Wh_sa)</f>
        <v>0</v>
      </c>
      <c r="AL7" s="516">
        <f>SUMIF(AJ15:AJ380,"VRAI",Wh_pvt_s)</f>
        <v>2186.1116077605402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AND(YEAR(Tnet)=An,Resal_2020&lt;&gt;"I")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9259.8776990804508</v>
      </c>
      <c r="AK8" s="516">
        <f>SUMIF(AK15:AK380,"FAUX",Wh_sa)</f>
        <v>11911.32042248069</v>
      </c>
      <c r="AL8" s="516">
        <f>SUMIF(AJ15:AJ380,"FAUX",Wh_pvt_s)</f>
        <v>9259.8776990804508</v>
      </c>
      <c r="AM8" s="516">
        <f>SUMIF(AK15:AK380,"FAUX",Wh_sa_s)</f>
        <v>11911.32042248069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11445.989306840991</v>
      </c>
      <c r="E9" s="184">
        <f>SUM(E$15:E$380)</f>
        <v>11911.32042248069</v>
      </c>
      <c r="F9" s="184">
        <f>SUM(F$15:F$380)</f>
        <v>11911.80531723795</v>
      </c>
      <c r="H9" s="1272">
        <f>+SUM(Wh)</f>
        <v>11260.48499999999</v>
      </c>
      <c r="I9" s="1273"/>
      <c r="J9" s="1274"/>
      <c r="K9" s="191"/>
      <c r="L9" s="232"/>
      <c r="M9" s="232"/>
      <c r="N9" s="232"/>
      <c r="O9" s="223">
        <f>Tnet_2020</f>
        <v>43922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11260.48499999999</v>
      </c>
      <c r="Y9" s="1267"/>
      <c r="Z9" s="516">
        <f>SUM(Z$15:Z$380)</f>
        <v>11445.989306840991</v>
      </c>
      <c r="AA9" s="516">
        <f>SUM(AA$15:AA$380)</f>
        <v>11911.32042248069</v>
      </c>
      <c r="AB9" s="516">
        <f>F9</f>
        <v>11911.80531723795</v>
      </c>
      <c r="AC9" s="325">
        <f>IF(An_Tnet,Tnet,'2019'!Tnet_s)</f>
        <v>43922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2254.7449556034767</v>
      </c>
      <c r="AK9" s="516">
        <f>SUMIF(AK15:AK380,"VRAI",Wh_hp)</f>
        <v>0</v>
      </c>
      <c r="AL9" s="516">
        <f>SUMIF(AJ15:AJ380,"VRAI",Wh_sa_s)</f>
        <v>2254.7449556034767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3.1793112897840876E-2</v>
      </c>
      <c r="P10" s="421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IF(OR(Inflex,GainD),'2019'!Resal_s+('2019'!Salim-'2019'!Resal_s)*(1-EXP(('2019'!Tnet_s-Tnet)/('2019'!Tau_j))),IF(Acti_net,'2019'!Resal+('2019'!Salim-'2019'!Resal)*(1-EXP(('2019'!Tnet-Tnet)/'2019'!Tau_j)),'2019'!Resal_s))</f>
        <v>3.1793112897840876E-2</v>
      </c>
      <c r="AD10" s="428"/>
      <c r="AE10" s="428"/>
      <c r="AF10" s="260"/>
      <c r="AG10" s="261"/>
      <c r="AH10" s="262"/>
      <c r="AI10" s="523"/>
      <c r="AJ10" s="516">
        <f>SUMIF(AJ15:AJ380,"FAUX",Wh_sa)</f>
        <v>9656.5754668772097</v>
      </c>
      <c r="AK10" s="516">
        <f>SUMIF(AK15:AK380,"FAUX",Wh_hp)</f>
        <v>11911.80531723795</v>
      </c>
      <c r="AL10" s="516">
        <f>SUMIF(AJ15:AJ380,"FAUX",Wh_sa_s)</f>
        <v>9656.5754668772097</v>
      </c>
      <c r="AM10" s="516">
        <f>SUMIF(AK15:AK380,"FAUX",Wh_hp)</f>
        <v>11911.80531723795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185.50430684100138</v>
      </c>
      <c r="E11" s="51">
        <f>(E$9-D$9)*Prod_an/D$9</f>
        <v>457.78952847373029</v>
      </c>
      <c r="F11" s="186">
        <f>(F$9-E$9)*Prod_an/E$9</f>
        <v>0.45840007211875244</v>
      </c>
      <c r="G11" s="185" t="s">
        <v>6</v>
      </c>
      <c r="K11" s="194"/>
      <c r="L11" s="211">
        <f>Tvie_2020</f>
        <v>43259</v>
      </c>
      <c r="M11" s="844"/>
      <c r="N11" s="844"/>
      <c r="O11" s="202">
        <f>IF(An_Tnet,Salim_2020,'2019'!Salim)</f>
        <v>0.115</v>
      </c>
      <c r="P11" s="256">
        <f>Ttai_2020</f>
        <v>43101</v>
      </c>
      <c r="Q11" s="272">
        <f>Dens_2020</f>
        <v>0.5</v>
      </c>
      <c r="R11" s="277"/>
      <c r="S11" s="230"/>
      <c r="T11" s="230"/>
      <c r="U11" s="266">
        <f>Htf_2020</f>
        <v>-0.50261084428815916</v>
      </c>
      <c r="V11" s="428"/>
      <c r="W11" s="519"/>
      <c r="X11" s="526" t="s">
        <v>43</v>
      </c>
      <c r="Y11" s="50">
        <f>Z$9-Prod_an_s</f>
        <v>185.50430684100138</v>
      </c>
      <c r="Z11" s="51">
        <f>(AA$9-Z$9)*Prod_an_s/Z$9</f>
        <v>457.78952847373029</v>
      </c>
      <c r="AA11" s="186">
        <f>(AB$9-AA$9)*Prod_an_s/AA$9</f>
        <v>0.45840007211875244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67.700641020869298</v>
      </c>
      <c r="AK11" s="834">
        <f>IF($AK7=0,0,($AK9-$AK7)*$AK5/$AK7)</f>
        <v>0</v>
      </c>
      <c r="AL11" s="833">
        <f>IF($AL7=0,0,($AL9-$AL7)*$AL5/$AL7)</f>
        <v>67.700641020869298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4.7327367668172693E-2</v>
      </c>
      <c r="K12" s="191"/>
      <c r="L12" s="212">
        <f>Pspv_2020</f>
        <v>0</v>
      </c>
      <c r="M12" s="212"/>
      <c r="N12" s="212"/>
      <c r="O12" s="205">
        <f>IF(An_Tnet,Tau_2020*365,'2019'!Tau_j)</f>
        <v>1095</v>
      </c>
      <c r="P12" s="457">
        <f>INDEX(Croivg,MIN(MAX(Ttai-$A$15,0)+1,366))</f>
        <v>2.3909964587625958E-6</v>
      </c>
      <c r="Q12" s="280">
        <f>'2019'!Df</f>
        <v>0.5</v>
      </c>
      <c r="R12" s="278"/>
      <c r="S12" s="279"/>
      <c r="T12" s="279"/>
      <c r="U12" s="267">
        <f>'2019'!Hdf</f>
        <v>-1.0026108442881592</v>
      </c>
      <c r="V12" s="518"/>
      <c r="W12" s="505"/>
      <c r="X12" s="506"/>
      <c r="Y12" s="505"/>
      <c r="Z12" s="428"/>
      <c r="AA12" s="428"/>
      <c r="AB12" s="532" t="s">
        <v>106</v>
      </c>
      <c r="AC12" s="318" t="b">
        <f>NOT(An_Tnet)</f>
        <v>0</v>
      </c>
      <c r="AD12" s="428"/>
      <c r="AE12" s="296">
        <f>'2019'!Df_s</f>
        <v>0.5</v>
      </c>
      <c r="AF12" s="203"/>
      <c r="AG12" s="203"/>
      <c r="AH12" s="203"/>
      <c r="AI12" s="297">
        <f>'2019'!Hdf_s</f>
        <v>-1.0026108442881592</v>
      </c>
      <c r="AJ12" s="833">
        <f>IF($AJ8=0,0,($AJ10-$AJ8)*$AJ6/$AJ8)</f>
        <v>390.02340253341521</v>
      </c>
      <c r="AK12" s="834">
        <f>IF($AK8=0,0,($AK10-$AK8)*$AK6/$AK8)</f>
        <v>0.45840007211875244</v>
      </c>
      <c r="AL12" s="833">
        <f>IF($AL8=0,0,($AL10-$AL8)*$AL6/$AL8)</f>
        <v>390.02340253341526</v>
      </c>
      <c r="AM12" s="834">
        <f>IF($AM8=0,0,($AM10-$AM8)*$AM6/$AM8)</f>
        <v>0.45840007211875244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264" t="s">
        <v>41</v>
      </c>
      <c r="W13" s="852" t="s">
        <v>46</v>
      </c>
      <c r="X13" s="533"/>
      <c r="Y13" s="264" t="s">
        <v>100</v>
      </c>
      <c r="Z13" s="264" t="s">
        <v>101</v>
      </c>
      <c r="AA13" s="264" t="s">
        <v>74</v>
      </c>
      <c r="AB13" s="504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457.72404355428449</v>
      </c>
      <c r="AK13" s="73">
        <f>+AK11+AK12</f>
        <v>0.45840007211875244</v>
      </c>
      <c r="AL13" s="73">
        <f>+AL11+AL12</f>
        <v>457.72404355428455</v>
      </c>
      <c r="AM13" s="73">
        <f>+AM11+AM12</f>
        <v>0.45840007211875244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2020</v>
      </c>
      <c r="W14" s="838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6">
        <v>14.680999999999999</v>
      </c>
      <c r="C15" s="390"/>
      <c r="D15" s="393">
        <f t="shared" ref="D15:D78" si="0">Wh/(1-Ppv)</f>
        <v>14.866086515259893</v>
      </c>
      <c r="E15" s="385">
        <f>Wh_pvt/(1-Psa)</f>
        <v>15.302176506687575</v>
      </c>
      <c r="F15" s="385">
        <f t="shared" ref="F15:F78" si="1">Wh_sa/(1-Pvg*MEDIAN((-Sdif+Wh/Env_an)/Csdif,0,1))</f>
        <v>15.303013547150806</v>
      </c>
      <c r="G15" s="110">
        <f>+Wh_hp/MaxiM</f>
        <v>0.59335726300892178</v>
      </c>
      <c r="H15" s="414" t="b">
        <f>Wh_hp&gt;='2019'!Maxi_hp</f>
        <v>1</v>
      </c>
      <c r="I15" s="379">
        <f>IF(H15,Wh_hp,'2019'!Maxi_hp)</f>
        <v>15.303013547150806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1.2450251454537375E-2</v>
      </c>
      <c r="M15" s="847"/>
      <c r="N15" s="847"/>
      <c r="O15" s="47">
        <f>IF(t&lt;Tnet,'2019'!Resal+('2019'!Salim-'2019'!Resal)*(1-EXP(('2019'!Tnet-t)/('2019'!Tau_j))),Resal+(Salim-Resal)*(1-EXP((Tnet-t)/(Tau_j))))*Salcycl</f>
        <v>2.8498559746523384E-2</v>
      </c>
      <c r="P15" s="302">
        <f>(INDEX(Models!$BJ15:$BT15,,T15)*(1-R15)+INDEX(Models!$BJ15:$BT15,,T15+1)*R15-ERP_i)*Q15*Ramure*Pc/MaxiM</f>
        <v>1.3049807235711742E-4</v>
      </c>
      <c r="Q15" s="303">
        <f t="shared" ref="Q15:Q78" si="2">IF(OR(t&lt;Ttai,Notai),Dd+PousD*Croivg,Dens+PousD*(Croivg-Croi_tai))</f>
        <v>0.5</v>
      </c>
      <c r="R15" s="304">
        <f t="shared" ref="R15:R78" si="3">(Hp_vg-S15)/(INDEX(Echel_vg,T15+1)-S15)</f>
        <v>0.99739035121007014</v>
      </c>
      <c r="S15" s="810">
        <f t="shared" ref="S15:S78" si="4">INDEX(Echel_vg,T15)</f>
        <v>-2</v>
      </c>
      <c r="T15" s="249">
        <f t="shared" ref="T15:T78" si="5">MIN(MATCH(Hp_vg,Echel_vg),10)</f>
        <v>4</v>
      </c>
      <c r="U15" s="250">
        <f>IF(OR(t&lt;Ttai,Notai),Hdd+PousH*Croivg,Hdtf+PousH*(Croivg-Croi_tai))</f>
        <v>-1.0026096487899299</v>
      </c>
      <c r="V15" s="382">
        <f t="shared" ref="V15:V78" si="6">MaxiM*(1-Ppv)*(1-Pvg)*(1-Psa)</f>
        <v>24.740384975158225</v>
      </c>
      <c r="W15" s="402"/>
      <c r="X15" s="156">
        <f t="shared" ref="X15:X78" si="7">t</f>
        <v>43831</v>
      </c>
      <c r="Y15" s="385">
        <f t="shared" ref="Y15:Y78" si="8">Wh_pvt_s*(1-Ppv)</f>
        <v>14.680999999999999</v>
      </c>
      <c r="Z15" s="385">
        <f t="shared" ref="Z15:Z78" si="9">Wh_sa_s*(1-Psa_s)</f>
        <v>14.866086515259893</v>
      </c>
      <c r="AA15" s="386">
        <f t="shared" ref="AA15:AA78" si="10">Wh_hp*(1-Pvg_s*MEDIAN((-Sdif+Wh/Env_an)/Csdif,0,1))</f>
        <v>15.302176506687575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2.8498559746523384E-2</v>
      </c>
      <c r="AD15" s="231">
        <f>(INDEX(Models!$BJ15:$BT15,,AH15)*(1-AF15)+INDEX(Models!$BJ15:$BT15,,AH15+1)*AF15-ERP_i)*AE15*Ramure*Pc/MaxiM</f>
        <v>1.3049807235711742E-4</v>
      </c>
      <c r="AE15" s="303">
        <f t="shared" ref="AE15:AE78" si="12">IF(OR(t&lt;Ttai,Notai),Dd_s+PousD*Croivg,Dens_s+PousD*(Croivg-Croi_tai))</f>
        <v>0.5</v>
      </c>
      <c r="AF15" s="304">
        <f>(Hp_vg_s-AG15)/(INDEX(Echel_vg,AH15+1)-AG15)</f>
        <v>0.99739035121007014</v>
      </c>
      <c r="AG15" s="810">
        <f>INDEX(Echel_vg,AH15)</f>
        <v>-2</v>
      </c>
      <c r="AH15" s="249">
        <f t="shared" ref="AH15:AH78" si="13">MIN(MATCH(Hp_vg_s,Echel_vg),10)</f>
        <v>4</v>
      </c>
      <c r="AI15" s="224">
        <f>IF(OR(t&lt;Ttai,Notai),Hdd_s+PousH*Croivg,Hdtai_s+PousH*(Croivg-Croi_tai))</f>
        <v>-1.0026096487899299</v>
      </c>
      <c r="AJ15" s="265" t="b">
        <f t="shared" ref="AJ15:AJ78" si="14">t&lt;Tnet</f>
        <v>1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7">
        <v>23.306999999999999</v>
      </c>
      <c r="C16" s="390"/>
      <c r="D16" s="393">
        <f t="shared" si="0"/>
        <v>23.601353277266305</v>
      </c>
      <c r="E16" s="385">
        <f t="shared" ref="E16:E79" si="17">Wh_pvt/(1-Psa)</f>
        <v>24.294608154368071</v>
      </c>
      <c r="F16" s="385">
        <f t="shared" si="1"/>
        <v>24.297474136240545</v>
      </c>
      <c r="G16" s="110">
        <f t="shared" ref="G16:G79" si="18">+Wh_hp/MaxiM</f>
        <v>0.93542767439676588</v>
      </c>
      <c r="H16" s="414" t="b">
        <f>Wh_hp&gt;='2019'!Maxi_hp</f>
        <v>1</v>
      </c>
      <c r="I16" s="380">
        <f>IF(H16,Wh_hp,'2019'!Maxi_hp)</f>
        <v>24.297474136240545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1.247188132851007E-2</v>
      </c>
      <c r="M16" s="845"/>
      <c r="N16" s="845"/>
      <c r="O16" s="48">
        <f>IF(t&lt;Tnet,'2019'!Resal+('2019'!Salim-'2019'!Resal)*(1-EXP(('2019'!Tnet-t)/('2019'!Tau_j))),Resal+(Salim-Resal)*(1-EXP((Tnet-t)/(Tau_j))))*Salcycl</f>
        <v>2.8535338898936804E-2</v>
      </c>
      <c r="P16" s="169">
        <f>(INDEX(Models!$BJ16:$BT16,,T16)*(1-R16)+INDEX(Models!$BJ16:$BT16,,T16+1)*R16-ERP_i)*Q16*Ramure*Pc/MaxiM</f>
        <v>1.299381150323328E-4</v>
      </c>
      <c r="Q16" s="305">
        <f t="shared" si="2"/>
        <v>0.5</v>
      </c>
      <c r="R16" s="177">
        <f t="shared" si="3"/>
        <v>0.99741956582406455</v>
      </c>
      <c r="S16" s="811">
        <f t="shared" si="4"/>
        <v>-2</v>
      </c>
      <c r="T16" s="176">
        <f t="shared" si="5"/>
        <v>4</v>
      </c>
      <c r="U16" s="251">
        <f t="shared" ref="U16:U78" si="20">IF(OR(t&lt;Ttai,Notai),Hdd+PousH*Croivg,Hdtf+PousH*(Croivg-Croi_tai))</f>
        <v>-1.0025804341759355</v>
      </c>
      <c r="V16" s="383">
        <f t="shared" si="6"/>
        <v>24.915577429346705</v>
      </c>
      <c r="W16" s="402"/>
      <c r="X16" s="157">
        <f t="shared" si="7"/>
        <v>43832</v>
      </c>
      <c r="Y16" s="385">
        <f t="shared" si="8"/>
        <v>23.306999999999999</v>
      </c>
      <c r="Z16" s="385">
        <f t="shared" si="9"/>
        <v>23.601353277266305</v>
      </c>
      <c r="AA16" s="386">
        <f t="shared" si="10"/>
        <v>24.294608154368071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2.8535338898936804E-2</v>
      </c>
      <c r="AD16" s="231">
        <f>(INDEX(Models!$BJ16:$BT16,,AH16)*(1-AF16)+INDEX(Models!$BJ16:$BT16,,AH16+1)*AF16-ERP_i)*AE16*Ramure*Pc/MaxiM</f>
        <v>1.299381150323328E-4</v>
      </c>
      <c r="AE16" s="305">
        <f t="shared" si="12"/>
        <v>0.5</v>
      </c>
      <c r="AF16" s="177">
        <f t="shared" ref="AF16:AF78" si="21">(Hp_vg_s-AG16)/(INDEX(Echel_vg,AH16+1)-AG16)</f>
        <v>0.99741956582406455</v>
      </c>
      <c r="AG16" s="811">
        <f t="shared" ref="AG16:AG79" si="22">INDEX(Echel_vg,AH16)</f>
        <v>-2</v>
      </c>
      <c r="AH16" s="176">
        <f t="shared" si="13"/>
        <v>4</v>
      </c>
      <c r="AI16" s="225">
        <f t="shared" ref="AI16:AI78" si="23">IF(OR(t&lt;Ttai,Notai),Hdd_s+PousH*Croivg,Hdtai_s+PousH*(Croivg-Croi_tai))</f>
        <v>-1.0025804341759355</v>
      </c>
      <c r="AJ16" s="265" t="b">
        <f t="shared" si="14"/>
        <v>1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7">
        <v>8.0039999999999996</v>
      </c>
      <c r="C17" s="390"/>
      <c r="D17" s="393">
        <f t="shared" si="0"/>
        <v>8.1052631926566612</v>
      </c>
      <c r="E17" s="385">
        <f t="shared" si="17"/>
        <v>8.343659437378923</v>
      </c>
      <c r="F17" s="385">
        <f t="shared" si="1"/>
        <v>8.3436885639881329</v>
      </c>
      <c r="G17" s="110">
        <f t="shared" si="18"/>
        <v>0.3188663598556673</v>
      </c>
      <c r="H17" s="414" t="b">
        <f>Wh_hp&gt;='2019'!Maxi_hp</f>
        <v>0</v>
      </c>
      <c r="I17" s="380">
        <f>IF(H17,Wh_hp,'2019'!Maxi_hp)</f>
        <v>27.383515682442006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1.2493510728733059E-2</v>
      </c>
      <c r="M17" s="845"/>
      <c r="N17" s="845"/>
      <c r="O17" s="48">
        <f>IF(t&lt;Tnet,'2019'!Resal+('2019'!Salim-'2019'!Resal)*(1-EXP(('2019'!Tnet-t)/('2019'!Tau_j))),Resal+(Salim-Resal)*(1-EXP((Tnet-t)/(Tau_j))))*Salcycl</f>
        <v>2.8572144694001503E-2</v>
      </c>
      <c r="P17" s="169">
        <f>(INDEX(Models!$BJ17:$BT17,,T17)*(1-R17)+INDEX(Models!$BJ17:$BT17,,T17+1)*R17-ERP_i)*Q17*Ramure*Pc/MaxiM</f>
        <v>1.2924672979900347E-4</v>
      </c>
      <c r="Q17" s="305">
        <f t="shared" si="2"/>
        <v>0.5</v>
      </c>
      <c r="R17" s="177">
        <f t="shared" si="3"/>
        <v>0.99745000241955406</v>
      </c>
      <c r="S17" s="811">
        <f t="shared" si="4"/>
        <v>-2</v>
      </c>
      <c r="T17" s="176">
        <f t="shared" si="5"/>
        <v>4</v>
      </c>
      <c r="U17" s="251">
        <f t="shared" si="20"/>
        <v>-1.0025499975804459</v>
      </c>
      <c r="V17" s="383">
        <f t="shared" si="6"/>
        <v>25.098268284208636</v>
      </c>
      <c r="W17" s="402"/>
      <c r="X17" s="157">
        <f t="shared" si="7"/>
        <v>43833</v>
      </c>
      <c r="Y17" s="385">
        <f t="shared" si="8"/>
        <v>8.0039999999999996</v>
      </c>
      <c r="Z17" s="385">
        <f t="shared" si="9"/>
        <v>8.1052631926566612</v>
      </c>
      <c r="AA17" s="386">
        <f t="shared" si="10"/>
        <v>8.343659437378923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2.8572144694001503E-2</v>
      </c>
      <c r="AD17" s="231">
        <f>(INDEX(Models!$BJ17:$BT17,,AH17)*(1-AF17)+INDEX(Models!$BJ17:$BT17,,AH17+1)*AF17-ERP_i)*AE17*Ramure*Pc/MaxiM</f>
        <v>1.2924672979900347E-4</v>
      </c>
      <c r="AE17" s="305">
        <f t="shared" si="12"/>
        <v>0.5</v>
      </c>
      <c r="AF17" s="177">
        <f>(Hp_vg_s-AG17)/(INDEX(Echel_vg,AH17+1)-AG17)</f>
        <v>0.99745000241955406</v>
      </c>
      <c r="AG17" s="811">
        <f>INDEX(Echel_vg,AH17)</f>
        <v>-2</v>
      </c>
      <c r="AH17" s="176">
        <f t="shared" si="13"/>
        <v>4</v>
      </c>
      <c r="AI17" s="225">
        <f t="shared" si="23"/>
        <v>-1.0025499975804459</v>
      </c>
      <c r="AJ17" s="265" t="b">
        <f t="shared" si="14"/>
        <v>1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7">
        <v>6.7789999999999999</v>
      </c>
      <c r="C18" s="390"/>
      <c r="D18" s="393">
        <f t="shared" si="0"/>
        <v>6.8649153746347995</v>
      </c>
      <c r="E18" s="385">
        <f t="shared" si="17"/>
        <v>7.06709776780467</v>
      </c>
      <c r="F18" s="385">
        <f t="shared" si="1"/>
        <v>7.06709776780467</v>
      </c>
      <c r="G18" s="110">
        <f t="shared" si="18"/>
        <v>0.26804500641810364</v>
      </c>
      <c r="H18" s="414" t="b">
        <f>Wh_hp&gt;='2019'!Maxi_hp</f>
        <v>0</v>
      </c>
      <c r="I18" s="380">
        <f>IF(H18,Wh_hp,'2019'!Maxi_hp)</f>
        <v>24.454097030053351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1.2515139655216778E-2</v>
      </c>
      <c r="M18" s="845"/>
      <c r="N18" s="845"/>
      <c r="O18" s="48">
        <f>IF(t&lt;Tnet,'2019'!Resal+('2019'!Salim-'2019'!Resal)*(1-EXP(('2019'!Tnet-t)/('2019'!Tau_j))),Resal+(Salim-Resal)*(1-EXP((Tnet-t)/(Tau_j))))*Salcycl</f>
        <v>2.8608970727834717E-2</v>
      </c>
      <c r="P18" s="169">
        <f>(INDEX(Models!$BJ18:$BT18,,T18)*(1-R18)+INDEX(Models!$BJ18:$BT18,,T18+1)*R18-ERP_i)*Q18*Ramure*Pc/MaxiM</f>
        <v>1.284326849036882E-4</v>
      </c>
      <c r="Q18" s="305">
        <f t="shared" si="2"/>
        <v>0.5</v>
      </c>
      <c r="R18" s="177">
        <f t="shared" si="3"/>
        <v>0.99748171195084923</v>
      </c>
      <c r="S18" s="811">
        <f t="shared" si="4"/>
        <v>-2</v>
      </c>
      <c r="T18" s="176">
        <f t="shared" si="5"/>
        <v>4</v>
      </c>
      <c r="U18" s="251">
        <f t="shared" si="20"/>
        <v>-1.0025182880491508</v>
      </c>
      <c r="V18" s="383">
        <f t="shared" si="6"/>
        <v>25.287280839160026</v>
      </c>
      <c r="W18" s="402"/>
      <c r="X18" s="157">
        <f t="shared" si="7"/>
        <v>43834</v>
      </c>
      <c r="Y18" s="385">
        <f t="shared" si="8"/>
        <v>6.7789999999999999</v>
      </c>
      <c r="Z18" s="385">
        <f>Wh_sa_s*(1-Psa_s)</f>
        <v>6.8649153746347995</v>
      </c>
      <c r="AA18" s="386">
        <f t="shared" si="10"/>
        <v>7.06709776780467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2.8608970727834717E-2</v>
      </c>
      <c r="AD18" s="231">
        <f>(INDEX(Models!$BJ18:$BT18,,AH18)*(1-AF18)+INDEX(Models!$BJ18:$BT18,,AH18+1)*AF18-ERP_i)*AE18*Ramure*Pc/MaxiM</f>
        <v>1.284326849036882E-4</v>
      </c>
      <c r="AE18" s="305">
        <f t="shared" si="12"/>
        <v>0.5</v>
      </c>
      <c r="AF18" s="177">
        <f t="shared" si="21"/>
        <v>0.99748171195084923</v>
      </c>
      <c r="AG18" s="811">
        <f t="shared" si="22"/>
        <v>-2</v>
      </c>
      <c r="AH18" s="176">
        <f t="shared" si="13"/>
        <v>4</v>
      </c>
      <c r="AI18" s="225">
        <f t="shared" si="23"/>
        <v>-1.0025182880491508</v>
      </c>
      <c r="AJ18" s="265" t="b">
        <f t="shared" si="14"/>
        <v>1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7">
        <v>13.877000000000001</v>
      </c>
      <c r="C19" s="390"/>
      <c r="D19" s="393">
        <f t="shared" si="0"/>
        <v>14.053181477360912</v>
      </c>
      <c r="E19" s="385">
        <f t="shared" si="17"/>
        <v>14.46761813832665</v>
      </c>
      <c r="F19" s="385">
        <f t="shared" si="1"/>
        <v>14.468262733700429</v>
      </c>
      <c r="G19" s="110">
        <f t="shared" si="18"/>
        <v>0.54454730801095907</v>
      </c>
      <c r="H19" s="414" t="b">
        <f>Wh_hp&gt;='2019'!Maxi_hp</f>
        <v>0</v>
      </c>
      <c r="I19" s="380">
        <f>IF(H19,Wh_hp,'2019'!Maxi_hp)</f>
        <v>27.046839831733369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1.253676810797133E-2</v>
      </c>
      <c r="M19" s="845"/>
      <c r="N19" s="845"/>
      <c r="O19" s="48">
        <f>IF(t&lt;Tnet,'2019'!Resal+('2019'!Salim-'2019'!Resal)*(1-EXP(('2019'!Tnet-t)/('2019'!Tau_j))),Resal+(Salim-Resal)*(1-EXP((Tnet-t)/(Tau_j))))*Salcycl</f>
        <v>2.8645811425436981E-2</v>
      </c>
      <c r="P19" s="169">
        <f>(INDEX(Models!$BJ19:$BT19,,T19)*(1-R19)+INDEX(Models!$BJ19:$BT19,,T19+1)*R19-ERP_i)*Q19*Ramure*Pc/MaxiM</f>
        <v>1.275045632455269E-4</v>
      </c>
      <c r="Q19" s="305">
        <f t="shared" si="2"/>
        <v>0.5</v>
      </c>
      <c r="R19" s="177">
        <f t="shared" si="3"/>
        <v>0.99751474748341074</v>
      </c>
      <c r="S19" s="811">
        <f t="shared" si="4"/>
        <v>-2</v>
      </c>
      <c r="T19" s="176">
        <f t="shared" si="5"/>
        <v>4</v>
      </c>
      <c r="U19" s="251">
        <f t="shared" si="20"/>
        <v>-1.0024852525165893</v>
      </c>
      <c r="V19" s="383">
        <f t="shared" si="6"/>
        <v>25.481438650005028</v>
      </c>
      <c r="W19" s="402"/>
      <c r="X19" s="157">
        <f t="shared" si="7"/>
        <v>43835</v>
      </c>
      <c r="Y19" s="385">
        <f t="shared" si="8"/>
        <v>13.877000000000001</v>
      </c>
      <c r="Z19" s="385">
        <f t="shared" si="9"/>
        <v>14.053181477360912</v>
      </c>
      <c r="AA19" s="386">
        <f t="shared" si="10"/>
        <v>14.46761813832665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2.8645811425436981E-2</v>
      </c>
      <c r="AD19" s="231">
        <f>(INDEX(Models!$BJ19:$BT19,,AH19)*(1-AF19)+INDEX(Models!$BJ19:$BT19,,AH19+1)*AF19-ERP_i)*AE19*Ramure*Pc/MaxiM</f>
        <v>1.275045632455269E-4</v>
      </c>
      <c r="AE19" s="305">
        <f t="shared" si="12"/>
        <v>0.5</v>
      </c>
      <c r="AF19" s="177">
        <f t="shared" si="21"/>
        <v>0.99751474748341074</v>
      </c>
      <c r="AG19" s="811">
        <f t="shared" si="22"/>
        <v>-2</v>
      </c>
      <c r="AH19" s="176">
        <f t="shared" si="13"/>
        <v>4</v>
      </c>
      <c r="AI19" s="225">
        <f t="shared" si="23"/>
        <v>-1.0024852525165893</v>
      </c>
      <c r="AJ19" s="265" t="b">
        <f t="shared" si="14"/>
        <v>1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7">
        <v>25.643000000000001</v>
      </c>
      <c r="C20" s="390"/>
      <c r="D20" s="393">
        <f t="shared" si="0"/>
        <v>25.969130628467532</v>
      </c>
      <c r="E20" s="385">
        <f t="shared" si="17"/>
        <v>26.735989993169241</v>
      </c>
      <c r="F20" s="385">
        <f t="shared" si="1"/>
        <v>26.739364860323523</v>
      </c>
      <c r="G20" s="110">
        <f t="shared" si="18"/>
        <v>0.99857582726667371</v>
      </c>
      <c r="H20" s="414" t="b">
        <f>Wh_hp&gt;='2019'!Maxi_hp</f>
        <v>1</v>
      </c>
      <c r="I20" s="380">
        <f>IF(H20,Wh_hp,'2019'!Maxi_hp)</f>
        <v>26.739364860323523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1.2558396087007373E-2</v>
      </c>
      <c r="M20" s="845"/>
      <c r="N20" s="845"/>
      <c r="O20" s="48">
        <f>IF(t&lt;Tnet,'2019'!Resal+('2019'!Salim-'2019'!Resal)*(1-EXP(('2019'!Tnet-t)/('2019'!Tau_j))),Resal+(Salim-Resal)*(1-EXP((Tnet-t)/(Tau_j))))*Salcycl</f>
        <v>2.8682662018411676E-2</v>
      </c>
      <c r="P20" s="169">
        <f>(INDEX(Models!$BJ20:$BT20,,T20)*(1-R20)+INDEX(Models!$BJ20:$BT20,,T20+1)*R20-ERP_i)*Q20*Ramure*Pc/MaxiM</f>
        <v>1.2647069977726573E-4</v>
      </c>
      <c r="Q20" s="305">
        <f t="shared" si="2"/>
        <v>0.5</v>
      </c>
      <c r="R20" s="177">
        <f t="shared" si="3"/>
        <v>0.99754916428016149</v>
      </c>
      <c r="S20" s="811">
        <f t="shared" si="4"/>
        <v>-2</v>
      </c>
      <c r="T20" s="176">
        <f t="shared" si="5"/>
        <v>4</v>
      </c>
      <c r="U20" s="251">
        <f t="shared" si="20"/>
        <v>-1.0024508357198385</v>
      </c>
      <c r="V20" s="383">
        <f t="shared" si="6"/>
        <v>25.679565539234083</v>
      </c>
      <c r="W20" s="402"/>
      <c r="X20" s="157">
        <f t="shared" si="7"/>
        <v>43836</v>
      </c>
      <c r="Y20" s="385">
        <f t="shared" si="8"/>
        <v>25.643000000000001</v>
      </c>
      <c r="Z20" s="385">
        <f t="shared" si="9"/>
        <v>25.969130628467532</v>
      </c>
      <c r="AA20" s="386">
        <f t="shared" si="10"/>
        <v>26.735989993169241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2.8682662018411676E-2</v>
      </c>
      <c r="AD20" s="231">
        <f>(INDEX(Models!$BJ20:$BT20,,AH20)*(1-AF20)+INDEX(Models!$BJ20:$BT20,,AH20+1)*AF20-ERP_i)*AE20*Ramure*Pc/MaxiM</f>
        <v>1.2647069977726573E-4</v>
      </c>
      <c r="AE20" s="305">
        <f t="shared" si="12"/>
        <v>0.5</v>
      </c>
      <c r="AF20" s="177">
        <f t="shared" si="21"/>
        <v>0.99754916428016149</v>
      </c>
      <c r="AG20" s="811">
        <f t="shared" si="22"/>
        <v>-2</v>
      </c>
      <c r="AH20" s="176">
        <f t="shared" si="13"/>
        <v>4</v>
      </c>
      <c r="AI20" s="225">
        <f t="shared" si="23"/>
        <v>-1.0024508357198385</v>
      </c>
      <c r="AJ20" s="265" t="b">
        <f t="shared" si="14"/>
        <v>1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7">
        <v>7.0919999999999996</v>
      </c>
      <c r="C21" s="390"/>
      <c r="D21" s="393">
        <f t="shared" si="0"/>
        <v>7.1823541850970267</v>
      </c>
      <c r="E21" s="385">
        <f t="shared" si="17"/>
        <v>7.3947271895387088</v>
      </c>
      <c r="F21" s="385">
        <f t="shared" si="1"/>
        <v>7.3947271895387088</v>
      </c>
      <c r="G21" s="110">
        <f t="shared" si="18"/>
        <v>0.27399451491949961</v>
      </c>
      <c r="H21" s="414" t="b">
        <f>Wh_hp&gt;='2019'!Maxi_hp</f>
        <v>1</v>
      </c>
      <c r="I21" s="380">
        <f>IF(H21,Wh_hp,'2019'!Maxi_hp)</f>
        <v>7.3947271895387088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1.2580023592335121E-2</v>
      </c>
      <c r="M21" s="845"/>
      <c r="N21" s="845"/>
      <c r="O21" s="48">
        <f>IF(t&lt;Tnet,'2019'!Resal+('2019'!Salim-'2019'!Resal)*(1-EXP(('2019'!Tnet-t)/('2019'!Tau_j))),Resal+(Salim-Resal)*(1-EXP((Tnet-t)/(Tau_j))))*Salcycl</f>
        <v>2.8719518516129278E-2</v>
      </c>
      <c r="P21" s="169">
        <f>(INDEX(Models!$BJ21:$BT21,,T21)*(1-R21)+INDEX(Models!$BJ21:$BT21,,T21+1)*R21-ERP_i)*Q21*Ramure*Pc/MaxiM</f>
        <v>1.2533912923947058E-4</v>
      </c>
      <c r="Q21" s="305">
        <f t="shared" si="2"/>
        <v>0.5</v>
      </c>
      <c r="R21" s="177">
        <f t="shared" si="3"/>
        <v>0.99758501989122461</v>
      </c>
      <c r="S21" s="811">
        <f t="shared" si="4"/>
        <v>-2</v>
      </c>
      <c r="T21" s="176">
        <f t="shared" si="5"/>
        <v>4</v>
      </c>
      <c r="U21" s="251">
        <f t="shared" si="20"/>
        <v>-1.0024149801087754</v>
      </c>
      <c r="V21" s="383">
        <f t="shared" si="6"/>
        <v>25.880485589205399</v>
      </c>
      <c r="W21" s="402"/>
      <c r="X21" s="157">
        <f t="shared" si="7"/>
        <v>43837</v>
      </c>
      <c r="Y21" s="385">
        <f t="shared" si="8"/>
        <v>7.0919999999999996</v>
      </c>
      <c r="Z21" s="385">
        <f t="shared" si="9"/>
        <v>7.1823541850970267</v>
      </c>
      <c r="AA21" s="386">
        <f t="shared" si="10"/>
        <v>7.3947271895387088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2.8719518516129278E-2</v>
      </c>
      <c r="AD21" s="231">
        <f>(INDEX(Models!$BJ21:$BT21,,AH21)*(1-AF21)+INDEX(Models!$BJ21:$BT21,,AH21+1)*AF21-ERP_i)*AE21*Ramure*Pc/MaxiM</f>
        <v>1.2533912923947058E-4</v>
      </c>
      <c r="AE21" s="305">
        <f t="shared" si="12"/>
        <v>0.5</v>
      </c>
      <c r="AF21" s="177">
        <f t="shared" si="21"/>
        <v>0.99758501989122461</v>
      </c>
      <c r="AG21" s="811">
        <f t="shared" si="22"/>
        <v>-2</v>
      </c>
      <c r="AH21" s="176">
        <f t="shared" si="13"/>
        <v>4</v>
      </c>
      <c r="AI21" s="225">
        <f t="shared" si="23"/>
        <v>-1.0024149801087754</v>
      </c>
      <c r="AJ21" s="265" t="b">
        <f t="shared" si="14"/>
        <v>1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7">
        <v>12.661</v>
      </c>
      <c r="C22" s="390"/>
      <c r="D22" s="393">
        <f t="shared" si="0"/>
        <v>12.822585745662675</v>
      </c>
      <c r="E22" s="385">
        <f t="shared" si="17"/>
        <v>13.202234177777568</v>
      </c>
      <c r="F22" s="385">
        <f t="shared" si="1"/>
        <v>13.202668221583318</v>
      </c>
      <c r="G22" s="110">
        <f t="shared" si="18"/>
        <v>0.48536723189441539</v>
      </c>
      <c r="H22" s="414" t="b">
        <f>Wh_hp&gt;='2019'!Maxi_hp</f>
        <v>1</v>
      </c>
      <c r="I22" s="380">
        <f>IF(H22,Wh_hp,'2019'!Maxi_hp)</f>
        <v>13.202668221583318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1.2601650623965011E-2</v>
      </c>
      <c r="M22" s="845"/>
      <c r="N22" s="845"/>
      <c r="O22" s="48">
        <f>IF(t&lt;Tnet,'2019'!Resal+('2019'!Salim-'2019'!Resal)*(1-EXP(('2019'!Tnet-t)/('2019'!Tau_j))),Resal+(Salim-Resal)*(1-EXP((Tnet-t)/(Tau_j))))*Salcycl</f>
        <v>2.8756377670828611E-2</v>
      </c>
      <c r="P22" s="169">
        <f>(INDEX(Models!$BJ22:$BT22,,T22)*(1-R22)+INDEX(Models!$BJ22:$BT22,,T22+1)*R22-ERP_i)*Q22*Ramure*Pc/MaxiM</f>
        <v>1.2411754334746688E-4</v>
      </c>
      <c r="Q22" s="305">
        <f t="shared" si="2"/>
        <v>0.5</v>
      </c>
      <c r="R22" s="177">
        <f t="shared" si="3"/>
        <v>0.99762237424722189</v>
      </c>
      <c r="S22" s="811">
        <f t="shared" si="4"/>
        <v>-2</v>
      </c>
      <c r="T22" s="176">
        <f t="shared" si="5"/>
        <v>4</v>
      </c>
      <c r="U22" s="251">
        <f t="shared" si="20"/>
        <v>-1.0023776257527781</v>
      </c>
      <c r="V22" s="383">
        <f t="shared" si="6"/>
        <v>26.083023150543731</v>
      </c>
      <c r="W22" s="402"/>
      <c r="X22" s="157">
        <f t="shared" si="7"/>
        <v>43838</v>
      </c>
      <c r="Y22" s="385">
        <f t="shared" si="8"/>
        <v>12.661</v>
      </c>
      <c r="Z22" s="385">
        <f t="shared" si="9"/>
        <v>12.822585745662675</v>
      </c>
      <c r="AA22" s="386">
        <f t="shared" si="10"/>
        <v>13.202234177777568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2.8756377670828611E-2</v>
      </c>
      <c r="AD22" s="231">
        <f>(INDEX(Models!$BJ22:$BT22,,AH22)*(1-AF22)+INDEX(Models!$BJ22:$BT22,,AH22+1)*AF22-ERP_i)*AE22*Ramure*Pc/MaxiM</f>
        <v>1.2411754334746688E-4</v>
      </c>
      <c r="AE22" s="305">
        <f t="shared" si="12"/>
        <v>0.5</v>
      </c>
      <c r="AF22" s="177">
        <f t="shared" si="21"/>
        <v>0.99762237424722189</v>
      </c>
      <c r="AG22" s="811">
        <f t="shared" si="22"/>
        <v>-2</v>
      </c>
      <c r="AH22" s="176">
        <f t="shared" si="13"/>
        <v>4</v>
      </c>
      <c r="AI22" s="225">
        <f t="shared" si="23"/>
        <v>-1.0023776257527781</v>
      </c>
      <c r="AJ22" s="265" t="b">
        <f t="shared" si="14"/>
        <v>1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7">
        <v>24.962</v>
      </c>
      <c r="C23" s="390"/>
      <c r="D23" s="393">
        <f t="shared" si="0"/>
        <v>25.281130720557634</v>
      </c>
      <c r="E23" s="385">
        <f t="shared" si="17"/>
        <v>26.030637019897647</v>
      </c>
      <c r="F23" s="385">
        <f t="shared" si="1"/>
        <v>26.033603222307448</v>
      </c>
      <c r="G23" s="110">
        <f t="shared" si="18"/>
        <v>0.94949157899014591</v>
      </c>
      <c r="H23" s="414" t="b">
        <f>Wh_hp&gt;='2019'!Maxi_hp</f>
        <v>1</v>
      </c>
      <c r="I23" s="380">
        <f>IF(H23,Wh_hp,'2019'!Maxi_hp)</f>
        <v>26.033603222307448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1.2623277181907477E-2</v>
      </c>
      <c r="M23" s="845"/>
      <c r="N23" s="845"/>
      <c r="O23" s="48">
        <f>IF(t&lt;Tnet,'2019'!Resal+('2019'!Salim-'2019'!Resal)*(1-EXP(('2019'!Tnet-t)/('2019'!Tau_j))),Resal+(Salim-Resal)*(1-EXP((Tnet-t)/(Tau_j))))*Salcycl</f>
        <v>2.8793236937194214E-2</v>
      </c>
      <c r="P23" s="169">
        <f>(INDEX(Models!$BJ23:$BT23,,T23)*(1-R23)+INDEX(Models!$BJ23:$BT23,,T23+1)*R23-ERP_i)*Q23*Ramure*Pc/MaxiM</f>
        <v>1.227963313957246E-4</v>
      </c>
      <c r="Q23" s="305">
        <f t="shared" si="2"/>
        <v>0.5</v>
      </c>
      <c r="R23" s="177">
        <f t="shared" si="3"/>
        <v>0.9976612897562569</v>
      </c>
      <c r="S23" s="811">
        <f t="shared" si="4"/>
        <v>-2</v>
      </c>
      <c r="T23" s="176">
        <f t="shared" si="5"/>
        <v>4</v>
      </c>
      <c r="U23" s="251">
        <f t="shared" si="20"/>
        <v>-1.0023387102437431</v>
      </c>
      <c r="V23" s="383">
        <f t="shared" si="6"/>
        <v>26.289626355607421</v>
      </c>
      <c r="W23" s="402"/>
      <c r="X23" s="157">
        <f t="shared" si="7"/>
        <v>43839</v>
      </c>
      <c r="Y23" s="385">
        <f t="shared" si="8"/>
        <v>24.962</v>
      </c>
      <c r="Z23" s="385">
        <f t="shared" si="9"/>
        <v>25.281130720557634</v>
      </c>
      <c r="AA23" s="386">
        <f t="shared" si="10"/>
        <v>26.030637019897647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2.8793236937194214E-2</v>
      </c>
      <c r="AD23" s="231">
        <f>(INDEX(Models!$BJ23:$BT23,,AH23)*(1-AF23)+INDEX(Models!$BJ23:$BT23,,AH23+1)*AF23-ERP_i)*AE23*Ramure*Pc/MaxiM</f>
        <v>1.227963313957246E-4</v>
      </c>
      <c r="AE23" s="305">
        <f t="shared" si="12"/>
        <v>0.5</v>
      </c>
      <c r="AF23" s="177">
        <f t="shared" si="21"/>
        <v>0.9976612897562569</v>
      </c>
      <c r="AG23" s="811">
        <f t="shared" si="22"/>
        <v>-2</v>
      </c>
      <c r="AH23" s="176">
        <f t="shared" si="13"/>
        <v>4</v>
      </c>
      <c r="AI23" s="225">
        <f t="shared" si="23"/>
        <v>-1.0023387102437431</v>
      </c>
      <c r="AJ23" s="265" t="b">
        <f t="shared" si="14"/>
        <v>1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7">
        <v>9.125</v>
      </c>
      <c r="C24" s="390"/>
      <c r="D24" s="393">
        <f t="shared" si="0"/>
        <v>9.2418624567650678</v>
      </c>
      <c r="E24" s="385">
        <f t="shared" si="17"/>
        <v>9.5162158585548191</v>
      </c>
      <c r="F24" s="385">
        <f t="shared" si="1"/>
        <v>9.5162888278595652</v>
      </c>
      <c r="G24" s="110">
        <f t="shared" si="18"/>
        <v>0.34425662228984061</v>
      </c>
      <c r="H24" s="414" t="b">
        <f>Wh_hp&gt;='2019'!Maxi_hp</f>
        <v>0</v>
      </c>
      <c r="I24" s="380">
        <f>IF(H24,Wh_hp,'2019'!Maxi_hp)</f>
        <v>13.230713123965954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1.2644903266172736E-2</v>
      </c>
      <c r="M24" s="845"/>
      <c r="N24" s="845"/>
      <c r="O24" s="48">
        <f>IF(t&lt;Tnet,'2019'!Resal+('2019'!Salim-'2019'!Resal)*(1-EXP(('2019'!Tnet-t)/('2019'!Tau_j))),Resal+(Salim-Resal)*(1-EXP((Tnet-t)/(Tau_j))))*Salcycl</f>
        <v>2.8830094426989535E-2</v>
      </c>
      <c r="P24" s="169">
        <f>(INDEX(Models!$BJ24:$BT24,,T24)*(1-R24)+INDEX(Models!$BJ24:$BT24,,T24+1)*R24-ERP_i)*Q24*Ramure*Pc/MaxiM</f>
        <v>1.2117388785381114E-4</v>
      </c>
      <c r="Q24" s="305">
        <f t="shared" si="2"/>
        <v>0.5</v>
      </c>
      <c r="R24" s="177">
        <f t="shared" si="3"/>
        <v>0.99770183140472657</v>
      </c>
      <c r="S24" s="811">
        <f t="shared" si="4"/>
        <v>-2</v>
      </c>
      <c r="T24" s="176">
        <f t="shared" si="5"/>
        <v>4</v>
      </c>
      <c r="U24" s="251">
        <f t="shared" si="20"/>
        <v>-1.0022981685952734</v>
      </c>
      <c r="V24" s="383">
        <f t="shared" si="6"/>
        <v>26.503380497405026</v>
      </c>
      <c r="W24" s="402"/>
      <c r="X24" s="157">
        <f t="shared" si="7"/>
        <v>43840</v>
      </c>
      <c r="Y24" s="385">
        <f t="shared" si="8"/>
        <v>9.125</v>
      </c>
      <c r="Z24" s="385">
        <f t="shared" si="9"/>
        <v>9.2418624567650678</v>
      </c>
      <c r="AA24" s="386">
        <f t="shared" si="10"/>
        <v>9.5162158585548191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2.8830094426989535E-2</v>
      </c>
      <c r="AD24" s="231">
        <f>(INDEX(Models!$BJ24:$BT24,,AH24)*(1-AF24)+INDEX(Models!$BJ24:$BT24,,AH24+1)*AF24-ERP_i)*AE24*Ramure*Pc/MaxiM</f>
        <v>1.2117388785381114E-4</v>
      </c>
      <c r="AE24" s="305">
        <f t="shared" si="12"/>
        <v>0.5</v>
      </c>
      <c r="AF24" s="177">
        <f t="shared" si="21"/>
        <v>0.99770183140472657</v>
      </c>
      <c r="AG24" s="811">
        <f t="shared" si="22"/>
        <v>-2</v>
      </c>
      <c r="AH24" s="176">
        <f t="shared" si="13"/>
        <v>4</v>
      </c>
      <c r="AI24" s="225">
        <f t="shared" si="23"/>
        <v>-1.0022981685952734</v>
      </c>
      <c r="AJ24" s="265" t="b">
        <f t="shared" si="14"/>
        <v>1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7">
        <v>26.664999999999999</v>
      </c>
      <c r="C25" s="390"/>
      <c r="D25" s="393">
        <f t="shared" si="0"/>
        <v>27.007086035141565</v>
      </c>
      <c r="E25" s="385">
        <f t="shared" si="17"/>
        <v>27.809872193537782</v>
      </c>
      <c r="F25" s="385">
        <f t="shared" si="1"/>
        <v>27.813177241518638</v>
      </c>
      <c r="G25" s="110">
        <f t="shared" si="18"/>
        <v>0.99778964030270345</v>
      </c>
      <c r="H25" s="414" t="b">
        <f>Wh_hp&gt;='2019'!Maxi_hp</f>
        <v>1</v>
      </c>
      <c r="I25" s="380">
        <f>IF(H25,Wh_hp,'2019'!Maxi_hp)</f>
        <v>27.813177241518638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1.2666528876771221E-2</v>
      </c>
      <c r="M25" s="845"/>
      <c r="N25" s="845"/>
      <c r="O25" s="48">
        <f>IF(t&lt;Tnet,'2019'!Resal+('2019'!Salim-'2019'!Resal)*(1-EXP(('2019'!Tnet-t)/('2019'!Tau_j))),Resal+(Salim-Resal)*(1-EXP((Tnet-t)/(Tau_j))))*Salcycl</f>
        <v>2.8866948859360766E-2</v>
      </c>
      <c r="P25" s="169">
        <f>(INDEX(Models!$BJ25:$BT25,,T25)*(1-R25)+INDEX(Models!$BJ25:$BT25,,T25+1)*R25-ERP_i)*Q25*Ramure*Pc/MaxiM</f>
        <v>1.1920664197677076E-4</v>
      </c>
      <c r="Q25" s="305">
        <f t="shared" si="2"/>
        <v>0.5</v>
      </c>
      <c r="R25" s="177">
        <f t="shared" si="3"/>
        <v>0.99774406686209249</v>
      </c>
      <c r="S25" s="811">
        <f t="shared" si="4"/>
        <v>-2</v>
      </c>
      <c r="T25" s="176">
        <f t="shared" si="5"/>
        <v>4</v>
      </c>
      <c r="U25" s="251">
        <f t="shared" si="20"/>
        <v>-1.0022559331379075</v>
      </c>
      <c r="V25" s="383">
        <f t="shared" si="6"/>
        <v>26.724059748057957</v>
      </c>
      <c r="W25" s="402"/>
      <c r="X25" s="157">
        <f t="shared" si="7"/>
        <v>43841</v>
      </c>
      <c r="Y25" s="385">
        <f t="shared" si="8"/>
        <v>26.664999999999999</v>
      </c>
      <c r="Z25" s="385">
        <f t="shared" si="9"/>
        <v>27.007086035141565</v>
      </c>
      <c r="AA25" s="386">
        <f t="shared" si="10"/>
        <v>27.809872193537782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2.8866948859360766E-2</v>
      </c>
      <c r="AD25" s="231">
        <f>(INDEX(Models!$BJ25:$BT25,,AH25)*(1-AF25)+INDEX(Models!$BJ25:$BT25,,AH25+1)*AF25-ERP_i)*AE25*Ramure*Pc/MaxiM</f>
        <v>1.1920664197677076E-4</v>
      </c>
      <c r="AE25" s="305">
        <f t="shared" si="12"/>
        <v>0.5</v>
      </c>
      <c r="AF25" s="177">
        <f t="shared" si="21"/>
        <v>0.99774406686209249</v>
      </c>
      <c r="AG25" s="811">
        <f t="shared" si="22"/>
        <v>-2</v>
      </c>
      <c r="AH25" s="176">
        <f t="shared" si="13"/>
        <v>4</v>
      </c>
      <c r="AI25" s="225">
        <f t="shared" si="23"/>
        <v>-1.0022559331379075</v>
      </c>
      <c r="AJ25" s="265" t="b">
        <f t="shared" si="14"/>
        <v>1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7">
        <v>26.812999999999999</v>
      </c>
      <c r="C26" s="390"/>
      <c r="D26" s="393">
        <f t="shared" si="0"/>
        <v>27.15757955199539</v>
      </c>
      <c r="E26" s="385">
        <f t="shared" si="17"/>
        <v>27.965900328124949</v>
      </c>
      <c r="F26" s="385">
        <f t="shared" si="1"/>
        <v>27.969146072299974</v>
      </c>
      <c r="G26" s="110">
        <f t="shared" si="18"/>
        <v>0.99486261464518266</v>
      </c>
      <c r="H26" s="414" t="b">
        <f>Wh_hp&gt;='2019'!Maxi_hp</f>
        <v>1</v>
      </c>
      <c r="I26" s="380">
        <f>IF(H26,Wh_hp,'2019'!Maxi_hp)</f>
        <v>27.969146072299974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1.2688154013713371E-2</v>
      </c>
      <c r="M26" s="845"/>
      <c r="N26" s="845"/>
      <c r="O26" s="48">
        <f>IF(t&lt;Tnet,'2019'!Resal+('2019'!Salim-'2019'!Resal)*(1-EXP(('2019'!Tnet-t)/('2019'!Tau_j))),Resal+(Salim-Resal)*(1-EXP((Tnet-t)/(Tau_j))))*Salcycl</f>
        <v>2.8903799507453819E-2</v>
      </c>
      <c r="P26" s="169">
        <f>(INDEX(Models!$BJ26:$BT26,,T26)*(1-R26)+INDEX(Models!$BJ26:$BT26,,T26+1)*R26-ERP_i)*Q26*Ramure*Pc/MaxiM</f>
        <v>1.1690514896672838E-4</v>
      </c>
      <c r="Q26" s="305">
        <f t="shared" si="2"/>
        <v>0.5</v>
      </c>
      <c r="R26" s="177">
        <f t="shared" si="3"/>
        <v>0.9977880665897636</v>
      </c>
      <c r="S26" s="811">
        <f t="shared" si="4"/>
        <v>-2</v>
      </c>
      <c r="T26" s="176">
        <f t="shared" si="5"/>
        <v>4</v>
      </c>
      <c r="U26" s="251">
        <f t="shared" si="20"/>
        <v>-1.0022119334102364</v>
      </c>
      <c r="V26" s="383">
        <f t="shared" si="6"/>
        <v>26.951436913394311</v>
      </c>
      <c r="W26" s="402"/>
      <c r="X26" s="157">
        <f t="shared" si="7"/>
        <v>43842</v>
      </c>
      <c r="Y26" s="385">
        <f t="shared" si="8"/>
        <v>26.812999999999999</v>
      </c>
      <c r="Z26" s="385">
        <f t="shared" si="9"/>
        <v>27.15757955199539</v>
      </c>
      <c r="AA26" s="386">
        <f t="shared" si="10"/>
        <v>27.965900328124949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2.8903799507453819E-2</v>
      </c>
      <c r="AD26" s="231">
        <f>(INDEX(Models!$BJ26:$BT26,,AH26)*(1-AF26)+INDEX(Models!$BJ26:$BT26,,AH26+1)*AF26-ERP_i)*AE26*Ramure*Pc/MaxiM</f>
        <v>1.1690514896672838E-4</v>
      </c>
      <c r="AE26" s="305">
        <f t="shared" si="12"/>
        <v>0.5</v>
      </c>
      <c r="AF26" s="177">
        <f t="shared" si="21"/>
        <v>0.9977880665897636</v>
      </c>
      <c r="AG26" s="811">
        <f t="shared" si="22"/>
        <v>-2</v>
      </c>
      <c r="AH26" s="176">
        <f t="shared" si="13"/>
        <v>4</v>
      </c>
      <c r="AI26" s="225">
        <f t="shared" si="23"/>
        <v>-1.0022119334102364</v>
      </c>
      <c r="AJ26" s="265" t="b">
        <f t="shared" si="14"/>
        <v>1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7">
        <v>15.367000000000001</v>
      </c>
      <c r="C27" s="390"/>
      <c r="D27" s="393">
        <f t="shared" si="0"/>
        <v>15.564825487087157</v>
      </c>
      <c r="E27" s="385">
        <f t="shared" si="17"/>
        <v>16.028706613296656</v>
      </c>
      <c r="F27" s="385">
        <f t="shared" si="1"/>
        <v>16.029400800100351</v>
      </c>
      <c r="G27" s="110">
        <f t="shared" si="18"/>
        <v>0.56522892457182772</v>
      </c>
      <c r="H27" s="414" t="b">
        <f>Wh_hp&gt;='2019'!Maxi_hp</f>
        <v>1</v>
      </c>
      <c r="I27" s="380">
        <f>IF(H27,Wh_hp,'2019'!Maxi_hp)</f>
        <v>16.029400800100351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1.270977867700962E-2</v>
      </c>
      <c r="M27" s="845"/>
      <c r="N27" s="845"/>
      <c r="O27" s="48">
        <f>IF(t&lt;Tnet,'2019'!Resal+('2019'!Salim-'2019'!Resal)*(1-EXP(('2019'!Tnet-t)/('2019'!Tau_j))),Resal+(Salim-Resal)*(1-EXP((Tnet-t)/(Tau_j))))*Salcycl</f>
        <v>2.8940646142008999E-2</v>
      </c>
      <c r="P27" s="169">
        <f>(INDEX(Models!$BJ27:$BT27,,T27)*(1-R27)+INDEX(Models!$BJ27:$BT27,,T27+1)*R27-ERP_i)*Q27*Ramure*Pc/MaxiM</f>
        <v>1.1428007884292951E-4</v>
      </c>
      <c r="Q27" s="305">
        <f t="shared" si="2"/>
        <v>0.5</v>
      </c>
      <c r="R27" s="177">
        <f t="shared" si="3"/>
        <v>0.99783390395423277</v>
      </c>
      <c r="S27" s="811">
        <f t="shared" si="4"/>
        <v>-2</v>
      </c>
      <c r="T27" s="176">
        <f t="shared" si="5"/>
        <v>4</v>
      </c>
      <c r="U27" s="251">
        <f t="shared" si="20"/>
        <v>-1.0021660960457672</v>
      </c>
      <c r="V27" s="383">
        <f t="shared" si="6"/>
        <v>27.185284834073737</v>
      </c>
      <c r="W27" s="402"/>
      <c r="X27" s="157">
        <f t="shared" si="7"/>
        <v>43843</v>
      </c>
      <c r="Y27" s="385">
        <f t="shared" si="8"/>
        <v>15.367000000000003</v>
      </c>
      <c r="Z27" s="385">
        <f t="shared" si="9"/>
        <v>15.564825487087159</v>
      </c>
      <c r="AA27" s="386">
        <f t="shared" si="10"/>
        <v>16.028706613296656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2.8940646142008999E-2</v>
      </c>
      <c r="AD27" s="231">
        <f>(INDEX(Models!$BJ27:$BT27,,AH27)*(1-AF27)+INDEX(Models!$BJ27:$BT27,,AH27+1)*AF27-ERP_i)*AE27*Ramure*Pc/MaxiM</f>
        <v>1.1428007884292951E-4</v>
      </c>
      <c r="AE27" s="305">
        <f t="shared" si="12"/>
        <v>0.5</v>
      </c>
      <c r="AF27" s="177">
        <f t="shared" si="21"/>
        <v>0.99783390395423277</v>
      </c>
      <c r="AG27" s="811">
        <f t="shared" si="22"/>
        <v>-2</v>
      </c>
      <c r="AH27" s="176">
        <f t="shared" si="13"/>
        <v>4</v>
      </c>
      <c r="AI27" s="225">
        <f t="shared" si="23"/>
        <v>-1.0021660960457672</v>
      </c>
      <c r="AJ27" s="265" t="b">
        <f t="shared" si="14"/>
        <v>1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7">
        <v>26.661000000000001</v>
      </c>
      <c r="C28" s="390"/>
      <c r="D28" s="393">
        <f t="shared" si="0"/>
        <v>27.004809104041069</v>
      </c>
      <c r="E28" s="385">
        <f t="shared" si="17"/>
        <v>27.810693158358088</v>
      </c>
      <c r="F28" s="385">
        <f t="shared" si="1"/>
        <v>27.813666688911876</v>
      </c>
      <c r="G28" s="110">
        <f t="shared" si="18"/>
        <v>0.97212455387113228</v>
      </c>
      <c r="H28" s="414" t="b">
        <f>Wh_hp&gt;='2019'!Maxi_hp</f>
        <v>1</v>
      </c>
      <c r="I28" s="380">
        <f>IF(H28,Wh_hp,'2019'!Maxi_hp)</f>
        <v>27.813666688911876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1.2731402866670072E-2</v>
      </c>
      <c r="M28" s="845"/>
      <c r="N28" s="845"/>
      <c r="O28" s="48">
        <f>IF(t&lt;Tnet,'2019'!Resal+('2019'!Salim-'2019'!Resal)*(1-EXP(('2019'!Tnet-t)/('2019'!Tau_j))),Resal+(Salim-Resal)*(1-EXP((Tnet-t)/(Tau_j))))*Salcycl</f>
        <v>2.897748897261208E-2</v>
      </c>
      <c r="P28" s="169">
        <f>(INDEX(Models!$BJ28:$BT28,,T28)*(1-R28)+INDEX(Models!$BJ28:$BT28,,T28+1)*R28-ERP_i)*Q28*Ramure*Pc/MaxiM</f>
        <v>1.1134216283852735E-4</v>
      </c>
      <c r="Q28" s="305">
        <f t="shared" si="2"/>
        <v>0.5</v>
      </c>
      <c r="R28" s="177">
        <f t="shared" si="3"/>
        <v>0.99788165534462236</v>
      </c>
      <c r="S28" s="811">
        <f t="shared" si="4"/>
        <v>-2</v>
      </c>
      <c r="T28" s="176">
        <f t="shared" si="5"/>
        <v>4</v>
      </c>
      <c r="U28" s="251">
        <f t="shared" si="20"/>
        <v>-1.0021183446553776</v>
      </c>
      <c r="V28" s="383">
        <f t="shared" si="6"/>
        <v>27.425376396402466</v>
      </c>
      <c r="W28" s="402"/>
      <c r="X28" s="157">
        <f t="shared" si="7"/>
        <v>43844</v>
      </c>
      <c r="Y28" s="385">
        <f t="shared" si="8"/>
        <v>26.661000000000001</v>
      </c>
      <c r="Z28" s="385">
        <f t="shared" si="9"/>
        <v>27.004809104041069</v>
      </c>
      <c r="AA28" s="386">
        <f t="shared" si="10"/>
        <v>27.810693158358088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2.897748897261208E-2</v>
      </c>
      <c r="AD28" s="231">
        <f>(INDEX(Models!$BJ28:$BT28,,AH28)*(1-AF28)+INDEX(Models!$BJ28:$BT28,,AH28+1)*AF28-ERP_i)*AE28*Ramure*Pc/MaxiM</f>
        <v>1.1134216283852735E-4</v>
      </c>
      <c r="AE28" s="305">
        <f t="shared" si="12"/>
        <v>0.5</v>
      </c>
      <c r="AF28" s="177">
        <f t="shared" si="21"/>
        <v>0.99788165534462236</v>
      </c>
      <c r="AG28" s="811">
        <f t="shared" si="22"/>
        <v>-2</v>
      </c>
      <c r="AH28" s="176">
        <f t="shared" si="13"/>
        <v>4</v>
      </c>
      <c r="AI28" s="225">
        <f t="shared" si="23"/>
        <v>-1.0021183446553776</v>
      </c>
      <c r="AJ28" s="265" t="b">
        <f t="shared" si="14"/>
        <v>1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7">
        <v>22.475999999999999</v>
      </c>
      <c r="C29" s="390"/>
      <c r="D29" s="393">
        <f t="shared" si="0"/>
        <v>22.766339735842095</v>
      </c>
      <c r="E29" s="385">
        <f t="shared" si="17"/>
        <v>23.446627902056253</v>
      </c>
      <c r="F29" s="385">
        <f t="shared" si="1"/>
        <v>23.448482833982602</v>
      </c>
      <c r="G29" s="110">
        <f t="shared" si="18"/>
        <v>0.81222054515572728</v>
      </c>
      <c r="H29" s="414" t="b">
        <f>Wh_hp&gt;='2019'!Maxi_hp</f>
        <v>0</v>
      </c>
      <c r="I29" s="380">
        <f>IF(H29,Wh_hp,'2019'!Maxi_hp)</f>
        <v>29.067033141157783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1.2753026582705385E-2</v>
      </c>
      <c r="M29" s="845"/>
      <c r="N29" s="845"/>
      <c r="O29" s="48">
        <f>IF(t&lt;Tnet,'2019'!Resal+('2019'!Salim-'2019'!Resal)*(1-EXP(('2019'!Tnet-t)/('2019'!Tau_j))),Resal+(Salim-Resal)*(1-EXP((Tnet-t)/(Tau_j))))*Salcycl</f>
        <v>2.9014328587288998E-2</v>
      </c>
      <c r="P29" s="169">
        <f>(INDEX(Models!$BJ29:$BT29,,T29)*(1-R29)+INDEX(Models!$BJ29:$BT29,,T29+1)*R29-ERP_i)*Q29*Ramure*Pc/MaxiM</f>
        <v>1.0810214325206389E-4</v>
      </c>
      <c r="Q29" s="305">
        <f t="shared" si="2"/>
        <v>0.5</v>
      </c>
      <c r="R29" s="177">
        <f t="shared" si="3"/>
        <v>0.99793140029479455</v>
      </c>
      <c r="S29" s="811">
        <f t="shared" si="4"/>
        <v>-2</v>
      </c>
      <c r="T29" s="176">
        <f t="shared" si="5"/>
        <v>4</v>
      </c>
      <c r="U29" s="251">
        <f t="shared" si="20"/>
        <v>-1.0020685997052055</v>
      </c>
      <c r="V29" s="383">
        <f t="shared" si="6"/>
        <v>27.671484525655078</v>
      </c>
      <c r="W29" s="402"/>
      <c r="X29" s="157">
        <f t="shared" si="7"/>
        <v>43845</v>
      </c>
      <c r="Y29" s="385">
        <f t="shared" si="8"/>
        <v>22.475999999999999</v>
      </c>
      <c r="Z29" s="385">
        <f t="shared" si="9"/>
        <v>22.766339735842095</v>
      </c>
      <c r="AA29" s="386">
        <f t="shared" si="10"/>
        <v>23.446627902056253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2.9014328587288998E-2</v>
      </c>
      <c r="AD29" s="231">
        <f>(INDEX(Models!$BJ29:$BT29,,AH29)*(1-AF29)+INDEX(Models!$BJ29:$BT29,,AH29+1)*AF29-ERP_i)*AE29*Ramure*Pc/MaxiM</f>
        <v>1.0810214325206389E-4</v>
      </c>
      <c r="AE29" s="305">
        <f t="shared" si="12"/>
        <v>0.5</v>
      </c>
      <c r="AF29" s="177">
        <f t="shared" si="21"/>
        <v>0.99793140029479455</v>
      </c>
      <c r="AG29" s="811">
        <f t="shared" si="22"/>
        <v>-2</v>
      </c>
      <c r="AH29" s="176">
        <f t="shared" si="13"/>
        <v>4</v>
      </c>
      <c r="AI29" s="225">
        <f t="shared" si="23"/>
        <v>-1.0020685997052055</v>
      </c>
      <c r="AJ29" s="265" t="b">
        <f t="shared" si="14"/>
        <v>1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7">
        <v>23.254999999999999</v>
      </c>
      <c r="C30" s="390"/>
      <c r="D30" s="393">
        <f t="shared" si="0"/>
        <v>23.555918611571993</v>
      </c>
      <c r="E30" s="385">
        <f t="shared" si="17"/>
        <v>24.260720837253487</v>
      </c>
      <c r="F30" s="385">
        <f t="shared" si="1"/>
        <v>24.262653230392278</v>
      </c>
      <c r="G30" s="110">
        <f t="shared" si="18"/>
        <v>0.83279382637072163</v>
      </c>
      <c r="H30" s="414" t="b">
        <f>Wh_hp&gt;='2019'!Maxi_hp</f>
        <v>0</v>
      </c>
      <c r="I30" s="380">
        <f>IF(H30,Wh_hp,'2019'!Maxi_hp)</f>
        <v>29.178076379468706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1.2774649825125772E-2</v>
      </c>
      <c r="M30" s="845"/>
      <c r="N30" s="845"/>
      <c r="O30" s="48">
        <f>IF(t&lt;Tnet,'2019'!Resal+('2019'!Salim-'2019'!Resal)*(1-EXP(('2019'!Tnet-t)/('2019'!Tau_j))),Resal+(Salim-Resal)*(1-EXP((Tnet-t)/(Tau_j))))*Salcycl</f>
        <v>2.9051165891131957E-2</v>
      </c>
      <c r="P30" s="169">
        <f>(INDEX(Models!$BJ30:$BT30,,T30)*(1-R30)+INDEX(Models!$BJ30:$BT30,,T30+1)*R30-ERP_i)*Q30*Ramure*Pc/MaxiM</f>
        <v>1.0463550766803721E-4</v>
      </c>
      <c r="Q30" s="305">
        <f t="shared" si="2"/>
        <v>0.5</v>
      </c>
      <c r="R30" s="177">
        <f t="shared" si="3"/>
        <v>0.99798322161018782</v>
      </c>
      <c r="S30" s="811">
        <f t="shared" si="4"/>
        <v>-2</v>
      </c>
      <c r="T30" s="176">
        <f t="shared" si="5"/>
        <v>4</v>
      </c>
      <c r="U30" s="251">
        <f t="shared" si="20"/>
        <v>-1.0020167783898122</v>
      </c>
      <c r="V30" s="383">
        <f t="shared" si="6"/>
        <v>27.923380382347741</v>
      </c>
      <c r="W30" s="402"/>
      <c r="X30" s="157">
        <f t="shared" si="7"/>
        <v>43846</v>
      </c>
      <c r="Y30" s="385">
        <f t="shared" si="8"/>
        <v>23.254999999999999</v>
      </c>
      <c r="Z30" s="385">
        <f t="shared" si="9"/>
        <v>23.555918611571993</v>
      </c>
      <c r="AA30" s="386">
        <f t="shared" si="10"/>
        <v>24.260720837253487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2.9051165891131957E-2</v>
      </c>
      <c r="AD30" s="231">
        <f>(INDEX(Models!$BJ30:$BT30,,AH30)*(1-AF30)+INDEX(Models!$BJ30:$BT30,,AH30+1)*AF30-ERP_i)*AE30*Ramure*Pc/MaxiM</f>
        <v>1.0463550766803721E-4</v>
      </c>
      <c r="AE30" s="305">
        <f t="shared" si="12"/>
        <v>0.5</v>
      </c>
      <c r="AF30" s="177">
        <f t="shared" si="21"/>
        <v>0.99798322161018782</v>
      </c>
      <c r="AG30" s="811">
        <f t="shared" si="22"/>
        <v>-2</v>
      </c>
      <c r="AH30" s="176">
        <f t="shared" si="13"/>
        <v>4</v>
      </c>
      <c r="AI30" s="225">
        <f t="shared" si="23"/>
        <v>-1.0020167783898122</v>
      </c>
      <c r="AJ30" s="265" t="b">
        <f t="shared" si="14"/>
        <v>1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7">
        <v>4.6719999999999997</v>
      </c>
      <c r="C31" s="390"/>
      <c r="D31" s="393">
        <f t="shared" si="0"/>
        <v>4.7325591165219585</v>
      </c>
      <c r="E31" s="385">
        <f t="shared" si="17"/>
        <v>4.8743440461012266</v>
      </c>
      <c r="F31" s="385">
        <f t="shared" si="1"/>
        <v>4.8743440461012266</v>
      </c>
      <c r="G31" s="110">
        <f t="shared" si="18"/>
        <v>0.16576968098754291</v>
      </c>
      <c r="H31" s="414" t="b">
        <f>Wh_hp&gt;='2019'!Maxi_hp</f>
        <v>0</v>
      </c>
      <c r="I31" s="380">
        <f>IF(H31,Wh_hp,'2019'!Maxi_hp)</f>
        <v>10.666947833504928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1.2796272593941671E-2</v>
      </c>
      <c r="M31" s="845"/>
      <c r="N31" s="845"/>
      <c r="O31" s="48">
        <f>IF(t&lt;Tnet,'2019'!Resal+('2019'!Salim-'2019'!Resal)*(1-EXP(('2019'!Tnet-t)/('2019'!Tau_j))),Resal+(Salim-Resal)*(1-EXP((Tnet-t)/(Tau_j))))*Salcycl</f>
        <v>2.9088002044639297E-2</v>
      </c>
      <c r="P31" s="169">
        <f>(INDEX(Models!$BJ31:$BT31,,T31)*(1-R31)+INDEX(Models!$BJ31:$BT31,,T31+1)*R31-ERP_i)*Q31*Ramure*Pc/MaxiM</f>
        <v>1.0109490034567683E-4</v>
      </c>
      <c r="Q31" s="305">
        <f t="shared" si="2"/>
        <v>0.5</v>
      </c>
      <c r="R31" s="177">
        <f t="shared" si="3"/>
        <v>0.99803720549954189</v>
      </c>
      <c r="S31" s="811">
        <f t="shared" si="4"/>
        <v>-2</v>
      </c>
      <c r="T31" s="176">
        <f t="shared" si="5"/>
        <v>4</v>
      </c>
      <c r="U31" s="251">
        <f t="shared" si="20"/>
        <v>-1.0019627945004581</v>
      </c>
      <c r="V31" s="383">
        <f t="shared" si="6"/>
        <v>28.180832929132769</v>
      </c>
      <c r="W31" s="402"/>
      <c r="X31" s="157">
        <f t="shared" si="7"/>
        <v>43847</v>
      </c>
      <c r="Y31" s="385">
        <f t="shared" si="8"/>
        <v>4.6719999999999997</v>
      </c>
      <c r="Z31" s="385">
        <f t="shared" si="9"/>
        <v>4.7325591165219585</v>
      </c>
      <c r="AA31" s="386">
        <f t="shared" si="10"/>
        <v>4.8743440461012266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2.9088002044639297E-2</v>
      </c>
      <c r="AD31" s="231">
        <f>(INDEX(Models!$BJ31:$BT31,,AH31)*(1-AF31)+INDEX(Models!$BJ31:$BT31,,AH31+1)*AF31-ERP_i)*AE31*Ramure*Pc/MaxiM</f>
        <v>1.0109490034567683E-4</v>
      </c>
      <c r="AE31" s="305">
        <f t="shared" si="12"/>
        <v>0.5</v>
      </c>
      <c r="AF31" s="177">
        <f t="shared" si="21"/>
        <v>0.99803720549954189</v>
      </c>
      <c r="AG31" s="811">
        <f t="shared" si="22"/>
        <v>-2</v>
      </c>
      <c r="AH31" s="176">
        <f t="shared" si="13"/>
        <v>4</v>
      </c>
      <c r="AI31" s="225">
        <f t="shared" si="23"/>
        <v>-1.0019627945004581</v>
      </c>
      <c r="AJ31" s="265" t="b">
        <f t="shared" si="14"/>
        <v>1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7">
        <v>18.407</v>
      </c>
      <c r="C32" s="390"/>
      <c r="D32" s="393">
        <f t="shared" si="0"/>
        <v>18.646002500150004</v>
      </c>
      <c r="E32" s="385">
        <f t="shared" si="17"/>
        <v>19.20535537181555</v>
      </c>
      <c r="F32" s="385">
        <f t="shared" si="1"/>
        <v>19.206283884952878</v>
      </c>
      <c r="G32" s="110">
        <f t="shared" si="18"/>
        <v>0.64710815682014799</v>
      </c>
      <c r="H32" s="414" t="b">
        <f>Wh_hp&gt;='2019'!Maxi_hp</f>
        <v>1</v>
      </c>
      <c r="I32" s="380">
        <f>IF(H32,Wh_hp,'2019'!Maxi_hp)</f>
        <v>19.206283884952878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1.2817894889163517E-2</v>
      </c>
      <c r="M32" s="845"/>
      <c r="N32" s="845"/>
      <c r="O32" s="48">
        <f>IF(t&lt;Tnet,'2019'!Resal+('2019'!Salim-'2019'!Resal)*(1-EXP(('2019'!Tnet-t)/('2019'!Tau_j))),Resal+(Salim-Resal)*(1-EXP((Tnet-t)/(Tau_j))))*Salcycl</f>
        <v>2.9124838402439141E-2</v>
      </c>
      <c r="P32" s="169">
        <f>(INDEX(Models!$BJ32:$BT32,,T32)*(1-R32)+INDEX(Models!$BJ32:$BT32,,T32+1)*R32-ERP_i)*Q32*Ramure*Pc/MaxiM</f>
        <v>9.7485077385516106E-5</v>
      </c>
      <c r="Q32" s="305">
        <f t="shared" si="2"/>
        <v>0.5</v>
      </c>
      <c r="R32" s="177">
        <f t="shared" si="3"/>
        <v>0.99809344171168357</v>
      </c>
      <c r="S32" s="811">
        <f t="shared" si="4"/>
        <v>-2</v>
      </c>
      <c r="T32" s="176">
        <f t="shared" si="5"/>
        <v>4</v>
      </c>
      <c r="U32" s="251">
        <f t="shared" si="20"/>
        <v>-1.0019065582883164</v>
      </c>
      <c r="V32" s="383">
        <f t="shared" si="6"/>
        <v>28.443615223865731</v>
      </c>
      <c r="W32" s="402"/>
      <c r="X32" s="157">
        <f t="shared" si="7"/>
        <v>43848</v>
      </c>
      <c r="Y32" s="385">
        <f t="shared" si="8"/>
        <v>18.407</v>
      </c>
      <c r="Z32" s="385">
        <f t="shared" si="9"/>
        <v>18.646002500150004</v>
      </c>
      <c r="AA32" s="386">
        <f t="shared" si="10"/>
        <v>19.20535537181555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2.9124838402439141E-2</v>
      </c>
      <c r="AD32" s="231">
        <f>(INDEX(Models!$BJ32:$BT32,,AH32)*(1-AF32)+INDEX(Models!$BJ32:$BT32,,AH32+1)*AF32-ERP_i)*AE32*Ramure*Pc/MaxiM</f>
        <v>9.7485077385516106E-5</v>
      </c>
      <c r="AE32" s="305">
        <f t="shared" si="12"/>
        <v>0.5</v>
      </c>
      <c r="AF32" s="177">
        <f t="shared" si="21"/>
        <v>0.99809344171168357</v>
      </c>
      <c r="AG32" s="811">
        <f t="shared" si="22"/>
        <v>-2</v>
      </c>
      <c r="AH32" s="176">
        <f t="shared" si="13"/>
        <v>4</v>
      </c>
      <c r="AI32" s="225">
        <f t="shared" si="23"/>
        <v>-1.0019065582883164</v>
      </c>
      <c r="AJ32" s="265" t="b">
        <f t="shared" si="14"/>
        <v>1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7">
        <v>27.74</v>
      </c>
      <c r="C33" s="390"/>
      <c r="D33" s="393">
        <f t="shared" si="0"/>
        <v>28.100800700176823</v>
      </c>
      <c r="E33" s="385">
        <f t="shared" si="17"/>
        <v>28.944881983552857</v>
      </c>
      <c r="F33" s="385">
        <f t="shared" si="1"/>
        <v>28.947466297532539</v>
      </c>
      <c r="G33" s="110">
        <f t="shared" si="18"/>
        <v>0.96615898976648318</v>
      </c>
      <c r="H33" s="414" t="b">
        <f>Wh_hp&gt;='2019'!Maxi_hp</f>
        <v>1</v>
      </c>
      <c r="I33" s="380">
        <f>IF(H33,Wh_hp,'2019'!Maxi_hp)</f>
        <v>28.947466297532539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1.2839516710801524E-2</v>
      </c>
      <c r="M33" s="845"/>
      <c r="N33" s="845"/>
      <c r="O33" s="48">
        <f>IF(t&lt;Tnet,'2019'!Resal+('2019'!Salim-'2019'!Resal)*(1-EXP(('2019'!Tnet-t)/('2019'!Tau_j))),Resal+(Salim-Resal)*(1-EXP((Tnet-t)/(Tau_j))))*Salcycl</f>
        <v>2.9161676453048291E-2</v>
      </c>
      <c r="P33" s="169">
        <f>(INDEX(Models!$BJ33:$BT33,,T33)*(1-R33)+INDEX(Models!$BJ33:$BT33,,T33+1)*R33-ERP_i)*Q33*Ramure*Pc/MaxiM</f>
        <v>9.3810620890403379E-5</v>
      </c>
      <c r="Q33" s="305">
        <f t="shared" si="2"/>
        <v>0.5</v>
      </c>
      <c r="R33" s="177">
        <f t="shared" si="3"/>
        <v>0.99815202367754452</v>
      </c>
      <c r="S33" s="811">
        <f t="shared" si="4"/>
        <v>-2</v>
      </c>
      <c r="T33" s="176">
        <f t="shared" si="5"/>
        <v>4</v>
      </c>
      <c r="U33" s="251">
        <f t="shared" si="20"/>
        <v>-1.0018479763224555</v>
      </c>
      <c r="V33" s="383">
        <f t="shared" si="6"/>
        <v>28.71150037642299</v>
      </c>
      <c r="W33" s="402"/>
      <c r="X33" s="157">
        <f t="shared" si="7"/>
        <v>43849</v>
      </c>
      <c r="Y33" s="385">
        <f t="shared" si="8"/>
        <v>27.74</v>
      </c>
      <c r="Z33" s="385">
        <f t="shared" si="9"/>
        <v>28.100800700176823</v>
      </c>
      <c r="AA33" s="386">
        <f t="shared" si="10"/>
        <v>28.944881983552857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2.9161676453048291E-2</v>
      </c>
      <c r="AD33" s="231">
        <f>(INDEX(Models!$BJ33:$BT33,,AH33)*(1-AF33)+INDEX(Models!$BJ33:$BT33,,AH33+1)*AF33-ERP_i)*AE33*Ramure*Pc/MaxiM</f>
        <v>9.3810620890403379E-5</v>
      </c>
      <c r="AE33" s="305">
        <f t="shared" si="12"/>
        <v>0.5</v>
      </c>
      <c r="AF33" s="177">
        <f t="shared" si="21"/>
        <v>0.99815202367754452</v>
      </c>
      <c r="AG33" s="811">
        <f t="shared" si="22"/>
        <v>-2</v>
      </c>
      <c r="AH33" s="176">
        <f t="shared" si="13"/>
        <v>4</v>
      </c>
      <c r="AI33" s="225">
        <f t="shared" si="23"/>
        <v>-1.0018479763224555</v>
      </c>
      <c r="AJ33" s="265" t="b">
        <f t="shared" si="14"/>
        <v>1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7">
        <v>11.83</v>
      </c>
      <c r="C34" s="390"/>
      <c r="D34" s="393">
        <f t="shared" si="0"/>
        <v>11.984129544588287</v>
      </c>
      <c r="E34" s="385">
        <f t="shared" si="17"/>
        <v>12.344572771912194</v>
      </c>
      <c r="F34" s="385">
        <f t="shared" si="1"/>
        <v>12.344744575403277</v>
      </c>
      <c r="G34" s="110">
        <f t="shared" si="18"/>
        <v>0.40812145624950735</v>
      </c>
      <c r="H34" s="414" t="b">
        <f>Wh_hp&gt;='2019'!Maxi_hp</f>
        <v>1</v>
      </c>
      <c r="I34" s="380">
        <f>IF(H34,Wh_hp,'2019'!Maxi_hp)</f>
        <v>12.344744575403277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1.2861138058866128E-2</v>
      </c>
      <c r="M34" s="845"/>
      <c r="N34" s="845"/>
      <c r="O34" s="48">
        <f>IF(t&lt;Tnet,'2019'!Resal+('2019'!Salim-'2019'!Resal)*(1-EXP(('2019'!Tnet-t)/('2019'!Tau_j))),Resal+(Salim-Resal)*(1-EXP((Tnet-t)/(Tau_j))))*Salcycl</f>
        <v>2.9198517760292989E-2</v>
      </c>
      <c r="P34" s="169">
        <f>(INDEX(Models!$BJ34:$BT34,,T34)*(1-R34)+INDEX(Models!$BJ34:$BT34,,T34+1)*R34-ERP_i)*Q34*Ramure*Pc/MaxiM</f>
        <v>9.0076434576471905E-5</v>
      </c>
      <c r="Q34" s="305">
        <f t="shared" si="2"/>
        <v>0.5</v>
      </c>
      <c r="R34" s="177">
        <f t="shared" si="3"/>
        <v>0.99821304865758731</v>
      </c>
      <c r="S34" s="811">
        <f t="shared" si="4"/>
        <v>-2</v>
      </c>
      <c r="T34" s="176">
        <f t="shared" si="5"/>
        <v>4</v>
      </c>
      <c r="U34" s="251">
        <f t="shared" si="20"/>
        <v>-1.0017869513424127</v>
      </c>
      <c r="V34" s="383">
        <f t="shared" si="6"/>
        <v>28.984261527599994</v>
      </c>
      <c r="W34" s="402"/>
      <c r="X34" s="157">
        <f t="shared" si="7"/>
        <v>43850</v>
      </c>
      <c r="Y34" s="385">
        <f t="shared" si="8"/>
        <v>11.83</v>
      </c>
      <c r="Z34" s="385">
        <f t="shared" si="9"/>
        <v>11.984129544588287</v>
      </c>
      <c r="AA34" s="386">
        <f t="shared" si="10"/>
        <v>12.344572771912194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2.9198517760292989E-2</v>
      </c>
      <c r="AD34" s="231">
        <f>(INDEX(Models!$BJ34:$BT34,,AH34)*(1-AF34)+INDEX(Models!$BJ34:$BT34,,AH34+1)*AF34-ERP_i)*AE34*Ramure*Pc/MaxiM</f>
        <v>9.0076434576471905E-5</v>
      </c>
      <c r="AE34" s="305">
        <f t="shared" si="12"/>
        <v>0.5</v>
      </c>
      <c r="AF34" s="177">
        <f t="shared" si="21"/>
        <v>0.99821304865758731</v>
      </c>
      <c r="AG34" s="811">
        <f t="shared" si="22"/>
        <v>-2</v>
      </c>
      <c r="AH34" s="176">
        <f t="shared" si="13"/>
        <v>4</v>
      </c>
      <c r="AI34" s="225">
        <f t="shared" si="23"/>
        <v>-1.0017869513424127</v>
      </c>
      <c r="AJ34" s="265" t="b">
        <f t="shared" si="14"/>
        <v>1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7">
        <v>3.4470000000000001</v>
      </c>
      <c r="C35" s="390"/>
      <c r="D35" s="393">
        <f t="shared" si="0"/>
        <v>3.4919864192376324</v>
      </c>
      <c r="E35" s="385">
        <f t="shared" si="17"/>
        <v>3.5971504208184331</v>
      </c>
      <c r="F35" s="385">
        <f t="shared" si="1"/>
        <v>3.5971504208184331</v>
      </c>
      <c r="G35" s="110">
        <f t="shared" si="18"/>
        <v>0.11778898292036648</v>
      </c>
      <c r="H35" s="414" t="b">
        <f>Wh_hp&gt;='2019'!Maxi_hp</f>
        <v>0</v>
      </c>
      <c r="I35" s="380">
        <f>IF(H35,Wh_hp,'2019'!Maxi_hp)</f>
        <v>7.4460389466173407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1.2882758933367766E-2</v>
      </c>
      <c r="M35" s="845"/>
      <c r="N35" s="845"/>
      <c r="O35" s="48">
        <f>IF(t&lt;Tnet,'2019'!Resal+('2019'!Salim-'2019'!Resal)*(1-EXP(('2019'!Tnet-t)/('2019'!Tau_j))),Resal+(Salim-Resal)*(1-EXP((Tnet-t)/(Tau_j))))*Salcycl</f>
        <v>2.9235363906987694E-2</v>
      </c>
      <c r="P35" s="169">
        <f>(INDEX(Models!$BJ35:$BT35,,T35)*(1-R35)+INDEX(Models!$BJ35:$BT35,,T35+1)*R35-ERP_i)*Q35*Ramure*Pc/MaxiM</f>
        <v>8.628736935939826E-5</v>
      </c>
      <c r="Q35" s="305">
        <f t="shared" si="2"/>
        <v>0.5</v>
      </c>
      <c r="R35" s="177">
        <f t="shared" si="3"/>
        <v>0.99827661789482347</v>
      </c>
      <c r="S35" s="811">
        <f t="shared" si="4"/>
        <v>-2</v>
      </c>
      <c r="T35" s="176">
        <f t="shared" si="5"/>
        <v>4</v>
      </c>
      <c r="U35" s="251">
        <f t="shared" si="20"/>
        <v>-1.0017233821051765</v>
      </c>
      <c r="V35" s="383">
        <f t="shared" si="6"/>
        <v>29.26167186423562</v>
      </c>
      <c r="W35" s="402"/>
      <c r="X35" s="157">
        <f t="shared" si="7"/>
        <v>43851</v>
      </c>
      <c r="Y35" s="385">
        <f t="shared" si="8"/>
        <v>3.4470000000000001</v>
      </c>
      <c r="Z35" s="385">
        <f t="shared" si="9"/>
        <v>3.4919864192376324</v>
      </c>
      <c r="AA35" s="386">
        <f t="shared" si="10"/>
        <v>3.5971504208184331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2.9235363906987694E-2</v>
      </c>
      <c r="AD35" s="231">
        <f>(INDEX(Models!$BJ35:$BT35,,AH35)*(1-AF35)+INDEX(Models!$BJ35:$BT35,,AH35+1)*AF35-ERP_i)*AE35*Ramure*Pc/MaxiM</f>
        <v>8.628736935939826E-5</v>
      </c>
      <c r="AE35" s="305">
        <f t="shared" si="12"/>
        <v>0.5</v>
      </c>
      <c r="AF35" s="177">
        <f t="shared" si="21"/>
        <v>0.99827661789482347</v>
      </c>
      <c r="AG35" s="811">
        <f t="shared" si="22"/>
        <v>-2</v>
      </c>
      <c r="AH35" s="176">
        <f t="shared" si="13"/>
        <v>4</v>
      </c>
      <c r="AI35" s="225">
        <f t="shared" si="23"/>
        <v>-1.0017233821051765</v>
      </c>
      <c r="AJ35" s="265" t="b">
        <f t="shared" si="14"/>
        <v>1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7">
        <v>1.2470000000000001</v>
      </c>
      <c r="C36" s="390"/>
      <c r="D36" s="393">
        <f t="shared" si="0"/>
        <v>1.2633021298980547</v>
      </c>
      <c r="E36" s="385">
        <f t="shared" si="17"/>
        <v>1.301396901680248</v>
      </c>
      <c r="F36" s="385">
        <f t="shared" si="1"/>
        <v>1.301396901680248</v>
      </c>
      <c r="G36" s="110">
        <f t="shared" si="18"/>
        <v>4.2205459470827288E-2</v>
      </c>
      <c r="H36" s="414" t="b">
        <f>Wh_hp&gt;='2019'!Maxi_hp</f>
        <v>0</v>
      </c>
      <c r="I36" s="380">
        <f>IF(H36,Wh_hp,'2019'!Maxi_hp)</f>
        <v>11.779971838094793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1.2904379334316651E-2</v>
      </c>
      <c r="M36" s="845"/>
      <c r="N36" s="845"/>
      <c r="O36" s="48">
        <f>IF(t&lt;Tnet,'2019'!Resal+('2019'!Salim-'2019'!Resal)*(1-EXP(('2019'!Tnet-t)/('2019'!Tau_j))),Resal+(Salim-Resal)*(1-EXP((Tnet-t)/(Tau_j))))*Salcycl</f>
        <v>2.9272216441432124E-2</v>
      </c>
      <c r="P36" s="169">
        <f>(INDEX(Models!$BJ36:$BT36,,T36)*(1-R36)+INDEX(Models!$BJ36:$BT36,,T36+1)*R36-ERP_i)*Q36*Ramure*Pc/MaxiM</f>
        <v>8.244760546205112E-5</v>
      </c>
      <c r="Q36" s="305">
        <f t="shared" si="2"/>
        <v>0.5</v>
      </c>
      <c r="R36" s="177">
        <f t="shared" si="3"/>
        <v>0.99834283677360558</v>
      </c>
      <c r="S36" s="811">
        <f t="shared" si="4"/>
        <v>-2</v>
      </c>
      <c r="T36" s="176">
        <f t="shared" si="5"/>
        <v>4</v>
      </c>
      <c r="U36" s="251">
        <f t="shared" si="20"/>
        <v>-1.0016571632263944</v>
      </c>
      <c r="V36" s="383">
        <f t="shared" si="6"/>
        <v>29.543504642991813</v>
      </c>
      <c r="W36" s="402"/>
      <c r="X36" s="157">
        <f t="shared" si="7"/>
        <v>43852</v>
      </c>
      <c r="Y36" s="385">
        <f t="shared" si="8"/>
        <v>1.2470000000000001</v>
      </c>
      <c r="Z36" s="385">
        <f t="shared" si="9"/>
        <v>1.2633021298980547</v>
      </c>
      <c r="AA36" s="386">
        <f t="shared" si="10"/>
        <v>1.301396901680248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2.9272216441432124E-2</v>
      </c>
      <c r="AD36" s="231">
        <f>(INDEX(Models!$BJ36:$BT36,,AH36)*(1-AF36)+INDEX(Models!$BJ36:$BT36,,AH36+1)*AF36-ERP_i)*AE36*Ramure*Pc/MaxiM</f>
        <v>8.244760546205112E-5</v>
      </c>
      <c r="AE36" s="305">
        <f t="shared" si="12"/>
        <v>0.5</v>
      </c>
      <c r="AF36" s="177">
        <f t="shared" si="21"/>
        <v>0.99834283677360558</v>
      </c>
      <c r="AG36" s="811">
        <f t="shared" si="22"/>
        <v>-2</v>
      </c>
      <c r="AH36" s="176">
        <f t="shared" si="13"/>
        <v>4</v>
      </c>
      <c r="AI36" s="225">
        <f t="shared" si="23"/>
        <v>-1.0016571632263944</v>
      </c>
      <c r="AJ36" s="265" t="b">
        <f t="shared" si="14"/>
        <v>1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7">
        <v>12.35</v>
      </c>
      <c r="C37" s="390"/>
      <c r="D37" s="393">
        <f t="shared" si="0"/>
        <v>12.511726568385841</v>
      </c>
      <c r="E37" s="385">
        <f t="shared" si="17"/>
        <v>12.889506092722709</v>
      </c>
      <c r="F37" s="385">
        <f t="shared" si="1"/>
        <v>12.88967096243964</v>
      </c>
      <c r="G37" s="110">
        <f t="shared" si="18"/>
        <v>0.41395322592003864</v>
      </c>
      <c r="H37" s="414" t="b">
        <f>Wh_hp&gt;='2019'!Maxi_hp</f>
        <v>1</v>
      </c>
      <c r="I37" s="380">
        <f>IF(H37,Wh_hp,'2019'!Maxi_hp)</f>
        <v>12.88967096243964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1.2925999261723442E-2</v>
      </c>
      <c r="M37" s="845"/>
      <c r="N37" s="845"/>
      <c r="O37" s="48">
        <f>IF(t&lt;Tnet,'2019'!Resal+('2019'!Salim-'2019'!Resal)*(1-EXP(('2019'!Tnet-t)/('2019'!Tau_j))),Resal+(Salim-Resal)*(1-EXP((Tnet-t)/(Tau_j))))*Salcycl</f>
        <v>2.9309076827246122E-2</v>
      </c>
      <c r="P37" s="169">
        <f>(INDEX(Models!$BJ37:$BT37,,T37)*(1-R37)+INDEX(Models!$BJ37:$BT37,,T37+1)*R37-ERP_i)*Q37*Ramure*Pc/MaxiM</f>
        <v>7.8553715373226346E-5</v>
      </c>
      <c r="Q37" s="305">
        <f t="shared" si="2"/>
        <v>0.5</v>
      </c>
      <c r="R37" s="177">
        <f t="shared" si="3"/>
        <v>0.99841181498438281</v>
      </c>
      <c r="S37" s="811">
        <f t="shared" si="4"/>
        <v>-2</v>
      </c>
      <c r="T37" s="176">
        <f t="shared" si="5"/>
        <v>4</v>
      </c>
      <c r="U37" s="251">
        <f t="shared" si="20"/>
        <v>-1.0015881850156172</v>
      </c>
      <c r="V37" s="383">
        <f t="shared" si="6"/>
        <v>29.832326564557725</v>
      </c>
      <c r="W37" s="402"/>
      <c r="X37" s="157">
        <f t="shared" si="7"/>
        <v>43853</v>
      </c>
      <c r="Y37" s="385">
        <f t="shared" si="8"/>
        <v>12.35</v>
      </c>
      <c r="Z37" s="385">
        <f t="shared" si="9"/>
        <v>12.511726568385841</v>
      </c>
      <c r="AA37" s="386">
        <f t="shared" si="10"/>
        <v>12.889506092722709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2.9309076827246122E-2</v>
      </c>
      <c r="AD37" s="231">
        <f>(INDEX(Models!$BJ37:$BT37,,AH37)*(1-AF37)+INDEX(Models!$BJ37:$BT37,,AH37+1)*AF37-ERP_i)*AE37*Ramure*Pc/MaxiM</f>
        <v>7.8553715373226346E-5</v>
      </c>
      <c r="AE37" s="305">
        <f t="shared" si="12"/>
        <v>0.5</v>
      </c>
      <c r="AF37" s="177">
        <f t="shared" si="21"/>
        <v>0.99841181498438281</v>
      </c>
      <c r="AG37" s="811">
        <f t="shared" si="22"/>
        <v>-2</v>
      </c>
      <c r="AH37" s="176">
        <f t="shared" si="13"/>
        <v>4</v>
      </c>
      <c r="AI37" s="225">
        <f t="shared" si="23"/>
        <v>-1.0015881850156172</v>
      </c>
      <c r="AJ37" s="265" t="b">
        <f t="shared" si="14"/>
        <v>1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7">
        <v>15.772</v>
      </c>
      <c r="C38" s="390"/>
      <c r="D38" s="393">
        <f t="shared" si="0"/>
        <v>15.978888556528974</v>
      </c>
      <c r="E38" s="385">
        <f t="shared" si="17"/>
        <v>16.461980967592652</v>
      </c>
      <c r="F38" s="385">
        <f t="shared" si="1"/>
        <v>16.462373506542814</v>
      </c>
      <c r="G38" s="110">
        <f t="shared" si="18"/>
        <v>0.52343548540821705</v>
      </c>
      <c r="H38" s="414" t="b">
        <f>Wh_hp&gt;='2019'!Maxi_hp</f>
        <v>1</v>
      </c>
      <c r="I38" s="380">
        <f>IF(H38,Wh_hp,'2019'!Maxi_hp)</f>
        <v>16.462373506542814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1.2947618715598241E-2</v>
      </c>
      <c r="M38" s="845"/>
      <c r="N38" s="845"/>
      <c r="O38" s="48">
        <f>IF(t&lt;Tnet,'2019'!Resal+('2019'!Salim-'2019'!Resal)*(1-EXP(('2019'!Tnet-t)/('2019'!Tau_j))),Resal+(Salim-Resal)*(1-EXP((Tnet-t)/(Tau_j))))*Salcycl</f>
        <v>2.934594639701639E-2</v>
      </c>
      <c r="P38" s="169">
        <f>(INDEX(Models!$BJ38:$BT38,,T38)*(1-R38)+INDEX(Models!$BJ38:$BT38,,T38+1)*R38-ERP_i)*Q38*Ramure*Pc/MaxiM</f>
        <v>7.4693784239043224E-5</v>
      </c>
      <c r="Q38" s="305">
        <f t="shared" si="2"/>
        <v>0.5</v>
      </c>
      <c r="R38" s="177">
        <f t="shared" si="3"/>
        <v>0.99848366669461219</v>
      </c>
      <c r="S38" s="811">
        <f t="shared" si="4"/>
        <v>-2</v>
      </c>
      <c r="T38" s="176">
        <f t="shared" si="5"/>
        <v>4</v>
      </c>
      <c r="U38" s="251">
        <f t="shared" si="20"/>
        <v>-1.0015163333053878</v>
      </c>
      <c r="V38" s="383">
        <f t="shared" si="6"/>
        <v>30.13016585123512</v>
      </c>
      <c r="W38" s="402"/>
      <c r="X38" s="157">
        <f t="shared" si="7"/>
        <v>43854</v>
      </c>
      <c r="Y38" s="385">
        <f t="shared" si="8"/>
        <v>15.772</v>
      </c>
      <c r="Z38" s="385">
        <f t="shared" si="9"/>
        <v>15.978888556528974</v>
      </c>
      <c r="AA38" s="386">
        <f t="shared" si="10"/>
        <v>16.461980967592652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2.934594639701639E-2</v>
      </c>
      <c r="AD38" s="231">
        <f>(INDEX(Models!$BJ38:$BT38,,AH38)*(1-AF38)+INDEX(Models!$BJ38:$BT38,,AH38+1)*AF38-ERP_i)*AE38*Ramure*Pc/MaxiM</f>
        <v>7.4693784239043224E-5</v>
      </c>
      <c r="AE38" s="305">
        <f t="shared" si="12"/>
        <v>0.5</v>
      </c>
      <c r="AF38" s="177">
        <f t="shared" si="21"/>
        <v>0.99848366669461219</v>
      </c>
      <c r="AG38" s="811">
        <f t="shared" si="22"/>
        <v>-2</v>
      </c>
      <c r="AH38" s="176">
        <f t="shared" si="13"/>
        <v>4</v>
      </c>
      <c r="AI38" s="225">
        <f t="shared" si="23"/>
        <v>-1.0015163333053878</v>
      </c>
      <c r="AJ38" s="265" t="b">
        <f t="shared" si="14"/>
        <v>1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7">
        <v>15.946999999999999</v>
      </c>
      <c r="C39" s="390"/>
      <c r="D39" s="393">
        <f t="shared" si="0"/>
        <v>16.156537981424766</v>
      </c>
      <c r="E39" s="385">
        <f t="shared" si="17"/>
        <v>16.645633746624714</v>
      </c>
      <c r="F39" s="385">
        <f t="shared" si="1"/>
        <v>16.646012067058376</v>
      </c>
      <c r="G39" s="110">
        <f t="shared" si="18"/>
        <v>0.52392680560233207</v>
      </c>
      <c r="H39" s="414" t="b">
        <f>Wh_hp&gt;='2019'!Maxi_hp</f>
        <v>1</v>
      </c>
      <c r="I39" s="380">
        <f>IF(H39,Wh_hp,'2019'!Maxi_hp)</f>
        <v>16.646012067058376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1.2969237695951485E-2</v>
      </c>
      <c r="M39" s="845"/>
      <c r="N39" s="845"/>
      <c r="O39" s="48">
        <f>IF(t&lt;Tnet,'2019'!Resal+('2019'!Salim-'2019'!Resal)*(1-EXP(('2019'!Tnet-t)/('2019'!Tau_j))),Resal+(Salim-Resal)*(1-EXP((Tnet-t)/(Tau_j))))*Salcycl</f>
        <v>2.9382826310180139E-2</v>
      </c>
      <c r="P39" s="169">
        <f>(INDEX(Models!$BJ39:$BT39,,T39)*(1-R39)+INDEX(Models!$BJ39:$BT39,,T39+1)*R39-ERP_i)*Q39*Ramure*Pc/MaxiM</f>
        <v>7.1038283353640485E-5</v>
      </c>
      <c r="Q39" s="305">
        <f t="shared" si="2"/>
        <v>0.5</v>
      </c>
      <c r="R39" s="177">
        <f t="shared" si="3"/>
        <v>0.99855851072602042</v>
      </c>
      <c r="S39" s="811">
        <f t="shared" si="4"/>
        <v>-2</v>
      </c>
      <c r="T39" s="176">
        <f t="shared" si="5"/>
        <v>4</v>
      </c>
      <c r="U39" s="251">
        <f t="shared" si="20"/>
        <v>-1.0014414892739796</v>
      </c>
      <c r="V39" s="383">
        <f t="shared" si="6"/>
        <v>30.435987237502811</v>
      </c>
      <c r="W39" s="402"/>
      <c r="X39" s="157">
        <f t="shared" si="7"/>
        <v>43855</v>
      </c>
      <c r="Y39" s="385">
        <f t="shared" si="8"/>
        <v>15.946999999999999</v>
      </c>
      <c r="Z39" s="385">
        <f t="shared" si="9"/>
        <v>16.156537981424766</v>
      </c>
      <c r="AA39" s="386">
        <f t="shared" si="10"/>
        <v>16.645633746624714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2.9382826310180139E-2</v>
      </c>
      <c r="AD39" s="231">
        <f>(INDEX(Models!$BJ39:$BT39,,AH39)*(1-AF39)+INDEX(Models!$BJ39:$BT39,,AH39+1)*AF39-ERP_i)*AE39*Ramure*Pc/MaxiM</f>
        <v>7.1038283353640485E-5</v>
      </c>
      <c r="AE39" s="305">
        <f t="shared" si="12"/>
        <v>0.5</v>
      </c>
      <c r="AF39" s="177">
        <f t="shared" si="21"/>
        <v>0.99855851072602042</v>
      </c>
      <c r="AG39" s="811">
        <f t="shared" si="22"/>
        <v>-2</v>
      </c>
      <c r="AH39" s="176">
        <f t="shared" si="13"/>
        <v>4</v>
      </c>
      <c r="AI39" s="225">
        <f t="shared" si="23"/>
        <v>-1.0014414892739796</v>
      </c>
      <c r="AJ39" s="265" t="b">
        <f t="shared" si="14"/>
        <v>1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7">
        <v>7.0510000000000002</v>
      </c>
      <c r="C40" s="390"/>
      <c r="D40" s="393">
        <f t="shared" si="0"/>
        <v>7.1438041322226269</v>
      </c>
      <c r="E40" s="385">
        <f t="shared" si="17"/>
        <v>7.3603433545301238</v>
      </c>
      <c r="F40" s="385">
        <f t="shared" si="1"/>
        <v>7.3603433545301238</v>
      </c>
      <c r="G40" s="110">
        <f t="shared" si="18"/>
        <v>0.22929455619754616</v>
      </c>
      <c r="H40" s="414" t="b">
        <f>Wh_hp&gt;='2019'!Maxi_hp</f>
        <v>0</v>
      </c>
      <c r="I40" s="380">
        <f>IF(H40,Wh_hp,'2019'!Maxi_hp)</f>
        <v>16.177271270949088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1.299085620279361E-2</v>
      </c>
      <c r="M40" s="845"/>
      <c r="N40" s="845"/>
      <c r="O40" s="48">
        <f>IF(t&lt;Tnet,'2019'!Resal+('2019'!Salim-'2019'!Resal)*(1-EXP(('2019'!Tnet-t)/('2019'!Tau_j))),Resal+(Salim-Resal)*(1-EXP((Tnet-t)/(Tau_j))))*Salcycl</f>
        <v>2.9419717515518126E-2</v>
      </c>
      <c r="P40" s="169">
        <f>(INDEX(Models!$BJ40:$BT40,,T40)*(1-R40)+INDEX(Models!$BJ40:$BT40,,T40+1)*R40-ERP_i)*Q40*Ramure*Pc/MaxiM</f>
        <v>6.7586316893237223E-5</v>
      </c>
      <c r="Q40" s="305">
        <f t="shared" si="2"/>
        <v>0.5</v>
      </c>
      <c r="R40" s="177">
        <f t="shared" si="3"/>
        <v>0.99863647073841322</v>
      </c>
      <c r="S40" s="811">
        <f t="shared" si="4"/>
        <v>-2</v>
      </c>
      <c r="T40" s="176">
        <f t="shared" si="5"/>
        <v>4</v>
      </c>
      <c r="U40" s="251">
        <f t="shared" si="20"/>
        <v>-1.0013635292615868</v>
      </c>
      <c r="V40" s="383">
        <f t="shared" si="6"/>
        <v>30.748760746004304</v>
      </c>
      <c r="W40" s="402"/>
      <c r="X40" s="157">
        <f t="shared" si="7"/>
        <v>43856</v>
      </c>
      <c r="Y40" s="385">
        <f t="shared" si="8"/>
        <v>7.0510000000000002</v>
      </c>
      <c r="Z40" s="385">
        <f t="shared" si="9"/>
        <v>7.1438041322226269</v>
      </c>
      <c r="AA40" s="386">
        <f t="shared" si="10"/>
        <v>7.3603433545301238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2.9419717515518126E-2</v>
      </c>
      <c r="AD40" s="231">
        <f>(INDEX(Models!$BJ40:$BT40,,AH40)*(1-AF40)+INDEX(Models!$BJ40:$BT40,,AH40+1)*AF40-ERP_i)*AE40*Ramure*Pc/MaxiM</f>
        <v>6.7586316893237223E-5</v>
      </c>
      <c r="AE40" s="305">
        <f t="shared" si="12"/>
        <v>0.5</v>
      </c>
      <c r="AF40" s="177">
        <f t="shared" si="21"/>
        <v>0.99863647073841322</v>
      </c>
      <c r="AG40" s="811">
        <f t="shared" si="22"/>
        <v>-2</v>
      </c>
      <c r="AH40" s="176">
        <f t="shared" si="13"/>
        <v>4</v>
      </c>
      <c r="AI40" s="225">
        <f t="shared" si="23"/>
        <v>-1.0013635292615868</v>
      </c>
      <c r="AJ40" s="265" t="b">
        <f t="shared" si="14"/>
        <v>1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7">
        <v>11.132</v>
      </c>
      <c r="C41" s="390"/>
      <c r="D41" s="393">
        <f t="shared" si="0"/>
        <v>11.278764634218193</v>
      </c>
      <c r="E41" s="385">
        <f t="shared" si="17"/>
        <v>11.621082452356536</v>
      </c>
      <c r="F41" s="385">
        <f t="shared" si="1"/>
        <v>11.621144740063851</v>
      </c>
      <c r="G41" s="110">
        <f t="shared" si="18"/>
        <v>0.35829593627643441</v>
      </c>
      <c r="H41" s="414" t="b">
        <f>Wh_hp&gt;='2019'!Maxi_hp</f>
        <v>0</v>
      </c>
      <c r="I41" s="380">
        <f>IF(H41,Wh_hp,'2019'!Maxi_hp)</f>
        <v>14.984407964187147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1.3012474236134941E-2</v>
      </c>
      <c r="M41" s="845"/>
      <c r="N41" s="845"/>
      <c r="O41" s="48">
        <f>IF(t&lt;Tnet,'2019'!Resal+('2019'!Salim-'2019'!Resal)*(1-EXP(('2019'!Tnet-t)/('2019'!Tau_j))),Resal+(Salim-Resal)*(1-EXP((Tnet-t)/(Tau_j))))*Salcycl</f>
        <v>2.9456620718573995E-2</v>
      </c>
      <c r="P41" s="169">
        <f>(INDEX(Models!$BJ41:$BT41,,T41)*(1-R41)+INDEX(Models!$BJ41:$BT41,,T41+1)*R41-ERP_i)*Q41*Ramure*Pc/MaxiM</f>
        <v>6.4336256867765965E-5</v>
      </c>
      <c r="Q41" s="305">
        <f t="shared" si="2"/>
        <v>0.5</v>
      </c>
      <c r="R41" s="177">
        <f t="shared" si="3"/>
        <v>0.99871767542023493</v>
      </c>
      <c r="S41" s="811">
        <f t="shared" si="4"/>
        <v>-2</v>
      </c>
      <c r="T41" s="176">
        <f t="shared" si="5"/>
        <v>4</v>
      </c>
      <c r="U41" s="251">
        <f t="shared" si="20"/>
        <v>-1.0012823245797651</v>
      </c>
      <c r="V41" s="383">
        <f t="shared" si="6"/>
        <v>31.0674566586253</v>
      </c>
      <c r="W41" s="402"/>
      <c r="X41" s="157">
        <f t="shared" si="7"/>
        <v>43857</v>
      </c>
      <c r="Y41" s="385">
        <f t="shared" si="8"/>
        <v>11.132</v>
      </c>
      <c r="Z41" s="385">
        <f t="shared" si="9"/>
        <v>11.278764634218193</v>
      </c>
      <c r="AA41" s="386">
        <f t="shared" si="10"/>
        <v>11.621082452356536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2.9456620718573995E-2</v>
      </c>
      <c r="AD41" s="231">
        <f>(INDEX(Models!$BJ41:$BT41,,AH41)*(1-AF41)+INDEX(Models!$BJ41:$BT41,,AH41+1)*AF41-ERP_i)*AE41*Ramure*Pc/MaxiM</f>
        <v>6.4336256867765965E-5</v>
      </c>
      <c r="AE41" s="305">
        <f t="shared" si="12"/>
        <v>0.5</v>
      </c>
      <c r="AF41" s="177">
        <f t="shared" si="21"/>
        <v>0.99871767542023493</v>
      </c>
      <c r="AG41" s="811">
        <f t="shared" si="22"/>
        <v>-2</v>
      </c>
      <c r="AH41" s="176">
        <f t="shared" si="13"/>
        <v>4</v>
      </c>
      <c r="AI41" s="225">
        <f t="shared" si="23"/>
        <v>-1.0012823245797651</v>
      </c>
      <c r="AJ41" s="265" t="b">
        <f t="shared" si="14"/>
        <v>1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7">
        <v>16.882000000000001</v>
      </c>
      <c r="C42" s="390"/>
      <c r="D42" s="393">
        <f t="shared" si="0"/>
        <v>17.104947455297868</v>
      </c>
      <c r="E42" s="385">
        <f t="shared" si="17"/>
        <v>17.624764075287608</v>
      </c>
      <c r="F42" s="385">
        <f t="shared" si="1"/>
        <v>17.625131019742916</v>
      </c>
      <c r="G42" s="110">
        <f t="shared" si="18"/>
        <v>0.53777491509292719</v>
      </c>
      <c r="H42" s="414" t="b">
        <f>Wh_hp&gt;='2019'!Maxi_hp</f>
        <v>1</v>
      </c>
      <c r="I42" s="380">
        <f>IF(H42,Wh_hp,'2019'!Maxi_hp)</f>
        <v>17.625131019742916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1.3034091795985914E-2</v>
      </c>
      <c r="M42" s="845"/>
      <c r="N42" s="845"/>
      <c r="O42" s="48">
        <f>IF(t&lt;Tnet,'2019'!Resal+('2019'!Salim-'2019'!Resal)*(1-EXP(('2019'!Tnet-t)/('2019'!Tau_j))),Resal+(Salim-Resal)*(1-EXP((Tnet-t)/(Tau_j))))*Salcycl</f>
        <v>2.9493536354259432E-2</v>
      </c>
      <c r="P42" s="169">
        <f>(INDEX(Models!$BJ42:$BT42,,T42)*(1-R42)+INDEX(Models!$BJ42:$BT42,,T42+1)*R42-ERP_i)*Q42*Ramure*Pc/MaxiM</f>
        <v>6.1285852535576877E-5</v>
      </c>
      <c r="Q42" s="305">
        <f t="shared" si="2"/>
        <v>0.5</v>
      </c>
      <c r="R42" s="177">
        <f t="shared" si="3"/>
        <v>0.99880225868608097</v>
      </c>
      <c r="S42" s="811">
        <f t="shared" si="4"/>
        <v>-2</v>
      </c>
      <c r="T42" s="176">
        <f t="shared" si="5"/>
        <v>4</v>
      </c>
      <c r="U42" s="251">
        <f t="shared" si="20"/>
        <v>-1.001197741313919</v>
      </c>
      <c r="V42" s="383">
        <f t="shared" si="6"/>
        <v>31.39104550464004</v>
      </c>
      <c r="W42" s="402"/>
      <c r="X42" s="157">
        <f t="shared" si="7"/>
        <v>43858</v>
      </c>
      <c r="Y42" s="385">
        <f t="shared" si="8"/>
        <v>16.882000000000001</v>
      </c>
      <c r="Z42" s="385">
        <f t="shared" si="9"/>
        <v>17.104947455297868</v>
      </c>
      <c r="AA42" s="386">
        <f t="shared" si="10"/>
        <v>17.624764075287608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2.9493536354259432E-2</v>
      </c>
      <c r="AD42" s="231">
        <f>(INDEX(Models!$BJ42:$BT42,,AH42)*(1-AF42)+INDEX(Models!$BJ42:$BT42,,AH42+1)*AF42-ERP_i)*AE42*Ramure*Pc/MaxiM</f>
        <v>6.1285852535576877E-5</v>
      </c>
      <c r="AE42" s="305">
        <f t="shared" si="12"/>
        <v>0.5</v>
      </c>
      <c r="AF42" s="177">
        <f t="shared" si="21"/>
        <v>0.99880225868608097</v>
      </c>
      <c r="AG42" s="811">
        <f t="shared" si="22"/>
        <v>-2</v>
      </c>
      <c r="AH42" s="176">
        <f t="shared" si="13"/>
        <v>4</v>
      </c>
      <c r="AI42" s="225">
        <f t="shared" si="23"/>
        <v>-1.001197741313919</v>
      </c>
      <c r="AJ42" s="265" t="b">
        <f t="shared" si="14"/>
        <v>1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7">
        <v>19.495999999999999</v>
      </c>
      <c r="C43" s="390"/>
      <c r="D43" s="393">
        <f t="shared" si="0"/>
        <v>19.753901183137891</v>
      </c>
      <c r="E43" s="385">
        <f t="shared" si="17"/>
        <v>20.354993600371316</v>
      </c>
      <c r="F43" s="385">
        <f t="shared" si="1"/>
        <v>20.355528257182332</v>
      </c>
      <c r="G43" s="110">
        <f t="shared" si="18"/>
        <v>0.61463732680763139</v>
      </c>
      <c r="H43" s="414" t="b">
        <f>Wh_hp&gt;='2019'!Maxi_hp</f>
        <v>1</v>
      </c>
      <c r="I43" s="380">
        <f>IF(H43,Wh_hp,'2019'!Maxi_hp)</f>
        <v>20.355528257182332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1.3055708882356853E-2</v>
      </c>
      <c r="M43" s="845"/>
      <c r="N43" s="845"/>
      <c r="O43" s="48">
        <f>IF(t&lt;Tnet,'2019'!Resal+('2019'!Salim-'2019'!Resal)*(1-EXP(('2019'!Tnet-t)/('2019'!Tau_j))),Resal+(Salim-Resal)*(1-EXP((Tnet-t)/(Tau_j))))*Salcycl</f>
        <v>2.9530464564845607E-2</v>
      </c>
      <c r="P43" s="169">
        <f>(INDEX(Models!$BJ43:$BT43,,T43)*(1-R43)+INDEX(Models!$BJ43:$BT43,,T43+1)*R43-ERP_i)*Q43*Ramure*Pc/MaxiM</f>
        <v>5.8432333789770318E-5</v>
      </c>
      <c r="Q43" s="305">
        <f t="shared" si="2"/>
        <v>0.5</v>
      </c>
      <c r="R43" s="177">
        <f t="shared" si="3"/>
        <v>0.9988903598813661</v>
      </c>
      <c r="S43" s="811">
        <f t="shared" si="4"/>
        <v>-2</v>
      </c>
      <c r="T43" s="176">
        <f t="shared" si="5"/>
        <v>4</v>
      </c>
      <c r="U43" s="251">
        <f t="shared" si="20"/>
        <v>-1.0011096401186339</v>
      </c>
      <c r="V43" s="383">
        <f t="shared" si="6"/>
        <v>31.718498075133603</v>
      </c>
      <c r="W43" s="402"/>
      <c r="X43" s="157">
        <f t="shared" si="7"/>
        <v>43859</v>
      </c>
      <c r="Y43" s="385">
        <f t="shared" si="8"/>
        <v>19.495999999999999</v>
      </c>
      <c r="Z43" s="385">
        <f t="shared" si="9"/>
        <v>19.753901183137891</v>
      </c>
      <c r="AA43" s="386">
        <f t="shared" si="10"/>
        <v>20.354993600371316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2.9530464564845607E-2</v>
      </c>
      <c r="AD43" s="231">
        <f>(INDEX(Models!$BJ43:$BT43,,AH43)*(1-AF43)+INDEX(Models!$BJ43:$BT43,,AH43+1)*AF43-ERP_i)*AE43*Ramure*Pc/MaxiM</f>
        <v>5.8432333789770318E-5</v>
      </c>
      <c r="AE43" s="305">
        <f t="shared" si="12"/>
        <v>0.5</v>
      </c>
      <c r="AF43" s="177">
        <f t="shared" si="21"/>
        <v>0.9988903598813661</v>
      </c>
      <c r="AG43" s="811">
        <f t="shared" si="22"/>
        <v>-2</v>
      </c>
      <c r="AH43" s="176">
        <f t="shared" si="13"/>
        <v>4</v>
      </c>
      <c r="AI43" s="225">
        <f t="shared" si="23"/>
        <v>-1.0011096401186339</v>
      </c>
      <c r="AJ43" s="265" t="b">
        <f t="shared" si="14"/>
        <v>1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7">
        <v>11.753</v>
      </c>
      <c r="C44" s="390"/>
      <c r="D44" s="393">
        <f t="shared" si="0"/>
        <v>11.90873439593218</v>
      </c>
      <c r="E44" s="385">
        <f t="shared" si="17"/>
        <v>12.271572966058278</v>
      </c>
      <c r="F44" s="385">
        <f t="shared" si="1"/>
        <v>12.271638358981564</v>
      </c>
      <c r="G44" s="110">
        <f t="shared" si="18"/>
        <v>0.36670366691932116</v>
      </c>
      <c r="H44" s="414" t="b">
        <f>Wh_hp&gt;='2019'!Maxi_hp</f>
        <v>1</v>
      </c>
      <c r="I44" s="380">
        <f>IF(H44,Wh_hp,'2019'!Maxi_hp)</f>
        <v>12.271638358981564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1.3077325495258085E-2</v>
      </c>
      <c r="M44" s="845"/>
      <c r="N44" s="845"/>
      <c r="O44" s="48">
        <f>IF(t&lt;Tnet,'2019'!Resal+('2019'!Salim-'2019'!Resal)*(1-EXP(('2019'!Tnet-t)/('2019'!Tau_j))),Resal+(Salim-Resal)*(1-EXP((Tnet-t)/(Tau_j))))*Salcycl</f>
        <v>2.9567405183481148E-2</v>
      </c>
      <c r="P44" s="169">
        <f>(INDEX(Models!$BJ44:$BT44,,T44)*(1-R44)+INDEX(Models!$BJ44:$BT44,,T44+1)*R44-ERP_i)*Q44*Ramure*Pc/MaxiM</f>
        <v>5.5905661519487003E-5</v>
      </c>
      <c r="Q44" s="305">
        <f t="shared" si="2"/>
        <v>0.5</v>
      </c>
      <c r="R44" s="177">
        <f t="shared" si="3"/>
        <v>0.99898212399435971</v>
      </c>
      <c r="S44" s="811">
        <f t="shared" si="4"/>
        <v>-2</v>
      </c>
      <c r="T44" s="176">
        <f t="shared" si="5"/>
        <v>4</v>
      </c>
      <c r="U44" s="251">
        <f t="shared" si="20"/>
        <v>-1.0010178760056403</v>
      </c>
      <c r="V44" s="383">
        <f t="shared" si="6"/>
        <v>32.048781146737632</v>
      </c>
      <c r="W44" s="402"/>
      <c r="X44" s="157">
        <f t="shared" si="7"/>
        <v>43860</v>
      </c>
      <c r="Y44" s="385">
        <f t="shared" si="8"/>
        <v>11.753</v>
      </c>
      <c r="Z44" s="385">
        <f t="shared" si="9"/>
        <v>11.90873439593218</v>
      </c>
      <c r="AA44" s="386">
        <f t="shared" si="10"/>
        <v>12.271572966058278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2.9567405183481148E-2</v>
      </c>
      <c r="AD44" s="231">
        <f>(INDEX(Models!$BJ44:$BT44,,AH44)*(1-AF44)+INDEX(Models!$BJ44:$BT44,,AH44+1)*AF44-ERP_i)*AE44*Ramure*Pc/MaxiM</f>
        <v>5.5905661519487003E-5</v>
      </c>
      <c r="AE44" s="305">
        <f t="shared" si="12"/>
        <v>0.5</v>
      </c>
      <c r="AF44" s="177">
        <f t="shared" si="21"/>
        <v>0.99898212399435971</v>
      </c>
      <c r="AG44" s="811">
        <f t="shared" si="22"/>
        <v>-2</v>
      </c>
      <c r="AH44" s="176">
        <f t="shared" si="13"/>
        <v>4</v>
      </c>
      <c r="AI44" s="225">
        <f t="shared" si="23"/>
        <v>-1.0010178760056403</v>
      </c>
      <c r="AJ44" s="265" t="b">
        <f t="shared" si="14"/>
        <v>1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7">
        <v>22.587</v>
      </c>
      <c r="C45" s="390"/>
      <c r="D45" s="393">
        <f t="shared" si="0"/>
        <v>22.886792762602809</v>
      </c>
      <c r="E45" s="385">
        <f t="shared" si="17"/>
        <v>23.585011891548898</v>
      </c>
      <c r="F45" s="385">
        <f t="shared" si="1"/>
        <v>23.585730416186674</v>
      </c>
      <c r="G45" s="110">
        <f t="shared" si="18"/>
        <v>0.69752535916267744</v>
      </c>
      <c r="H45" s="414" t="b">
        <f>Wh_hp&gt;='2019'!Maxi_hp</f>
        <v>1</v>
      </c>
      <c r="I45" s="380">
        <f>IF(H45,Wh_hp,'2019'!Maxi_hp)</f>
        <v>23.585730416186674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1.3098941634700045E-2</v>
      </c>
      <c r="M45" s="845"/>
      <c r="N45" s="845"/>
      <c r="O45" s="48">
        <f>IF(t&lt;Tnet,'2019'!Resal+('2019'!Salim-'2019'!Resal)*(1-EXP(('2019'!Tnet-t)/('2019'!Tau_j))),Resal+(Salim-Resal)*(1-EXP((Tnet-t)/(Tau_j))))*Salcycl</f>
        <v>2.9604357723316561E-2</v>
      </c>
      <c r="P45" s="169">
        <f>(INDEX(Models!$BJ45:$BT45,,T45)*(1-R45)+INDEX(Models!$BJ45:$BT45,,T45+1)*R45-ERP_i)*Q45*Ramure*Pc/MaxiM</f>
        <v>5.3642359494413356E-5</v>
      </c>
      <c r="Q45" s="305">
        <f t="shared" si="2"/>
        <v>0.5</v>
      </c>
      <c r="R45" s="177">
        <f t="shared" si="3"/>
        <v>0.9990777018757897</v>
      </c>
      <c r="S45" s="811">
        <f t="shared" si="4"/>
        <v>-2</v>
      </c>
      <c r="T45" s="176">
        <f t="shared" si="5"/>
        <v>4</v>
      </c>
      <c r="U45" s="251">
        <f t="shared" si="20"/>
        <v>-1.0009222981242103</v>
      </c>
      <c r="V45" s="383">
        <f t="shared" si="6"/>
        <v>32.380867829845855</v>
      </c>
      <c r="W45" s="402"/>
      <c r="X45" s="157">
        <f t="shared" si="7"/>
        <v>43861</v>
      </c>
      <c r="Y45" s="385">
        <f t="shared" si="8"/>
        <v>22.587</v>
      </c>
      <c r="Z45" s="385">
        <f t="shared" si="9"/>
        <v>22.886792762602809</v>
      </c>
      <c r="AA45" s="386">
        <f t="shared" si="10"/>
        <v>23.585011891548898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2.9604357723316561E-2</v>
      </c>
      <c r="AD45" s="231">
        <f>(INDEX(Models!$BJ45:$BT45,,AH45)*(1-AF45)+INDEX(Models!$BJ45:$BT45,,AH45+1)*AF45-ERP_i)*AE45*Ramure*Pc/MaxiM</f>
        <v>5.3642359494413356E-5</v>
      </c>
      <c r="AE45" s="305">
        <f t="shared" si="12"/>
        <v>0.5</v>
      </c>
      <c r="AF45" s="177">
        <f t="shared" si="21"/>
        <v>0.9990777018757897</v>
      </c>
      <c r="AG45" s="811">
        <f t="shared" si="22"/>
        <v>-2</v>
      </c>
      <c r="AH45" s="176">
        <f t="shared" si="13"/>
        <v>4</v>
      </c>
      <c r="AI45" s="225">
        <f t="shared" si="23"/>
        <v>-1.0009222981242103</v>
      </c>
      <c r="AJ45" s="265" t="b">
        <f t="shared" si="14"/>
        <v>1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7">
        <v>14.204000000000001</v>
      </c>
      <c r="C46" s="390"/>
      <c r="D46" s="393">
        <f t="shared" si="0"/>
        <v>14.392842109619084</v>
      </c>
      <c r="E46" s="385">
        <f t="shared" si="17"/>
        <v>14.832496917503798</v>
      </c>
      <c r="F46" s="385">
        <f t="shared" si="1"/>
        <v>14.832643742287818</v>
      </c>
      <c r="G46" s="110">
        <f t="shared" si="18"/>
        <v>0.4341726635370276</v>
      </c>
      <c r="H46" s="414" t="b">
        <f>Wh_hp&gt;='2019'!Maxi_hp</f>
        <v>0</v>
      </c>
      <c r="I46" s="380">
        <f>IF(H46,Wh_hp,'2019'!Maxi_hp)</f>
        <v>27.944973498874095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1.3120557300692948E-2</v>
      </c>
      <c r="M46" s="845"/>
      <c r="N46" s="845"/>
      <c r="O46" s="48">
        <f>IF(t&lt;Tnet,'2019'!Resal+('2019'!Salim-'2019'!Resal)*(1-EXP(('2019'!Tnet-t)/('2019'!Tau_j))),Resal+(Salim-Resal)*(1-EXP((Tnet-t)/(Tau_j))))*Salcycl</f>
        <v>2.9641321372255131E-2</v>
      </c>
      <c r="P46" s="169">
        <f>(INDEX(Models!$BJ46:$BT46,,T46)*(1-R46)+INDEX(Models!$BJ46:$BT46,,T46+1)*R46-ERP_i)*Q46*Ramure*Pc/MaxiM</f>
        <v>5.1636422874594985E-5</v>
      </c>
      <c r="Q46" s="305">
        <f t="shared" si="2"/>
        <v>0.5</v>
      </c>
      <c r="R46" s="177">
        <f t="shared" si="3"/>
        <v>0.99917725046623018</v>
      </c>
      <c r="S46" s="811">
        <f t="shared" si="4"/>
        <v>-2</v>
      </c>
      <c r="T46" s="176">
        <f t="shared" si="5"/>
        <v>4</v>
      </c>
      <c r="U46" s="251">
        <f t="shared" si="20"/>
        <v>-1.0008227495337698</v>
      </c>
      <c r="V46" s="383">
        <f t="shared" si="6"/>
        <v>32.713729686853178</v>
      </c>
      <c r="W46" s="402"/>
      <c r="X46" s="157">
        <f t="shared" si="7"/>
        <v>43862</v>
      </c>
      <c r="Y46" s="385">
        <f t="shared" si="8"/>
        <v>14.204000000000001</v>
      </c>
      <c r="Z46" s="385">
        <f t="shared" si="9"/>
        <v>14.392842109619084</v>
      </c>
      <c r="AA46" s="386">
        <f t="shared" si="10"/>
        <v>14.832496917503798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2.9641321372255131E-2</v>
      </c>
      <c r="AD46" s="231">
        <f>(INDEX(Models!$BJ46:$BT46,,AH46)*(1-AF46)+INDEX(Models!$BJ46:$BT46,,AH46+1)*AF46-ERP_i)*AE46*Ramure*Pc/MaxiM</f>
        <v>5.1636422874594985E-5</v>
      </c>
      <c r="AE46" s="305">
        <f t="shared" si="12"/>
        <v>0.5</v>
      </c>
      <c r="AF46" s="177">
        <f t="shared" si="21"/>
        <v>0.99917725046623018</v>
      </c>
      <c r="AG46" s="811">
        <f t="shared" si="22"/>
        <v>-2</v>
      </c>
      <c r="AH46" s="176">
        <f t="shared" si="13"/>
        <v>4</v>
      </c>
      <c r="AI46" s="225">
        <f t="shared" si="23"/>
        <v>-1.0008227495337698</v>
      </c>
      <c r="AJ46" s="265" t="b">
        <f t="shared" si="14"/>
        <v>1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7">
        <v>28.286000000000001</v>
      </c>
      <c r="C47" s="390"/>
      <c r="D47" s="393">
        <f t="shared" si="0"/>
        <v>28.662690016314894</v>
      </c>
      <c r="E47" s="385">
        <f t="shared" si="17"/>
        <v>29.539368096601233</v>
      </c>
      <c r="F47" s="385">
        <f t="shared" si="1"/>
        <v>29.540538398179784</v>
      </c>
      <c r="G47" s="110">
        <f t="shared" si="18"/>
        <v>0.85594080571244624</v>
      </c>
      <c r="H47" s="414" t="b">
        <f>Wh_hp&gt;='2019'!Maxi_hp</f>
        <v>1</v>
      </c>
      <c r="I47" s="380">
        <f>IF(H47,Wh_hp,'2019'!Maxi_hp)</f>
        <v>29.540538398179784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1.314217249324745E-2</v>
      </c>
      <c r="M47" s="845"/>
      <c r="N47" s="845"/>
      <c r="O47" s="48">
        <f>IF(t&lt;Tnet,'2019'!Resal+('2019'!Salim-'2019'!Resal)*(1-EXP(('2019'!Tnet-t)/('2019'!Tau_j))),Resal+(Salim-Resal)*(1-EXP((Tnet-t)/(Tau_j))))*Salcycl</f>
        <v>2.9678294993290985E-2</v>
      </c>
      <c r="P47" s="169">
        <f>(INDEX(Models!$BJ47:$BT47,,T47)*(1-R47)+INDEX(Models!$BJ47:$BT47,,T47+1)*R47-ERP_i)*Q47*Ramure*Pc/MaxiM</f>
        <v>4.9881787546798757E-5</v>
      </c>
      <c r="Q47" s="305">
        <f t="shared" si="2"/>
        <v>0.5</v>
      </c>
      <c r="R47" s="177">
        <f t="shared" si="3"/>
        <v>0.99928093303147492</v>
      </c>
      <c r="S47" s="811">
        <f t="shared" si="4"/>
        <v>-2</v>
      </c>
      <c r="T47" s="176">
        <f t="shared" si="5"/>
        <v>4</v>
      </c>
      <c r="U47" s="251">
        <f t="shared" si="20"/>
        <v>-1.0007190669685251</v>
      </c>
      <c r="V47" s="383">
        <f t="shared" si="6"/>
        <v>33.046338536802224</v>
      </c>
      <c r="W47" s="402"/>
      <c r="X47" s="157">
        <f t="shared" si="7"/>
        <v>43863</v>
      </c>
      <c r="Y47" s="385">
        <f t="shared" si="8"/>
        <v>28.286000000000001</v>
      </c>
      <c r="Z47" s="385">
        <f t="shared" si="9"/>
        <v>28.662690016314894</v>
      </c>
      <c r="AA47" s="386">
        <f t="shared" si="10"/>
        <v>29.539368096601233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2.9678294993290985E-2</v>
      </c>
      <c r="AD47" s="231">
        <f>(INDEX(Models!$BJ47:$BT47,,AH47)*(1-AF47)+INDEX(Models!$BJ47:$BT47,,AH47+1)*AF47-ERP_i)*AE47*Ramure*Pc/MaxiM</f>
        <v>4.9881787546798757E-5</v>
      </c>
      <c r="AE47" s="305">
        <f t="shared" si="12"/>
        <v>0.5</v>
      </c>
      <c r="AF47" s="177">
        <f t="shared" si="21"/>
        <v>0.99928093303147492</v>
      </c>
      <c r="AG47" s="811">
        <f t="shared" si="22"/>
        <v>-2</v>
      </c>
      <c r="AH47" s="176">
        <f t="shared" si="13"/>
        <v>4</v>
      </c>
      <c r="AI47" s="225">
        <f t="shared" si="23"/>
        <v>-1.0007190669685251</v>
      </c>
      <c r="AJ47" s="265" t="b">
        <f t="shared" si="14"/>
        <v>1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7">
        <v>26.242999999999999</v>
      </c>
      <c r="C48" s="390"/>
      <c r="D48" s="393">
        <f t="shared" si="0"/>
        <v>26.593065454974003</v>
      </c>
      <c r="E48" s="385">
        <f t="shared" si="17"/>
        <v>27.407486512127871</v>
      </c>
      <c r="F48" s="385">
        <f t="shared" si="1"/>
        <v>27.40840746637317</v>
      </c>
      <c r="G48" s="110">
        <f t="shared" si="18"/>
        <v>0.78623268578279193</v>
      </c>
      <c r="H48" s="414" t="b">
        <f>Wh_hp&gt;='2019'!Maxi_hp</f>
        <v>1</v>
      </c>
      <c r="I48" s="380">
        <f>IF(H48,Wh_hp,'2019'!Maxi_hp)</f>
        <v>27.40840746637317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1.3163787212373657E-2</v>
      </c>
      <c r="M48" s="845"/>
      <c r="N48" s="845"/>
      <c r="O48" s="48">
        <f>IF(t&lt;Tnet,'2019'!Resal+('2019'!Salim-'2019'!Resal)*(1-EXP(('2019'!Tnet-t)/('2019'!Tau_j))),Resal+(Salim-Resal)*(1-EXP((Tnet-t)/(Tau_j))))*Salcycl</f>
        <v>2.9715277130337649E-2</v>
      </c>
      <c r="P48" s="169">
        <f>(INDEX(Models!$BJ48:$BT48,,T48)*(1-R48)+INDEX(Models!$BJ48:$BT48,,T48+1)*R48-ERP_i)*Q48*Ramure*Pc/MaxiM</f>
        <v>4.8372414846182251E-5</v>
      </c>
      <c r="Q48" s="305">
        <f t="shared" si="2"/>
        <v>0.5</v>
      </c>
      <c r="R48" s="177">
        <f t="shared" si="3"/>
        <v>0.99938891940610808</v>
      </c>
      <c r="S48" s="811">
        <f t="shared" si="4"/>
        <v>-2</v>
      </c>
      <c r="T48" s="176">
        <f t="shared" si="5"/>
        <v>4</v>
      </c>
      <c r="U48" s="251">
        <f t="shared" si="20"/>
        <v>-1.0006110805938919</v>
      </c>
      <c r="V48" s="383">
        <f t="shared" si="6"/>
        <v>33.377666458585338</v>
      </c>
      <c r="W48" s="402"/>
      <c r="X48" s="157">
        <f t="shared" si="7"/>
        <v>43864</v>
      </c>
      <c r="Y48" s="385">
        <f t="shared" si="8"/>
        <v>26.242999999999999</v>
      </c>
      <c r="Z48" s="385">
        <f t="shared" si="9"/>
        <v>26.593065454974003</v>
      </c>
      <c r="AA48" s="386">
        <f t="shared" si="10"/>
        <v>27.407486512127871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2.9715277130337649E-2</v>
      </c>
      <c r="AD48" s="231">
        <f>(INDEX(Models!$BJ48:$BT48,,AH48)*(1-AF48)+INDEX(Models!$BJ48:$BT48,,AH48+1)*AF48-ERP_i)*AE48*Ramure*Pc/MaxiM</f>
        <v>4.8372414846182251E-5</v>
      </c>
      <c r="AE48" s="305">
        <f t="shared" si="12"/>
        <v>0.5</v>
      </c>
      <c r="AF48" s="177">
        <f t="shared" si="21"/>
        <v>0.99938891940610808</v>
      </c>
      <c r="AG48" s="811">
        <f t="shared" si="22"/>
        <v>-2</v>
      </c>
      <c r="AH48" s="176">
        <f t="shared" si="13"/>
        <v>4</v>
      </c>
      <c r="AI48" s="225">
        <f t="shared" si="23"/>
        <v>-1.0006110805938919</v>
      </c>
      <c r="AJ48" s="265" t="b">
        <f t="shared" si="14"/>
        <v>1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7">
        <v>17.332999999999998</v>
      </c>
      <c r="C49" s="390"/>
      <c r="D49" s="393">
        <f t="shared" si="0"/>
        <v>17.564596253045529</v>
      </c>
      <c r="E49" s="385">
        <f t="shared" si="17"/>
        <v>18.103207704473377</v>
      </c>
      <c r="F49" s="385">
        <f t="shared" si="1"/>
        <v>18.103468672580966</v>
      </c>
      <c r="G49" s="110">
        <f t="shared" si="18"/>
        <v>0.51421351645412339</v>
      </c>
      <c r="H49" s="414" t="b">
        <f>Wh_hp&gt;='2019'!Maxi_hp</f>
        <v>0</v>
      </c>
      <c r="I49" s="380">
        <f>IF(H49,Wh_hp,'2019'!Maxi_hp)</f>
        <v>27.911356460515268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1.3185401458082113E-2</v>
      </c>
      <c r="M49" s="845"/>
      <c r="N49" s="845"/>
      <c r="O49" s="48">
        <f>IF(t&lt;Tnet,'2019'!Resal+('2019'!Salim-'2019'!Resal)*(1-EXP(('2019'!Tnet-t)/('2019'!Tau_j))),Resal+(Salim-Resal)*(1-EXP((Tnet-t)/(Tau_j))))*Salcycl</f>
        <v>2.9752266019394593E-2</v>
      </c>
      <c r="P49" s="169">
        <f>(INDEX(Models!$BJ49:$BT49,,T49)*(1-R49)+INDEX(Models!$BJ49:$BT49,,T49+1)*R49-ERP_i)*Q49*Ramure*Pc/MaxiM</f>
        <v>4.7102367237364308E-5</v>
      </c>
      <c r="Q49" s="305">
        <f t="shared" si="2"/>
        <v>0.5</v>
      </c>
      <c r="R49" s="177">
        <f t="shared" si="3"/>
        <v>0.99950138624547402</v>
      </c>
      <c r="S49" s="811">
        <f t="shared" si="4"/>
        <v>-2</v>
      </c>
      <c r="T49" s="176">
        <f t="shared" si="5"/>
        <v>4</v>
      </c>
      <c r="U49" s="251">
        <f t="shared" si="20"/>
        <v>-1.000498613754526</v>
      </c>
      <c r="V49" s="383">
        <f t="shared" si="6"/>
        <v>33.706685789867173</v>
      </c>
      <c r="W49" s="402"/>
      <c r="X49" s="157">
        <f t="shared" si="7"/>
        <v>43865</v>
      </c>
      <c r="Y49" s="385">
        <f t="shared" si="8"/>
        <v>17.332999999999998</v>
      </c>
      <c r="Z49" s="385">
        <f t="shared" si="9"/>
        <v>17.564596253045529</v>
      </c>
      <c r="AA49" s="386">
        <f t="shared" si="10"/>
        <v>18.103207704473377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2.9752266019394593E-2</v>
      </c>
      <c r="AD49" s="231">
        <f>(INDEX(Models!$BJ49:$BT49,,AH49)*(1-AF49)+INDEX(Models!$BJ49:$BT49,,AH49+1)*AF49-ERP_i)*AE49*Ramure*Pc/MaxiM</f>
        <v>4.7102367237364308E-5</v>
      </c>
      <c r="AE49" s="305">
        <f t="shared" si="12"/>
        <v>0.5</v>
      </c>
      <c r="AF49" s="177">
        <f t="shared" si="21"/>
        <v>0.99950138624547402</v>
      </c>
      <c r="AG49" s="811">
        <f t="shared" si="22"/>
        <v>-2</v>
      </c>
      <c r="AH49" s="176">
        <f t="shared" si="13"/>
        <v>4</v>
      </c>
      <c r="AI49" s="225">
        <f t="shared" si="23"/>
        <v>-1.000498613754526</v>
      </c>
      <c r="AJ49" s="265" t="b">
        <f t="shared" si="14"/>
        <v>1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7">
        <v>34.018000000000001</v>
      </c>
      <c r="C50" s="390"/>
      <c r="D50" s="393">
        <f t="shared" si="0"/>
        <v>34.473289256248677</v>
      </c>
      <c r="E50" s="385">
        <f t="shared" si="17"/>
        <v>35.531753897311212</v>
      </c>
      <c r="F50" s="385">
        <f t="shared" si="1"/>
        <v>35.533389786711119</v>
      </c>
      <c r="G50" s="110">
        <f t="shared" si="18"/>
        <v>0.99957775277613303</v>
      </c>
      <c r="H50" s="414" t="b">
        <f>Wh_hp&gt;='2019'!Maxi_hp</f>
        <v>1</v>
      </c>
      <c r="I50" s="380">
        <f>IF(H50,Wh_hp,'2019'!Maxi_hp)</f>
        <v>35.533389786711119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1.3207015230383035E-2</v>
      </c>
      <c r="M50" s="845"/>
      <c r="N50" s="845"/>
      <c r="O50" s="48">
        <f>IF(t&lt;Tnet,'2019'!Resal+('2019'!Salim-'2019'!Resal)*(1-EXP(('2019'!Tnet-t)/('2019'!Tau_j))),Resal+(Salim-Resal)*(1-EXP((Tnet-t)/(Tau_j))))*Salcycl</f>
        <v>2.9789259604846883E-2</v>
      </c>
      <c r="P50" s="169">
        <f>(INDEX(Models!$BJ50:$BT50,,T50)*(1-R50)+INDEX(Models!$BJ50:$BT50,,T50+1)*R50-ERP_i)*Q50*Ramure*Pc/MaxiM</f>
        <v>4.6065875665344231E-5</v>
      </c>
      <c r="Q50" s="305">
        <f t="shared" si="2"/>
        <v>0.5</v>
      </c>
      <c r="R50" s="177">
        <f t="shared" si="3"/>
        <v>0.99961851728625484</v>
      </c>
      <c r="S50" s="811">
        <f t="shared" si="4"/>
        <v>-2</v>
      </c>
      <c r="T50" s="176">
        <f t="shared" si="5"/>
        <v>4</v>
      </c>
      <c r="U50" s="251">
        <f t="shared" si="20"/>
        <v>-1.0003814827137452</v>
      </c>
      <c r="V50" s="383">
        <f t="shared" si="6"/>
        <v>34.032369128132466</v>
      </c>
      <c r="W50" s="402"/>
      <c r="X50" s="157">
        <f t="shared" si="7"/>
        <v>43866</v>
      </c>
      <c r="Y50" s="385">
        <f t="shared" si="8"/>
        <v>34.018000000000001</v>
      </c>
      <c r="Z50" s="385">
        <f t="shared" si="9"/>
        <v>34.473289256248677</v>
      </c>
      <c r="AA50" s="386">
        <f t="shared" si="10"/>
        <v>35.531753897311212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2.9789259604846883E-2</v>
      </c>
      <c r="AD50" s="231">
        <f>(INDEX(Models!$BJ50:$BT50,,AH50)*(1-AF50)+INDEX(Models!$BJ50:$BT50,,AH50+1)*AF50-ERP_i)*AE50*Ramure*Pc/MaxiM</f>
        <v>4.6065875665344231E-5</v>
      </c>
      <c r="AE50" s="305">
        <f t="shared" si="12"/>
        <v>0.5</v>
      </c>
      <c r="AF50" s="177">
        <f t="shared" si="21"/>
        <v>0.99961851728625484</v>
      </c>
      <c r="AG50" s="811">
        <f t="shared" si="22"/>
        <v>-2</v>
      </c>
      <c r="AH50" s="176">
        <f t="shared" si="13"/>
        <v>4</v>
      </c>
      <c r="AI50" s="225">
        <f t="shared" si="23"/>
        <v>-1.0003814827137452</v>
      </c>
      <c r="AJ50" s="265" t="b">
        <f t="shared" si="14"/>
        <v>1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7">
        <v>35.518999999999998</v>
      </c>
      <c r="C51" s="390"/>
      <c r="D51" s="393">
        <f t="shared" si="0"/>
        <v>35.995166688978259</v>
      </c>
      <c r="E51" s="385">
        <f t="shared" si="17"/>
        <v>37.101773672280828</v>
      </c>
      <c r="F51" s="385">
        <f t="shared" si="1"/>
        <v>37.103452774243969</v>
      </c>
      <c r="G51" s="110">
        <f t="shared" si="18"/>
        <v>1.0338570507586877</v>
      </c>
      <c r="H51" s="414" t="b">
        <f>Wh_hp&gt;='2019'!Maxi_hp</f>
        <v>1</v>
      </c>
      <c r="I51" s="380">
        <f>IF(H51,Wh_hp,'2019'!Maxi_hp)</f>
        <v>37.103452774243969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1.3228628529286968E-2</v>
      </c>
      <c r="M51" s="845"/>
      <c r="N51" s="845"/>
      <c r="O51" s="48">
        <f>IF(t&lt;Tnet,'2019'!Resal+('2019'!Salim-'2019'!Resal)*(1-EXP(('2019'!Tnet-t)/('2019'!Tau_j))),Resal+(Salim-Resal)*(1-EXP((Tnet-t)/(Tau_j))))*Salcycl</f>
        <v>2.9826255560642667E-2</v>
      </c>
      <c r="P51" s="169">
        <f>(INDEX(Models!$BJ51:$BT51,,T51)*(1-R51)+INDEX(Models!$BJ51:$BT51,,T51+1)*R51-ERP_i)*Q51*Ramure*Pc/MaxiM</f>
        <v>4.5254601326782832E-5</v>
      </c>
      <c r="Q51" s="305">
        <f t="shared" si="2"/>
        <v>0.5</v>
      </c>
      <c r="R51" s="177">
        <f t="shared" si="3"/>
        <v>0.99974050361584887</v>
      </c>
      <c r="S51" s="811">
        <f t="shared" si="4"/>
        <v>-2</v>
      </c>
      <c r="T51" s="176">
        <f t="shared" si="5"/>
        <v>4</v>
      </c>
      <c r="U51" s="251">
        <f t="shared" si="20"/>
        <v>-1.0002594963841511</v>
      </c>
      <c r="V51" s="383">
        <f t="shared" si="6"/>
        <v>34.35581347917941</v>
      </c>
      <c r="W51" s="402"/>
      <c r="X51" s="157">
        <f t="shared" si="7"/>
        <v>43867</v>
      </c>
      <c r="Y51" s="385">
        <f t="shared" si="8"/>
        <v>35.518999999999998</v>
      </c>
      <c r="Z51" s="385">
        <f t="shared" si="9"/>
        <v>35.995166688978259</v>
      </c>
      <c r="AA51" s="386">
        <f t="shared" si="10"/>
        <v>37.101773672280828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2.9826255560642667E-2</v>
      </c>
      <c r="AD51" s="231">
        <f>(INDEX(Models!$BJ51:$BT51,,AH51)*(1-AF51)+INDEX(Models!$BJ51:$BT51,,AH51+1)*AF51-ERP_i)*AE51*Ramure*Pc/MaxiM</f>
        <v>4.5254601326782832E-5</v>
      </c>
      <c r="AE51" s="305">
        <f t="shared" si="12"/>
        <v>0.5</v>
      </c>
      <c r="AF51" s="177">
        <f t="shared" si="21"/>
        <v>0.99974050361584887</v>
      </c>
      <c r="AG51" s="811">
        <f t="shared" si="22"/>
        <v>-2</v>
      </c>
      <c r="AH51" s="176">
        <f t="shared" si="13"/>
        <v>4</v>
      </c>
      <c r="AI51" s="225">
        <f t="shared" si="23"/>
        <v>-1.0002594963841511</v>
      </c>
      <c r="AJ51" s="265" t="b">
        <f t="shared" si="14"/>
        <v>1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7">
        <v>24.274999999999999</v>
      </c>
      <c r="C52" s="390"/>
      <c r="D52" s="393">
        <f t="shared" si="0"/>
        <v>24.600968773815048</v>
      </c>
      <c r="E52" s="385">
        <f t="shared" si="17"/>
        <v>25.358248522373483</v>
      </c>
      <c r="F52" s="385">
        <f t="shared" si="1"/>
        <v>25.358898167859724</v>
      </c>
      <c r="G52" s="110">
        <f t="shared" si="18"/>
        <v>0.6999792754141988</v>
      </c>
      <c r="H52" s="414" t="b">
        <f>Wh_hp&gt;='2019'!Maxi_hp</f>
        <v>1</v>
      </c>
      <c r="I52" s="380">
        <f>IF(H52,Wh_hp,'2019'!Maxi_hp)</f>
        <v>25.358898167859724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1.3250241354804126E-2</v>
      </c>
      <c r="M52" s="845"/>
      <c r="N52" s="845"/>
      <c r="O52" s="48">
        <f>IF(t&lt;Tnet,'2019'!Resal+('2019'!Salim-'2019'!Resal)*(1-EXP(('2019'!Tnet-t)/('2019'!Tau_j))),Resal+(Salim-Resal)*(1-EXP((Tnet-t)/(Tau_j))))*Salcycl</f>
        <v>2.9863251316047751E-2</v>
      </c>
      <c r="P52" s="169">
        <f>(INDEX(Models!$BJ52:$BT52,,T52)*(1-R52)+INDEX(Models!$BJ52:$BT52,,T52+1)*R52-ERP_i)*Q52*Ramure*Pc/MaxiM</f>
        <v>4.4832400401709571E-5</v>
      </c>
      <c r="Q52" s="305">
        <f t="shared" si="2"/>
        <v>0.5</v>
      </c>
      <c r="R52" s="177">
        <f t="shared" si="3"/>
        <v>0.9998675439507505</v>
      </c>
      <c r="S52" s="811">
        <f t="shared" si="4"/>
        <v>-2</v>
      </c>
      <c r="T52" s="176">
        <f t="shared" si="5"/>
        <v>4</v>
      </c>
      <c r="U52" s="251">
        <f t="shared" si="20"/>
        <v>-1.0001324560492495</v>
      </c>
      <c r="V52" s="383">
        <f t="shared" si="6"/>
        <v>34.678931808798566</v>
      </c>
      <c r="W52" s="402"/>
      <c r="X52" s="157">
        <f t="shared" si="7"/>
        <v>43868</v>
      </c>
      <c r="Y52" s="385">
        <f t="shared" si="8"/>
        <v>24.274999999999999</v>
      </c>
      <c r="Z52" s="385">
        <f t="shared" si="9"/>
        <v>24.600968773815048</v>
      </c>
      <c r="AA52" s="386">
        <f t="shared" si="10"/>
        <v>25.358248522373483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2.9863251316047751E-2</v>
      </c>
      <c r="AD52" s="231">
        <f>(INDEX(Models!$BJ52:$BT52,,AH52)*(1-AF52)+INDEX(Models!$BJ52:$BT52,,AH52+1)*AF52-ERP_i)*AE52*Ramure*Pc/MaxiM</f>
        <v>4.4832400401709571E-5</v>
      </c>
      <c r="AE52" s="305">
        <f t="shared" si="12"/>
        <v>0.5</v>
      </c>
      <c r="AF52" s="177">
        <f t="shared" si="21"/>
        <v>0.9998675439507505</v>
      </c>
      <c r="AG52" s="811">
        <f t="shared" si="22"/>
        <v>-2</v>
      </c>
      <c r="AH52" s="176">
        <f t="shared" si="13"/>
        <v>4</v>
      </c>
      <c r="AI52" s="225">
        <f t="shared" si="23"/>
        <v>-1.0001324560492495</v>
      </c>
      <c r="AJ52" s="265" t="b">
        <f t="shared" si="14"/>
        <v>1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7">
        <v>28.658999999999999</v>
      </c>
      <c r="C53" s="390"/>
      <c r="D53" s="393">
        <f t="shared" si="0"/>
        <v>29.044474010056636</v>
      </c>
      <c r="E53" s="385">
        <f t="shared" si="17"/>
        <v>29.939677680550293</v>
      </c>
      <c r="F53" s="385">
        <f t="shared" si="1"/>
        <v>29.940669821237087</v>
      </c>
      <c r="G53" s="110">
        <f t="shared" si="18"/>
        <v>0.81877388564221665</v>
      </c>
      <c r="H53" s="414" t="b">
        <f>Wh_hp&gt;='2019'!Maxi_hp</f>
        <v>0</v>
      </c>
      <c r="I53" s="380">
        <f>IF(H53,Wh_hp,'2019'!Maxi_hp)</f>
        <v>31.189855775222124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1.3271853706944947E-2</v>
      </c>
      <c r="M53" s="845"/>
      <c r="N53" s="845"/>
      <c r="O53" s="48">
        <f>IF(t&lt;Tnet,'2019'!Resal+('2019'!Salim-'2019'!Resal)*(1-EXP(('2019'!Tnet-t)/('2019'!Tau_j))),Resal+(Salim-Resal)*(1-EXP((Tnet-t)/(Tau_j))))*Salcycl</f>
        <v>2.990024408563384E-2</v>
      </c>
      <c r="P53" s="169">
        <f>(INDEX(Models!$BJ53:$BT53,,T53)*(1-R53)+INDEX(Models!$BJ53:$BT53,,T53+1)*R53-ERP_i)*Q53*Ramure*Pc/MaxiM</f>
        <v>4.4711964063991628E-5</v>
      </c>
      <c r="Q53" s="305">
        <f t="shared" si="2"/>
        <v>0.5</v>
      </c>
      <c r="R53" s="177">
        <f t="shared" si="3"/>
        <v>0.99999984492411675</v>
      </c>
      <c r="S53" s="811">
        <f t="shared" si="4"/>
        <v>-2</v>
      </c>
      <c r="T53" s="176">
        <f t="shared" si="5"/>
        <v>4</v>
      </c>
      <c r="U53" s="251">
        <f t="shared" si="20"/>
        <v>-1.0000001550758832</v>
      </c>
      <c r="V53" s="383">
        <f t="shared" si="6"/>
        <v>35.001932476736144</v>
      </c>
      <c r="W53" s="402"/>
      <c r="X53" s="157">
        <f t="shared" si="7"/>
        <v>43869</v>
      </c>
      <c r="Y53" s="385">
        <f t="shared" si="8"/>
        <v>28.658999999999999</v>
      </c>
      <c r="Z53" s="385">
        <f t="shared" si="9"/>
        <v>29.044474010056636</v>
      </c>
      <c r="AA53" s="386">
        <f t="shared" si="10"/>
        <v>29.939677680550293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2.990024408563384E-2</v>
      </c>
      <c r="AD53" s="231">
        <f>(INDEX(Models!$BJ53:$BT53,,AH53)*(1-AF53)+INDEX(Models!$BJ53:$BT53,,AH53+1)*AF53-ERP_i)*AE53*Ramure*Pc/MaxiM</f>
        <v>4.4711964063991628E-5</v>
      </c>
      <c r="AE53" s="305">
        <f t="shared" si="12"/>
        <v>0.5</v>
      </c>
      <c r="AF53" s="177">
        <f t="shared" si="21"/>
        <v>0.99999984492411675</v>
      </c>
      <c r="AG53" s="811">
        <f t="shared" si="22"/>
        <v>-2</v>
      </c>
      <c r="AH53" s="176">
        <f t="shared" si="13"/>
        <v>4</v>
      </c>
      <c r="AI53" s="225">
        <f t="shared" si="23"/>
        <v>-1.0000001550758832</v>
      </c>
      <c r="AJ53" s="265" t="b">
        <f t="shared" si="14"/>
        <v>1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7">
        <v>28.734999999999999</v>
      </c>
      <c r="C54" s="390"/>
      <c r="D54" s="393">
        <f t="shared" si="0"/>
        <v>29.122134087271867</v>
      </c>
      <c r="E54" s="385">
        <f t="shared" si="17"/>
        <v>30.020875983503942</v>
      </c>
      <c r="F54" s="385">
        <f t="shared" si="1"/>
        <v>30.02186446236923</v>
      </c>
      <c r="G54" s="110">
        <f t="shared" si="18"/>
        <v>0.81343635222447408</v>
      </c>
      <c r="H54" s="414" t="b">
        <f>Wh_hp&gt;='2019'!Maxi_hp</f>
        <v>1</v>
      </c>
      <c r="I54" s="380">
        <f>IF(H54,Wh_hp,'2019'!Maxi_hp)</f>
        <v>30.02186446236923</v>
      </c>
      <c r="J54" s="85">
        <f>IF(H54,An,'2019'!An_max)</f>
        <v>2020</v>
      </c>
      <c r="K54" s="197">
        <f t="shared" si="19"/>
        <v>43870</v>
      </c>
      <c r="L54" s="147">
        <f>IF(t&lt;Tvie,1-EXP((T0-t)*PertePVj)+'2019'!Pspv,1-EXP((T0-t)*PertePVj)+Pspv)</f>
        <v>1.3293465585719866E-2</v>
      </c>
      <c r="M54" s="845"/>
      <c r="N54" s="845"/>
      <c r="O54" s="48">
        <f>IF(t&lt;Tnet,'2019'!Resal+('2019'!Salim-'2019'!Resal)*(1-EXP(('2019'!Tnet-t)/('2019'!Tau_j))),Resal+(Salim-Resal)*(1-EXP((Tnet-t)/(Tau_j))))*Salcycl</f>
        <v>2.9937230903119644E-2</v>
      </c>
      <c r="P54" s="169">
        <f>(INDEX(Models!$BJ54:$BT54,,T54)*(1-R54)+INDEX(Models!$BJ54:$BT54,,T54+1)*R54-ERP_i)*Q54*Ramure*Pc/MaxiM</f>
        <v>4.4888275631974928E-5</v>
      </c>
      <c r="Q54" s="305">
        <f t="shared" si="2"/>
        <v>0.5</v>
      </c>
      <c r="R54" s="177">
        <f t="shared" si="3"/>
        <v>1.3762138270778657E-4</v>
      </c>
      <c r="S54" s="811">
        <f t="shared" si="4"/>
        <v>-1</v>
      </c>
      <c r="T54" s="176">
        <f t="shared" si="5"/>
        <v>5</v>
      </c>
      <c r="U54" s="251">
        <f t="shared" si="20"/>
        <v>-0.99986237861729221</v>
      </c>
      <c r="V54" s="383">
        <f t="shared" si="6"/>
        <v>35.325021009903857</v>
      </c>
      <c r="W54" s="402"/>
      <c r="X54" s="157">
        <f t="shared" si="7"/>
        <v>43870</v>
      </c>
      <c r="Y54" s="385">
        <f t="shared" si="8"/>
        <v>28.734999999999999</v>
      </c>
      <c r="Z54" s="385">
        <f t="shared" si="9"/>
        <v>29.122134087271867</v>
      </c>
      <c r="AA54" s="386">
        <f t="shared" si="10"/>
        <v>30.020875983503942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2.9937230903119644E-2</v>
      </c>
      <c r="AD54" s="231">
        <f>(INDEX(Models!$BJ54:$BT54,,AH54)*(1-AF54)+INDEX(Models!$BJ54:$BT54,,AH54+1)*AF54-ERP_i)*AE54*Ramure*Pc/MaxiM</f>
        <v>4.4888275631974928E-5</v>
      </c>
      <c r="AE54" s="305">
        <f t="shared" si="12"/>
        <v>0.5</v>
      </c>
      <c r="AF54" s="177">
        <f t="shared" si="21"/>
        <v>1.3762138270778657E-4</v>
      </c>
      <c r="AG54" s="811">
        <f t="shared" si="22"/>
        <v>-1</v>
      </c>
      <c r="AH54" s="176">
        <f t="shared" si="13"/>
        <v>5</v>
      </c>
      <c r="AI54" s="225">
        <f t="shared" si="23"/>
        <v>-0.99986237861729221</v>
      </c>
      <c r="AJ54" s="265" t="b">
        <f t="shared" si="14"/>
        <v>1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7">
        <v>8.9659999999999993</v>
      </c>
      <c r="C55" s="390"/>
      <c r="D55" s="393">
        <f t="shared" si="0"/>
        <v>9.0869940250617169</v>
      </c>
      <c r="E55" s="385">
        <f t="shared" si="17"/>
        <v>9.3677859972117297</v>
      </c>
      <c r="F55" s="385">
        <f t="shared" si="1"/>
        <v>9.3677859972117297</v>
      </c>
      <c r="G55" s="110">
        <f t="shared" si="18"/>
        <v>0.25150056119223074</v>
      </c>
      <c r="H55" s="414" t="b">
        <f>Wh_hp&gt;='2019'!Maxi_hp</f>
        <v>0</v>
      </c>
      <c r="I55" s="380">
        <f>IF(H55,Wh_hp,'2019'!Maxi_hp)</f>
        <v>9.4111037266996007</v>
      </c>
      <c r="J55" s="85">
        <f>IF(H55,An,'2019'!An_max)</f>
        <v>2019</v>
      </c>
      <c r="K55" s="197">
        <f t="shared" si="19"/>
        <v>43871</v>
      </c>
      <c r="L55" s="147">
        <f>IF(t&lt;Tvie,1-EXP((T0-t)*PertePVj)+'2019'!Pspv,1-EXP((T0-t)*PertePVj)+Pspv)</f>
        <v>1.3315076991139096E-2</v>
      </c>
      <c r="M55" s="845"/>
      <c r="N55" s="845"/>
      <c r="O55" s="48">
        <f>IF(t&lt;Tnet,'2019'!Resal+('2019'!Salim-'2019'!Resal)*(1-EXP(('2019'!Tnet-t)/('2019'!Tau_j))),Resal+(Salim-Resal)*(1-EXP((Tnet-t)/(Tau_j))))*Salcycl</f>
        <v>2.9974208658650817E-2</v>
      </c>
      <c r="P55" s="169">
        <f>(INDEX(Models!$BJ55:$BT55,,T55)*(1-R55)+INDEX(Models!$BJ55:$BT55,,T55+1)*R55-ERP_i)*Q55*Ramure*Pc/MaxiM</f>
        <v>4.5349524815527024E-5</v>
      </c>
      <c r="Q55" s="305">
        <f t="shared" si="2"/>
        <v>0.5</v>
      </c>
      <c r="R55" s="177">
        <f t="shared" si="3"/>
        <v>2.8109669337028631E-4</v>
      </c>
      <c r="S55" s="811">
        <f t="shared" si="4"/>
        <v>-1</v>
      </c>
      <c r="T55" s="176">
        <f t="shared" si="5"/>
        <v>5</v>
      </c>
      <c r="U55" s="251">
        <f t="shared" si="20"/>
        <v>-0.99971890330662971</v>
      </c>
      <c r="V55" s="383">
        <f t="shared" si="6"/>
        <v>35.648403143354358</v>
      </c>
      <c r="W55" s="402"/>
      <c r="X55" s="157">
        <f t="shared" si="7"/>
        <v>43871</v>
      </c>
      <c r="Y55" s="385">
        <f t="shared" si="8"/>
        <v>8.9659999999999993</v>
      </c>
      <c r="Z55" s="385">
        <f t="shared" si="9"/>
        <v>9.0869940250617169</v>
      </c>
      <c r="AA55" s="386">
        <f t="shared" si="10"/>
        <v>9.3677859972117297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2.9974208658650817E-2</v>
      </c>
      <c r="AD55" s="231">
        <f>(INDEX(Models!$BJ55:$BT55,,AH55)*(1-AF55)+INDEX(Models!$BJ55:$BT55,,AH55+1)*AF55-ERP_i)*AE55*Ramure*Pc/MaxiM</f>
        <v>4.5349524815527024E-5</v>
      </c>
      <c r="AE55" s="305">
        <f t="shared" si="12"/>
        <v>0.5</v>
      </c>
      <c r="AF55" s="177">
        <f t="shared" si="21"/>
        <v>2.8109669337028631E-4</v>
      </c>
      <c r="AG55" s="811">
        <f t="shared" si="22"/>
        <v>-1</v>
      </c>
      <c r="AH55" s="176">
        <f t="shared" si="13"/>
        <v>5</v>
      </c>
      <c r="AI55" s="225">
        <f t="shared" si="23"/>
        <v>-0.99971890330662971</v>
      </c>
      <c r="AJ55" s="265" t="b">
        <f t="shared" si="14"/>
        <v>1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7">
        <v>9.0169999999999995</v>
      </c>
      <c r="C56" s="390"/>
      <c r="D56" s="393">
        <f t="shared" si="0"/>
        <v>9.1388824228403589</v>
      </c>
      <c r="E56" s="385">
        <f t="shared" si="17"/>
        <v>9.4216368056910884</v>
      </c>
      <c r="F56" s="385">
        <f t="shared" si="1"/>
        <v>9.4216368056910884</v>
      </c>
      <c r="G56" s="110">
        <f t="shared" si="18"/>
        <v>0.25065365086807512</v>
      </c>
      <c r="H56" s="414" t="b">
        <f>Wh_hp&gt;='2019'!Maxi_hp</f>
        <v>0</v>
      </c>
      <c r="I56" s="380">
        <f>IF(H56,Wh_hp,'2019'!Maxi_hp)</f>
        <v>21.60102843738898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1.3336687923213075E-2</v>
      </c>
      <c r="M56" s="845"/>
      <c r="N56" s="845"/>
      <c r="O56" s="48">
        <f>IF(t&lt;Tnet,'2019'!Resal+('2019'!Salim-'2019'!Resal)*(1-EXP(('2019'!Tnet-t)/('2019'!Tau_j))),Resal+(Salim-Resal)*(1-EXP((Tnet-t)/(Tau_j))))*Salcycl</f>
        <v>3.0011174139076741E-2</v>
      </c>
      <c r="P56" s="169">
        <f>(INDEX(Models!$BJ56:$BT56,,T56)*(1-R56)+INDEX(Models!$BJ56:$BT56,,T56+1)*R56-ERP_i)*Q56*Ramure*Pc/MaxiM</f>
        <v>4.6087895750516669E-5</v>
      </c>
      <c r="Q56" s="305">
        <f t="shared" si="2"/>
        <v>0.5</v>
      </c>
      <c r="R56" s="177">
        <f t="shared" si="3"/>
        <v>4.3050305923153509E-4</v>
      </c>
      <c r="S56" s="811">
        <f t="shared" si="4"/>
        <v>-1</v>
      </c>
      <c r="T56" s="176">
        <f t="shared" si="5"/>
        <v>5</v>
      </c>
      <c r="U56" s="251">
        <f t="shared" si="20"/>
        <v>-0.99956949694076846</v>
      </c>
      <c r="V56" s="383">
        <f t="shared" si="6"/>
        <v>35.972284441967524</v>
      </c>
      <c r="W56" s="402"/>
      <c r="X56" s="157">
        <f t="shared" si="7"/>
        <v>43872</v>
      </c>
      <c r="Y56" s="385">
        <f t="shared" si="8"/>
        <v>9.0169999999999995</v>
      </c>
      <c r="Z56" s="385">
        <f t="shared" si="9"/>
        <v>9.1388824228403589</v>
      </c>
      <c r="AA56" s="386">
        <f t="shared" si="10"/>
        <v>9.4216368056910884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3.0011174139076741E-2</v>
      </c>
      <c r="AD56" s="231">
        <f>(INDEX(Models!$BJ56:$BT56,,AH56)*(1-AF56)+INDEX(Models!$BJ56:$BT56,,AH56+1)*AF56-ERP_i)*AE56*Ramure*Pc/MaxiM</f>
        <v>4.6087895750516669E-5</v>
      </c>
      <c r="AE56" s="305">
        <f t="shared" si="12"/>
        <v>0.5</v>
      </c>
      <c r="AF56" s="177">
        <f t="shared" si="21"/>
        <v>4.3050305923153509E-4</v>
      </c>
      <c r="AG56" s="811">
        <f t="shared" si="22"/>
        <v>-1</v>
      </c>
      <c r="AH56" s="176">
        <f t="shared" si="13"/>
        <v>5</v>
      </c>
      <c r="AI56" s="225">
        <f t="shared" si="23"/>
        <v>-0.99956949694076846</v>
      </c>
      <c r="AJ56" s="265" t="b">
        <f t="shared" si="14"/>
        <v>1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7">
        <v>20.86</v>
      </c>
      <c r="C57" s="390"/>
      <c r="D57" s="393">
        <f t="shared" si="0"/>
        <v>21.142426846331897</v>
      </c>
      <c r="E57" s="385">
        <f t="shared" si="17"/>
        <v>21.79739775860206</v>
      </c>
      <c r="F57" s="385">
        <f t="shared" si="1"/>
        <v>21.797800627801969</v>
      </c>
      <c r="G57" s="110">
        <f t="shared" si="18"/>
        <v>0.57468875033088762</v>
      </c>
      <c r="H57" s="414" t="b">
        <f>Wh_hp&gt;='2019'!Maxi_hp</f>
        <v>0</v>
      </c>
      <c r="I57" s="380">
        <f>IF(H57,Wh_hp,'2019'!Maxi_hp)</f>
        <v>38.463815462769276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1.3358298381952127E-2</v>
      </c>
      <c r="M57" s="845"/>
      <c r="N57" s="845"/>
      <c r="O57" s="48">
        <f>IF(t&lt;Tnet,'2019'!Resal+('2019'!Salim-'2019'!Resal)*(1-EXP(('2019'!Tnet-t)/('2019'!Tau_j))),Resal+(Salim-Resal)*(1-EXP((Tnet-t)/(Tau_j))))*Salcycl</f>
        <v>3.0048124070759196E-2</v>
      </c>
      <c r="P57" s="169">
        <f>(INDEX(Models!$BJ57:$BT57,,T57)*(1-R57)+INDEX(Models!$BJ57:$BT57,,T57+1)*R57-ERP_i)*Q57*Ramure*Pc/MaxiM</f>
        <v>4.7095841084239218E-5</v>
      </c>
      <c r="Q57" s="305">
        <f t="shared" si="2"/>
        <v>0.5</v>
      </c>
      <c r="R57" s="177">
        <f t="shared" si="3"/>
        <v>5.860818457543715E-4</v>
      </c>
      <c r="S57" s="811">
        <f t="shared" si="4"/>
        <v>-1</v>
      </c>
      <c r="T57" s="176">
        <f t="shared" si="5"/>
        <v>5</v>
      </c>
      <c r="U57" s="251">
        <f t="shared" si="20"/>
        <v>-0.99941391815424563</v>
      </c>
      <c r="V57" s="383">
        <f t="shared" si="6"/>
        <v>36.29687042661773</v>
      </c>
      <c r="W57" s="402"/>
      <c r="X57" s="157">
        <f t="shared" si="7"/>
        <v>43873</v>
      </c>
      <c r="Y57" s="385">
        <f t="shared" si="8"/>
        <v>20.86</v>
      </c>
      <c r="Z57" s="385">
        <f t="shared" si="9"/>
        <v>21.142426846331897</v>
      </c>
      <c r="AA57" s="386">
        <f t="shared" si="10"/>
        <v>21.79739775860206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3.0048124070759196E-2</v>
      </c>
      <c r="AD57" s="231">
        <f>(INDEX(Models!$BJ57:$BT57,,AH57)*(1-AF57)+INDEX(Models!$BJ57:$BT57,,AH57+1)*AF57-ERP_i)*AE57*Ramure*Pc/MaxiM</f>
        <v>4.7095841084239218E-5</v>
      </c>
      <c r="AE57" s="305">
        <f t="shared" si="12"/>
        <v>0.5</v>
      </c>
      <c r="AF57" s="177">
        <f t="shared" si="21"/>
        <v>5.860818457543715E-4</v>
      </c>
      <c r="AG57" s="811">
        <f t="shared" si="22"/>
        <v>-1</v>
      </c>
      <c r="AH57" s="176">
        <f t="shared" si="13"/>
        <v>5</v>
      </c>
      <c r="AI57" s="225">
        <f t="shared" si="23"/>
        <v>-0.99941391815424563</v>
      </c>
      <c r="AJ57" s="265" t="b">
        <f t="shared" si="14"/>
        <v>1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7">
        <v>17.608000000000001</v>
      </c>
      <c r="C58" s="390"/>
      <c r="D58" s="393">
        <f t="shared" si="0"/>
        <v>17.846788393354874</v>
      </c>
      <c r="E58" s="385">
        <f t="shared" si="17"/>
        <v>18.400364370486582</v>
      </c>
      <c r="F58" s="385">
        <f t="shared" si="1"/>
        <v>18.400593245824052</v>
      </c>
      <c r="G58" s="110">
        <f t="shared" si="18"/>
        <v>0.48078180158261574</v>
      </c>
      <c r="H58" s="414" t="b">
        <f>Wh_hp&gt;='2019'!Maxi_hp</f>
        <v>0</v>
      </c>
      <c r="I58" s="380">
        <f>IF(H58,Wh_hp,'2019'!Maxi_hp)</f>
        <v>39.79279391744533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1.33799083673668E-2</v>
      </c>
      <c r="M58" s="845"/>
      <c r="N58" s="845"/>
      <c r="O58" s="48">
        <f>IF(t&lt;Tnet,'2019'!Resal+('2019'!Salim-'2019'!Resal)*(1-EXP(('2019'!Tnet-t)/('2019'!Tau_j))),Resal+(Salim-Resal)*(1-EXP((Tnet-t)/(Tau_j))))*Salcycl</f>
        <v>3.0085055164430437E-2</v>
      </c>
      <c r="P58" s="169">
        <f>(INDEX(Models!$BJ58:$BT58,,T58)*(1-R58)+INDEX(Models!$BJ58:$BT58,,T58+1)*R58-ERP_i)*Q58*Ramure*Pc/MaxiM</f>
        <v>4.8158089191309098E-5</v>
      </c>
      <c r="Q58" s="305">
        <f t="shared" si="2"/>
        <v>0.5</v>
      </c>
      <c r="R58" s="177">
        <f t="shared" si="3"/>
        <v>7.4808391679359598E-4</v>
      </c>
      <c r="S58" s="811">
        <f t="shared" si="4"/>
        <v>-1</v>
      </c>
      <c r="T58" s="176">
        <f t="shared" si="5"/>
        <v>5</v>
      </c>
      <c r="U58" s="251">
        <f t="shared" si="20"/>
        <v>-0.9992519160832064</v>
      </c>
      <c r="V58" s="383">
        <f t="shared" si="6"/>
        <v>36.622374189847633</v>
      </c>
      <c r="W58" s="402"/>
      <c r="X58" s="157">
        <f t="shared" si="7"/>
        <v>43874</v>
      </c>
      <c r="Y58" s="385">
        <f t="shared" si="8"/>
        <v>17.608000000000001</v>
      </c>
      <c r="Z58" s="385">
        <f t="shared" si="9"/>
        <v>17.846788393354874</v>
      </c>
      <c r="AA58" s="386">
        <f t="shared" si="10"/>
        <v>18.400364370486582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3.0085055164430437E-2</v>
      </c>
      <c r="AD58" s="231">
        <f>(INDEX(Models!$BJ58:$BT58,,AH58)*(1-AF58)+INDEX(Models!$BJ58:$BT58,,AH58+1)*AF58-ERP_i)*AE58*Ramure*Pc/MaxiM</f>
        <v>4.8158089191309098E-5</v>
      </c>
      <c r="AE58" s="305">
        <f t="shared" si="12"/>
        <v>0.5</v>
      </c>
      <c r="AF58" s="177">
        <f t="shared" si="21"/>
        <v>7.4808391679359598E-4</v>
      </c>
      <c r="AG58" s="811">
        <f t="shared" si="22"/>
        <v>-1</v>
      </c>
      <c r="AH58" s="176">
        <f t="shared" si="13"/>
        <v>5</v>
      </c>
      <c r="AI58" s="225">
        <f t="shared" si="23"/>
        <v>-0.9992519160832064</v>
      </c>
      <c r="AJ58" s="265" t="b">
        <f t="shared" si="14"/>
        <v>1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7">
        <v>27.661000000000001</v>
      </c>
      <c r="C59" s="390"/>
      <c r="D59" s="393">
        <f t="shared" si="0"/>
        <v>28.036734802740817</v>
      </c>
      <c r="E59" s="385">
        <f t="shared" si="17"/>
        <v>28.907485030842</v>
      </c>
      <c r="F59" s="385">
        <f t="shared" si="1"/>
        <v>28.908395785049517</v>
      </c>
      <c r="G59" s="110">
        <f t="shared" si="18"/>
        <v>0.74861315945057394</v>
      </c>
      <c r="H59" s="414" t="b">
        <f>Wh_hp&gt;='2019'!Maxi_hp</f>
        <v>0</v>
      </c>
      <c r="I59" s="380">
        <f>IF(H59,Wh_hp,'2019'!Maxi_hp)</f>
        <v>40.073233720515397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1.3401517879467306E-2</v>
      </c>
      <c r="M59" s="845"/>
      <c r="N59" s="845"/>
      <c r="O59" s="48">
        <f>IF(t&lt;Tnet,'2019'!Resal+('2019'!Salim-'2019'!Resal)*(1-EXP(('2019'!Tnet-t)/('2019'!Tau_j))),Resal+(Salim-Resal)*(1-EXP((Tnet-t)/(Tau_j))))*Salcycl</f>
        <v>3.0121964161606004E-2</v>
      </c>
      <c r="P59" s="169">
        <f>(INDEX(Models!$BJ59:$BT59,,T59)*(1-R59)+INDEX(Models!$BJ59:$BT59,,T59+1)*R59-ERP_i)*Q59*Ramure*Pc/MaxiM</f>
        <v>4.915757287191917E-5</v>
      </c>
      <c r="Q59" s="305">
        <f t="shared" si="2"/>
        <v>0.5</v>
      </c>
      <c r="R59" s="177">
        <f t="shared" si="3"/>
        <v>9.1676998077527827E-4</v>
      </c>
      <c r="S59" s="811">
        <f t="shared" si="4"/>
        <v>-1</v>
      </c>
      <c r="T59" s="176">
        <f t="shared" si="5"/>
        <v>5</v>
      </c>
      <c r="U59" s="251">
        <f t="shared" si="20"/>
        <v>-0.99908323001922472</v>
      </c>
      <c r="V59" s="383">
        <f t="shared" si="6"/>
        <v>36.949005428256143</v>
      </c>
      <c r="W59" s="402"/>
      <c r="X59" s="157">
        <f t="shared" si="7"/>
        <v>43875</v>
      </c>
      <c r="Y59" s="385">
        <f t="shared" si="8"/>
        <v>27.661000000000001</v>
      </c>
      <c r="Z59" s="385">
        <f t="shared" si="9"/>
        <v>28.036734802740817</v>
      </c>
      <c r="AA59" s="386">
        <f t="shared" si="10"/>
        <v>28.907485030842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3.0121964161606004E-2</v>
      </c>
      <c r="AD59" s="231">
        <f>(INDEX(Models!$BJ59:$BT59,,AH59)*(1-AF59)+INDEX(Models!$BJ59:$BT59,,AH59+1)*AF59-ERP_i)*AE59*Ramure*Pc/MaxiM</f>
        <v>4.915757287191917E-5</v>
      </c>
      <c r="AE59" s="305">
        <f t="shared" si="12"/>
        <v>0.5</v>
      </c>
      <c r="AF59" s="177">
        <f t="shared" si="21"/>
        <v>9.1676998077527827E-4</v>
      </c>
      <c r="AG59" s="811">
        <f t="shared" si="22"/>
        <v>-1</v>
      </c>
      <c r="AH59" s="176">
        <f t="shared" si="13"/>
        <v>5</v>
      </c>
      <c r="AI59" s="225">
        <f t="shared" si="23"/>
        <v>-0.99908323001922472</v>
      </c>
      <c r="AJ59" s="265" t="b">
        <f t="shared" si="14"/>
        <v>1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7">
        <v>36.316000000000003</v>
      </c>
      <c r="C60" s="390"/>
      <c r="D60" s="393">
        <f t="shared" si="0"/>
        <v>36.810106734573019</v>
      </c>
      <c r="E60" s="385">
        <f t="shared" si="17"/>
        <v>37.954779145210253</v>
      </c>
      <c r="F60" s="385">
        <f t="shared" si="1"/>
        <v>37.95661059099811</v>
      </c>
      <c r="G60" s="110">
        <f t="shared" si="18"/>
        <v>0.9742190276535927</v>
      </c>
      <c r="H60" s="414" t="b">
        <f>Wh_hp&gt;='2019'!Maxi_hp</f>
        <v>0</v>
      </c>
      <c r="I60" s="380">
        <f>IF(H60,Wh_hp,'2019'!Maxi_hp)</f>
        <v>40.326165520091415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1.3423126918263972E-2</v>
      </c>
      <c r="M60" s="845"/>
      <c r="N60" s="845"/>
      <c r="O60" s="48">
        <f>IF(t&lt;Tnet,'2019'!Resal+('2019'!Salim-'2019'!Resal)*(1-EXP(('2019'!Tnet-t)/('2019'!Tau_j))),Resal+(Salim-Resal)*(1-EXP((Tnet-t)/(Tau_j))))*Salcycl</f>
        <v>3.0158847882050904E-2</v>
      </c>
      <c r="P60" s="169">
        <f>(INDEX(Models!$BJ60:$BT60,,T60)*(1-R60)+INDEX(Models!$BJ60:$BT60,,T60+1)*R60-ERP_i)*Q60*Ramure*Pc/MaxiM</f>
        <v>5.009593891690376E-5</v>
      </c>
      <c r="Q60" s="305">
        <f t="shared" si="2"/>
        <v>0.5</v>
      </c>
      <c r="R60" s="177">
        <f t="shared" si="3"/>
        <v>1.0924109471056598E-3</v>
      </c>
      <c r="S60" s="811">
        <f t="shared" si="4"/>
        <v>-1</v>
      </c>
      <c r="T60" s="176">
        <f t="shared" si="5"/>
        <v>5</v>
      </c>
      <c r="U60" s="251">
        <f t="shared" si="20"/>
        <v>-0.99890758905289434</v>
      </c>
      <c r="V60" s="383">
        <f t="shared" si="6"/>
        <v>37.276969517566599</v>
      </c>
      <c r="W60" s="402"/>
      <c r="X60" s="157">
        <f t="shared" si="7"/>
        <v>43876</v>
      </c>
      <c r="Y60" s="385">
        <f t="shared" si="8"/>
        <v>36.316000000000003</v>
      </c>
      <c r="Z60" s="385">
        <f t="shared" si="9"/>
        <v>36.810106734573019</v>
      </c>
      <c r="AA60" s="386">
        <f t="shared" si="10"/>
        <v>37.954779145210253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3.0158847882050904E-2</v>
      </c>
      <c r="AD60" s="231">
        <f>(INDEX(Models!$BJ60:$BT60,,AH60)*(1-AF60)+INDEX(Models!$BJ60:$BT60,,AH60+1)*AF60-ERP_i)*AE60*Ramure*Pc/MaxiM</f>
        <v>5.009593891690376E-5</v>
      </c>
      <c r="AE60" s="305">
        <f t="shared" si="12"/>
        <v>0.5</v>
      </c>
      <c r="AF60" s="177">
        <f t="shared" si="21"/>
        <v>1.0924109471056598E-3</v>
      </c>
      <c r="AG60" s="811">
        <f t="shared" si="22"/>
        <v>-1</v>
      </c>
      <c r="AH60" s="176">
        <f t="shared" si="13"/>
        <v>5</v>
      </c>
      <c r="AI60" s="225">
        <f t="shared" si="23"/>
        <v>-0.99890758905289434</v>
      </c>
      <c r="AJ60" s="265" t="b">
        <f t="shared" si="14"/>
        <v>1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7">
        <v>21.67</v>
      </c>
      <c r="C61" s="390"/>
      <c r="D61" s="393">
        <f t="shared" si="0"/>
        <v>21.96531788883221</v>
      </c>
      <c r="E61" s="385">
        <f t="shared" si="17"/>
        <v>22.649227233717021</v>
      </c>
      <c r="F61" s="385">
        <f t="shared" si="1"/>
        <v>22.649682841754601</v>
      </c>
      <c r="G61" s="110">
        <f t="shared" si="18"/>
        <v>0.5762128228724418</v>
      </c>
      <c r="H61" s="414" t="b">
        <f>Wh_hp&gt;='2019'!Maxi_hp</f>
        <v>0</v>
      </c>
      <c r="I61" s="380">
        <f>IF(H61,Wh_hp,'2019'!Maxi_hp)</f>
        <v>40.772992464506032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1.3444735483767234E-2</v>
      </c>
      <c r="M61" s="845"/>
      <c r="N61" s="845"/>
      <c r="O61" s="48">
        <f>IF(t&lt;Tnet,'2019'!Resal+('2019'!Salim-'2019'!Resal)*(1-EXP(('2019'!Tnet-t)/('2019'!Tau_j))),Resal+(Salim-Resal)*(1-EXP((Tnet-t)/(Tau_j))))*Salcycl</f>
        <v>3.0195703271796461E-2</v>
      </c>
      <c r="P61" s="169">
        <f>(INDEX(Models!$BJ61:$BT61,,T61)*(1-R61)+INDEX(Models!$BJ61:$BT61,,T61+1)*R61-ERP_i)*Q61*Ramure*Pc/MaxiM</f>
        <v>5.0974796050751925E-5</v>
      </c>
      <c r="Q61" s="305">
        <f t="shared" si="2"/>
        <v>0.5</v>
      </c>
      <c r="R61" s="177">
        <f t="shared" si="3"/>
        <v>1.2752882928938059E-3</v>
      </c>
      <c r="S61" s="811">
        <f t="shared" si="4"/>
        <v>-1</v>
      </c>
      <c r="T61" s="176">
        <f t="shared" si="5"/>
        <v>5</v>
      </c>
      <c r="U61" s="251">
        <f t="shared" si="20"/>
        <v>-0.99872471170710619</v>
      </c>
      <c r="V61" s="383">
        <f t="shared" si="6"/>
        <v>37.60647178241252</v>
      </c>
      <c r="W61" s="402"/>
      <c r="X61" s="157">
        <f t="shared" si="7"/>
        <v>43877</v>
      </c>
      <c r="Y61" s="385">
        <f t="shared" si="8"/>
        <v>21.67</v>
      </c>
      <c r="Z61" s="385">
        <f t="shared" si="9"/>
        <v>21.96531788883221</v>
      </c>
      <c r="AA61" s="386">
        <f t="shared" si="10"/>
        <v>22.649227233717021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3.0195703271796461E-2</v>
      </c>
      <c r="AD61" s="231">
        <f>(INDEX(Models!$BJ61:$BT61,,AH61)*(1-AF61)+INDEX(Models!$BJ61:$BT61,,AH61+1)*AF61-ERP_i)*AE61*Ramure*Pc/MaxiM</f>
        <v>5.0974796050751925E-5</v>
      </c>
      <c r="AE61" s="305">
        <f t="shared" si="12"/>
        <v>0.5</v>
      </c>
      <c r="AF61" s="177">
        <f t="shared" si="21"/>
        <v>1.2752882928938059E-3</v>
      </c>
      <c r="AG61" s="811">
        <f t="shared" si="22"/>
        <v>-1</v>
      </c>
      <c r="AH61" s="176">
        <f t="shared" si="13"/>
        <v>5</v>
      </c>
      <c r="AI61" s="225">
        <f t="shared" si="23"/>
        <v>-0.99872471170710619</v>
      </c>
      <c r="AJ61" s="265" t="b">
        <f t="shared" si="14"/>
        <v>1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7">
        <v>5.5309999999999997</v>
      </c>
      <c r="C62" s="390"/>
      <c r="D62" s="393">
        <f t="shared" si="0"/>
        <v>5.6064990423629038</v>
      </c>
      <c r="E62" s="385">
        <f t="shared" si="17"/>
        <v>5.7812818031807414</v>
      </c>
      <c r="F62" s="385">
        <f t="shared" si="1"/>
        <v>5.7812818031807414</v>
      </c>
      <c r="G62" s="110">
        <f t="shared" si="18"/>
        <v>0.14578403454291278</v>
      </c>
      <c r="H62" s="414" t="b">
        <f>Wh_hp&gt;='2019'!Maxi_hp</f>
        <v>0</v>
      </c>
      <c r="I62" s="380">
        <f>IF(H62,Wh_hp,'2019'!Maxi_hp)</f>
        <v>41.216821259374889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1.3466343575987527E-2</v>
      </c>
      <c r="M62" s="845"/>
      <c r="N62" s="845"/>
      <c r="O62" s="48">
        <f>IF(t&lt;Tnet,'2019'!Resal+('2019'!Salim-'2019'!Resal)*(1-EXP(('2019'!Tnet-t)/('2019'!Tau_j))),Resal+(Salim-Resal)*(1-EXP((Tnet-t)/(Tau_j))))*Salcycl</f>
        <v>3.0232527451209048E-2</v>
      </c>
      <c r="P62" s="169">
        <f>(INDEX(Models!$BJ62:$BT62,,T62)*(1-R62)+INDEX(Models!$BJ62:$BT62,,T62+1)*R62-ERP_i)*Q62*Ramure*Pc/MaxiM</f>
        <v>5.1795722606479503E-5</v>
      </c>
      <c r="Q62" s="305">
        <f t="shared" si="2"/>
        <v>0.5</v>
      </c>
      <c r="R62" s="177">
        <f t="shared" si="3"/>
        <v>1.4656944400500693E-3</v>
      </c>
      <c r="S62" s="811">
        <f t="shared" si="4"/>
        <v>-1</v>
      </c>
      <c r="T62" s="176">
        <f t="shared" si="5"/>
        <v>5</v>
      </c>
      <c r="U62" s="251">
        <f t="shared" si="20"/>
        <v>-0.99853430555994993</v>
      </c>
      <c r="V62" s="383">
        <f t="shared" si="6"/>
        <v>37.937717495603067</v>
      </c>
      <c r="W62" s="402"/>
      <c r="X62" s="157">
        <f t="shared" si="7"/>
        <v>43878</v>
      </c>
      <c r="Y62" s="385">
        <f t="shared" si="8"/>
        <v>5.5309999999999997</v>
      </c>
      <c r="Z62" s="385">
        <f t="shared" si="9"/>
        <v>5.6064990423629038</v>
      </c>
      <c r="AA62" s="386">
        <f t="shared" si="10"/>
        <v>5.7812818031807414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3.0232527451209048E-2</v>
      </c>
      <c r="AD62" s="231">
        <f>(INDEX(Models!$BJ62:$BT62,,AH62)*(1-AF62)+INDEX(Models!$BJ62:$BT62,,AH62+1)*AF62-ERP_i)*AE62*Ramure*Pc/MaxiM</f>
        <v>5.1795722606479503E-5</v>
      </c>
      <c r="AE62" s="305">
        <f t="shared" si="12"/>
        <v>0.5</v>
      </c>
      <c r="AF62" s="177">
        <f t="shared" si="21"/>
        <v>1.4656944400500693E-3</v>
      </c>
      <c r="AG62" s="811">
        <f t="shared" si="22"/>
        <v>-1</v>
      </c>
      <c r="AH62" s="176">
        <f t="shared" si="13"/>
        <v>5</v>
      </c>
      <c r="AI62" s="225">
        <f t="shared" si="23"/>
        <v>-0.99853430555994993</v>
      </c>
      <c r="AJ62" s="265" t="b">
        <f t="shared" si="14"/>
        <v>1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7">
        <v>29.148</v>
      </c>
      <c r="C63" s="390"/>
      <c r="D63" s="393">
        <f t="shared" si="0"/>
        <v>29.546522047354795</v>
      </c>
      <c r="E63" s="385">
        <f t="shared" si="17"/>
        <v>30.468791581580742</v>
      </c>
      <c r="F63" s="385">
        <f t="shared" si="1"/>
        <v>30.469847710991594</v>
      </c>
      <c r="G63" s="110">
        <f t="shared" si="18"/>
        <v>0.76160919193516274</v>
      </c>
      <c r="H63" s="414" t="b">
        <f>Wh_hp&gt;='2019'!Maxi_hp</f>
        <v>0</v>
      </c>
      <c r="I63" s="380">
        <f>IF(H63,Wh_hp,'2019'!Maxi_hp)</f>
        <v>40.739227562492772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1.3487951194935066E-2</v>
      </c>
      <c r="M63" s="845"/>
      <c r="N63" s="845"/>
      <c r="O63" s="48">
        <f>IF(t&lt;Tnet,'2019'!Resal+('2019'!Salim-'2019'!Resal)*(1-EXP(('2019'!Tnet-t)/('2019'!Tau_j))),Resal+(Salim-Resal)*(1-EXP((Tnet-t)/(Tau_j))))*Salcycl</f>
        <v>3.0269317762621203E-2</v>
      </c>
      <c r="P63" s="169">
        <f>(INDEX(Models!$BJ63:$BT63,,T63)*(1-R63)+INDEX(Models!$BJ63:$BT63,,T63+1)*R63-ERP_i)*Q63*Ramure*Pc/MaxiM</f>
        <v>5.2560273849731897E-5</v>
      </c>
      <c r="Q63" s="305">
        <f t="shared" si="2"/>
        <v>0.5</v>
      </c>
      <c r="R63" s="177">
        <f t="shared" si="3"/>
        <v>1.6639331427984461E-3</v>
      </c>
      <c r="S63" s="811">
        <f t="shared" si="4"/>
        <v>-1</v>
      </c>
      <c r="T63" s="176">
        <f t="shared" si="5"/>
        <v>5</v>
      </c>
      <c r="U63" s="251">
        <f t="shared" si="20"/>
        <v>-0.99833606685720155</v>
      </c>
      <c r="V63" s="383">
        <f t="shared" si="6"/>
        <v>38.270911874412285</v>
      </c>
      <c r="W63" s="402"/>
      <c r="X63" s="157">
        <f t="shared" si="7"/>
        <v>43879</v>
      </c>
      <c r="Y63" s="385">
        <f t="shared" si="8"/>
        <v>29.148</v>
      </c>
      <c r="Z63" s="385">
        <f t="shared" si="9"/>
        <v>29.546522047354795</v>
      </c>
      <c r="AA63" s="386">
        <f t="shared" si="10"/>
        <v>30.468791581580742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3.0269317762621203E-2</v>
      </c>
      <c r="AD63" s="231">
        <f>(INDEX(Models!$BJ63:$BT63,,AH63)*(1-AF63)+INDEX(Models!$BJ63:$BT63,,AH63+1)*AF63-ERP_i)*AE63*Ramure*Pc/MaxiM</f>
        <v>5.2560273849731897E-5</v>
      </c>
      <c r="AE63" s="305">
        <f t="shared" si="12"/>
        <v>0.5</v>
      </c>
      <c r="AF63" s="177">
        <f t="shared" si="21"/>
        <v>1.6639331427984461E-3</v>
      </c>
      <c r="AG63" s="811">
        <f t="shared" si="22"/>
        <v>-1</v>
      </c>
      <c r="AH63" s="176">
        <f t="shared" si="13"/>
        <v>5</v>
      </c>
      <c r="AI63" s="225">
        <f t="shared" si="23"/>
        <v>-0.99833606685720155</v>
      </c>
      <c r="AJ63" s="265" t="b">
        <f t="shared" si="14"/>
        <v>1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7">
        <v>25.875</v>
      </c>
      <c r="C64" s="390"/>
      <c r="D64" s="393">
        <f t="shared" si="0"/>
        <v>26.229346892074851</v>
      </c>
      <c r="E64" s="385">
        <f t="shared" si="17"/>
        <v>27.04909882360964</v>
      </c>
      <c r="F64" s="385">
        <f t="shared" si="1"/>
        <v>27.049860935910228</v>
      </c>
      <c r="G64" s="110">
        <f t="shared" si="18"/>
        <v>0.67021127090334598</v>
      </c>
      <c r="H64" s="414" t="b">
        <f>Wh_hp&gt;='2019'!Maxi_hp</f>
        <v>0</v>
      </c>
      <c r="I64" s="380">
        <f>IF(H64,Wh_hp,'2019'!Maxi_hp)</f>
        <v>30.467095054039515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1.3509558340620287E-2</v>
      </c>
      <c r="M64" s="845"/>
      <c r="N64" s="845"/>
      <c r="O64" s="48">
        <f>IF(t&lt;Tnet,'2019'!Resal+('2019'!Salim-'2019'!Resal)*(1-EXP(('2019'!Tnet-t)/('2019'!Tau_j))),Resal+(Salim-Resal)*(1-EXP((Tnet-t)/(Tau_j))))*Salcycl</f>
        <v>3.0306071817049699E-2</v>
      </c>
      <c r="P64" s="169">
        <f>(INDEX(Models!$BJ64:$BT64,,T64)*(1-R64)+INDEX(Models!$BJ64:$BT64,,T64+1)*R64-ERP_i)*Q64*Ramure*Pc/MaxiM</f>
        <v>5.3269988942020384E-5</v>
      </c>
      <c r="Q64" s="305">
        <f t="shared" si="2"/>
        <v>0.5</v>
      </c>
      <c r="R64" s="177">
        <f t="shared" si="3"/>
        <v>1.8703198856073744E-3</v>
      </c>
      <c r="S64" s="811">
        <f t="shared" si="4"/>
        <v>-1</v>
      </c>
      <c r="T64" s="176">
        <f t="shared" si="5"/>
        <v>5</v>
      </c>
      <c r="U64" s="251">
        <f t="shared" si="20"/>
        <v>-0.99812968011439263</v>
      </c>
      <c r="V64" s="383">
        <f t="shared" si="6"/>
        <v>38.606260078588278</v>
      </c>
      <c r="W64" s="402"/>
      <c r="X64" s="157">
        <f t="shared" si="7"/>
        <v>43880</v>
      </c>
      <c r="Y64" s="385">
        <f t="shared" si="8"/>
        <v>25.875</v>
      </c>
      <c r="Z64" s="385">
        <f t="shared" si="9"/>
        <v>26.229346892074851</v>
      </c>
      <c r="AA64" s="386">
        <f t="shared" si="10"/>
        <v>27.04909882360964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3.0306071817049699E-2</v>
      </c>
      <c r="AD64" s="231">
        <f>(INDEX(Models!$BJ64:$BT64,,AH64)*(1-AF64)+INDEX(Models!$BJ64:$BT64,,AH64+1)*AF64-ERP_i)*AE64*Ramure*Pc/MaxiM</f>
        <v>5.3269988942020384E-5</v>
      </c>
      <c r="AE64" s="305">
        <f t="shared" si="12"/>
        <v>0.5</v>
      </c>
      <c r="AF64" s="177">
        <f t="shared" si="21"/>
        <v>1.8703198856073744E-3</v>
      </c>
      <c r="AG64" s="811">
        <f t="shared" si="22"/>
        <v>-1</v>
      </c>
      <c r="AH64" s="176">
        <f t="shared" si="13"/>
        <v>5</v>
      </c>
      <c r="AI64" s="225">
        <f t="shared" si="23"/>
        <v>-0.99812968011439263</v>
      </c>
      <c r="AJ64" s="265" t="b">
        <f t="shared" si="14"/>
        <v>1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7">
        <v>38.886000000000003</v>
      </c>
      <c r="C65" s="390"/>
      <c r="D65" s="393">
        <f t="shared" si="0"/>
        <v>39.41939027451847</v>
      </c>
      <c r="E65" s="385">
        <f t="shared" si="17"/>
        <v>40.652912975806949</v>
      </c>
      <c r="F65" s="385">
        <f t="shared" si="1"/>
        <v>40.655100676030095</v>
      </c>
      <c r="G65" s="110">
        <f t="shared" si="18"/>
        <v>0.99850745835548305</v>
      </c>
      <c r="H65" s="414" t="b">
        <f>Wh_hp&gt;='2019'!Maxi_hp</f>
        <v>1</v>
      </c>
      <c r="I65" s="380">
        <f>IF(H65,Wh_hp,'2019'!Maxi_hp)</f>
        <v>40.655100676030095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1.3531165013053625E-2</v>
      </c>
      <c r="M65" s="845"/>
      <c r="N65" s="845"/>
      <c r="O65" s="48">
        <f>IF(t&lt;Tnet,'2019'!Resal+('2019'!Salim-'2019'!Resal)*(1-EXP(('2019'!Tnet-t)/('2019'!Tau_j))),Resal+(Salim-Resal)*(1-EXP((Tnet-t)/(Tau_j))))*Salcycl</f>
        <v>3.0342787539543847E-2</v>
      </c>
      <c r="P65" s="169">
        <f>(INDEX(Models!$BJ65:$BT65,,T65)*(1-R65)+INDEX(Models!$BJ65:$BT65,,T65+1)*R65-ERP_i)*Q65*Ramure*Pc/MaxiM</f>
        <v>5.3926184244338758E-5</v>
      </c>
      <c r="Q65" s="305">
        <f t="shared" si="2"/>
        <v>0.5</v>
      </c>
      <c r="R65" s="177">
        <f t="shared" si="3"/>
        <v>2.0851822915176621E-3</v>
      </c>
      <c r="S65" s="811">
        <f t="shared" si="4"/>
        <v>-1</v>
      </c>
      <c r="T65" s="176">
        <f t="shared" si="5"/>
        <v>5</v>
      </c>
      <c r="U65" s="251">
        <f t="shared" si="20"/>
        <v>-0.99791481770848234</v>
      </c>
      <c r="V65" s="383">
        <f t="shared" si="6"/>
        <v>38.944121251708587</v>
      </c>
      <c r="W65" s="402"/>
      <c r="X65" s="157">
        <f t="shared" si="7"/>
        <v>43881</v>
      </c>
      <c r="Y65" s="385">
        <f t="shared" si="8"/>
        <v>38.886000000000003</v>
      </c>
      <c r="Z65" s="385">
        <f t="shared" si="9"/>
        <v>39.41939027451847</v>
      </c>
      <c r="AA65" s="386">
        <f t="shared" si="10"/>
        <v>40.652912975806949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3.0342787539543847E-2</v>
      </c>
      <c r="AD65" s="231">
        <f>(INDEX(Models!$BJ65:$BT65,,AH65)*(1-AF65)+INDEX(Models!$BJ65:$BT65,,AH65+1)*AF65-ERP_i)*AE65*Ramure*Pc/MaxiM</f>
        <v>5.3926184244338758E-5</v>
      </c>
      <c r="AE65" s="305">
        <f t="shared" si="12"/>
        <v>0.5</v>
      </c>
      <c r="AF65" s="177">
        <f t="shared" si="21"/>
        <v>2.0851822915176621E-3</v>
      </c>
      <c r="AG65" s="811">
        <f t="shared" si="22"/>
        <v>-1</v>
      </c>
      <c r="AH65" s="176">
        <f t="shared" si="13"/>
        <v>5</v>
      </c>
      <c r="AI65" s="225">
        <f t="shared" si="23"/>
        <v>-0.99791481770848234</v>
      </c>
      <c r="AJ65" s="265" t="b">
        <f t="shared" si="14"/>
        <v>1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7">
        <v>13.51</v>
      </c>
      <c r="C66" s="390"/>
      <c r="D66" s="393">
        <f t="shared" si="0"/>
        <v>13.69561351660184</v>
      </c>
      <c r="E66" s="385">
        <f t="shared" si="17"/>
        <v>14.124714769326923</v>
      </c>
      <c r="F66" s="385">
        <f t="shared" si="1"/>
        <v>14.124762784862954</v>
      </c>
      <c r="G66" s="110">
        <f t="shared" si="18"/>
        <v>0.34388384830858509</v>
      </c>
      <c r="H66" s="414" t="b">
        <f>Wh_hp&gt;='2019'!Maxi_hp</f>
        <v>0</v>
      </c>
      <c r="I66" s="380">
        <f>IF(H66,Wh_hp,'2019'!Maxi_hp)</f>
        <v>38.737384022485628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1.3552771212245407E-2</v>
      </c>
      <c r="M66" s="845"/>
      <c r="N66" s="845"/>
      <c r="O66" s="48">
        <f>IF(t&lt;Tnet,'2019'!Resal+('2019'!Salim-'2019'!Resal)*(1-EXP(('2019'!Tnet-t)/('2019'!Tau_j))),Resal+(Salim-Resal)*(1-EXP((Tnet-t)/(Tau_j))))*Salcycl</f>
        <v>3.0379463212730752E-2</v>
      </c>
      <c r="P66" s="169">
        <f>(INDEX(Models!$BJ66:$BT66,,T66)*(1-R66)+INDEX(Models!$BJ66:$BT66,,T66+1)*R66-ERP_i)*Q66*Ramure*Pc/MaxiM</f>
        <v>5.4202720277819017E-5</v>
      </c>
      <c r="Q66" s="305">
        <f t="shared" si="2"/>
        <v>0.5</v>
      </c>
      <c r="R66" s="177">
        <f t="shared" si="3"/>
        <v>2.3088605408042584E-3</v>
      </c>
      <c r="S66" s="811">
        <f t="shared" si="4"/>
        <v>-1</v>
      </c>
      <c r="T66" s="176">
        <f t="shared" si="5"/>
        <v>5</v>
      </c>
      <c r="U66" s="251">
        <f t="shared" si="20"/>
        <v>-0.99769113945919574</v>
      </c>
      <c r="V66" s="383">
        <f t="shared" si="6"/>
        <v>39.284525025184109</v>
      </c>
      <c r="W66" s="402"/>
      <c r="X66" s="157">
        <f t="shared" si="7"/>
        <v>43882</v>
      </c>
      <c r="Y66" s="385">
        <f t="shared" si="8"/>
        <v>13.51</v>
      </c>
      <c r="Z66" s="385">
        <f t="shared" si="9"/>
        <v>13.69561351660184</v>
      </c>
      <c r="AA66" s="386">
        <f t="shared" si="10"/>
        <v>14.124714769326923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3.0379463212730752E-2</v>
      </c>
      <c r="AD66" s="231">
        <f>(INDEX(Models!$BJ66:$BT66,,AH66)*(1-AF66)+INDEX(Models!$BJ66:$BT66,,AH66+1)*AF66-ERP_i)*AE66*Ramure*Pc/MaxiM</f>
        <v>5.4202720277819017E-5</v>
      </c>
      <c r="AE66" s="305">
        <f t="shared" si="12"/>
        <v>0.5</v>
      </c>
      <c r="AF66" s="177">
        <f t="shared" si="21"/>
        <v>2.3088605408042584E-3</v>
      </c>
      <c r="AG66" s="811">
        <f t="shared" si="22"/>
        <v>-1</v>
      </c>
      <c r="AH66" s="176">
        <f t="shared" si="13"/>
        <v>5</v>
      </c>
      <c r="AI66" s="225">
        <f t="shared" si="23"/>
        <v>-0.99769113945919574</v>
      </c>
      <c r="AJ66" s="265" t="b">
        <f t="shared" si="14"/>
        <v>1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7">
        <v>37.527000000000001</v>
      </c>
      <c r="C67" s="390"/>
      <c r="D67" s="393">
        <f t="shared" si="0"/>
        <v>38.043415664243291</v>
      </c>
      <c r="E67" s="385">
        <f t="shared" si="17"/>
        <v>39.23684744235478</v>
      </c>
      <c r="F67" s="385">
        <f t="shared" si="1"/>
        <v>39.238804386966351</v>
      </c>
      <c r="G67" s="110">
        <f t="shared" si="18"/>
        <v>0.94699792158059981</v>
      </c>
      <c r="H67" s="414" t="b">
        <f>Wh_hp&gt;='2019'!Maxi_hp</f>
        <v>0</v>
      </c>
      <c r="I67" s="380">
        <f>IF(H67,Wh_hp,'2019'!Maxi_hp)</f>
        <v>40.196901311599696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1.3574376938205956E-2</v>
      </c>
      <c r="M67" s="845"/>
      <c r="N67" s="845"/>
      <c r="O67" s="48">
        <f>IF(t&lt;Tnet,'2019'!Resal+('2019'!Salim-'2019'!Resal)*(1-EXP(('2019'!Tnet-t)/('2019'!Tau_j))),Resal+(Salim-Resal)*(1-EXP((Tnet-t)/(Tau_j))))*Salcycl</f>
        <v>3.0416097518151351E-2</v>
      </c>
      <c r="P67" s="169">
        <f>(INDEX(Models!$BJ67:$BT67,,T67)*(1-R67)+INDEX(Models!$BJ67:$BT67,,T67+1)*R67-ERP_i)*Q67*Ramure*Pc/MaxiM</f>
        <v>5.3957935588254796E-5</v>
      </c>
      <c r="Q67" s="305">
        <f t="shared" si="2"/>
        <v>0.5</v>
      </c>
      <c r="R67" s="177">
        <f t="shared" si="3"/>
        <v>2.5417077998735049E-3</v>
      </c>
      <c r="S67" s="811">
        <f t="shared" si="4"/>
        <v>-1</v>
      </c>
      <c r="T67" s="176">
        <f t="shared" si="5"/>
        <v>5</v>
      </c>
      <c r="U67" s="251">
        <f t="shared" si="20"/>
        <v>-0.9974582922001265</v>
      </c>
      <c r="V67" s="383">
        <f t="shared" si="6"/>
        <v>39.627169004338832</v>
      </c>
      <c r="W67" s="402"/>
      <c r="X67" s="157">
        <f t="shared" si="7"/>
        <v>43883</v>
      </c>
      <c r="Y67" s="385">
        <f t="shared" si="8"/>
        <v>37.527000000000001</v>
      </c>
      <c r="Z67" s="385">
        <f t="shared" si="9"/>
        <v>38.043415664243291</v>
      </c>
      <c r="AA67" s="386">
        <f t="shared" si="10"/>
        <v>39.23684744235478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3.0416097518151351E-2</v>
      </c>
      <c r="AD67" s="231">
        <f>(INDEX(Models!$BJ67:$BT67,,AH67)*(1-AF67)+INDEX(Models!$BJ67:$BT67,,AH67+1)*AF67-ERP_i)*AE67*Ramure*Pc/MaxiM</f>
        <v>5.3957935588254796E-5</v>
      </c>
      <c r="AE67" s="305">
        <f t="shared" si="12"/>
        <v>0.5</v>
      </c>
      <c r="AF67" s="177">
        <f t="shared" si="21"/>
        <v>2.5417077998735049E-3</v>
      </c>
      <c r="AG67" s="811">
        <f t="shared" si="22"/>
        <v>-1</v>
      </c>
      <c r="AH67" s="176">
        <f t="shared" si="13"/>
        <v>5</v>
      </c>
      <c r="AI67" s="225">
        <f t="shared" si="23"/>
        <v>-0.9974582922001265</v>
      </c>
      <c r="AJ67" s="265" t="b">
        <f t="shared" si="14"/>
        <v>1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7">
        <v>39.113</v>
      </c>
      <c r="C68" s="390"/>
      <c r="D68" s="393">
        <f t="shared" si="0"/>
        <v>39.652109372866924</v>
      </c>
      <c r="E68" s="385">
        <f t="shared" si="17"/>
        <v>40.897549760089554</v>
      </c>
      <c r="F68" s="385">
        <f t="shared" si="1"/>
        <v>40.899659056750139</v>
      </c>
      <c r="G68" s="110">
        <f t="shared" si="18"/>
        <v>0.97851460516985611</v>
      </c>
      <c r="H68" s="414" t="b">
        <f>Wh_hp&gt;='2019'!Maxi_hp</f>
        <v>1</v>
      </c>
      <c r="I68" s="380">
        <f>IF(H68,Wh_hp,'2019'!Maxi_hp)</f>
        <v>40.899659056750139</v>
      </c>
      <c r="J68" s="85">
        <f>IF(H68,An,'2019'!An_max)</f>
        <v>2020</v>
      </c>
      <c r="K68" s="197">
        <f t="shared" si="19"/>
        <v>43884</v>
      </c>
      <c r="L68" s="147">
        <f>IF(t&lt;Tvie,1-EXP((T0-t)*PertePVj)+'2019'!Pspv,1-EXP((T0-t)*PertePVj)+Pspv)</f>
        <v>1.3595982190945599E-2</v>
      </c>
      <c r="M68" s="845"/>
      <c r="N68" s="845"/>
      <c r="O68" s="48">
        <f>IF(t&lt;Tnet,'2019'!Resal+('2019'!Salim-'2019'!Resal)*(1-EXP(('2019'!Tnet-t)/('2019'!Tau_j))),Resal+(Salim-Resal)*(1-EXP((Tnet-t)/(Tau_j))))*Salcycl</f>
        <v>3.0452689575012303E-2</v>
      </c>
      <c r="P68" s="169">
        <f>(INDEX(Models!$BJ68:$BT68,,T68)*(1-R68)+INDEX(Models!$BJ68:$BT68,,T68+1)*R68-ERP_i)*Q68*Ramure*Pc/MaxiM</f>
        <v>5.3205410003336562E-5</v>
      </c>
      <c r="Q68" s="305">
        <f t="shared" si="2"/>
        <v>0.5</v>
      </c>
      <c r="R68" s="177">
        <f t="shared" si="3"/>
        <v>2.7840906602514259E-3</v>
      </c>
      <c r="S68" s="811">
        <f t="shared" si="4"/>
        <v>-1</v>
      </c>
      <c r="T68" s="176">
        <f t="shared" si="5"/>
        <v>5</v>
      </c>
      <c r="U68" s="251">
        <f t="shared" si="20"/>
        <v>-0.99721590933974857</v>
      </c>
      <c r="V68" s="383">
        <f t="shared" si="6"/>
        <v>39.971744847840448</v>
      </c>
      <c r="W68" s="402"/>
      <c r="X68" s="157">
        <f t="shared" si="7"/>
        <v>43884</v>
      </c>
      <c r="Y68" s="385">
        <f t="shared" si="8"/>
        <v>39.113</v>
      </c>
      <c r="Z68" s="385">
        <f t="shared" si="9"/>
        <v>39.652109372866924</v>
      </c>
      <c r="AA68" s="386">
        <f t="shared" si="10"/>
        <v>40.897549760089554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3.0452689575012303E-2</v>
      </c>
      <c r="AD68" s="231">
        <f>(INDEX(Models!$BJ68:$BT68,,AH68)*(1-AF68)+INDEX(Models!$BJ68:$BT68,,AH68+1)*AF68-ERP_i)*AE68*Ramure*Pc/MaxiM</f>
        <v>5.3205410003336562E-5</v>
      </c>
      <c r="AE68" s="305">
        <f t="shared" si="12"/>
        <v>0.5</v>
      </c>
      <c r="AF68" s="177">
        <f t="shared" si="21"/>
        <v>2.7840906602514259E-3</v>
      </c>
      <c r="AG68" s="811">
        <f t="shared" si="22"/>
        <v>-1</v>
      </c>
      <c r="AH68" s="176">
        <f t="shared" si="13"/>
        <v>5</v>
      </c>
      <c r="AI68" s="225">
        <f t="shared" si="23"/>
        <v>-0.99721590933974857</v>
      </c>
      <c r="AJ68" s="265" t="b">
        <f t="shared" si="14"/>
        <v>1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7">
        <v>37.542999999999999</v>
      </c>
      <c r="C69" s="390"/>
      <c r="D69" s="393">
        <f t="shared" si="0"/>
        <v>38.06130310524528</v>
      </c>
      <c r="E69" s="385">
        <f t="shared" si="17"/>
        <v>39.258257499942872</v>
      </c>
      <c r="F69" s="385">
        <f t="shared" si="1"/>
        <v>39.260096831969705</v>
      </c>
      <c r="G69" s="110">
        <f t="shared" si="18"/>
        <v>0.93116871118482358</v>
      </c>
      <c r="H69" s="414" t="b">
        <f>Wh_hp&gt;='2019'!Maxi_hp</f>
        <v>0</v>
      </c>
      <c r="I69" s="380">
        <f>IF(H69,Wh_hp,'2019'!Maxi_hp)</f>
        <v>41.03378848015074</v>
      </c>
      <c r="J69" s="85">
        <f>IF(H69,An,'2019'!An_max)</f>
        <v>2019</v>
      </c>
      <c r="K69" s="197">
        <f t="shared" si="19"/>
        <v>43885</v>
      </c>
      <c r="L69" s="147">
        <f>IF(t&lt;Tvie,1-EXP((T0-t)*PertePVj)+'2019'!Pspv,1-EXP((T0-t)*PertePVj)+Pspv)</f>
        <v>1.3617586970474771E-2</v>
      </c>
      <c r="M69" s="845"/>
      <c r="N69" s="845"/>
      <c r="O69" s="48">
        <f>IF(t&lt;Tnet,'2019'!Resal+('2019'!Salim-'2019'!Resal)*(1-EXP(('2019'!Tnet-t)/('2019'!Tau_j))),Resal+(Salim-Resal)*(1-EXP((Tnet-t)/(Tau_j))))*Salcycl</f>
        <v>3.0489238976012561E-2</v>
      </c>
      <c r="P69" s="169">
        <f>(INDEX(Models!$BJ69:$BT69,,T69)*(1-R69)+INDEX(Models!$BJ69:$BT69,,T69+1)*R69-ERP_i)*Q69*Ramure*Pc/MaxiM</f>
        <v>5.1958675476483795E-5</v>
      </c>
      <c r="Q69" s="305">
        <f t="shared" si="2"/>
        <v>0.5</v>
      </c>
      <c r="R69" s="177">
        <f t="shared" si="3"/>
        <v>3.0363895874696567E-3</v>
      </c>
      <c r="S69" s="811">
        <f t="shared" si="4"/>
        <v>-1</v>
      </c>
      <c r="T69" s="176">
        <f t="shared" si="5"/>
        <v>5</v>
      </c>
      <c r="U69" s="251">
        <f t="shared" si="20"/>
        <v>-0.99696361041253034</v>
      </c>
      <c r="V69" s="383">
        <f t="shared" si="6"/>
        <v>40.317944258333732</v>
      </c>
      <c r="W69" s="402"/>
      <c r="X69" s="157">
        <f t="shared" si="7"/>
        <v>43885</v>
      </c>
      <c r="Y69" s="385">
        <f t="shared" si="8"/>
        <v>37.542999999999999</v>
      </c>
      <c r="Z69" s="385">
        <f t="shared" si="9"/>
        <v>38.06130310524528</v>
      </c>
      <c r="AA69" s="386">
        <f t="shared" si="10"/>
        <v>39.258257499942872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3.0489238976012561E-2</v>
      </c>
      <c r="AD69" s="231">
        <f>(INDEX(Models!$BJ69:$BT69,,AH69)*(1-AF69)+INDEX(Models!$BJ69:$BT69,,AH69+1)*AF69-ERP_i)*AE69*Ramure*Pc/MaxiM</f>
        <v>5.1958675476483795E-5</v>
      </c>
      <c r="AE69" s="305">
        <f t="shared" si="12"/>
        <v>0.5</v>
      </c>
      <c r="AF69" s="177">
        <f t="shared" si="21"/>
        <v>3.0363895874696567E-3</v>
      </c>
      <c r="AG69" s="811">
        <f t="shared" si="22"/>
        <v>-1</v>
      </c>
      <c r="AH69" s="176">
        <f t="shared" si="13"/>
        <v>5</v>
      </c>
      <c r="AI69" s="225">
        <f t="shared" si="23"/>
        <v>-0.99696361041253034</v>
      </c>
      <c r="AJ69" s="265" t="b">
        <f t="shared" si="14"/>
        <v>1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7">
        <v>16.948</v>
      </c>
      <c r="C70" s="390"/>
      <c r="D70" s="393">
        <f t="shared" si="0"/>
        <v>17.182353404671964</v>
      </c>
      <c r="E70" s="385">
        <f t="shared" si="17"/>
        <v>17.72337257084159</v>
      </c>
      <c r="F70" s="385">
        <f t="shared" si="1"/>
        <v>17.723521075913467</v>
      </c>
      <c r="G70" s="110">
        <f t="shared" si="18"/>
        <v>0.4167490324190129</v>
      </c>
      <c r="H70" s="414" t="b">
        <f>Wh_hp&gt;='2019'!Maxi_hp</f>
        <v>0</v>
      </c>
      <c r="I70" s="380">
        <f>IF(H70,Wh_hp,'2019'!Maxi_hp)</f>
        <v>42.028165575806206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1.3639191276803908E-2</v>
      </c>
      <c r="M70" s="845"/>
      <c r="N70" s="845"/>
      <c r="O70" s="48">
        <f>IF(t&lt;Tnet,'2019'!Resal+('2019'!Salim-'2019'!Resal)*(1-EXP(('2019'!Tnet-t)/('2019'!Tau_j))),Resal+(Salim-Resal)*(1-EXP((Tnet-t)/(Tau_j))))*Salcycl</f>
        <v>3.0525745819941164E-2</v>
      </c>
      <c r="P70" s="169">
        <f>(INDEX(Models!$BJ70:$BT70,,T70)*(1-R70)+INDEX(Models!$BJ70:$BT70,,T70+1)*R70-ERP_i)*Q70*Ramure*Pc/MaxiM</f>
        <v>5.0230922066061157E-5</v>
      </c>
      <c r="Q70" s="305">
        <f t="shared" si="2"/>
        <v>0.5</v>
      </c>
      <c r="R70" s="177">
        <f t="shared" si="3"/>
        <v>3.2989993796057604E-3</v>
      </c>
      <c r="S70" s="811">
        <f t="shared" si="4"/>
        <v>-1</v>
      </c>
      <c r="T70" s="176">
        <f t="shared" si="5"/>
        <v>5</v>
      </c>
      <c r="U70" s="251">
        <f t="shared" si="20"/>
        <v>-0.99670100062039424</v>
      </c>
      <c r="V70" s="383">
        <f t="shared" si="6"/>
        <v>40.665458991023051</v>
      </c>
      <c r="W70" s="402"/>
      <c r="X70" s="157">
        <f t="shared" si="7"/>
        <v>43886</v>
      </c>
      <c r="Y70" s="385">
        <f t="shared" si="8"/>
        <v>16.948</v>
      </c>
      <c r="Z70" s="385">
        <f t="shared" si="9"/>
        <v>17.182353404671964</v>
      </c>
      <c r="AA70" s="386">
        <f t="shared" si="10"/>
        <v>17.72337257084159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3.0525745819941164E-2</v>
      </c>
      <c r="AD70" s="231">
        <f>(INDEX(Models!$BJ70:$BT70,,AH70)*(1-AF70)+INDEX(Models!$BJ70:$BT70,,AH70+1)*AF70-ERP_i)*AE70*Ramure*Pc/MaxiM</f>
        <v>5.0230922066061157E-5</v>
      </c>
      <c r="AE70" s="305">
        <f t="shared" si="12"/>
        <v>0.5</v>
      </c>
      <c r="AF70" s="177">
        <f t="shared" si="21"/>
        <v>3.2989993796057604E-3</v>
      </c>
      <c r="AG70" s="811">
        <f t="shared" si="22"/>
        <v>-1</v>
      </c>
      <c r="AH70" s="176">
        <f t="shared" si="13"/>
        <v>5</v>
      </c>
      <c r="AI70" s="225">
        <f t="shared" si="23"/>
        <v>-0.99670100062039424</v>
      </c>
      <c r="AJ70" s="265" t="b">
        <f t="shared" si="14"/>
        <v>1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7">
        <v>18.074999999999999</v>
      </c>
      <c r="C71" s="390"/>
      <c r="D71" s="393">
        <f t="shared" si="0"/>
        <v>18.325338697263632</v>
      </c>
      <c r="E71" s="385">
        <f t="shared" si="17"/>
        <v>18.903057937597694</v>
      </c>
      <c r="F71" s="385">
        <f t="shared" si="1"/>
        <v>18.90324045332823</v>
      </c>
      <c r="G71" s="110">
        <f t="shared" si="18"/>
        <v>0.44068646606510392</v>
      </c>
      <c r="H71" s="414" t="b">
        <f>Wh_hp&gt;='2019'!Maxi_hp</f>
        <v>0</v>
      </c>
      <c r="I71" s="380">
        <f>IF(H71,Wh_hp,'2019'!Maxi_hp)</f>
        <v>38.261290092019415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1.3660795109943225E-2</v>
      </c>
      <c r="M71" s="845"/>
      <c r="N71" s="845"/>
      <c r="O71" s="48">
        <f>IF(t&lt;Tnet,'2019'!Resal+('2019'!Salim-'2019'!Resal)*(1-EXP(('2019'!Tnet-t)/('2019'!Tau_j))),Resal+(Salim-Resal)*(1-EXP((Tnet-t)/(Tau_j))))*Salcycl</f>
        <v>3.056221074078146E-2</v>
      </c>
      <c r="P71" s="169">
        <f>(INDEX(Models!$BJ71:$BT71,,T71)*(1-R71)+INDEX(Models!$BJ71:$BT71,,T71+1)*R71-ERP_i)*Q71*Ramure*Pc/MaxiM</f>
        <v>4.8034973032761719E-5</v>
      </c>
      <c r="Q71" s="305">
        <f t="shared" si="2"/>
        <v>0.5</v>
      </c>
      <c r="R71" s="177">
        <f t="shared" si="3"/>
        <v>3.5723296351710676E-3</v>
      </c>
      <c r="S71" s="811">
        <f t="shared" si="4"/>
        <v>-1</v>
      </c>
      <c r="T71" s="176">
        <f t="shared" si="5"/>
        <v>5</v>
      </c>
      <c r="U71" s="251">
        <f t="shared" si="20"/>
        <v>-0.99642767036482893</v>
      </c>
      <c r="V71" s="383">
        <f t="shared" si="6"/>
        <v>41.013980849928245</v>
      </c>
      <c r="W71" s="402"/>
      <c r="X71" s="157">
        <f t="shared" si="7"/>
        <v>43887</v>
      </c>
      <c r="Y71" s="385">
        <f t="shared" si="8"/>
        <v>18.074999999999999</v>
      </c>
      <c r="Z71" s="385">
        <f t="shared" si="9"/>
        <v>18.325338697263632</v>
      </c>
      <c r="AA71" s="386">
        <f t="shared" si="10"/>
        <v>18.903057937597694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3.056221074078146E-2</v>
      </c>
      <c r="AD71" s="231">
        <f>(INDEX(Models!$BJ71:$BT71,,AH71)*(1-AF71)+INDEX(Models!$BJ71:$BT71,,AH71+1)*AF71-ERP_i)*AE71*Ramure*Pc/MaxiM</f>
        <v>4.8034973032761719E-5</v>
      </c>
      <c r="AE71" s="305">
        <f t="shared" si="12"/>
        <v>0.5</v>
      </c>
      <c r="AF71" s="177">
        <f t="shared" si="21"/>
        <v>3.5723296351710676E-3</v>
      </c>
      <c r="AG71" s="811">
        <f t="shared" si="22"/>
        <v>-1</v>
      </c>
      <c r="AH71" s="176">
        <f t="shared" si="13"/>
        <v>5</v>
      </c>
      <c r="AI71" s="225">
        <f t="shared" si="23"/>
        <v>-0.99642767036482893</v>
      </c>
      <c r="AJ71" s="265" t="b">
        <f t="shared" si="14"/>
        <v>1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7">
        <v>7.7910000000000004</v>
      </c>
      <c r="C72" s="390"/>
      <c r="D72" s="393">
        <f t="shared" si="0"/>
        <v>7.8990783373566948</v>
      </c>
      <c r="E72" s="385">
        <f t="shared" si="17"/>
        <v>8.1484085147863983</v>
      </c>
      <c r="F72" s="385">
        <f t="shared" si="1"/>
        <v>8.1484085147863983</v>
      </c>
      <c r="G72" s="110">
        <f t="shared" si="18"/>
        <v>0.18834727732215412</v>
      </c>
      <c r="H72" s="414" t="b">
        <f>Wh_hp&gt;='2019'!Maxi_hp</f>
        <v>0</v>
      </c>
      <c r="I72" s="380">
        <f>IF(H72,Wh_hp,'2019'!Maxi_hp)</f>
        <v>42.246597609719124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1.3682398469903156E-2</v>
      </c>
      <c r="M72" s="845"/>
      <c r="N72" s="845"/>
      <c r="O72" s="48">
        <f>IF(t&lt;Tnet,'2019'!Resal+('2019'!Salim-'2019'!Resal)*(1-EXP(('2019'!Tnet-t)/('2019'!Tau_j))),Resal+(Salim-Resal)*(1-EXP((Tnet-t)/(Tau_j))))*Salcycl</f>
        <v>3.0598634933098803E-2</v>
      </c>
      <c r="P72" s="169">
        <f>(INDEX(Models!$BJ72:$BT72,,T72)*(1-R72)+INDEX(Models!$BJ72:$BT72,,T72+1)*R72-ERP_i)*Q72*Ramure*Pc/MaxiM</f>
        <v>4.5506512604370464E-5</v>
      </c>
      <c r="Q72" s="305">
        <f t="shared" si="2"/>
        <v>0.5</v>
      </c>
      <c r="R72" s="177">
        <f t="shared" si="3"/>
        <v>3.8568052299812194E-3</v>
      </c>
      <c r="S72" s="811">
        <f t="shared" si="4"/>
        <v>-1</v>
      </c>
      <c r="T72" s="176">
        <f t="shared" si="5"/>
        <v>5</v>
      </c>
      <c r="U72" s="251">
        <f t="shared" si="20"/>
        <v>-0.99614319477001878</v>
      </c>
      <c r="V72" s="383">
        <f t="shared" si="6"/>
        <v>41.363196588368915</v>
      </c>
      <c r="W72" s="402"/>
      <c r="X72" s="157">
        <f t="shared" si="7"/>
        <v>43888</v>
      </c>
      <c r="Y72" s="385">
        <f t="shared" si="8"/>
        <v>7.7910000000000013</v>
      </c>
      <c r="Z72" s="385">
        <f t="shared" si="9"/>
        <v>7.8990783373566957</v>
      </c>
      <c r="AA72" s="386">
        <f t="shared" si="10"/>
        <v>8.1484085147863983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3.0598634933098803E-2</v>
      </c>
      <c r="AD72" s="231">
        <f>(INDEX(Models!$BJ72:$BT72,,AH72)*(1-AF72)+INDEX(Models!$BJ72:$BT72,,AH72+1)*AF72-ERP_i)*AE72*Ramure*Pc/MaxiM</f>
        <v>4.5506512604370464E-5</v>
      </c>
      <c r="AE72" s="305">
        <f t="shared" si="12"/>
        <v>0.5</v>
      </c>
      <c r="AF72" s="177">
        <f t="shared" si="21"/>
        <v>3.8568052299812194E-3</v>
      </c>
      <c r="AG72" s="811">
        <f t="shared" si="22"/>
        <v>-1</v>
      </c>
      <c r="AH72" s="176">
        <f t="shared" si="13"/>
        <v>5</v>
      </c>
      <c r="AI72" s="225">
        <f t="shared" si="23"/>
        <v>-0.99614319477001878</v>
      </c>
      <c r="AJ72" s="265" t="b">
        <f t="shared" si="14"/>
        <v>1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7">
        <v>17.643000000000001</v>
      </c>
      <c r="C73" s="390"/>
      <c r="D73" s="393">
        <f t="shared" si="0"/>
        <v>17.888139082251911</v>
      </c>
      <c r="E73" s="385">
        <f t="shared" si="17"/>
        <v>18.453461239598479</v>
      </c>
      <c r="F73" s="385">
        <f t="shared" si="1"/>
        <v>18.45360009496628</v>
      </c>
      <c r="G73" s="110">
        <f t="shared" si="18"/>
        <v>0.42294885503780455</v>
      </c>
      <c r="H73" s="414" t="b">
        <f>Wh_hp&gt;='2019'!Maxi_hp</f>
        <v>0</v>
      </c>
      <c r="I73" s="380">
        <f>IF(H73,Wh_hp,'2019'!Maxi_hp)</f>
        <v>33.212696402248028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1.3704001356694029E-2</v>
      </c>
      <c r="M73" s="845"/>
      <c r="N73" s="845"/>
      <c r="O73" s="48">
        <f>IF(t&lt;Tnet,'2019'!Resal+('2019'!Salim-'2019'!Resal)*(1-EXP(('2019'!Tnet-t)/('2019'!Tau_j))),Resal+(Salim-Resal)*(1-EXP((Tnet-t)/(Tau_j))))*Salcycl</f>
        <v>3.0635020173530838E-2</v>
      </c>
      <c r="P73" s="169">
        <f>(INDEX(Models!$BJ73:$BT73,,T73)*(1-R73)+INDEX(Models!$BJ73:$BT73,,T73+1)*R73-ERP_i)*Q73*Ramure*Pc/MaxiM</f>
        <v>4.2835354614729453E-5</v>
      </c>
      <c r="Q73" s="305">
        <f t="shared" si="2"/>
        <v>0.5</v>
      </c>
      <c r="R73" s="177">
        <f t="shared" si="3"/>
        <v>4.1528668025688775E-3</v>
      </c>
      <c r="S73" s="811">
        <f t="shared" si="4"/>
        <v>-1</v>
      </c>
      <c r="T73" s="176">
        <f t="shared" si="5"/>
        <v>5</v>
      </c>
      <c r="U73" s="251">
        <f t="shared" si="20"/>
        <v>-0.99584713319743112</v>
      </c>
      <c r="V73" s="383">
        <f t="shared" si="6"/>
        <v>41.712790558390694</v>
      </c>
      <c r="W73" s="402"/>
      <c r="X73" s="157">
        <f t="shared" si="7"/>
        <v>43889</v>
      </c>
      <c r="Y73" s="385">
        <f t="shared" si="8"/>
        <v>17.643000000000001</v>
      </c>
      <c r="Z73" s="385">
        <f t="shared" si="9"/>
        <v>17.888139082251911</v>
      </c>
      <c r="AA73" s="386">
        <f t="shared" si="10"/>
        <v>18.453461239598479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3.0635020173530838E-2</v>
      </c>
      <c r="AD73" s="231">
        <f>(INDEX(Models!$BJ73:$BT73,,AH73)*(1-AF73)+INDEX(Models!$BJ73:$BT73,,AH73+1)*AF73-ERP_i)*AE73*Ramure*Pc/MaxiM</f>
        <v>4.2835354614729453E-5</v>
      </c>
      <c r="AE73" s="305">
        <f t="shared" si="12"/>
        <v>0.5</v>
      </c>
      <c r="AF73" s="177">
        <f t="shared" si="21"/>
        <v>4.1528668025688775E-3</v>
      </c>
      <c r="AG73" s="811">
        <f t="shared" si="22"/>
        <v>-1</v>
      </c>
      <c r="AH73" s="176">
        <f t="shared" si="13"/>
        <v>5</v>
      </c>
      <c r="AI73" s="225">
        <f t="shared" si="23"/>
        <v>-0.99584713319743112</v>
      </c>
      <c r="AJ73" s="265" t="b">
        <f t="shared" si="14"/>
        <v>1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7">
        <v>15.747999999999999</v>
      </c>
      <c r="C74" s="390"/>
      <c r="D74" s="393">
        <f t="shared" si="0"/>
        <v>15.967158896349128</v>
      </c>
      <c r="E74" s="385">
        <f t="shared" si="17"/>
        <v>16.472389634475377</v>
      </c>
      <c r="F74" s="385">
        <f t="shared" si="1"/>
        <v>16.472459704841341</v>
      </c>
      <c r="G74" s="110">
        <f t="shared" si="18"/>
        <v>0.37438225551780974</v>
      </c>
      <c r="H74" s="414" t="b">
        <f>Wh_hp&gt;='2019'!Maxi_hp</f>
        <v>1</v>
      </c>
      <c r="I74" s="380">
        <f>IF(H74,Wh_hp,'2019'!Maxi_hp)</f>
        <v>16.472459704841341</v>
      </c>
      <c r="J74" s="85">
        <f>IF(H74,An,'2019'!An_max)</f>
        <v>2020</v>
      </c>
      <c r="K74" s="197">
        <f t="shared" si="19"/>
        <v>43890</v>
      </c>
      <c r="L74" s="147">
        <f>IF(t&lt;Tvie,1-EXP((T0-t)*PertePVj)+'2019'!Pspv,1-EXP((T0-t)*PertePVj)+Pspv)</f>
        <v>1.3725603770326278E-2</v>
      </c>
      <c r="M74" s="845"/>
      <c r="N74" s="845"/>
      <c r="O74" s="48">
        <f>IF(t&lt;Tnet,'2019'!Resal+('2019'!Salim-'2019'!Resal)*(1-EXP(('2019'!Tnet-t)/('2019'!Tau_j))),Resal+(Salim-Resal)*(1-EXP((Tnet-t)/(Tau_j))))*Salcycl</f>
        <v>3.0671368838243153E-2</v>
      </c>
      <c r="P74" s="169">
        <f>(INDEX(Models!$BJ74:$BT74,,T74)*(1-R74)+INDEX(Models!$BJ74:$BT74,,T74+1)*R74-ERP_i)*Q74*Ramure*Pc/MaxiM</f>
        <v>4.002454845598282E-5</v>
      </c>
      <c r="Q74" s="305">
        <f t="shared" si="2"/>
        <v>0.5</v>
      </c>
      <c r="R74" s="177">
        <f t="shared" si="3"/>
        <v>4.4609712476276764E-3</v>
      </c>
      <c r="S74" s="811">
        <f t="shared" si="4"/>
        <v>-1</v>
      </c>
      <c r="T74" s="176">
        <f t="shared" si="5"/>
        <v>5</v>
      </c>
      <c r="U74" s="251">
        <f t="shared" si="20"/>
        <v>-0.99553902875237232</v>
      </c>
      <c r="V74" s="383">
        <f t="shared" si="6"/>
        <v>42.062454744019981</v>
      </c>
      <c r="W74" s="402"/>
      <c r="X74" s="157">
        <f t="shared" si="7"/>
        <v>43890</v>
      </c>
      <c r="Y74" s="385">
        <f t="shared" si="8"/>
        <v>15.748000000000001</v>
      </c>
      <c r="Z74" s="385">
        <f t="shared" si="9"/>
        <v>15.96715889634913</v>
      </c>
      <c r="AA74" s="386">
        <f t="shared" si="10"/>
        <v>16.472389634475377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3.0671368838243153E-2</v>
      </c>
      <c r="AD74" s="231">
        <f>(INDEX(Models!$BJ74:$BT74,,AH74)*(1-AF74)+INDEX(Models!$BJ74:$BT74,,AH74+1)*AF74-ERP_i)*AE74*Ramure*Pc/MaxiM</f>
        <v>4.002454845598282E-5</v>
      </c>
      <c r="AE74" s="305">
        <f t="shared" si="12"/>
        <v>0.5</v>
      </c>
      <c r="AF74" s="177">
        <f t="shared" si="21"/>
        <v>4.4609712476276764E-3</v>
      </c>
      <c r="AG74" s="811">
        <f t="shared" si="22"/>
        <v>-1</v>
      </c>
      <c r="AH74" s="176">
        <f t="shared" si="13"/>
        <v>5</v>
      </c>
      <c r="AI74" s="225">
        <f t="shared" si="23"/>
        <v>-0.99553902875237232</v>
      </c>
      <c r="AJ74" s="265" t="b">
        <f t="shared" si="14"/>
        <v>1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7">
        <v>27.87</v>
      </c>
      <c r="C75" s="390"/>
      <c r="D75" s="393">
        <f t="shared" si="0"/>
        <v>28.258475069859156</v>
      </c>
      <c r="E75" s="385">
        <f t="shared" si="17"/>
        <v>29.153718234384236</v>
      </c>
      <c r="F75" s="385">
        <f t="shared" si="1"/>
        <v>29.154269715170336</v>
      </c>
      <c r="G75" s="110">
        <f t="shared" si="18"/>
        <v>0.65711524866567161</v>
      </c>
      <c r="H75" s="414" t="b">
        <f>Wh_hp&gt;='2019'!Maxi_hp</f>
        <v>1</v>
      </c>
      <c r="I75" s="380">
        <f>IF(H75,Wh_hp,'2019'!Maxi_hp)</f>
        <v>29.154269715170336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1.3747205710810229E-2</v>
      </c>
      <c r="M75" s="845"/>
      <c r="N75" s="845"/>
      <c r="O75" s="48">
        <f>IF(t&lt;Tnet,'2019'!Resal+('2019'!Salim-'2019'!Resal)*(1-EXP(('2019'!Tnet-t)/('2019'!Tau_j))),Resal+(Salim-Resal)*(1-EXP((Tnet-t)/(Tau_j))))*Salcycl</f>
        <v>3.0707683916256629E-2</v>
      </c>
      <c r="P75" s="169">
        <f>(INDEX(Models!$BJ75:$BT75,,T75)*(1-R75)+INDEX(Models!$BJ75:$BT75,,T75+1)*R75-ERP_i)*Q75*Ramure*Pc/MaxiM</f>
        <v>3.7076894457874577E-5</v>
      </c>
      <c r="Q75" s="305">
        <f t="shared" si="2"/>
        <v>0.5</v>
      </c>
      <c r="R75" s="177">
        <f t="shared" si="3"/>
        <v>4.78159221688923E-3</v>
      </c>
      <c r="S75" s="811">
        <f t="shared" si="4"/>
        <v>-1</v>
      </c>
      <c r="T75" s="176">
        <f t="shared" si="5"/>
        <v>5</v>
      </c>
      <c r="U75" s="251">
        <f t="shared" si="20"/>
        <v>-0.99521840778311077</v>
      </c>
      <c r="V75" s="383">
        <f t="shared" si="6"/>
        <v>42.411881175439746</v>
      </c>
      <c r="W75" s="402"/>
      <c r="X75" s="157">
        <f t="shared" si="7"/>
        <v>43891</v>
      </c>
      <c r="Y75" s="385">
        <f t="shared" si="8"/>
        <v>27.87</v>
      </c>
      <c r="Z75" s="385">
        <f t="shared" si="9"/>
        <v>28.258475069859156</v>
      </c>
      <c r="AA75" s="386">
        <f t="shared" si="10"/>
        <v>29.153718234384236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3.0707683916256629E-2</v>
      </c>
      <c r="AD75" s="231">
        <f>(INDEX(Models!$BJ75:$BT75,,AH75)*(1-AF75)+INDEX(Models!$BJ75:$BT75,,AH75+1)*AF75-ERP_i)*AE75*Ramure*Pc/MaxiM</f>
        <v>3.7076894457874577E-5</v>
      </c>
      <c r="AE75" s="305">
        <f t="shared" si="12"/>
        <v>0.5</v>
      </c>
      <c r="AF75" s="177">
        <f t="shared" si="21"/>
        <v>4.78159221688923E-3</v>
      </c>
      <c r="AG75" s="811">
        <f t="shared" si="22"/>
        <v>-1</v>
      </c>
      <c r="AH75" s="176">
        <f t="shared" si="13"/>
        <v>5</v>
      </c>
      <c r="AI75" s="225">
        <f t="shared" si="23"/>
        <v>-0.99521840778311077</v>
      </c>
      <c r="AJ75" s="265" t="b">
        <f t="shared" si="14"/>
        <v>1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7">
        <v>22.599</v>
      </c>
      <c r="C76" s="390"/>
      <c r="D76" s="393">
        <f t="shared" si="0"/>
        <v>22.914505406525265</v>
      </c>
      <c r="E76" s="385">
        <f t="shared" si="17"/>
        <v>23.641333841713184</v>
      </c>
      <c r="F76" s="385">
        <f t="shared" si="1"/>
        <v>23.641596188881561</v>
      </c>
      <c r="G76" s="110">
        <f t="shared" si="18"/>
        <v>0.52848643245988758</v>
      </c>
      <c r="H76" s="414" t="b">
        <f>Wh_hp&gt;='2019'!Maxi_hp</f>
        <v>0</v>
      </c>
      <c r="I76" s="380">
        <f>IF(H76,Wh_hp,'2019'!Maxi_hp)</f>
        <v>39.010447727103518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1.3768807178156206E-2</v>
      </c>
      <c r="M76" s="845"/>
      <c r="N76" s="845"/>
      <c r="O76" s="48">
        <f>IF(t&lt;Tnet,'2019'!Resal+('2019'!Salim-'2019'!Resal)*(1-EXP(('2019'!Tnet-t)/('2019'!Tau_j))),Resal+(Salim-Resal)*(1-EXP((Tnet-t)/(Tau_j))))*Salcycl</f>
        <v>3.0743969018596218E-2</v>
      </c>
      <c r="P76" s="169">
        <f>(INDEX(Models!$BJ76:$BT76,,T76)*(1-R76)+INDEX(Models!$BJ76:$BT76,,T76+1)*R76-ERP_i)*Q76*Ramure*Pc/MaxiM</f>
        <v>3.3994934405645259E-5</v>
      </c>
      <c r="Q76" s="305">
        <f t="shared" si="2"/>
        <v>0.5</v>
      </c>
      <c r="R76" s="177">
        <f t="shared" si="3"/>
        <v>5.1152206267470746E-3</v>
      </c>
      <c r="S76" s="811">
        <f t="shared" si="4"/>
        <v>-1</v>
      </c>
      <c r="T76" s="176">
        <f t="shared" si="5"/>
        <v>5</v>
      </c>
      <c r="U76" s="251">
        <f t="shared" si="20"/>
        <v>-0.99488477937325293</v>
      </c>
      <c r="V76" s="383">
        <f t="shared" si="6"/>
        <v>42.7607619275799</v>
      </c>
      <c r="W76" s="402"/>
      <c r="X76" s="157">
        <f t="shared" si="7"/>
        <v>43892</v>
      </c>
      <c r="Y76" s="385">
        <f t="shared" si="8"/>
        <v>22.599</v>
      </c>
      <c r="Z76" s="385">
        <f t="shared" si="9"/>
        <v>22.914505406525265</v>
      </c>
      <c r="AA76" s="386">
        <f t="shared" si="10"/>
        <v>23.641333841713184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3.0743969018596218E-2</v>
      </c>
      <c r="AD76" s="231">
        <f>(INDEX(Models!$BJ76:$BT76,,AH76)*(1-AF76)+INDEX(Models!$BJ76:$BT76,,AH76+1)*AF76-ERP_i)*AE76*Ramure*Pc/MaxiM</f>
        <v>3.3994934405645259E-5</v>
      </c>
      <c r="AE76" s="305">
        <f t="shared" si="12"/>
        <v>0.5</v>
      </c>
      <c r="AF76" s="177">
        <f t="shared" si="21"/>
        <v>5.1152206267470746E-3</v>
      </c>
      <c r="AG76" s="811">
        <f t="shared" si="22"/>
        <v>-1</v>
      </c>
      <c r="AH76" s="176">
        <f t="shared" si="13"/>
        <v>5</v>
      </c>
      <c r="AI76" s="225">
        <f t="shared" si="23"/>
        <v>-0.99488477937325293</v>
      </c>
      <c r="AJ76" s="265" t="b">
        <f t="shared" si="14"/>
        <v>1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7">
        <v>5.3129999999999997</v>
      </c>
      <c r="C77" s="390"/>
      <c r="D77" s="393">
        <f t="shared" si="0"/>
        <v>5.387292968986487</v>
      </c>
      <c r="E77" s="385">
        <f t="shared" si="17"/>
        <v>5.5583812121372596</v>
      </c>
      <c r="F77" s="385">
        <f t="shared" si="1"/>
        <v>5.5583812121372596</v>
      </c>
      <c r="G77" s="110">
        <f t="shared" si="18"/>
        <v>0.12324253520907597</v>
      </c>
      <c r="H77" s="414" t="b">
        <f>Wh_hp&gt;='2019'!Maxi_hp</f>
        <v>0</v>
      </c>
      <c r="I77" s="380">
        <f>IF(H77,Wh_hp,'2019'!Maxi_hp)</f>
        <v>13.525551504920069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1.3790408172374646E-2</v>
      </c>
      <c r="M77" s="845"/>
      <c r="N77" s="845"/>
      <c r="O77" s="48">
        <f>IF(t&lt;Tnet,'2019'!Resal+('2019'!Salim-'2019'!Resal)*(1-EXP(('2019'!Tnet-t)/('2019'!Tau_j))),Resal+(Salim-Resal)*(1-EXP((Tnet-t)/(Tau_j))))*Salcycl</f>
        <v>3.0780228383253935E-2</v>
      </c>
      <c r="P77" s="169">
        <f>(INDEX(Models!$BJ77:$BT77,,T77)*(1-R77)+INDEX(Models!$BJ77:$BT77,,T77+1)*R77-ERP_i)*Q77*Ramure*Pc/MaxiM</f>
        <v>3.0780941779426973E-5</v>
      </c>
      <c r="Q77" s="305">
        <f t="shared" si="2"/>
        <v>0.5</v>
      </c>
      <c r="R77" s="177">
        <f t="shared" si="3"/>
        <v>5.4623651718453958E-3</v>
      </c>
      <c r="S77" s="811">
        <f t="shared" si="4"/>
        <v>-1</v>
      </c>
      <c r="T77" s="176">
        <f t="shared" si="5"/>
        <v>5</v>
      </c>
      <c r="U77" s="251">
        <f t="shared" si="20"/>
        <v>-0.9945376348281546</v>
      </c>
      <c r="V77" s="383">
        <f t="shared" si="6"/>
        <v>43.108789119302948</v>
      </c>
      <c r="W77" s="402"/>
      <c r="X77" s="157">
        <f t="shared" si="7"/>
        <v>43893</v>
      </c>
      <c r="Y77" s="385">
        <f t="shared" si="8"/>
        <v>5.3129999999999997</v>
      </c>
      <c r="Z77" s="385">
        <f t="shared" si="9"/>
        <v>5.387292968986487</v>
      </c>
      <c r="AA77" s="386">
        <f t="shared" si="10"/>
        <v>5.5583812121372596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3.0780228383253935E-2</v>
      </c>
      <c r="AD77" s="231">
        <f>(INDEX(Models!$BJ77:$BT77,,AH77)*(1-AF77)+INDEX(Models!$BJ77:$BT77,,AH77+1)*AF77-ERP_i)*AE77*Ramure*Pc/MaxiM</f>
        <v>3.0780941779426973E-5</v>
      </c>
      <c r="AE77" s="305">
        <f t="shared" si="12"/>
        <v>0.5</v>
      </c>
      <c r="AF77" s="177">
        <f t="shared" si="21"/>
        <v>5.4623651718453958E-3</v>
      </c>
      <c r="AG77" s="811">
        <f t="shared" si="22"/>
        <v>-1</v>
      </c>
      <c r="AH77" s="176">
        <f t="shared" si="13"/>
        <v>5</v>
      </c>
      <c r="AI77" s="225">
        <f t="shared" si="23"/>
        <v>-0.9945376348281546</v>
      </c>
      <c r="AJ77" s="265" t="b">
        <f t="shared" si="14"/>
        <v>1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7">
        <v>8.82</v>
      </c>
      <c r="C78" s="390"/>
      <c r="D78" s="393">
        <f t="shared" si="0"/>
        <v>8.9435280876976258</v>
      </c>
      <c r="E78" s="385">
        <f t="shared" si="17"/>
        <v>9.2278993421087829</v>
      </c>
      <c r="F78" s="385">
        <f t="shared" si="1"/>
        <v>9.2278993421087829</v>
      </c>
      <c r="G78" s="110">
        <f t="shared" si="18"/>
        <v>0.20295996054484486</v>
      </c>
      <c r="H78" s="414" t="b">
        <f>Wh_hp&gt;='2019'!Maxi_hp</f>
        <v>0</v>
      </c>
      <c r="I78" s="380">
        <f>IF(H78,Wh_hp,'2019'!Maxi_hp)</f>
        <v>44.531611979407565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1.3812008693475875E-2</v>
      </c>
      <c r="M78" s="845"/>
      <c r="N78" s="845"/>
      <c r="O78" s="48">
        <f>IF(t&lt;Tnet,'2019'!Resal+('2019'!Salim-'2019'!Resal)*(1-EXP(('2019'!Tnet-t)/('2019'!Tau_j))),Resal+(Salim-Resal)*(1-EXP((Tnet-t)/(Tau_j))))*Salcycl</f>
        <v>3.0816466875999884E-2</v>
      </c>
      <c r="P78" s="169">
        <f>(INDEX(Models!$BJ78:$BT78,,T78)*(1-R78)+INDEX(Models!$BJ78:$BT78,,T78+1)*R78-ERP_i)*Q78*Ramure*Pc/MaxiM</f>
        <v>2.7436911671446851E-5</v>
      </c>
      <c r="Q78" s="305">
        <f t="shared" si="2"/>
        <v>0.5</v>
      </c>
      <c r="R78" s="177">
        <f t="shared" si="3"/>
        <v>5.8235528437410311E-3</v>
      </c>
      <c r="S78" s="811">
        <f t="shared" si="4"/>
        <v>-1</v>
      </c>
      <c r="T78" s="176">
        <f t="shared" si="5"/>
        <v>5</v>
      </c>
      <c r="U78" s="251">
        <f t="shared" si="20"/>
        <v>-0.99417644715625897</v>
      </c>
      <c r="V78" s="383">
        <f t="shared" si="6"/>
        <v>43.455654912242146</v>
      </c>
      <c r="W78" s="402"/>
      <c r="X78" s="157">
        <f t="shared" si="7"/>
        <v>43894</v>
      </c>
      <c r="Y78" s="385">
        <f t="shared" si="8"/>
        <v>8.82</v>
      </c>
      <c r="Z78" s="385">
        <f t="shared" si="9"/>
        <v>8.9435280876976258</v>
      </c>
      <c r="AA78" s="386">
        <f t="shared" si="10"/>
        <v>9.2278993421087829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3.0816466875999884E-2</v>
      </c>
      <c r="AD78" s="231">
        <f>(INDEX(Models!$BJ78:$BT78,,AH78)*(1-AF78)+INDEX(Models!$BJ78:$BT78,,AH78+1)*AF78-ERP_i)*AE78*Ramure*Pc/MaxiM</f>
        <v>2.7436911671446851E-5</v>
      </c>
      <c r="AE78" s="305">
        <f t="shared" si="12"/>
        <v>0.5</v>
      </c>
      <c r="AF78" s="177">
        <f t="shared" si="21"/>
        <v>5.8235528437410311E-3</v>
      </c>
      <c r="AG78" s="811">
        <f t="shared" si="22"/>
        <v>-1</v>
      </c>
      <c r="AH78" s="176">
        <f t="shared" si="13"/>
        <v>5</v>
      </c>
      <c r="AI78" s="225">
        <f t="shared" si="23"/>
        <v>-0.99417644715625897</v>
      </c>
      <c r="AJ78" s="265" t="b">
        <f t="shared" si="14"/>
        <v>1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7">
        <v>10.891999999999999</v>
      </c>
      <c r="C79" s="390"/>
      <c r="D79" s="393">
        <f t="shared" ref="D79:D142" si="24">Wh/(1-Ppv)</f>
        <v>11.044789293721319</v>
      </c>
      <c r="E79" s="385">
        <f t="shared" si="17"/>
        <v>11.396398854550281</v>
      </c>
      <c r="F79" s="385">
        <f t="shared" ref="F79:F142" si="25">Wh_sa/(1-Pvg*MEDIAN((-Sdif+Wh/Env_an)/Csdif,0,1))</f>
        <v>11.396398854550281</v>
      </c>
      <c r="G79" s="110">
        <f t="shared" si="18"/>
        <v>0.24865697709494544</v>
      </c>
      <c r="H79" s="414" t="b">
        <f>Wh_hp&gt;='2019'!Maxi_hp</f>
        <v>0</v>
      </c>
      <c r="I79" s="380">
        <f>IF(H79,Wh_hp,'2019'!Maxi_hp)</f>
        <v>23.382336400970807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1.3833608741470216E-2</v>
      </c>
      <c r="M79" s="845"/>
      <c r="N79" s="845"/>
      <c r="O79" s="48">
        <f>IF(t&lt;Tnet,'2019'!Resal+('2019'!Salim-'2019'!Resal)*(1-EXP(('2019'!Tnet-t)/('2019'!Tau_j))),Resal+(Salim-Resal)*(1-EXP((Tnet-t)/(Tau_j))))*Salcycl</f>
        <v>3.0852689987115753E-2</v>
      </c>
      <c r="P79" s="169">
        <f>(INDEX(Models!$BJ79:$BT79,,T79)*(1-R79)+INDEX(Models!$BJ79:$BT79,,T79+1)*R79-ERP_i)*Q79*Ramure*Pc/MaxiM</f>
        <v>2.396388605016076E-5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6.1993294536391019E-3</v>
      </c>
      <c r="S79" s="811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-0.9938006705463609</v>
      </c>
      <c r="V79" s="383">
        <f t="shared" ref="V79:V142" si="32">MaxiM*(1-Ppv)*(1-Pvg)*(1-Psa)</f>
        <v>43.802265726066139</v>
      </c>
      <c r="W79" s="402"/>
      <c r="X79" s="157">
        <f t="shared" ref="X79:X142" si="33">t</f>
        <v>43895</v>
      </c>
      <c r="Y79" s="385">
        <f t="shared" ref="Y79:Y142" si="34">Wh_pvt_s*(1-Ppv)</f>
        <v>10.891999999999999</v>
      </c>
      <c r="Z79" s="385">
        <f t="shared" ref="Z79:Z142" si="35">Wh_sa_s*(1-Psa_s)</f>
        <v>11.044789293721319</v>
      </c>
      <c r="AA79" s="386">
        <f t="shared" ref="AA79:AA142" si="36">Wh_hp*(1-Pvg_s*MEDIAN((-Sdif+Wh/Env_an)/Csdif,0,1))</f>
        <v>11.396398854550281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3.0852689987115753E-2</v>
      </c>
      <c r="AD79" s="231">
        <f>(INDEX(Models!$BJ79:$BT79,,AH79)*(1-AF79)+INDEX(Models!$BJ79:$BT79,,AH79+1)*AF79-ERP_i)*AE79*Ramure*Pc/MaxiM</f>
        <v>2.396388605016076E-5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6.1993294536391019E-3</v>
      </c>
      <c r="AG79" s="811">
        <f t="shared" si="22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-0.9938006705463609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7">
        <v>20.998000000000001</v>
      </c>
      <c r="C80" s="390"/>
      <c r="D80" s="393">
        <f t="shared" si="24"/>
        <v>21.293019216935065</v>
      </c>
      <c r="E80" s="385">
        <f t="shared" ref="E80:E143" si="45">Wh_pvt/(1-Psa)</f>
        <v>21.971700975211636</v>
      </c>
      <c r="F80" s="385">
        <f t="shared" si="25"/>
        <v>21.971814199616897</v>
      </c>
      <c r="G80" s="110">
        <f t="shared" ref="G80:G143" si="46">+Wh_hp/MaxiM</f>
        <v>0.47560300567763752</v>
      </c>
      <c r="H80" s="414" t="b">
        <f>Wh_hp&gt;='2019'!Maxi_hp</f>
        <v>0</v>
      </c>
      <c r="I80" s="380">
        <f>IF(H80,Wh_hp,'2019'!Maxi_hp)</f>
        <v>42.685529835046331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1.3855208316368106E-2</v>
      </c>
      <c r="M80" s="845"/>
      <c r="N80" s="845"/>
      <c r="O80" s="48">
        <f>IF(t&lt;Tnet,'2019'!Resal+('2019'!Salim-'2019'!Resal)*(1-EXP(('2019'!Tnet-t)/('2019'!Tau_j))),Resal+(Salim-Resal)*(1-EXP((Tnet-t)/(Tau_j))))*Salcycl</f>
        <v>3.0888903824162487E-2</v>
      </c>
      <c r="P80" s="169">
        <f>(INDEX(Models!$BJ80:$BT80,,T80)*(1-R80)+INDEX(Models!$BJ80:$BT80,,T80+1)*R80-ERP_i)*Q80*Ramure*Pc/MaxiM</f>
        <v>2.054102566847967E-5</v>
      </c>
      <c r="Q80" s="305">
        <f t="shared" si="27"/>
        <v>0.5</v>
      </c>
      <c r="R80" s="177">
        <f t="shared" si="28"/>
        <v>6.5902601580747344E-3</v>
      </c>
      <c r="S80" s="811">
        <f t="shared" si="29"/>
        <v>-1</v>
      </c>
      <c r="T80" s="176">
        <f t="shared" si="30"/>
        <v>5</v>
      </c>
      <c r="U80" s="251">
        <f t="shared" si="31"/>
        <v>-0.99340973984192527</v>
      </c>
      <c r="V80" s="383">
        <f t="shared" si="32"/>
        <v>44.149588277180023</v>
      </c>
      <c r="W80" s="402"/>
      <c r="X80" s="157">
        <f t="shared" si="33"/>
        <v>43896</v>
      </c>
      <c r="Y80" s="385">
        <f t="shared" si="34"/>
        <v>20.998000000000001</v>
      </c>
      <c r="Z80" s="385">
        <f t="shared" si="35"/>
        <v>21.293019216935065</v>
      </c>
      <c r="AA80" s="386">
        <f t="shared" si="36"/>
        <v>21.971700975211636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3.0888903824162487E-2</v>
      </c>
      <c r="AD80" s="231">
        <f>(INDEX(Models!$BJ80:$BT80,,AH80)*(1-AF80)+INDEX(Models!$BJ80:$BT80,,AH80+1)*AF80-ERP_i)*AE80*Ramure*Pc/MaxiM</f>
        <v>2.054102566847967E-5</v>
      </c>
      <c r="AE80" s="305">
        <f t="shared" si="38"/>
        <v>0.5</v>
      </c>
      <c r="AF80" s="177">
        <f t="shared" si="39"/>
        <v>6.5902601580747344E-3</v>
      </c>
      <c r="AG80" s="811">
        <f t="shared" ref="AG80:AG143" si="47">INDEX(Echel_vg,AH80)</f>
        <v>-1</v>
      </c>
      <c r="AH80" s="176">
        <f t="shared" si="40"/>
        <v>5</v>
      </c>
      <c r="AI80" s="225">
        <f t="shared" si="41"/>
        <v>-0.99340973984192527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7">
        <v>28.364999999999998</v>
      </c>
      <c r="C81" s="390"/>
      <c r="D81" s="393">
        <f t="shared" si="24"/>
        <v>28.764154634408431</v>
      </c>
      <c r="E81" s="385">
        <f t="shared" si="45"/>
        <v>29.682076259157441</v>
      </c>
      <c r="F81" s="385">
        <f t="shared" si="25"/>
        <v>29.682326061230128</v>
      </c>
      <c r="G81" s="110">
        <f t="shared" si="46"/>
        <v>0.63744715335241209</v>
      </c>
      <c r="H81" s="414" t="b">
        <f>Wh_hp&gt;='2019'!Maxi_hp</f>
        <v>1</v>
      </c>
      <c r="I81" s="380">
        <f>IF(H81,Wh_hp,'2019'!Maxi_hp)</f>
        <v>29.682326061230128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1.3876807418179871E-2</v>
      </c>
      <c r="M81" s="845"/>
      <c r="N81" s="845"/>
      <c r="O81" s="48">
        <f>IF(t&lt;Tnet,'2019'!Resal+('2019'!Salim-'2019'!Resal)*(1-EXP(('2019'!Tnet-t)/('2019'!Tau_j))),Resal+(Salim-Resal)*(1-EXP((Tnet-t)/(Tau_j))))*Salcycl</f>
        <v>3.0925115100929469E-2</v>
      </c>
      <c r="P81" s="169">
        <f>(INDEX(Models!$BJ81:$BT81,,T81)*(1-R81)+INDEX(Models!$BJ81:$BT81,,T81+1)*R81-ERP_i)*Q81*Ramure*Pc/MaxiM</f>
        <v>1.7457536525531711E-5</v>
      </c>
      <c r="Q81" s="305">
        <f t="shared" si="27"/>
        <v>0.5</v>
      </c>
      <c r="R81" s="177">
        <f t="shared" si="28"/>
        <v>6.9969299862847611E-3</v>
      </c>
      <c r="S81" s="811">
        <f t="shared" si="29"/>
        <v>-1</v>
      </c>
      <c r="T81" s="176">
        <f t="shared" si="30"/>
        <v>5</v>
      </c>
      <c r="U81" s="251">
        <f t="shared" si="31"/>
        <v>-0.99300307001371524</v>
      </c>
      <c r="V81" s="383">
        <f t="shared" si="32"/>
        <v>44.49740402995841</v>
      </c>
      <c r="W81" s="402"/>
      <c r="X81" s="157">
        <f t="shared" si="33"/>
        <v>43897</v>
      </c>
      <c r="Y81" s="385">
        <f t="shared" si="34"/>
        <v>28.364999999999998</v>
      </c>
      <c r="Z81" s="385">
        <f t="shared" si="35"/>
        <v>28.764154634408431</v>
      </c>
      <c r="AA81" s="386">
        <f t="shared" si="36"/>
        <v>29.682076259157441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3.0925115100929469E-2</v>
      </c>
      <c r="AD81" s="231">
        <f>(INDEX(Models!$BJ81:$BT81,,AH81)*(1-AF81)+INDEX(Models!$BJ81:$BT81,,AH81+1)*AF81-ERP_i)*AE81*Ramure*Pc/MaxiM</f>
        <v>1.7457536525531711E-5</v>
      </c>
      <c r="AE81" s="305">
        <f t="shared" si="38"/>
        <v>0.5</v>
      </c>
      <c r="AF81" s="177">
        <f t="shared" si="39"/>
        <v>6.9969299862847611E-3</v>
      </c>
      <c r="AG81" s="811">
        <f t="shared" si="47"/>
        <v>-1</v>
      </c>
      <c r="AH81" s="176">
        <f t="shared" si="40"/>
        <v>5</v>
      </c>
      <c r="AI81" s="225">
        <f t="shared" si="41"/>
        <v>-0.99300307001371524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7">
        <v>33.612000000000002</v>
      </c>
      <c r="C82" s="390"/>
      <c r="D82" s="393">
        <f t="shared" si="24"/>
        <v>34.085737419058638</v>
      </c>
      <c r="E82" s="385">
        <f t="shared" si="45"/>
        <v>35.174795922799419</v>
      </c>
      <c r="F82" s="385">
        <f t="shared" si="25"/>
        <v>35.17512807204006</v>
      </c>
      <c r="G82" s="110">
        <f t="shared" si="46"/>
        <v>0.74950257160296352</v>
      </c>
      <c r="H82" s="414" t="b">
        <f>Wh_hp&gt;='2019'!Maxi_hp</f>
        <v>1</v>
      </c>
      <c r="I82" s="380">
        <f>IF(H82,Wh_hp,'2019'!Maxi_hp)</f>
        <v>35.17512807204006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1.3898406046915945E-2</v>
      </c>
      <c r="M82" s="845"/>
      <c r="N82" s="845"/>
      <c r="O82" s="48">
        <f>IF(t&lt;Tnet,'2019'!Resal+('2019'!Salim-'2019'!Resal)*(1-EXP(('2019'!Tnet-t)/('2019'!Tau_j))),Resal+(Salim-Resal)*(1-EXP((Tnet-t)/(Tau_j))))*Salcycl</f>
        <v>3.0961331122745198E-2</v>
      </c>
      <c r="P82" s="169">
        <f>(INDEX(Models!$BJ82:$BT82,,T82)*(1-R82)+INDEX(Models!$BJ82:$BT82,,T82+1)*R82-ERP_i)*Q82*Ramure*Pc/MaxiM</f>
        <v>1.4704817040194668E-5</v>
      </c>
      <c r="Q82" s="305">
        <f t="shared" si="27"/>
        <v>0.5</v>
      </c>
      <c r="R82" s="177">
        <f t="shared" si="28"/>
        <v>7.4199443678717447E-3</v>
      </c>
      <c r="S82" s="811">
        <f t="shared" si="29"/>
        <v>-1</v>
      </c>
      <c r="T82" s="176">
        <f t="shared" si="30"/>
        <v>5</v>
      </c>
      <c r="U82" s="251">
        <f t="shared" si="31"/>
        <v>-0.99258005563212826</v>
      </c>
      <c r="V82" s="383">
        <f t="shared" si="32"/>
        <v>44.845507410572232</v>
      </c>
      <c r="W82" s="402"/>
      <c r="X82" s="157">
        <f t="shared" si="33"/>
        <v>43898</v>
      </c>
      <c r="Y82" s="385">
        <f t="shared" si="34"/>
        <v>33.612000000000002</v>
      </c>
      <c r="Z82" s="385">
        <f t="shared" si="35"/>
        <v>34.085737419058638</v>
      </c>
      <c r="AA82" s="386">
        <f t="shared" si="36"/>
        <v>35.174795922799419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3.0961331122745198E-2</v>
      </c>
      <c r="AD82" s="231">
        <f>(INDEX(Models!$BJ82:$BT82,,AH82)*(1-AF82)+INDEX(Models!$BJ82:$BT82,,AH82+1)*AF82-ERP_i)*AE82*Ramure*Pc/MaxiM</f>
        <v>1.4704817040194668E-5</v>
      </c>
      <c r="AE82" s="305">
        <f t="shared" si="38"/>
        <v>0.5</v>
      </c>
      <c r="AF82" s="177">
        <f t="shared" si="39"/>
        <v>7.4199443678717447E-3</v>
      </c>
      <c r="AG82" s="811">
        <f t="shared" si="47"/>
        <v>-1</v>
      </c>
      <c r="AH82" s="176">
        <f t="shared" si="40"/>
        <v>5</v>
      </c>
      <c r="AI82" s="225">
        <f t="shared" si="41"/>
        <v>-0.99258005563212826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7">
        <v>26.478999999999999</v>
      </c>
      <c r="C83" s="390"/>
      <c r="D83" s="393">
        <f t="shared" si="24"/>
        <v>26.852790963056929</v>
      </c>
      <c r="E83" s="385">
        <f t="shared" si="45"/>
        <v>27.711788792438671</v>
      </c>
      <c r="F83" s="385">
        <f t="shared" si="25"/>
        <v>27.71192771833163</v>
      </c>
      <c r="G83" s="110">
        <f t="shared" si="46"/>
        <v>0.58589608538087146</v>
      </c>
      <c r="H83" s="414" t="b">
        <f>Wh_hp&gt;='2019'!Maxi_hp</f>
        <v>1</v>
      </c>
      <c r="I83" s="380">
        <f>IF(H83,Wh_hp,'2019'!Maxi_hp)</f>
        <v>27.71192771833163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1.3920004202586544E-2</v>
      </c>
      <c r="M83" s="845"/>
      <c r="N83" s="845"/>
      <c r="O83" s="48">
        <f>IF(t&lt;Tnet,'2019'!Resal+('2019'!Salim-'2019'!Resal)*(1-EXP(('2019'!Tnet-t)/('2019'!Tau_j))),Resal+(Salim-Resal)*(1-EXP((Tnet-t)/(Tau_j))))*Salcycl</f>
        <v>3.0997559768358419E-2</v>
      </c>
      <c r="P83" s="169">
        <f>(INDEX(Models!$BJ83:$BT83,,T83)*(1-R83)+INDEX(Models!$BJ83:$BT83,,T83+1)*R83-ERP_i)*Q83*Ramure*Pc/MaxiM</f>
        <v>1.2274387449629297E-5</v>
      </c>
      <c r="Q83" s="305">
        <f t="shared" si="27"/>
        <v>0.5</v>
      </c>
      <c r="R83" s="177">
        <f t="shared" si="28"/>
        <v>7.8599296592084533E-3</v>
      </c>
      <c r="S83" s="811">
        <f t="shared" si="29"/>
        <v>-1</v>
      </c>
      <c r="T83" s="176">
        <f t="shared" si="30"/>
        <v>5</v>
      </c>
      <c r="U83" s="251">
        <f t="shared" si="31"/>
        <v>-0.99214007034079155</v>
      </c>
      <c r="V83" s="383">
        <f t="shared" si="32"/>
        <v>45.193692859847729</v>
      </c>
      <c r="W83" s="402"/>
      <c r="X83" s="157">
        <f t="shared" si="33"/>
        <v>43899</v>
      </c>
      <c r="Y83" s="385">
        <f t="shared" si="34"/>
        <v>26.478999999999999</v>
      </c>
      <c r="Z83" s="385">
        <f t="shared" si="35"/>
        <v>26.852790963056929</v>
      </c>
      <c r="AA83" s="386">
        <f t="shared" si="36"/>
        <v>27.711788792438671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3.0997559768358419E-2</v>
      </c>
      <c r="AD83" s="231">
        <f>(INDEX(Models!$BJ83:$BT83,,AH83)*(1-AF83)+INDEX(Models!$BJ83:$BT83,,AH83+1)*AF83-ERP_i)*AE83*Ramure*Pc/MaxiM</f>
        <v>1.2274387449629297E-5</v>
      </c>
      <c r="AE83" s="305">
        <f t="shared" si="38"/>
        <v>0.5</v>
      </c>
      <c r="AF83" s="177">
        <f t="shared" si="39"/>
        <v>7.8599296592084533E-3</v>
      </c>
      <c r="AG83" s="811">
        <f t="shared" si="47"/>
        <v>-1</v>
      </c>
      <c r="AH83" s="176">
        <f t="shared" si="40"/>
        <v>5</v>
      </c>
      <c r="AI83" s="225">
        <f t="shared" si="41"/>
        <v>-0.99214007034079155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7">
        <v>32.143000000000001</v>
      </c>
      <c r="C84" s="390"/>
      <c r="D84" s="393">
        <f t="shared" si="24"/>
        <v>32.59746082123818</v>
      </c>
      <c r="E84" s="385">
        <f t="shared" si="45"/>
        <v>33.6414842331722</v>
      </c>
      <c r="F84" s="385">
        <f t="shared" si="25"/>
        <v>33.641682334307504</v>
      </c>
      <c r="G84" s="110">
        <f t="shared" si="46"/>
        <v>0.70578884997729874</v>
      </c>
      <c r="H84" s="414" t="b">
        <f>Wh_hp&gt;='2019'!Maxi_hp</f>
        <v>1</v>
      </c>
      <c r="I84" s="380">
        <f>IF(H84,Wh_hp,'2019'!Maxi_hp)</f>
        <v>33.641682334307504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1.3941601885202104E-2</v>
      </c>
      <c r="M84" s="845"/>
      <c r="N84" s="845"/>
      <c r="O84" s="48">
        <f>IF(t&lt;Tnet,'2019'!Resal+('2019'!Salim-'2019'!Resal)*(1-EXP(('2019'!Tnet-t)/('2019'!Tau_j))),Resal+(Salim-Resal)*(1-EXP((Tnet-t)/(Tau_j))))*Salcycl</f>
        <v>3.1033809468624989E-2</v>
      </c>
      <c r="P84" s="169">
        <f>(INDEX(Models!$BJ84:$BT84,,T84)*(1-R84)+INDEX(Models!$BJ84:$BT84,,T84+1)*R84-ERP_i)*Q84*Ramure*Pc/MaxiM</f>
        <v>1.0157900730893246E-5</v>
      </c>
      <c r="Q84" s="305">
        <f t="shared" si="27"/>
        <v>0.5</v>
      </c>
      <c r="R84" s="177">
        <f t="shared" si="28"/>
        <v>8.3175336668732669E-3</v>
      </c>
      <c r="S84" s="811">
        <f t="shared" si="29"/>
        <v>-1</v>
      </c>
      <c r="T84" s="176">
        <f t="shared" si="30"/>
        <v>5</v>
      </c>
      <c r="U84" s="251">
        <f t="shared" si="31"/>
        <v>-0.99168246633312673</v>
      </c>
      <c r="V84" s="383">
        <f t="shared" si="32"/>
        <v>45.541754833437651</v>
      </c>
      <c r="W84" s="402"/>
      <c r="X84" s="157">
        <f t="shared" si="33"/>
        <v>43900</v>
      </c>
      <c r="Y84" s="385">
        <f t="shared" si="34"/>
        <v>32.143000000000001</v>
      </c>
      <c r="Z84" s="385">
        <f t="shared" si="35"/>
        <v>32.59746082123818</v>
      </c>
      <c r="AA84" s="386">
        <f t="shared" si="36"/>
        <v>33.6414842331722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3.1033809468624989E-2</v>
      </c>
      <c r="AD84" s="231">
        <f>(INDEX(Models!$BJ84:$BT84,,AH84)*(1-AF84)+INDEX(Models!$BJ84:$BT84,,AH84+1)*AF84-ERP_i)*AE84*Ramure*Pc/MaxiM</f>
        <v>1.0157900730893246E-5</v>
      </c>
      <c r="AE84" s="305">
        <f t="shared" si="38"/>
        <v>0.5</v>
      </c>
      <c r="AF84" s="177">
        <f t="shared" si="39"/>
        <v>8.3175336668732669E-3</v>
      </c>
      <c r="AG84" s="811">
        <f t="shared" si="47"/>
        <v>-1</v>
      </c>
      <c r="AH84" s="176">
        <f t="shared" si="40"/>
        <v>5</v>
      </c>
      <c r="AI84" s="225">
        <f t="shared" si="41"/>
        <v>-0.99168246633312673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7">
        <v>39.067</v>
      </c>
      <c r="C85" s="390"/>
      <c r="D85" s="393">
        <f t="shared" si="24"/>
        <v>39.620225091127125</v>
      </c>
      <c r="E85" s="385">
        <f t="shared" si="45"/>
        <v>40.890702876216366</v>
      </c>
      <c r="F85" s="385">
        <f t="shared" si="25"/>
        <v>40.890971706205399</v>
      </c>
      <c r="G85" s="110">
        <f t="shared" si="46"/>
        <v>0.85132636277244667</v>
      </c>
      <c r="H85" s="414" t="b">
        <f>Wh_hp&gt;='2019'!Maxi_hp</f>
        <v>0</v>
      </c>
      <c r="I85" s="380">
        <f>IF(H85,Wh_hp,'2019'!Maxi_hp)</f>
        <v>42.294025676295831</v>
      </c>
      <c r="J85" s="85">
        <f>IF(H85,An,'2019'!An_max)</f>
        <v>2019</v>
      </c>
      <c r="K85" s="197">
        <f t="shared" si="26"/>
        <v>43901</v>
      </c>
      <c r="L85" s="147">
        <f>IF(t&lt;Tvie,1-EXP((T0-t)*PertePVj)+'2019'!Pspv,1-EXP((T0-t)*PertePVj)+Pspv)</f>
        <v>1.3963199094772949E-2</v>
      </c>
      <c r="M85" s="845"/>
      <c r="N85" s="845"/>
      <c r="O85" s="48">
        <f>IF(t&lt;Tnet,'2019'!Resal+('2019'!Salim-'2019'!Resal)*(1-EXP(('2019'!Tnet-t)/('2019'!Tau_j))),Resal+(Salim-Resal)*(1-EXP((Tnet-t)/(Tau_j))))*Salcycl</f>
        <v>3.1070089182257628E-2</v>
      </c>
      <c r="P85" s="169">
        <f>(INDEX(Models!$BJ85:$BT85,,T85)*(1-R85)+INDEX(Models!$BJ85:$BT85,,T85+1)*R85-ERP_i)*Q85*Ramure*Pc/MaxiM</f>
        <v>8.3471530157943609E-6</v>
      </c>
      <c r="Q85" s="305">
        <f t="shared" si="27"/>
        <v>0.5</v>
      </c>
      <c r="R85" s="177">
        <f t="shared" si="28"/>
        <v>8.7934261662285795E-3</v>
      </c>
      <c r="S85" s="811">
        <f t="shared" si="29"/>
        <v>-1</v>
      </c>
      <c r="T85" s="176">
        <f t="shared" si="30"/>
        <v>5</v>
      </c>
      <c r="U85" s="251">
        <f t="shared" si="31"/>
        <v>-0.99120657383377142</v>
      </c>
      <c r="V85" s="383">
        <f t="shared" si="32"/>
        <v>45.889487801978028</v>
      </c>
      <c r="W85" s="402"/>
      <c r="X85" s="157">
        <f t="shared" si="33"/>
        <v>43901</v>
      </c>
      <c r="Y85" s="385">
        <f t="shared" si="34"/>
        <v>39.067</v>
      </c>
      <c r="Z85" s="385">
        <f t="shared" si="35"/>
        <v>39.620225091127125</v>
      </c>
      <c r="AA85" s="386">
        <f t="shared" si="36"/>
        <v>40.890702876216366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3.1070089182257628E-2</v>
      </c>
      <c r="AD85" s="231">
        <f>(INDEX(Models!$BJ85:$BT85,,AH85)*(1-AF85)+INDEX(Models!$BJ85:$BT85,,AH85+1)*AF85-ERP_i)*AE85*Ramure*Pc/MaxiM</f>
        <v>8.3471530157943609E-6</v>
      </c>
      <c r="AE85" s="305">
        <f t="shared" si="38"/>
        <v>0.5</v>
      </c>
      <c r="AF85" s="177">
        <f t="shared" si="39"/>
        <v>8.7934261662285795E-3</v>
      </c>
      <c r="AG85" s="811">
        <f t="shared" si="47"/>
        <v>-1</v>
      </c>
      <c r="AH85" s="176">
        <f t="shared" si="40"/>
        <v>5</v>
      </c>
      <c r="AI85" s="225">
        <f t="shared" si="41"/>
        <v>-0.99120657383377142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7">
        <v>15.865</v>
      </c>
      <c r="C86" s="390"/>
      <c r="D86" s="393">
        <f t="shared" si="24"/>
        <v>16.090015582848729</v>
      </c>
      <c r="E86" s="385">
        <f t="shared" si="45"/>
        <v>16.606586855179795</v>
      </c>
      <c r="F86" s="385">
        <f t="shared" si="25"/>
        <v>16.606593847365652</v>
      </c>
      <c r="G86" s="110">
        <f t="shared" si="46"/>
        <v>0.34312360039868256</v>
      </c>
      <c r="H86" s="414" t="b">
        <f>Wh_hp&gt;='2019'!Maxi_hp</f>
        <v>0</v>
      </c>
      <c r="I86" s="380">
        <f>IF(H86,Wh_hp,'2019'!Maxi_hp)</f>
        <v>28.187108214483022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1.3984795831309516E-2</v>
      </c>
      <c r="M86" s="845"/>
      <c r="N86" s="845"/>
      <c r="O86" s="48">
        <f>IF(t&lt;Tnet,'2019'!Resal+('2019'!Salim-'2019'!Resal)*(1-EXP(('2019'!Tnet-t)/('2019'!Tau_j))),Resal+(Salim-Resal)*(1-EXP((Tnet-t)/(Tau_j))))*Salcycl</f>
        <v>3.1106408368914266E-2</v>
      </c>
      <c r="P86" s="169">
        <f>(INDEX(Models!$BJ86:$BT86,,T86)*(1-R86)+INDEX(Models!$BJ86:$BT86,,T86+1)*R86-ERP_i)*Q86*Ramure*Pc/MaxiM</f>
        <v>6.8342878292343941E-6</v>
      </c>
      <c r="Q86" s="305">
        <f t="shared" si="27"/>
        <v>0.5</v>
      </c>
      <c r="R86" s="177">
        <f t="shared" si="28"/>
        <v>9.2882994130742969E-3</v>
      </c>
      <c r="S86" s="811">
        <f t="shared" si="29"/>
        <v>-1</v>
      </c>
      <c r="T86" s="176">
        <f t="shared" si="30"/>
        <v>5</v>
      </c>
      <c r="U86" s="251">
        <f t="shared" si="31"/>
        <v>-0.9907117005869257</v>
      </c>
      <c r="V86" s="383">
        <f t="shared" si="32"/>
        <v>46.236686242175338</v>
      </c>
      <c r="W86" s="402"/>
      <c r="X86" s="157">
        <f t="shared" si="33"/>
        <v>43902</v>
      </c>
      <c r="Y86" s="385">
        <f t="shared" si="34"/>
        <v>15.865</v>
      </c>
      <c r="Z86" s="385">
        <f t="shared" si="35"/>
        <v>16.090015582848729</v>
      </c>
      <c r="AA86" s="386">
        <f t="shared" si="36"/>
        <v>16.606586855179795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3.1106408368914266E-2</v>
      </c>
      <c r="AD86" s="231">
        <f>(INDEX(Models!$BJ86:$BT86,,AH86)*(1-AF86)+INDEX(Models!$BJ86:$BT86,,AH86+1)*AF86-ERP_i)*AE86*Ramure*Pc/MaxiM</f>
        <v>6.8342878292343941E-6</v>
      </c>
      <c r="AE86" s="305">
        <f t="shared" si="38"/>
        <v>0.5</v>
      </c>
      <c r="AF86" s="177">
        <f t="shared" si="39"/>
        <v>9.2882994130742969E-3</v>
      </c>
      <c r="AG86" s="811">
        <f t="shared" si="47"/>
        <v>-1</v>
      </c>
      <c r="AH86" s="176">
        <f t="shared" si="40"/>
        <v>5</v>
      </c>
      <c r="AI86" s="225">
        <f t="shared" si="41"/>
        <v>-0.9907117005869257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7">
        <v>39.337000000000003</v>
      </c>
      <c r="C87" s="390"/>
      <c r="D87" s="393">
        <f t="shared" si="24"/>
        <v>39.895796164008203</v>
      </c>
      <c r="E87" s="385">
        <f t="shared" si="45"/>
        <v>41.178199651361396</v>
      </c>
      <c r="F87" s="385">
        <f t="shared" si="25"/>
        <v>41.178376020580401</v>
      </c>
      <c r="G87" s="110">
        <f t="shared" si="46"/>
        <v>0.84444594793171224</v>
      </c>
      <c r="H87" s="414" t="b">
        <f>Wh_hp&gt;='2019'!Maxi_hp</f>
        <v>1</v>
      </c>
      <c r="I87" s="380">
        <f>IF(H87,Wh_hp,'2019'!Maxi_hp)</f>
        <v>41.178376020580401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1.4006392094822129E-2</v>
      </c>
      <c r="M87" s="845"/>
      <c r="N87" s="845"/>
      <c r="O87" s="48">
        <f>IF(t&lt;Tnet,'2019'!Resal+('2019'!Salim-'2019'!Resal)*(1-EXP(('2019'!Tnet-t)/('2019'!Tau_j))),Resal+(Salim-Resal)*(1-EXP((Tnet-t)/(Tau_j))))*Salcycl</f>
        <v>3.114277695991486E-2</v>
      </c>
      <c r="P87" s="169">
        <f>(INDEX(Models!$BJ87:$BT87,,T87)*(1-R87)+INDEX(Models!$BJ87:$BT87,,T87+1)*R87-ERP_i)*Q87*Ramure*Pc/MaxiM</f>
        <v>5.5067583951251579E-6</v>
      </c>
      <c r="Q87" s="305">
        <f t="shared" si="27"/>
        <v>0.5</v>
      </c>
      <c r="R87" s="177">
        <f t="shared" si="28"/>
        <v>9.8028686461120174E-3</v>
      </c>
      <c r="S87" s="811">
        <f t="shared" si="29"/>
        <v>-1</v>
      </c>
      <c r="T87" s="176">
        <f t="shared" si="30"/>
        <v>5</v>
      </c>
      <c r="U87" s="251">
        <f t="shared" si="31"/>
        <v>-0.99019713135388798</v>
      </c>
      <c r="V87" s="383">
        <f t="shared" si="32"/>
        <v>46.583149530519727</v>
      </c>
      <c r="W87" s="402"/>
      <c r="X87" s="157">
        <f t="shared" si="33"/>
        <v>43903</v>
      </c>
      <c r="Y87" s="385">
        <f t="shared" si="34"/>
        <v>39.337000000000003</v>
      </c>
      <c r="Z87" s="385">
        <f t="shared" si="35"/>
        <v>39.895796164008203</v>
      </c>
      <c r="AA87" s="386">
        <f t="shared" si="36"/>
        <v>41.178199651361396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3.114277695991486E-2</v>
      </c>
      <c r="AD87" s="231">
        <f>(INDEX(Models!$BJ87:$BT87,,AH87)*(1-AF87)+INDEX(Models!$BJ87:$BT87,,AH87+1)*AF87-ERP_i)*AE87*Ramure*Pc/MaxiM</f>
        <v>5.5067583951251579E-6</v>
      </c>
      <c r="AE87" s="305">
        <f t="shared" si="38"/>
        <v>0.5</v>
      </c>
      <c r="AF87" s="177">
        <f t="shared" si="39"/>
        <v>9.8028686461120174E-3</v>
      </c>
      <c r="AG87" s="811">
        <f t="shared" si="47"/>
        <v>-1</v>
      </c>
      <c r="AH87" s="176">
        <f t="shared" si="40"/>
        <v>5</v>
      </c>
      <c r="AI87" s="225">
        <f t="shared" si="41"/>
        <v>-0.99019713135388798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7">
        <v>30.021000000000001</v>
      </c>
      <c r="C88" s="390"/>
      <c r="D88" s="393">
        <f t="shared" si="24"/>
        <v>30.448125941842903</v>
      </c>
      <c r="E88" s="385">
        <f t="shared" si="45"/>
        <v>31.42802684382545</v>
      </c>
      <c r="F88" s="385">
        <f t="shared" si="25"/>
        <v>31.428093358036886</v>
      </c>
      <c r="G88" s="110">
        <f t="shared" si="46"/>
        <v>0.63971408676407893</v>
      </c>
      <c r="H88" s="414" t="b">
        <f>Wh_hp&gt;='2019'!Maxi_hp</f>
        <v>1</v>
      </c>
      <c r="I88" s="380">
        <f>IF(H88,Wh_hp,'2019'!Maxi_hp)</f>
        <v>31.428093358036886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1.4027987885321114E-2</v>
      </c>
      <c r="M88" s="845"/>
      <c r="N88" s="845"/>
      <c r="O88" s="48">
        <f>IF(t&lt;Tnet,'2019'!Resal+('2019'!Salim-'2019'!Resal)*(1-EXP(('2019'!Tnet-t)/('2019'!Tau_j))),Resal+(Salim-Resal)*(1-EXP((Tnet-t)/(Tau_j))))*Salcycl</f>
        <v>3.1179205326886873E-2</v>
      </c>
      <c r="P88" s="169">
        <f>(INDEX(Models!$BJ88:$BT88,,T88)*(1-R88)+INDEX(Models!$BJ88:$BT88,,T88+1)*R88-ERP_i)*Q88*Ramure*Pc/MaxiM</f>
        <v>4.3609294471760607E-6</v>
      </c>
      <c r="Q88" s="305">
        <f t="shared" si="27"/>
        <v>0.5</v>
      </c>
      <c r="R88" s="177">
        <f t="shared" si="28"/>
        <v>1.0337872577743545E-2</v>
      </c>
      <c r="S88" s="811">
        <f t="shared" si="29"/>
        <v>-1</v>
      </c>
      <c r="T88" s="176">
        <f t="shared" si="30"/>
        <v>5</v>
      </c>
      <c r="U88" s="251">
        <f t="shared" si="31"/>
        <v>-0.98966212742225645</v>
      </c>
      <c r="V88" s="383">
        <f t="shared" si="32"/>
        <v>46.928672101782503</v>
      </c>
      <c r="W88" s="402"/>
      <c r="X88" s="157">
        <f t="shared" si="33"/>
        <v>43904</v>
      </c>
      <c r="Y88" s="385">
        <f t="shared" si="34"/>
        <v>30.021000000000001</v>
      </c>
      <c r="Z88" s="385">
        <f t="shared" si="35"/>
        <v>30.448125941842903</v>
      </c>
      <c r="AA88" s="386">
        <f t="shared" si="36"/>
        <v>31.42802684382545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3.1179205326886873E-2</v>
      </c>
      <c r="AD88" s="231">
        <f>(INDEX(Models!$BJ88:$BT88,,AH88)*(1-AF88)+INDEX(Models!$BJ88:$BT88,,AH88+1)*AF88-ERP_i)*AE88*Ramure*Pc/MaxiM</f>
        <v>4.3609294471760607E-6</v>
      </c>
      <c r="AE88" s="305">
        <f t="shared" si="38"/>
        <v>0.5</v>
      </c>
      <c r="AF88" s="177">
        <f t="shared" si="39"/>
        <v>1.0337872577743545E-2</v>
      </c>
      <c r="AG88" s="811">
        <f t="shared" si="47"/>
        <v>-1</v>
      </c>
      <c r="AH88" s="176">
        <f t="shared" si="40"/>
        <v>5</v>
      </c>
      <c r="AI88" s="225">
        <f t="shared" si="41"/>
        <v>-0.98966212742225645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7">
        <v>48.228000000000002</v>
      </c>
      <c r="C89" s="390"/>
      <c r="D89" s="393">
        <f t="shared" si="24"/>
        <v>48.915238716229318</v>
      </c>
      <c r="E89" s="385">
        <f t="shared" si="45"/>
        <v>50.491362144028578</v>
      </c>
      <c r="F89" s="385">
        <f t="shared" si="25"/>
        <v>50.491533478793343</v>
      </c>
      <c r="G89" s="110">
        <f t="shared" si="46"/>
        <v>1.0202007619618298</v>
      </c>
      <c r="H89" s="414" t="b">
        <f>Wh_hp&gt;='2019'!Maxi_hp</f>
        <v>1</v>
      </c>
      <c r="I89" s="380">
        <f>IF(H89,Wh_hp,'2019'!Maxi_hp)</f>
        <v>50.491533478793343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1.4049583202816907E-2</v>
      </c>
      <c r="M89" s="845"/>
      <c r="N89" s="845"/>
      <c r="O89" s="48">
        <f>IF(t&lt;Tnet,'2019'!Resal+('2019'!Salim-'2019'!Resal)*(1-EXP(('2019'!Tnet-t)/('2019'!Tau_j))),Resal+(Salim-Resal)*(1-EXP((Tnet-t)/(Tau_j))))*Salcycl</f>
        <v>3.121570424864565E-2</v>
      </c>
      <c r="P89" s="169">
        <f>(INDEX(Models!$BJ89:$BT89,,T89)*(1-R89)+INDEX(Models!$BJ89:$BT89,,T89+1)*R89-ERP_i)*Q89*Ramure*Pc/MaxiM</f>
        <v>3.39333652517951E-6</v>
      </c>
      <c r="Q89" s="305">
        <f t="shared" si="27"/>
        <v>0.5</v>
      </c>
      <c r="R89" s="177">
        <f t="shared" si="28"/>
        <v>1.0894073870515442E-2</v>
      </c>
      <c r="S89" s="811">
        <f t="shared" si="29"/>
        <v>-1</v>
      </c>
      <c r="T89" s="176">
        <f t="shared" si="30"/>
        <v>5</v>
      </c>
      <c r="U89" s="251">
        <f t="shared" si="31"/>
        <v>-0.98910592612948456</v>
      </c>
      <c r="V89" s="383">
        <f t="shared" si="32"/>
        <v>47.27304840202072</v>
      </c>
      <c r="W89" s="402"/>
      <c r="X89" s="157">
        <f t="shared" si="33"/>
        <v>43905</v>
      </c>
      <c r="Y89" s="385">
        <f t="shared" si="34"/>
        <v>48.228000000000002</v>
      </c>
      <c r="Z89" s="385">
        <f t="shared" si="35"/>
        <v>48.915238716229318</v>
      </c>
      <c r="AA89" s="386">
        <f t="shared" si="36"/>
        <v>50.491362144028578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3.121570424864565E-2</v>
      </c>
      <c r="AD89" s="231">
        <f>(INDEX(Models!$BJ89:$BT89,,AH89)*(1-AF89)+INDEX(Models!$BJ89:$BT89,,AH89+1)*AF89-ERP_i)*AE89*Ramure*Pc/MaxiM</f>
        <v>3.39333652517951E-6</v>
      </c>
      <c r="AE89" s="305">
        <f t="shared" si="38"/>
        <v>0.5</v>
      </c>
      <c r="AF89" s="177">
        <f t="shared" si="39"/>
        <v>1.0894073870515442E-2</v>
      </c>
      <c r="AG89" s="811">
        <f t="shared" si="47"/>
        <v>-1</v>
      </c>
      <c r="AH89" s="176">
        <f t="shared" si="40"/>
        <v>5</v>
      </c>
      <c r="AI89" s="225">
        <f t="shared" si="41"/>
        <v>-0.98910592612948456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7">
        <v>9.157</v>
      </c>
      <c r="C90" s="390"/>
      <c r="D90" s="393">
        <f t="shared" si="24"/>
        <v>9.2876887216504276</v>
      </c>
      <c r="E90" s="385">
        <f t="shared" si="45"/>
        <v>9.5873141961088635</v>
      </c>
      <c r="F90" s="385">
        <f t="shared" si="25"/>
        <v>9.5873141961088635</v>
      </c>
      <c r="G90" s="110">
        <f t="shared" si="46"/>
        <v>0.19230851327882062</v>
      </c>
      <c r="H90" s="414" t="b">
        <f>Wh_hp&gt;='2019'!Maxi_hp</f>
        <v>0</v>
      </c>
      <c r="I90" s="380">
        <f>IF(H90,Wh_hp,'2019'!Maxi_hp)</f>
        <v>17.140469855495425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1.4071178047319832E-2</v>
      </c>
      <c r="M90" s="845"/>
      <c r="N90" s="845"/>
      <c r="O90" s="48">
        <f>IF(t&lt;Tnet,'2019'!Resal+('2019'!Salim-'2019'!Resal)*(1-EXP(('2019'!Tnet-t)/('2019'!Tau_j))),Resal+(Salim-Resal)*(1-EXP((Tnet-t)/(Tau_j))))*Salcycl</f>
        <v>3.1252284876617825E-2</v>
      </c>
      <c r="P90" s="169">
        <f>(INDEX(Models!$BJ90:$BT90,,T90)*(1-R90)+INDEX(Models!$BJ90:$BT90,,T90+1)*R90-ERP_i)*Q90*Ramure*Pc/MaxiM</f>
        <v>2.6006960965298498E-6</v>
      </c>
      <c r="Q90" s="305">
        <f t="shared" si="27"/>
        <v>0.5</v>
      </c>
      <c r="R90" s="177">
        <f t="shared" si="28"/>
        <v>1.1472259596279732E-2</v>
      </c>
      <c r="S90" s="811">
        <f t="shared" si="29"/>
        <v>-1</v>
      </c>
      <c r="T90" s="176">
        <f t="shared" si="30"/>
        <v>5</v>
      </c>
      <c r="U90" s="251">
        <f t="shared" si="31"/>
        <v>-0.98852774040372027</v>
      </c>
      <c r="V90" s="383">
        <f t="shared" si="32"/>
        <v>47.616072888824746</v>
      </c>
      <c r="W90" s="402"/>
      <c r="X90" s="157">
        <f t="shared" si="33"/>
        <v>43906</v>
      </c>
      <c r="Y90" s="385">
        <f t="shared" si="34"/>
        <v>9.157</v>
      </c>
      <c r="Z90" s="385">
        <f t="shared" si="35"/>
        <v>9.2876887216504276</v>
      </c>
      <c r="AA90" s="386">
        <f t="shared" si="36"/>
        <v>9.5873141961088635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3.1252284876617825E-2</v>
      </c>
      <c r="AD90" s="231">
        <f>(INDEX(Models!$BJ90:$BT90,,AH90)*(1-AF90)+INDEX(Models!$BJ90:$BT90,,AH90+1)*AF90-ERP_i)*AE90*Ramure*Pc/MaxiM</f>
        <v>2.6006960965298498E-6</v>
      </c>
      <c r="AE90" s="305">
        <f t="shared" si="38"/>
        <v>0.5</v>
      </c>
      <c r="AF90" s="177">
        <f t="shared" si="39"/>
        <v>1.1472259596279732E-2</v>
      </c>
      <c r="AG90" s="811">
        <f t="shared" si="47"/>
        <v>-1</v>
      </c>
      <c r="AH90" s="176">
        <f t="shared" si="40"/>
        <v>5</v>
      </c>
      <c r="AI90" s="225">
        <f t="shared" si="41"/>
        <v>-0.98852774040372027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7">
        <v>13.542</v>
      </c>
      <c r="C91" s="390"/>
      <c r="D91" s="393">
        <f t="shared" si="24"/>
        <v>13.735572294387328</v>
      </c>
      <c r="E91" s="385">
        <f t="shared" si="45"/>
        <v>14.179225495295039</v>
      </c>
      <c r="F91" s="385">
        <f t="shared" si="25"/>
        <v>14.179225495295039</v>
      </c>
      <c r="G91" s="110">
        <f t="shared" si="46"/>
        <v>0.28237422475232615</v>
      </c>
      <c r="H91" s="414" t="b">
        <f>Wh_hp&gt;='2019'!Maxi_hp</f>
        <v>0</v>
      </c>
      <c r="I91" s="380">
        <f>IF(H91,Wh_hp,'2019'!Maxi_hp)</f>
        <v>35.441978382349127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1.4092772418840216E-2</v>
      </c>
      <c r="M91" s="845"/>
      <c r="N91" s="845"/>
      <c r="O91" s="48">
        <f>IF(t&lt;Tnet,'2019'!Resal+('2019'!Salim-'2019'!Resal)*(1-EXP(('2019'!Tnet-t)/('2019'!Tau_j))),Resal+(Salim-Resal)*(1-EXP((Tnet-t)/(Tau_j))))*Salcycl</f>
        <v>3.1288958699114126E-2</v>
      </c>
      <c r="P91" s="169">
        <f>(INDEX(Models!$BJ91:$BT91,,T91)*(1-R91)+INDEX(Models!$BJ91:$BT91,,T91+1)*R91-ERP_i)*Q91*Ramure*Pc/MaxiM</f>
        <v>1.9799156940354613E-6</v>
      </c>
      <c r="Q91" s="305">
        <f t="shared" si="27"/>
        <v>0.5</v>
      </c>
      <c r="R91" s="177">
        <f t="shared" si="28"/>
        <v>1.20732416749052E-2</v>
      </c>
      <c r="S91" s="811">
        <f t="shared" si="29"/>
        <v>-1</v>
      </c>
      <c r="T91" s="176">
        <f t="shared" si="30"/>
        <v>5</v>
      </c>
      <c r="U91" s="251">
        <f t="shared" si="31"/>
        <v>-0.9879267583250948</v>
      </c>
      <c r="V91" s="383">
        <f t="shared" si="32"/>
        <v>47.957540033476853</v>
      </c>
      <c r="W91" s="402"/>
      <c r="X91" s="157">
        <f t="shared" si="33"/>
        <v>43907</v>
      </c>
      <c r="Y91" s="385">
        <f t="shared" si="34"/>
        <v>13.542</v>
      </c>
      <c r="Z91" s="385">
        <f t="shared" si="35"/>
        <v>13.735572294387328</v>
      </c>
      <c r="AA91" s="386">
        <f t="shared" si="36"/>
        <v>14.179225495295039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3.1288958699114126E-2</v>
      </c>
      <c r="AD91" s="231">
        <f>(INDEX(Models!$BJ91:$BT91,,AH91)*(1-AF91)+INDEX(Models!$BJ91:$BT91,,AH91+1)*AF91-ERP_i)*AE91*Ramure*Pc/MaxiM</f>
        <v>1.9799156940354613E-6</v>
      </c>
      <c r="AE91" s="305">
        <f t="shared" si="38"/>
        <v>0.5</v>
      </c>
      <c r="AF91" s="177">
        <f t="shared" si="39"/>
        <v>1.20732416749052E-2</v>
      </c>
      <c r="AG91" s="811">
        <f t="shared" si="47"/>
        <v>-1</v>
      </c>
      <c r="AH91" s="176">
        <f t="shared" si="40"/>
        <v>5</v>
      </c>
      <c r="AI91" s="225">
        <f t="shared" si="41"/>
        <v>-0.9879267583250948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7">
        <v>44.036000000000001</v>
      </c>
      <c r="C92" s="390"/>
      <c r="D92" s="393">
        <f t="shared" si="24"/>
        <v>44.666438474725368</v>
      </c>
      <c r="E92" s="385">
        <f t="shared" si="45"/>
        <v>46.11089630859729</v>
      </c>
      <c r="F92" s="385">
        <f t="shared" si="25"/>
        <v>46.110957889709681</v>
      </c>
      <c r="G92" s="110">
        <f t="shared" si="46"/>
        <v>0.91177027050023884</v>
      </c>
      <c r="H92" s="414" t="b">
        <f>Wh_hp&gt;='2019'!Maxi_hp</f>
        <v>1</v>
      </c>
      <c r="I92" s="380">
        <f>IF(H92,Wh_hp,'2019'!Maxi_hp)</f>
        <v>46.110957889709681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1.4114366317388383E-2</v>
      </c>
      <c r="M92" s="845"/>
      <c r="N92" s="845"/>
      <c r="O92" s="48">
        <f>IF(t&lt;Tnet,'2019'!Resal+('2019'!Salim-'2019'!Resal)*(1-EXP(('2019'!Tnet-t)/('2019'!Tau_j))),Resal+(Salim-Resal)*(1-EXP((Tnet-t)/(Tau_j))))*Salcycl</f>
        <v>3.1325737504751337E-2</v>
      </c>
      <c r="P92" s="169">
        <f>(INDEX(Models!$BJ92:$BT92,,T92)*(1-R92)+INDEX(Models!$BJ92:$BT92,,T92+1)*R92-ERP_i)*Q92*Ramure*Pc/MaxiM</f>
        <v>1.528104070656071E-6</v>
      </c>
      <c r="Q92" s="305">
        <f t="shared" si="27"/>
        <v>0.5</v>
      </c>
      <c r="R92" s="177">
        <f t="shared" si="28"/>
        <v>1.2697857289111769E-2</v>
      </c>
      <c r="S92" s="811">
        <f t="shared" si="29"/>
        <v>-1</v>
      </c>
      <c r="T92" s="176">
        <f t="shared" si="30"/>
        <v>5</v>
      </c>
      <c r="U92" s="251">
        <f t="shared" si="31"/>
        <v>-0.98730214271088823</v>
      </c>
      <c r="V92" s="383">
        <f t="shared" si="32"/>
        <v>48.297244320378013</v>
      </c>
      <c r="W92" s="402"/>
      <c r="X92" s="157">
        <f t="shared" si="33"/>
        <v>43908</v>
      </c>
      <c r="Y92" s="385">
        <f t="shared" si="34"/>
        <v>44.036000000000001</v>
      </c>
      <c r="Z92" s="385">
        <f t="shared" si="35"/>
        <v>44.666438474725368</v>
      </c>
      <c r="AA92" s="386">
        <f t="shared" si="36"/>
        <v>46.11089630859729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3.1325737504751337E-2</v>
      </c>
      <c r="AD92" s="231">
        <f>(INDEX(Models!$BJ92:$BT92,,AH92)*(1-AF92)+INDEX(Models!$BJ92:$BT92,,AH92+1)*AF92-ERP_i)*AE92*Ramure*Pc/MaxiM</f>
        <v>1.528104070656071E-6</v>
      </c>
      <c r="AE92" s="305">
        <f t="shared" si="38"/>
        <v>0.5</v>
      </c>
      <c r="AF92" s="177">
        <f t="shared" si="39"/>
        <v>1.2697857289111769E-2</v>
      </c>
      <c r="AG92" s="811">
        <f t="shared" si="47"/>
        <v>-1</v>
      </c>
      <c r="AH92" s="176">
        <f t="shared" si="40"/>
        <v>5</v>
      </c>
      <c r="AI92" s="225">
        <f t="shared" si="41"/>
        <v>-0.98730214271088823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7">
        <v>45.091999999999999</v>
      </c>
      <c r="C93" s="390"/>
      <c r="D93" s="393">
        <f t="shared" si="24"/>
        <v>45.738558420534375</v>
      </c>
      <c r="E93" s="385">
        <f t="shared" si="45"/>
        <v>47.219485841743229</v>
      </c>
      <c r="F93" s="385">
        <f t="shared" si="25"/>
        <v>47.21953840237591</v>
      </c>
      <c r="G93" s="110">
        <f t="shared" si="46"/>
        <v>0.92709936879726096</v>
      </c>
      <c r="H93" s="414" t="b">
        <f>Wh_hp&gt;='2019'!Maxi_hp</f>
        <v>0</v>
      </c>
      <c r="I93" s="380">
        <f>IF(H93,Wh_hp,'2019'!Maxi_hp)</f>
        <v>51.145293953169229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1.413595974297488E-2</v>
      </c>
      <c r="M93" s="845"/>
      <c r="N93" s="845"/>
      <c r="O93" s="48">
        <f>IF(t&lt;Tnet,'2019'!Resal+('2019'!Salim-'2019'!Resal)*(1-EXP(('2019'!Tnet-t)/('2019'!Tau_j))),Resal+(Salim-Resal)*(1-EXP((Tnet-t)/(Tau_j))))*Salcycl</f>
        <v>3.1362633345314347E-2</v>
      </c>
      <c r="P93" s="169">
        <f>(INDEX(Models!$BJ93:$BT93,,T93)*(1-R93)+INDEX(Models!$BJ93:$BT93,,T93+1)*R93-ERP_i)*Q93*Ramure*Pc/MaxiM</f>
        <v>1.2425115664939053E-6</v>
      </c>
      <c r="Q93" s="305">
        <f t="shared" si="27"/>
        <v>0.5</v>
      </c>
      <c r="R93" s="177">
        <f t="shared" si="28"/>
        <v>1.3346969271733178E-2</v>
      </c>
      <c r="S93" s="811">
        <f t="shared" si="29"/>
        <v>-1</v>
      </c>
      <c r="T93" s="176">
        <f t="shared" si="30"/>
        <v>5</v>
      </c>
      <c r="U93" s="251">
        <f t="shared" si="31"/>
        <v>-0.98665303072826682</v>
      </c>
      <c r="V93" s="383">
        <f t="shared" si="32"/>
        <v>48.637714232946436</v>
      </c>
      <c r="W93" s="402"/>
      <c r="X93" s="157">
        <f t="shared" si="33"/>
        <v>43909</v>
      </c>
      <c r="Y93" s="385">
        <f t="shared" si="34"/>
        <v>45.091999999999999</v>
      </c>
      <c r="Z93" s="385">
        <f t="shared" si="35"/>
        <v>45.738558420534375</v>
      </c>
      <c r="AA93" s="386">
        <f t="shared" si="36"/>
        <v>47.219485841743229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3.1362633345314347E-2</v>
      </c>
      <c r="AD93" s="231">
        <f>(INDEX(Models!$BJ93:$BT93,,AH93)*(1-AF93)+INDEX(Models!$BJ93:$BT93,,AH93+1)*AF93-ERP_i)*AE93*Ramure*Pc/MaxiM</f>
        <v>1.2425115664939053E-6</v>
      </c>
      <c r="AE93" s="305">
        <f t="shared" si="38"/>
        <v>0.5</v>
      </c>
      <c r="AF93" s="177">
        <f t="shared" si="39"/>
        <v>1.3346969271733178E-2</v>
      </c>
      <c r="AG93" s="811">
        <f t="shared" si="47"/>
        <v>-1</v>
      </c>
      <c r="AH93" s="176">
        <f t="shared" si="40"/>
        <v>5</v>
      </c>
      <c r="AI93" s="225">
        <f t="shared" si="41"/>
        <v>-0.98665303072826682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7">
        <v>48.923999999999999</v>
      </c>
      <c r="C94" s="390"/>
      <c r="D94" s="393">
        <f t="shared" si="24"/>
        <v>49.626591078294432</v>
      </c>
      <c r="E94" s="385">
        <f t="shared" si="45"/>
        <v>51.235364011286713</v>
      </c>
      <c r="F94" s="385">
        <f t="shared" si="25"/>
        <v>51.235421559623319</v>
      </c>
      <c r="G94" s="110">
        <f t="shared" si="46"/>
        <v>0.99883769618487517</v>
      </c>
      <c r="H94" s="414" t="b">
        <f>Wh_hp&gt;='2019'!Maxi_hp</f>
        <v>0</v>
      </c>
      <c r="I94" s="380">
        <f>IF(H94,Wh_hp,'2019'!Maxi_hp)</f>
        <v>51.378117175877115</v>
      </c>
      <c r="J94" s="85">
        <f>IF(H94,An,'2019'!An_max)</f>
        <v>2019</v>
      </c>
      <c r="K94" s="197">
        <f t="shared" si="26"/>
        <v>43910</v>
      </c>
      <c r="L94" s="147">
        <f>IF(t&lt;Tvie,1-EXP((T0-t)*PertePVj)+'2019'!Pspv,1-EXP((T0-t)*PertePVj)+Pspv)</f>
        <v>1.415755269560981E-2</v>
      </c>
      <c r="M94" s="845"/>
      <c r="N94" s="845"/>
      <c r="O94" s="48">
        <f>IF(t&lt;Tnet,'2019'!Resal+('2019'!Salim-'2019'!Resal)*(1-EXP(('2019'!Tnet-t)/('2019'!Tau_j))),Resal+(Salim-Resal)*(1-EXP((Tnet-t)/(Tau_j))))*Salcycl</f>
        <v>3.1399658498334981E-2</v>
      </c>
      <c r="P94" s="169">
        <f>(INDEX(Models!$BJ94:$BT94,,T94)*(1-R94)+INDEX(Models!$BJ94:$BT94,,T94+1)*R94-ERP_i)*Q94*Ramure*Pc/MaxiM</f>
        <v>1.1250820006491199E-6</v>
      </c>
      <c r="Q94" s="305">
        <f t="shared" si="27"/>
        <v>0.5</v>
      </c>
      <c r="R94" s="177">
        <f t="shared" si="28"/>
        <v>1.4021466461433429E-2</v>
      </c>
      <c r="S94" s="811">
        <f t="shared" si="29"/>
        <v>-1</v>
      </c>
      <c r="T94" s="176">
        <f t="shared" si="30"/>
        <v>5</v>
      </c>
      <c r="U94" s="251">
        <f t="shared" si="31"/>
        <v>-0.98597853353856657</v>
      </c>
      <c r="V94" s="383">
        <f t="shared" si="32"/>
        <v>48.980930631144865</v>
      </c>
      <c r="W94" s="402"/>
      <c r="X94" s="157">
        <f t="shared" si="33"/>
        <v>43910</v>
      </c>
      <c r="Y94" s="385">
        <f t="shared" si="34"/>
        <v>48.923999999999999</v>
      </c>
      <c r="Z94" s="385">
        <f t="shared" si="35"/>
        <v>49.626591078294432</v>
      </c>
      <c r="AA94" s="386">
        <f t="shared" si="36"/>
        <v>51.235364011286713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3.1399658498334981E-2</v>
      </c>
      <c r="AD94" s="231">
        <f>(INDEX(Models!$BJ94:$BT94,,AH94)*(1-AF94)+INDEX(Models!$BJ94:$BT94,,AH94+1)*AF94-ERP_i)*AE94*Ramure*Pc/MaxiM</f>
        <v>1.1250820006491199E-6</v>
      </c>
      <c r="AE94" s="305">
        <f t="shared" si="38"/>
        <v>0.5</v>
      </c>
      <c r="AF94" s="177">
        <f t="shared" si="39"/>
        <v>1.4021466461433429E-2</v>
      </c>
      <c r="AG94" s="811">
        <f t="shared" si="47"/>
        <v>-1</v>
      </c>
      <c r="AH94" s="176">
        <f t="shared" si="40"/>
        <v>5</v>
      </c>
      <c r="AI94" s="225">
        <f t="shared" si="41"/>
        <v>-0.98597853353856657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7">
        <v>47.918999999999997</v>
      </c>
      <c r="C95" s="390"/>
      <c r="D95" s="393">
        <f t="shared" si="24"/>
        <v>48.608223051358756</v>
      </c>
      <c r="E95" s="385">
        <f t="shared" si="45"/>
        <v>50.185908702259979</v>
      </c>
      <c r="F95" s="385">
        <f t="shared" si="25"/>
        <v>50.185957433415616</v>
      </c>
      <c r="G95" s="110">
        <f t="shared" si="46"/>
        <v>0.97147791109915516</v>
      </c>
      <c r="H95" s="414" t="b">
        <f>Wh_hp&gt;='2019'!Maxi_hp</f>
        <v>0</v>
      </c>
      <c r="I95" s="380">
        <f>IF(H95,Wh_hp,'2019'!Maxi_hp)</f>
        <v>50.23936086110939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1.417914517530372E-2</v>
      </c>
      <c r="M95" s="845"/>
      <c r="N95" s="845"/>
      <c r="O95" s="48">
        <f>IF(t&lt;Tnet,'2019'!Resal+('2019'!Salim-'2019'!Resal)*(1-EXP(('2019'!Tnet-t)/('2019'!Tau_j))),Resal+(Salim-Resal)*(1-EXP((Tnet-t)/(Tau_j))))*Salcycl</f>
        <v>3.1436825429648423E-2</v>
      </c>
      <c r="P95" s="169">
        <f>(INDEX(Models!$BJ95:$BT95,,T95)*(1-R95)+INDEX(Models!$BJ95:$BT95,,T95+1)*R95-ERP_i)*Q95*Ramure*Pc/MaxiM</f>
        <v>1.0122569798002839E-6</v>
      </c>
      <c r="Q95" s="305">
        <f t="shared" si="27"/>
        <v>0.5</v>
      </c>
      <c r="R95" s="177">
        <f t="shared" si="28"/>
        <v>1.4722264022608123E-2</v>
      </c>
      <c r="S95" s="811">
        <f t="shared" si="29"/>
        <v>-1</v>
      </c>
      <c r="T95" s="176">
        <f t="shared" si="30"/>
        <v>5</v>
      </c>
      <c r="U95" s="251">
        <f t="shared" si="31"/>
        <v>-0.98527773597739188</v>
      </c>
      <c r="V95" s="383">
        <f t="shared" si="32"/>
        <v>49.325875015884144</v>
      </c>
      <c r="W95" s="402"/>
      <c r="X95" s="157">
        <f t="shared" si="33"/>
        <v>43911</v>
      </c>
      <c r="Y95" s="385">
        <f t="shared" si="34"/>
        <v>47.918999999999997</v>
      </c>
      <c r="Z95" s="385">
        <f t="shared" si="35"/>
        <v>48.608223051358756</v>
      </c>
      <c r="AA95" s="386">
        <f t="shared" si="36"/>
        <v>50.185908702259979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3.1436825429648423E-2</v>
      </c>
      <c r="AD95" s="231">
        <f>(INDEX(Models!$BJ95:$BT95,,AH95)*(1-AF95)+INDEX(Models!$BJ95:$BT95,,AH95+1)*AF95-ERP_i)*AE95*Ramure*Pc/MaxiM</f>
        <v>1.0122569798002839E-6</v>
      </c>
      <c r="AE95" s="305">
        <f t="shared" si="38"/>
        <v>0.5</v>
      </c>
      <c r="AF95" s="177">
        <f t="shared" si="39"/>
        <v>1.4722264022608123E-2</v>
      </c>
      <c r="AG95" s="811">
        <f t="shared" si="47"/>
        <v>-1</v>
      </c>
      <c r="AH95" s="176">
        <f t="shared" si="40"/>
        <v>5</v>
      </c>
      <c r="AI95" s="225">
        <f t="shared" si="41"/>
        <v>-0.98527773597739188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7">
        <v>41.835000000000001</v>
      </c>
      <c r="C96" s="390"/>
      <c r="D96" s="393">
        <f t="shared" si="24"/>
        <v>42.437645855418431</v>
      </c>
      <c r="E96" s="385">
        <f t="shared" si="45"/>
        <v>43.816740372272257</v>
      </c>
      <c r="F96" s="385">
        <f t="shared" si="25"/>
        <v>43.816771076952534</v>
      </c>
      <c r="G96" s="110">
        <f t="shared" si="46"/>
        <v>0.84223294312109465</v>
      </c>
      <c r="H96" s="414" t="b">
        <f>Wh_hp&gt;='2019'!Maxi_hp</f>
        <v>0</v>
      </c>
      <c r="I96" s="380">
        <f>IF(H96,Wh_hp,'2019'!Maxi_hp)</f>
        <v>47.297059606763654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1.4200737182066936E-2</v>
      </c>
      <c r="M96" s="845"/>
      <c r="N96" s="845"/>
      <c r="O96" s="48">
        <f>IF(t&lt;Tnet,'2019'!Resal+('2019'!Salim-'2019'!Resal)*(1-EXP(('2019'!Tnet-t)/('2019'!Tau_j))),Resal+(Salim-Resal)*(1-EXP((Tnet-t)/(Tau_j))))*Salcycl</f>
        <v>3.1474146756168303E-2</v>
      </c>
      <c r="P96" s="169">
        <f>(INDEX(Models!$BJ96:$BT96,,T96)*(1-R96)+INDEX(Models!$BJ96:$BT96,,T96+1)*R96-ERP_i)*Q96*Ramure*Pc/MaxiM</f>
        <v>9.0464088566876297E-7</v>
      </c>
      <c r="Q96" s="305">
        <f t="shared" si="27"/>
        <v>0.5</v>
      </c>
      <c r="R96" s="177">
        <f t="shared" si="28"/>
        <v>1.5450303724902748E-2</v>
      </c>
      <c r="S96" s="811">
        <f t="shared" si="29"/>
        <v>-1</v>
      </c>
      <c r="T96" s="176">
        <f t="shared" si="30"/>
        <v>5</v>
      </c>
      <c r="U96" s="251">
        <f t="shared" si="31"/>
        <v>-0.98454969627509725</v>
      </c>
      <c r="V96" s="383">
        <f t="shared" si="32"/>
        <v>49.671521177103003</v>
      </c>
      <c r="W96" s="402"/>
      <c r="X96" s="157">
        <f t="shared" si="33"/>
        <v>43912</v>
      </c>
      <c r="Y96" s="385">
        <f t="shared" si="34"/>
        <v>41.835000000000001</v>
      </c>
      <c r="Z96" s="385">
        <f t="shared" si="35"/>
        <v>42.437645855418431</v>
      </c>
      <c r="AA96" s="386">
        <f t="shared" si="36"/>
        <v>43.816740372272257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3.1474146756168303E-2</v>
      </c>
      <c r="AD96" s="231">
        <f>(INDEX(Models!$BJ96:$BT96,,AH96)*(1-AF96)+INDEX(Models!$BJ96:$BT96,,AH96+1)*AF96-ERP_i)*AE96*Ramure*Pc/MaxiM</f>
        <v>9.0464088566876297E-7</v>
      </c>
      <c r="AE96" s="305">
        <f t="shared" si="38"/>
        <v>0.5</v>
      </c>
      <c r="AF96" s="177">
        <f t="shared" si="39"/>
        <v>1.5450303724902748E-2</v>
      </c>
      <c r="AG96" s="811">
        <f t="shared" si="47"/>
        <v>-1</v>
      </c>
      <c r="AH96" s="176">
        <f t="shared" si="40"/>
        <v>5</v>
      </c>
      <c r="AI96" s="225">
        <f t="shared" si="41"/>
        <v>-0.98454969627509725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7">
        <v>33.869</v>
      </c>
      <c r="C97" s="390"/>
      <c r="D97" s="393">
        <f t="shared" si="24"/>
        <v>34.357645731498138</v>
      </c>
      <c r="E97" s="385">
        <f t="shared" si="45"/>
        <v>35.475537941972121</v>
      </c>
      <c r="F97" s="385">
        <f t="shared" si="25"/>
        <v>35.475553287931604</v>
      </c>
      <c r="G97" s="110">
        <f t="shared" si="46"/>
        <v>0.67715164216323331</v>
      </c>
      <c r="H97" s="414" t="b">
        <f>Wh_hp&gt;='2019'!Maxi_hp</f>
        <v>0</v>
      </c>
      <c r="I97" s="380">
        <f>IF(H97,Wh_hp,'2019'!Maxi_hp)</f>
        <v>51.495753799818651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1.4222328715909782E-2</v>
      </c>
      <c r="M97" s="845"/>
      <c r="N97" s="845"/>
      <c r="O97" s="48">
        <f>IF(t&lt;Tnet,'2019'!Resal+('2019'!Salim-'2019'!Resal)*(1-EXP(('2019'!Tnet-t)/('2019'!Tau_j))),Resal+(Salim-Resal)*(1-EXP((Tnet-t)/(Tau_j))))*Salcycl</f>
        <v>3.1511635209099297E-2</v>
      </c>
      <c r="P97" s="169">
        <f>(INDEX(Models!$BJ97:$BT97,,T97)*(1-R97)+INDEX(Models!$BJ97:$BT97,,T97+1)*R97-ERP_i)*Q97*Ramure*Pc/MaxiM</f>
        <v>8.0287256531823692E-7</v>
      </c>
      <c r="Q97" s="305">
        <f t="shared" si="27"/>
        <v>0.5</v>
      </c>
      <c r="R97" s="177">
        <f t="shared" si="28"/>
        <v>1.620655417746264E-2</v>
      </c>
      <c r="S97" s="811">
        <f t="shared" si="29"/>
        <v>-1</v>
      </c>
      <c r="T97" s="176">
        <f t="shared" si="30"/>
        <v>5</v>
      </c>
      <c r="U97" s="251">
        <f t="shared" si="31"/>
        <v>-0.98379344582253736</v>
      </c>
      <c r="V97" s="383">
        <f t="shared" si="32"/>
        <v>50.016843125868711</v>
      </c>
      <c r="W97" s="402"/>
      <c r="X97" s="157">
        <f t="shared" si="33"/>
        <v>43913</v>
      </c>
      <c r="Y97" s="385">
        <f t="shared" si="34"/>
        <v>33.869</v>
      </c>
      <c r="Z97" s="385">
        <f t="shared" si="35"/>
        <v>34.357645731498138</v>
      </c>
      <c r="AA97" s="386">
        <f t="shared" si="36"/>
        <v>35.475537941972121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3.1511635209099297E-2</v>
      </c>
      <c r="AD97" s="231">
        <f>(INDEX(Models!$BJ97:$BT97,,AH97)*(1-AF97)+INDEX(Models!$BJ97:$BT97,,AH97+1)*AF97-ERP_i)*AE97*Ramure*Pc/MaxiM</f>
        <v>8.0287256531823692E-7</v>
      </c>
      <c r="AE97" s="305">
        <f t="shared" si="38"/>
        <v>0.5</v>
      </c>
      <c r="AF97" s="177">
        <f t="shared" si="39"/>
        <v>1.620655417746264E-2</v>
      </c>
      <c r="AG97" s="811">
        <f t="shared" si="47"/>
        <v>-1</v>
      </c>
      <c r="AH97" s="176">
        <f t="shared" si="40"/>
        <v>5</v>
      </c>
      <c r="AI97" s="225">
        <f t="shared" si="41"/>
        <v>-0.98379344582253736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7">
        <v>45.871000000000002</v>
      </c>
      <c r="C98" s="390"/>
      <c r="D98" s="393">
        <f t="shared" si="24"/>
        <v>46.533824056774407</v>
      </c>
      <c r="E98" s="385">
        <f t="shared" si="45"/>
        <v>48.049760539846737</v>
      </c>
      <c r="F98" s="385">
        <f t="shared" si="25"/>
        <v>48.049790210842104</v>
      </c>
      <c r="G98" s="110">
        <f t="shared" si="46"/>
        <v>0.91084697059937147</v>
      </c>
      <c r="H98" s="414" t="b">
        <f>Wh_hp&gt;='2019'!Maxi_hp</f>
        <v>1</v>
      </c>
      <c r="I98" s="380">
        <f>IF(H98,Wh_hp,'2019'!Maxi_hp)</f>
        <v>48.049790210842104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1.4243919776842584E-2</v>
      </c>
      <c r="M98" s="845"/>
      <c r="N98" s="845"/>
      <c r="O98" s="48">
        <f>IF(t&lt;Tnet,'2019'!Resal+('2019'!Salim-'2019'!Resal)*(1-EXP(('2019'!Tnet-t)/('2019'!Tau_j))),Resal+(Salim-Resal)*(1-EXP((Tnet-t)/(Tau_j))))*Salcycl</f>
        <v>3.1549303597781568E-2</v>
      </c>
      <c r="P98" s="169">
        <f>(INDEX(Models!$BJ98:$BT98,,T98)*(1-R98)+INDEX(Models!$BJ98:$BT98,,T98+1)*R98-ERP_i)*Q98*Ramure*Pc/MaxiM</f>
        <v>7.0762990324232857E-7</v>
      </c>
      <c r="Q98" s="305">
        <f t="shared" si="27"/>
        <v>0.5</v>
      </c>
      <c r="R98" s="177">
        <f t="shared" si="28"/>
        <v>1.6992011012709862E-2</v>
      </c>
      <c r="S98" s="811">
        <f t="shared" si="29"/>
        <v>-1</v>
      </c>
      <c r="T98" s="176">
        <f t="shared" si="30"/>
        <v>5</v>
      </c>
      <c r="U98" s="251">
        <f t="shared" si="31"/>
        <v>-0.98300798898729014</v>
      </c>
      <c r="V98" s="383">
        <f t="shared" si="32"/>
        <v>50.360815094661191</v>
      </c>
      <c r="W98" s="402"/>
      <c r="X98" s="157">
        <f t="shared" si="33"/>
        <v>43914</v>
      </c>
      <c r="Y98" s="385">
        <f t="shared" si="34"/>
        <v>45.871000000000002</v>
      </c>
      <c r="Z98" s="385">
        <f t="shared" si="35"/>
        <v>46.533824056774407</v>
      </c>
      <c r="AA98" s="386">
        <f t="shared" si="36"/>
        <v>48.049760539846737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3.1549303597781568E-2</v>
      </c>
      <c r="AD98" s="231">
        <f>(INDEX(Models!$BJ98:$BT98,,AH98)*(1-AF98)+INDEX(Models!$BJ98:$BT98,,AH98+1)*AF98-ERP_i)*AE98*Ramure*Pc/MaxiM</f>
        <v>7.0762990324232857E-7</v>
      </c>
      <c r="AE98" s="305">
        <f t="shared" si="38"/>
        <v>0.5</v>
      </c>
      <c r="AF98" s="177">
        <f t="shared" si="39"/>
        <v>1.6992011012709862E-2</v>
      </c>
      <c r="AG98" s="811">
        <f t="shared" si="47"/>
        <v>-1</v>
      </c>
      <c r="AH98" s="176">
        <f t="shared" si="40"/>
        <v>5</v>
      </c>
      <c r="AI98" s="225">
        <f t="shared" si="41"/>
        <v>-0.98300798898729014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7">
        <v>51.594000000000001</v>
      </c>
      <c r="C99" s="390"/>
      <c r="D99" s="393">
        <f t="shared" si="24"/>
        <v>52.340666317861967</v>
      </c>
      <c r="E99" s="385">
        <f t="shared" si="45"/>
        <v>54.047885792080891</v>
      </c>
      <c r="F99" s="385">
        <f t="shared" si="25"/>
        <v>54.047919282053201</v>
      </c>
      <c r="G99" s="110">
        <f t="shared" si="46"/>
        <v>1.0175847347261391</v>
      </c>
      <c r="H99" s="414" t="b">
        <f>Wh_hp&gt;='2019'!Maxi_hp</f>
        <v>0</v>
      </c>
      <c r="I99" s="380">
        <f>IF(H99,Wh_hp,'2019'!Maxi_hp)</f>
        <v>54.932815887950575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1.4265510364875778E-2</v>
      </c>
      <c r="M99" s="845"/>
      <c r="N99" s="845"/>
      <c r="O99" s="48">
        <f>IF(t&lt;Tnet,'2019'!Resal+('2019'!Salim-'2019'!Resal)*(1-EXP(('2019'!Tnet-t)/('2019'!Tau_j))),Resal+(Salim-Resal)*(1-EXP((Tnet-t)/(Tau_j))))*Salcycl</f>
        <v>3.1587164774335395E-2</v>
      </c>
      <c r="P99" s="169">
        <f>(INDEX(Models!$BJ99:$BT99,,T99)*(1-R99)+INDEX(Models!$BJ99:$BT99,,T99+1)*R99-ERP_i)*Q99*Ramure*Pc/MaxiM</f>
        <v>6.1963481210223861E-7</v>
      </c>
      <c r="Q99" s="305">
        <f t="shared" si="27"/>
        <v>0.5</v>
      </c>
      <c r="R99" s="177">
        <f t="shared" si="28"/>
        <v>1.7807697014113444E-2</v>
      </c>
      <c r="S99" s="811">
        <f t="shared" si="29"/>
        <v>-1</v>
      </c>
      <c r="T99" s="176">
        <f t="shared" si="30"/>
        <v>5</v>
      </c>
      <c r="U99" s="251">
        <f t="shared" si="31"/>
        <v>-0.98219230298588656</v>
      </c>
      <c r="V99" s="383">
        <f t="shared" si="32"/>
        <v>50.702411543040107</v>
      </c>
      <c r="W99" s="402"/>
      <c r="X99" s="157">
        <f t="shared" si="33"/>
        <v>43915</v>
      </c>
      <c r="Y99" s="385">
        <f t="shared" si="34"/>
        <v>51.594000000000001</v>
      </c>
      <c r="Z99" s="385">
        <f t="shared" si="35"/>
        <v>52.340666317861967</v>
      </c>
      <c r="AA99" s="386">
        <f t="shared" si="36"/>
        <v>54.047885792080891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3.1587164774335395E-2</v>
      </c>
      <c r="AD99" s="231">
        <f>(INDEX(Models!$BJ99:$BT99,,AH99)*(1-AF99)+INDEX(Models!$BJ99:$BT99,,AH99+1)*AF99-ERP_i)*AE99*Ramure*Pc/MaxiM</f>
        <v>6.1963481210223861E-7</v>
      </c>
      <c r="AE99" s="305">
        <f t="shared" si="38"/>
        <v>0.5</v>
      </c>
      <c r="AF99" s="177">
        <f t="shared" si="39"/>
        <v>1.7807697014113444E-2</v>
      </c>
      <c r="AG99" s="811">
        <f t="shared" si="47"/>
        <v>-1</v>
      </c>
      <c r="AH99" s="176">
        <f t="shared" si="40"/>
        <v>5</v>
      </c>
      <c r="AI99" s="225">
        <f t="shared" si="41"/>
        <v>-0.98219230298588656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7">
        <v>27.318999999999999</v>
      </c>
      <c r="C100" s="390"/>
      <c r="D100" s="393">
        <f t="shared" si="24"/>
        <v>27.71496651134801</v>
      </c>
      <c r="E100" s="385">
        <f t="shared" si="45"/>
        <v>28.620083273254384</v>
      </c>
      <c r="F100" s="385">
        <f t="shared" si="25"/>
        <v>28.62008852178375</v>
      </c>
      <c r="G100" s="110">
        <f t="shared" si="46"/>
        <v>0.53524030740524231</v>
      </c>
      <c r="H100" s="414" t="b">
        <f>Wh_hp&gt;='2019'!Maxi_hp</f>
        <v>0</v>
      </c>
      <c r="I100" s="380">
        <f>IF(H100,Wh_hp,'2019'!Maxi_hp)</f>
        <v>54.175577399192605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1.4287100480019688E-2</v>
      </c>
      <c r="M100" s="845"/>
      <c r="N100" s="845"/>
      <c r="O100" s="48">
        <f>IF(t&lt;Tnet,'2019'!Resal+('2019'!Salim-'2019'!Resal)*(1-EXP(('2019'!Tnet-t)/('2019'!Tau_j))),Resal+(Salim-Resal)*(1-EXP((Tnet-t)/(Tau_j))))*Salcycl</f>
        <v>3.1625231599245886E-2</v>
      </c>
      <c r="P100" s="169">
        <f>(INDEX(Models!$BJ100:$BT100,,T100)*(1-R100)+INDEX(Models!$BJ100:$BT100,,T100+1)*R100-ERP_i)*Q100*Ramure*Pc/MaxiM</f>
        <v>5.4569830203553388E-7</v>
      </c>
      <c r="Q100" s="305">
        <f t="shared" si="27"/>
        <v>0.5</v>
      </c>
      <c r="R100" s="177">
        <f t="shared" si="28"/>
        <v>1.8654662182078008E-2</v>
      </c>
      <c r="S100" s="811">
        <f t="shared" si="29"/>
        <v>-1</v>
      </c>
      <c r="T100" s="176">
        <f t="shared" si="30"/>
        <v>5</v>
      </c>
      <c r="U100" s="251">
        <f t="shared" si="31"/>
        <v>-0.98134533781792199</v>
      </c>
      <c r="V100" s="383">
        <f t="shared" si="32"/>
        <v>51.04060685270877</v>
      </c>
      <c r="W100" s="402"/>
      <c r="X100" s="157">
        <f t="shared" si="33"/>
        <v>43916</v>
      </c>
      <c r="Y100" s="385">
        <f t="shared" si="34"/>
        <v>27.318999999999999</v>
      </c>
      <c r="Z100" s="385">
        <f t="shared" si="35"/>
        <v>27.71496651134801</v>
      </c>
      <c r="AA100" s="386">
        <f t="shared" si="36"/>
        <v>28.620083273254384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3.1625231599245886E-2</v>
      </c>
      <c r="AD100" s="231">
        <f>(INDEX(Models!$BJ100:$BT100,,AH100)*(1-AF100)+INDEX(Models!$BJ100:$BT100,,AH100+1)*AF100-ERP_i)*AE100*Ramure*Pc/MaxiM</f>
        <v>5.4569830203553388E-7</v>
      </c>
      <c r="AE100" s="305">
        <f t="shared" si="38"/>
        <v>0.5</v>
      </c>
      <c r="AF100" s="177">
        <f t="shared" si="39"/>
        <v>1.8654662182078008E-2</v>
      </c>
      <c r="AG100" s="811">
        <f t="shared" si="47"/>
        <v>-1</v>
      </c>
      <c r="AH100" s="176">
        <f t="shared" si="40"/>
        <v>5</v>
      </c>
      <c r="AI100" s="225">
        <f t="shared" si="41"/>
        <v>-0.98134533781792199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7">
        <v>47.759</v>
      </c>
      <c r="C101" s="390"/>
      <c r="D101" s="393">
        <f t="shared" si="24"/>
        <v>48.452288785953655</v>
      </c>
      <c r="E101" s="385">
        <f t="shared" si="45"/>
        <v>50.036624285021652</v>
      </c>
      <c r="F101" s="385">
        <f t="shared" si="25"/>
        <v>50.03664600080775</v>
      </c>
      <c r="G101" s="110">
        <f t="shared" si="46"/>
        <v>0.92962681514530721</v>
      </c>
      <c r="H101" s="414" t="b">
        <f>Wh_hp&gt;='2019'!Maxi_hp</f>
        <v>0</v>
      </c>
      <c r="I101" s="380">
        <f>IF(H101,Wh_hp,'2019'!Maxi_hp)</f>
        <v>52.923988977147388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1.430869012228464E-2</v>
      </c>
      <c r="M101" s="845"/>
      <c r="N101" s="845"/>
      <c r="O101" s="48">
        <f>IF(t&lt;Tnet,'2019'!Resal+('2019'!Salim-'2019'!Resal)*(1-EXP(('2019'!Tnet-t)/('2019'!Tau_j))),Resal+(Salim-Resal)*(1-EXP((Tnet-t)/(Tau_j))))*Salcycl</f>
        <v>3.1663516907999428E-2</v>
      </c>
      <c r="P101" s="169">
        <f>(INDEX(Models!$BJ101:$BT101,,T101)*(1-R101)+INDEX(Models!$BJ101:$BT101,,T101+1)*R101-ERP_i)*Q101*Ramure*Pc/MaxiM</f>
        <v>4.8250537690087709E-7</v>
      </c>
      <c r="Q101" s="305">
        <f t="shared" si="27"/>
        <v>0.5</v>
      </c>
      <c r="R101" s="177">
        <f t="shared" si="28"/>
        <v>1.953398373174231E-2</v>
      </c>
      <c r="S101" s="811">
        <f t="shared" si="29"/>
        <v>-1</v>
      </c>
      <c r="T101" s="176">
        <f t="shared" si="30"/>
        <v>5</v>
      </c>
      <c r="U101" s="251">
        <f t="shared" si="31"/>
        <v>-0.98046601626825769</v>
      </c>
      <c r="V101" s="383">
        <f t="shared" si="32"/>
        <v>51.37437615313705</v>
      </c>
      <c r="W101" s="402"/>
      <c r="X101" s="157">
        <f t="shared" si="33"/>
        <v>43917</v>
      </c>
      <c r="Y101" s="385">
        <f t="shared" si="34"/>
        <v>47.759</v>
      </c>
      <c r="Z101" s="385">
        <f t="shared" si="35"/>
        <v>48.452288785953655</v>
      </c>
      <c r="AA101" s="386">
        <f t="shared" si="36"/>
        <v>50.036624285021652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3.1663516907999428E-2</v>
      </c>
      <c r="AD101" s="231">
        <f>(INDEX(Models!$BJ101:$BT101,,AH101)*(1-AF101)+INDEX(Models!$BJ101:$BT101,,AH101+1)*AF101-ERP_i)*AE101*Ramure*Pc/MaxiM</f>
        <v>4.8250537690087709E-7</v>
      </c>
      <c r="AE101" s="305">
        <f t="shared" si="38"/>
        <v>0.5</v>
      </c>
      <c r="AF101" s="177">
        <f t="shared" si="39"/>
        <v>1.953398373174231E-2</v>
      </c>
      <c r="AG101" s="811">
        <f t="shared" si="47"/>
        <v>-1</v>
      </c>
      <c r="AH101" s="176">
        <f t="shared" si="40"/>
        <v>5</v>
      </c>
      <c r="AI101" s="225">
        <f t="shared" si="41"/>
        <v>-0.98046601626825769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7">
        <v>48.658000000000001</v>
      </c>
      <c r="C102" s="390"/>
      <c r="D102" s="393">
        <f t="shared" si="24"/>
        <v>49.365420259672312</v>
      </c>
      <c r="E102" s="385">
        <f t="shared" si="45"/>
        <v>50.981641980546534</v>
      </c>
      <c r="F102" s="385">
        <f t="shared" si="25"/>
        <v>50.981662054884573</v>
      </c>
      <c r="G102" s="110">
        <f t="shared" si="46"/>
        <v>0.94111145586112877</v>
      </c>
      <c r="H102" s="414" t="b">
        <f>Wh_hp&gt;='2019'!Maxi_hp</f>
        <v>0</v>
      </c>
      <c r="I102" s="380">
        <f>IF(H102,Wh_hp,'2019'!Maxi_hp)</f>
        <v>54.366714325293401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1.4330279291680958E-2</v>
      </c>
      <c r="M102" s="845"/>
      <c r="N102" s="845"/>
      <c r="O102" s="48">
        <f>IF(t&lt;Tnet,'2019'!Resal+('2019'!Salim-'2019'!Resal)*(1-EXP(('2019'!Tnet-t)/('2019'!Tau_j))),Resal+(Salim-Resal)*(1-EXP((Tnet-t)/(Tau_j))))*Salcycl</f>
        <v>3.1702033478853676E-2</v>
      </c>
      <c r="P102" s="169">
        <f>(INDEX(Models!$BJ102:$BT102,,T102)*(1-R102)+INDEX(Models!$BJ102:$BT102,,T102+1)*R102-ERP_i)*Q102*Ramure*Pc/MaxiM</f>
        <v>4.2992403288279117E-7</v>
      </c>
      <c r="Q102" s="305">
        <f t="shared" si="27"/>
        <v>0.5</v>
      </c>
      <c r="R102" s="177">
        <f t="shared" si="28"/>
        <v>2.0446766016128715E-2</v>
      </c>
      <c r="S102" s="811">
        <f t="shared" si="29"/>
        <v>-1</v>
      </c>
      <c r="T102" s="176">
        <f t="shared" si="30"/>
        <v>5</v>
      </c>
      <c r="U102" s="251">
        <f t="shared" si="31"/>
        <v>-0.97955323398387129</v>
      </c>
      <c r="V102" s="383">
        <f t="shared" si="32"/>
        <v>51.70269465651662</v>
      </c>
      <c r="W102" s="402"/>
      <c r="X102" s="157">
        <f t="shared" si="33"/>
        <v>43918</v>
      </c>
      <c r="Y102" s="385">
        <f t="shared" si="34"/>
        <v>48.658000000000001</v>
      </c>
      <c r="Z102" s="385">
        <f t="shared" si="35"/>
        <v>49.365420259672312</v>
      </c>
      <c r="AA102" s="386">
        <f t="shared" si="36"/>
        <v>50.981641980546534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3.1702033478853676E-2</v>
      </c>
      <c r="AD102" s="231">
        <f>(INDEX(Models!$BJ102:$BT102,,AH102)*(1-AF102)+INDEX(Models!$BJ102:$BT102,,AH102+1)*AF102-ERP_i)*AE102*Ramure*Pc/MaxiM</f>
        <v>4.2992403288279117E-7</v>
      </c>
      <c r="AE102" s="305">
        <f t="shared" si="38"/>
        <v>0.5</v>
      </c>
      <c r="AF102" s="177">
        <f t="shared" si="39"/>
        <v>2.0446766016128715E-2</v>
      </c>
      <c r="AG102" s="811">
        <f t="shared" si="47"/>
        <v>-1</v>
      </c>
      <c r="AH102" s="176">
        <f t="shared" si="40"/>
        <v>5</v>
      </c>
      <c r="AI102" s="225">
        <f t="shared" si="41"/>
        <v>-0.97955323398387129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7">
        <v>29.888999999999999</v>
      </c>
      <c r="C103" s="390"/>
      <c r="D103" s="393">
        <f t="shared" si="24"/>
        <v>30.324209045061888</v>
      </c>
      <c r="E103" s="385">
        <f t="shared" si="45"/>
        <v>31.318275991809209</v>
      </c>
      <c r="F103" s="385">
        <f t="shared" si="25"/>
        <v>31.318280755252747</v>
      </c>
      <c r="G103" s="110">
        <f t="shared" si="46"/>
        <v>0.57451722215108225</v>
      </c>
      <c r="H103" s="414" t="b">
        <f>Wh_hp&gt;='2019'!Maxi_hp</f>
        <v>0</v>
      </c>
      <c r="I103" s="380">
        <f>IF(H103,Wh_hp,'2019'!Maxi_hp)</f>
        <v>55.483183570295765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1.4351867988219191E-2</v>
      </c>
      <c r="M103" s="845"/>
      <c r="N103" s="845"/>
      <c r="O103" s="48">
        <f>IF(t&lt;Tnet,'2019'!Resal+('2019'!Salim-'2019'!Resal)*(1-EXP(('2019'!Tnet-t)/('2019'!Tau_j))),Resal+(Salim-Resal)*(1-EXP((Tnet-t)/(Tau_j))))*Salcycl</f>
        <v>3.1740794001793166E-2</v>
      </c>
      <c r="P103" s="169">
        <f>(INDEX(Models!$BJ103:$BT103,,T103)*(1-R103)+INDEX(Models!$BJ103:$BT103,,T103+1)*R103-ERP_i)*Q103*Ramure*Pc/MaxiM</f>
        <v>3.8783887573830103E-7</v>
      </c>
      <c r="Q103" s="305">
        <f t="shared" si="27"/>
        <v>0.5</v>
      </c>
      <c r="R103" s="177">
        <f t="shared" si="28"/>
        <v>2.1394140367747005E-2</v>
      </c>
      <c r="S103" s="811">
        <f t="shared" si="29"/>
        <v>-1</v>
      </c>
      <c r="T103" s="176">
        <f t="shared" si="30"/>
        <v>5</v>
      </c>
      <c r="U103" s="251">
        <f t="shared" si="31"/>
        <v>-0.97860585963225299</v>
      </c>
      <c r="V103" s="383">
        <f t="shared" si="32"/>
        <v>52.02453782329917</v>
      </c>
      <c r="W103" s="402"/>
      <c r="X103" s="157">
        <f t="shared" si="33"/>
        <v>43919</v>
      </c>
      <c r="Y103" s="385">
        <f t="shared" si="34"/>
        <v>29.888999999999999</v>
      </c>
      <c r="Z103" s="385">
        <f t="shared" si="35"/>
        <v>30.324209045061888</v>
      </c>
      <c r="AA103" s="386">
        <f t="shared" si="36"/>
        <v>31.318275991809209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3.1740794001793166E-2</v>
      </c>
      <c r="AD103" s="231">
        <f>(INDEX(Models!$BJ103:$BT103,,AH103)*(1-AF103)+INDEX(Models!$BJ103:$BT103,,AH103+1)*AF103-ERP_i)*AE103*Ramure*Pc/MaxiM</f>
        <v>3.8783887573830103E-7</v>
      </c>
      <c r="AE103" s="305">
        <f t="shared" si="38"/>
        <v>0.5</v>
      </c>
      <c r="AF103" s="177">
        <f t="shared" si="39"/>
        <v>2.1394140367747005E-2</v>
      </c>
      <c r="AG103" s="811">
        <f t="shared" si="47"/>
        <v>-1</v>
      </c>
      <c r="AH103" s="176">
        <f t="shared" si="40"/>
        <v>5</v>
      </c>
      <c r="AI103" s="225">
        <f t="shared" si="41"/>
        <v>-0.97860585963225299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7">
        <v>17.7</v>
      </c>
      <c r="C104" s="390"/>
      <c r="D104" s="393">
        <f t="shared" si="24"/>
        <v>17.958120255135391</v>
      </c>
      <c r="E104" s="385">
        <f t="shared" si="45"/>
        <v>18.547558148509687</v>
      </c>
      <c r="F104" s="385">
        <f t="shared" si="25"/>
        <v>18.547558508814333</v>
      </c>
      <c r="G104" s="110">
        <f t="shared" si="46"/>
        <v>0.3381805949830497</v>
      </c>
      <c r="H104" s="414" t="b">
        <f>Wh_hp&gt;='2019'!Maxi_hp</f>
        <v>0</v>
      </c>
      <c r="I104" s="380">
        <f>IF(H104,Wh_hp,'2019'!Maxi_hp)</f>
        <v>47.367807575936794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1.4373456211909441E-2</v>
      </c>
      <c r="M104" s="845"/>
      <c r="N104" s="845"/>
      <c r="O104" s="48">
        <f>IF(t&lt;Tnet,'2019'!Resal+('2019'!Salim-'2019'!Resal)*(1-EXP(('2019'!Tnet-t)/('2019'!Tau_j))),Resal+(Salim-Resal)*(1-EXP((Tnet-t)/(Tau_j))))*Salcycl</f>
        <v>3.1779811048693589E-2</v>
      </c>
      <c r="P104" s="169">
        <f>(INDEX(Models!$BJ104:$BT104,,T104)*(1-R104)+INDEX(Models!$BJ104:$BT104,,T104+1)*R104-ERP_i)*Q104*Ramure*Pc/MaxiM</f>
        <v>3.5615345702843184E-7</v>
      </c>
      <c r="Q104" s="305">
        <f t="shared" si="27"/>
        <v>0.5</v>
      </c>
      <c r="R104" s="177">
        <f t="shared" si="28"/>
        <v>2.2377264851411227E-2</v>
      </c>
      <c r="S104" s="811">
        <f t="shared" si="29"/>
        <v>-1</v>
      </c>
      <c r="T104" s="176">
        <f t="shared" si="30"/>
        <v>5</v>
      </c>
      <c r="U104" s="251">
        <f t="shared" si="31"/>
        <v>-0.97762273514858877</v>
      </c>
      <c r="V104" s="383">
        <f t="shared" si="32"/>
        <v>52.338881362518272</v>
      </c>
      <c r="W104" s="402"/>
      <c r="X104" s="157">
        <f t="shared" si="33"/>
        <v>43920</v>
      </c>
      <c r="Y104" s="385">
        <f t="shared" si="34"/>
        <v>17.7</v>
      </c>
      <c r="Z104" s="385">
        <f t="shared" si="35"/>
        <v>17.958120255135391</v>
      </c>
      <c r="AA104" s="386">
        <f t="shared" si="36"/>
        <v>18.547558148509687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3.1779811048693589E-2</v>
      </c>
      <c r="AD104" s="231">
        <f>(INDEX(Models!$BJ104:$BT104,,AH104)*(1-AF104)+INDEX(Models!$BJ104:$BT104,,AH104+1)*AF104-ERP_i)*AE104*Ramure*Pc/MaxiM</f>
        <v>3.5615345702843184E-7</v>
      </c>
      <c r="AE104" s="305">
        <f t="shared" si="38"/>
        <v>0.5</v>
      </c>
      <c r="AF104" s="177">
        <f t="shared" si="39"/>
        <v>2.2377264851411227E-2</v>
      </c>
      <c r="AG104" s="811">
        <f t="shared" si="47"/>
        <v>-1</v>
      </c>
      <c r="AH104" s="176">
        <f t="shared" si="40"/>
        <v>5</v>
      </c>
      <c r="AI104" s="225">
        <f t="shared" si="41"/>
        <v>-0.97762273514858877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7">
        <v>43.241</v>
      </c>
      <c r="C105" s="390"/>
      <c r="D105" s="393">
        <f t="shared" si="24"/>
        <v>43.872547246369855</v>
      </c>
      <c r="E105" s="385">
        <f t="shared" si="45"/>
        <v>45.314410883804534</v>
      </c>
      <c r="F105" s="385">
        <f t="shared" si="25"/>
        <v>45.314422183421691</v>
      </c>
      <c r="G105" s="110">
        <f t="shared" si="46"/>
        <v>0.8213741418812629</v>
      </c>
      <c r="H105" s="414" t="b">
        <f>Wh_hp&gt;='2019'!Maxi_hp</f>
        <v>1</v>
      </c>
      <c r="I105" s="380">
        <f>IF(H105,Wh_hp,'2019'!Maxi_hp)</f>
        <v>45.314422183421691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1.4395043962762255E-2</v>
      </c>
      <c r="M105" s="845"/>
      <c r="N105" s="845"/>
      <c r="O105" s="48">
        <f>IF(t&lt;Tnet,'2019'!Resal+('2019'!Salim-'2019'!Resal)*(1-EXP(('2019'!Tnet-t)/('2019'!Tau_j))),Resal+(Salim-Resal)*(1-EXP((Tnet-t)/(Tau_j))))*Salcycl</f>
        <v>3.1819097044688736E-2</v>
      </c>
      <c r="P105" s="169">
        <f>(INDEX(Models!$BJ105:$BT105,,T105)*(1-R105)+INDEX(Models!$BJ105:$BT105,,T105+1)*R105-ERP_i)*Q105*Ramure*Pc/MaxiM</f>
        <v>3.347925429680611E-7</v>
      </c>
      <c r="Q105" s="305">
        <f t="shared" si="27"/>
        <v>0.5</v>
      </c>
      <c r="R105" s="177">
        <f t="shared" si="28"/>
        <v>2.3397323920696489E-2</v>
      </c>
      <c r="S105" s="811">
        <f t="shared" si="29"/>
        <v>-1</v>
      </c>
      <c r="T105" s="176">
        <f t="shared" si="30"/>
        <v>5</v>
      </c>
      <c r="U105" s="251">
        <f t="shared" si="31"/>
        <v>-0.97660267607930351</v>
      </c>
      <c r="V105" s="383">
        <f t="shared" si="32"/>
        <v>52.644701240270628</v>
      </c>
      <c r="W105" s="402"/>
      <c r="X105" s="157">
        <f t="shared" si="33"/>
        <v>43921</v>
      </c>
      <c r="Y105" s="385">
        <f t="shared" si="34"/>
        <v>43.241</v>
      </c>
      <c r="Z105" s="385">
        <f t="shared" si="35"/>
        <v>43.872547246369855</v>
      </c>
      <c r="AA105" s="386">
        <f t="shared" si="36"/>
        <v>45.314410883804534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3.1819097044688736E-2</v>
      </c>
      <c r="AD105" s="231">
        <f>(INDEX(Models!$BJ105:$BT105,,AH105)*(1-AF105)+INDEX(Models!$BJ105:$BT105,,AH105+1)*AF105-ERP_i)*AE105*Ramure*Pc/MaxiM</f>
        <v>3.347925429680611E-7</v>
      </c>
      <c r="AE105" s="305">
        <f t="shared" si="38"/>
        <v>0.5</v>
      </c>
      <c r="AF105" s="177">
        <f t="shared" si="39"/>
        <v>2.3397323920696489E-2</v>
      </c>
      <c r="AG105" s="811">
        <f t="shared" si="47"/>
        <v>-1</v>
      </c>
      <c r="AH105" s="176">
        <f t="shared" si="40"/>
        <v>5</v>
      </c>
      <c r="AI105" s="225">
        <f t="shared" si="41"/>
        <v>-0.97660267607930351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7">
        <v>41.107999999999997</v>
      </c>
      <c r="C106" s="390"/>
      <c r="D106" s="393">
        <f t="shared" si="24"/>
        <v>41.70930770854261</v>
      </c>
      <c r="E106" s="385">
        <f t="shared" si="45"/>
        <v>43.081837504470215</v>
      </c>
      <c r="F106" s="385">
        <f t="shared" si="25"/>
        <v>43.081846997311743</v>
      </c>
      <c r="G106" s="110">
        <f t="shared" si="46"/>
        <v>0.77648733838680328</v>
      </c>
      <c r="H106" s="414" t="b">
        <f>Wh_hp&gt;='2019'!Maxi_hp</f>
        <v>1</v>
      </c>
      <c r="I106" s="380">
        <f>IF(H106,Wh_hp,'2019'!Maxi_hp)</f>
        <v>43.081846997311743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1.4416631240787958E-2</v>
      </c>
      <c r="M106" s="845"/>
      <c r="N106" s="845"/>
      <c r="O106" s="48">
        <f>IF(t&lt;Tnet,'2019'!Resal+('2019'!Salim-'2019'!Resal)*(1-EXP(('2019'!Tnet-t)/('2019'!Tau_j))),Resal+(Salim-Resal)*(1-EXP((Tnet-t)/(Tau_j))))*Salcycl</f>
        <v>3.185866424070681E-2</v>
      </c>
      <c r="P106" s="169">
        <f>(INDEX(Models!$BJ106:$BT106,,T106)*(1-R106)+INDEX(Models!$BJ106:$BT106,,T106+1)*R106-ERP_i)*Q106*Ramure*Pc/MaxiM</f>
        <v>3.2370433778250892E-7</v>
      </c>
      <c r="Q106" s="305">
        <f t="shared" si="27"/>
        <v>0.5</v>
      </c>
      <c r="R106" s="177">
        <f t="shared" si="28"/>
        <v>2.4455527970135837E-2</v>
      </c>
      <c r="S106" s="811">
        <f t="shared" si="29"/>
        <v>-1</v>
      </c>
      <c r="T106" s="176">
        <f t="shared" si="30"/>
        <v>5</v>
      </c>
      <c r="U106" s="251">
        <f t="shared" si="31"/>
        <v>-0.97554447202986416</v>
      </c>
      <c r="V106" s="383">
        <f t="shared" si="32"/>
        <v>52.940973688612665</v>
      </c>
      <c r="W106" s="402"/>
      <c r="X106" s="157">
        <f t="shared" si="33"/>
        <v>43922</v>
      </c>
      <c r="Y106" s="385">
        <f t="shared" si="34"/>
        <v>41.107999999999997</v>
      </c>
      <c r="Z106" s="385">
        <f t="shared" si="35"/>
        <v>41.70930770854261</v>
      </c>
      <c r="AA106" s="386">
        <f t="shared" si="36"/>
        <v>43.081837504470215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3.185866424070681E-2</v>
      </c>
      <c r="AD106" s="231">
        <f>(INDEX(Models!$BJ106:$BT106,,AH106)*(1-AF106)+INDEX(Models!$BJ106:$BT106,,AH106+1)*AF106-ERP_i)*AE106*Ramure*Pc/MaxiM</f>
        <v>3.2370433778250892E-7</v>
      </c>
      <c r="AE106" s="305">
        <f t="shared" si="38"/>
        <v>0.5</v>
      </c>
      <c r="AF106" s="177">
        <f t="shared" si="39"/>
        <v>2.4455527970135837E-2</v>
      </c>
      <c r="AG106" s="811">
        <f t="shared" si="47"/>
        <v>-1</v>
      </c>
      <c r="AH106" s="176">
        <f t="shared" si="40"/>
        <v>5</v>
      </c>
      <c r="AI106" s="225">
        <f t="shared" si="41"/>
        <v>-0.97554447202986416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7">
        <v>27.282</v>
      </c>
      <c r="C107" s="390"/>
      <c r="D107" s="393">
        <f t="shared" si="24"/>
        <v>27.681674045750761</v>
      </c>
      <c r="E107" s="385">
        <f t="shared" si="45"/>
        <v>28.594989218467877</v>
      </c>
      <c r="F107" s="385">
        <f t="shared" si="25"/>
        <v>28.594992021729347</v>
      </c>
      <c r="G107" s="110">
        <f t="shared" si="46"/>
        <v>0.512557427236639</v>
      </c>
      <c r="H107" s="414" t="b">
        <f>Wh_hp&gt;='2019'!Maxi_hp</f>
        <v>1</v>
      </c>
      <c r="I107" s="380">
        <f>IF(H107,Wh_hp,'2019'!Maxi_hp)</f>
        <v>28.594992021729347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1.4438218045996765E-2</v>
      </c>
      <c r="M107" s="845"/>
      <c r="N107" s="845"/>
      <c r="O107" s="48">
        <f>IF(t&lt;Tnet,'2019'!Resal+('2019'!Salim-'2019'!Resal)*(1-EXP(('2019'!Tnet-t)/('2019'!Tau_j))),Resal+(Salim-Resal)*(1-EXP((Tnet-t)/(Tau_j))))*Salcycl</f>
        <v>3.193969285105578E-2</v>
      </c>
      <c r="P107" s="169">
        <f>(INDEX(Models!$BJ107:$BT107,,T107)*(1-R107)+INDEX(Models!$BJ107:$BT107,,T107+1)*R107-ERP_i)*Q107*Ramure*Pc/MaxiM</f>
        <v>3.2284580539421484E-7</v>
      </c>
      <c r="Q107" s="305">
        <f t="shared" si="27"/>
        <v>0.5</v>
      </c>
      <c r="R107" s="177">
        <f t="shared" si="28"/>
        <v>2.5553112774949427E-2</v>
      </c>
      <c r="S107" s="811">
        <f t="shared" si="29"/>
        <v>-1</v>
      </c>
      <c r="T107" s="176">
        <f t="shared" si="30"/>
        <v>5</v>
      </c>
      <c r="U107" s="251">
        <f t="shared" si="31"/>
        <v>-0.97444688722505057</v>
      </c>
      <c r="V107" s="383">
        <f t="shared" si="32"/>
        <v>53.227194489699656</v>
      </c>
      <c r="W107" s="402"/>
      <c r="X107" s="157">
        <f t="shared" si="33"/>
        <v>43923</v>
      </c>
      <c r="Y107" s="385">
        <f t="shared" si="34"/>
        <v>27.282</v>
      </c>
      <c r="Z107" s="385">
        <f t="shared" si="35"/>
        <v>27.681674045750761</v>
      </c>
      <c r="AA107" s="386">
        <f t="shared" si="36"/>
        <v>28.594989218467877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3.193969285105578E-2</v>
      </c>
      <c r="AD107" s="231">
        <f>(INDEX(Models!$BJ107:$BT107,,AH107)*(1-AF107)+INDEX(Models!$BJ107:$BT107,,AH107+1)*AF107-ERP_i)*AE107*Ramure*Pc/MaxiM</f>
        <v>3.2284580539421484E-7</v>
      </c>
      <c r="AE107" s="305">
        <f t="shared" si="38"/>
        <v>0.5</v>
      </c>
      <c r="AF107" s="177">
        <f t="shared" si="39"/>
        <v>2.5553112774949427E-2</v>
      </c>
      <c r="AG107" s="811">
        <f t="shared" si="47"/>
        <v>-1</v>
      </c>
      <c r="AH107" s="176">
        <f t="shared" si="40"/>
        <v>5</v>
      </c>
      <c r="AI107" s="225">
        <f t="shared" si="41"/>
        <v>-0.97444688722505057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7">
        <v>53.935000000000002</v>
      </c>
      <c r="C108" s="390"/>
      <c r="D108" s="393">
        <f t="shared" si="24"/>
        <v>54.726332055875275</v>
      </c>
      <c r="E108" s="385">
        <f t="shared" si="45"/>
        <v>56.536693663406197</v>
      </c>
      <c r="F108" s="385">
        <f t="shared" si="25"/>
        <v>56.536713073450201</v>
      </c>
      <c r="G108" s="110">
        <f t="shared" si="46"/>
        <v>1.00798054514934</v>
      </c>
      <c r="H108" s="414" t="b">
        <f>Wh_hp&gt;='2019'!Maxi_hp</f>
        <v>1</v>
      </c>
      <c r="I108" s="380">
        <f>IF(H108,Wh_hp,'2019'!Maxi_hp)</f>
        <v>56.536713073450201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1.4459804378399221E-2</v>
      </c>
      <c r="M108" s="845"/>
      <c r="N108" s="845"/>
      <c r="O108" s="48">
        <f>IF(t&lt;Tnet,'2019'!Resal+('2019'!Salim-'2019'!Resal)*(1-EXP(('2019'!Tnet-t)/('2019'!Tau_j))),Resal+(Salim-Resal)*(1-EXP((Tnet-t)/(Tau_j))))*Salcycl</f>
        <v>3.2021002471580517E-2</v>
      </c>
      <c r="P108" s="169">
        <f>(INDEX(Models!$BJ108:$BT108,,T108)*(1-R108)+INDEX(Models!$BJ108:$BT108,,T108+1)*R108-ERP_i)*Q108*Ramure*Pc/MaxiM</f>
        <v>3.4331751795282485E-7</v>
      </c>
      <c r="Q108" s="305">
        <f t="shared" si="27"/>
        <v>0.5</v>
      </c>
      <c r="R108" s="177">
        <f t="shared" si="28"/>
        <v>2.6691338809802123E-2</v>
      </c>
      <c r="S108" s="811">
        <f t="shared" si="29"/>
        <v>-1</v>
      </c>
      <c r="T108" s="176">
        <f t="shared" si="30"/>
        <v>5</v>
      </c>
      <c r="U108" s="251">
        <f t="shared" si="31"/>
        <v>-0.97330866119019788</v>
      </c>
      <c r="V108" s="383">
        <f t="shared" si="32"/>
        <v>53.507977172326392</v>
      </c>
      <c r="W108" s="402"/>
      <c r="X108" s="157">
        <f t="shared" si="33"/>
        <v>43924</v>
      </c>
      <c r="Y108" s="385">
        <f t="shared" si="34"/>
        <v>53.935000000000002</v>
      </c>
      <c r="Z108" s="385">
        <f t="shared" si="35"/>
        <v>54.726332055875275</v>
      </c>
      <c r="AA108" s="386">
        <f t="shared" si="36"/>
        <v>56.536693663406197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3.2021002471580517E-2</v>
      </c>
      <c r="AD108" s="231">
        <f>(INDEX(Models!$BJ108:$BT108,,AH108)*(1-AF108)+INDEX(Models!$BJ108:$BT108,,AH108+1)*AF108-ERP_i)*AE108*Ramure*Pc/MaxiM</f>
        <v>3.4331751795282485E-7</v>
      </c>
      <c r="AE108" s="305">
        <f t="shared" si="38"/>
        <v>0.5</v>
      </c>
      <c r="AF108" s="177">
        <f t="shared" si="39"/>
        <v>2.6691338809802123E-2</v>
      </c>
      <c r="AG108" s="811">
        <f t="shared" si="47"/>
        <v>-1</v>
      </c>
      <c r="AH108" s="176">
        <f t="shared" si="40"/>
        <v>5</v>
      </c>
      <c r="AI108" s="225">
        <f t="shared" si="41"/>
        <v>-0.97330866119019788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7">
        <v>55.92</v>
      </c>
      <c r="C109" s="390"/>
      <c r="D109" s="393">
        <f t="shared" si="24"/>
        <v>56.741698681372277</v>
      </c>
      <c r="E109" s="385">
        <f t="shared" si="45"/>
        <v>58.623671303095797</v>
      </c>
      <c r="F109" s="385">
        <f t="shared" si="25"/>
        <v>58.623693621493487</v>
      </c>
      <c r="G109" s="110">
        <f t="shared" si="46"/>
        <v>1.0397294862542357</v>
      </c>
      <c r="H109" s="414" t="b">
        <f>Wh_hp&gt;='2019'!Maxi_hp</f>
        <v>1</v>
      </c>
      <c r="I109" s="380">
        <f>IF(H109,Wh_hp,'2019'!Maxi_hp)</f>
        <v>58.623693621493487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1.4481390238005543E-2</v>
      </c>
      <c r="M109" s="845"/>
      <c r="N109" s="845"/>
      <c r="O109" s="48">
        <f>IF(t&lt;Tnet,'2019'!Resal+('2019'!Salim-'2019'!Resal)*(1-EXP(('2019'!Tnet-t)/('2019'!Tau_j))),Resal+(Salim-Resal)*(1-EXP((Tnet-t)/(Tau_j))))*Salcycl</f>
        <v>3.2102605993291629E-2</v>
      </c>
      <c r="P109" s="169">
        <f>(INDEX(Models!$BJ109:$BT109,,T109)*(1-R109)+INDEX(Models!$BJ109:$BT109,,T109+1)*R109-ERP_i)*Q109*Ramure*Pc/MaxiM</f>
        <v>3.807060987163949E-7</v>
      </c>
      <c r="Q109" s="305">
        <f t="shared" si="27"/>
        <v>0.5</v>
      </c>
      <c r="R109" s="177">
        <f t="shared" si="28"/>
        <v>2.7871490437820778E-2</v>
      </c>
      <c r="S109" s="811">
        <f t="shared" si="29"/>
        <v>-1</v>
      </c>
      <c r="T109" s="176">
        <f t="shared" si="30"/>
        <v>5</v>
      </c>
      <c r="U109" s="251">
        <f t="shared" si="31"/>
        <v>-0.97212850956217922</v>
      </c>
      <c r="V109" s="383">
        <f t="shared" si="32"/>
        <v>53.783220288826527</v>
      </c>
      <c r="W109" s="402"/>
      <c r="X109" s="157">
        <f t="shared" si="33"/>
        <v>43925</v>
      </c>
      <c r="Y109" s="385">
        <f t="shared" si="34"/>
        <v>55.92</v>
      </c>
      <c r="Z109" s="385">
        <f t="shared" si="35"/>
        <v>56.741698681372277</v>
      </c>
      <c r="AA109" s="386">
        <f t="shared" si="36"/>
        <v>58.623671303095797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3.2102605993291629E-2</v>
      </c>
      <c r="AD109" s="231">
        <f>(INDEX(Models!$BJ109:$BT109,,AH109)*(1-AF109)+INDEX(Models!$BJ109:$BT109,,AH109+1)*AF109-ERP_i)*AE109*Ramure*Pc/MaxiM</f>
        <v>3.807060987163949E-7</v>
      </c>
      <c r="AE109" s="305">
        <f t="shared" si="38"/>
        <v>0.5</v>
      </c>
      <c r="AF109" s="177">
        <f t="shared" si="39"/>
        <v>2.7871490437820778E-2</v>
      </c>
      <c r="AG109" s="811">
        <f t="shared" si="47"/>
        <v>-1</v>
      </c>
      <c r="AH109" s="176">
        <f t="shared" si="40"/>
        <v>5</v>
      </c>
      <c r="AI109" s="225">
        <f t="shared" si="41"/>
        <v>-0.97212850956217922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7">
        <v>56.610999999999997</v>
      </c>
      <c r="C110" s="390"/>
      <c r="D110" s="393">
        <f t="shared" si="24"/>
        <v>57.44411053487714</v>
      </c>
      <c r="E110" s="385">
        <f t="shared" si="45"/>
        <v>59.354403281915566</v>
      </c>
      <c r="F110" s="385">
        <f t="shared" si="25"/>
        <v>59.354429100482541</v>
      </c>
      <c r="G110" s="110">
        <f t="shared" si="46"/>
        <v>1.0473273676681727</v>
      </c>
      <c r="H110" s="414" t="b">
        <f>Wh_hp&gt;='2019'!Maxi_hp</f>
        <v>1</v>
      </c>
      <c r="I110" s="380">
        <f>IF(H110,Wh_hp,'2019'!Maxi_hp)</f>
        <v>59.354429100482541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1.4502975624826164E-2</v>
      </c>
      <c r="M110" s="845"/>
      <c r="N110" s="845"/>
      <c r="O110" s="48">
        <f>IF(t&lt;Tnet,'2019'!Resal+('2019'!Salim-'2019'!Resal)*(1-EXP(('2019'!Tnet-t)/('2019'!Tau_j))),Resal+(Salim-Resal)*(1-EXP((Tnet-t)/(Tau_j))))*Salcycl</f>
        <v>3.2184516083248481E-2</v>
      </c>
      <c r="P110" s="169">
        <f>(INDEX(Models!$BJ110:$BT110,,T110)*(1-R110)+INDEX(Models!$BJ110:$BT110,,T110+1)*R110-ERP_i)*Q110*Ramure*Pc/MaxiM</f>
        <v>4.3498972815587135E-7</v>
      </c>
      <c r="Q110" s="305">
        <f t="shared" si="27"/>
        <v>0.5</v>
      </c>
      <c r="R110" s="177">
        <f t="shared" si="28"/>
        <v>2.909487496086105E-2</v>
      </c>
      <c r="S110" s="811">
        <f t="shared" si="29"/>
        <v>-1</v>
      </c>
      <c r="T110" s="176">
        <f t="shared" si="30"/>
        <v>5</v>
      </c>
      <c r="U110" s="251">
        <f t="shared" si="31"/>
        <v>-0.97090512503913895</v>
      </c>
      <c r="V110" s="383">
        <f t="shared" si="32"/>
        <v>54.052822209775577</v>
      </c>
      <c r="W110" s="402"/>
      <c r="X110" s="157">
        <f t="shared" si="33"/>
        <v>43926</v>
      </c>
      <c r="Y110" s="385">
        <f t="shared" si="34"/>
        <v>56.610999999999997</v>
      </c>
      <c r="Z110" s="385">
        <f t="shared" si="35"/>
        <v>57.44411053487714</v>
      </c>
      <c r="AA110" s="386">
        <f t="shared" si="36"/>
        <v>59.354403281915566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3.2184516083248481E-2</v>
      </c>
      <c r="AD110" s="231">
        <f>(INDEX(Models!$BJ110:$BT110,,AH110)*(1-AF110)+INDEX(Models!$BJ110:$BT110,,AH110+1)*AF110-ERP_i)*AE110*Ramure*Pc/MaxiM</f>
        <v>4.3498972815587135E-7</v>
      </c>
      <c r="AE110" s="305">
        <f t="shared" si="38"/>
        <v>0.5</v>
      </c>
      <c r="AF110" s="177">
        <f t="shared" si="39"/>
        <v>2.909487496086105E-2</v>
      </c>
      <c r="AG110" s="811">
        <f t="shared" si="47"/>
        <v>-1</v>
      </c>
      <c r="AH110" s="176">
        <f t="shared" si="40"/>
        <v>5</v>
      </c>
      <c r="AI110" s="225">
        <f t="shared" si="41"/>
        <v>-0.97090512503913895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7">
        <v>31.013000000000002</v>
      </c>
      <c r="C111" s="390"/>
      <c r="D111" s="393">
        <f t="shared" si="24"/>
        <v>31.470089215981204</v>
      </c>
      <c r="E111" s="385">
        <f t="shared" si="45"/>
        <v>32.519383888654431</v>
      </c>
      <c r="F111" s="385">
        <f t="shared" si="25"/>
        <v>32.519390260501204</v>
      </c>
      <c r="G111" s="110">
        <f t="shared" si="46"/>
        <v>0.57096622261074004</v>
      </c>
      <c r="H111" s="414" t="b">
        <f>Wh_hp&gt;='2019'!Maxi_hp</f>
        <v>0</v>
      </c>
      <c r="I111" s="380">
        <f>IF(H111,Wh_hp,'2019'!Maxi_hp)</f>
        <v>35.535119066308624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1.4524560538871412E-2</v>
      </c>
      <c r="M111" s="845"/>
      <c r="N111" s="845"/>
      <c r="O111" s="48">
        <f>IF(t&lt;Tnet,'2019'!Resal+('2019'!Salim-'2019'!Resal)*(1-EXP(('2019'!Tnet-t)/('2019'!Tau_j))),Resal+(Salim-Resal)*(1-EXP((Tnet-t)/(Tau_j))))*Salcycl</f>
        <v>3.2266745159317392E-2</v>
      </c>
      <c r="P111" s="169">
        <f>(INDEX(Models!$BJ111:$BT111,,T111)*(1-R111)+INDEX(Models!$BJ111:$BT111,,T111+1)*R111-ERP_i)*Q111*Ramure*Pc/MaxiM</f>
        <v>5.0618063744514237E-7</v>
      </c>
      <c r="Q111" s="305">
        <f t="shared" si="27"/>
        <v>0.5</v>
      </c>
      <c r="R111" s="177">
        <f t="shared" si="28"/>
        <v>3.0362821521810024E-2</v>
      </c>
      <c r="S111" s="811">
        <f t="shared" si="29"/>
        <v>-1</v>
      </c>
      <c r="T111" s="176">
        <f t="shared" si="30"/>
        <v>5</v>
      </c>
      <c r="U111" s="251">
        <f t="shared" si="31"/>
        <v>-0.96963717847818998</v>
      </c>
      <c r="V111" s="383">
        <f t="shared" si="32"/>
        <v>54.316681355853348</v>
      </c>
      <c r="W111" s="402"/>
      <c r="X111" s="157">
        <f t="shared" si="33"/>
        <v>43927</v>
      </c>
      <c r="Y111" s="385">
        <f t="shared" si="34"/>
        <v>31.013000000000005</v>
      </c>
      <c r="Z111" s="385">
        <f t="shared" si="35"/>
        <v>31.470089215981208</v>
      </c>
      <c r="AA111" s="386">
        <f t="shared" si="36"/>
        <v>32.519383888654431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3.2266745159317392E-2</v>
      </c>
      <c r="AD111" s="231">
        <f>(INDEX(Models!$BJ111:$BT111,,AH111)*(1-AF111)+INDEX(Models!$BJ111:$BT111,,AH111+1)*AF111-ERP_i)*AE111*Ramure*Pc/MaxiM</f>
        <v>5.0618063744514237E-7</v>
      </c>
      <c r="AE111" s="305">
        <f t="shared" si="38"/>
        <v>0.5</v>
      </c>
      <c r="AF111" s="177">
        <f t="shared" si="39"/>
        <v>3.0362821521810024E-2</v>
      </c>
      <c r="AG111" s="811">
        <f t="shared" si="47"/>
        <v>-1</v>
      </c>
      <c r="AH111" s="176">
        <f t="shared" si="40"/>
        <v>5</v>
      </c>
      <c r="AI111" s="225">
        <f t="shared" si="41"/>
        <v>-0.96963717847818998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7">
        <v>37.343000000000004</v>
      </c>
      <c r="C112" s="390"/>
      <c r="D112" s="393">
        <f t="shared" si="24"/>
        <v>37.894214741539436</v>
      </c>
      <c r="E112" s="385">
        <f t="shared" si="45"/>
        <v>39.161047423052025</v>
      </c>
      <c r="F112" s="385">
        <f t="shared" si="25"/>
        <v>39.161060199211001</v>
      </c>
      <c r="G112" s="110">
        <f t="shared" si="46"/>
        <v>0.68425465617967618</v>
      </c>
      <c r="H112" s="414" t="b">
        <f>Wh_hp&gt;='2019'!Maxi_hp</f>
        <v>1</v>
      </c>
      <c r="I112" s="380">
        <f>IF(H112,Wh_hp,'2019'!Maxi_hp)</f>
        <v>39.161060199211001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1.4546144980151721E-2</v>
      </c>
      <c r="M112" s="845"/>
      <c r="N112" s="845"/>
      <c r="O112" s="48">
        <f>IF(t&lt;Tnet,'2019'!Resal+('2019'!Salim-'2019'!Resal)*(1-EXP(('2019'!Tnet-t)/('2019'!Tau_j))),Resal+(Salim-Resal)*(1-EXP((Tnet-t)/(Tau_j))))*Salcycl</f>
        <v>3.2349305365281827E-2</v>
      </c>
      <c r="P112" s="169">
        <f>(INDEX(Models!$BJ112:$BT112,,T112)*(1-R112)+INDEX(Models!$BJ112:$BT112,,T112+1)*R112-ERP_i)*Q112*Ramure*Pc/MaxiM</f>
        <v>5.9432576792848782E-7</v>
      </c>
      <c r="Q112" s="305">
        <f t="shared" si="27"/>
        <v>0.5</v>
      </c>
      <c r="R112" s="177">
        <f t="shared" si="28"/>
        <v>3.167667984955358E-2</v>
      </c>
      <c r="S112" s="811">
        <f t="shared" si="29"/>
        <v>-1</v>
      </c>
      <c r="T112" s="176">
        <f t="shared" si="30"/>
        <v>5</v>
      </c>
      <c r="U112" s="251">
        <f t="shared" si="31"/>
        <v>-0.96832332015044642</v>
      </c>
      <c r="V112" s="383">
        <f t="shared" si="32"/>
        <v>54.574696206827127</v>
      </c>
      <c r="W112" s="402"/>
      <c r="X112" s="157">
        <f t="shared" si="33"/>
        <v>43928</v>
      </c>
      <c r="Y112" s="385">
        <f t="shared" si="34"/>
        <v>37.343000000000004</v>
      </c>
      <c r="Z112" s="385">
        <f t="shared" si="35"/>
        <v>37.894214741539436</v>
      </c>
      <c r="AA112" s="386">
        <f t="shared" si="36"/>
        <v>39.161047423052025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3.2349305365281827E-2</v>
      </c>
      <c r="AD112" s="231">
        <f>(INDEX(Models!$BJ112:$BT112,,AH112)*(1-AF112)+INDEX(Models!$BJ112:$BT112,,AH112+1)*AF112-ERP_i)*AE112*Ramure*Pc/MaxiM</f>
        <v>5.9432576792848782E-7</v>
      </c>
      <c r="AE112" s="305">
        <f t="shared" si="38"/>
        <v>0.5</v>
      </c>
      <c r="AF112" s="177">
        <f t="shared" si="39"/>
        <v>3.167667984955358E-2</v>
      </c>
      <c r="AG112" s="811">
        <f t="shared" si="47"/>
        <v>-1</v>
      </c>
      <c r="AH112" s="176">
        <f t="shared" si="40"/>
        <v>5</v>
      </c>
      <c r="AI112" s="225">
        <f t="shared" si="41"/>
        <v>-0.96832332015044642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7">
        <v>39.679000000000002</v>
      </c>
      <c r="C113" s="390"/>
      <c r="D113" s="393">
        <f t="shared" si="24"/>
        <v>40.265578026654119</v>
      </c>
      <c r="E113" s="385">
        <f t="shared" si="45"/>
        <v>41.615252576929663</v>
      </c>
      <c r="F113" s="385">
        <f t="shared" si="25"/>
        <v>41.615270197572919</v>
      </c>
      <c r="G113" s="110">
        <f t="shared" si="46"/>
        <v>0.72371566754061956</v>
      </c>
      <c r="H113" s="414" t="b">
        <f>Wh_hp&gt;='2019'!Maxi_hp</f>
        <v>0</v>
      </c>
      <c r="I113" s="380">
        <f>IF(H113,Wh_hp,'2019'!Maxi_hp)</f>
        <v>41.648731192226585</v>
      </c>
      <c r="J113" s="85">
        <f>IF(H113,An,'2019'!An_max)</f>
        <v>2019</v>
      </c>
      <c r="K113" s="197">
        <f t="shared" si="26"/>
        <v>43929</v>
      </c>
      <c r="L113" s="147">
        <f>IF(t&lt;Tvie,1-EXP((T0-t)*PertePVj)+'2019'!Pspv,1-EXP((T0-t)*PertePVj)+Pspv)</f>
        <v>1.4567728948677305E-2</v>
      </c>
      <c r="M113" s="845"/>
      <c r="N113" s="845"/>
      <c r="O113" s="48">
        <f>IF(t&lt;Tnet,'2019'!Resal+('2019'!Salim-'2019'!Resal)*(1-EXP(('2019'!Tnet-t)/('2019'!Tau_j))),Resal+(Salim-Resal)*(1-EXP((Tnet-t)/(Tau_j))))*Salcycl</f>
        <v>3.2432208546146618E-2</v>
      </c>
      <c r="P113" s="169">
        <f>(INDEX(Models!$BJ113:$BT113,,T113)*(1-R113)+INDEX(Models!$BJ113:$BT113,,T113+1)*R113-ERP_i)*Q113*Ramure*Pc/MaxiM</f>
        <v>6.9950746251841487E-7</v>
      </c>
      <c r="Q113" s="305">
        <f t="shared" si="27"/>
        <v>0.5</v>
      </c>
      <c r="R113" s="177">
        <f t="shared" si="28"/>
        <v>3.3037818837119648E-2</v>
      </c>
      <c r="S113" s="811">
        <f t="shared" si="29"/>
        <v>-1</v>
      </c>
      <c r="T113" s="176">
        <f t="shared" si="30"/>
        <v>5</v>
      </c>
      <c r="U113" s="251">
        <f t="shared" si="31"/>
        <v>-0.96696218116288035</v>
      </c>
      <c r="V113" s="383">
        <f t="shared" si="32"/>
        <v>54.826765295645394</v>
      </c>
      <c r="W113" s="402"/>
      <c r="X113" s="157">
        <f t="shared" si="33"/>
        <v>43929</v>
      </c>
      <c r="Y113" s="385">
        <f t="shared" si="34"/>
        <v>39.679000000000002</v>
      </c>
      <c r="Z113" s="385">
        <f t="shared" si="35"/>
        <v>40.265578026654119</v>
      </c>
      <c r="AA113" s="386">
        <f t="shared" si="36"/>
        <v>41.615252576929663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3.2432208546146618E-2</v>
      </c>
      <c r="AD113" s="231">
        <f>(INDEX(Models!$BJ113:$BT113,,AH113)*(1-AF113)+INDEX(Models!$BJ113:$BT113,,AH113+1)*AF113-ERP_i)*AE113*Ramure*Pc/MaxiM</f>
        <v>6.9950746251841487E-7</v>
      </c>
      <c r="AE113" s="305">
        <f t="shared" si="38"/>
        <v>0.5</v>
      </c>
      <c r="AF113" s="177">
        <f t="shared" si="39"/>
        <v>3.3037818837119648E-2</v>
      </c>
      <c r="AG113" s="811">
        <f t="shared" si="47"/>
        <v>-1</v>
      </c>
      <c r="AH113" s="176">
        <f t="shared" si="40"/>
        <v>5</v>
      </c>
      <c r="AI113" s="225">
        <f t="shared" si="41"/>
        <v>-0.96696218116288035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7">
        <v>55.353000000000002</v>
      </c>
      <c r="C114" s="390"/>
      <c r="D114" s="393">
        <f t="shared" si="24"/>
        <v>56.172518422051411</v>
      </c>
      <c r="E114" s="385">
        <f t="shared" si="45"/>
        <v>58.060378704747485</v>
      </c>
      <c r="F114" s="385">
        <f t="shared" si="25"/>
        <v>58.06042842516851</v>
      </c>
      <c r="G114" s="110">
        <f t="shared" si="46"/>
        <v>1.0050880789581171</v>
      </c>
      <c r="H114" s="414" t="b">
        <f>Wh_hp&gt;='2019'!Maxi_hp</f>
        <v>1</v>
      </c>
      <c r="I114" s="380">
        <f>IF(H114,Wh_hp,'2019'!Maxi_hp)</f>
        <v>58.06042842516851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1.4589312444458491E-2</v>
      </c>
      <c r="M114" s="845"/>
      <c r="N114" s="845"/>
      <c r="O114" s="48">
        <f>IF(t&lt;Tnet,'2019'!Resal+('2019'!Salim-'2019'!Resal)*(1-EXP(('2019'!Tnet-t)/('2019'!Tau_j))),Resal+(Salim-Resal)*(1-EXP((Tnet-t)/(Tau_j))))*Salcycl</f>
        <v>3.2515466223469701E-2</v>
      </c>
      <c r="P114" s="169">
        <f>(INDEX(Models!$BJ114:$BT114,,T114)*(1-R114)+INDEX(Models!$BJ114:$BT114,,T114+1)*R114-ERP_i)*Q114*Ramure*Pc/MaxiM</f>
        <v>8.5635642676587732E-7</v>
      </c>
      <c r="Q114" s="305">
        <f t="shared" si="27"/>
        <v>0.5</v>
      </c>
      <c r="R114" s="177">
        <f t="shared" si="28"/>
        <v>3.4447624943462207E-2</v>
      </c>
      <c r="S114" s="811">
        <f t="shared" si="29"/>
        <v>-1</v>
      </c>
      <c r="T114" s="176">
        <f t="shared" si="30"/>
        <v>5</v>
      </c>
      <c r="U114" s="251">
        <f t="shared" si="31"/>
        <v>-0.96555237505653779</v>
      </c>
      <c r="V114" s="383">
        <f t="shared" si="32"/>
        <v>55.072785319849181</v>
      </c>
      <c r="W114" s="402"/>
      <c r="X114" s="157">
        <f t="shared" si="33"/>
        <v>43930</v>
      </c>
      <c r="Y114" s="385">
        <f t="shared" si="34"/>
        <v>55.353000000000002</v>
      </c>
      <c r="Z114" s="385">
        <f t="shared" si="35"/>
        <v>56.172518422051411</v>
      </c>
      <c r="AA114" s="386">
        <f t="shared" si="36"/>
        <v>58.060378704747485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3.2515466223469701E-2</v>
      </c>
      <c r="AD114" s="231">
        <f>(INDEX(Models!$BJ114:$BT114,,AH114)*(1-AF114)+INDEX(Models!$BJ114:$BT114,,AH114+1)*AF114-ERP_i)*AE114*Ramure*Pc/MaxiM</f>
        <v>8.5635642676587732E-7</v>
      </c>
      <c r="AE114" s="305">
        <f t="shared" si="38"/>
        <v>0.5</v>
      </c>
      <c r="AF114" s="177">
        <f t="shared" si="39"/>
        <v>3.4447624943462207E-2</v>
      </c>
      <c r="AG114" s="811">
        <f t="shared" si="47"/>
        <v>-1</v>
      </c>
      <c r="AH114" s="176">
        <f t="shared" si="40"/>
        <v>5</v>
      </c>
      <c r="AI114" s="225">
        <f t="shared" si="41"/>
        <v>-0.96555237505653779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7">
        <v>56.36</v>
      </c>
      <c r="C115" s="390"/>
      <c r="D115" s="393">
        <f t="shared" si="24"/>
        <v>57.195680103180472</v>
      </c>
      <c r="E115" s="385">
        <f t="shared" si="45"/>
        <v>59.123037291530103</v>
      </c>
      <c r="F115" s="385">
        <f t="shared" si="25"/>
        <v>59.123099904366789</v>
      </c>
      <c r="G115" s="110">
        <f t="shared" si="46"/>
        <v>1.0189349932726561</v>
      </c>
      <c r="H115" s="414" t="b">
        <f>Wh_hp&gt;='2019'!Maxi_hp</f>
        <v>1</v>
      </c>
      <c r="I115" s="380">
        <f>IF(H115,Wh_hp,'2019'!Maxi_hp)</f>
        <v>59.123099904366789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1.4610895467505824E-2</v>
      </c>
      <c r="M115" s="845"/>
      <c r="N115" s="845"/>
      <c r="O115" s="48">
        <f>IF(t&lt;Tnet,'2019'!Resal+('2019'!Salim-'2019'!Resal)*(1-EXP(('2019'!Tnet-t)/('2019'!Tau_j))),Resal+(Salim-Resal)*(1-EXP((Tnet-t)/(Tau_j))))*Salcycl</f>
        <v>3.2599089570551278E-2</v>
      </c>
      <c r="P115" s="169">
        <f>(INDEX(Models!$BJ115:$BT115,,T115)*(1-R115)+INDEX(Models!$BJ115:$BT115,,T115+1)*R115-ERP_i)*Q115*Ramure*Pc/MaxiM</f>
        <v>1.0590249291119009E-6</v>
      </c>
      <c r="Q115" s="305">
        <f t="shared" si="27"/>
        <v>0.5</v>
      </c>
      <c r="R115" s="177">
        <f t="shared" si="28"/>
        <v>3.5907500409359305E-2</v>
      </c>
      <c r="S115" s="811">
        <f t="shared" si="29"/>
        <v>-1</v>
      </c>
      <c r="T115" s="176">
        <f t="shared" si="30"/>
        <v>5</v>
      </c>
      <c r="U115" s="251">
        <f t="shared" si="31"/>
        <v>-0.96409249959064069</v>
      </c>
      <c r="V115" s="383">
        <f t="shared" si="32"/>
        <v>55.312655245042372</v>
      </c>
      <c r="W115" s="402"/>
      <c r="X115" s="157">
        <f t="shared" si="33"/>
        <v>43931</v>
      </c>
      <c r="Y115" s="385">
        <f t="shared" si="34"/>
        <v>56.36</v>
      </c>
      <c r="Z115" s="385">
        <f t="shared" si="35"/>
        <v>57.195680103180472</v>
      </c>
      <c r="AA115" s="386">
        <f t="shared" si="36"/>
        <v>59.123037291530103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3.2599089570551278E-2</v>
      </c>
      <c r="AD115" s="231">
        <f>(INDEX(Models!$BJ115:$BT115,,AH115)*(1-AF115)+INDEX(Models!$BJ115:$BT115,,AH115+1)*AF115-ERP_i)*AE115*Ramure*Pc/MaxiM</f>
        <v>1.0590249291119009E-6</v>
      </c>
      <c r="AE115" s="305">
        <f t="shared" si="38"/>
        <v>0.5</v>
      </c>
      <c r="AF115" s="177">
        <f t="shared" si="39"/>
        <v>3.5907500409359305E-2</v>
      </c>
      <c r="AG115" s="811">
        <f t="shared" si="47"/>
        <v>-1</v>
      </c>
      <c r="AH115" s="176">
        <f t="shared" si="40"/>
        <v>5</v>
      </c>
      <c r="AI115" s="225">
        <f t="shared" si="41"/>
        <v>-0.96409249959064069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7">
        <v>55.3</v>
      </c>
      <c r="C116" s="390"/>
      <c r="D116" s="393">
        <f t="shared" si="24"/>
        <v>56.121192109882244</v>
      </c>
      <c r="E116" s="385">
        <f t="shared" si="45"/>
        <v>58.017379303681921</v>
      </c>
      <c r="F116" s="385">
        <f t="shared" si="25"/>
        <v>58.017454693837799</v>
      </c>
      <c r="G116" s="110">
        <f t="shared" si="46"/>
        <v>0.99556632301904624</v>
      </c>
      <c r="H116" s="414" t="b">
        <f>Wh_hp&gt;='2019'!Maxi_hp</f>
        <v>0</v>
      </c>
      <c r="I116" s="380">
        <f>IF(H116,Wh_hp,'2019'!Maxi_hp)</f>
        <v>58.323508945597986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1.4632478017829631E-2</v>
      </c>
      <c r="M116" s="845"/>
      <c r="N116" s="845"/>
      <c r="O116" s="48">
        <f>IF(t&lt;Tnet,'2019'!Resal+('2019'!Salim-'2019'!Resal)*(1-EXP(('2019'!Tnet-t)/('2019'!Tau_j))),Resal+(Salim-Resal)*(1-EXP((Tnet-t)/(Tau_j))))*Salcycl</f>
        <v>3.2683089387309475E-2</v>
      </c>
      <c r="P116" s="169">
        <f>(INDEX(Models!$BJ116:$BT116,,T116)*(1-R116)+INDEX(Models!$BJ116:$BT116,,T116+1)*R116-ERP_i)*Q116*Ramure*Pc/MaxiM</f>
        <v>1.3077220831513732E-6</v>
      </c>
      <c r="Q116" s="305">
        <f t="shared" si="27"/>
        <v>0.5</v>
      </c>
      <c r="R116" s="177">
        <f t="shared" si="28"/>
        <v>3.7418861277987658E-2</v>
      </c>
      <c r="S116" s="811">
        <f t="shared" si="29"/>
        <v>-1</v>
      </c>
      <c r="T116" s="176">
        <f t="shared" si="30"/>
        <v>5</v>
      </c>
      <c r="U116" s="251">
        <f t="shared" si="31"/>
        <v>-0.96258113872201234</v>
      </c>
      <c r="V116" s="383">
        <f t="shared" si="32"/>
        <v>55.546273777381415</v>
      </c>
      <c r="W116" s="402"/>
      <c r="X116" s="157">
        <f t="shared" si="33"/>
        <v>43932</v>
      </c>
      <c r="Y116" s="385">
        <f t="shared" si="34"/>
        <v>55.3</v>
      </c>
      <c r="Z116" s="385">
        <f t="shared" si="35"/>
        <v>56.121192109882244</v>
      </c>
      <c r="AA116" s="386">
        <f t="shared" si="36"/>
        <v>58.017379303681921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3.2683089387309475E-2</v>
      </c>
      <c r="AD116" s="231">
        <f>(INDEX(Models!$BJ116:$BT116,,AH116)*(1-AF116)+INDEX(Models!$BJ116:$BT116,,AH116+1)*AF116-ERP_i)*AE116*Ramure*Pc/MaxiM</f>
        <v>1.3077220831513732E-6</v>
      </c>
      <c r="AE116" s="305">
        <f t="shared" si="38"/>
        <v>0.5</v>
      </c>
      <c r="AF116" s="177">
        <f t="shared" si="39"/>
        <v>3.7418861277987658E-2</v>
      </c>
      <c r="AG116" s="811">
        <f t="shared" si="47"/>
        <v>-1</v>
      </c>
      <c r="AH116" s="176">
        <f t="shared" si="40"/>
        <v>5</v>
      </c>
      <c r="AI116" s="225">
        <f t="shared" si="41"/>
        <v>-0.96258113872201234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7">
        <v>43.499000000000002</v>
      </c>
      <c r="C117" s="390"/>
      <c r="D117" s="393">
        <f t="shared" si="24"/>
        <v>44.14591691950676</v>
      </c>
      <c r="E117" s="385">
        <f t="shared" si="45"/>
        <v>45.641472787070022</v>
      </c>
      <c r="F117" s="385">
        <f t="shared" si="25"/>
        <v>45.641522940191713</v>
      </c>
      <c r="G117" s="110">
        <f t="shared" si="46"/>
        <v>0.77992141655036573</v>
      </c>
      <c r="H117" s="414" t="b">
        <f>Wh_hp&gt;='2019'!Maxi_hp</f>
        <v>0</v>
      </c>
      <c r="I117" s="380">
        <f>IF(H117,Wh_hp,'2019'!Maxi_hp)</f>
        <v>59.034851740298983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1.4654060095440125E-2</v>
      </c>
      <c r="M117" s="845"/>
      <c r="N117" s="845"/>
      <c r="O117" s="48">
        <f>IF(t&lt;Tnet,'2019'!Resal+('2019'!Salim-'2019'!Resal)*(1-EXP(('2019'!Tnet-t)/('2019'!Tau_j))),Resal+(Salim-Resal)*(1-EXP((Tnet-t)/(Tau_j))))*Salcycl</f>
        <v>3.2767476074675381E-2</v>
      </c>
      <c r="P117" s="169">
        <f>(INDEX(Models!$BJ117:$BT117,,T117)*(1-R117)+INDEX(Models!$BJ117:$BT117,,T117+1)*R117-ERP_i)*Q117*Ramure*Pc/MaxiM</f>
        <v>1.6027485638493E-6</v>
      </c>
      <c r="Q117" s="305">
        <f t="shared" si="27"/>
        <v>0.5</v>
      </c>
      <c r="R117" s="177">
        <f t="shared" si="28"/>
        <v>3.8983135210909126E-2</v>
      </c>
      <c r="S117" s="811">
        <f t="shared" si="29"/>
        <v>-1</v>
      </c>
      <c r="T117" s="176">
        <f t="shared" si="30"/>
        <v>5</v>
      </c>
      <c r="U117" s="251">
        <f t="shared" si="31"/>
        <v>-0.96101686478909087</v>
      </c>
      <c r="V117" s="383">
        <f t="shared" si="32"/>
        <v>55.773539689713729</v>
      </c>
      <c r="W117" s="402"/>
      <c r="X117" s="157">
        <f t="shared" si="33"/>
        <v>43933</v>
      </c>
      <c r="Y117" s="385">
        <f t="shared" si="34"/>
        <v>43.499000000000002</v>
      </c>
      <c r="Z117" s="385">
        <f t="shared" si="35"/>
        <v>44.14591691950676</v>
      </c>
      <c r="AA117" s="386">
        <f t="shared" si="36"/>
        <v>45.641472787070022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3.2767476074675381E-2</v>
      </c>
      <c r="AD117" s="231">
        <f>(INDEX(Models!$BJ117:$BT117,,AH117)*(1-AF117)+INDEX(Models!$BJ117:$BT117,,AH117+1)*AF117-ERP_i)*AE117*Ramure*Pc/MaxiM</f>
        <v>1.6027485638493E-6</v>
      </c>
      <c r="AE117" s="305">
        <f t="shared" si="38"/>
        <v>0.5</v>
      </c>
      <c r="AF117" s="177">
        <f t="shared" si="39"/>
        <v>3.8983135210909126E-2</v>
      </c>
      <c r="AG117" s="811">
        <f t="shared" si="47"/>
        <v>-1</v>
      </c>
      <c r="AH117" s="176">
        <f t="shared" si="40"/>
        <v>5</v>
      </c>
      <c r="AI117" s="225">
        <f t="shared" si="41"/>
        <v>-0.96101686478909087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7">
        <v>17.007999999999999</v>
      </c>
      <c r="C118" s="390"/>
      <c r="D118" s="393">
        <f t="shared" si="24"/>
        <v>17.261320961708737</v>
      </c>
      <c r="E118" s="385">
        <f t="shared" si="45"/>
        <v>17.847656816856809</v>
      </c>
      <c r="F118" s="385">
        <f t="shared" si="25"/>
        <v>17.847657002523245</v>
      </c>
      <c r="G118" s="110">
        <f t="shared" si="46"/>
        <v>0.30374433403742185</v>
      </c>
      <c r="H118" s="414" t="b">
        <f>Wh_hp&gt;='2019'!Maxi_hp</f>
        <v>0</v>
      </c>
      <c r="I118" s="380">
        <f>IF(H118,Wh_hp,'2019'!Maxi_hp)</f>
        <v>30.867491835484916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1.4675641700347741E-2</v>
      </c>
      <c r="M118" s="845"/>
      <c r="N118" s="845"/>
      <c r="O118" s="48">
        <f>IF(t&lt;Tnet,'2019'!Resal+('2019'!Salim-'2019'!Resal)*(1-EXP(('2019'!Tnet-t)/('2019'!Tau_j))),Resal+(Salim-Resal)*(1-EXP((Tnet-t)/(Tau_j))))*Salcycl</f>
        <v>3.285225960834736E-2</v>
      </c>
      <c r="P118" s="169">
        <f>(INDEX(Models!$BJ118:$BT118,,T118)*(1-R118)+INDEX(Models!$BJ118:$BT118,,T118+1)*R118-ERP_i)*Q118*Ramure*Pc/MaxiM</f>
        <v>1.9444980470851996E-6</v>
      </c>
      <c r="Q118" s="305">
        <f t="shared" si="27"/>
        <v>0.5</v>
      </c>
      <c r="R118" s="177">
        <f t="shared" si="28"/>
        <v>4.06017590904727E-2</v>
      </c>
      <c r="S118" s="811">
        <f t="shared" si="29"/>
        <v>-1</v>
      </c>
      <c r="T118" s="176">
        <f t="shared" si="30"/>
        <v>5</v>
      </c>
      <c r="U118" s="251">
        <f t="shared" si="31"/>
        <v>-0.9593982409095273</v>
      </c>
      <c r="V118" s="383">
        <f t="shared" si="32"/>
        <v>55.994351824890579</v>
      </c>
      <c r="W118" s="402"/>
      <c r="X118" s="157">
        <f t="shared" si="33"/>
        <v>43934</v>
      </c>
      <c r="Y118" s="385">
        <f t="shared" si="34"/>
        <v>17.007999999999999</v>
      </c>
      <c r="Z118" s="385">
        <f t="shared" si="35"/>
        <v>17.261320961708737</v>
      </c>
      <c r="AA118" s="386">
        <f t="shared" si="36"/>
        <v>17.847656816856809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3.285225960834736E-2</v>
      </c>
      <c r="AD118" s="231">
        <f>(INDEX(Models!$BJ118:$BT118,,AH118)*(1-AF118)+INDEX(Models!$BJ118:$BT118,,AH118+1)*AF118-ERP_i)*AE118*Ramure*Pc/MaxiM</f>
        <v>1.9444980470851996E-6</v>
      </c>
      <c r="AE118" s="305">
        <f t="shared" si="38"/>
        <v>0.5</v>
      </c>
      <c r="AF118" s="177">
        <f t="shared" si="39"/>
        <v>4.06017590904727E-2</v>
      </c>
      <c r="AG118" s="811">
        <f t="shared" si="47"/>
        <v>-1</v>
      </c>
      <c r="AH118" s="176">
        <f t="shared" si="40"/>
        <v>5</v>
      </c>
      <c r="AI118" s="225">
        <f t="shared" si="41"/>
        <v>-0.9593982409095273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7">
        <v>53.067999999999998</v>
      </c>
      <c r="C119" s="390"/>
      <c r="D119" s="393">
        <f t="shared" si="24"/>
        <v>53.859586342140084</v>
      </c>
      <c r="E119" s="385">
        <f t="shared" si="45"/>
        <v>55.694004813802181</v>
      </c>
      <c r="F119" s="385">
        <f t="shared" si="25"/>
        <v>55.694124400308006</v>
      </c>
      <c r="G119" s="110">
        <f t="shared" si="46"/>
        <v>0.94412565913711877</v>
      </c>
      <c r="H119" s="414" t="b">
        <f>Wh_hp&gt;='2019'!Maxi_hp</f>
        <v>1</v>
      </c>
      <c r="I119" s="380">
        <f>IF(H119,Wh_hp,'2019'!Maxi_hp)</f>
        <v>55.694124400308006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1.4697222832562806E-2</v>
      </c>
      <c r="M119" s="845"/>
      <c r="N119" s="845"/>
      <c r="O119" s="48">
        <f>IF(t&lt;Tnet,'2019'!Resal+('2019'!Salim-'2019'!Resal)*(1-EXP(('2019'!Tnet-t)/('2019'!Tau_j))),Resal+(Salim-Resal)*(1-EXP((Tnet-t)/(Tau_j))))*Salcycl</f>
        <v>3.2937449511755881E-2</v>
      </c>
      <c r="P119" s="169">
        <f>(INDEX(Models!$BJ119:$BT119,,T119)*(1-R119)+INDEX(Models!$BJ119:$BT119,,T119+1)*R119-ERP_i)*Q119*Ramure*Pc/MaxiM</f>
        <v>2.3334586937173329E-6</v>
      </c>
      <c r="Q119" s="305">
        <f t="shared" si="27"/>
        <v>0.5</v>
      </c>
      <c r="R119" s="177">
        <f t="shared" si="28"/>
        <v>4.2276176400004251E-2</v>
      </c>
      <c r="S119" s="811">
        <f t="shared" si="29"/>
        <v>-1</v>
      </c>
      <c r="T119" s="176">
        <f t="shared" si="30"/>
        <v>5</v>
      </c>
      <c r="U119" s="251">
        <f t="shared" si="31"/>
        <v>-0.95772382359999575</v>
      </c>
      <c r="V119" s="383">
        <f t="shared" si="32"/>
        <v>56.208609099960078</v>
      </c>
      <c r="W119" s="402"/>
      <c r="X119" s="157">
        <f t="shared" si="33"/>
        <v>43935</v>
      </c>
      <c r="Y119" s="385">
        <f t="shared" si="34"/>
        <v>53.067999999999998</v>
      </c>
      <c r="Z119" s="385">
        <f t="shared" si="35"/>
        <v>53.859586342140084</v>
      </c>
      <c r="AA119" s="386">
        <f t="shared" si="36"/>
        <v>55.694004813802181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3.2937449511755881E-2</v>
      </c>
      <c r="AD119" s="231">
        <f>(INDEX(Models!$BJ119:$BT119,,AH119)*(1-AF119)+INDEX(Models!$BJ119:$BT119,,AH119+1)*AF119-ERP_i)*AE119*Ramure*Pc/MaxiM</f>
        <v>2.3334586937173329E-6</v>
      </c>
      <c r="AE119" s="305">
        <f t="shared" si="38"/>
        <v>0.5</v>
      </c>
      <c r="AF119" s="177">
        <f t="shared" si="39"/>
        <v>4.2276176400004251E-2</v>
      </c>
      <c r="AG119" s="811">
        <f t="shared" si="47"/>
        <v>-1</v>
      </c>
      <c r="AH119" s="176">
        <f t="shared" si="40"/>
        <v>5</v>
      </c>
      <c r="AI119" s="225">
        <f t="shared" si="41"/>
        <v>-0.95772382359999575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7">
        <v>50.350999999999999</v>
      </c>
      <c r="C120" s="390"/>
      <c r="D120" s="393">
        <f t="shared" si="24"/>
        <v>51.103177629348032</v>
      </c>
      <c r="E120" s="385">
        <f t="shared" si="45"/>
        <v>52.84839300927041</v>
      </c>
      <c r="F120" s="385">
        <f t="shared" si="25"/>
        <v>52.848516926149152</v>
      </c>
      <c r="G120" s="110">
        <f t="shared" si="46"/>
        <v>0.8924913269306991</v>
      </c>
      <c r="H120" s="414" t="b">
        <f>Wh_hp&gt;='2019'!Maxi_hp</f>
        <v>1</v>
      </c>
      <c r="I120" s="380">
        <f>IF(H120,Wh_hp,'2019'!Maxi_hp)</f>
        <v>52.848516926149152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1.4718803492095645E-2</v>
      </c>
      <c r="M120" s="845"/>
      <c r="N120" s="845"/>
      <c r="O120" s="48">
        <f>IF(t&lt;Tnet,'2019'!Resal+('2019'!Salim-'2019'!Resal)*(1-EXP(('2019'!Tnet-t)/('2019'!Tau_j))),Resal+(Salim-Resal)*(1-EXP((Tnet-t)/(Tau_j))))*Salcycl</f>
        <v>3.3023054828104935E-2</v>
      </c>
      <c r="P120" s="169">
        <f>(INDEX(Models!$BJ120:$BT120,,T120)*(1-R120)+INDEX(Models!$BJ120:$BT120,,T120+1)*R120-ERP_i)*Q120*Ramure*Pc/MaxiM</f>
        <v>2.7702146758476557E-6</v>
      </c>
      <c r="Q120" s="305">
        <f t="shared" si="27"/>
        <v>0.5</v>
      </c>
      <c r="R120" s="177">
        <f t="shared" si="28"/>
        <v>4.4007834373646637E-2</v>
      </c>
      <c r="S120" s="811">
        <f t="shared" si="29"/>
        <v>-1</v>
      </c>
      <c r="T120" s="176">
        <f t="shared" si="30"/>
        <v>5</v>
      </c>
      <c r="U120" s="251">
        <f t="shared" si="31"/>
        <v>-0.95599216562635336</v>
      </c>
      <c r="V120" s="383">
        <f t="shared" si="32"/>
        <v>56.416210509114769</v>
      </c>
      <c r="W120" s="402"/>
      <c r="X120" s="157">
        <f t="shared" si="33"/>
        <v>43936</v>
      </c>
      <c r="Y120" s="385">
        <f t="shared" si="34"/>
        <v>50.350999999999999</v>
      </c>
      <c r="Z120" s="385">
        <f t="shared" si="35"/>
        <v>51.103177629348032</v>
      </c>
      <c r="AA120" s="386">
        <f t="shared" si="36"/>
        <v>52.84839300927041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3.3023054828104935E-2</v>
      </c>
      <c r="AD120" s="231">
        <f>(INDEX(Models!$BJ120:$BT120,,AH120)*(1-AF120)+INDEX(Models!$BJ120:$BT120,,AH120+1)*AF120-ERP_i)*AE120*Ramure*Pc/MaxiM</f>
        <v>2.7702146758476557E-6</v>
      </c>
      <c r="AE120" s="305">
        <f t="shared" si="38"/>
        <v>0.5</v>
      </c>
      <c r="AF120" s="177">
        <f t="shared" si="39"/>
        <v>4.4007834373646637E-2</v>
      </c>
      <c r="AG120" s="811">
        <f t="shared" si="47"/>
        <v>-1</v>
      </c>
      <c r="AH120" s="176">
        <f t="shared" si="40"/>
        <v>5</v>
      </c>
      <c r="AI120" s="225">
        <f t="shared" si="41"/>
        <v>-0.95599216562635336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7">
        <v>45.506</v>
      </c>
      <c r="C121" s="390"/>
      <c r="D121" s="393">
        <f t="shared" si="24"/>
        <v>46.186811319760857</v>
      </c>
      <c r="E121" s="385">
        <f t="shared" si="45"/>
        <v>47.768378583179974</v>
      </c>
      <c r="F121" s="385">
        <f t="shared" si="25"/>
        <v>47.7684904955386</v>
      </c>
      <c r="G121" s="110">
        <f t="shared" si="46"/>
        <v>0.80375581507986638</v>
      </c>
      <c r="H121" s="414" t="b">
        <f>Wh_hp&gt;='2019'!Maxi_hp</f>
        <v>1</v>
      </c>
      <c r="I121" s="380">
        <f>IF(H121,Wh_hp,'2019'!Maxi_hp)</f>
        <v>47.7684904955386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1.4740383678956692E-2</v>
      </c>
      <c r="M121" s="845"/>
      <c r="N121" s="845"/>
      <c r="O121" s="48">
        <f>IF(t&lt;Tnet,'2019'!Resal+('2019'!Salim-'2019'!Resal)*(1-EXP(('2019'!Tnet-t)/('2019'!Tau_j))),Resal+(Salim-Resal)*(1-EXP((Tnet-t)/(Tau_j))))*Salcycl</f>
        <v>3.3109084091374426E-2</v>
      </c>
      <c r="P121" s="169">
        <f>(INDEX(Models!$BJ121:$BT121,,T121)*(1-R121)+INDEX(Models!$BJ121:$BT121,,T121+1)*R121-ERP_i)*Q121*Ramure*Pc/MaxiM</f>
        <v>3.2554712657921175E-6</v>
      </c>
      <c r="Q121" s="305">
        <f t="shared" si="27"/>
        <v>0.5</v>
      </c>
      <c r="R121" s="177">
        <f t="shared" si="28"/>
        <v>4.5798180908323438E-2</v>
      </c>
      <c r="S121" s="811">
        <f t="shared" si="29"/>
        <v>-1</v>
      </c>
      <c r="T121" s="176">
        <f t="shared" si="30"/>
        <v>5</v>
      </c>
      <c r="U121" s="251">
        <f t="shared" si="31"/>
        <v>-0.95420181909167656</v>
      </c>
      <c r="V121" s="383">
        <f t="shared" si="32"/>
        <v>56.616646019146181</v>
      </c>
      <c r="W121" s="402"/>
      <c r="X121" s="157">
        <f t="shared" si="33"/>
        <v>43937</v>
      </c>
      <c r="Y121" s="385">
        <f t="shared" si="34"/>
        <v>45.506</v>
      </c>
      <c r="Z121" s="385">
        <f t="shared" si="35"/>
        <v>46.186811319760857</v>
      </c>
      <c r="AA121" s="386">
        <f t="shared" si="36"/>
        <v>47.768378583179974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3.3109084091374426E-2</v>
      </c>
      <c r="AD121" s="231">
        <f>(INDEX(Models!$BJ121:$BT121,,AH121)*(1-AF121)+INDEX(Models!$BJ121:$BT121,,AH121+1)*AF121-ERP_i)*AE121*Ramure*Pc/MaxiM</f>
        <v>3.2554712657921175E-6</v>
      </c>
      <c r="AE121" s="305">
        <f t="shared" si="38"/>
        <v>0.5</v>
      </c>
      <c r="AF121" s="177">
        <f t="shared" si="39"/>
        <v>4.5798180908323438E-2</v>
      </c>
      <c r="AG121" s="811">
        <f t="shared" si="47"/>
        <v>-1</v>
      </c>
      <c r="AH121" s="176">
        <f t="shared" si="40"/>
        <v>5</v>
      </c>
      <c r="AI121" s="225">
        <f t="shared" si="41"/>
        <v>-0.95420181909167656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7">
        <v>34.100999999999999</v>
      </c>
      <c r="C122" s="390"/>
      <c r="D122" s="393">
        <f t="shared" si="24"/>
        <v>34.61194019411159</v>
      </c>
      <c r="E122" s="385">
        <f t="shared" si="45"/>
        <v>35.800352414300058</v>
      </c>
      <c r="F122" s="385">
        <f t="shared" si="25"/>
        <v>35.800411509106489</v>
      </c>
      <c r="G122" s="110">
        <f t="shared" si="46"/>
        <v>0.60026615015503526</v>
      </c>
      <c r="H122" s="414" t="b">
        <f>Wh_hp&gt;='2019'!Maxi_hp</f>
        <v>1</v>
      </c>
      <c r="I122" s="380">
        <f>IF(H122,Wh_hp,'2019'!Maxi_hp)</f>
        <v>35.800411509106489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1.4761963393156274E-2</v>
      </c>
      <c r="M122" s="845"/>
      <c r="N122" s="845"/>
      <c r="O122" s="48">
        <f>IF(t&lt;Tnet,'2019'!Resal+('2019'!Salim-'2019'!Resal)*(1-EXP(('2019'!Tnet-t)/('2019'!Tau_j))),Resal+(Salim-Resal)*(1-EXP((Tnet-t)/(Tau_j))))*Salcycl</f>
        <v>3.3195545296190045E-2</v>
      </c>
      <c r="P122" s="169">
        <f>(INDEX(Models!$BJ122:$BT122,,T122)*(1-R122)+INDEX(Models!$BJ122:$BT122,,T122+1)*R122-ERP_i)*Q122*Ramure*Pc/MaxiM</f>
        <v>3.8481416692324749E-6</v>
      </c>
      <c r="Q122" s="305">
        <f t="shared" si="27"/>
        <v>0.5</v>
      </c>
      <c r="R122" s="177">
        <f t="shared" si="28"/>
        <v>4.7648661231046274E-2</v>
      </c>
      <c r="S122" s="811">
        <f t="shared" si="29"/>
        <v>-1</v>
      </c>
      <c r="T122" s="176">
        <f t="shared" si="30"/>
        <v>5</v>
      </c>
      <c r="U122" s="251">
        <f t="shared" si="31"/>
        <v>-0.95235133876895373</v>
      </c>
      <c r="V122" s="383">
        <f t="shared" si="32"/>
        <v>56.809675266915974</v>
      </c>
      <c r="W122" s="402"/>
      <c r="X122" s="157">
        <f t="shared" si="33"/>
        <v>43938</v>
      </c>
      <c r="Y122" s="385">
        <f t="shared" si="34"/>
        <v>34.100999999999999</v>
      </c>
      <c r="Z122" s="385">
        <f t="shared" si="35"/>
        <v>34.61194019411159</v>
      </c>
      <c r="AA122" s="386">
        <f t="shared" si="36"/>
        <v>35.800352414300058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3.3195545296190045E-2</v>
      </c>
      <c r="AD122" s="231">
        <f>(INDEX(Models!$BJ122:$BT122,,AH122)*(1-AF122)+INDEX(Models!$BJ122:$BT122,,AH122+1)*AF122-ERP_i)*AE122*Ramure*Pc/MaxiM</f>
        <v>3.8481416692324749E-6</v>
      </c>
      <c r="AE122" s="305">
        <f t="shared" si="38"/>
        <v>0.5</v>
      </c>
      <c r="AF122" s="177">
        <f t="shared" si="39"/>
        <v>4.7648661231046274E-2</v>
      </c>
      <c r="AG122" s="811">
        <f t="shared" si="47"/>
        <v>-1</v>
      </c>
      <c r="AH122" s="176">
        <f t="shared" si="40"/>
        <v>5</v>
      </c>
      <c r="AI122" s="225">
        <f t="shared" si="41"/>
        <v>-0.95235133876895373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7">
        <v>44.314999999999998</v>
      </c>
      <c r="C123" s="390"/>
      <c r="D123" s="393">
        <f t="shared" si="24"/>
        <v>44.979963203729788</v>
      </c>
      <c r="E123" s="385">
        <f t="shared" si="45"/>
        <v>46.528547052242558</v>
      </c>
      <c r="F123" s="385">
        <f t="shared" si="25"/>
        <v>46.528691099328618</v>
      </c>
      <c r="G123" s="110">
        <f t="shared" si="46"/>
        <v>0.77751493836256491</v>
      </c>
      <c r="H123" s="414" t="b">
        <f>Wh_hp&gt;='2019'!Maxi_hp</f>
        <v>0</v>
      </c>
      <c r="I123" s="380">
        <f>IF(H123,Wh_hp,'2019'!Maxi_hp)</f>
        <v>53.932097208526116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1.4783542634704716E-2</v>
      </c>
      <c r="M123" s="845"/>
      <c r="N123" s="845"/>
      <c r="O123" s="48">
        <f>IF(t&lt;Tnet,'2019'!Resal+('2019'!Salim-'2019'!Resal)*(1-EXP(('2019'!Tnet-t)/('2019'!Tau_j))),Resal+(Salim-Resal)*(1-EXP((Tnet-t)/(Tau_j))))*Salcycl</f>
        <v>3.3282445866491692E-2</v>
      </c>
      <c r="P123" s="169">
        <f>(INDEX(Models!$BJ123:$BT123,,T123)*(1-R123)+INDEX(Models!$BJ123:$BT123,,T123+1)*R123-ERP_i)*Q123*Ramure*Pc/MaxiM</f>
        <v>4.5383052068145593E-6</v>
      </c>
      <c r="Q123" s="305">
        <f t="shared" si="27"/>
        <v>0.5</v>
      </c>
      <c r="R123" s="177">
        <f t="shared" si="28"/>
        <v>4.9560714315683208E-2</v>
      </c>
      <c r="S123" s="811">
        <f t="shared" si="29"/>
        <v>-1</v>
      </c>
      <c r="T123" s="176">
        <f t="shared" si="30"/>
        <v>5</v>
      </c>
      <c r="U123" s="251">
        <f t="shared" si="31"/>
        <v>-0.95043928568431679</v>
      </c>
      <c r="V123" s="383">
        <f t="shared" si="32"/>
        <v>56.995607276568926</v>
      </c>
      <c r="W123" s="402"/>
      <c r="X123" s="157">
        <f t="shared" si="33"/>
        <v>43939</v>
      </c>
      <c r="Y123" s="385">
        <f t="shared" si="34"/>
        <v>44.314999999999998</v>
      </c>
      <c r="Z123" s="385">
        <f t="shared" si="35"/>
        <v>44.979963203729788</v>
      </c>
      <c r="AA123" s="386">
        <f t="shared" si="36"/>
        <v>46.528547052242558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3.3282445866491692E-2</v>
      </c>
      <c r="AD123" s="231">
        <f>(INDEX(Models!$BJ123:$BT123,,AH123)*(1-AF123)+INDEX(Models!$BJ123:$BT123,,AH123+1)*AF123-ERP_i)*AE123*Ramure*Pc/MaxiM</f>
        <v>4.5383052068145593E-6</v>
      </c>
      <c r="AE123" s="305">
        <f t="shared" si="38"/>
        <v>0.5</v>
      </c>
      <c r="AF123" s="177">
        <f t="shared" si="39"/>
        <v>4.9560714315683208E-2</v>
      </c>
      <c r="AG123" s="811">
        <f t="shared" si="47"/>
        <v>-1</v>
      </c>
      <c r="AH123" s="176">
        <f t="shared" si="40"/>
        <v>5</v>
      </c>
      <c r="AI123" s="225">
        <f t="shared" si="41"/>
        <v>-0.95043928568431679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7">
        <v>17.963000000000001</v>
      </c>
      <c r="C124" s="390"/>
      <c r="D124" s="393">
        <f t="shared" si="24"/>
        <v>18.232940903623032</v>
      </c>
      <c r="E124" s="385">
        <f t="shared" si="45"/>
        <v>18.862374426615823</v>
      </c>
      <c r="F124" s="385">
        <f t="shared" si="25"/>
        <v>18.862376461788866</v>
      </c>
      <c r="G124" s="110">
        <f t="shared" si="46"/>
        <v>0.31417550813520001</v>
      </c>
      <c r="H124" s="414" t="b">
        <f>Wh_hp&gt;='2019'!Maxi_hp</f>
        <v>0</v>
      </c>
      <c r="I124" s="380">
        <f>IF(H124,Wh_hp,'2019'!Maxi_hp)</f>
        <v>54.953153725787914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1.4805121403612453E-2</v>
      </c>
      <c r="M124" s="845"/>
      <c r="N124" s="845"/>
      <c r="O124" s="48">
        <f>IF(t&lt;Tnet,'2019'!Resal+('2019'!Salim-'2019'!Resal)*(1-EXP(('2019'!Tnet-t)/('2019'!Tau_j))),Resal+(Salim-Resal)*(1-EXP((Tnet-t)/(Tau_j))))*Salcycl</f>
        <v>3.3369792622959846E-2</v>
      </c>
      <c r="P124" s="169">
        <f>(INDEX(Models!$BJ124:$BT124,,T124)*(1-R124)+INDEX(Models!$BJ124:$BT124,,T124+1)*R124-ERP_i)*Q124*Ramure*Pc/MaxiM</f>
        <v>5.3273852084326667E-6</v>
      </c>
      <c r="Q124" s="305">
        <f t="shared" si="27"/>
        <v>0.5</v>
      </c>
      <c r="R124" s="177">
        <f t="shared" si="28"/>
        <v>5.153576904435242E-2</v>
      </c>
      <c r="S124" s="811">
        <f t="shared" si="29"/>
        <v>-1</v>
      </c>
      <c r="T124" s="176">
        <f t="shared" si="30"/>
        <v>5</v>
      </c>
      <c r="U124" s="251">
        <f t="shared" si="31"/>
        <v>-0.94846423095564758</v>
      </c>
      <c r="V124" s="383">
        <f t="shared" si="32"/>
        <v>57.174750345508706</v>
      </c>
      <c r="W124" s="402"/>
      <c r="X124" s="157">
        <f t="shared" si="33"/>
        <v>43940</v>
      </c>
      <c r="Y124" s="385">
        <f t="shared" si="34"/>
        <v>17.963000000000001</v>
      </c>
      <c r="Z124" s="385">
        <f t="shared" si="35"/>
        <v>18.232940903623032</v>
      </c>
      <c r="AA124" s="386">
        <f t="shared" si="36"/>
        <v>18.862374426615823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3.3369792622959846E-2</v>
      </c>
      <c r="AD124" s="231">
        <f>(INDEX(Models!$BJ124:$BT124,,AH124)*(1-AF124)+INDEX(Models!$BJ124:$BT124,,AH124+1)*AF124-ERP_i)*AE124*Ramure*Pc/MaxiM</f>
        <v>5.3273852084326667E-6</v>
      </c>
      <c r="AE124" s="305">
        <f t="shared" si="38"/>
        <v>0.5</v>
      </c>
      <c r="AF124" s="177">
        <f t="shared" si="39"/>
        <v>5.153576904435242E-2</v>
      </c>
      <c r="AG124" s="811">
        <f t="shared" si="47"/>
        <v>-1</v>
      </c>
      <c r="AH124" s="176">
        <f t="shared" si="40"/>
        <v>5</v>
      </c>
      <c r="AI124" s="225">
        <f t="shared" si="41"/>
        <v>-0.94846423095564758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7">
        <v>15.452</v>
      </c>
      <c r="C125" s="390"/>
      <c r="D125" s="393">
        <f t="shared" si="24"/>
        <v>15.684550114475194</v>
      </c>
      <c r="E125" s="385">
        <f t="shared" si="45"/>
        <v>16.227482602506935</v>
      </c>
      <c r="F125" s="385">
        <f t="shared" si="25"/>
        <v>16.227482602506935</v>
      </c>
      <c r="G125" s="110">
        <f t="shared" si="46"/>
        <v>0.26944378506114897</v>
      </c>
      <c r="H125" s="414" t="b">
        <f>Wh_hp&gt;='2019'!Maxi_hp</f>
        <v>0</v>
      </c>
      <c r="I125" s="380">
        <f>IF(H125,Wh_hp,'2019'!Maxi_hp)</f>
        <v>19.28374779266824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1.48266996998897E-2</v>
      </c>
      <c r="M125" s="845"/>
      <c r="N125" s="845"/>
      <c r="O125" s="48">
        <f>IF(t&lt;Tnet,'2019'!Resal+('2019'!Salim-'2019'!Resal)*(1-EXP(('2019'!Tnet-t)/('2019'!Tau_j))),Resal+(Salim-Resal)*(1-EXP((Tnet-t)/(Tau_j))))*Salcycl</f>
        <v>3.3457591749188963E-2</v>
      </c>
      <c r="P125" s="169">
        <f>(INDEX(Models!$BJ125:$BT125,,T125)*(1-R125)+INDEX(Models!$BJ125:$BT125,,T125+1)*R125-ERP_i)*Q125*Ramure*Pc/MaxiM</f>
        <v>6.2170008855256259E-6</v>
      </c>
      <c r="Q125" s="305">
        <f t="shared" si="27"/>
        <v>0.5</v>
      </c>
      <c r="R125" s="177">
        <f t="shared" si="28"/>
        <v>5.3575240109825506E-2</v>
      </c>
      <c r="S125" s="811">
        <f t="shared" si="29"/>
        <v>-1</v>
      </c>
      <c r="T125" s="176">
        <f t="shared" si="30"/>
        <v>5</v>
      </c>
      <c r="U125" s="251">
        <f t="shared" si="31"/>
        <v>-0.94642475989017449</v>
      </c>
      <c r="V125" s="383">
        <f t="shared" si="32"/>
        <v>57.347412676063691</v>
      </c>
      <c r="W125" s="402"/>
      <c r="X125" s="157">
        <f t="shared" si="33"/>
        <v>43941</v>
      </c>
      <c r="Y125" s="385">
        <f t="shared" si="34"/>
        <v>15.451999999999998</v>
      </c>
      <c r="Z125" s="385">
        <f t="shared" si="35"/>
        <v>15.684550114475192</v>
      </c>
      <c r="AA125" s="386">
        <f t="shared" si="36"/>
        <v>16.227482602506935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3.3457591749188963E-2</v>
      </c>
      <c r="AD125" s="231">
        <f>(INDEX(Models!$BJ125:$BT125,,AH125)*(1-AF125)+INDEX(Models!$BJ125:$BT125,,AH125+1)*AF125-ERP_i)*AE125*Ramure*Pc/MaxiM</f>
        <v>6.2170008855256259E-6</v>
      </c>
      <c r="AE125" s="305">
        <f t="shared" si="38"/>
        <v>0.5</v>
      </c>
      <c r="AF125" s="177">
        <f t="shared" si="39"/>
        <v>5.3575240109825506E-2</v>
      </c>
      <c r="AG125" s="811">
        <f t="shared" si="47"/>
        <v>-1</v>
      </c>
      <c r="AH125" s="176">
        <f t="shared" si="40"/>
        <v>5</v>
      </c>
      <c r="AI125" s="225">
        <f t="shared" si="41"/>
        <v>-0.94642475989017449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7">
        <v>15.348000000000001</v>
      </c>
      <c r="C126" s="390"/>
      <c r="D126" s="393">
        <f t="shared" si="24"/>
        <v>15.579326158430227</v>
      </c>
      <c r="E126" s="385">
        <f t="shared" si="45"/>
        <v>16.120088199100802</v>
      </c>
      <c r="F126" s="385">
        <f t="shared" si="25"/>
        <v>16.120088199100802</v>
      </c>
      <c r="G126" s="110">
        <f t="shared" si="46"/>
        <v>0.26685529449809792</v>
      </c>
      <c r="H126" s="414" t="b">
        <f>Wh_hp&gt;='2019'!Maxi_hp</f>
        <v>0</v>
      </c>
      <c r="I126" s="380">
        <f>IF(H126,Wh_hp,'2019'!Maxi_hp)</f>
        <v>34.439974387722657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1.4848277523546893E-2</v>
      </c>
      <c r="M126" s="845"/>
      <c r="N126" s="845"/>
      <c r="O126" s="48">
        <f>IF(t&lt;Tnet,'2019'!Resal+('2019'!Salim-'2019'!Resal)*(1-EXP(('2019'!Tnet-t)/('2019'!Tau_j))),Resal+(Salim-Resal)*(1-EXP((Tnet-t)/(Tau_j))))*Salcycl</f>
        <v>3.3545848756630213E-2</v>
      </c>
      <c r="P126" s="169">
        <f>(INDEX(Models!$BJ126:$BT126,,T126)*(1-R126)+INDEX(Models!$BJ126:$BT126,,T126+1)*R126-ERP_i)*Q126*Ramure*Pc/MaxiM</f>
        <v>7.2089577042504353E-6</v>
      </c>
      <c r="Q126" s="305">
        <f t="shared" si="27"/>
        <v>0.5</v>
      </c>
      <c r="R126" s="177">
        <f t="shared" si="28"/>
        <v>5.5680523656707948E-2</v>
      </c>
      <c r="S126" s="811">
        <f t="shared" si="29"/>
        <v>-1</v>
      </c>
      <c r="T126" s="176">
        <f t="shared" si="30"/>
        <v>5</v>
      </c>
      <c r="U126" s="251">
        <f t="shared" si="31"/>
        <v>-0.94431947634329205</v>
      </c>
      <c r="V126" s="383">
        <f t="shared" si="32"/>
        <v>57.513902378378909</v>
      </c>
      <c r="W126" s="402"/>
      <c r="X126" s="157">
        <f t="shared" si="33"/>
        <v>43942</v>
      </c>
      <c r="Y126" s="385">
        <f t="shared" si="34"/>
        <v>15.348000000000001</v>
      </c>
      <c r="Z126" s="385">
        <f t="shared" si="35"/>
        <v>15.579326158430227</v>
      </c>
      <c r="AA126" s="386">
        <f t="shared" si="36"/>
        <v>16.120088199100802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3.3545848756630213E-2</v>
      </c>
      <c r="AD126" s="231">
        <f>(INDEX(Models!$BJ126:$BT126,,AH126)*(1-AF126)+INDEX(Models!$BJ126:$BT126,,AH126+1)*AF126-ERP_i)*AE126*Ramure*Pc/MaxiM</f>
        <v>7.2089577042504353E-6</v>
      </c>
      <c r="AE126" s="305">
        <f t="shared" si="38"/>
        <v>0.5</v>
      </c>
      <c r="AF126" s="177">
        <f t="shared" si="39"/>
        <v>5.5680523656707948E-2</v>
      </c>
      <c r="AG126" s="811">
        <f t="shared" si="47"/>
        <v>-1</v>
      </c>
      <c r="AH126" s="176">
        <f t="shared" si="40"/>
        <v>5</v>
      </c>
      <c r="AI126" s="225">
        <f t="shared" si="41"/>
        <v>-0.94431947634329205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7">
        <v>9.9529999999999994</v>
      </c>
      <c r="C127" s="390"/>
      <c r="D127" s="393">
        <f t="shared" si="24"/>
        <v>10.103233617658708</v>
      </c>
      <c r="E127" s="385">
        <f t="shared" si="45"/>
        <v>10.454878959646241</v>
      </c>
      <c r="F127" s="385">
        <f t="shared" si="25"/>
        <v>10.454878959646241</v>
      </c>
      <c r="G127" s="110">
        <f t="shared" si="46"/>
        <v>0.17257041843439869</v>
      </c>
      <c r="H127" s="414" t="b">
        <f>Wh_hp&gt;='2019'!Maxi_hp</f>
        <v>0</v>
      </c>
      <c r="I127" s="380">
        <f>IF(H127,Wh_hp,'2019'!Maxi_hp)</f>
        <v>36.480967732620293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1.4869854874594357E-2</v>
      </c>
      <c r="M127" s="845"/>
      <c r="N127" s="845"/>
      <c r="O127" s="48">
        <f>IF(t&lt;Tnet,'2019'!Resal+('2019'!Salim-'2019'!Resal)*(1-EXP(('2019'!Tnet-t)/('2019'!Tau_j))),Resal+(Salim-Resal)*(1-EXP((Tnet-t)/(Tau_j))))*Salcycl</f>
        <v>3.3634568448359312E-2</v>
      </c>
      <c r="P127" s="169">
        <f>(INDEX(Models!$BJ127:$BT127,,T127)*(1-R127)+INDEX(Models!$BJ127:$BT127,,T127+1)*R127-ERP_i)*Q127*Ramure*Pc/MaxiM</f>
        <v>8.3052228861572685E-6</v>
      </c>
      <c r="Q127" s="305">
        <f t="shared" si="27"/>
        <v>0.5</v>
      </c>
      <c r="R127" s="177">
        <f t="shared" si="28"/>
        <v>5.7852992660741287E-2</v>
      </c>
      <c r="S127" s="811">
        <f t="shared" si="29"/>
        <v>-1</v>
      </c>
      <c r="T127" s="176">
        <f t="shared" si="30"/>
        <v>5</v>
      </c>
      <c r="U127" s="251">
        <f t="shared" si="31"/>
        <v>-0.94214700733925871</v>
      </c>
      <c r="V127" s="383">
        <f t="shared" si="32"/>
        <v>57.674527467754494</v>
      </c>
      <c r="W127" s="402"/>
      <c r="X127" s="157">
        <f t="shared" si="33"/>
        <v>43943</v>
      </c>
      <c r="Y127" s="385">
        <f t="shared" si="34"/>
        <v>9.9529999999999994</v>
      </c>
      <c r="Z127" s="385">
        <f t="shared" si="35"/>
        <v>10.103233617658708</v>
      </c>
      <c r="AA127" s="386">
        <f t="shared" si="36"/>
        <v>10.454878959646241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3.3634568448359312E-2</v>
      </c>
      <c r="AD127" s="231">
        <f>(INDEX(Models!$BJ127:$BT127,,AH127)*(1-AF127)+INDEX(Models!$BJ127:$BT127,,AH127+1)*AF127-ERP_i)*AE127*Ramure*Pc/MaxiM</f>
        <v>8.3052228861572685E-6</v>
      </c>
      <c r="AE127" s="305">
        <f t="shared" si="38"/>
        <v>0.5</v>
      </c>
      <c r="AF127" s="177">
        <f t="shared" si="39"/>
        <v>5.7852992660741287E-2</v>
      </c>
      <c r="AG127" s="811">
        <f t="shared" si="47"/>
        <v>-1</v>
      </c>
      <c r="AH127" s="176">
        <f t="shared" si="40"/>
        <v>5</v>
      </c>
      <c r="AI127" s="225">
        <f t="shared" si="41"/>
        <v>-0.94214700733925871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7">
        <v>16.052</v>
      </c>
      <c r="C128" s="390"/>
      <c r="D128" s="393">
        <f t="shared" si="24"/>
        <v>16.294650678518831</v>
      </c>
      <c r="E128" s="385">
        <f t="shared" si="45"/>
        <v>16.863346026399448</v>
      </c>
      <c r="F128" s="385">
        <f t="shared" si="25"/>
        <v>16.863346026399448</v>
      </c>
      <c r="G128" s="110">
        <f t="shared" si="46"/>
        <v>0.27757149494167005</v>
      </c>
      <c r="H128" s="414" t="b">
        <f>Wh_hp&gt;='2019'!Maxi_hp</f>
        <v>0</v>
      </c>
      <c r="I128" s="380">
        <f>IF(H128,Wh_hp,'2019'!Maxi_hp)</f>
        <v>53.769712691918087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1.4891431753042528E-2</v>
      </c>
      <c r="M128" s="845"/>
      <c r="N128" s="845"/>
      <c r="O128" s="48">
        <f>IF(t&lt;Tnet,'2019'!Resal+('2019'!Salim-'2019'!Resal)*(1-EXP(('2019'!Tnet-t)/('2019'!Tau_j))),Resal+(Salim-Resal)*(1-EXP((Tnet-t)/(Tau_j))))*Salcycl</f>
        <v>3.3723754881761159E-2</v>
      </c>
      <c r="P128" s="169">
        <f>(INDEX(Models!$BJ128:$BT128,,T128)*(1-R128)+INDEX(Models!$BJ128:$BT128,,T128+1)*R128-ERP_i)*Q128*Ramure*Pc/MaxiM</f>
        <v>9.5989817179197003E-6</v>
      </c>
      <c r="Q128" s="305">
        <f t="shared" si="27"/>
        <v>0.5</v>
      </c>
      <c r="R128" s="177">
        <f t="shared" si="28"/>
        <v>6.0093992047322797E-2</v>
      </c>
      <c r="S128" s="811">
        <f t="shared" si="29"/>
        <v>-1</v>
      </c>
      <c r="T128" s="176">
        <f t="shared" si="30"/>
        <v>5</v>
      </c>
      <c r="U128" s="251">
        <f t="shared" si="31"/>
        <v>-0.9399060079526772</v>
      </c>
      <c r="V128" s="383">
        <f t="shared" si="32"/>
        <v>57.829590608785892</v>
      </c>
      <c r="W128" s="402"/>
      <c r="X128" s="157">
        <f t="shared" si="33"/>
        <v>43944</v>
      </c>
      <c r="Y128" s="385">
        <f t="shared" si="34"/>
        <v>16.052</v>
      </c>
      <c r="Z128" s="385">
        <f t="shared" si="35"/>
        <v>16.294650678518831</v>
      </c>
      <c r="AA128" s="386">
        <f t="shared" si="36"/>
        <v>16.863346026399448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3.3723754881761159E-2</v>
      </c>
      <c r="AD128" s="231">
        <f>(INDEX(Models!$BJ128:$BT128,,AH128)*(1-AF128)+INDEX(Models!$BJ128:$BT128,,AH128+1)*AF128-ERP_i)*AE128*Ramure*Pc/MaxiM</f>
        <v>9.5989817179197003E-6</v>
      </c>
      <c r="AE128" s="305">
        <f t="shared" si="38"/>
        <v>0.5</v>
      </c>
      <c r="AF128" s="177">
        <f t="shared" si="39"/>
        <v>6.0093992047322797E-2</v>
      </c>
      <c r="AG128" s="811">
        <f t="shared" si="47"/>
        <v>-1</v>
      </c>
      <c r="AH128" s="176">
        <f t="shared" si="40"/>
        <v>5</v>
      </c>
      <c r="AI128" s="225">
        <f t="shared" si="41"/>
        <v>-0.9399060079526772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7">
        <v>51.570999999999998</v>
      </c>
      <c r="C129" s="390"/>
      <c r="D129" s="393">
        <f t="shared" si="24"/>
        <v>52.35172165213077</v>
      </c>
      <c r="E129" s="385">
        <f t="shared" si="45"/>
        <v>54.183862895684925</v>
      </c>
      <c r="F129" s="385">
        <f t="shared" si="25"/>
        <v>54.184367462537033</v>
      </c>
      <c r="G129" s="110">
        <f t="shared" si="46"/>
        <v>0.8894695104723519</v>
      </c>
      <c r="H129" s="414" t="b">
        <f>Wh_hp&gt;='2019'!Maxi_hp</f>
        <v>1</v>
      </c>
      <c r="I129" s="380">
        <f>IF(H129,Wh_hp,'2019'!Maxi_hp)</f>
        <v>54.184367462537033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1.4913008158901619E-2</v>
      </c>
      <c r="M129" s="845"/>
      <c r="N129" s="845"/>
      <c r="O129" s="48">
        <f>IF(t&lt;Tnet,'2019'!Resal+('2019'!Salim-'2019'!Resal)*(1-EXP(('2019'!Tnet-t)/('2019'!Tau_j))),Resal+(Salim-Resal)*(1-EXP((Tnet-t)/(Tau_j))))*Salcycl</f>
        <v>3.3813411330259023E-2</v>
      </c>
      <c r="P129" s="169">
        <f>(INDEX(Models!$BJ129:$BT129,,T129)*(1-R129)+INDEX(Models!$BJ129:$BT129,,T129+1)*R129-ERP_i)*Q129*Ramure*Pc/MaxiM</f>
        <v>1.1058093482114739E-5</v>
      </c>
      <c r="Q129" s="305">
        <f t="shared" si="27"/>
        <v>0.5</v>
      </c>
      <c r="R129" s="177">
        <f t="shared" si="28"/>
        <v>6.2404833552288652E-2</v>
      </c>
      <c r="S129" s="811">
        <f t="shared" si="29"/>
        <v>-1</v>
      </c>
      <c r="T129" s="176">
        <f t="shared" si="30"/>
        <v>5</v>
      </c>
      <c r="U129" s="251">
        <f t="shared" si="31"/>
        <v>-0.93759516644771135</v>
      </c>
      <c r="V129" s="383">
        <f t="shared" si="32"/>
        <v>57.979401594004706</v>
      </c>
      <c r="W129" s="402"/>
      <c r="X129" s="157">
        <f t="shared" si="33"/>
        <v>43945</v>
      </c>
      <c r="Y129" s="385">
        <f t="shared" si="34"/>
        <v>51.570999999999998</v>
      </c>
      <c r="Z129" s="385">
        <f t="shared" si="35"/>
        <v>52.35172165213077</v>
      </c>
      <c r="AA129" s="386">
        <f t="shared" si="36"/>
        <v>54.183862895684925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3.3813411330259023E-2</v>
      </c>
      <c r="AD129" s="231">
        <f>(INDEX(Models!$BJ129:$BT129,,AH129)*(1-AF129)+INDEX(Models!$BJ129:$BT129,,AH129+1)*AF129-ERP_i)*AE129*Ramure*Pc/MaxiM</f>
        <v>1.1058093482114739E-5</v>
      </c>
      <c r="AE129" s="305">
        <f t="shared" si="38"/>
        <v>0.5</v>
      </c>
      <c r="AF129" s="177">
        <f t="shared" si="39"/>
        <v>6.2404833552288652E-2</v>
      </c>
      <c r="AG129" s="811">
        <f t="shared" si="47"/>
        <v>-1</v>
      </c>
      <c r="AH129" s="176">
        <f t="shared" si="40"/>
        <v>5</v>
      </c>
      <c r="AI129" s="225">
        <f t="shared" si="41"/>
        <v>-0.93759516644771135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7">
        <v>46.466000000000001</v>
      </c>
      <c r="C130" s="390"/>
      <c r="D130" s="393">
        <f t="shared" si="24"/>
        <v>47.170471371363497</v>
      </c>
      <c r="E130" s="385">
        <f t="shared" si="45"/>
        <v>48.825840209878571</v>
      </c>
      <c r="F130" s="385">
        <f t="shared" si="25"/>
        <v>48.826282134758507</v>
      </c>
      <c r="G130" s="110">
        <f t="shared" si="46"/>
        <v>0.79942221407178138</v>
      </c>
      <c r="H130" s="414" t="b">
        <f>Wh_hp&gt;='2019'!Maxi_hp</f>
        <v>1</v>
      </c>
      <c r="I130" s="380">
        <f>IF(H130,Wh_hp,'2019'!Maxi_hp)</f>
        <v>48.826282134758507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1.4934584092182068E-2</v>
      </c>
      <c r="M130" s="845"/>
      <c r="N130" s="845"/>
      <c r="O130" s="48">
        <f>IF(t&lt;Tnet,'2019'!Resal+('2019'!Salim-'2019'!Resal)*(1-EXP(('2019'!Tnet-t)/('2019'!Tau_j))),Resal+(Salim-Resal)*(1-EXP((Tnet-t)/(Tau_j))))*Salcycl</f>
        <v>3.3903540244252746E-2</v>
      </c>
      <c r="P130" s="169">
        <f>(INDEX(Models!$BJ130:$BT130,,T130)*(1-R130)+INDEX(Models!$BJ130:$BT130,,T130+1)*R130-ERP_i)*Q130*Ramure*Pc/MaxiM</f>
        <v>1.2685934178008693E-5</v>
      </c>
      <c r="Q130" s="305">
        <f t="shared" si="27"/>
        <v>0.5</v>
      </c>
      <c r="R130" s="177">
        <f t="shared" si="28"/>
        <v>6.4786790330147559E-2</v>
      </c>
      <c r="S130" s="811">
        <f t="shared" si="29"/>
        <v>-1</v>
      </c>
      <c r="T130" s="176">
        <f t="shared" si="30"/>
        <v>5</v>
      </c>
      <c r="U130" s="251">
        <f t="shared" si="31"/>
        <v>-0.93521320966985244</v>
      </c>
      <c r="V130" s="383">
        <f t="shared" si="32"/>
        <v>58.124268100129164</v>
      </c>
      <c r="W130" s="402"/>
      <c r="X130" s="157">
        <f t="shared" si="33"/>
        <v>43946</v>
      </c>
      <c r="Y130" s="385">
        <f t="shared" si="34"/>
        <v>46.466000000000001</v>
      </c>
      <c r="Z130" s="385">
        <f t="shared" si="35"/>
        <v>47.170471371363497</v>
      </c>
      <c r="AA130" s="386">
        <f t="shared" si="36"/>
        <v>48.825840209878571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3.3903540244252746E-2</v>
      </c>
      <c r="AD130" s="231">
        <f>(INDEX(Models!$BJ130:$BT130,,AH130)*(1-AF130)+INDEX(Models!$BJ130:$BT130,,AH130+1)*AF130-ERP_i)*AE130*Ramure*Pc/MaxiM</f>
        <v>1.2685934178008693E-5</v>
      </c>
      <c r="AE130" s="305">
        <f t="shared" si="38"/>
        <v>0.5</v>
      </c>
      <c r="AF130" s="177">
        <f t="shared" si="39"/>
        <v>6.4786790330147559E-2</v>
      </c>
      <c r="AG130" s="811">
        <f t="shared" si="47"/>
        <v>-1</v>
      </c>
      <c r="AH130" s="176">
        <f t="shared" si="40"/>
        <v>5</v>
      </c>
      <c r="AI130" s="225">
        <f t="shared" si="41"/>
        <v>-0.93521320966985244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7">
        <v>23.257999999999999</v>
      </c>
      <c r="C131" s="390"/>
      <c r="D131" s="393">
        <f t="shared" si="24"/>
        <v>23.611131855251564</v>
      </c>
      <c r="E131" s="385">
        <f t="shared" si="45"/>
        <v>24.442017291433707</v>
      </c>
      <c r="F131" s="385">
        <f t="shared" si="25"/>
        <v>24.442067458070795</v>
      </c>
      <c r="G131" s="110">
        <f t="shared" si="46"/>
        <v>0.39917465575710198</v>
      </c>
      <c r="H131" s="414" t="b">
        <f>Wh_hp&gt;='2019'!Maxi_hp</f>
        <v>0</v>
      </c>
      <c r="I131" s="380">
        <f>IF(H131,Wh_hp,'2019'!Maxi_hp)</f>
        <v>30.433144925485259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1.4956159552894199E-2</v>
      </c>
      <c r="M131" s="845"/>
      <c r="N131" s="845"/>
      <c r="O131" s="48">
        <f>IF(t&lt;Tnet,'2019'!Resal+('2019'!Salim-'2019'!Resal)*(1-EXP(('2019'!Tnet-t)/('2019'!Tau_j))),Resal+(Salim-Resal)*(1-EXP((Tnet-t)/(Tau_j))))*Salcycl</f>
        <v>3.3994143211466758E-2</v>
      </c>
      <c r="P131" s="169">
        <f>(INDEX(Models!$BJ131:$BT131,,T131)*(1-R131)+INDEX(Models!$BJ131:$BT131,,T131+1)*R131-ERP_i)*Q131*Ramure*Pc/MaxiM</f>
        <v>1.4486139230677204E-5</v>
      </c>
      <c r="Q131" s="305">
        <f t="shared" si="27"/>
        <v>0.5</v>
      </c>
      <c r="R131" s="177">
        <f t="shared" si="28"/>
        <v>6.7241091317282509E-2</v>
      </c>
      <c r="S131" s="811">
        <f t="shared" si="29"/>
        <v>-1</v>
      </c>
      <c r="T131" s="176">
        <f t="shared" si="30"/>
        <v>5</v>
      </c>
      <c r="U131" s="251">
        <f t="shared" si="31"/>
        <v>-0.93275890868271749</v>
      </c>
      <c r="V131" s="383">
        <f t="shared" si="32"/>
        <v>58.2644977122631</v>
      </c>
      <c r="W131" s="402"/>
      <c r="X131" s="157">
        <f t="shared" si="33"/>
        <v>43947</v>
      </c>
      <c r="Y131" s="385">
        <f t="shared" si="34"/>
        <v>23.257999999999999</v>
      </c>
      <c r="Z131" s="385">
        <f t="shared" si="35"/>
        <v>23.611131855251564</v>
      </c>
      <c r="AA131" s="386">
        <f t="shared" si="36"/>
        <v>24.442017291433707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3.3994143211466758E-2</v>
      </c>
      <c r="AD131" s="231">
        <f>(INDEX(Models!$BJ131:$BT131,,AH131)*(1-AF131)+INDEX(Models!$BJ131:$BT131,,AH131+1)*AF131-ERP_i)*AE131*Ramure*Pc/MaxiM</f>
        <v>1.4486139230677204E-5</v>
      </c>
      <c r="AE131" s="305">
        <f t="shared" si="38"/>
        <v>0.5</v>
      </c>
      <c r="AF131" s="177">
        <f t="shared" si="39"/>
        <v>6.7241091317282509E-2</v>
      </c>
      <c r="AG131" s="811">
        <f t="shared" si="47"/>
        <v>-1</v>
      </c>
      <c r="AH131" s="176">
        <f t="shared" si="40"/>
        <v>5</v>
      </c>
      <c r="AI131" s="225">
        <f t="shared" si="41"/>
        <v>-0.93275890868271749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7">
        <v>22.376000000000001</v>
      </c>
      <c r="C132" s="390"/>
      <c r="D132" s="393">
        <f t="shared" si="24"/>
        <v>22.716237779228621</v>
      </c>
      <c r="E132" s="385">
        <f t="shared" si="45"/>
        <v>23.517848852870006</v>
      </c>
      <c r="F132" s="385">
        <f t="shared" si="25"/>
        <v>23.517894841545729</v>
      </c>
      <c r="G132" s="110">
        <f t="shared" si="46"/>
        <v>0.38314251584144093</v>
      </c>
      <c r="H132" s="414" t="b">
        <f>Wh_hp&gt;='2019'!Maxi_hp</f>
        <v>0</v>
      </c>
      <c r="I132" s="380">
        <f>IF(H132,Wh_hp,'2019'!Maxi_hp)</f>
        <v>46.870510731346037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1.4977734541048338E-2</v>
      </c>
      <c r="M132" s="845"/>
      <c r="N132" s="845"/>
      <c r="O132" s="48">
        <f>IF(t&lt;Tnet,'2019'!Resal+('2019'!Salim-'2019'!Resal)*(1-EXP(('2019'!Tnet-t)/('2019'!Tau_j))),Resal+(Salim-Resal)*(1-EXP((Tnet-t)/(Tau_j))))*Salcycl</f>
        <v>3.4085220916944499E-2</v>
      </c>
      <c r="P132" s="169">
        <f>(INDEX(Models!$BJ132:$BT132,,T132)*(1-R132)+INDEX(Models!$BJ132:$BT132,,T132+1)*R132-ERP_i)*Q132*Ramure*Pc/MaxiM</f>
        <v>1.6462595402010196E-5</v>
      </c>
      <c r="Q132" s="305">
        <f t="shared" si="27"/>
        <v>0.5</v>
      </c>
      <c r="R132" s="177">
        <f t="shared" si="28"/>
        <v>6.9768915360159833E-2</v>
      </c>
      <c r="S132" s="811">
        <f t="shared" si="29"/>
        <v>-1</v>
      </c>
      <c r="T132" s="176">
        <f t="shared" si="30"/>
        <v>5</v>
      </c>
      <c r="U132" s="251">
        <f t="shared" si="31"/>
        <v>-0.93023108463984017</v>
      </c>
      <c r="V132" s="383">
        <f t="shared" si="32"/>
        <v>58.40039792743427</v>
      </c>
      <c r="W132" s="402"/>
      <c r="X132" s="157">
        <f t="shared" si="33"/>
        <v>43948</v>
      </c>
      <c r="Y132" s="385">
        <f t="shared" si="34"/>
        <v>22.376000000000001</v>
      </c>
      <c r="Z132" s="385">
        <f t="shared" si="35"/>
        <v>22.716237779228621</v>
      </c>
      <c r="AA132" s="386">
        <f t="shared" si="36"/>
        <v>23.517848852870006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3.4085220916944499E-2</v>
      </c>
      <c r="AD132" s="231">
        <f>(INDEX(Models!$BJ132:$BT132,,AH132)*(1-AF132)+INDEX(Models!$BJ132:$BT132,,AH132+1)*AF132-ERP_i)*AE132*Ramure*Pc/MaxiM</f>
        <v>1.6462595402010196E-5</v>
      </c>
      <c r="AE132" s="305">
        <f t="shared" si="38"/>
        <v>0.5</v>
      </c>
      <c r="AF132" s="177">
        <f t="shared" si="39"/>
        <v>6.9768915360159833E-2</v>
      </c>
      <c r="AG132" s="811">
        <f t="shared" si="47"/>
        <v>-1</v>
      </c>
      <c r="AH132" s="176">
        <f t="shared" si="40"/>
        <v>5</v>
      </c>
      <c r="AI132" s="225">
        <f t="shared" si="41"/>
        <v>-0.93023108463984017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7">
        <v>31.454000000000001</v>
      </c>
      <c r="C133" s="390"/>
      <c r="D133" s="393">
        <f t="shared" si="24"/>
        <v>31.932972523984919</v>
      </c>
      <c r="E133" s="385">
        <f t="shared" si="45"/>
        <v>33.062957728380546</v>
      </c>
      <c r="F133" s="385">
        <f t="shared" si="25"/>
        <v>33.063166491906863</v>
      </c>
      <c r="G133" s="110">
        <f t="shared" si="46"/>
        <v>0.53737211348428948</v>
      </c>
      <c r="H133" s="414" t="b">
        <f>Wh_hp&gt;='2019'!Maxi_hp</f>
        <v>0</v>
      </c>
      <c r="I133" s="380">
        <f>IF(H133,Wh_hp,'2019'!Maxi_hp)</f>
        <v>52.731591737433121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1.4999309056654919E-2</v>
      </c>
      <c r="M133" s="845"/>
      <c r="N133" s="845"/>
      <c r="O133" s="48">
        <f>IF(t&lt;Tnet,'2019'!Resal+('2019'!Salim-'2019'!Resal)*(1-EXP(('2019'!Tnet-t)/('2019'!Tau_j))),Resal+(Salim-Resal)*(1-EXP((Tnet-t)/(Tau_j))))*Salcycl</f>
        <v>3.4176773102960231E-2</v>
      </c>
      <c r="P133" s="169">
        <f>(INDEX(Models!$BJ133:$BT133,,T133)*(1-R133)+INDEX(Models!$BJ133:$BT133,,T133+1)*R133-ERP_i)*Q133*Ramure*Pc/MaxiM</f>
        <v>1.8619431860852938E-5</v>
      </c>
      <c r="Q133" s="305">
        <f t="shared" si="27"/>
        <v>0.5</v>
      </c>
      <c r="R133" s="177">
        <f t="shared" si="28"/>
        <v>7.2371385121291931E-2</v>
      </c>
      <c r="S133" s="811">
        <f t="shared" si="29"/>
        <v>-1</v>
      </c>
      <c r="T133" s="176">
        <f t="shared" si="30"/>
        <v>5</v>
      </c>
      <c r="U133" s="251">
        <f t="shared" si="31"/>
        <v>-0.92762861487870807</v>
      </c>
      <c r="V133" s="383">
        <f t="shared" si="32"/>
        <v>58.532276156127594</v>
      </c>
      <c r="W133" s="402"/>
      <c r="X133" s="157">
        <f t="shared" si="33"/>
        <v>43949</v>
      </c>
      <c r="Y133" s="385">
        <f t="shared" si="34"/>
        <v>31.454000000000001</v>
      </c>
      <c r="Z133" s="385">
        <f t="shared" si="35"/>
        <v>31.932972523984919</v>
      </c>
      <c r="AA133" s="386">
        <f t="shared" si="36"/>
        <v>33.062957728380546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3.4176773102960231E-2</v>
      </c>
      <c r="AD133" s="231">
        <f>(INDEX(Models!$BJ133:$BT133,,AH133)*(1-AF133)+INDEX(Models!$BJ133:$BT133,,AH133+1)*AF133-ERP_i)*AE133*Ramure*Pc/MaxiM</f>
        <v>1.8619431860852938E-5</v>
      </c>
      <c r="AE133" s="305">
        <f t="shared" si="38"/>
        <v>0.5</v>
      </c>
      <c r="AF133" s="177">
        <f t="shared" si="39"/>
        <v>7.2371385121291931E-2</v>
      </c>
      <c r="AG133" s="811">
        <f t="shared" si="47"/>
        <v>-1</v>
      </c>
      <c r="AH133" s="176">
        <f t="shared" si="40"/>
        <v>5</v>
      </c>
      <c r="AI133" s="225">
        <f t="shared" si="41"/>
        <v>-0.92762861487870807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7">
        <v>51.802999999999997</v>
      </c>
      <c r="C134" s="390"/>
      <c r="D134" s="393">
        <f t="shared" si="24"/>
        <v>52.592993202763289</v>
      </c>
      <c r="E134" s="385">
        <f t="shared" si="45"/>
        <v>54.459246136670359</v>
      </c>
      <c r="F134" s="385">
        <f t="shared" si="25"/>
        <v>54.460197039161585</v>
      </c>
      <c r="G134" s="110">
        <f t="shared" si="46"/>
        <v>0.88309632360674206</v>
      </c>
      <c r="H134" s="414" t="b">
        <f>Wh_hp&gt;='2019'!Maxi_hp</f>
        <v>0</v>
      </c>
      <c r="I134" s="380">
        <f>IF(H134,Wh_hp,'2019'!Maxi_hp)</f>
        <v>62.081683557920357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1.5020883099724158E-2</v>
      </c>
      <c r="M134" s="845"/>
      <c r="N134" s="845"/>
      <c r="O134" s="48">
        <f>IF(t&lt;Tnet,'2019'!Resal+('2019'!Salim-'2019'!Resal)*(1-EXP(('2019'!Tnet-t)/('2019'!Tau_j))),Resal+(Salim-Resal)*(1-EXP((Tnet-t)/(Tau_j))))*Salcycl</f>
        <v>3.4268798529152371E-2</v>
      </c>
      <c r="P134" s="169">
        <f>(INDEX(Models!$BJ134:$BT134,,T134)*(1-R134)+INDEX(Models!$BJ134:$BT134,,T134+1)*R134-ERP_i)*Q134*Ramure*Pc/MaxiM</f>
        <v>2.0961010292365099E-5</v>
      </c>
      <c r="Q134" s="305">
        <f t="shared" si="27"/>
        <v>0.5</v>
      </c>
      <c r="R134" s="177">
        <f t="shared" si="28"/>
        <v>7.5049560778571056E-2</v>
      </c>
      <c r="S134" s="811">
        <f t="shared" si="29"/>
        <v>-1</v>
      </c>
      <c r="T134" s="176">
        <f t="shared" si="30"/>
        <v>5</v>
      </c>
      <c r="U134" s="251">
        <f t="shared" si="31"/>
        <v>-0.92495043922142894</v>
      </c>
      <c r="V134" s="383">
        <f t="shared" si="32"/>
        <v>58.660439722516344</v>
      </c>
      <c r="W134" s="402"/>
      <c r="X134" s="157">
        <f t="shared" si="33"/>
        <v>43950</v>
      </c>
      <c r="Y134" s="385">
        <f t="shared" si="34"/>
        <v>51.802999999999997</v>
      </c>
      <c r="Z134" s="385">
        <f t="shared" si="35"/>
        <v>52.592993202763289</v>
      </c>
      <c r="AA134" s="386">
        <f t="shared" si="36"/>
        <v>54.459246136670359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3.4268798529152371E-2</v>
      </c>
      <c r="AD134" s="231">
        <f>(INDEX(Models!$BJ134:$BT134,,AH134)*(1-AF134)+INDEX(Models!$BJ134:$BT134,,AH134+1)*AF134-ERP_i)*AE134*Ramure*Pc/MaxiM</f>
        <v>2.0961010292365099E-5</v>
      </c>
      <c r="AE134" s="305">
        <f t="shared" si="38"/>
        <v>0.5</v>
      </c>
      <c r="AF134" s="177">
        <f t="shared" si="39"/>
        <v>7.5049560778571056E-2</v>
      </c>
      <c r="AG134" s="811">
        <f t="shared" si="47"/>
        <v>-1</v>
      </c>
      <c r="AH134" s="176">
        <f t="shared" si="40"/>
        <v>5</v>
      </c>
      <c r="AI134" s="225">
        <f t="shared" si="41"/>
        <v>-0.92495043922142894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7">
        <v>42.966000000000001</v>
      </c>
      <c r="C135" s="390"/>
      <c r="D135" s="393">
        <f t="shared" si="24"/>
        <v>43.622184825093839</v>
      </c>
      <c r="E135" s="385">
        <f t="shared" si="45"/>
        <v>45.174436977520244</v>
      </c>
      <c r="F135" s="385">
        <f t="shared" si="25"/>
        <v>45.175090279294274</v>
      </c>
      <c r="G135" s="110">
        <f t="shared" si="46"/>
        <v>0.7309039770294341</v>
      </c>
      <c r="H135" s="414" t="b">
        <f>Wh_hp&gt;='2019'!Maxi_hp</f>
        <v>0</v>
      </c>
      <c r="I135" s="380">
        <f>IF(H135,Wh_hp,'2019'!Maxi_hp)</f>
        <v>57.93362071879104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1.5042456670266602E-2</v>
      </c>
      <c r="M135" s="845"/>
      <c r="N135" s="845"/>
      <c r="O135" s="48">
        <f>IF(t&lt;Tnet,'2019'!Resal+('2019'!Salim-'2019'!Resal)*(1-EXP(('2019'!Tnet-t)/('2019'!Tau_j))),Resal+(Salim-Resal)*(1-EXP((Tnet-t)/(Tau_j))))*Salcycl</f>
        <v>3.4361294933212681E-2</v>
      </c>
      <c r="P135" s="169">
        <f>(INDEX(Models!$BJ135:$BT135,,T135)*(1-R135)+INDEX(Models!$BJ135:$BT135,,T135+1)*R135-ERP_i)*Q135*Ramure*Pc/MaxiM</f>
        <v>2.3492308389092096E-5</v>
      </c>
      <c r="Q135" s="305">
        <f t="shared" si="27"/>
        <v>0.5</v>
      </c>
      <c r="R135" s="177">
        <f t="shared" si="28"/>
        <v>7.7804433536631024E-2</v>
      </c>
      <c r="S135" s="811">
        <f t="shared" si="29"/>
        <v>-1</v>
      </c>
      <c r="T135" s="176">
        <f t="shared" si="30"/>
        <v>5</v>
      </c>
      <c r="U135" s="251">
        <f t="shared" si="31"/>
        <v>-0.92219556646336898</v>
      </c>
      <c r="V135" s="383">
        <f t="shared" si="32"/>
        <v>58.784208773081005</v>
      </c>
      <c r="W135" s="402"/>
      <c r="X135" s="157">
        <f t="shared" si="33"/>
        <v>43951</v>
      </c>
      <c r="Y135" s="385">
        <f t="shared" si="34"/>
        <v>42.966000000000001</v>
      </c>
      <c r="Z135" s="385">
        <f t="shared" si="35"/>
        <v>43.622184825093839</v>
      </c>
      <c r="AA135" s="386">
        <f t="shared" si="36"/>
        <v>45.174436977520244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3.4361294933212681E-2</v>
      </c>
      <c r="AD135" s="231">
        <f>(INDEX(Models!$BJ135:$BT135,,AH135)*(1-AF135)+INDEX(Models!$BJ135:$BT135,,AH135+1)*AF135-ERP_i)*AE135*Ramure*Pc/MaxiM</f>
        <v>2.3492308389092096E-5</v>
      </c>
      <c r="AE135" s="305">
        <f t="shared" si="38"/>
        <v>0.5</v>
      </c>
      <c r="AF135" s="177">
        <f t="shared" si="39"/>
        <v>7.7804433536631024E-2</v>
      </c>
      <c r="AG135" s="811">
        <f t="shared" si="47"/>
        <v>-1</v>
      </c>
      <c r="AH135" s="176">
        <f t="shared" si="40"/>
        <v>5</v>
      </c>
      <c r="AI135" s="225">
        <f t="shared" si="41"/>
        <v>-0.92219556646336898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7">
        <v>20.38</v>
      </c>
      <c r="C136" s="390"/>
      <c r="D136" s="393">
        <f t="shared" si="24"/>
        <v>20.691700390641206</v>
      </c>
      <c r="E136" s="385">
        <f t="shared" si="45"/>
        <v>21.430057129194406</v>
      </c>
      <c r="F136" s="385">
        <f t="shared" si="25"/>
        <v>21.430094178125596</v>
      </c>
      <c r="G136" s="110">
        <f t="shared" si="46"/>
        <v>0.34598545513881696</v>
      </c>
      <c r="H136" s="414" t="b">
        <f>Wh_hp&gt;='2019'!Maxi_hp</f>
        <v>0</v>
      </c>
      <c r="I136" s="380">
        <f>IF(H136,Wh_hp,'2019'!Maxi_hp)</f>
        <v>34.655229664918352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1.5064029768292353E-2</v>
      </c>
      <c r="M136" s="845"/>
      <c r="N136" s="845"/>
      <c r="O136" s="48">
        <f>IF(t&lt;Tnet,'2019'!Resal+('2019'!Salim-'2019'!Resal)*(1-EXP(('2019'!Tnet-t)/('2019'!Tau_j))),Resal+(Salim-Resal)*(1-EXP((Tnet-t)/(Tau_j))))*Salcycl</f>
        <v>3.4454258992493755E-2</v>
      </c>
      <c r="P136" s="169">
        <f>(INDEX(Models!$BJ136:$BT136,,T136)*(1-R136)+INDEX(Models!$BJ136:$BT136,,T136+1)*R136-ERP_i)*Q136*Ramure*Pc/MaxiM</f>
        <v>2.6311695501479382E-5</v>
      </c>
      <c r="Q136" s="305">
        <f t="shared" si="27"/>
        <v>0.5</v>
      </c>
      <c r="R136" s="177">
        <f t="shared" si="28"/>
        <v>8.0636918972066152E-2</v>
      </c>
      <c r="S136" s="811">
        <f t="shared" si="29"/>
        <v>-1</v>
      </c>
      <c r="T136" s="176">
        <f t="shared" si="30"/>
        <v>5</v>
      </c>
      <c r="U136" s="251">
        <f t="shared" si="31"/>
        <v>-0.91936308102793385</v>
      </c>
      <c r="V136" s="383">
        <f t="shared" si="32"/>
        <v>58.902762233466078</v>
      </c>
      <c r="W136" s="402"/>
      <c r="X136" s="157">
        <f t="shared" si="33"/>
        <v>43952</v>
      </c>
      <c r="Y136" s="385">
        <f t="shared" si="34"/>
        <v>20.38</v>
      </c>
      <c r="Z136" s="385">
        <f t="shared" si="35"/>
        <v>20.691700390641206</v>
      </c>
      <c r="AA136" s="386">
        <f t="shared" si="36"/>
        <v>21.430057129194406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3.4454258992493755E-2</v>
      </c>
      <c r="AD136" s="231">
        <f>(INDEX(Models!$BJ136:$BT136,,AH136)*(1-AF136)+INDEX(Models!$BJ136:$BT136,,AH136+1)*AF136-ERP_i)*AE136*Ramure*Pc/MaxiM</f>
        <v>2.6311695501479382E-5</v>
      </c>
      <c r="AE136" s="305">
        <f t="shared" si="38"/>
        <v>0.5</v>
      </c>
      <c r="AF136" s="177">
        <f t="shared" si="39"/>
        <v>8.0636918972066152E-2</v>
      </c>
      <c r="AG136" s="811">
        <f t="shared" si="47"/>
        <v>-1</v>
      </c>
      <c r="AH136" s="176">
        <f t="shared" si="40"/>
        <v>5</v>
      </c>
      <c r="AI136" s="225">
        <f t="shared" si="41"/>
        <v>-0.91936308102793385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7">
        <v>36.270000000000003</v>
      </c>
      <c r="C137" s="390"/>
      <c r="D137" s="393">
        <f t="shared" si="24"/>
        <v>36.82553538475365</v>
      </c>
      <c r="E137" s="385">
        <f t="shared" si="45"/>
        <v>38.143298080797607</v>
      </c>
      <c r="F137" s="385">
        <f t="shared" si="25"/>
        <v>38.143801437129397</v>
      </c>
      <c r="G137" s="110">
        <f t="shared" si="46"/>
        <v>0.61456700198859615</v>
      </c>
      <c r="H137" s="414" t="b">
        <f>Wh_hp&gt;='2019'!Maxi_hp</f>
        <v>1</v>
      </c>
      <c r="I137" s="380">
        <f>IF(H137,Wh_hp,'2019'!Maxi_hp)</f>
        <v>38.143801437129397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1.5085602393811959E-2</v>
      </c>
      <c r="M137" s="845"/>
      <c r="N137" s="845"/>
      <c r="O137" s="48">
        <f>IF(t&lt;Tnet,'2019'!Resal+('2019'!Salim-'2019'!Resal)*(1-EXP(('2019'!Tnet-t)/('2019'!Tau_j))),Resal+(Salim-Resal)*(1-EXP((Tnet-t)/(Tau_j))))*Salcycl</f>
        <v>3.454768628692214E-2</v>
      </c>
      <c r="P137" s="169">
        <f>(INDEX(Models!$BJ137:$BT137,,T137)*(1-R137)+INDEX(Models!$BJ137:$BT137,,T137+1)*R137-ERP_i)*Q137*Ramure*Pc/MaxiM</f>
        <v>2.9364507498717321E-5</v>
      </c>
      <c r="Q137" s="305">
        <f t="shared" si="27"/>
        <v>0.5</v>
      </c>
      <c r="R137" s="177">
        <f t="shared" si="28"/>
        <v>8.3547850237629895E-2</v>
      </c>
      <c r="S137" s="811">
        <f t="shared" si="29"/>
        <v>-1</v>
      </c>
      <c r="T137" s="176">
        <f t="shared" si="30"/>
        <v>5</v>
      </c>
      <c r="U137" s="251">
        <f t="shared" si="31"/>
        <v>-0.91645214976237011</v>
      </c>
      <c r="V137" s="383">
        <f t="shared" si="32"/>
        <v>59.016207270055098</v>
      </c>
      <c r="W137" s="402"/>
      <c r="X137" s="157">
        <f t="shared" si="33"/>
        <v>43953</v>
      </c>
      <c r="Y137" s="385">
        <f t="shared" si="34"/>
        <v>36.270000000000003</v>
      </c>
      <c r="Z137" s="385">
        <f t="shared" si="35"/>
        <v>36.82553538475365</v>
      </c>
      <c r="AA137" s="386">
        <f t="shared" si="36"/>
        <v>38.143298080797607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3.454768628692214E-2</v>
      </c>
      <c r="AD137" s="231">
        <f>(INDEX(Models!$BJ137:$BT137,,AH137)*(1-AF137)+INDEX(Models!$BJ137:$BT137,,AH137+1)*AF137-ERP_i)*AE137*Ramure*Pc/MaxiM</f>
        <v>2.9364507498717321E-5</v>
      </c>
      <c r="AE137" s="305">
        <f t="shared" si="38"/>
        <v>0.5</v>
      </c>
      <c r="AF137" s="177">
        <f t="shared" si="39"/>
        <v>8.3547850237629895E-2</v>
      </c>
      <c r="AG137" s="811">
        <f t="shared" si="47"/>
        <v>-1</v>
      </c>
      <c r="AH137" s="176">
        <f t="shared" si="40"/>
        <v>5</v>
      </c>
      <c r="AI137" s="225">
        <f t="shared" si="41"/>
        <v>-0.91645214976237011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7">
        <v>54.433999999999997</v>
      </c>
      <c r="C138" s="390"/>
      <c r="D138" s="393">
        <f t="shared" si="24"/>
        <v>55.268957792391355</v>
      </c>
      <c r="E138" s="385">
        <f t="shared" si="45"/>
        <v>57.252266253827365</v>
      </c>
      <c r="F138" s="385">
        <f t="shared" si="25"/>
        <v>57.253924122877009</v>
      </c>
      <c r="G138" s="110">
        <f t="shared" si="46"/>
        <v>0.92066170106212863</v>
      </c>
      <c r="H138" s="414" t="b">
        <f>Wh_hp&gt;='2019'!Maxi_hp</f>
        <v>1</v>
      </c>
      <c r="I138" s="380">
        <f>IF(H138,Wh_hp,'2019'!Maxi_hp)</f>
        <v>57.253924122877009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1.5107174546835744E-2</v>
      </c>
      <c r="M138" s="845"/>
      <c r="N138" s="845"/>
      <c r="O138" s="48">
        <f>IF(t&lt;Tnet,'2019'!Resal+('2019'!Salim-'2019'!Resal)*(1-EXP(('2019'!Tnet-t)/('2019'!Tau_j))),Resal+(Salim-Resal)*(1-EXP((Tnet-t)/(Tau_j))))*Salcycl</f>
        <v>3.4641571263625326E-2</v>
      </c>
      <c r="P138" s="169">
        <f>(INDEX(Models!$BJ138:$BT138,,T138)*(1-R138)+INDEX(Models!$BJ138:$BT138,,T138+1)*R138-ERP_i)*Q138*Ramure*Pc/MaxiM</f>
        <v>3.2657705920389156E-5</v>
      </c>
      <c r="Q138" s="305">
        <f t="shared" si="27"/>
        <v>0.5</v>
      </c>
      <c r="R138" s="177">
        <f t="shared" si="28"/>
        <v>8.6537971153920368E-2</v>
      </c>
      <c r="S138" s="811">
        <f t="shared" si="29"/>
        <v>-1</v>
      </c>
      <c r="T138" s="176">
        <f t="shared" si="30"/>
        <v>5</v>
      </c>
      <c r="U138" s="251">
        <f t="shared" si="31"/>
        <v>-0.91346202884607963</v>
      </c>
      <c r="V138" s="383">
        <f t="shared" si="32"/>
        <v>59.124647474666993</v>
      </c>
      <c r="W138" s="402"/>
      <c r="X138" s="157">
        <f t="shared" si="33"/>
        <v>43954</v>
      </c>
      <c r="Y138" s="385">
        <f t="shared" si="34"/>
        <v>54.433999999999997</v>
      </c>
      <c r="Z138" s="385">
        <f t="shared" si="35"/>
        <v>55.268957792391355</v>
      </c>
      <c r="AA138" s="386">
        <f t="shared" si="36"/>
        <v>57.252266253827365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3.4641571263625326E-2</v>
      </c>
      <c r="AD138" s="231">
        <f>(INDEX(Models!$BJ138:$BT138,,AH138)*(1-AF138)+INDEX(Models!$BJ138:$BT138,,AH138+1)*AF138-ERP_i)*AE138*Ramure*Pc/MaxiM</f>
        <v>3.2657705920389156E-5</v>
      </c>
      <c r="AE138" s="305">
        <f t="shared" si="38"/>
        <v>0.5</v>
      </c>
      <c r="AF138" s="177">
        <f t="shared" si="39"/>
        <v>8.6537971153920368E-2</v>
      </c>
      <c r="AG138" s="811">
        <f t="shared" si="47"/>
        <v>-1</v>
      </c>
      <c r="AH138" s="176">
        <f t="shared" si="40"/>
        <v>5</v>
      </c>
      <c r="AI138" s="225">
        <f t="shared" si="41"/>
        <v>-0.91346202884607963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7">
        <v>57.389000000000003</v>
      </c>
      <c r="C139" s="390"/>
      <c r="D139" s="393">
        <f t="shared" si="24"/>
        <v>58.27056052267438</v>
      </c>
      <c r="E139" s="385">
        <f t="shared" si="45"/>
        <v>60.367479695498353</v>
      </c>
      <c r="F139" s="385">
        <f t="shared" si="25"/>
        <v>60.369568048217943</v>
      </c>
      <c r="G139" s="110">
        <f t="shared" si="46"/>
        <v>0.96894588997755804</v>
      </c>
      <c r="H139" s="414" t="b">
        <f>Wh_hp&gt;='2019'!Maxi_hp</f>
        <v>1</v>
      </c>
      <c r="I139" s="380">
        <f>IF(H139,Wh_hp,'2019'!Maxi_hp)</f>
        <v>60.369568048217943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1.5128746227373924E-2</v>
      </c>
      <c r="M139" s="845"/>
      <c r="N139" s="845"/>
      <c r="O139" s="48">
        <f>IF(t&lt;Tnet,'2019'!Resal+('2019'!Salim-'2019'!Resal)*(1-EXP(('2019'!Tnet-t)/('2019'!Tau_j))),Resal+(Salim-Resal)*(1-EXP((Tnet-t)/(Tau_j))))*Salcycl</f>
        <v>3.4735907203698388E-2</v>
      </c>
      <c r="P139" s="169">
        <f>(INDEX(Models!$BJ139:$BT139,,T139)*(1-R139)+INDEX(Models!$BJ139:$BT139,,T139+1)*R139-ERP_i)*Q139*Ramure*Pc/MaxiM</f>
        <v>3.6198604129889406E-5</v>
      </c>
      <c r="Q139" s="305">
        <f t="shared" si="27"/>
        <v>0.5</v>
      </c>
      <c r="R139" s="177">
        <f t="shared" si="28"/>
        <v>8.9607929220496763E-2</v>
      </c>
      <c r="S139" s="811">
        <f t="shared" si="29"/>
        <v>-1</v>
      </c>
      <c r="T139" s="176">
        <f t="shared" si="30"/>
        <v>5</v>
      </c>
      <c r="U139" s="251">
        <f t="shared" si="31"/>
        <v>-0.91039207077950324</v>
      </c>
      <c r="V139" s="383">
        <f t="shared" si="32"/>
        <v>59.228186460399655</v>
      </c>
      <c r="W139" s="402"/>
      <c r="X139" s="157">
        <f t="shared" si="33"/>
        <v>43955</v>
      </c>
      <c r="Y139" s="385">
        <f t="shared" si="34"/>
        <v>57.389000000000003</v>
      </c>
      <c r="Z139" s="385">
        <f t="shared" si="35"/>
        <v>58.27056052267438</v>
      </c>
      <c r="AA139" s="386">
        <f t="shared" si="36"/>
        <v>60.367479695498353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3.4735907203698388E-2</v>
      </c>
      <c r="AD139" s="231">
        <f>(INDEX(Models!$BJ139:$BT139,,AH139)*(1-AF139)+INDEX(Models!$BJ139:$BT139,,AH139+1)*AF139-ERP_i)*AE139*Ramure*Pc/MaxiM</f>
        <v>3.6198604129889406E-5</v>
      </c>
      <c r="AE139" s="305">
        <f t="shared" si="38"/>
        <v>0.5</v>
      </c>
      <c r="AF139" s="177">
        <f t="shared" si="39"/>
        <v>8.9607929220496763E-2</v>
      </c>
      <c r="AG139" s="811">
        <f t="shared" si="47"/>
        <v>-1</v>
      </c>
      <c r="AH139" s="176">
        <f t="shared" si="40"/>
        <v>5</v>
      </c>
      <c r="AI139" s="225">
        <f t="shared" si="41"/>
        <v>-0.91039207077950324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7">
        <v>49.935000000000002</v>
      </c>
      <c r="C140" s="390"/>
      <c r="D140" s="393">
        <f t="shared" si="24"/>
        <v>50.703169106952984</v>
      </c>
      <c r="E140" s="385">
        <f t="shared" si="45"/>
        <v>52.532927002086168</v>
      </c>
      <c r="F140" s="385">
        <f t="shared" si="25"/>
        <v>52.534552938618141</v>
      </c>
      <c r="G140" s="110">
        <f t="shared" si="46"/>
        <v>0.84168437706137011</v>
      </c>
      <c r="H140" s="414" t="b">
        <f>Wh_hp&gt;='2019'!Maxi_hp</f>
        <v>0</v>
      </c>
      <c r="I140" s="380">
        <f>IF(H140,Wh_hp,'2019'!Maxi_hp)</f>
        <v>64.189889106761925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1.5150317435437044E-2</v>
      </c>
      <c r="M140" s="845"/>
      <c r="N140" s="845"/>
      <c r="O140" s="48">
        <f>IF(t&lt;Tnet,'2019'!Resal+('2019'!Salim-'2019'!Resal)*(1-EXP(('2019'!Tnet-t)/('2019'!Tau_j))),Resal+(Salim-Resal)*(1-EXP((Tnet-t)/(Tau_j))))*Salcycl</f>
        <v>3.4830686191548381E-2</v>
      </c>
      <c r="P140" s="169">
        <f>(INDEX(Models!$BJ140:$BT140,,T140)*(1-R140)+INDEX(Models!$BJ140:$BT140,,T140+1)*R140-ERP_i)*Q140*Ramure*Pc/MaxiM</f>
        <v>3.9994859378241207E-5</v>
      </c>
      <c r="Q140" s="305">
        <f t="shared" si="27"/>
        <v>0.5</v>
      </c>
      <c r="R140" s="177">
        <f t="shared" si="28"/>
        <v>9.275826858183811E-2</v>
      </c>
      <c r="S140" s="811">
        <f t="shared" si="29"/>
        <v>-1</v>
      </c>
      <c r="T140" s="176">
        <f t="shared" si="30"/>
        <v>5</v>
      </c>
      <c r="U140" s="251">
        <f t="shared" si="31"/>
        <v>-0.90724173141816189</v>
      </c>
      <c r="V140" s="383">
        <f t="shared" si="32"/>
        <v>59.32692786554508</v>
      </c>
      <c r="W140" s="402"/>
      <c r="X140" s="157">
        <f t="shared" si="33"/>
        <v>43956</v>
      </c>
      <c r="Y140" s="385">
        <f t="shared" si="34"/>
        <v>49.935000000000002</v>
      </c>
      <c r="Z140" s="385">
        <f t="shared" si="35"/>
        <v>50.703169106952984</v>
      </c>
      <c r="AA140" s="386">
        <f t="shared" si="36"/>
        <v>52.532927002086168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3.4830686191548381E-2</v>
      </c>
      <c r="AD140" s="231">
        <f>(INDEX(Models!$BJ140:$BT140,,AH140)*(1-AF140)+INDEX(Models!$BJ140:$BT140,,AH140+1)*AF140-ERP_i)*AE140*Ramure*Pc/MaxiM</f>
        <v>3.9994859378241207E-5</v>
      </c>
      <c r="AE140" s="305">
        <f t="shared" si="38"/>
        <v>0.5</v>
      </c>
      <c r="AF140" s="177">
        <f t="shared" si="39"/>
        <v>9.275826858183811E-2</v>
      </c>
      <c r="AG140" s="811">
        <f t="shared" si="47"/>
        <v>-1</v>
      </c>
      <c r="AH140" s="176">
        <f t="shared" si="40"/>
        <v>5</v>
      </c>
      <c r="AI140" s="225">
        <f t="shared" si="41"/>
        <v>-0.90724173141816189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7">
        <v>57.131999999999998</v>
      </c>
      <c r="C141" s="390"/>
      <c r="D141" s="393">
        <f t="shared" si="24"/>
        <v>58.012153911709333</v>
      </c>
      <c r="E141" s="385">
        <f t="shared" si="45"/>
        <v>60.111605789486305</v>
      </c>
      <c r="F141" s="385">
        <f t="shared" si="25"/>
        <v>60.114108347336412</v>
      </c>
      <c r="G141" s="110">
        <f t="shared" si="46"/>
        <v>0.96147633304617097</v>
      </c>
      <c r="H141" s="414" t="b">
        <f>Wh_hp&gt;='2019'!Maxi_hp</f>
        <v>1</v>
      </c>
      <c r="I141" s="380">
        <f>IF(H141,Wh_hp,'2019'!Maxi_hp)</f>
        <v>60.114108347336412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1.5171888171035208E-2</v>
      </c>
      <c r="M141" s="845"/>
      <c r="N141" s="845"/>
      <c r="O141" s="48">
        <f>IF(t&lt;Tnet,'2019'!Resal+('2019'!Salim-'2019'!Resal)*(1-EXP(('2019'!Tnet-t)/('2019'!Tau_j))),Resal+(Salim-Resal)*(1-EXP((Tnet-t)/(Tau_j))))*Salcycl</f>
        <v>3.4925899087263679E-2</v>
      </c>
      <c r="P141" s="169">
        <f>(INDEX(Models!$BJ141:$BT141,,T141)*(1-R141)+INDEX(Models!$BJ141:$BT141,,T141+1)*R141-ERP_i)*Q141*Ramure*Pc/MaxiM</f>
        <v>4.4054463347163909E-5</v>
      </c>
      <c r="Q141" s="305">
        <f t="shared" si="27"/>
        <v>0.5</v>
      </c>
      <c r="R141" s="177">
        <f t="shared" si="28"/>
        <v>9.5989422986990425E-2</v>
      </c>
      <c r="S141" s="811">
        <f t="shared" si="29"/>
        <v>-1</v>
      </c>
      <c r="T141" s="176">
        <f t="shared" si="30"/>
        <v>5</v>
      </c>
      <c r="U141" s="251">
        <f t="shared" si="31"/>
        <v>-0.90401057701300958</v>
      </c>
      <c r="V141" s="383">
        <f t="shared" si="32"/>
        <v>59.420975351451304</v>
      </c>
      <c r="W141" s="402"/>
      <c r="X141" s="157">
        <f t="shared" si="33"/>
        <v>43957</v>
      </c>
      <c r="Y141" s="385">
        <f t="shared" si="34"/>
        <v>57.131999999999998</v>
      </c>
      <c r="Z141" s="385">
        <f t="shared" si="35"/>
        <v>58.012153911709333</v>
      </c>
      <c r="AA141" s="386">
        <f t="shared" si="36"/>
        <v>60.111605789486305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3.4925899087263679E-2</v>
      </c>
      <c r="AD141" s="231">
        <f>(INDEX(Models!$BJ141:$BT141,,AH141)*(1-AF141)+INDEX(Models!$BJ141:$BT141,,AH141+1)*AF141-ERP_i)*AE141*Ramure*Pc/MaxiM</f>
        <v>4.4054463347163909E-5</v>
      </c>
      <c r="AE141" s="305">
        <f t="shared" si="38"/>
        <v>0.5</v>
      </c>
      <c r="AF141" s="177">
        <f t="shared" si="39"/>
        <v>9.5989422986990425E-2</v>
      </c>
      <c r="AG141" s="811">
        <f t="shared" si="47"/>
        <v>-1</v>
      </c>
      <c r="AH141" s="176">
        <f t="shared" si="40"/>
        <v>5</v>
      </c>
      <c r="AI141" s="225">
        <f t="shared" si="41"/>
        <v>-0.90401057701300958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7">
        <v>52.11</v>
      </c>
      <c r="C142" s="390"/>
      <c r="D142" s="393">
        <f t="shared" si="24"/>
        <v>52.91394583665766</v>
      </c>
      <c r="E142" s="385">
        <f t="shared" si="45"/>
        <v>54.834328208774679</v>
      </c>
      <c r="F142" s="385">
        <f t="shared" si="25"/>
        <v>54.836497832007403</v>
      </c>
      <c r="G142" s="110">
        <f t="shared" si="46"/>
        <v>0.8756370617139978</v>
      </c>
      <c r="H142" s="414" t="b">
        <f>Wh_hp&gt;='2019'!Maxi_hp</f>
        <v>1</v>
      </c>
      <c r="I142" s="380">
        <f>IF(H142,Wh_hp,'2019'!Maxi_hp)</f>
        <v>54.836497832007403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1.5193458434179075E-2</v>
      </c>
      <c r="M142" s="845"/>
      <c r="N142" s="845"/>
      <c r="O142" s="48">
        <f>IF(t&lt;Tnet,'2019'!Resal+('2019'!Salim-'2019'!Resal)*(1-EXP(('2019'!Tnet-t)/('2019'!Tau_j))),Resal+(Salim-Resal)*(1-EXP((Tnet-t)/(Tau_j))))*Salcycl</f>
        <v>3.5021535502457693E-2</v>
      </c>
      <c r="P142" s="169">
        <f>(INDEX(Models!$BJ142:$BT142,,T142)*(1-R142)+INDEX(Models!$BJ142:$BT142,,T142+1)*R142-ERP_i)*Q142*Ramure*Pc/MaxiM</f>
        <v>4.8112536958432189E-5</v>
      </c>
      <c r="Q142" s="305">
        <f t="shared" si="27"/>
        <v>0.5</v>
      </c>
      <c r="R142" s="177">
        <f t="shared" si="28"/>
        <v>9.9301708785123344E-2</v>
      </c>
      <c r="S142" s="811">
        <f t="shared" si="29"/>
        <v>-1</v>
      </c>
      <c r="T142" s="176">
        <f t="shared" si="30"/>
        <v>5</v>
      </c>
      <c r="U142" s="251">
        <f t="shared" si="31"/>
        <v>-0.90069829121487666</v>
      </c>
      <c r="V142" s="383">
        <f t="shared" si="32"/>
        <v>59.510448866299015</v>
      </c>
      <c r="W142" s="402"/>
      <c r="X142" s="157">
        <f t="shared" si="33"/>
        <v>43958</v>
      </c>
      <c r="Y142" s="385">
        <f t="shared" si="34"/>
        <v>52.11</v>
      </c>
      <c r="Z142" s="385">
        <f t="shared" si="35"/>
        <v>52.91394583665766</v>
      </c>
      <c r="AA142" s="386">
        <f t="shared" si="36"/>
        <v>54.834328208774679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3.5021535502457693E-2</v>
      </c>
      <c r="AD142" s="231">
        <f>(INDEX(Models!$BJ142:$BT142,,AH142)*(1-AF142)+INDEX(Models!$BJ142:$BT142,,AH142+1)*AF142-ERP_i)*AE142*Ramure*Pc/MaxiM</f>
        <v>4.8112536958432189E-5</v>
      </c>
      <c r="AE142" s="305">
        <f t="shared" si="38"/>
        <v>0.5</v>
      </c>
      <c r="AF142" s="177">
        <f t="shared" si="39"/>
        <v>9.9301708785123344E-2</v>
      </c>
      <c r="AG142" s="811">
        <f t="shared" si="47"/>
        <v>-1</v>
      </c>
      <c r="AH142" s="176">
        <f t="shared" si="40"/>
        <v>5</v>
      </c>
      <c r="AI142" s="225">
        <f t="shared" si="41"/>
        <v>-0.90069829121487666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7">
        <v>52.463999999999999</v>
      </c>
      <c r="C143" s="390"/>
      <c r="D143" s="393">
        <f t="shared" ref="D143:D206" si="48">Wh/(1-Ppv)</f>
        <v>53.274574149350769</v>
      </c>
      <c r="E143" s="385">
        <f t="shared" si="45"/>
        <v>55.213540275777753</v>
      </c>
      <c r="F143" s="385">
        <f t="shared" ref="F143:F206" si="49">Wh_sa/(1-Pvg*MEDIAN((-Sdif+Wh/Env_an)/Csdif,0,1))</f>
        <v>55.215923921937936</v>
      </c>
      <c r="G143" s="110">
        <f t="shared" si="46"/>
        <v>0.88032770015576745</v>
      </c>
      <c r="H143" s="414" t="b">
        <f>Wh_hp&gt;='2019'!Maxi_hp</f>
        <v>1</v>
      </c>
      <c r="I143" s="380">
        <f>IF(H143,Wh_hp,'2019'!Maxi_hp)</f>
        <v>55.215923921937936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1.5215028224878746E-2</v>
      </c>
      <c r="M143" s="845"/>
      <c r="N143" s="845"/>
      <c r="O143" s="48">
        <f>IF(t&lt;Tnet,'2019'!Resal+('2019'!Salim-'2019'!Resal)*(1-EXP(('2019'!Tnet-t)/('2019'!Tau_j))),Resal+(Salim-Resal)*(1-EXP((Tnet-t)/(Tau_j))))*Salcycl</f>
        <v>3.5117583780035426E-2</v>
      </c>
      <c r="P143" s="169">
        <f>(INDEX(Models!$BJ143:$BT143,,T143)*(1-R143)+INDEX(Models!$BJ143:$BT143,,T143+1)*R143-ERP_i)*Q143*Ramure*Pc/MaxiM</f>
        <v>5.2071047959192969E-5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0.10269531800246878</v>
      </c>
      <c r="S143" s="811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-0.89730468199753122</v>
      </c>
      <c r="V143" s="383">
        <f t="shared" ref="V143:V206" si="56">MaxiM*(1-Ppv)*(1-Pvg)*(1-Psa)</f>
        <v>59.595458557034618</v>
      </c>
      <c r="W143" s="402"/>
      <c r="X143" s="157">
        <f t="shared" ref="X143:X206" si="57">t</f>
        <v>43959</v>
      </c>
      <c r="Y143" s="385">
        <f t="shared" ref="Y143:Y206" si="58">Wh_pvt_s*(1-Ppv)</f>
        <v>52.463999999999999</v>
      </c>
      <c r="Z143" s="385">
        <f t="shared" ref="Z143:Z206" si="59">Wh_sa_s*(1-Psa_s)</f>
        <v>53.274574149350769</v>
      </c>
      <c r="AA143" s="386">
        <f t="shared" ref="AA143:AA206" si="60">Wh_hp*(1-Pvg_s*MEDIAN((-Sdif+Wh/Env_an)/Csdif,0,1))</f>
        <v>55.213540275777753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3.5117583780035426E-2</v>
      </c>
      <c r="AD143" s="231">
        <f>(INDEX(Models!$BJ143:$BT143,,AH143)*(1-AF143)+INDEX(Models!$BJ143:$BT143,,AH143+1)*AF143-ERP_i)*AE143*Ramure*Pc/MaxiM</f>
        <v>5.2071047959192969E-5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0.10269531800246878</v>
      </c>
      <c r="AG143" s="811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-0.89730468199753122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7">
        <v>48.648000000000003</v>
      </c>
      <c r="C144" s="390"/>
      <c r="D144" s="393">
        <f t="shared" si="48"/>
        <v>49.400698562344651</v>
      </c>
      <c r="E144" s="385">
        <f t="shared" ref="E144:E169" si="69">Wh_pvt/(1-Psa)</f>
        <v>51.203790424562804</v>
      </c>
      <c r="F144" s="385">
        <f t="shared" si="49"/>
        <v>51.205898275626573</v>
      </c>
      <c r="G144" s="110">
        <f t="shared" ref="G144:G169" si="70">+Wh_hp/MaxiM</f>
        <v>0.81518856752258229</v>
      </c>
      <c r="H144" s="414" t="b">
        <f>Wh_hp&gt;='2019'!Maxi_hp</f>
        <v>1</v>
      </c>
      <c r="I144" s="380">
        <f>IF(H144,Wh_hp,'2019'!Maxi_hp)</f>
        <v>51.205898275626573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1.5236597543144548E-2</v>
      </c>
      <c r="M144" s="845"/>
      <c r="N144" s="845"/>
      <c r="O144" s="48">
        <f>IF(t&lt;Tnet,'2019'!Resal+('2019'!Salim-'2019'!Resal)*(1-EXP(('2019'!Tnet-t)/('2019'!Tau_j))),Resal+(Salim-Resal)*(1-EXP((Tnet-t)/(Tau_j))))*Salcycl</f>
        <v>3.521403097832379E-2</v>
      </c>
      <c r="P144" s="169">
        <f>(INDEX(Models!$BJ144:$BT144,,T144)*(1-R144)+INDEX(Models!$BJ144:$BT144,,T144+1)*R144-ERP_i)*Q144*Ramure*Pc/MaxiM</f>
        <v>5.592958644392768E-5</v>
      </c>
      <c r="Q144" s="305">
        <f t="shared" si="51"/>
        <v>0.5</v>
      </c>
      <c r="R144" s="177">
        <f t="shared" si="52"/>
        <v>0.10617031154918699</v>
      </c>
      <c r="S144" s="811">
        <f t="shared" si="53"/>
        <v>-1</v>
      </c>
      <c r="T144" s="176">
        <f t="shared" si="54"/>
        <v>5</v>
      </c>
      <c r="U144" s="251">
        <f t="shared" si="55"/>
        <v>-0.89382968845081301</v>
      </c>
      <c r="V144" s="383">
        <f t="shared" si="56"/>
        <v>59.676108820954106</v>
      </c>
      <c r="W144" s="402"/>
      <c r="X144" s="157">
        <f t="shared" si="57"/>
        <v>43960</v>
      </c>
      <c r="Y144" s="385">
        <f t="shared" si="58"/>
        <v>48.648000000000003</v>
      </c>
      <c r="Z144" s="385">
        <f t="shared" si="59"/>
        <v>49.400698562344651</v>
      </c>
      <c r="AA144" s="386">
        <f t="shared" si="60"/>
        <v>51.203790424562804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3.521403097832379E-2</v>
      </c>
      <c r="AD144" s="231">
        <f>(INDEX(Models!$BJ144:$BT144,,AH144)*(1-AF144)+INDEX(Models!$BJ144:$BT144,,AH144+1)*AF144-ERP_i)*AE144*Ramure*Pc/MaxiM</f>
        <v>5.592958644392768E-5</v>
      </c>
      <c r="AE144" s="305">
        <f t="shared" si="62"/>
        <v>0.5</v>
      </c>
      <c r="AF144" s="177">
        <f t="shared" si="63"/>
        <v>0.10617031154918699</v>
      </c>
      <c r="AG144" s="811">
        <f t="shared" ref="AG144:AG207" si="71">INDEX(Echel_vg,AH144)</f>
        <v>-1</v>
      </c>
      <c r="AH144" s="176">
        <f t="shared" si="64"/>
        <v>5</v>
      </c>
      <c r="AI144" s="225">
        <f t="shared" si="65"/>
        <v>-0.89382968845081301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7">
        <v>11.712999999999999</v>
      </c>
      <c r="C145" s="390"/>
      <c r="D145" s="393">
        <f t="shared" si="48"/>
        <v>11.894488078209136</v>
      </c>
      <c r="E145" s="385">
        <f t="shared" si="69"/>
        <v>12.329866296071792</v>
      </c>
      <c r="F145" s="385">
        <f t="shared" si="49"/>
        <v>12.329866296071792</v>
      </c>
      <c r="G145" s="110">
        <f t="shared" si="70"/>
        <v>0.19601355717920926</v>
      </c>
      <c r="H145" s="414" t="b">
        <f>Wh_hp&gt;='2019'!Maxi_hp</f>
        <v>0</v>
      </c>
      <c r="I145" s="380">
        <f>IF(H145,Wh_hp,'2019'!Maxi_hp)</f>
        <v>38.866308209024936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1.5258166388987027E-2</v>
      </c>
      <c r="M145" s="845"/>
      <c r="N145" s="845"/>
      <c r="O145" s="48">
        <f>IF(t&lt;Tnet,'2019'!Resal+('2019'!Salim-'2019'!Resal)*(1-EXP(('2019'!Tnet-t)/('2019'!Tau_j))),Resal+(Salim-Resal)*(1-EXP((Tnet-t)/(Tau_j))))*Salcycl</f>
        <v>3.5310862859994172E-2</v>
      </c>
      <c r="P145" s="169">
        <f>(INDEX(Models!$BJ145:$BT145,,T145)*(1-R145)+INDEX(Models!$BJ145:$BT145,,T145+1)*R145-ERP_i)*Q145*Ramure*Pc/MaxiM</f>
        <v>5.9687444848065244E-5</v>
      </c>
      <c r="Q145" s="305">
        <f t="shared" si="51"/>
        <v>0.5</v>
      </c>
      <c r="R145" s="177">
        <f t="shared" si="52"/>
        <v>0.10972661260755123</v>
      </c>
      <c r="S145" s="811">
        <f t="shared" si="53"/>
        <v>-1</v>
      </c>
      <c r="T145" s="176">
        <f t="shared" si="54"/>
        <v>5</v>
      </c>
      <c r="U145" s="251">
        <f t="shared" si="55"/>
        <v>-0.89027338739244877</v>
      </c>
      <c r="V145" s="383">
        <f t="shared" si="56"/>
        <v>59.752504109959553</v>
      </c>
      <c r="W145" s="402"/>
      <c r="X145" s="157">
        <f t="shared" si="57"/>
        <v>43961</v>
      </c>
      <c r="Y145" s="385">
        <f t="shared" si="58"/>
        <v>11.712999999999999</v>
      </c>
      <c r="Z145" s="385">
        <f t="shared" si="59"/>
        <v>11.894488078209136</v>
      </c>
      <c r="AA145" s="386">
        <f t="shared" si="60"/>
        <v>12.329866296071792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3.5310862859994172E-2</v>
      </c>
      <c r="AD145" s="231">
        <f>(INDEX(Models!$BJ145:$BT145,,AH145)*(1-AF145)+INDEX(Models!$BJ145:$BT145,,AH145+1)*AF145-ERP_i)*AE145*Ramure*Pc/MaxiM</f>
        <v>5.9687444848065244E-5</v>
      </c>
      <c r="AE145" s="305">
        <f t="shared" si="62"/>
        <v>0.5</v>
      </c>
      <c r="AF145" s="177">
        <f t="shared" si="63"/>
        <v>0.10972661260755123</v>
      </c>
      <c r="AG145" s="811">
        <f t="shared" si="71"/>
        <v>-1</v>
      </c>
      <c r="AH145" s="176">
        <f t="shared" si="64"/>
        <v>5</v>
      </c>
      <c r="AI145" s="225">
        <f t="shared" si="65"/>
        <v>-0.89027338739244877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7">
        <v>8.8780000000000001</v>
      </c>
      <c r="C146" s="390"/>
      <c r="D146" s="393">
        <f t="shared" si="48"/>
        <v>9.0157583969880051</v>
      </c>
      <c r="E146" s="385">
        <f t="shared" si="69"/>
        <v>9.3467072027484139</v>
      </c>
      <c r="F146" s="385">
        <f t="shared" si="49"/>
        <v>9.3467072027484139</v>
      </c>
      <c r="G146" s="110">
        <f t="shared" si="70"/>
        <v>0.14839072110413035</v>
      </c>
      <c r="H146" s="414" t="b">
        <f>Wh_hp&gt;='2019'!Maxi_hp</f>
        <v>0</v>
      </c>
      <c r="I146" s="380">
        <f>IF(H146,Wh_hp,'2019'!Maxi_hp)</f>
        <v>59.238727729135654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1.5279734762416397E-2</v>
      </c>
      <c r="M146" s="845"/>
      <c r="N146" s="845"/>
      <c r="O146" s="48">
        <f>IF(t&lt;Tnet,'2019'!Resal+('2019'!Salim-'2019'!Resal)*(1-EXP(('2019'!Tnet-t)/('2019'!Tau_j))),Resal+(Salim-Resal)*(1-EXP((Tnet-t)/(Tau_j))))*Salcycl</f>
        <v>3.5408063886187946E-2</v>
      </c>
      <c r="P146" s="169">
        <f>(INDEX(Models!$BJ146:$BT146,,T146)*(1-R146)+INDEX(Models!$BJ146:$BT146,,T146+1)*R146-ERP_i)*Q146*Ramure*Pc/MaxiM</f>
        <v>6.3343618892987633E-5</v>
      </c>
      <c r="Q146" s="305">
        <f t="shared" si="51"/>
        <v>0.5</v>
      </c>
      <c r="R146" s="177">
        <f t="shared" si="52"/>
        <v>0.11336400025537996</v>
      </c>
      <c r="S146" s="811">
        <f t="shared" si="53"/>
        <v>-1</v>
      </c>
      <c r="T146" s="176">
        <f t="shared" si="54"/>
        <v>5</v>
      </c>
      <c r="U146" s="251">
        <f t="shared" si="55"/>
        <v>-0.88663599974462004</v>
      </c>
      <c r="V146" s="383">
        <f t="shared" si="56"/>
        <v>59.824748941828346</v>
      </c>
      <c r="W146" s="402"/>
      <c r="X146" s="157">
        <f t="shared" si="57"/>
        <v>43962</v>
      </c>
      <c r="Y146" s="385">
        <f t="shared" si="58"/>
        <v>8.8780000000000001</v>
      </c>
      <c r="Z146" s="385">
        <f t="shared" si="59"/>
        <v>9.0157583969880051</v>
      </c>
      <c r="AA146" s="386">
        <f t="shared" si="60"/>
        <v>9.3467072027484139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3.5408063886187946E-2</v>
      </c>
      <c r="AD146" s="231">
        <f>(INDEX(Models!$BJ146:$BT146,,AH146)*(1-AF146)+INDEX(Models!$BJ146:$BT146,,AH146+1)*AF146-ERP_i)*AE146*Ramure*Pc/MaxiM</f>
        <v>6.3343618892987633E-5</v>
      </c>
      <c r="AE146" s="305">
        <f t="shared" si="62"/>
        <v>0.5</v>
      </c>
      <c r="AF146" s="177">
        <f t="shared" si="63"/>
        <v>0.11336400025537996</v>
      </c>
      <c r="AG146" s="811">
        <f t="shared" si="71"/>
        <v>-1</v>
      </c>
      <c r="AH146" s="176">
        <f t="shared" si="64"/>
        <v>5</v>
      </c>
      <c r="AI146" s="225">
        <f t="shared" si="65"/>
        <v>-0.88663599974462004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7">
        <v>20.327000000000002</v>
      </c>
      <c r="C147" s="390"/>
      <c r="D147" s="393">
        <f t="shared" si="48"/>
        <v>20.642862689857406</v>
      </c>
      <c r="E147" s="385">
        <f t="shared" si="69"/>
        <v>21.402781662944502</v>
      </c>
      <c r="F147" s="385">
        <f t="shared" si="49"/>
        <v>21.402862229121819</v>
      </c>
      <c r="G147" s="110">
        <f t="shared" si="70"/>
        <v>0.33936744502305377</v>
      </c>
      <c r="H147" s="414" t="b">
        <f>Wh_hp&gt;='2019'!Maxi_hp</f>
        <v>0</v>
      </c>
      <c r="I147" s="380">
        <f>IF(H147,Wh_hp,'2019'!Maxi_hp)</f>
        <v>65.408960512497771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1.5301302663443095E-2</v>
      </c>
      <c r="M147" s="845"/>
      <c r="N147" s="845"/>
      <c r="O147" s="48">
        <f>IF(t&lt;Tnet,'2019'!Resal+('2019'!Salim-'2019'!Resal)*(1-EXP(('2019'!Tnet-t)/('2019'!Tau_j))),Resal+(Salim-Resal)*(1-EXP((Tnet-t)/(Tau_j))))*Salcycl</f>
        <v>3.5505617216232049E-2</v>
      </c>
      <c r="P147" s="169">
        <f>(INDEX(Models!$BJ147:$BT147,,T147)*(1-R147)+INDEX(Models!$BJ147:$BT147,,T147+1)*R147-ERP_i)*Q147*Ramure*Pc/MaxiM</f>
        <v>6.689680905806538E-5</v>
      </c>
      <c r="Q147" s="305">
        <f t="shared" si="51"/>
        <v>0.5</v>
      </c>
      <c r="R147" s="177">
        <f t="shared" si="52"/>
        <v>0.11708210338083214</v>
      </c>
      <c r="S147" s="811">
        <f t="shared" si="53"/>
        <v>-1</v>
      </c>
      <c r="T147" s="176">
        <f t="shared" si="54"/>
        <v>5</v>
      </c>
      <c r="U147" s="251">
        <f t="shared" si="55"/>
        <v>-0.88291789661916786</v>
      </c>
      <c r="V147" s="383">
        <f t="shared" si="56"/>
        <v>59.892947889244276</v>
      </c>
      <c r="W147" s="402"/>
      <c r="X147" s="157">
        <f t="shared" si="57"/>
        <v>43963</v>
      </c>
      <c r="Y147" s="385">
        <f t="shared" si="58"/>
        <v>20.327000000000002</v>
      </c>
      <c r="Z147" s="385">
        <f t="shared" si="59"/>
        <v>20.642862689857406</v>
      </c>
      <c r="AA147" s="386">
        <f t="shared" si="60"/>
        <v>21.402781662944502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3.5505617216232049E-2</v>
      </c>
      <c r="AD147" s="231">
        <f>(INDEX(Models!$BJ147:$BT147,,AH147)*(1-AF147)+INDEX(Models!$BJ147:$BT147,,AH147+1)*AF147-ERP_i)*AE147*Ramure*Pc/MaxiM</f>
        <v>6.689680905806538E-5</v>
      </c>
      <c r="AE147" s="305">
        <f t="shared" si="62"/>
        <v>0.5</v>
      </c>
      <c r="AF147" s="177">
        <f t="shared" si="63"/>
        <v>0.11708210338083214</v>
      </c>
      <c r="AG147" s="811">
        <f t="shared" si="71"/>
        <v>-1</v>
      </c>
      <c r="AH147" s="176">
        <f t="shared" si="64"/>
        <v>5</v>
      </c>
      <c r="AI147" s="225">
        <f t="shared" si="65"/>
        <v>-0.88291789661916786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7">
        <v>30.978000000000002</v>
      </c>
      <c r="C148" s="390"/>
      <c r="D148" s="393">
        <f t="shared" si="48"/>
        <v>31.460058387764892</v>
      </c>
      <c r="E148" s="385">
        <f t="shared" si="69"/>
        <v>32.621498047245005</v>
      </c>
      <c r="F148" s="385">
        <f t="shared" si="49"/>
        <v>32.622208355651487</v>
      </c>
      <c r="G148" s="110">
        <f t="shared" si="70"/>
        <v>0.51664341277229364</v>
      </c>
      <c r="H148" s="414" t="b">
        <f>Wh_hp&gt;='2019'!Maxi_hp</f>
        <v>0</v>
      </c>
      <c r="I148" s="380">
        <f>IF(H148,Wh_hp,'2019'!Maxi_hp)</f>
        <v>63.832836981428784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1.5322870092077334E-2</v>
      </c>
      <c r="M148" s="845"/>
      <c r="N148" s="845"/>
      <c r="O148" s="48">
        <f>IF(t&lt;Tnet,'2019'!Resal+('2019'!Salim-'2019'!Resal)*(1-EXP(('2019'!Tnet-t)/('2019'!Tau_j))),Resal+(Salim-Resal)*(1-EXP((Tnet-t)/(Tau_j))))*Salcycl</f>
        <v>3.5603504713303528E-2</v>
      </c>
      <c r="P148" s="169">
        <f>(INDEX(Models!$BJ148:$BT148,,T148)*(1-R148)+INDEX(Models!$BJ148:$BT148,,T148+1)*R148-ERP_i)*Q148*Ramure*Pc/MaxiM</f>
        <v>7.0345422617061726E-5</v>
      </c>
      <c r="Q148" s="305">
        <f t="shared" si="51"/>
        <v>0.5</v>
      </c>
      <c r="R148" s="177">
        <f t="shared" si="52"/>
        <v>0.12088039494643454</v>
      </c>
      <c r="S148" s="811">
        <f t="shared" si="53"/>
        <v>-1</v>
      </c>
      <c r="T148" s="176">
        <f t="shared" si="54"/>
        <v>5</v>
      </c>
      <c r="U148" s="251">
        <f t="shared" si="55"/>
        <v>-0.87911960505356546</v>
      </c>
      <c r="V148" s="383">
        <f t="shared" si="56"/>
        <v>59.957205586559624</v>
      </c>
      <c r="W148" s="402"/>
      <c r="X148" s="157">
        <f t="shared" si="57"/>
        <v>43964</v>
      </c>
      <c r="Y148" s="385">
        <f t="shared" si="58"/>
        <v>30.978000000000005</v>
      </c>
      <c r="Z148" s="385">
        <f t="shared" si="59"/>
        <v>31.460058387764896</v>
      </c>
      <c r="AA148" s="386">
        <f t="shared" si="60"/>
        <v>32.621498047245005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3.5603504713303528E-2</v>
      </c>
      <c r="AD148" s="231">
        <f>(INDEX(Models!$BJ148:$BT148,,AH148)*(1-AF148)+INDEX(Models!$BJ148:$BT148,,AH148+1)*AF148-ERP_i)*AE148*Ramure*Pc/MaxiM</f>
        <v>7.0345422617061726E-5</v>
      </c>
      <c r="AE148" s="305">
        <f t="shared" si="62"/>
        <v>0.5</v>
      </c>
      <c r="AF148" s="177">
        <f t="shared" si="63"/>
        <v>0.12088039494643454</v>
      </c>
      <c r="AG148" s="811">
        <f t="shared" si="71"/>
        <v>-1</v>
      </c>
      <c r="AH148" s="176">
        <f t="shared" si="64"/>
        <v>5</v>
      </c>
      <c r="AI148" s="225">
        <f t="shared" si="65"/>
        <v>-0.87911960505356546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7">
        <v>20.306000000000001</v>
      </c>
      <c r="C149" s="390"/>
      <c r="D149" s="393">
        <f t="shared" si="48"/>
        <v>20.622439728192216</v>
      </c>
      <c r="E149" s="385">
        <f t="shared" si="69"/>
        <v>21.385954820163828</v>
      </c>
      <c r="F149" s="385">
        <f t="shared" si="49"/>
        <v>21.386041129861098</v>
      </c>
      <c r="G149" s="110">
        <f t="shared" si="70"/>
        <v>0.33831429870908908</v>
      </c>
      <c r="H149" s="414" t="b">
        <f>Wh_hp&gt;='2019'!Maxi_hp</f>
        <v>0</v>
      </c>
      <c r="I149" s="380">
        <f>IF(H149,Wh_hp,'2019'!Maxi_hp)</f>
        <v>64.337487236928794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1.5344437048329551E-2</v>
      </c>
      <c r="M149" s="845"/>
      <c r="N149" s="845"/>
      <c r="O149" s="48">
        <f>IF(t&lt;Tnet,'2019'!Resal+('2019'!Salim-'2019'!Resal)*(1-EXP(('2019'!Tnet-t)/('2019'!Tau_j))),Resal+(Salim-Resal)*(1-EXP((Tnet-t)/(Tau_j))))*Salcycl</f>
        <v>3.5701706956367839E-2</v>
      </c>
      <c r="P149" s="169">
        <f>(INDEX(Models!$BJ149:$BT149,,T149)*(1-R149)+INDEX(Models!$BJ149:$BT149,,T149+1)*R149-ERP_i)*Q149*Ramure*Pc/MaxiM</f>
        <v>7.3688431541984008E-5</v>
      </c>
      <c r="Q149" s="305">
        <f t="shared" si="51"/>
        <v>0.5</v>
      </c>
      <c r="R149" s="177">
        <f t="shared" si="52"/>
        <v>0.12475818666147409</v>
      </c>
      <c r="S149" s="811">
        <f t="shared" si="53"/>
        <v>-1</v>
      </c>
      <c r="T149" s="176">
        <f t="shared" si="54"/>
        <v>5</v>
      </c>
      <c r="U149" s="251">
        <f t="shared" si="55"/>
        <v>-0.87524181333852591</v>
      </c>
      <c r="V149" s="383">
        <f t="shared" si="56"/>
        <v>60.016930130796126</v>
      </c>
      <c r="W149" s="402"/>
      <c r="X149" s="157">
        <f t="shared" si="57"/>
        <v>43965</v>
      </c>
      <c r="Y149" s="385">
        <f t="shared" si="58"/>
        <v>20.306000000000001</v>
      </c>
      <c r="Z149" s="385">
        <f t="shared" si="59"/>
        <v>20.622439728192216</v>
      </c>
      <c r="AA149" s="386">
        <f t="shared" si="60"/>
        <v>21.385954820163828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3.5701706956367839E-2</v>
      </c>
      <c r="AD149" s="231">
        <f>(INDEX(Models!$BJ149:$BT149,,AH149)*(1-AF149)+INDEX(Models!$BJ149:$BT149,,AH149+1)*AF149-ERP_i)*AE149*Ramure*Pc/MaxiM</f>
        <v>7.3688431541984008E-5</v>
      </c>
      <c r="AE149" s="305">
        <f t="shared" si="62"/>
        <v>0.5</v>
      </c>
      <c r="AF149" s="177">
        <f t="shared" si="63"/>
        <v>0.12475818666147409</v>
      </c>
      <c r="AG149" s="811">
        <f t="shared" si="71"/>
        <v>-1</v>
      </c>
      <c r="AH149" s="176">
        <f t="shared" si="64"/>
        <v>5</v>
      </c>
      <c r="AI149" s="225">
        <f t="shared" si="65"/>
        <v>-0.87524181333852591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7">
        <v>15.879</v>
      </c>
      <c r="C150" s="390"/>
      <c r="D150" s="393">
        <f t="shared" si="48"/>
        <v>16.126804535455065</v>
      </c>
      <c r="E150" s="385">
        <f t="shared" si="69"/>
        <v>16.725583836418906</v>
      </c>
      <c r="F150" s="385">
        <f t="shared" si="49"/>
        <v>16.725583836418906</v>
      </c>
      <c r="G150" s="110">
        <f t="shared" si="70"/>
        <v>0.26431423582926028</v>
      </c>
      <c r="H150" s="414" t="b">
        <f>Wh_hp&gt;='2019'!Maxi_hp</f>
        <v>0</v>
      </c>
      <c r="I150" s="380">
        <f>IF(H150,Wh_hp,'2019'!Maxi_hp)</f>
        <v>55.759884023555387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1.5366003532210071E-2</v>
      </c>
      <c r="M150" s="845"/>
      <c r="N150" s="845"/>
      <c r="O150" s="48">
        <f>IF(t&lt;Tnet,'2019'!Resal+('2019'!Salim-'2019'!Resal)*(1-EXP(('2019'!Tnet-t)/('2019'!Tau_j))),Resal+(Salim-Resal)*(1-EXP((Tnet-t)/(Tau_j))))*Salcycl</f>
        <v>3.5800203258677152E-2</v>
      </c>
      <c r="P150" s="169">
        <f>(INDEX(Models!$BJ150:$BT150,,T150)*(1-R150)+INDEX(Models!$BJ150:$BT150,,T150+1)*R150-ERP_i)*Q150*Ramure*Pc/MaxiM</f>
        <v>7.6508135615993363E-5</v>
      </c>
      <c r="Q150" s="305">
        <f t="shared" si="51"/>
        <v>0.5</v>
      </c>
      <c r="R150" s="177">
        <f t="shared" si="52"/>
        <v>0.12871462412260026</v>
      </c>
      <c r="S150" s="811">
        <f t="shared" si="53"/>
        <v>-1</v>
      </c>
      <c r="T150" s="176">
        <f t="shared" si="54"/>
        <v>5</v>
      </c>
      <c r="U150" s="251">
        <f t="shared" si="55"/>
        <v>-0.87128537587739974</v>
      </c>
      <c r="V150" s="383">
        <f t="shared" si="56"/>
        <v>60.07162299639117</v>
      </c>
      <c r="W150" s="402"/>
      <c r="X150" s="157">
        <f t="shared" si="57"/>
        <v>43966</v>
      </c>
      <c r="Y150" s="385">
        <f t="shared" si="58"/>
        <v>15.879000000000001</v>
      </c>
      <c r="Z150" s="385">
        <f t="shared" si="59"/>
        <v>16.126804535455065</v>
      </c>
      <c r="AA150" s="386">
        <f t="shared" si="60"/>
        <v>16.725583836418906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3.5800203258677152E-2</v>
      </c>
      <c r="AD150" s="231">
        <f>(INDEX(Models!$BJ150:$BT150,,AH150)*(1-AF150)+INDEX(Models!$BJ150:$BT150,,AH150+1)*AF150-ERP_i)*AE150*Ramure*Pc/MaxiM</f>
        <v>7.6508135615993363E-5</v>
      </c>
      <c r="AE150" s="305">
        <f t="shared" si="62"/>
        <v>0.5</v>
      </c>
      <c r="AF150" s="177">
        <f t="shared" si="63"/>
        <v>0.12871462412260026</v>
      </c>
      <c r="AG150" s="811">
        <f t="shared" si="71"/>
        <v>-1</v>
      </c>
      <c r="AH150" s="176">
        <f t="shared" si="64"/>
        <v>5</v>
      </c>
      <c r="AI150" s="225">
        <f t="shared" si="65"/>
        <v>-0.87128537587739974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7">
        <v>34.332000000000001</v>
      </c>
      <c r="C151" s="390"/>
      <c r="D151" s="393">
        <f t="shared" si="48"/>
        <v>34.868542116709314</v>
      </c>
      <c r="E151" s="385">
        <f t="shared" si="69"/>
        <v>36.166896510775906</v>
      </c>
      <c r="F151" s="385">
        <f t="shared" si="49"/>
        <v>36.167998382004193</v>
      </c>
      <c r="G151" s="110">
        <f t="shared" si="70"/>
        <v>0.57101611457008816</v>
      </c>
      <c r="H151" s="414" t="b">
        <f>Wh_hp&gt;='2019'!Maxi_hp</f>
        <v>1</v>
      </c>
      <c r="I151" s="380">
        <f>IF(H151,Wh_hp,'2019'!Maxi_hp)</f>
        <v>36.167998382004193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1.5387569543729218E-2</v>
      </c>
      <c r="M151" s="845"/>
      <c r="N151" s="845"/>
      <c r="O151" s="48">
        <f>IF(t&lt;Tnet,'2019'!Resal+('2019'!Salim-'2019'!Resal)*(1-EXP(('2019'!Tnet-t)/('2019'!Tau_j))),Resal+(Salim-Resal)*(1-EXP((Tnet-t)/(Tau_j))))*Salcycl</f>
        <v>3.5898971693071526E-2</v>
      </c>
      <c r="P151" s="169">
        <f>(INDEX(Models!$BJ151:$BT151,,T151)*(1-R151)+INDEX(Models!$BJ151:$BT151,,T151+1)*R151-ERP_i)*Q151*Ramure*Pc/MaxiM</f>
        <v>7.868014911429433E-5</v>
      </c>
      <c r="Q151" s="305">
        <f t="shared" si="51"/>
        <v>0.5</v>
      </c>
      <c r="R151" s="177">
        <f t="shared" si="52"/>
        <v>0.1327486824825741</v>
      </c>
      <c r="S151" s="811">
        <f t="shared" si="53"/>
        <v>-1</v>
      </c>
      <c r="T151" s="176">
        <f t="shared" si="54"/>
        <v>5</v>
      </c>
      <c r="U151" s="251">
        <f t="shared" si="55"/>
        <v>-0.8672513175174259</v>
      </c>
      <c r="V151" s="383">
        <f t="shared" si="56"/>
        <v>60.121498787133277</v>
      </c>
      <c r="W151" s="402"/>
      <c r="X151" s="157">
        <f t="shared" si="57"/>
        <v>43967</v>
      </c>
      <c r="Y151" s="385">
        <f t="shared" si="58"/>
        <v>34.332000000000001</v>
      </c>
      <c r="Z151" s="385">
        <f t="shared" si="59"/>
        <v>34.868542116709314</v>
      </c>
      <c r="AA151" s="386">
        <f t="shared" si="60"/>
        <v>36.166896510775906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3.5898971693071526E-2</v>
      </c>
      <c r="AD151" s="231">
        <f>(INDEX(Models!$BJ151:$BT151,,AH151)*(1-AF151)+INDEX(Models!$BJ151:$BT151,,AH151+1)*AF151-ERP_i)*AE151*Ramure*Pc/MaxiM</f>
        <v>7.868014911429433E-5</v>
      </c>
      <c r="AE151" s="305">
        <f t="shared" si="62"/>
        <v>0.5</v>
      </c>
      <c r="AF151" s="177">
        <f t="shared" si="63"/>
        <v>0.1327486824825741</v>
      </c>
      <c r="AG151" s="811">
        <f t="shared" si="71"/>
        <v>-1</v>
      </c>
      <c r="AH151" s="176">
        <f t="shared" si="64"/>
        <v>5</v>
      </c>
      <c r="AI151" s="225">
        <f t="shared" si="65"/>
        <v>-0.8672513175174259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7">
        <v>60.713999999999999</v>
      </c>
      <c r="C152" s="390"/>
      <c r="D152" s="393">
        <f t="shared" si="48"/>
        <v>61.664191862182065</v>
      </c>
      <c r="E152" s="385">
        <f t="shared" si="69"/>
        <v>63.966870573397337</v>
      </c>
      <c r="F152" s="385">
        <f t="shared" si="49"/>
        <v>63.972000087795209</v>
      </c>
      <c r="G152" s="110">
        <f t="shared" si="70"/>
        <v>1.0090952892418232</v>
      </c>
      <c r="H152" s="414" t="b">
        <f>Wh_hp&gt;='2019'!Maxi_hp</f>
        <v>1</v>
      </c>
      <c r="I152" s="380">
        <f>IF(H152,Wh_hp,'2019'!Maxi_hp)</f>
        <v>63.972000087795209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1.5409135082897429E-2</v>
      </c>
      <c r="M152" s="845"/>
      <c r="N152" s="845"/>
      <c r="O152" s="48">
        <f>IF(t&lt;Tnet,'2019'!Resal+('2019'!Salim-'2019'!Resal)*(1-EXP(('2019'!Tnet-t)/('2019'!Tau_j))),Resal+(Salim-Resal)*(1-EXP((Tnet-t)/(Tau_j))))*Salcycl</f>
        <v>3.5997989124278255E-2</v>
      </c>
      <c r="P152" s="169">
        <f>(INDEX(Models!$BJ152:$BT152,,T152)*(1-R152)+INDEX(Models!$BJ152:$BT152,,T152+1)*R152-ERP_i)*Q152*Ramure*Pc/MaxiM</f>
        <v>8.0183742744219605E-5</v>
      </c>
      <c r="Q152" s="305">
        <f t="shared" si="51"/>
        <v>0.5</v>
      </c>
      <c r="R152" s="177">
        <f t="shared" si="52"/>
        <v>0.1368591627065312</v>
      </c>
      <c r="S152" s="811">
        <f t="shared" si="53"/>
        <v>-1</v>
      </c>
      <c r="T152" s="176">
        <f t="shared" si="54"/>
        <v>5</v>
      </c>
      <c r="U152" s="251">
        <f t="shared" si="55"/>
        <v>-0.8631408372934688</v>
      </c>
      <c r="V152" s="383">
        <f t="shared" si="56"/>
        <v>60.166765861742405</v>
      </c>
      <c r="W152" s="402"/>
      <c r="X152" s="157">
        <f t="shared" si="57"/>
        <v>43968</v>
      </c>
      <c r="Y152" s="385">
        <f t="shared" si="58"/>
        <v>60.713999999999999</v>
      </c>
      <c r="Z152" s="385">
        <f t="shared" si="59"/>
        <v>61.664191862182065</v>
      </c>
      <c r="AA152" s="386">
        <f t="shared" si="60"/>
        <v>63.966870573397337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3.5997989124278255E-2</v>
      </c>
      <c r="AD152" s="231">
        <f>(INDEX(Models!$BJ152:$BT152,,AH152)*(1-AF152)+INDEX(Models!$BJ152:$BT152,,AH152+1)*AF152-ERP_i)*AE152*Ramure*Pc/MaxiM</f>
        <v>8.0183742744219605E-5</v>
      </c>
      <c r="AE152" s="305">
        <f t="shared" si="62"/>
        <v>0.5</v>
      </c>
      <c r="AF152" s="177">
        <f t="shared" si="63"/>
        <v>0.1368591627065312</v>
      </c>
      <c r="AG152" s="811">
        <f t="shared" si="71"/>
        <v>-1</v>
      </c>
      <c r="AH152" s="176">
        <f t="shared" si="64"/>
        <v>5</v>
      </c>
      <c r="AI152" s="225">
        <f t="shared" si="65"/>
        <v>-0.8631408372934688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7">
        <v>59.832000000000001</v>
      </c>
      <c r="C153" s="390"/>
      <c r="D153" s="393">
        <f t="shared" si="48"/>
        <v>60.769719316963005</v>
      </c>
      <c r="E153" s="385">
        <f t="shared" si="69"/>
        <v>63.045486834388917</v>
      </c>
      <c r="F153" s="385">
        <f t="shared" si="49"/>
        <v>63.050548226982031</v>
      </c>
      <c r="G153" s="110">
        <f t="shared" si="70"/>
        <v>0.99376032907858713</v>
      </c>
      <c r="H153" s="414" t="b">
        <f>Wh_hp&gt;='2019'!Maxi_hp</f>
        <v>1</v>
      </c>
      <c r="I153" s="380">
        <f>IF(H153,Wh_hp,'2019'!Maxi_hp)</f>
        <v>63.050548226982031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1.5430700149724919E-2</v>
      </c>
      <c r="M153" s="845"/>
      <c r="N153" s="845"/>
      <c r="O153" s="48">
        <f>IF(t&lt;Tnet,'2019'!Resal+('2019'!Salim-'2019'!Resal)*(1-EXP(('2019'!Tnet-t)/('2019'!Tau_j))),Resal+(Salim-Resal)*(1-EXP((Tnet-t)/(Tau_j))))*Salcycl</f>
        <v>3.6097231248352769E-2</v>
      </c>
      <c r="P153" s="169">
        <f>(INDEX(Models!$BJ153:$BT153,,T153)*(1-R153)+INDEX(Models!$BJ153:$BT153,,T153+1)*R153-ERP_i)*Q153*Ramure*Pc/MaxiM</f>
        <v>8.099706586484511E-5</v>
      </c>
      <c r="Q153" s="305">
        <f t="shared" si="51"/>
        <v>0.5</v>
      </c>
      <c r="R153" s="177">
        <f t="shared" si="52"/>
        <v>0.14104468847382767</v>
      </c>
      <c r="S153" s="811">
        <f t="shared" si="53"/>
        <v>-1</v>
      </c>
      <c r="T153" s="176">
        <f t="shared" si="54"/>
        <v>5</v>
      </c>
      <c r="U153" s="251">
        <f t="shared" si="55"/>
        <v>-0.85895531152617233</v>
      </c>
      <c r="V153" s="383">
        <f t="shared" si="56"/>
        <v>60.207632617711575</v>
      </c>
      <c r="W153" s="402"/>
      <c r="X153" s="157">
        <f t="shared" si="57"/>
        <v>43969</v>
      </c>
      <c r="Y153" s="385">
        <f t="shared" si="58"/>
        <v>59.832000000000001</v>
      </c>
      <c r="Z153" s="385">
        <f t="shared" si="59"/>
        <v>60.769719316963005</v>
      </c>
      <c r="AA153" s="386">
        <f t="shared" si="60"/>
        <v>63.045486834388917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3.6097231248352769E-2</v>
      </c>
      <c r="AD153" s="231">
        <f>(INDEX(Models!$BJ153:$BT153,,AH153)*(1-AF153)+INDEX(Models!$BJ153:$BT153,,AH153+1)*AF153-ERP_i)*AE153*Ramure*Pc/MaxiM</f>
        <v>8.099706586484511E-5</v>
      </c>
      <c r="AE153" s="305">
        <f t="shared" si="62"/>
        <v>0.5</v>
      </c>
      <c r="AF153" s="177">
        <f t="shared" si="63"/>
        <v>0.14104468847382767</v>
      </c>
      <c r="AG153" s="811">
        <f t="shared" si="71"/>
        <v>-1</v>
      </c>
      <c r="AH153" s="176">
        <f t="shared" si="64"/>
        <v>5</v>
      </c>
      <c r="AI153" s="225">
        <f t="shared" si="65"/>
        <v>-0.85895531152617233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7">
        <v>58.527000000000001</v>
      </c>
      <c r="C154" s="390"/>
      <c r="D154" s="393">
        <f t="shared" si="48"/>
        <v>59.445568664880568</v>
      </c>
      <c r="E154" s="385">
        <f t="shared" si="69"/>
        <v>61.678111059930323</v>
      </c>
      <c r="F154" s="385">
        <f t="shared" si="49"/>
        <v>61.682909665143029</v>
      </c>
      <c r="G154" s="110">
        <f t="shared" si="70"/>
        <v>0.97149106948272634</v>
      </c>
      <c r="H154" s="414" t="b">
        <f>Wh_hp&gt;='2019'!Maxi_hp</f>
        <v>1</v>
      </c>
      <c r="I154" s="380">
        <f>IF(H154,Wh_hp,'2019'!Maxi_hp)</f>
        <v>61.682909665143029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1.5452264744222122E-2</v>
      </c>
      <c r="M154" s="845"/>
      <c r="N154" s="845"/>
      <c r="O154" s="48">
        <f>IF(t&lt;Tnet,'2019'!Resal+('2019'!Salim-'2019'!Resal)*(1-EXP(('2019'!Tnet-t)/('2019'!Tau_j))),Resal+(Salim-Resal)*(1-EXP((Tnet-t)/(Tau_j))))*Salcycl</f>
        <v>3.6196672639349753E-2</v>
      </c>
      <c r="P154" s="169">
        <f>(INDEX(Models!$BJ154:$BT154,,T154)*(1-R154)+INDEX(Models!$BJ154:$BT154,,T154+1)*R154-ERP_i)*Q154*Ramure*Pc/MaxiM</f>
        <v>8.1097206266133459E-5</v>
      </c>
      <c r="Q154" s="305">
        <f t="shared" si="51"/>
        <v>0.5</v>
      </c>
      <c r="R154" s="177">
        <f t="shared" si="52"/>
        <v>0.14530370378148827</v>
      </c>
      <c r="S154" s="811">
        <f t="shared" si="53"/>
        <v>-1</v>
      </c>
      <c r="T154" s="176">
        <f t="shared" si="54"/>
        <v>5</v>
      </c>
      <c r="U154" s="251">
        <f t="shared" si="55"/>
        <v>-0.85469629621851173</v>
      </c>
      <c r="V154" s="383">
        <f t="shared" si="56"/>
        <v>60.244307476764583</v>
      </c>
      <c r="W154" s="402"/>
      <c r="X154" s="157">
        <f t="shared" si="57"/>
        <v>43970</v>
      </c>
      <c r="Y154" s="385">
        <f t="shared" si="58"/>
        <v>58.527000000000001</v>
      </c>
      <c r="Z154" s="385">
        <f t="shared" si="59"/>
        <v>59.445568664880568</v>
      </c>
      <c r="AA154" s="386">
        <f t="shared" si="60"/>
        <v>61.678111059930323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3.6196672639349753E-2</v>
      </c>
      <c r="AD154" s="231">
        <f>(INDEX(Models!$BJ154:$BT154,,AH154)*(1-AF154)+INDEX(Models!$BJ154:$BT154,,AH154+1)*AF154-ERP_i)*AE154*Ramure*Pc/MaxiM</f>
        <v>8.1097206266133459E-5</v>
      </c>
      <c r="AE154" s="305">
        <f t="shared" si="62"/>
        <v>0.5</v>
      </c>
      <c r="AF154" s="177">
        <f t="shared" si="63"/>
        <v>0.14530370378148827</v>
      </c>
      <c r="AG154" s="811">
        <f t="shared" si="71"/>
        <v>-1</v>
      </c>
      <c r="AH154" s="176">
        <f t="shared" si="64"/>
        <v>5</v>
      </c>
      <c r="AI154" s="225">
        <f t="shared" si="65"/>
        <v>-0.85469629621851173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7">
        <v>58.040999999999997</v>
      </c>
      <c r="C155" s="390"/>
      <c r="D155" s="393">
        <f t="shared" si="48"/>
        <v>58.953232226595439</v>
      </c>
      <c r="E155" s="385">
        <f t="shared" si="69"/>
        <v>61.173607011473472</v>
      </c>
      <c r="F155" s="385">
        <f t="shared" si="49"/>
        <v>61.178268574854386</v>
      </c>
      <c r="G155" s="110">
        <f t="shared" si="70"/>
        <v>0.9629005023156717</v>
      </c>
      <c r="H155" s="414" t="b">
        <f>Wh_hp&gt;='2019'!Maxi_hp</f>
        <v>1</v>
      </c>
      <c r="I155" s="380">
        <f>IF(H155,Wh_hp,'2019'!Maxi_hp)</f>
        <v>61.178268574854386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1.5473828866399475E-2</v>
      </c>
      <c r="M155" s="845"/>
      <c r="N155" s="845"/>
      <c r="O155" s="48">
        <f>IF(t&lt;Tnet,'2019'!Resal+('2019'!Salim-'2019'!Resal)*(1-EXP(('2019'!Tnet-t)/('2019'!Tau_j))),Resal+(Salim-Resal)*(1-EXP((Tnet-t)/(Tau_j))))*Salcycl</f>
        <v>3.6296286803254668E-2</v>
      </c>
      <c r="P155" s="169">
        <f>(INDEX(Models!$BJ155:$BT155,,T155)*(1-R155)+INDEX(Models!$BJ155:$BT155,,T155+1)*R155-ERP_i)*Q155*Ramure*Pc/MaxiM</f>
        <v>8.0460256671456847E-5</v>
      </c>
      <c r="Q155" s="305">
        <f t="shared" si="51"/>
        <v>0.5</v>
      </c>
      <c r="R155" s="177">
        <f t="shared" si="52"/>
        <v>0.14963447130243113</v>
      </c>
      <c r="S155" s="811">
        <f t="shared" si="53"/>
        <v>-1</v>
      </c>
      <c r="T155" s="176">
        <f t="shared" si="54"/>
        <v>5</v>
      </c>
      <c r="U155" s="251">
        <f t="shared" si="55"/>
        <v>-0.85036552869756887</v>
      </c>
      <c r="V155" s="383">
        <f t="shared" si="56"/>
        <v>60.276998882682825</v>
      </c>
      <c r="W155" s="402"/>
      <c r="X155" s="157">
        <f t="shared" si="57"/>
        <v>43971</v>
      </c>
      <c r="Y155" s="385">
        <f t="shared" si="58"/>
        <v>58.040999999999997</v>
      </c>
      <c r="Z155" s="385">
        <f t="shared" si="59"/>
        <v>58.953232226595439</v>
      </c>
      <c r="AA155" s="386">
        <f t="shared" si="60"/>
        <v>61.173607011473472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3.6296286803254668E-2</v>
      </c>
      <c r="AD155" s="231">
        <f>(INDEX(Models!$BJ155:$BT155,,AH155)*(1-AF155)+INDEX(Models!$BJ155:$BT155,,AH155+1)*AF155-ERP_i)*AE155*Ramure*Pc/MaxiM</f>
        <v>8.0460256671456847E-5</v>
      </c>
      <c r="AE155" s="305">
        <f t="shared" si="62"/>
        <v>0.5</v>
      </c>
      <c r="AF155" s="177">
        <f t="shared" si="63"/>
        <v>0.14963447130243113</v>
      </c>
      <c r="AG155" s="811">
        <f t="shared" si="71"/>
        <v>-1</v>
      </c>
      <c r="AH155" s="176">
        <f t="shared" si="64"/>
        <v>5</v>
      </c>
      <c r="AI155" s="225">
        <f t="shared" si="65"/>
        <v>-0.85036552869756887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7">
        <v>53.38</v>
      </c>
      <c r="C156" s="390"/>
      <c r="D156" s="393">
        <f t="shared" si="48"/>
        <v>54.220162703384815</v>
      </c>
      <c r="E156" s="385">
        <f t="shared" si="69"/>
        <v>56.268099037751647</v>
      </c>
      <c r="F156" s="385">
        <f t="shared" si="49"/>
        <v>56.271823959119381</v>
      </c>
      <c r="G156" s="110">
        <f t="shared" si="70"/>
        <v>0.88514224347639803</v>
      </c>
      <c r="H156" s="414" t="b">
        <f>Wh_hp&gt;='2019'!Maxi_hp</f>
        <v>0</v>
      </c>
      <c r="I156" s="380">
        <f>IF(H156,Wh_hp,'2019'!Maxi_hp)</f>
        <v>62.875998222350205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1.5495392516267081E-2</v>
      </c>
      <c r="M156" s="845"/>
      <c r="N156" s="845"/>
      <c r="O156" s="48">
        <f>IF(t&lt;Tnet,'2019'!Resal+('2019'!Salim-'2019'!Resal)*(1-EXP(('2019'!Tnet-t)/('2019'!Tau_j))),Resal+(Salim-Resal)*(1-EXP((Tnet-t)/(Tau_j))))*Salcycl</f>
        <v>3.6396046239145656E-2</v>
      </c>
      <c r="P156" s="169">
        <f>(INDEX(Models!$BJ156:$BT156,,T156)*(1-R156)+INDEX(Models!$BJ156:$BT156,,T156+1)*R156-ERP_i)*Q156*Ramure*Pc/MaxiM</f>
        <v>7.9187050833814249E-5</v>
      </c>
      <c r="Q156" s="305">
        <f t="shared" si="51"/>
        <v>0.5</v>
      </c>
      <c r="R156" s="177">
        <f t="shared" si="52"/>
        <v>0.15403507154798679</v>
      </c>
      <c r="S156" s="811">
        <f t="shared" si="53"/>
        <v>-1</v>
      </c>
      <c r="T156" s="176">
        <f t="shared" si="54"/>
        <v>5</v>
      </c>
      <c r="U156" s="251">
        <f t="shared" si="55"/>
        <v>-0.84596492845201321</v>
      </c>
      <c r="V156" s="383">
        <f t="shared" si="56"/>
        <v>60.305907710765077</v>
      </c>
      <c r="W156" s="402"/>
      <c r="X156" s="157">
        <f t="shared" si="57"/>
        <v>43972</v>
      </c>
      <c r="Y156" s="385">
        <f t="shared" si="58"/>
        <v>53.38</v>
      </c>
      <c r="Z156" s="385">
        <f t="shared" si="59"/>
        <v>54.220162703384815</v>
      </c>
      <c r="AA156" s="386">
        <f t="shared" si="60"/>
        <v>56.268099037751647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3.6396046239145656E-2</v>
      </c>
      <c r="AD156" s="231">
        <f>(INDEX(Models!$BJ156:$BT156,,AH156)*(1-AF156)+INDEX(Models!$BJ156:$BT156,,AH156+1)*AF156-ERP_i)*AE156*Ramure*Pc/MaxiM</f>
        <v>7.9187050833814249E-5</v>
      </c>
      <c r="AE156" s="305">
        <f t="shared" si="62"/>
        <v>0.5</v>
      </c>
      <c r="AF156" s="177">
        <f t="shared" si="63"/>
        <v>0.15403507154798679</v>
      </c>
      <c r="AG156" s="811">
        <f t="shared" si="71"/>
        <v>-1</v>
      </c>
      <c r="AH156" s="176">
        <f t="shared" si="64"/>
        <v>5</v>
      </c>
      <c r="AI156" s="225">
        <f t="shared" si="65"/>
        <v>-0.84596492845201321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7">
        <v>55.741</v>
      </c>
      <c r="C157" s="390"/>
      <c r="D157" s="393">
        <f t="shared" si="48"/>
        <v>56.619563254423191</v>
      </c>
      <c r="E157" s="385">
        <f t="shared" si="69"/>
        <v>58.764217585642243</v>
      </c>
      <c r="F157" s="385">
        <f t="shared" si="49"/>
        <v>58.76828057791041</v>
      </c>
      <c r="G157" s="110">
        <f t="shared" si="70"/>
        <v>0.92390849822931831</v>
      </c>
      <c r="H157" s="414" t="b">
        <f>Wh_hp&gt;='2019'!Maxi_hp</f>
        <v>1</v>
      </c>
      <c r="I157" s="380">
        <f>IF(H157,Wh_hp,'2019'!Maxi_hp)</f>
        <v>58.76828057791041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1.5516955693835377E-2</v>
      </c>
      <c r="M157" s="845"/>
      <c r="N157" s="845"/>
      <c r="O157" s="48">
        <f>IF(t&lt;Tnet,'2019'!Resal+('2019'!Salim-'2019'!Resal)*(1-EXP(('2019'!Tnet-t)/('2019'!Tau_j))),Resal+(Salim-Resal)*(1-EXP((Tnet-t)/(Tau_j))))*Salcycl</f>
        <v>3.6495922507492888E-2</v>
      </c>
      <c r="P157" s="169">
        <f>(INDEX(Models!$BJ157:$BT157,,T157)*(1-R157)+INDEX(Models!$BJ157:$BT157,,T157+1)*R157-ERP_i)*Q157*Ramure*Pc/MaxiM</f>
        <v>7.7566595095983974E-5</v>
      </c>
      <c r="Q157" s="305">
        <f t="shared" si="51"/>
        <v>0.5</v>
      </c>
      <c r="R157" s="177">
        <f t="shared" si="52"/>
        <v>0.15850340287975906</v>
      </c>
      <c r="S157" s="811">
        <f t="shared" si="53"/>
        <v>-1</v>
      </c>
      <c r="T157" s="176">
        <f t="shared" si="54"/>
        <v>5</v>
      </c>
      <c r="U157" s="251">
        <f t="shared" si="55"/>
        <v>-0.84149659712024094</v>
      </c>
      <c r="V157" s="383">
        <f t="shared" si="56"/>
        <v>60.331223420449859</v>
      </c>
      <c r="W157" s="402"/>
      <c r="X157" s="157">
        <f t="shared" si="57"/>
        <v>43973</v>
      </c>
      <c r="Y157" s="385">
        <f t="shared" si="58"/>
        <v>55.741</v>
      </c>
      <c r="Z157" s="385">
        <f t="shared" si="59"/>
        <v>56.619563254423191</v>
      </c>
      <c r="AA157" s="386">
        <f t="shared" si="60"/>
        <v>58.764217585642243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3.6495922507492888E-2</v>
      </c>
      <c r="AD157" s="231">
        <f>(INDEX(Models!$BJ157:$BT157,,AH157)*(1-AF157)+INDEX(Models!$BJ157:$BT157,,AH157+1)*AF157-ERP_i)*AE157*Ramure*Pc/MaxiM</f>
        <v>7.7566595095983974E-5</v>
      </c>
      <c r="AE157" s="305">
        <f t="shared" si="62"/>
        <v>0.5</v>
      </c>
      <c r="AF157" s="177">
        <f t="shared" si="63"/>
        <v>0.15850340287975906</v>
      </c>
      <c r="AG157" s="811">
        <f t="shared" si="71"/>
        <v>-1</v>
      </c>
      <c r="AH157" s="176">
        <f t="shared" si="64"/>
        <v>5</v>
      </c>
      <c r="AI157" s="225">
        <f t="shared" si="65"/>
        <v>-0.84149659712024094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7">
        <v>17.707000000000001</v>
      </c>
      <c r="C158" s="390"/>
      <c r="D158" s="393">
        <f t="shared" si="48"/>
        <v>17.986483301719137</v>
      </c>
      <c r="E158" s="385">
        <f t="shared" si="69"/>
        <v>18.669718185801312</v>
      </c>
      <c r="F158" s="385">
        <f t="shared" si="49"/>
        <v>18.669718185801312</v>
      </c>
      <c r="G158" s="110">
        <f t="shared" si="70"/>
        <v>0.293367629334575</v>
      </c>
      <c r="H158" s="414" t="b">
        <f>Wh_hp&gt;='2019'!Maxi_hp</f>
        <v>1</v>
      </c>
      <c r="I158" s="380">
        <f>IF(H158,Wh_hp,'2019'!Maxi_hp)</f>
        <v>18.669718185801312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1.5538518399114909E-2</v>
      </c>
      <c r="M158" s="845"/>
      <c r="N158" s="845"/>
      <c r="O158" s="48">
        <f>IF(t&lt;Tnet,'2019'!Resal+('2019'!Salim-'2019'!Resal)*(1-EXP(('2019'!Tnet-t)/('2019'!Tau_j))),Resal+(Salim-Resal)*(1-EXP((Tnet-t)/(Tau_j))))*Salcycl</f>
        <v>3.6595886305439168E-2</v>
      </c>
      <c r="P158" s="169">
        <f>(INDEX(Models!$BJ158:$BT158,,T158)*(1-R158)+INDEX(Models!$BJ158:$BT158,,T158+1)*R158-ERP_i)*Q158*Ramure*Pc/MaxiM</f>
        <v>7.5584453494646458E-5</v>
      </c>
      <c r="Q158" s="305">
        <f t="shared" si="51"/>
        <v>0.5</v>
      </c>
      <c r="R158" s="177">
        <f t="shared" si="52"/>
        <v>0.16303718241058862</v>
      </c>
      <c r="S158" s="811">
        <f t="shared" si="53"/>
        <v>-1</v>
      </c>
      <c r="T158" s="176">
        <f t="shared" si="54"/>
        <v>5</v>
      </c>
      <c r="U158" s="251">
        <f t="shared" si="55"/>
        <v>-0.83696281758941138</v>
      </c>
      <c r="V158" s="383">
        <f t="shared" si="56"/>
        <v>60.353153707661853</v>
      </c>
      <c r="W158" s="402"/>
      <c r="X158" s="157">
        <f t="shared" si="57"/>
        <v>43974</v>
      </c>
      <c r="Y158" s="385">
        <f t="shared" si="58"/>
        <v>17.707000000000001</v>
      </c>
      <c r="Z158" s="385">
        <f t="shared" si="59"/>
        <v>17.986483301719137</v>
      </c>
      <c r="AA158" s="386">
        <f t="shared" si="60"/>
        <v>18.669718185801312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3.6595886305439168E-2</v>
      </c>
      <c r="AD158" s="231">
        <f>(INDEX(Models!$BJ158:$BT158,,AH158)*(1-AF158)+INDEX(Models!$BJ158:$BT158,,AH158+1)*AF158-ERP_i)*AE158*Ramure*Pc/MaxiM</f>
        <v>7.5584453494646458E-5</v>
      </c>
      <c r="AE158" s="305">
        <f t="shared" si="62"/>
        <v>0.5</v>
      </c>
      <c r="AF158" s="177">
        <f t="shared" si="63"/>
        <v>0.16303718241058862</v>
      </c>
      <c r="AG158" s="811">
        <f t="shared" si="71"/>
        <v>-1</v>
      </c>
      <c r="AH158" s="176">
        <f t="shared" si="64"/>
        <v>5</v>
      </c>
      <c r="AI158" s="225">
        <f t="shared" si="65"/>
        <v>-0.83696281758941138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7">
        <v>56.603000000000002</v>
      </c>
      <c r="C159" s="390"/>
      <c r="D159" s="393">
        <f t="shared" si="48"/>
        <v>57.497668355774501</v>
      </c>
      <c r="E159" s="385">
        <f t="shared" si="69"/>
        <v>59.687972683132472</v>
      </c>
      <c r="F159" s="385">
        <f t="shared" si="49"/>
        <v>59.691953884707942</v>
      </c>
      <c r="G159" s="110">
        <f t="shared" si="70"/>
        <v>0.93756573022027312</v>
      </c>
      <c r="H159" s="414" t="b">
        <f>Wh_hp&gt;='2019'!Maxi_hp</f>
        <v>1</v>
      </c>
      <c r="I159" s="380">
        <f>IF(H159,Wh_hp,'2019'!Maxi_hp)</f>
        <v>59.691953884707942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1.5560080632115669E-2</v>
      </c>
      <c r="M159" s="845"/>
      <c r="N159" s="845"/>
      <c r="O159" s="48">
        <f>IF(t&lt;Tnet,'2019'!Resal+('2019'!Salim-'2019'!Resal)*(1-EXP(('2019'!Tnet-t)/('2019'!Tau_j))),Resal+(Salim-Resal)*(1-EXP((Tnet-t)/(Tau_j))))*Salcycl</f>
        <v>3.6695907548840868E-2</v>
      </c>
      <c r="P159" s="169">
        <f>(INDEX(Models!$BJ159:$BT159,,T159)*(1-R159)+INDEX(Models!$BJ159:$BT159,,T159+1)*R159-ERP_i)*Q159*Ramure*Pc/MaxiM</f>
        <v>7.3226331307058807E-5</v>
      </c>
      <c r="Q159" s="305">
        <f t="shared" si="51"/>
        <v>0.5</v>
      </c>
      <c r="R159" s="177">
        <f t="shared" si="52"/>
        <v>0.16763394782830565</v>
      </c>
      <c r="S159" s="811">
        <f t="shared" si="53"/>
        <v>-1</v>
      </c>
      <c r="T159" s="176">
        <f t="shared" si="54"/>
        <v>5</v>
      </c>
      <c r="U159" s="251">
        <f t="shared" si="55"/>
        <v>-0.83236605217169435</v>
      </c>
      <c r="V159" s="383">
        <f t="shared" si="56"/>
        <v>60.371906205865692</v>
      </c>
      <c r="W159" s="402"/>
      <c r="X159" s="157">
        <f t="shared" si="57"/>
        <v>43975</v>
      </c>
      <c r="Y159" s="385">
        <f t="shared" si="58"/>
        <v>56.603000000000002</v>
      </c>
      <c r="Z159" s="385">
        <f t="shared" si="59"/>
        <v>57.497668355774501</v>
      </c>
      <c r="AA159" s="386">
        <f t="shared" si="60"/>
        <v>59.687972683132472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3.6695907548840868E-2</v>
      </c>
      <c r="AD159" s="231">
        <f>(INDEX(Models!$BJ159:$BT159,,AH159)*(1-AF159)+INDEX(Models!$BJ159:$BT159,,AH159+1)*AF159-ERP_i)*AE159*Ramure*Pc/MaxiM</f>
        <v>7.3226331307058807E-5</v>
      </c>
      <c r="AE159" s="305">
        <f t="shared" si="62"/>
        <v>0.5</v>
      </c>
      <c r="AF159" s="177">
        <f t="shared" si="63"/>
        <v>0.16763394782830565</v>
      </c>
      <c r="AG159" s="811">
        <f t="shared" si="71"/>
        <v>-1</v>
      </c>
      <c r="AH159" s="176">
        <f t="shared" si="64"/>
        <v>5</v>
      </c>
      <c r="AI159" s="225">
        <f t="shared" si="65"/>
        <v>-0.83236605217169435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7">
        <v>58.776000000000003</v>
      </c>
      <c r="C160" s="390"/>
      <c r="D160" s="393">
        <f t="shared" si="48"/>
        <v>59.706322566828369</v>
      </c>
      <c r="E160" s="385">
        <f t="shared" si="69"/>
        <v>61.987200848384177</v>
      </c>
      <c r="F160" s="385">
        <f t="shared" si="49"/>
        <v>61.991403277896538</v>
      </c>
      <c r="G160" s="110">
        <f t="shared" si="70"/>
        <v>0.97330835974249041</v>
      </c>
      <c r="H160" s="414" t="b">
        <f>Wh_hp&gt;='2019'!Maxi_hp</f>
        <v>1</v>
      </c>
      <c r="I160" s="380">
        <f>IF(H160,Wh_hp,'2019'!Maxi_hp)</f>
        <v>61.991403277896538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1.5581642392848316E-2</v>
      </c>
      <c r="M160" s="845"/>
      <c r="N160" s="845"/>
      <c r="O160" s="48">
        <f>IF(t&lt;Tnet,'2019'!Resal+('2019'!Salim-'2019'!Resal)*(1-EXP(('2019'!Tnet-t)/('2019'!Tau_j))),Resal+(Salim-Resal)*(1-EXP((Tnet-t)/(Tau_j))))*Salcycl</f>
        <v>3.6795955460783888E-2</v>
      </c>
      <c r="P160" s="169">
        <f>(INDEX(Models!$BJ160:$BT160,,T160)*(1-R160)+INDEX(Models!$BJ160:$BT160,,T160+1)*R160-ERP_i)*Q160*Ramure*Pc/MaxiM</f>
        <v>7.0477634092775421E-5</v>
      </c>
      <c r="Q160" s="305">
        <f t="shared" si="51"/>
        <v>0.5</v>
      </c>
      <c r="R160" s="177">
        <f t="shared" si="52"/>
        <v>0.17229106016913798</v>
      </c>
      <c r="S160" s="811">
        <f t="shared" si="53"/>
        <v>-1</v>
      </c>
      <c r="T160" s="176">
        <f t="shared" si="54"/>
        <v>5</v>
      </c>
      <c r="U160" s="251">
        <f t="shared" si="55"/>
        <v>-0.82770893983086202</v>
      </c>
      <c r="V160" s="383">
        <f t="shared" si="56"/>
        <v>60.387688509190639</v>
      </c>
      <c r="W160" s="402"/>
      <c r="X160" s="157">
        <f t="shared" si="57"/>
        <v>43976</v>
      </c>
      <c r="Y160" s="385">
        <f t="shared" si="58"/>
        <v>58.776000000000003</v>
      </c>
      <c r="Z160" s="385">
        <f t="shared" si="59"/>
        <v>59.706322566828369</v>
      </c>
      <c r="AA160" s="386">
        <f t="shared" si="60"/>
        <v>61.987200848384177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3.6795955460783888E-2</v>
      </c>
      <c r="AD160" s="231">
        <f>(INDEX(Models!$BJ160:$BT160,,AH160)*(1-AF160)+INDEX(Models!$BJ160:$BT160,,AH160+1)*AF160-ERP_i)*AE160*Ramure*Pc/MaxiM</f>
        <v>7.0477634092775421E-5</v>
      </c>
      <c r="AE160" s="305">
        <f t="shared" si="62"/>
        <v>0.5</v>
      </c>
      <c r="AF160" s="177">
        <f t="shared" si="63"/>
        <v>0.17229106016913798</v>
      </c>
      <c r="AG160" s="811">
        <f t="shared" si="71"/>
        <v>-1</v>
      </c>
      <c r="AH160" s="176">
        <f t="shared" si="64"/>
        <v>5</v>
      </c>
      <c r="AI160" s="225">
        <f t="shared" si="65"/>
        <v>-0.82770893983086202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7">
        <v>58.795999999999999</v>
      </c>
      <c r="C161" s="390"/>
      <c r="D161" s="393">
        <f t="shared" si="48"/>
        <v>59.727947327620193</v>
      </c>
      <c r="E161" s="385">
        <f t="shared" si="69"/>
        <v>62.016093012701354</v>
      </c>
      <c r="F161" s="385">
        <f t="shared" si="49"/>
        <v>62.020109951481395</v>
      </c>
      <c r="G161" s="110">
        <f t="shared" si="70"/>
        <v>0.97342980811661217</v>
      </c>
      <c r="H161" s="414" t="b">
        <f>Wh_hp&gt;='2019'!Maxi_hp</f>
        <v>1</v>
      </c>
      <c r="I161" s="380">
        <f>IF(H161,Wh_hp,'2019'!Maxi_hp)</f>
        <v>62.020109951481395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1.5603203681323063E-2</v>
      </c>
      <c r="M161" s="845"/>
      <c r="N161" s="845"/>
      <c r="O161" s="48">
        <f>IF(t&lt;Tnet,'2019'!Resal+('2019'!Salim-'2019'!Resal)*(1-EXP(('2019'!Tnet-t)/('2019'!Tau_j))),Resal+(Salim-Resal)*(1-EXP((Tnet-t)/(Tau_j))))*Salcycl</f>
        <v>3.6895998666225713E-2</v>
      </c>
      <c r="P161" s="169">
        <f>(INDEX(Models!$BJ161:$BT161,,T161)*(1-R161)+INDEX(Models!$BJ161:$BT161,,T161+1)*R161-ERP_i)*Q161*Ramure*Pc/MaxiM</f>
        <v>6.7323514779743727E-5</v>
      </c>
      <c r="Q161" s="305">
        <f t="shared" si="51"/>
        <v>0.5</v>
      </c>
      <c r="R161" s="177">
        <f t="shared" si="52"/>
        <v>0.17700570756011391</v>
      </c>
      <c r="S161" s="811">
        <f t="shared" si="53"/>
        <v>-1</v>
      </c>
      <c r="T161" s="176">
        <f t="shared" si="54"/>
        <v>5</v>
      </c>
      <c r="U161" s="251">
        <f t="shared" si="55"/>
        <v>-0.82299429243988609</v>
      </c>
      <c r="V161" s="383">
        <f t="shared" si="56"/>
        <v>60.400708161201017</v>
      </c>
      <c r="W161" s="402"/>
      <c r="X161" s="157">
        <f t="shared" si="57"/>
        <v>43977</v>
      </c>
      <c r="Y161" s="385">
        <f t="shared" si="58"/>
        <v>58.795999999999999</v>
      </c>
      <c r="Z161" s="385">
        <f t="shared" si="59"/>
        <v>59.727947327620193</v>
      </c>
      <c r="AA161" s="386">
        <f t="shared" si="60"/>
        <v>62.016093012701354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3.6895998666225713E-2</v>
      </c>
      <c r="AD161" s="231">
        <f>(INDEX(Models!$BJ161:$BT161,,AH161)*(1-AF161)+INDEX(Models!$BJ161:$BT161,,AH161+1)*AF161-ERP_i)*AE161*Ramure*Pc/MaxiM</f>
        <v>6.7323514779743727E-5</v>
      </c>
      <c r="AE161" s="305">
        <f t="shared" si="62"/>
        <v>0.5</v>
      </c>
      <c r="AF161" s="177">
        <f t="shared" si="63"/>
        <v>0.17700570756011391</v>
      </c>
      <c r="AG161" s="811">
        <f t="shared" si="71"/>
        <v>-1</v>
      </c>
      <c r="AH161" s="176">
        <f t="shared" si="64"/>
        <v>5</v>
      </c>
      <c r="AI161" s="225">
        <f t="shared" si="65"/>
        <v>-0.82299429243988609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7">
        <v>58.1</v>
      </c>
      <c r="C162" s="390"/>
      <c r="D162" s="393">
        <f t="shared" si="48"/>
        <v>59.022208101714696</v>
      </c>
      <c r="E162" s="385">
        <f t="shared" si="69"/>
        <v>61.28968148219662</v>
      </c>
      <c r="F162" s="385">
        <f t="shared" si="49"/>
        <v>61.293375317013549</v>
      </c>
      <c r="G162" s="110">
        <f t="shared" si="70"/>
        <v>0.9617392779902092</v>
      </c>
      <c r="H162" s="414" t="b">
        <f>Wh_hp&gt;='2019'!Maxi_hp</f>
        <v>1</v>
      </c>
      <c r="I162" s="380">
        <f>IF(H162,Wh_hp,'2019'!Maxi_hp)</f>
        <v>61.293375317013549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1.5624764497550236E-2</v>
      </c>
      <c r="M162" s="845"/>
      <c r="N162" s="845"/>
      <c r="O162" s="48">
        <f>IF(t&lt;Tnet,'2019'!Resal+('2019'!Salim-'2019'!Resal)*(1-EXP(('2019'!Tnet-t)/('2019'!Tau_j))),Resal+(Salim-Resal)*(1-EXP((Tnet-t)/(Tau_j))))*Salcycl</f>
        <v>3.6996005292352169E-2</v>
      </c>
      <c r="P162" s="169">
        <f>(INDEX(Models!$BJ162:$BT162,,T162)*(1-R162)+INDEX(Models!$BJ162:$BT162,,T162+1)*R162-ERP_i)*Q162*Ramure*Pc/MaxiM</f>
        <v>6.3748924199501692E-5</v>
      </c>
      <c r="Q162" s="305">
        <f t="shared" si="51"/>
        <v>0.5</v>
      </c>
      <c r="R162" s="177">
        <f t="shared" si="52"/>
        <v>0.18177490994165624</v>
      </c>
      <c r="S162" s="811">
        <f t="shared" si="53"/>
        <v>-1</v>
      </c>
      <c r="T162" s="176">
        <f t="shared" si="54"/>
        <v>5</v>
      </c>
      <c r="U162" s="251">
        <f t="shared" si="55"/>
        <v>-0.81822509005834376</v>
      </c>
      <c r="V162" s="383">
        <f t="shared" si="56"/>
        <v>60.411172644748021</v>
      </c>
      <c r="W162" s="402"/>
      <c r="X162" s="157">
        <f t="shared" si="57"/>
        <v>43978</v>
      </c>
      <c r="Y162" s="385">
        <f t="shared" si="58"/>
        <v>58.1</v>
      </c>
      <c r="Z162" s="385">
        <f t="shared" si="59"/>
        <v>59.022208101714696</v>
      </c>
      <c r="AA162" s="386">
        <f t="shared" si="60"/>
        <v>61.28968148219662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3.6996005292352169E-2</v>
      </c>
      <c r="AD162" s="231">
        <f>(INDEX(Models!$BJ162:$BT162,,AH162)*(1-AF162)+INDEX(Models!$BJ162:$BT162,,AH162+1)*AF162-ERP_i)*AE162*Ramure*Pc/MaxiM</f>
        <v>6.3748924199501692E-5</v>
      </c>
      <c r="AE162" s="305">
        <f t="shared" si="62"/>
        <v>0.5</v>
      </c>
      <c r="AF162" s="177">
        <f t="shared" si="63"/>
        <v>0.18177490994165624</v>
      </c>
      <c r="AG162" s="811">
        <f t="shared" si="71"/>
        <v>-1</v>
      </c>
      <c r="AH162" s="176">
        <f t="shared" si="64"/>
        <v>5</v>
      </c>
      <c r="AI162" s="225">
        <f t="shared" si="65"/>
        <v>-0.81822509005834376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7">
        <v>58.164999999999999</v>
      </c>
      <c r="C163" s="390"/>
      <c r="D163" s="393">
        <f t="shared" si="48"/>
        <v>59.08953404439383</v>
      </c>
      <c r="E163" s="385">
        <f t="shared" si="69"/>
        <v>61.365962288126262</v>
      </c>
      <c r="F163" s="385">
        <f t="shared" si="49"/>
        <v>61.369433048161632</v>
      </c>
      <c r="G163" s="110">
        <f t="shared" si="70"/>
        <v>0.96269077269053571</v>
      </c>
      <c r="H163" s="414" t="b">
        <f>Wh_hp&gt;='2019'!Maxi_hp</f>
        <v>1</v>
      </c>
      <c r="I163" s="380">
        <f>IF(H163,Wh_hp,'2019'!Maxi_hp)</f>
        <v>61.369433048161632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1.564632484154016E-2</v>
      </c>
      <c r="M163" s="845"/>
      <c r="N163" s="845"/>
      <c r="O163" s="48">
        <f>IF(t&lt;Tnet,'2019'!Resal+('2019'!Salim-'2019'!Resal)*(1-EXP(('2019'!Tnet-t)/('2019'!Tau_j))),Resal+(Salim-Resal)*(1-EXP((Tnet-t)/(Tau_j))))*Salcycl</f>
        <v>3.709594307417715E-2</v>
      </c>
      <c r="P163" s="169">
        <f>(INDEX(Models!$BJ163:$BT163,,T163)*(1-R163)+INDEX(Models!$BJ163:$BT163,,T163+1)*R163-ERP_i)*Q163*Ramure*Pc/MaxiM</f>
        <v>5.9738949958095208E-5</v>
      </c>
      <c r="Q163" s="305">
        <f t="shared" si="51"/>
        <v>0.5</v>
      </c>
      <c r="R163" s="177">
        <f t="shared" si="52"/>
        <v>0.18659552477287822</v>
      </c>
      <c r="S163" s="811">
        <f t="shared" si="53"/>
        <v>-1</v>
      </c>
      <c r="T163" s="176">
        <f t="shared" si="54"/>
        <v>5</v>
      </c>
      <c r="U163" s="251">
        <f t="shared" si="55"/>
        <v>-0.81340447522712178</v>
      </c>
      <c r="V163" s="383">
        <f t="shared" si="56"/>
        <v>60.419001050205729</v>
      </c>
      <c r="W163" s="402"/>
      <c r="X163" s="157">
        <f t="shared" si="57"/>
        <v>43979</v>
      </c>
      <c r="Y163" s="385">
        <f t="shared" si="58"/>
        <v>58.164999999999999</v>
      </c>
      <c r="Z163" s="385">
        <f t="shared" si="59"/>
        <v>59.08953404439383</v>
      </c>
      <c r="AA163" s="386">
        <f t="shared" si="60"/>
        <v>61.365962288126262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3.709594307417715E-2</v>
      </c>
      <c r="AD163" s="231">
        <f>(INDEX(Models!$BJ163:$BT163,,AH163)*(1-AF163)+INDEX(Models!$BJ163:$BT163,,AH163+1)*AF163-ERP_i)*AE163*Ramure*Pc/MaxiM</f>
        <v>5.9738949958095208E-5</v>
      </c>
      <c r="AE163" s="305">
        <f t="shared" si="62"/>
        <v>0.5</v>
      </c>
      <c r="AF163" s="177">
        <f t="shared" si="63"/>
        <v>0.18659552477287822</v>
      </c>
      <c r="AG163" s="811">
        <f t="shared" si="71"/>
        <v>-1</v>
      </c>
      <c r="AH163" s="176">
        <f t="shared" si="64"/>
        <v>5</v>
      </c>
      <c r="AI163" s="225">
        <f t="shared" si="65"/>
        <v>-0.81340447522712178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7">
        <v>54.029000000000003</v>
      </c>
      <c r="C164" s="390"/>
      <c r="D164" s="393">
        <f t="shared" si="48"/>
        <v>54.888994436865964</v>
      </c>
      <c r="E164" s="385">
        <f t="shared" si="69"/>
        <v>57.009507505438279</v>
      </c>
      <c r="F164" s="385">
        <f t="shared" si="49"/>
        <v>57.012195181562404</v>
      </c>
      <c r="G164" s="110">
        <f t="shared" si="70"/>
        <v>0.89415864072429718</v>
      </c>
      <c r="H164" s="414" t="b">
        <f>Wh_hp&gt;='2019'!Maxi_hp</f>
        <v>0</v>
      </c>
      <c r="I164" s="380">
        <f>IF(H164,Wh_hp,'2019'!Maxi_hp)</f>
        <v>57.223999787813696</v>
      </c>
      <c r="J164" s="85">
        <f>IF(H164,An,'2019'!An_max)</f>
        <v>2019</v>
      </c>
      <c r="K164" s="197">
        <f t="shared" si="50"/>
        <v>43980</v>
      </c>
      <c r="L164" s="147">
        <f>IF(t&lt;Tvie,1-EXP((T0-t)*PertePVj)+'2019'!Pspv,1-EXP((T0-t)*PertePVj)+Pspv)</f>
        <v>1.5667884713303271E-2</v>
      </c>
      <c r="M164" s="845"/>
      <c r="N164" s="845"/>
      <c r="O164" s="48">
        <f>IF(t&lt;Tnet,'2019'!Resal+('2019'!Salim-'2019'!Resal)*(1-EXP(('2019'!Tnet-t)/('2019'!Tau_j))),Resal+(Salim-Resal)*(1-EXP((Tnet-t)/(Tau_j))))*Salcycl</f>
        <v>3.7195779464855631E-2</v>
      </c>
      <c r="P164" s="169">
        <f>(INDEX(Models!$BJ164:$BT164,,T164)*(1-R164)+INDEX(Models!$BJ164:$BT164,,T164+1)*R164-ERP_i)*Q164*Ramure*Pc/MaxiM</f>
        <v>5.5539159654289441E-5</v>
      </c>
      <c r="Q164" s="305">
        <f t="shared" si="51"/>
        <v>0.5</v>
      </c>
      <c r="R164" s="177">
        <f t="shared" si="52"/>
        <v>0.19146425371296583</v>
      </c>
      <c r="S164" s="811">
        <f t="shared" si="53"/>
        <v>-1</v>
      </c>
      <c r="T164" s="176">
        <f t="shared" si="54"/>
        <v>5</v>
      </c>
      <c r="U164" s="251">
        <f t="shared" si="55"/>
        <v>-0.80853574628703417</v>
      </c>
      <c r="V164" s="383">
        <f t="shared" si="56"/>
        <v>60.423893294313778</v>
      </c>
      <c r="W164" s="402"/>
      <c r="X164" s="157">
        <f t="shared" si="57"/>
        <v>43980</v>
      </c>
      <c r="Y164" s="385">
        <f t="shared" si="58"/>
        <v>54.029000000000003</v>
      </c>
      <c r="Z164" s="385">
        <f t="shared" si="59"/>
        <v>54.888994436865964</v>
      </c>
      <c r="AA164" s="386">
        <f t="shared" si="60"/>
        <v>57.009507505438279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3.7195779464855631E-2</v>
      </c>
      <c r="AD164" s="231">
        <f>(INDEX(Models!$BJ164:$BT164,,AH164)*(1-AF164)+INDEX(Models!$BJ164:$BT164,,AH164+1)*AF164-ERP_i)*AE164*Ramure*Pc/MaxiM</f>
        <v>5.5539159654289441E-5</v>
      </c>
      <c r="AE164" s="305">
        <f t="shared" si="62"/>
        <v>0.5</v>
      </c>
      <c r="AF164" s="177">
        <f t="shared" si="63"/>
        <v>0.19146425371296583</v>
      </c>
      <c r="AG164" s="811">
        <f t="shared" si="71"/>
        <v>-1</v>
      </c>
      <c r="AH164" s="176">
        <f t="shared" si="64"/>
        <v>5</v>
      </c>
      <c r="AI164" s="225">
        <f t="shared" si="65"/>
        <v>-0.80853574628703417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7">
        <v>59.581000000000003</v>
      </c>
      <c r="C165" s="390"/>
      <c r="D165" s="393">
        <f t="shared" si="48"/>
        <v>60.530692923739082</v>
      </c>
      <c r="E165" s="385">
        <f t="shared" si="69"/>
        <v>62.875671378149789</v>
      </c>
      <c r="F165" s="385">
        <f t="shared" si="49"/>
        <v>62.878853356113552</v>
      </c>
      <c r="G165" s="110">
        <f t="shared" si="70"/>
        <v>0.98601948304343046</v>
      </c>
      <c r="H165" s="414" t="b">
        <f>Wh_hp&gt;='2019'!Maxi_hp</f>
        <v>0</v>
      </c>
      <c r="I165" s="380">
        <f>IF(H165,Wh_hp,'2019'!Maxi_hp)</f>
        <v>63.126585406149495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1.5689444112849782E-2</v>
      </c>
      <c r="M165" s="845"/>
      <c r="N165" s="845"/>
      <c r="O165" s="48">
        <f>IF(t&lt;Tnet,'2019'!Resal+('2019'!Salim-'2019'!Resal)*(1-EXP(('2019'!Tnet-t)/('2019'!Tau_j))),Resal+(Salim-Resal)*(1-EXP((Tnet-t)/(Tau_j))))*Salcycl</f>
        <v>3.7295481750126112E-2</v>
      </c>
      <c r="P165" s="169">
        <f>(INDEX(Models!$BJ165:$BT165,,T165)*(1-R165)+INDEX(Models!$BJ165:$BT165,,T165+1)*R165-ERP_i)*Q165*Ramure*Pc/MaxiM</f>
        <v>5.1636108021048667E-5</v>
      </c>
      <c r="Q165" s="305">
        <f t="shared" si="51"/>
        <v>0.5</v>
      </c>
      <c r="R165" s="177">
        <f t="shared" si="52"/>
        <v>0.19637765026259246</v>
      </c>
      <c r="S165" s="811">
        <f t="shared" si="53"/>
        <v>-1</v>
      </c>
      <c r="T165" s="176">
        <f t="shared" si="54"/>
        <v>5</v>
      </c>
      <c r="U165" s="251">
        <f t="shared" si="55"/>
        <v>-0.80362234973740754</v>
      </c>
      <c r="V165" s="383">
        <f t="shared" si="56"/>
        <v>60.42572137871764</v>
      </c>
      <c r="W165" s="402"/>
      <c r="X165" s="157">
        <f t="shared" si="57"/>
        <v>43981</v>
      </c>
      <c r="Y165" s="385">
        <f t="shared" si="58"/>
        <v>59.581000000000003</v>
      </c>
      <c r="Z165" s="385">
        <f t="shared" si="59"/>
        <v>60.530692923739082</v>
      </c>
      <c r="AA165" s="386">
        <f t="shared" si="60"/>
        <v>62.875671378149789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3.7295481750126112E-2</v>
      </c>
      <c r="AD165" s="231">
        <f>(INDEX(Models!$BJ165:$BT165,,AH165)*(1-AF165)+INDEX(Models!$BJ165:$BT165,,AH165+1)*AF165-ERP_i)*AE165*Ramure*Pc/MaxiM</f>
        <v>5.1636108021048667E-5</v>
      </c>
      <c r="AE165" s="305">
        <f t="shared" si="62"/>
        <v>0.5</v>
      </c>
      <c r="AF165" s="177">
        <f t="shared" si="63"/>
        <v>0.19637765026259246</v>
      </c>
      <c r="AG165" s="811">
        <f t="shared" si="71"/>
        <v>-1</v>
      </c>
      <c r="AH165" s="176">
        <f t="shared" si="64"/>
        <v>5</v>
      </c>
      <c r="AI165" s="225">
        <f t="shared" si="65"/>
        <v>-0.80362234973740754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7">
        <v>59.365000000000002</v>
      </c>
      <c r="C166" s="390"/>
      <c r="D166" s="393">
        <f t="shared" si="48"/>
        <v>60.31257098612469</v>
      </c>
      <c r="E166" s="385">
        <f t="shared" si="69"/>
        <v>62.65557737772594</v>
      </c>
      <c r="F166" s="385">
        <f t="shared" si="49"/>
        <v>62.658512112155563</v>
      </c>
      <c r="G166" s="110">
        <f t="shared" si="70"/>
        <v>0.98246639098033817</v>
      </c>
      <c r="H166" s="414" t="b">
        <f>Wh_hp&gt;='2019'!Maxi_hp</f>
        <v>0</v>
      </c>
      <c r="I166" s="380">
        <f>IF(H166,Wh_hp,'2019'!Maxi_hp)</f>
        <v>64.729267905613341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1.571100304019013E-2</v>
      </c>
      <c r="M166" s="845"/>
      <c r="N166" s="845"/>
      <c r="O166" s="48">
        <f>IF(t&lt;Tnet,'2019'!Resal+('2019'!Salim-'2019'!Resal)*(1-EXP(('2019'!Tnet-t)/('2019'!Tau_j))),Resal+(Salim-Resal)*(1-EXP((Tnet-t)/(Tau_j))))*Salcycl</f>
        <v>3.7395017166248122E-2</v>
      </c>
      <c r="P166" s="169">
        <f>(INDEX(Models!$BJ166:$BT166,,T166)*(1-R166)+INDEX(Models!$BJ166:$BT166,,T166+1)*R166-ERP_i)*Q166*Ramure*Pc/MaxiM</f>
        <v>4.8040193512064636E-5</v>
      </c>
      <c r="Q166" s="305">
        <f t="shared" si="51"/>
        <v>0.5</v>
      </c>
      <c r="R166" s="177">
        <f t="shared" si="52"/>
        <v>0.20133212833967473</v>
      </c>
      <c r="S166" s="811">
        <f t="shared" si="53"/>
        <v>-1</v>
      </c>
      <c r="T166" s="176">
        <f t="shared" si="54"/>
        <v>5</v>
      </c>
      <c r="U166" s="251">
        <f t="shared" si="55"/>
        <v>-0.79866787166032527</v>
      </c>
      <c r="V166" s="383">
        <f t="shared" si="56"/>
        <v>60.424386128520858</v>
      </c>
      <c r="W166" s="402"/>
      <c r="X166" s="157">
        <f t="shared" si="57"/>
        <v>43982</v>
      </c>
      <c r="Y166" s="385">
        <f t="shared" si="58"/>
        <v>59.365000000000002</v>
      </c>
      <c r="Z166" s="385">
        <f t="shared" si="59"/>
        <v>60.31257098612469</v>
      </c>
      <c r="AA166" s="386">
        <f t="shared" si="60"/>
        <v>62.65557737772594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3.7395017166248122E-2</v>
      </c>
      <c r="AD166" s="231">
        <f>(INDEX(Models!$BJ166:$BT166,,AH166)*(1-AF166)+INDEX(Models!$BJ166:$BT166,,AH166+1)*AF166-ERP_i)*AE166*Ramure*Pc/MaxiM</f>
        <v>4.8040193512064636E-5</v>
      </c>
      <c r="AE166" s="305">
        <f t="shared" si="62"/>
        <v>0.5</v>
      </c>
      <c r="AF166" s="177">
        <f t="shared" si="63"/>
        <v>0.20133212833967473</v>
      </c>
      <c r="AG166" s="811">
        <f t="shared" si="71"/>
        <v>-1</v>
      </c>
      <c r="AH166" s="176">
        <f t="shared" si="64"/>
        <v>5</v>
      </c>
      <c r="AI166" s="225">
        <f t="shared" si="65"/>
        <v>-0.79866787166032527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7">
        <v>31.018999999999998</v>
      </c>
      <c r="C167" s="390"/>
      <c r="D167" s="393">
        <f t="shared" si="48"/>
        <v>31.514808665341185</v>
      </c>
      <c r="E167" s="385">
        <f t="shared" si="69"/>
        <v>32.742466253832511</v>
      </c>
      <c r="F167" s="385">
        <f t="shared" si="49"/>
        <v>32.742913047083832</v>
      </c>
      <c r="G167" s="110">
        <f t="shared" si="70"/>
        <v>0.5133754288466762</v>
      </c>
      <c r="H167" s="414" t="b">
        <f>Wh_hp&gt;='2019'!Maxi_hp</f>
        <v>0</v>
      </c>
      <c r="I167" s="380">
        <f>IF(H167,Wh_hp,'2019'!Maxi_hp)</f>
        <v>63.739845271535835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1.573256149533464E-2</v>
      </c>
      <c r="M167" s="845"/>
      <c r="N167" s="845"/>
      <c r="O167" s="48">
        <f>IF(t&lt;Tnet,'2019'!Resal+('2019'!Salim-'2019'!Resal)*(1-EXP(('2019'!Tnet-t)/('2019'!Tau_j))),Resal+(Salim-Resal)*(1-EXP((Tnet-t)/(Tau_j))))*Salcycl</f>
        <v>3.7494353020754101E-2</v>
      </c>
      <c r="P167" s="169">
        <f>(INDEX(Models!$BJ167:$BT167,,T167)*(1-R167)+INDEX(Models!$BJ167:$BT167,,T167+1)*R167-ERP_i)*Q167*Ramure*Pc/MaxiM</f>
        <v>4.4762095438214002E-5</v>
      </c>
      <c r="Q167" s="305">
        <f t="shared" si="51"/>
        <v>0.5</v>
      </c>
      <c r="R167" s="177">
        <f t="shared" si="52"/>
        <v>0.20632397175408734</v>
      </c>
      <c r="S167" s="811">
        <f t="shared" si="53"/>
        <v>-1</v>
      </c>
      <c r="T167" s="176">
        <f t="shared" si="54"/>
        <v>5</v>
      </c>
      <c r="U167" s="251">
        <f t="shared" si="55"/>
        <v>-0.79367602824591266</v>
      </c>
      <c r="V167" s="383">
        <f t="shared" si="56"/>
        <v>60.419788400623318</v>
      </c>
      <c r="W167" s="402"/>
      <c r="X167" s="157">
        <f t="shared" si="57"/>
        <v>43983</v>
      </c>
      <c r="Y167" s="385">
        <f t="shared" si="58"/>
        <v>31.018999999999998</v>
      </c>
      <c r="Z167" s="385">
        <f t="shared" si="59"/>
        <v>31.514808665341185</v>
      </c>
      <c r="AA167" s="386">
        <f t="shared" si="60"/>
        <v>32.742466253832511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3.7494353020754101E-2</v>
      </c>
      <c r="AD167" s="231">
        <f>(INDEX(Models!$BJ167:$BT167,,AH167)*(1-AF167)+INDEX(Models!$BJ167:$BT167,,AH167+1)*AF167-ERP_i)*AE167*Ramure*Pc/MaxiM</f>
        <v>4.4762095438214002E-5</v>
      </c>
      <c r="AE167" s="305">
        <f t="shared" si="62"/>
        <v>0.5</v>
      </c>
      <c r="AF167" s="177">
        <f t="shared" si="63"/>
        <v>0.20632397175408734</v>
      </c>
      <c r="AG167" s="811">
        <f t="shared" si="71"/>
        <v>-1</v>
      </c>
      <c r="AH167" s="176">
        <f t="shared" si="64"/>
        <v>5</v>
      </c>
      <c r="AI167" s="225">
        <f t="shared" si="65"/>
        <v>-0.79367602824591266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7">
        <v>51.244</v>
      </c>
      <c r="C168" s="390"/>
      <c r="D168" s="393">
        <f t="shared" si="48"/>
        <v>52.064226037540301</v>
      </c>
      <c r="E168" s="385">
        <f t="shared" si="69"/>
        <v>54.097955179371759</v>
      </c>
      <c r="F168" s="385">
        <f t="shared" si="49"/>
        <v>54.099726837934256</v>
      </c>
      <c r="G168" s="110">
        <f t="shared" si="70"/>
        <v>0.84823678169683592</v>
      </c>
      <c r="H168" s="414" t="b">
        <f>Wh_hp&gt;='2019'!Maxi_hp</f>
        <v>1</v>
      </c>
      <c r="I168" s="380">
        <f>IF(H168,Wh_hp,'2019'!Maxi_hp)</f>
        <v>54.099726837934256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1.5754119478293749E-2</v>
      </c>
      <c r="M168" s="845"/>
      <c r="N168" s="845"/>
      <c r="O168" s="48">
        <f>IF(t&lt;Tnet,'2019'!Resal+('2019'!Salim-'2019'!Resal)*(1-EXP(('2019'!Tnet-t)/('2019'!Tau_j))),Resal+(Salim-Resal)*(1-EXP((Tnet-t)/(Tau_j))))*Salcycl</f>
        <v>3.7593456815294635E-2</v>
      </c>
      <c r="P168" s="169">
        <f>(INDEX(Models!$BJ168:$BT168,,T168)*(1-R168)+INDEX(Models!$BJ168:$BT168,,T168+1)*R168-ERP_i)*Q168*Ramure*Pc/MaxiM</f>
        <v>4.1812750280054575E-5</v>
      </c>
      <c r="Q168" s="305">
        <f t="shared" si="51"/>
        <v>0.5</v>
      </c>
      <c r="R168" s="177">
        <f t="shared" si="52"/>
        <v>0.21134934453635923</v>
      </c>
      <c r="S168" s="811">
        <f t="shared" si="53"/>
        <v>-1</v>
      </c>
      <c r="T168" s="176">
        <f t="shared" si="54"/>
        <v>5</v>
      </c>
      <c r="U168" s="251">
        <f t="shared" si="55"/>
        <v>-0.78865065546364077</v>
      </c>
      <c r="V168" s="383">
        <f t="shared" si="56"/>
        <v>60.411829075468688</v>
      </c>
      <c r="W168" s="402"/>
      <c r="X168" s="157">
        <f t="shared" si="57"/>
        <v>43984</v>
      </c>
      <c r="Y168" s="385">
        <f t="shared" si="58"/>
        <v>51.244</v>
      </c>
      <c r="Z168" s="385">
        <f t="shared" si="59"/>
        <v>52.064226037540301</v>
      </c>
      <c r="AA168" s="386">
        <f t="shared" si="60"/>
        <v>54.097955179371759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3.7593456815294635E-2</v>
      </c>
      <c r="AD168" s="231">
        <f>(INDEX(Models!$BJ168:$BT168,,AH168)*(1-AF168)+INDEX(Models!$BJ168:$BT168,,AH168+1)*AF168-ERP_i)*AE168*Ramure*Pc/MaxiM</f>
        <v>4.1812750280054575E-5</v>
      </c>
      <c r="AE168" s="305">
        <f t="shared" si="62"/>
        <v>0.5</v>
      </c>
      <c r="AF168" s="177">
        <f t="shared" si="63"/>
        <v>0.21134934453635923</v>
      </c>
      <c r="AG168" s="811">
        <f t="shared" si="71"/>
        <v>-1</v>
      </c>
      <c r="AH168" s="176">
        <f t="shared" si="64"/>
        <v>5</v>
      </c>
      <c r="AI168" s="225">
        <f t="shared" si="65"/>
        <v>-0.78865065546364077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7">
        <v>27.533999999999999</v>
      </c>
      <c r="C169" s="390"/>
      <c r="D169" s="393">
        <f t="shared" si="48"/>
        <v>27.975329766052166</v>
      </c>
      <c r="E169" s="385">
        <f t="shared" si="69"/>
        <v>29.071085745774344</v>
      </c>
      <c r="F169" s="385">
        <f t="shared" si="49"/>
        <v>29.071339503094674</v>
      </c>
      <c r="G169" s="110">
        <f t="shared" si="70"/>
        <v>0.45584394771975101</v>
      </c>
      <c r="H169" s="414" t="b">
        <f>Wh_hp&gt;='2019'!Maxi_hp</f>
        <v>0</v>
      </c>
      <c r="I169" s="380">
        <f>IF(H169,Wh_hp,'2019'!Maxi_hp)</f>
        <v>59.953702782585943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1.5775676989077669E-2</v>
      </c>
      <c r="M169" s="845"/>
      <c r="N169" s="845"/>
      <c r="O169" s="48">
        <f>IF(t&lt;Tnet,'2019'!Resal+('2019'!Salim-'2019'!Resal)*(1-EXP(('2019'!Tnet-t)/('2019'!Tau_j))),Resal+(Salim-Resal)*(1-EXP((Tnet-t)/(Tau_j))))*Salcycl</f>
        <v>3.7692296369820112E-2</v>
      </c>
      <c r="P169" s="169">
        <f>(INDEX(Models!$BJ169:$BT169,,T169)*(1-R169)+INDEX(Models!$BJ169:$BT169,,T169+1)*R169-ERP_i)*Q169*Ramure*Pc/MaxiM</f>
        <v>3.9203326874317453E-5</v>
      </c>
      <c r="Q169" s="305">
        <f t="shared" si="51"/>
        <v>0.5</v>
      </c>
      <c r="R169" s="177">
        <f t="shared" si="52"/>
        <v>0.21640430206601902</v>
      </c>
      <c r="S169" s="811">
        <f t="shared" si="53"/>
        <v>-1</v>
      </c>
      <c r="T169" s="176">
        <f t="shared" si="54"/>
        <v>5</v>
      </c>
      <c r="U169" s="251">
        <f t="shared" si="55"/>
        <v>-0.78359569793398098</v>
      </c>
      <c r="V169" s="383">
        <f t="shared" si="56"/>
        <v>60.400409052755698</v>
      </c>
      <c r="W169" s="402"/>
      <c r="X169" s="157">
        <f t="shared" si="57"/>
        <v>43985</v>
      </c>
      <c r="Y169" s="385">
        <f t="shared" si="58"/>
        <v>27.533999999999999</v>
      </c>
      <c r="Z169" s="385">
        <f t="shared" si="59"/>
        <v>27.975329766052166</v>
      </c>
      <c r="AA169" s="386">
        <f t="shared" si="60"/>
        <v>29.071085745774344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3.7692296369820112E-2</v>
      </c>
      <c r="AD169" s="231">
        <f>(INDEX(Models!$BJ169:$BT169,,AH169)*(1-AF169)+INDEX(Models!$BJ169:$BT169,,AH169+1)*AF169-ERP_i)*AE169*Ramure*Pc/MaxiM</f>
        <v>3.9203326874317453E-5</v>
      </c>
      <c r="AE169" s="305">
        <f t="shared" si="62"/>
        <v>0.5</v>
      </c>
      <c r="AF169" s="177">
        <f t="shared" si="63"/>
        <v>0.21640430206601902</v>
      </c>
      <c r="AG169" s="811">
        <f t="shared" si="71"/>
        <v>-1</v>
      </c>
      <c r="AH169" s="176">
        <f t="shared" si="64"/>
        <v>5</v>
      </c>
      <c r="AI169" s="225">
        <f t="shared" si="65"/>
        <v>-0.78359569793398098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7">
        <v>35.698999999999998</v>
      </c>
      <c r="C170" s="390"/>
      <c r="D170" s="393">
        <f t="shared" si="48"/>
        <v>36.271997228876529</v>
      </c>
      <c r="E170" s="385">
        <f t="shared" ref="E170:E232" si="72">Wh_pvt/(1-Psa)</f>
        <v>37.696582754305119</v>
      </c>
      <c r="F170" s="385">
        <f t="shared" si="49"/>
        <v>37.69716267195605</v>
      </c>
      <c r="G170" s="110">
        <f t="shared" ref="G170:G232" si="73">+Wh_hp/MaxiM</f>
        <v>0.59117291553749973</v>
      </c>
      <c r="H170" s="414" t="b">
        <f>Wh_hp&gt;='2019'!Maxi_hp</f>
        <v>1</v>
      </c>
      <c r="I170" s="380">
        <f>IF(H170,Wh_hp,'2019'!Maxi_hp)</f>
        <v>37.69716267195605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1.5797234027696727E-2</v>
      </c>
      <c r="M170" s="845"/>
      <c r="N170" s="845"/>
      <c r="O170" s="48">
        <f>IF(t&lt;Tnet,'2019'!Resal+('2019'!Salim-'2019'!Resal)*(1-EXP(('2019'!Tnet-t)/('2019'!Tau_j))),Resal+(Salim-Resal)*(1-EXP((Tnet-t)/(Tau_j))))*Salcycl</f>
        <v>3.7790839947313089E-2</v>
      </c>
      <c r="P170" s="169">
        <f>(INDEX(Models!$BJ170:$BT170,,T170)*(1-R170)+INDEX(Models!$BJ170:$BT170,,T170+1)*R170-ERP_i)*Q170*Ramure*Pc/MaxiM</f>
        <v>3.6981598933431419E-5</v>
      </c>
      <c r="Q170" s="305">
        <f t="shared" si="51"/>
        <v>0.5</v>
      </c>
      <c r="R170" s="177">
        <f t="shared" si="52"/>
        <v>0.22148480293629103</v>
      </c>
      <c r="S170" s="811">
        <f t="shared" si="53"/>
        <v>-1</v>
      </c>
      <c r="T170" s="176">
        <f t="shared" si="54"/>
        <v>5</v>
      </c>
      <c r="U170" s="251">
        <f t="shared" si="55"/>
        <v>-0.77851519706370897</v>
      </c>
      <c r="V170" s="383">
        <f t="shared" si="56"/>
        <v>60.385427042643066</v>
      </c>
      <c r="W170" s="402"/>
      <c r="X170" s="157">
        <f t="shared" si="57"/>
        <v>43986</v>
      </c>
      <c r="Y170" s="385">
        <f t="shared" si="58"/>
        <v>35.698999999999998</v>
      </c>
      <c r="Z170" s="385">
        <f t="shared" si="59"/>
        <v>36.271997228876529</v>
      </c>
      <c r="AA170" s="386">
        <f t="shared" si="60"/>
        <v>37.696582754305119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3.7790839947313089E-2</v>
      </c>
      <c r="AD170" s="231">
        <f>(INDEX(Models!$BJ170:$BT170,,AH170)*(1-AF170)+INDEX(Models!$BJ170:$BT170,,AH170+1)*AF170-ERP_i)*AE170*Ramure*Pc/MaxiM</f>
        <v>3.6981598933431419E-5</v>
      </c>
      <c r="AE170" s="305">
        <f t="shared" si="62"/>
        <v>0.5</v>
      </c>
      <c r="AF170" s="177">
        <f t="shared" si="63"/>
        <v>0.22148480293629103</v>
      </c>
      <c r="AG170" s="811">
        <f t="shared" si="71"/>
        <v>-1</v>
      </c>
      <c r="AH170" s="176">
        <f t="shared" si="64"/>
        <v>5</v>
      </c>
      <c r="AI170" s="225">
        <f t="shared" si="65"/>
        <v>-0.77851519706370897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7">
        <v>24.677</v>
      </c>
      <c r="C171" s="390"/>
      <c r="D171" s="393">
        <f t="shared" si="48"/>
        <v>25.073634574772857</v>
      </c>
      <c r="E171" s="385">
        <f t="shared" si="72"/>
        <v>26.061063686051138</v>
      </c>
      <c r="F171" s="385">
        <f t="shared" si="49"/>
        <v>26.061205514941292</v>
      </c>
      <c r="G171" s="110">
        <f t="shared" si="73"/>
        <v>0.40877225937300321</v>
      </c>
      <c r="H171" s="414" t="b">
        <f>Wh_hp&gt;='2019'!Maxi_hp</f>
        <v>0</v>
      </c>
      <c r="I171" s="380">
        <f>IF(H171,Wh_hp,'2019'!Maxi_hp)</f>
        <v>62.343880742671914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1.5818790594161358E-2</v>
      </c>
      <c r="M171" s="845"/>
      <c r="N171" s="845"/>
      <c r="O171" s="48">
        <f>IF(t&lt;Tnet,'2019'!Resal+('2019'!Salim-'2019'!Resal)*(1-EXP(('2019'!Tnet-t)/('2019'!Tau_j))),Resal+(Salim-Resal)*(1-EXP((Tnet-t)/(Tau_j))))*Salcycl</f>
        <v>3.788905637826253E-2</v>
      </c>
      <c r="P171" s="169">
        <f>(INDEX(Models!$BJ171:$BT171,,T171)*(1-R171)+INDEX(Models!$BJ171:$BT171,,T171+1)*R171-ERP_i)*Q171*Ramure*Pc/MaxiM</f>
        <v>3.5018845371471639E-5</v>
      </c>
      <c r="Q171" s="305">
        <f t="shared" si="51"/>
        <v>0.5</v>
      </c>
      <c r="R171" s="177">
        <f t="shared" si="52"/>
        <v>0.22658672148343095</v>
      </c>
      <c r="S171" s="811">
        <f t="shared" si="53"/>
        <v>-1</v>
      </c>
      <c r="T171" s="176">
        <f t="shared" si="54"/>
        <v>5</v>
      </c>
      <c r="U171" s="251">
        <f t="shared" si="55"/>
        <v>-0.77341327851656905</v>
      </c>
      <c r="V171" s="383">
        <f t="shared" si="56"/>
        <v>60.36679242782251</v>
      </c>
      <c r="W171" s="402"/>
      <c r="X171" s="157">
        <f t="shared" si="57"/>
        <v>43987</v>
      </c>
      <c r="Y171" s="385">
        <f t="shared" si="58"/>
        <v>24.677</v>
      </c>
      <c r="Z171" s="385">
        <f t="shared" si="59"/>
        <v>25.073634574772857</v>
      </c>
      <c r="AA171" s="386">
        <f t="shared" si="60"/>
        <v>26.061063686051138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3.788905637826253E-2</v>
      </c>
      <c r="AD171" s="231">
        <f>(INDEX(Models!$BJ171:$BT171,,AH171)*(1-AF171)+INDEX(Models!$BJ171:$BT171,,AH171+1)*AF171-ERP_i)*AE171*Ramure*Pc/MaxiM</f>
        <v>3.5018845371471639E-5</v>
      </c>
      <c r="AE171" s="305">
        <f t="shared" si="62"/>
        <v>0.5</v>
      </c>
      <c r="AF171" s="177">
        <f t="shared" si="63"/>
        <v>0.22658672148343095</v>
      </c>
      <c r="AG171" s="811">
        <f t="shared" si="71"/>
        <v>-1</v>
      </c>
      <c r="AH171" s="176">
        <f t="shared" si="64"/>
        <v>5</v>
      </c>
      <c r="AI171" s="225">
        <f t="shared" si="65"/>
        <v>-0.77341327851656905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7">
        <v>27.04</v>
      </c>
      <c r="C172" s="390"/>
      <c r="D172" s="393">
        <f t="shared" si="48"/>
        <v>27.475216962019644</v>
      </c>
      <c r="E172" s="385">
        <f t="shared" si="72"/>
        <v>28.560128126818856</v>
      </c>
      <c r="F172" s="385">
        <f t="shared" si="49"/>
        <v>28.560329487216588</v>
      </c>
      <c r="G172" s="110">
        <f t="shared" si="73"/>
        <v>0.44808278385221095</v>
      </c>
      <c r="H172" s="414" t="b">
        <f>Wh_hp&gt;='2019'!Maxi_hp</f>
        <v>1</v>
      </c>
      <c r="I172" s="380">
        <f>IF(H172,Wh_hp,'2019'!Maxi_hp)</f>
        <v>28.560329487216588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1.5840346688481777E-2</v>
      </c>
      <c r="M172" s="845"/>
      <c r="N172" s="845"/>
      <c r="O172" s="48">
        <f>IF(t&lt;Tnet,'2019'!Resal+('2019'!Salim-'2019'!Resal)*(1-EXP(('2019'!Tnet-t)/('2019'!Tau_j))),Resal+(Salim-Resal)*(1-EXP((Tnet-t)/(Tau_j))))*Salcycl</f>
        <v>3.7986915184055101E-2</v>
      </c>
      <c r="P172" s="169">
        <f>(INDEX(Models!$BJ172:$BT172,,T172)*(1-R172)+INDEX(Models!$BJ172:$BT172,,T172+1)*R172-ERP_i)*Q172*Ramure*Pc/MaxiM</f>
        <v>3.3324971658216961E-5</v>
      </c>
      <c r="Q172" s="305">
        <f t="shared" si="51"/>
        <v>0.5</v>
      </c>
      <c r="R172" s="177">
        <f t="shared" si="52"/>
        <v>0.231705860901257</v>
      </c>
      <c r="S172" s="811">
        <f t="shared" si="53"/>
        <v>-1</v>
      </c>
      <c r="T172" s="176">
        <f t="shared" si="54"/>
        <v>5</v>
      </c>
      <c r="U172" s="251">
        <f t="shared" si="55"/>
        <v>-0.768294139098743</v>
      </c>
      <c r="V172" s="383">
        <f t="shared" si="56"/>
        <v>60.344406220735479</v>
      </c>
      <c r="W172" s="402"/>
      <c r="X172" s="157">
        <f t="shared" si="57"/>
        <v>43988</v>
      </c>
      <c r="Y172" s="385">
        <f t="shared" si="58"/>
        <v>27.04</v>
      </c>
      <c r="Z172" s="385">
        <f t="shared" si="59"/>
        <v>27.475216962019644</v>
      </c>
      <c r="AA172" s="386">
        <f t="shared" si="60"/>
        <v>28.560128126818856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3.7986915184055101E-2</v>
      </c>
      <c r="AD172" s="231">
        <f>(INDEX(Models!$BJ172:$BT172,,AH172)*(1-AF172)+INDEX(Models!$BJ172:$BT172,,AH172+1)*AF172-ERP_i)*AE172*Ramure*Pc/MaxiM</f>
        <v>3.3324971658216961E-5</v>
      </c>
      <c r="AE172" s="305">
        <f t="shared" si="62"/>
        <v>0.5</v>
      </c>
      <c r="AF172" s="177">
        <f t="shared" si="63"/>
        <v>0.231705860901257</v>
      </c>
      <c r="AG172" s="811">
        <f t="shared" si="71"/>
        <v>-1</v>
      </c>
      <c r="AH172" s="176">
        <f t="shared" si="64"/>
        <v>5</v>
      </c>
      <c r="AI172" s="225">
        <f t="shared" si="65"/>
        <v>-0.768294139098743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7">
        <v>37.923999999999999</v>
      </c>
      <c r="C173" s="390"/>
      <c r="D173" s="393">
        <f t="shared" si="48"/>
        <v>38.535242248056619</v>
      </c>
      <c r="E173" s="385">
        <f t="shared" si="72"/>
        <v>40.060938522240455</v>
      </c>
      <c r="F173" s="385">
        <f t="shared" si="49"/>
        <v>40.06153886549351</v>
      </c>
      <c r="G173" s="110">
        <f t="shared" si="73"/>
        <v>0.62872196736585328</v>
      </c>
      <c r="H173" s="414" t="b">
        <f>Wh_hp&gt;='2019'!Maxi_hp</f>
        <v>0</v>
      </c>
      <c r="I173" s="380">
        <f>IF(H173,Wh_hp,'2019'!Maxi_hp)</f>
        <v>64.469263284236831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1.586190231066853E-2</v>
      </c>
      <c r="M173" s="845"/>
      <c r="N173" s="845"/>
      <c r="O173" s="48">
        <f>IF(t&lt;Tnet,'2019'!Resal+('2019'!Salim-'2019'!Resal)*(1-EXP(('2019'!Tnet-t)/('2019'!Tau_j))),Resal+(Salim-Resal)*(1-EXP((Tnet-t)/(Tau_j))))*Salcycl</f>
        <v>3.8084386698449921E-2</v>
      </c>
      <c r="P173" s="169">
        <f>(INDEX(Models!$BJ173:$BT173,,T173)*(1-R173)+INDEX(Models!$BJ173:$BT173,,T173+1)*R173-ERP_i)*Q173*Ramure*Pc/MaxiM</f>
        <v>3.1910033539416766E-5</v>
      </c>
      <c r="Q173" s="305">
        <f t="shared" si="51"/>
        <v>0.5</v>
      </c>
      <c r="R173" s="177">
        <f t="shared" si="52"/>
        <v>0.23683796685452341</v>
      </c>
      <c r="S173" s="811">
        <f t="shared" si="53"/>
        <v>-1</v>
      </c>
      <c r="T173" s="176">
        <f t="shared" si="54"/>
        <v>5</v>
      </c>
      <c r="U173" s="251">
        <f t="shared" si="55"/>
        <v>-0.76316203314547659</v>
      </c>
      <c r="V173" s="383">
        <f t="shared" si="56"/>
        <v>60.318169419567333</v>
      </c>
      <c r="W173" s="402"/>
      <c r="X173" s="157">
        <f t="shared" si="57"/>
        <v>43989</v>
      </c>
      <c r="Y173" s="385">
        <f t="shared" si="58"/>
        <v>37.923999999999999</v>
      </c>
      <c r="Z173" s="385">
        <f t="shared" si="59"/>
        <v>38.535242248056619</v>
      </c>
      <c r="AA173" s="386">
        <f t="shared" si="60"/>
        <v>40.060938522240455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3.8084386698449921E-2</v>
      </c>
      <c r="AD173" s="231">
        <f>(INDEX(Models!$BJ173:$BT173,,AH173)*(1-AF173)+INDEX(Models!$BJ173:$BT173,,AH173+1)*AF173-ERP_i)*AE173*Ramure*Pc/MaxiM</f>
        <v>3.1910033539416766E-5</v>
      </c>
      <c r="AE173" s="305">
        <f t="shared" si="62"/>
        <v>0.5</v>
      </c>
      <c r="AF173" s="177">
        <f t="shared" si="63"/>
        <v>0.23683796685452341</v>
      </c>
      <c r="AG173" s="811">
        <f t="shared" si="71"/>
        <v>-1</v>
      </c>
      <c r="AH173" s="176">
        <f t="shared" si="64"/>
        <v>5</v>
      </c>
      <c r="AI173" s="225">
        <f t="shared" si="65"/>
        <v>-0.76316203314547659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7">
        <v>42.36</v>
      </c>
      <c r="C174" s="390"/>
      <c r="D174" s="393">
        <f t="shared" si="48"/>
        <v>43.043682499941056</v>
      </c>
      <c r="E174" s="385">
        <f t="shared" si="72"/>
        <v>44.752393422084992</v>
      </c>
      <c r="F174" s="385">
        <f t="shared" si="49"/>
        <v>44.753185845876473</v>
      </c>
      <c r="G174" s="110">
        <f t="shared" si="73"/>
        <v>0.7026183977510746</v>
      </c>
      <c r="H174" s="414" t="b">
        <f>Wh_hp&gt;='2019'!Maxi_hp</f>
        <v>0</v>
      </c>
      <c r="I174" s="380">
        <f>IF(H174,Wh_hp,'2019'!Maxi_hp)</f>
        <v>50.609598764783627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1.588345746073172E-2</v>
      </c>
      <c r="M174" s="845"/>
      <c r="N174" s="845"/>
      <c r="O174" s="48">
        <f>IF(t&lt;Tnet,'2019'!Resal+('2019'!Salim-'2019'!Resal)*(1-EXP(('2019'!Tnet-t)/('2019'!Tau_j))),Resal+(Salim-Resal)*(1-EXP((Tnet-t)/(Tau_j))))*Salcycl</f>
        <v>3.8181442186301075E-2</v>
      </c>
      <c r="P174" s="169">
        <f>(INDEX(Models!$BJ174:$BT174,,T174)*(1-R174)+INDEX(Models!$BJ174:$BT174,,T174+1)*R174-ERP_i)*Q174*Ramure*Pc/MaxiM</f>
        <v>3.0784213430602146E-5</v>
      </c>
      <c r="Q174" s="305">
        <f t="shared" si="51"/>
        <v>0.5</v>
      </c>
      <c r="R174" s="177">
        <f t="shared" si="52"/>
        <v>0.24197874149882925</v>
      </c>
      <c r="S174" s="811">
        <f t="shared" si="53"/>
        <v>-1</v>
      </c>
      <c r="T174" s="176">
        <f t="shared" si="54"/>
        <v>5</v>
      </c>
      <c r="U174" s="251">
        <f t="shared" si="55"/>
        <v>-0.75802125850117075</v>
      </c>
      <c r="V174" s="383">
        <f t="shared" si="56"/>
        <v>60.287983000813725</v>
      </c>
      <c r="W174" s="402"/>
      <c r="X174" s="157">
        <f t="shared" si="57"/>
        <v>43990</v>
      </c>
      <c r="Y174" s="385">
        <f t="shared" si="58"/>
        <v>42.36</v>
      </c>
      <c r="Z174" s="385">
        <f t="shared" si="59"/>
        <v>43.043682499941056</v>
      </c>
      <c r="AA174" s="386">
        <f t="shared" si="60"/>
        <v>44.752393422084992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3.8181442186301075E-2</v>
      </c>
      <c r="AD174" s="231">
        <f>(INDEX(Models!$BJ174:$BT174,,AH174)*(1-AF174)+INDEX(Models!$BJ174:$BT174,,AH174+1)*AF174-ERP_i)*AE174*Ramure*Pc/MaxiM</f>
        <v>3.0784213430602146E-5</v>
      </c>
      <c r="AE174" s="305">
        <f t="shared" si="62"/>
        <v>0.5</v>
      </c>
      <c r="AF174" s="177">
        <f t="shared" si="63"/>
        <v>0.24197874149882925</v>
      </c>
      <c r="AG174" s="811">
        <f t="shared" si="71"/>
        <v>-1</v>
      </c>
      <c r="AH174" s="176">
        <f t="shared" si="64"/>
        <v>5</v>
      </c>
      <c r="AI174" s="225">
        <f t="shared" si="65"/>
        <v>-0.75802125850117075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7">
        <v>24.109000000000002</v>
      </c>
      <c r="C175" s="390"/>
      <c r="D175" s="393">
        <f t="shared" si="48"/>
        <v>24.498651347056267</v>
      </c>
      <c r="E175" s="385">
        <f t="shared" si="72"/>
        <v>25.47373640364464</v>
      </c>
      <c r="F175" s="385">
        <f t="shared" si="49"/>
        <v>25.473845559402736</v>
      </c>
      <c r="G175" s="110">
        <f t="shared" si="73"/>
        <v>0.40011421508663697</v>
      </c>
      <c r="H175" s="414" t="b">
        <f>Wh_hp&gt;='2019'!Maxi_hp</f>
        <v>1</v>
      </c>
      <c r="I175" s="380">
        <f>IF(H175,Wh_hp,'2019'!Maxi_hp)</f>
        <v>25.473845559402736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1.5905012138681895E-2</v>
      </c>
      <c r="M175" s="845"/>
      <c r="N175" s="845"/>
      <c r="O175" s="48">
        <f>IF(t&lt;Tnet,'2019'!Resal+('2019'!Salim-'2019'!Resal)*(1-EXP(('2019'!Tnet-t)/('2019'!Tau_j))),Resal+(Salim-Resal)*(1-EXP((Tnet-t)/(Tau_j))))*Salcycl</f>
        <v>3.8278053958698592E-2</v>
      </c>
      <c r="P175" s="169">
        <f>(INDEX(Models!$BJ175:$BT175,,T175)*(1-R175)+INDEX(Models!$BJ175:$BT175,,T175+1)*R175-ERP_i)*Q175*Ramure*Pc/MaxiM</f>
        <v>2.995779695183926E-5</v>
      </c>
      <c r="Q175" s="305">
        <f t="shared" si="51"/>
        <v>0.5</v>
      </c>
      <c r="R175" s="177">
        <f t="shared" si="52"/>
        <v>0.24712385780984081</v>
      </c>
      <c r="S175" s="811">
        <f t="shared" si="53"/>
        <v>-1</v>
      </c>
      <c r="T175" s="176">
        <f t="shared" si="54"/>
        <v>5</v>
      </c>
      <c r="U175" s="251">
        <f t="shared" si="55"/>
        <v>-0.75287614219015919</v>
      </c>
      <c r="V175" s="383">
        <f t="shared" si="56"/>
        <v>60.253747912900543</v>
      </c>
      <c r="W175" s="402"/>
      <c r="X175" s="157">
        <f t="shared" si="57"/>
        <v>43991</v>
      </c>
      <c r="Y175" s="385">
        <f t="shared" si="58"/>
        <v>24.109000000000002</v>
      </c>
      <c r="Z175" s="385">
        <f t="shared" si="59"/>
        <v>24.498651347056267</v>
      </c>
      <c r="AA175" s="386">
        <f t="shared" si="60"/>
        <v>25.47373640364464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3.8278053958698592E-2</v>
      </c>
      <c r="AD175" s="231">
        <f>(INDEX(Models!$BJ175:$BT175,,AH175)*(1-AF175)+INDEX(Models!$BJ175:$BT175,,AH175+1)*AF175-ERP_i)*AE175*Ramure*Pc/MaxiM</f>
        <v>2.995779695183926E-5</v>
      </c>
      <c r="AE175" s="305">
        <f t="shared" si="62"/>
        <v>0.5</v>
      </c>
      <c r="AF175" s="177">
        <f t="shared" si="63"/>
        <v>0.24712385780984081</v>
      </c>
      <c r="AG175" s="811">
        <f t="shared" si="71"/>
        <v>-1</v>
      </c>
      <c r="AH175" s="176">
        <f t="shared" si="64"/>
        <v>5</v>
      </c>
      <c r="AI175" s="225">
        <f t="shared" si="65"/>
        <v>-0.75287614219015919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7">
        <v>41.101999999999997</v>
      </c>
      <c r="C176" s="390"/>
      <c r="D176" s="393">
        <f t="shared" si="48"/>
        <v>41.767208212624119</v>
      </c>
      <c r="E176" s="385">
        <f t="shared" si="72"/>
        <v>43.43395114447204</v>
      </c>
      <c r="F176" s="385">
        <f t="shared" si="49"/>
        <v>43.434650050868335</v>
      </c>
      <c r="G176" s="110">
        <f t="shared" si="73"/>
        <v>0.68257414401619554</v>
      </c>
      <c r="H176" s="414" t="b">
        <f>Wh_hp&gt;='2019'!Maxi_hp</f>
        <v>1</v>
      </c>
      <c r="I176" s="380">
        <f>IF(H176,Wh_hp,'2019'!Maxi_hp)</f>
        <v>43.434650050868335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1.5926566344529269E-2</v>
      </c>
      <c r="M176" s="845"/>
      <c r="N176" s="845"/>
      <c r="O176" s="48">
        <f>IF(t&lt;Tnet,'2019'!Resal+('2019'!Salim-'2019'!Resal)*(1-EXP(('2019'!Tnet-t)/('2019'!Tau_j))),Resal+(Salim-Resal)*(1-EXP((Tnet-t)/(Tau_j))))*Salcycl</f>
        <v>3.8374195483711022E-2</v>
      </c>
      <c r="P176" s="169">
        <f>(INDEX(Models!$BJ176:$BT176,,T176)*(1-R176)+INDEX(Models!$BJ176:$BT176,,T176+1)*R176-ERP_i)*Q176*Ramure*Pc/MaxiM</f>
        <v>2.9441149902295155E-5</v>
      </c>
      <c r="Q176" s="305">
        <f t="shared" si="51"/>
        <v>0.5</v>
      </c>
      <c r="R176" s="177">
        <f t="shared" si="52"/>
        <v>0.25226897412085236</v>
      </c>
      <c r="S176" s="811">
        <f t="shared" si="53"/>
        <v>-1</v>
      </c>
      <c r="T176" s="176">
        <f t="shared" si="54"/>
        <v>5</v>
      </c>
      <c r="U176" s="251">
        <f t="shared" si="55"/>
        <v>-0.74773102587914764</v>
      </c>
      <c r="V176" s="383">
        <f t="shared" si="56"/>
        <v>60.215365075132702</v>
      </c>
      <c r="W176" s="402"/>
      <c r="X176" s="157">
        <f t="shared" si="57"/>
        <v>43992</v>
      </c>
      <c r="Y176" s="385">
        <f t="shared" si="58"/>
        <v>41.101999999999997</v>
      </c>
      <c r="Z176" s="385">
        <f t="shared" si="59"/>
        <v>41.767208212624119</v>
      </c>
      <c r="AA176" s="386">
        <f t="shared" si="60"/>
        <v>43.43395114447204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3.8374195483711022E-2</v>
      </c>
      <c r="AD176" s="231">
        <f>(INDEX(Models!$BJ176:$BT176,,AH176)*(1-AF176)+INDEX(Models!$BJ176:$BT176,,AH176+1)*AF176-ERP_i)*AE176*Ramure*Pc/MaxiM</f>
        <v>2.9441149902295155E-5</v>
      </c>
      <c r="AE176" s="305">
        <f t="shared" si="62"/>
        <v>0.5</v>
      </c>
      <c r="AF176" s="177">
        <f t="shared" si="63"/>
        <v>0.25226897412085236</v>
      </c>
      <c r="AG176" s="811">
        <f t="shared" si="71"/>
        <v>-1</v>
      </c>
      <c r="AH176" s="176">
        <f t="shared" si="64"/>
        <v>5</v>
      </c>
      <c r="AI176" s="225">
        <f t="shared" si="65"/>
        <v>-0.74773102587914764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7">
        <v>26.87</v>
      </c>
      <c r="C177" s="390"/>
      <c r="D177" s="393">
        <f t="shared" si="48"/>
        <v>27.305470929172543</v>
      </c>
      <c r="E177" s="385">
        <f t="shared" si="72"/>
        <v>28.39793498681351</v>
      </c>
      <c r="F177" s="385">
        <f t="shared" si="49"/>
        <v>28.398108861341544</v>
      </c>
      <c r="G177" s="110">
        <f t="shared" si="73"/>
        <v>0.44654208042581067</v>
      </c>
      <c r="H177" s="414" t="b">
        <f>Wh_hp&gt;='2019'!Maxi_hp</f>
        <v>0</v>
      </c>
      <c r="I177" s="380">
        <f>IF(H177,Wh_hp,'2019'!Maxi_hp)</f>
        <v>58.244062693126686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1.5948120078284167E-2</v>
      </c>
      <c r="M177" s="845"/>
      <c r="N177" s="845"/>
      <c r="O177" s="48">
        <f>IF(t&lt;Tnet,'2019'!Resal+('2019'!Salim-'2019'!Resal)*(1-EXP(('2019'!Tnet-t)/('2019'!Tau_j))),Resal+(Salim-Resal)*(1-EXP((Tnet-t)/(Tau_j))))*Salcycl</f>
        <v>3.8469841491934192E-2</v>
      </c>
      <c r="P177" s="169">
        <f>(INDEX(Models!$BJ177:$BT177,,T177)*(1-R177)+INDEX(Models!$BJ177:$BT177,,T177+1)*R177-ERP_i)*Q177*Ramure*Pc/MaxiM</f>
        <v>2.9245000446467257E-5</v>
      </c>
      <c r="Q177" s="305">
        <f t="shared" si="51"/>
        <v>0.5</v>
      </c>
      <c r="R177" s="177">
        <f t="shared" si="52"/>
        <v>0.25740974876515832</v>
      </c>
      <c r="S177" s="811">
        <f t="shared" si="53"/>
        <v>-1</v>
      </c>
      <c r="T177" s="176">
        <f t="shared" si="54"/>
        <v>5</v>
      </c>
      <c r="U177" s="251">
        <f t="shared" si="55"/>
        <v>-0.74259025123484168</v>
      </c>
      <c r="V177" s="383">
        <f t="shared" si="56"/>
        <v>60.172108921316322</v>
      </c>
      <c r="W177" s="402"/>
      <c r="X177" s="157">
        <f t="shared" si="57"/>
        <v>43993</v>
      </c>
      <c r="Y177" s="385">
        <f t="shared" si="58"/>
        <v>26.87</v>
      </c>
      <c r="Z177" s="385">
        <f t="shared" si="59"/>
        <v>27.305470929172543</v>
      </c>
      <c r="AA177" s="386">
        <f t="shared" si="60"/>
        <v>28.39793498681351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3.8469841491934192E-2</v>
      </c>
      <c r="AD177" s="231">
        <f>(INDEX(Models!$BJ177:$BT177,,AH177)*(1-AF177)+INDEX(Models!$BJ177:$BT177,,AH177+1)*AF177-ERP_i)*AE177*Ramure*Pc/MaxiM</f>
        <v>2.9245000446467257E-5</v>
      </c>
      <c r="AE177" s="305">
        <f t="shared" si="62"/>
        <v>0.5</v>
      </c>
      <c r="AF177" s="177">
        <f t="shared" si="63"/>
        <v>0.25740974876515832</v>
      </c>
      <c r="AG177" s="811">
        <f t="shared" si="71"/>
        <v>-1</v>
      </c>
      <c r="AH177" s="176">
        <f t="shared" si="64"/>
        <v>5</v>
      </c>
      <c r="AI177" s="225">
        <f t="shared" si="65"/>
        <v>-0.74259025123484168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7">
        <v>52.835000000000001</v>
      </c>
      <c r="C178" s="390"/>
      <c r="D178" s="393">
        <f t="shared" si="48"/>
        <v>53.692450901722182</v>
      </c>
      <c r="E178" s="385">
        <f t="shared" si="72"/>
        <v>55.846156130049202</v>
      </c>
      <c r="F178" s="385">
        <f t="shared" si="49"/>
        <v>55.847512518503805</v>
      </c>
      <c r="G178" s="110">
        <f t="shared" si="73"/>
        <v>0.87876869188894602</v>
      </c>
      <c r="H178" s="414" t="b">
        <f>Wh_hp&gt;='2019'!Maxi_hp</f>
        <v>0</v>
      </c>
      <c r="I178" s="380">
        <f>IF(H178,Wh_hp,'2019'!Maxi_hp)</f>
        <v>66.115436428019962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1.5969673339957025E-2</v>
      </c>
      <c r="M178" s="845"/>
      <c r="N178" s="845"/>
      <c r="O178" s="48">
        <f>IF(t&lt;Tnet,'2019'!Resal+('2019'!Salim-'2019'!Resal)*(1-EXP(('2019'!Tnet-t)/('2019'!Tau_j))),Resal+(Salim-Resal)*(1-EXP((Tnet-t)/(Tau_j))))*Salcycl</f>
        <v>3.8564968076078135E-2</v>
      </c>
      <c r="P178" s="169">
        <f>(INDEX(Models!$BJ178:$BT178,,T178)*(1-R178)+INDEX(Models!$BJ178:$BT178,,T178+1)*R178-ERP_i)*Q178*Ramure*Pc/MaxiM</f>
        <v>2.9374460945780165E-5</v>
      </c>
      <c r="Q178" s="305">
        <f t="shared" si="51"/>
        <v>0.5</v>
      </c>
      <c r="R178" s="177">
        <f t="shared" si="52"/>
        <v>0.26254185471842484</v>
      </c>
      <c r="S178" s="811">
        <f t="shared" si="53"/>
        <v>-1</v>
      </c>
      <c r="T178" s="176">
        <f t="shared" si="54"/>
        <v>5</v>
      </c>
      <c r="U178" s="251">
        <f t="shared" si="55"/>
        <v>-0.73745814528157516</v>
      </c>
      <c r="V178" s="383">
        <f t="shared" si="56"/>
        <v>60.123593050119148</v>
      </c>
      <c r="W178" s="402"/>
      <c r="X178" s="157">
        <f t="shared" si="57"/>
        <v>43994</v>
      </c>
      <c r="Y178" s="385">
        <f t="shared" si="58"/>
        <v>52.835000000000001</v>
      </c>
      <c r="Z178" s="385">
        <f t="shared" si="59"/>
        <v>53.692450901722182</v>
      </c>
      <c r="AA178" s="386">
        <f t="shared" si="60"/>
        <v>55.846156130049202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3.8564968076078135E-2</v>
      </c>
      <c r="AD178" s="231">
        <f>(INDEX(Models!$BJ178:$BT178,,AH178)*(1-AF178)+INDEX(Models!$BJ178:$BT178,,AH178+1)*AF178-ERP_i)*AE178*Ramure*Pc/MaxiM</f>
        <v>2.9374460945780165E-5</v>
      </c>
      <c r="AE178" s="305">
        <f t="shared" si="62"/>
        <v>0.5</v>
      </c>
      <c r="AF178" s="177">
        <f t="shared" si="63"/>
        <v>0.26254185471842484</v>
      </c>
      <c r="AG178" s="811">
        <f t="shared" si="71"/>
        <v>-1</v>
      </c>
      <c r="AH178" s="176">
        <f t="shared" si="64"/>
        <v>5</v>
      </c>
      <c r="AI178" s="225">
        <f t="shared" si="65"/>
        <v>-0.73745814528157516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7">
        <v>39.570999999999998</v>
      </c>
      <c r="C179" s="390"/>
      <c r="D179" s="393">
        <f t="shared" si="48"/>
        <v>40.214072324125496</v>
      </c>
      <c r="E179" s="385">
        <f t="shared" si="72"/>
        <v>41.831249731120579</v>
      </c>
      <c r="F179" s="385">
        <f t="shared" si="49"/>
        <v>41.831882896282742</v>
      </c>
      <c r="G179" s="110">
        <f t="shared" si="73"/>
        <v>0.65873595845487898</v>
      </c>
      <c r="H179" s="414" t="b">
        <f>Wh_hp&gt;='2019'!Maxi_hp</f>
        <v>1</v>
      </c>
      <c r="I179" s="380">
        <f>IF(H179,Wh_hp,'2019'!Maxi_hp)</f>
        <v>41.831882896282742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1.5991226129558167E-2</v>
      </c>
      <c r="M179" s="845"/>
      <c r="N179" s="845"/>
      <c r="O179" s="48">
        <f>IF(t&lt;Tnet,'2019'!Resal+('2019'!Salim-'2019'!Resal)*(1-EXP(('2019'!Tnet-t)/('2019'!Tau_j))),Resal+(Salim-Resal)*(1-EXP((Tnet-t)/(Tau_j))))*Salcycl</f>
        <v>3.8659552783860067E-2</v>
      </c>
      <c r="P179" s="169">
        <f>(INDEX(Models!$BJ179:$BT179,,T179)*(1-R179)+INDEX(Models!$BJ179:$BT179,,T179+1)*R179-ERP_i)*Q179*Ramure*Pc/MaxiM</f>
        <v>2.9533930245740762E-5</v>
      </c>
      <c r="Q179" s="305">
        <f t="shared" si="51"/>
        <v>0.5</v>
      </c>
      <c r="R179" s="177">
        <f t="shared" si="52"/>
        <v>0.26766099413625066</v>
      </c>
      <c r="S179" s="811">
        <f t="shared" si="53"/>
        <v>-1</v>
      </c>
      <c r="T179" s="176">
        <f t="shared" si="54"/>
        <v>5</v>
      </c>
      <c r="U179" s="251">
        <f t="shared" si="55"/>
        <v>-0.73233900586374934</v>
      </c>
      <c r="V179" s="383">
        <f t="shared" si="56"/>
        <v>60.070244748133675</v>
      </c>
      <c r="W179" s="402"/>
      <c r="X179" s="157">
        <f t="shared" si="57"/>
        <v>43995</v>
      </c>
      <c r="Y179" s="385">
        <f t="shared" si="58"/>
        <v>39.570999999999998</v>
      </c>
      <c r="Z179" s="385">
        <f t="shared" si="59"/>
        <v>40.214072324125496</v>
      </c>
      <c r="AA179" s="386">
        <f t="shared" si="60"/>
        <v>41.831249731120579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3.8659552783860067E-2</v>
      </c>
      <c r="AD179" s="231">
        <f>(INDEX(Models!$BJ179:$BT179,,AH179)*(1-AF179)+INDEX(Models!$BJ179:$BT179,,AH179+1)*AF179-ERP_i)*AE179*Ramure*Pc/MaxiM</f>
        <v>2.9533930245740762E-5</v>
      </c>
      <c r="AE179" s="305">
        <f t="shared" si="62"/>
        <v>0.5</v>
      </c>
      <c r="AF179" s="177">
        <f t="shared" si="63"/>
        <v>0.26766099413625066</v>
      </c>
      <c r="AG179" s="811">
        <f t="shared" si="71"/>
        <v>-1</v>
      </c>
      <c r="AH179" s="176">
        <f t="shared" si="64"/>
        <v>5</v>
      </c>
      <c r="AI179" s="225">
        <f t="shared" si="65"/>
        <v>-0.73233900586374934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7">
        <v>52.915999999999997</v>
      </c>
      <c r="C180" s="390"/>
      <c r="D180" s="393">
        <f t="shared" si="48"/>
        <v>53.777121126115226</v>
      </c>
      <c r="E180" s="385">
        <f t="shared" si="72"/>
        <v>55.945197517408928</v>
      </c>
      <c r="F180" s="385">
        <f t="shared" si="49"/>
        <v>55.946579571912302</v>
      </c>
      <c r="G180" s="110">
        <f t="shared" si="73"/>
        <v>0.88174560269814728</v>
      </c>
      <c r="H180" s="414" t="b">
        <f>Wh_hp&gt;='2019'!Maxi_hp</f>
        <v>1</v>
      </c>
      <c r="I180" s="380">
        <f>IF(H180,Wh_hp,'2019'!Maxi_hp)</f>
        <v>55.946579571912302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1.6012778447097809E-2</v>
      </c>
      <c r="M180" s="845"/>
      <c r="N180" s="845"/>
      <c r="O180" s="48">
        <f>IF(t&lt;Tnet,'2019'!Resal+('2019'!Salim-'2019'!Resal)*(1-EXP(('2019'!Tnet-t)/('2019'!Tau_j))),Resal+(Salim-Resal)*(1-EXP((Tnet-t)/(Tau_j))))*Salcycl</f>
        <v>3.8753574703513129E-2</v>
      </c>
      <c r="P180" s="169">
        <f>(INDEX(Models!$BJ180:$BT180,,T180)*(1-R180)+INDEX(Models!$BJ180:$BT180,,T180+1)*R180-ERP_i)*Q180*Ramure*Pc/MaxiM</f>
        <v>2.9724410870936343E-5</v>
      </c>
      <c r="Q180" s="305">
        <f t="shared" si="51"/>
        <v>0.5</v>
      </c>
      <c r="R180" s="177">
        <f t="shared" si="52"/>
        <v>0.27276291268339081</v>
      </c>
      <c r="S180" s="811">
        <f t="shared" si="53"/>
        <v>-1</v>
      </c>
      <c r="T180" s="176">
        <f t="shared" si="54"/>
        <v>5</v>
      </c>
      <c r="U180" s="251">
        <f t="shared" si="55"/>
        <v>-0.72723708731660919</v>
      </c>
      <c r="V180" s="383">
        <f t="shared" si="56"/>
        <v>60.012473126433605</v>
      </c>
      <c r="W180" s="402"/>
      <c r="X180" s="157">
        <f t="shared" si="57"/>
        <v>43996</v>
      </c>
      <c r="Y180" s="385">
        <f t="shared" si="58"/>
        <v>52.915999999999997</v>
      </c>
      <c r="Z180" s="385">
        <f t="shared" si="59"/>
        <v>53.777121126115226</v>
      </c>
      <c r="AA180" s="386">
        <f t="shared" si="60"/>
        <v>55.945197517408928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3.8753574703513129E-2</v>
      </c>
      <c r="AD180" s="231">
        <f>(INDEX(Models!$BJ180:$BT180,,AH180)*(1-AF180)+INDEX(Models!$BJ180:$BT180,,AH180+1)*AF180-ERP_i)*AE180*Ramure*Pc/MaxiM</f>
        <v>2.9724410870936343E-5</v>
      </c>
      <c r="AE180" s="305">
        <f t="shared" si="62"/>
        <v>0.5</v>
      </c>
      <c r="AF180" s="177">
        <f t="shared" si="63"/>
        <v>0.27276291268339081</v>
      </c>
      <c r="AG180" s="811">
        <f t="shared" si="71"/>
        <v>-1</v>
      </c>
      <c r="AH180" s="176">
        <f t="shared" si="64"/>
        <v>5</v>
      </c>
      <c r="AI180" s="225">
        <f t="shared" si="65"/>
        <v>-0.72723708731660919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7">
        <v>43.787999999999997</v>
      </c>
      <c r="C181" s="390"/>
      <c r="D181" s="393">
        <f t="shared" si="48"/>
        <v>44.501552592805957</v>
      </c>
      <c r="E181" s="385">
        <f t="shared" si="72"/>
        <v>46.300176211351683</v>
      </c>
      <c r="F181" s="385">
        <f t="shared" si="49"/>
        <v>46.301028756330346</v>
      </c>
      <c r="G181" s="110">
        <f t="shared" si="73"/>
        <v>0.73039187960174989</v>
      </c>
      <c r="H181" s="414" t="b">
        <f>Wh_hp&gt;='2019'!Maxi_hp</f>
        <v>0</v>
      </c>
      <c r="I181" s="380">
        <f>IF(H181,Wh_hp,'2019'!Maxi_hp)</f>
        <v>64.761857489550721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1.6034330292586496E-2</v>
      </c>
      <c r="M181" s="845"/>
      <c r="N181" s="845"/>
      <c r="O181" s="48">
        <f>IF(t&lt;Tnet,'2019'!Resal+('2019'!Salim-'2019'!Resal)*(1-EXP(('2019'!Tnet-t)/('2019'!Tau_j))),Resal+(Salim-Resal)*(1-EXP((Tnet-t)/(Tau_j))))*Salcycl</f>
        <v>3.884701454126975E-2</v>
      </c>
      <c r="P181" s="169">
        <f>(INDEX(Models!$BJ181:$BT181,,T181)*(1-R181)+INDEX(Models!$BJ181:$BT181,,T181+1)*R181-ERP_i)*Q181*Ramure*Pc/MaxiM</f>
        <v>2.9946917812909357E-5</v>
      </c>
      <c r="Q181" s="305">
        <f t="shared" si="51"/>
        <v>0.5</v>
      </c>
      <c r="R181" s="177">
        <f t="shared" si="52"/>
        <v>0.27784341355366271</v>
      </c>
      <c r="S181" s="811">
        <f t="shared" si="53"/>
        <v>-1</v>
      </c>
      <c r="T181" s="176">
        <f t="shared" si="54"/>
        <v>5</v>
      </c>
      <c r="U181" s="251">
        <f t="shared" si="55"/>
        <v>-0.72215658644633729</v>
      </c>
      <c r="V181" s="383">
        <f t="shared" si="56"/>
        <v>59.950686980931764</v>
      </c>
      <c r="W181" s="402"/>
      <c r="X181" s="157">
        <f t="shared" si="57"/>
        <v>43997</v>
      </c>
      <c r="Y181" s="385">
        <f t="shared" si="58"/>
        <v>43.787999999999997</v>
      </c>
      <c r="Z181" s="385">
        <f t="shared" si="59"/>
        <v>44.501552592805957</v>
      </c>
      <c r="AA181" s="386">
        <f t="shared" si="60"/>
        <v>46.300176211351683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3.884701454126975E-2</v>
      </c>
      <c r="AD181" s="231">
        <f>(INDEX(Models!$BJ181:$BT181,,AH181)*(1-AF181)+INDEX(Models!$BJ181:$BT181,,AH181+1)*AF181-ERP_i)*AE181*Ramure*Pc/MaxiM</f>
        <v>2.9946917812909357E-5</v>
      </c>
      <c r="AE181" s="305">
        <f t="shared" si="62"/>
        <v>0.5</v>
      </c>
      <c r="AF181" s="177">
        <f t="shared" si="63"/>
        <v>0.27784341355366271</v>
      </c>
      <c r="AG181" s="811">
        <f t="shared" si="71"/>
        <v>-1</v>
      </c>
      <c r="AH181" s="176">
        <f t="shared" si="64"/>
        <v>5</v>
      </c>
      <c r="AI181" s="225">
        <f t="shared" si="65"/>
        <v>-0.72215658644633729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7">
        <v>30.463999999999999</v>
      </c>
      <c r="C182" s="390"/>
      <c r="D182" s="393">
        <f t="shared" si="48"/>
        <v>30.961107884441923</v>
      </c>
      <c r="E182" s="385">
        <f t="shared" si="72"/>
        <v>32.215577802846688</v>
      </c>
      <c r="F182" s="385">
        <f t="shared" si="49"/>
        <v>32.215867903656388</v>
      </c>
      <c r="G182" s="110">
        <f t="shared" si="73"/>
        <v>0.50869507010876902</v>
      </c>
      <c r="H182" s="414" t="b">
        <f>Wh_hp&gt;='2019'!Maxi_hp</f>
        <v>0</v>
      </c>
      <c r="I182" s="380">
        <f>IF(H182,Wh_hp,'2019'!Maxi_hp)</f>
        <v>62.682408537874828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1.6055881666034444E-2</v>
      </c>
      <c r="M182" s="845"/>
      <c r="N182" s="845"/>
      <c r="O182" s="48">
        <f>IF(t&lt;Tnet,'2019'!Resal+('2019'!Salim-'2019'!Resal)*(1-EXP(('2019'!Tnet-t)/('2019'!Tau_j))),Resal+(Salim-Resal)*(1-EXP((Tnet-t)/(Tau_j))))*Salcycl</f>
        <v>3.8939854690233679E-2</v>
      </c>
      <c r="P182" s="169">
        <f>(INDEX(Models!$BJ182:$BT182,,T182)*(1-R182)+INDEX(Models!$BJ182:$BT182,,T182+1)*R182-ERP_i)*Q182*Ramure*Pc/MaxiM</f>
        <v>3.0202473735209884E-5</v>
      </c>
      <c r="Q182" s="305">
        <f t="shared" si="51"/>
        <v>0.5</v>
      </c>
      <c r="R182" s="177">
        <f t="shared" si="52"/>
        <v>0.28289837108332239</v>
      </c>
      <c r="S182" s="811">
        <f t="shared" si="53"/>
        <v>-1</v>
      </c>
      <c r="T182" s="176">
        <f t="shared" si="54"/>
        <v>5</v>
      </c>
      <c r="U182" s="251">
        <f t="shared" si="55"/>
        <v>-0.71710162891667761</v>
      </c>
      <c r="V182" s="383">
        <f t="shared" si="56"/>
        <v>59.885294789505494</v>
      </c>
      <c r="W182" s="402"/>
      <c r="X182" s="157">
        <f t="shared" si="57"/>
        <v>43998</v>
      </c>
      <c r="Y182" s="385">
        <f t="shared" si="58"/>
        <v>30.463999999999999</v>
      </c>
      <c r="Z182" s="385">
        <f t="shared" si="59"/>
        <v>30.961107884441923</v>
      </c>
      <c r="AA182" s="386">
        <f t="shared" si="60"/>
        <v>32.215577802846688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3.8939854690233679E-2</v>
      </c>
      <c r="AD182" s="231">
        <f>(INDEX(Models!$BJ182:$BT182,,AH182)*(1-AF182)+INDEX(Models!$BJ182:$BT182,,AH182+1)*AF182-ERP_i)*AE182*Ramure*Pc/MaxiM</f>
        <v>3.0202473735209884E-5</v>
      </c>
      <c r="AE182" s="305">
        <f t="shared" si="62"/>
        <v>0.5</v>
      </c>
      <c r="AF182" s="177">
        <f t="shared" si="63"/>
        <v>0.28289837108332239</v>
      </c>
      <c r="AG182" s="811">
        <f t="shared" si="71"/>
        <v>-1</v>
      </c>
      <c r="AH182" s="176">
        <f t="shared" si="64"/>
        <v>5</v>
      </c>
      <c r="AI182" s="225">
        <f t="shared" si="65"/>
        <v>-0.71710162891667761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7">
        <v>51.921999999999997</v>
      </c>
      <c r="C183" s="390"/>
      <c r="D183" s="393">
        <f t="shared" si="48"/>
        <v>52.77041275258631</v>
      </c>
      <c r="E183" s="385">
        <f t="shared" si="72"/>
        <v>54.913813057988307</v>
      </c>
      <c r="F183" s="385">
        <f t="shared" si="49"/>
        <v>54.915171822205146</v>
      </c>
      <c r="G183" s="110">
        <f t="shared" si="73"/>
        <v>0.8680134042126354</v>
      </c>
      <c r="H183" s="414" t="b">
        <f>Wh_hp&gt;='2019'!Maxi_hp</f>
        <v>0</v>
      </c>
      <c r="I183" s="380">
        <f>IF(H183,Wh_hp,'2019'!Maxi_hp)</f>
        <v>60.904385564297691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1.6077432567451977E-2</v>
      </c>
      <c r="M183" s="845"/>
      <c r="N183" s="845"/>
      <c r="O183" s="48">
        <f>IF(t&lt;Tnet,'2019'!Resal+('2019'!Salim-'2019'!Resal)*(1-EXP(('2019'!Tnet-t)/('2019'!Tau_j))),Resal+(Salim-Resal)*(1-EXP((Tnet-t)/(Tau_j))))*Salcycl</f>
        <v>3.9032079290115755E-2</v>
      </c>
      <c r="P183" s="169">
        <f>(INDEX(Models!$BJ183:$BT183,,T183)*(1-R183)+INDEX(Models!$BJ183:$BT183,,T183+1)*R183-ERP_i)*Q183*Ramure*Pc/MaxiM</f>
        <v>3.0492104134653942E-5</v>
      </c>
      <c r="Q183" s="305">
        <f t="shared" si="51"/>
        <v>0.5</v>
      </c>
      <c r="R183" s="177">
        <f t="shared" si="52"/>
        <v>0.28792374386559438</v>
      </c>
      <c r="S183" s="811">
        <f t="shared" si="53"/>
        <v>-1</v>
      </c>
      <c r="T183" s="176">
        <f t="shared" si="54"/>
        <v>5</v>
      </c>
      <c r="U183" s="251">
        <f t="shared" si="55"/>
        <v>-0.71207625613440562</v>
      </c>
      <c r="V183" s="383">
        <f t="shared" si="56"/>
        <v>59.816704712007805</v>
      </c>
      <c r="W183" s="402"/>
      <c r="X183" s="157">
        <f t="shared" si="57"/>
        <v>43999</v>
      </c>
      <c r="Y183" s="385">
        <f t="shared" si="58"/>
        <v>51.921999999999997</v>
      </c>
      <c r="Z183" s="385">
        <f t="shared" si="59"/>
        <v>52.77041275258631</v>
      </c>
      <c r="AA183" s="386">
        <f t="shared" si="60"/>
        <v>54.913813057988307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3.9032079290115755E-2</v>
      </c>
      <c r="AD183" s="231">
        <f>(INDEX(Models!$BJ183:$BT183,,AH183)*(1-AF183)+INDEX(Models!$BJ183:$BT183,,AH183+1)*AF183-ERP_i)*AE183*Ramure*Pc/MaxiM</f>
        <v>3.0492104134653942E-5</v>
      </c>
      <c r="AE183" s="305">
        <f t="shared" si="62"/>
        <v>0.5</v>
      </c>
      <c r="AF183" s="177">
        <f t="shared" si="63"/>
        <v>0.28792374386559438</v>
      </c>
      <c r="AG183" s="811">
        <f t="shared" si="71"/>
        <v>-1</v>
      </c>
      <c r="AH183" s="176">
        <f t="shared" si="64"/>
        <v>5</v>
      </c>
      <c r="AI183" s="225">
        <f t="shared" si="65"/>
        <v>-0.71207625613440562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7">
        <v>44.9</v>
      </c>
      <c r="C184" s="390"/>
      <c r="D184" s="393">
        <f t="shared" si="48"/>
        <v>45.634671805462951</v>
      </c>
      <c r="E184" s="385">
        <f t="shared" si="72"/>
        <v>47.492763203571997</v>
      </c>
      <c r="F184" s="385">
        <f t="shared" si="49"/>
        <v>47.493707104569701</v>
      </c>
      <c r="G184" s="110">
        <f t="shared" si="73"/>
        <v>0.7515150177493185</v>
      </c>
      <c r="H184" s="414" t="b">
        <f>Wh_hp&gt;='2019'!Maxi_hp</f>
        <v>0</v>
      </c>
      <c r="I184" s="380">
        <f>IF(H184,Wh_hp,'2019'!Maxi_hp)</f>
        <v>51.67282048424785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1.609898299684942E-2</v>
      </c>
      <c r="M184" s="845"/>
      <c r="N184" s="845"/>
      <c r="O184" s="48">
        <f>IF(t&lt;Tnet,'2019'!Resal+('2019'!Salim-'2019'!Resal)*(1-EXP(('2019'!Tnet-t)/('2019'!Tau_j))),Resal+(Salim-Resal)*(1-EXP((Tnet-t)/(Tau_j))))*Salcycl</f>
        <v>3.9123674277374912E-2</v>
      </c>
      <c r="P184" s="169">
        <f>(INDEX(Models!$BJ184:$BT184,,T184)*(1-R184)+INDEX(Models!$BJ184:$BT184,,T184+1)*R184-ERP_i)*Q184*Ramure*Pc/MaxiM</f>
        <v>3.0811178478294955E-5</v>
      </c>
      <c r="Q184" s="305">
        <f t="shared" si="51"/>
        <v>0.5</v>
      </c>
      <c r="R184" s="177">
        <f t="shared" si="52"/>
        <v>0.29291558728000688</v>
      </c>
      <c r="S184" s="811">
        <f t="shared" si="53"/>
        <v>-1</v>
      </c>
      <c r="T184" s="176">
        <f t="shared" si="54"/>
        <v>5</v>
      </c>
      <c r="U184" s="251">
        <f t="shared" si="55"/>
        <v>-0.70708441271999312</v>
      </c>
      <c r="V184" s="383">
        <f t="shared" si="56"/>
        <v>59.745324924913369</v>
      </c>
      <c r="W184" s="402"/>
      <c r="X184" s="157">
        <f t="shared" si="57"/>
        <v>44000</v>
      </c>
      <c r="Y184" s="385">
        <f t="shared" si="58"/>
        <v>44.9</v>
      </c>
      <c r="Z184" s="385">
        <f t="shared" si="59"/>
        <v>45.634671805462951</v>
      </c>
      <c r="AA184" s="386">
        <f t="shared" si="60"/>
        <v>47.492763203571997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3.9123674277374912E-2</v>
      </c>
      <c r="AD184" s="231">
        <f>(INDEX(Models!$BJ184:$BT184,,AH184)*(1-AF184)+INDEX(Models!$BJ184:$BT184,,AH184+1)*AF184-ERP_i)*AE184*Ramure*Pc/MaxiM</f>
        <v>3.0811178478294955E-5</v>
      </c>
      <c r="AE184" s="305">
        <f t="shared" si="62"/>
        <v>0.5</v>
      </c>
      <c r="AF184" s="177">
        <f t="shared" si="63"/>
        <v>0.29291558728000688</v>
      </c>
      <c r="AG184" s="811">
        <f t="shared" si="71"/>
        <v>-1</v>
      </c>
      <c r="AH184" s="176">
        <f t="shared" si="64"/>
        <v>5</v>
      </c>
      <c r="AI184" s="225">
        <f t="shared" si="65"/>
        <v>-0.70708441271999312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7">
        <v>55.023000000000003</v>
      </c>
      <c r="C185" s="390"/>
      <c r="D185" s="393">
        <f t="shared" si="48"/>
        <v>55.924533281718276</v>
      </c>
      <c r="E185" s="385">
        <f t="shared" si="72"/>
        <v>58.207103145062362</v>
      </c>
      <c r="F185" s="385">
        <f t="shared" si="49"/>
        <v>58.208712843769881</v>
      </c>
      <c r="G185" s="110">
        <f t="shared" si="73"/>
        <v>0.92209428283344075</v>
      </c>
      <c r="H185" s="414" t="b">
        <f>Wh_hp&gt;='2019'!Maxi_hp</f>
        <v>1</v>
      </c>
      <c r="I185" s="380">
        <f>IF(H185,Wh_hp,'2019'!Maxi_hp)</f>
        <v>58.208712843769881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1.612053295423721E-2</v>
      </c>
      <c r="M185" s="845"/>
      <c r="N185" s="845"/>
      <c r="O185" s="48">
        <f>IF(t&lt;Tnet,'2019'!Resal+('2019'!Salim-'2019'!Resal)*(1-EXP(('2019'!Tnet-t)/('2019'!Tau_j))),Resal+(Salim-Resal)*(1-EXP((Tnet-t)/(Tau_j))))*Salcycl</f>
        <v>3.921462742537668E-2</v>
      </c>
      <c r="P185" s="169">
        <f>(INDEX(Models!$BJ185:$BT185,,T185)*(1-R185)+INDEX(Models!$BJ185:$BT185,,T185+1)*R185-ERP_i)*Q185*Ramure*Pc/MaxiM</f>
        <v>3.1116891104587084E-5</v>
      </c>
      <c r="Q185" s="305">
        <f t="shared" si="51"/>
        <v>0.5</v>
      </c>
      <c r="R185" s="177">
        <f t="shared" si="52"/>
        <v>0.29787006535708915</v>
      </c>
      <c r="S185" s="811">
        <f t="shared" si="53"/>
        <v>-1</v>
      </c>
      <c r="T185" s="176">
        <f t="shared" si="54"/>
        <v>5</v>
      </c>
      <c r="U185" s="251">
        <f t="shared" si="55"/>
        <v>-0.70212993464291085</v>
      </c>
      <c r="V185" s="383">
        <f t="shared" si="56"/>
        <v>59.671565560775107</v>
      </c>
      <c r="W185" s="402"/>
      <c r="X185" s="157">
        <f t="shared" si="57"/>
        <v>44001</v>
      </c>
      <c r="Y185" s="385">
        <f t="shared" si="58"/>
        <v>55.023000000000003</v>
      </c>
      <c r="Z185" s="385">
        <f t="shared" si="59"/>
        <v>55.924533281718276</v>
      </c>
      <c r="AA185" s="386">
        <f t="shared" si="60"/>
        <v>58.207103145062362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3.921462742537668E-2</v>
      </c>
      <c r="AD185" s="231">
        <f>(INDEX(Models!$BJ185:$BT185,,AH185)*(1-AF185)+INDEX(Models!$BJ185:$BT185,,AH185+1)*AF185-ERP_i)*AE185*Ramure*Pc/MaxiM</f>
        <v>3.1116891104587084E-5</v>
      </c>
      <c r="AE185" s="305">
        <f t="shared" si="62"/>
        <v>0.5</v>
      </c>
      <c r="AF185" s="177">
        <f t="shared" si="63"/>
        <v>0.29787006535708915</v>
      </c>
      <c r="AG185" s="811">
        <f t="shared" si="71"/>
        <v>-1</v>
      </c>
      <c r="AH185" s="176">
        <f t="shared" si="64"/>
        <v>5</v>
      </c>
      <c r="AI185" s="225">
        <f t="shared" si="65"/>
        <v>-0.70212993464291085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7">
        <v>51.444000000000003</v>
      </c>
      <c r="C186" s="390"/>
      <c r="D186" s="393">
        <f t="shared" si="48"/>
        <v>52.288037817049066</v>
      </c>
      <c r="E186" s="385">
        <f t="shared" si="72"/>
        <v>54.427298901996323</v>
      </c>
      <c r="F186" s="385">
        <f t="shared" si="49"/>
        <v>54.428674381419142</v>
      </c>
      <c r="G186" s="110">
        <f t="shared" si="73"/>
        <v>0.86320940385245759</v>
      </c>
      <c r="H186" s="414" t="b">
        <f>Wh_hp&gt;='2019'!Maxi_hp</f>
        <v>1</v>
      </c>
      <c r="I186" s="380">
        <f>IF(H186,Wh_hp,'2019'!Maxi_hp)</f>
        <v>54.428674381419142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1.614208243962556E-2</v>
      </c>
      <c r="M186" s="845"/>
      <c r="N186" s="845"/>
      <c r="O186" s="48">
        <f>IF(t&lt;Tnet,'2019'!Resal+('2019'!Salim-'2019'!Resal)*(1-EXP(('2019'!Tnet-t)/('2019'!Tau_j))),Resal+(Salim-Resal)*(1-EXP((Tnet-t)/(Tau_j))))*Salcycl</f>
        <v>3.930492837425726E-2</v>
      </c>
      <c r="P186" s="169">
        <f>(INDEX(Models!$BJ186:$BT186,,T186)*(1-R186)+INDEX(Models!$BJ186:$BT186,,T186+1)*R186-ERP_i)*Q186*Ramure*Pc/MaxiM</f>
        <v>3.1408731549144193E-5</v>
      </c>
      <c r="Q186" s="305">
        <f t="shared" si="51"/>
        <v>0.5</v>
      </c>
      <c r="R186" s="177">
        <f t="shared" si="52"/>
        <v>0.3027834619067159</v>
      </c>
      <c r="S186" s="811">
        <f t="shared" si="53"/>
        <v>-1</v>
      </c>
      <c r="T186" s="176">
        <f t="shared" si="54"/>
        <v>5</v>
      </c>
      <c r="U186" s="251">
        <f t="shared" si="55"/>
        <v>-0.6972165380932841</v>
      </c>
      <c r="V186" s="383">
        <f t="shared" si="56"/>
        <v>59.595833901578743</v>
      </c>
      <c r="W186" s="402"/>
      <c r="X186" s="157">
        <f t="shared" si="57"/>
        <v>44002</v>
      </c>
      <c r="Y186" s="385">
        <f t="shared" si="58"/>
        <v>51.444000000000003</v>
      </c>
      <c r="Z186" s="385">
        <f t="shared" si="59"/>
        <v>52.288037817049066</v>
      </c>
      <c r="AA186" s="386">
        <f t="shared" si="60"/>
        <v>54.427298901996323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3.930492837425726E-2</v>
      </c>
      <c r="AD186" s="231">
        <f>(INDEX(Models!$BJ186:$BT186,,AH186)*(1-AF186)+INDEX(Models!$BJ186:$BT186,,AH186+1)*AF186-ERP_i)*AE186*Ramure*Pc/MaxiM</f>
        <v>3.1408731549144193E-5</v>
      </c>
      <c r="AE186" s="305">
        <f t="shared" si="62"/>
        <v>0.5</v>
      </c>
      <c r="AF186" s="177">
        <f t="shared" si="63"/>
        <v>0.3027834619067159</v>
      </c>
      <c r="AG186" s="811">
        <f t="shared" si="71"/>
        <v>-1</v>
      </c>
      <c r="AH186" s="176">
        <f t="shared" si="64"/>
        <v>5</v>
      </c>
      <c r="AI186" s="225">
        <f t="shared" si="65"/>
        <v>-0.6972165380932841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7">
        <v>59.542000000000002</v>
      </c>
      <c r="C187" s="390"/>
      <c r="D187" s="393">
        <f t="shared" si="48"/>
        <v>60.520226638843816</v>
      </c>
      <c r="E187" s="385">
        <f t="shared" si="72"/>
        <v>63.002169947974586</v>
      </c>
      <c r="F187" s="385">
        <f t="shared" si="49"/>
        <v>63.004166310746122</v>
      </c>
      <c r="G187" s="110">
        <f t="shared" si="73"/>
        <v>1.0003942148256568</v>
      </c>
      <c r="H187" s="414" t="b">
        <f>Wh_hp&gt;='2019'!Maxi_hp</f>
        <v>1</v>
      </c>
      <c r="I187" s="380">
        <f>IF(H187,Wh_hp,'2019'!Maxi_hp)</f>
        <v>63.004166310746122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1.6163631453024907E-2</v>
      </c>
      <c r="M187" s="845"/>
      <c r="N187" s="845"/>
      <c r="O187" s="48">
        <f>IF(t&lt;Tnet,'2019'!Resal+('2019'!Salim-'2019'!Resal)*(1-EXP(('2019'!Tnet-t)/('2019'!Tau_j))),Resal+(Salim-Resal)*(1-EXP((Tnet-t)/(Tau_j))))*Salcycl</f>
        <v>3.9394568650259087E-2</v>
      </c>
      <c r="P187" s="169">
        <f>(INDEX(Models!$BJ187:$BT187,,T187)*(1-R187)+INDEX(Models!$BJ187:$BT187,,T187+1)*R187-ERP_i)*Q187*Ramure*Pc/MaxiM</f>
        <v>3.1686202491560257E-5</v>
      </c>
      <c r="Q187" s="305">
        <f t="shared" si="51"/>
        <v>0.5</v>
      </c>
      <c r="R187" s="177">
        <f t="shared" si="52"/>
        <v>0.30765219084680351</v>
      </c>
      <c r="S187" s="811">
        <f t="shared" si="53"/>
        <v>-1</v>
      </c>
      <c r="T187" s="176">
        <f t="shared" si="54"/>
        <v>5</v>
      </c>
      <c r="U187" s="251">
        <f t="shared" si="55"/>
        <v>-0.69234780915319649</v>
      </c>
      <c r="V187" s="383">
        <f t="shared" si="56"/>
        <v>59.518536910348537</v>
      </c>
      <c r="W187" s="402"/>
      <c r="X187" s="157">
        <f t="shared" si="57"/>
        <v>44003</v>
      </c>
      <c r="Y187" s="385">
        <f t="shared" si="58"/>
        <v>59.542000000000002</v>
      </c>
      <c r="Z187" s="385">
        <f t="shared" si="59"/>
        <v>60.520226638843816</v>
      </c>
      <c r="AA187" s="386">
        <f t="shared" si="60"/>
        <v>63.002169947974586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3.9394568650259087E-2</v>
      </c>
      <c r="AD187" s="231">
        <f>(INDEX(Models!$BJ187:$BT187,,AH187)*(1-AF187)+INDEX(Models!$BJ187:$BT187,,AH187+1)*AF187-ERP_i)*AE187*Ramure*Pc/MaxiM</f>
        <v>3.1686202491560257E-5</v>
      </c>
      <c r="AE187" s="305">
        <f t="shared" si="62"/>
        <v>0.5</v>
      </c>
      <c r="AF187" s="177">
        <f t="shared" si="63"/>
        <v>0.30765219084680351</v>
      </c>
      <c r="AG187" s="811">
        <f t="shared" si="71"/>
        <v>-1</v>
      </c>
      <c r="AH187" s="176">
        <f t="shared" si="64"/>
        <v>5</v>
      </c>
      <c r="AI187" s="225">
        <f t="shared" si="65"/>
        <v>-0.69234780915319649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7">
        <v>47.536999999999999</v>
      </c>
      <c r="C188" s="390"/>
      <c r="D188" s="393">
        <f t="shared" si="48"/>
        <v>48.319052562891471</v>
      </c>
      <c r="E188" s="385">
        <f t="shared" si="72"/>
        <v>50.305283313022983</v>
      </c>
      <c r="F188" s="385">
        <f t="shared" si="49"/>
        <v>50.30643074161776</v>
      </c>
      <c r="G188" s="110">
        <f t="shared" si="73"/>
        <v>0.79973924184876477</v>
      </c>
      <c r="H188" s="414" t="b">
        <f>Wh_hp&gt;='2019'!Maxi_hp</f>
        <v>0</v>
      </c>
      <c r="I188" s="380">
        <f>IF(H188,Wh_hp,'2019'!Maxi_hp)</f>
        <v>55.386626209177535</v>
      </c>
      <c r="J188" s="85">
        <f>IF(H188,An,'2019'!An_max)</f>
        <v>2019</v>
      </c>
      <c r="K188" s="197">
        <f t="shared" si="50"/>
        <v>44004</v>
      </c>
      <c r="L188" s="147">
        <f>IF(t&lt;Tvie,1-EXP((T0-t)*PertePVj)+'2019'!Pspv,1-EXP((T0-t)*PertePVj)+Pspv)</f>
        <v>1.6185179994445575E-2</v>
      </c>
      <c r="M188" s="845"/>
      <c r="N188" s="845"/>
      <c r="O188" s="48">
        <f>IF(t&lt;Tnet,'2019'!Resal+('2019'!Salim-'2019'!Resal)*(1-EXP(('2019'!Tnet-t)/('2019'!Tau_j))),Resal+(Salim-Resal)*(1-EXP((Tnet-t)/(Tau_j))))*Salcycl</f>
        <v>3.9483541674385551E-2</v>
      </c>
      <c r="P188" s="169">
        <f>(INDEX(Models!$BJ188:$BT188,,T188)*(1-R188)+INDEX(Models!$BJ188:$BT188,,T188+1)*R188-ERP_i)*Q188*Ramure*Pc/MaxiM</f>
        <v>3.1948494485113866E-5</v>
      </c>
      <c r="Q188" s="305">
        <f t="shared" si="51"/>
        <v>0.5</v>
      </c>
      <c r="R188" s="177">
        <f t="shared" si="52"/>
        <v>0.31247280567802549</v>
      </c>
      <c r="S188" s="811">
        <f t="shared" si="53"/>
        <v>-1</v>
      </c>
      <c r="T188" s="176">
        <f t="shared" si="54"/>
        <v>5</v>
      </c>
      <c r="U188" s="251">
        <f t="shared" si="55"/>
        <v>-0.68752719432197451</v>
      </c>
      <c r="V188" s="383">
        <f t="shared" si="56"/>
        <v>59.440081251808444</v>
      </c>
      <c r="W188" s="402"/>
      <c r="X188" s="157">
        <f t="shared" si="57"/>
        <v>44004</v>
      </c>
      <c r="Y188" s="385">
        <f t="shared" si="58"/>
        <v>47.536999999999999</v>
      </c>
      <c r="Z188" s="385">
        <f t="shared" si="59"/>
        <v>48.319052562891471</v>
      </c>
      <c r="AA188" s="386">
        <f t="shared" si="60"/>
        <v>50.305283313022983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3.9483541674385551E-2</v>
      </c>
      <c r="AD188" s="231">
        <f>(INDEX(Models!$BJ188:$BT188,,AH188)*(1-AF188)+INDEX(Models!$BJ188:$BT188,,AH188+1)*AF188-ERP_i)*AE188*Ramure*Pc/MaxiM</f>
        <v>3.1948494485113866E-5</v>
      </c>
      <c r="AE188" s="305">
        <f t="shared" si="62"/>
        <v>0.5</v>
      </c>
      <c r="AF188" s="177">
        <f t="shared" si="63"/>
        <v>0.31247280567802549</v>
      </c>
      <c r="AG188" s="811">
        <f t="shared" si="71"/>
        <v>-1</v>
      </c>
      <c r="AH188" s="176">
        <f t="shared" si="64"/>
        <v>5</v>
      </c>
      <c r="AI188" s="225">
        <f t="shared" si="65"/>
        <v>-0.68752719432197451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7">
        <v>58.609000000000002</v>
      </c>
      <c r="C189" s="390"/>
      <c r="D189" s="393">
        <f t="shared" si="48"/>
        <v>59.574507848236927</v>
      </c>
      <c r="E189" s="385">
        <f t="shared" si="72"/>
        <v>62.029114201999512</v>
      </c>
      <c r="F189" s="385">
        <f t="shared" si="49"/>
        <v>62.031075143124923</v>
      </c>
      <c r="G189" s="110">
        <f t="shared" si="73"/>
        <v>0.98733328227196848</v>
      </c>
      <c r="H189" s="414" t="b">
        <f>Wh_hp&gt;='2019'!Maxi_hp</f>
        <v>1</v>
      </c>
      <c r="I189" s="380">
        <f>IF(H189,Wh_hp,'2019'!Maxi_hp)</f>
        <v>62.031075143124923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1.6206728063897891E-2</v>
      </c>
      <c r="M189" s="845"/>
      <c r="N189" s="845"/>
      <c r="O189" s="48">
        <f>IF(t&lt;Tnet,'2019'!Resal+('2019'!Salim-'2019'!Resal)*(1-EXP(('2019'!Tnet-t)/('2019'!Tau_j))),Resal+(Salim-Resal)*(1-EXP((Tnet-t)/(Tau_j))))*Salcycl</f>
        <v>3.9571842760305891E-2</v>
      </c>
      <c r="P189" s="169">
        <f>(INDEX(Models!$BJ189:$BT189,,T189)*(1-R189)+INDEX(Models!$BJ189:$BT189,,T189+1)*R189-ERP_i)*Q189*Ramure*Pc/MaxiM</f>
        <v>3.2194786455698827E-5</v>
      </c>
      <c r="Q189" s="305">
        <f t="shared" si="51"/>
        <v>0.5</v>
      </c>
      <c r="R189" s="177">
        <f t="shared" si="52"/>
        <v>0.31724200805956781</v>
      </c>
      <c r="S189" s="811">
        <f t="shared" si="53"/>
        <v>-1</v>
      </c>
      <c r="T189" s="176">
        <f t="shared" si="54"/>
        <v>5</v>
      </c>
      <c r="U189" s="251">
        <f t="shared" si="55"/>
        <v>-0.68275799194043219</v>
      </c>
      <c r="V189" s="383">
        <f t="shared" si="56"/>
        <v>59.36087328230844</v>
      </c>
      <c r="W189" s="402"/>
      <c r="X189" s="157">
        <f t="shared" si="57"/>
        <v>44005</v>
      </c>
      <c r="Y189" s="385">
        <f t="shared" si="58"/>
        <v>58.609000000000002</v>
      </c>
      <c r="Z189" s="385">
        <f t="shared" si="59"/>
        <v>59.574507848236927</v>
      </c>
      <c r="AA189" s="386">
        <f t="shared" si="60"/>
        <v>62.029114201999512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3.9571842760305891E-2</v>
      </c>
      <c r="AD189" s="231">
        <f>(INDEX(Models!$BJ189:$BT189,,AH189)*(1-AF189)+INDEX(Models!$BJ189:$BT189,,AH189+1)*AF189-ERP_i)*AE189*Ramure*Pc/MaxiM</f>
        <v>3.2194786455698827E-5</v>
      </c>
      <c r="AE189" s="305">
        <f t="shared" si="62"/>
        <v>0.5</v>
      </c>
      <c r="AF189" s="177">
        <f t="shared" si="63"/>
        <v>0.31724200805956781</v>
      </c>
      <c r="AG189" s="811">
        <f t="shared" si="71"/>
        <v>-1</v>
      </c>
      <c r="AH189" s="176">
        <f t="shared" si="64"/>
        <v>5</v>
      </c>
      <c r="AI189" s="225">
        <f t="shared" si="65"/>
        <v>-0.68275799194043219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7">
        <v>54.673000000000002</v>
      </c>
      <c r="C190" s="390"/>
      <c r="D190" s="393">
        <f t="shared" si="48"/>
        <v>55.574884546266865</v>
      </c>
      <c r="E190" s="385">
        <f t="shared" si="72"/>
        <v>57.869977115588519</v>
      </c>
      <c r="F190" s="385">
        <f t="shared" si="49"/>
        <v>57.871645194626801</v>
      </c>
      <c r="G190" s="110">
        <f t="shared" si="73"/>
        <v>0.92226023341908037</v>
      </c>
      <c r="H190" s="414" t="b">
        <f>Wh_hp&gt;='2019'!Maxi_hp</f>
        <v>1</v>
      </c>
      <c r="I190" s="380">
        <f>IF(H190,Wh_hp,'2019'!Maxi_hp)</f>
        <v>57.871645194626801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1.6228275661392177E-2</v>
      </c>
      <c r="M190" s="845"/>
      <c r="N190" s="845"/>
      <c r="O190" s="48">
        <f>IF(t&lt;Tnet,'2019'!Resal+('2019'!Salim-'2019'!Resal)*(1-EXP(('2019'!Tnet-t)/('2019'!Tau_j))),Resal+(Salim-Resal)*(1-EXP((Tnet-t)/(Tau_j))))*Salcycl</f>
        <v>3.9659469101525138E-2</v>
      </c>
      <c r="P190" s="169">
        <f>(INDEX(Models!$BJ190:$BT190,,T190)*(1-R190)+INDEX(Models!$BJ190:$BT190,,T190+1)*R190-ERP_i)*Q190*Ramure*Pc/MaxiM</f>
        <v>3.2424588316924054E-5</v>
      </c>
      <c r="Q190" s="305">
        <f t="shared" si="51"/>
        <v>0.5</v>
      </c>
      <c r="R190" s="177">
        <f t="shared" si="52"/>
        <v>0.32195665545054375</v>
      </c>
      <c r="S190" s="811">
        <f t="shared" si="53"/>
        <v>-1</v>
      </c>
      <c r="T190" s="176">
        <f t="shared" si="54"/>
        <v>5</v>
      </c>
      <c r="U190" s="251">
        <f t="shared" si="55"/>
        <v>-0.67804334454945625</v>
      </c>
      <c r="V190" s="383">
        <f t="shared" si="56"/>
        <v>59.281319030901919</v>
      </c>
      <c r="W190" s="402"/>
      <c r="X190" s="157">
        <f t="shared" si="57"/>
        <v>44006</v>
      </c>
      <c r="Y190" s="385">
        <f t="shared" si="58"/>
        <v>54.673000000000002</v>
      </c>
      <c r="Z190" s="385">
        <f t="shared" si="59"/>
        <v>55.574884546266865</v>
      </c>
      <c r="AA190" s="386">
        <f t="shared" si="60"/>
        <v>57.869977115588519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3.9659469101525138E-2</v>
      </c>
      <c r="AD190" s="231">
        <f>(INDEX(Models!$BJ190:$BT190,,AH190)*(1-AF190)+INDEX(Models!$BJ190:$BT190,,AH190+1)*AF190-ERP_i)*AE190*Ramure*Pc/MaxiM</f>
        <v>3.2424588316924054E-5</v>
      </c>
      <c r="AE190" s="305">
        <f t="shared" si="62"/>
        <v>0.5</v>
      </c>
      <c r="AF190" s="177">
        <f t="shared" si="63"/>
        <v>0.32195665545054375</v>
      </c>
      <c r="AG190" s="811">
        <f t="shared" si="71"/>
        <v>-1</v>
      </c>
      <c r="AH190" s="176">
        <f t="shared" si="64"/>
        <v>5</v>
      </c>
      <c r="AI190" s="225">
        <f t="shared" si="65"/>
        <v>-0.67804334454945625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7">
        <v>51.091999999999999</v>
      </c>
      <c r="C191" s="390"/>
      <c r="D191" s="393">
        <f t="shared" si="48"/>
        <v>51.935949983503242</v>
      </c>
      <c r="E191" s="385">
        <f t="shared" si="72"/>
        <v>54.085661383183066</v>
      </c>
      <c r="F191" s="385">
        <f t="shared" si="49"/>
        <v>54.087081256022664</v>
      </c>
      <c r="G191" s="110">
        <f t="shared" si="73"/>
        <v>0.86302321993627706</v>
      </c>
      <c r="H191" s="414" t="b">
        <f>Wh_hp&gt;='2019'!Maxi_hp</f>
        <v>0</v>
      </c>
      <c r="I191" s="380">
        <f>IF(H191,Wh_hp,'2019'!Maxi_hp)</f>
        <v>61.557220620707511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1.6249822786938761E-2</v>
      </c>
      <c r="M191" s="845"/>
      <c r="N191" s="845"/>
      <c r="O191" s="48">
        <f>IF(t&lt;Tnet,'2019'!Resal+('2019'!Salim-'2019'!Resal)*(1-EXP(('2019'!Tnet-t)/('2019'!Tau_j))),Resal+(Salim-Resal)*(1-EXP((Tnet-t)/(Tau_j))))*Salcycl</f>
        <v>3.9746419747919287E-2</v>
      </c>
      <c r="P191" s="169">
        <f>(INDEX(Models!$BJ191:$BT191,,T191)*(1-R191)+INDEX(Models!$BJ191:$BT191,,T191+1)*R191-ERP_i)*Q191*Ramure*Pc/MaxiM</f>
        <v>3.2637988730836387E-5</v>
      </c>
      <c r="Q191" s="305">
        <f t="shared" si="51"/>
        <v>0.5</v>
      </c>
      <c r="R191" s="177">
        <f t="shared" si="52"/>
        <v>0.32661376779137596</v>
      </c>
      <c r="S191" s="811">
        <f t="shared" si="53"/>
        <v>-1</v>
      </c>
      <c r="T191" s="176">
        <f t="shared" si="54"/>
        <v>5</v>
      </c>
      <c r="U191" s="251">
        <f t="shared" si="55"/>
        <v>-0.67338623220862404</v>
      </c>
      <c r="V191" s="383">
        <f t="shared" si="56"/>
        <v>59.200810034088846</v>
      </c>
      <c r="W191" s="402"/>
      <c r="X191" s="157">
        <f t="shared" si="57"/>
        <v>44007</v>
      </c>
      <c r="Y191" s="385">
        <f t="shared" si="58"/>
        <v>51.091999999999999</v>
      </c>
      <c r="Z191" s="385">
        <f t="shared" si="59"/>
        <v>51.935949983503242</v>
      </c>
      <c r="AA191" s="386">
        <f t="shared" si="60"/>
        <v>54.085661383183066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3.9746419747919287E-2</v>
      </c>
      <c r="AD191" s="231">
        <f>(INDEX(Models!$BJ191:$BT191,,AH191)*(1-AF191)+INDEX(Models!$BJ191:$BT191,,AH191+1)*AF191-ERP_i)*AE191*Ramure*Pc/MaxiM</f>
        <v>3.2637988730836387E-5</v>
      </c>
      <c r="AE191" s="305">
        <f t="shared" si="62"/>
        <v>0.5</v>
      </c>
      <c r="AF191" s="177">
        <f t="shared" si="63"/>
        <v>0.32661376779137596</v>
      </c>
      <c r="AG191" s="811">
        <f t="shared" si="71"/>
        <v>-1</v>
      </c>
      <c r="AH191" s="176">
        <f t="shared" si="64"/>
        <v>5</v>
      </c>
      <c r="AI191" s="225">
        <f t="shared" si="65"/>
        <v>-0.67338623220862404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7">
        <v>48.33</v>
      </c>
      <c r="C192" s="390"/>
      <c r="D192" s="393">
        <f t="shared" si="48"/>
        <v>49.129402661092065</v>
      </c>
      <c r="E192" s="385">
        <f t="shared" si="72"/>
        <v>51.167543858776462</v>
      </c>
      <c r="F192" s="385">
        <f t="shared" si="49"/>
        <v>51.168787766988729</v>
      </c>
      <c r="G192" s="110">
        <f t="shared" si="73"/>
        <v>0.81750407194984576</v>
      </c>
      <c r="H192" s="414" t="b">
        <f>Wh_hp&gt;='2019'!Maxi_hp</f>
        <v>0</v>
      </c>
      <c r="I192" s="380">
        <f>IF(H192,Wh_hp,'2019'!Maxi_hp)</f>
        <v>61.321800192772599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1.6271369440547967E-2</v>
      </c>
      <c r="M192" s="845"/>
      <c r="N192" s="845"/>
      <c r="O192" s="48">
        <f>IF(t&lt;Tnet,'2019'!Resal+('2019'!Salim-'2019'!Resal)*(1-EXP(('2019'!Tnet-t)/('2019'!Tau_j))),Resal+(Salim-Resal)*(1-EXP((Tnet-t)/(Tau_j))))*Salcycl</f>
        <v>3.9832695571820072E-2</v>
      </c>
      <c r="P192" s="169">
        <f>(INDEX(Models!$BJ192:$BT192,,T192)*(1-R192)+INDEX(Models!$BJ192:$BT192,,T192+1)*R192-ERP_i)*Q192*Ramure*Pc/MaxiM</f>
        <v>3.2882255089423239E-5</v>
      </c>
      <c r="Q192" s="305">
        <f t="shared" si="51"/>
        <v>0.5</v>
      </c>
      <c r="R192" s="177">
        <f t="shared" si="52"/>
        <v>0.33121053320909311</v>
      </c>
      <c r="S192" s="811">
        <f t="shared" si="53"/>
        <v>-1</v>
      </c>
      <c r="T192" s="176">
        <f t="shared" si="54"/>
        <v>5</v>
      </c>
      <c r="U192" s="251">
        <f t="shared" si="55"/>
        <v>-0.66878946679090689</v>
      </c>
      <c r="V192" s="383">
        <f t="shared" si="56"/>
        <v>59.118464783701711</v>
      </c>
      <c r="W192" s="402"/>
      <c r="X192" s="157">
        <f t="shared" si="57"/>
        <v>44008</v>
      </c>
      <c r="Y192" s="385">
        <f t="shared" si="58"/>
        <v>48.33</v>
      </c>
      <c r="Z192" s="385">
        <f t="shared" si="59"/>
        <v>49.129402661092065</v>
      </c>
      <c r="AA192" s="386">
        <f t="shared" si="60"/>
        <v>51.167543858776462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3.9832695571820072E-2</v>
      </c>
      <c r="AD192" s="231">
        <f>(INDEX(Models!$BJ192:$BT192,,AH192)*(1-AF192)+INDEX(Models!$BJ192:$BT192,,AH192+1)*AF192-ERP_i)*AE192*Ramure*Pc/MaxiM</f>
        <v>3.2882255089423239E-5</v>
      </c>
      <c r="AE192" s="305">
        <f t="shared" si="62"/>
        <v>0.5</v>
      </c>
      <c r="AF192" s="177">
        <f t="shared" si="63"/>
        <v>0.33121053320909311</v>
      </c>
      <c r="AG192" s="811">
        <f t="shared" si="71"/>
        <v>-1</v>
      </c>
      <c r="AH192" s="176">
        <f t="shared" si="64"/>
        <v>5</v>
      </c>
      <c r="AI192" s="225">
        <f t="shared" si="65"/>
        <v>-0.66878946679090689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7">
        <v>42.011000000000003</v>
      </c>
      <c r="C193" s="390"/>
      <c r="D193" s="393">
        <f t="shared" si="48"/>
        <v>42.706818591810261</v>
      </c>
      <c r="E193" s="385">
        <f t="shared" si="72"/>
        <v>44.482483685803132</v>
      </c>
      <c r="F193" s="385">
        <f t="shared" si="49"/>
        <v>44.483351219096079</v>
      </c>
      <c r="G193" s="110">
        <f t="shared" si="73"/>
        <v>0.71162761313076572</v>
      </c>
      <c r="H193" s="414" t="b">
        <f>Wh_hp&gt;='2019'!Maxi_hp</f>
        <v>0</v>
      </c>
      <c r="I193" s="380">
        <f>IF(H193,Wh_hp,'2019'!Maxi_hp)</f>
        <v>58.28331019002183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1.6292915622230231E-2</v>
      </c>
      <c r="M193" s="845"/>
      <c r="N193" s="845"/>
      <c r="O193" s="48">
        <f>IF(t&lt;Tnet,'2019'!Resal+('2019'!Salim-'2019'!Resal)*(1-EXP(('2019'!Tnet-t)/('2019'!Tau_j))),Resal+(Salim-Resal)*(1-EXP((Tnet-t)/(Tau_j))))*Salcycl</f>
        <v>3.9918299223916417E-2</v>
      </c>
      <c r="P193" s="169">
        <f>(INDEX(Models!$BJ193:$BT193,,T193)*(1-R193)+INDEX(Models!$BJ193:$BT193,,T193+1)*R193-ERP_i)*Q193*Ramure*Pc/MaxiM</f>
        <v>3.3164383913819222E-5</v>
      </c>
      <c r="Q193" s="305">
        <f t="shared" si="51"/>
        <v>0.5</v>
      </c>
      <c r="R193" s="177">
        <f t="shared" si="52"/>
        <v>0.33574431273992267</v>
      </c>
      <c r="S193" s="811">
        <f t="shared" si="53"/>
        <v>-1</v>
      </c>
      <c r="T193" s="176">
        <f t="shared" si="54"/>
        <v>5</v>
      </c>
      <c r="U193" s="251">
        <f t="shared" si="55"/>
        <v>-0.66425568726007733</v>
      </c>
      <c r="V193" s="383">
        <f t="shared" si="56"/>
        <v>59.034283185690235</v>
      </c>
      <c r="W193" s="402"/>
      <c r="X193" s="157">
        <f t="shared" si="57"/>
        <v>44009</v>
      </c>
      <c r="Y193" s="385">
        <f t="shared" si="58"/>
        <v>42.011000000000003</v>
      </c>
      <c r="Z193" s="385">
        <f t="shared" si="59"/>
        <v>42.706818591810261</v>
      </c>
      <c r="AA193" s="386">
        <f t="shared" si="60"/>
        <v>44.482483685803132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3.9918299223916417E-2</v>
      </c>
      <c r="AD193" s="231">
        <f>(INDEX(Models!$BJ193:$BT193,,AH193)*(1-AF193)+INDEX(Models!$BJ193:$BT193,,AH193+1)*AF193-ERP_i)*AE193*Ramure*Pc/MaxiM</f>
        <v>3.3164383913819222E-5</v>
      </c>
      <c r="AE193" s="305">
        <f t="shared" si="62"/>
        <v>0.5</v>
      </c>
      <c r="AF193" s="177">
        <f t="shared" si="63"/>
        <v>0.33574431273992267</v>
      </c>
      <c r="AG193" s="811">
        <f t="shared" si="71"/>
        <v>-1</v>
      </c>
      <c r="AH193" s="176">
        <f t="shared" si="64"/>
        <v>5</v>
      </c>
      <c r="AI193" s="225">
        <f t="shared" si="65"/>
        <v>-0.66425568726007733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7">
        <v>48.124000000000002</v>
      </c>
      <c r="C194" s="390"/>
      <c r="D194" s="393">
        <f t="shared" si="48"/>
        <v>48.922138334130729</v>
      </c>
      <c r="E194" s="385">
        <f t="shared" si="72"/>
        <v>50.960732495981901</v>
      </c>
      <c r="F194" s="385">
        <f t="shared" si="49"/>
        <v>50.961991342047789</v>
      </c>
      <c r="G194" s="110">
        <f t="shared" si="73"/>
        <v>0.81636969242607305</v>
      </c>
      <c r="H194" s="414" t="b">
        <f>Wh_hp&gt;='2019'!Maxi_hp</f>
        <v>0</v>
      </c>
      <c r="I194" s="380">
        <f>IF(H194,Wh_hp,'2019'!Maxi_hp)</f>
        <v>58.263031779023748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1.6314461331995767E-2</v>
      </c>
      <c r="M194" s="845"/>
      <c r="N194" s="845"/>
      <c r="O194" s="48">
        <f>IF(t&lt;Tnet,'2019'!Resal+('2019'!Salim-'2019'!Resal)*(1-EXP(('2019'!Tnet-t)/('2019'!Tau_j))),Resal+(Salim-Resal)*(1-EXP((Tnet-t)/(Tau_j))))*Salcycl</f>
        <v>4.0003235079321332E-2</v>
      </c>
      <c r="P194" s="169">
        <f>(INDEX(Models!$BJ194:$BT194,,T194)*(1-R194)+INDEX(Models!$BJ194:$BT194,,T194+1)*R194-ERP_i)*Q194*Ramure*Pc/MaxiM</f>
        <v>3.3485555037231483E-5</v>
      </c>
      <c r="Q194" s="305">
        <f t="shared" si="51"/>
        <v>0.5</v>
      </c>
      <c r="R194" s="177">
        <f t="shared" si="52"/>
        <v>0.34021264407169494</v>
      </c>
      <c r="S194" s="811">
        <f t="shared" si="53"/>
        <v>-1</v>
      </c>
      <c r="T194" s="176">
        <f t="shared" si="54"/>
        <v>5</v>
      </c>
      <c r="U194" s="251">
        <f t="shared" si="55"/>
        <v>-0.65978735592830506</v>
      </c>
      <c r="V194" s="383">
        <f t="shared" si="56"/>
        <v>58.948265375515682</v>
      </c>
      <c r="W194" s="402"/>
      <c r="X194" s="157">
        <f t="shared" si="57"/>
        <v>44010</v>
      </c>
      <c r="Y194" s="385">
        <f t="shared" si="58"/>
        <v>48.124000000000002</v>
      </c>
      <c r="Z194" s="385">
        <f t="shared" si="59"/>
        <v>48.922138334130729</v>
      </c>
      <c r="AA194" s="386">
        <f t="shared" si="60"/>
        <v>50.960732495981901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4.0003235079321332E-2</v>
      </c>
      <c r="AD194" s="231">
        <f>(INDEX(Models!$BJ194:$BT194,,AH194)*(1-AF194)+INDEX(Models!$BJ194:$BT194,,AH194+1)*AF194-ERP_i)*AE194*Ramure*Pc/MaxiM</f>
        <v>3.3485555037231483E-5</v>
      </c>
      <c r="AE194" s="305">
        <f t="shared" si="62"/>
        <v>0.5</v>
      </c>
      <c r="AF194" s="177">
        <f t="shared" si="63"/>
        <v>0.34021264407169494</v>
      </c>
      <c r="AG194" s="811">
        <f t="shared" si="71"/>
        <v>-1</v>
      </c>
      <c r="AH194" s="176">
        <f t="shared" si="64"/>
        <v>5</v>
      </c>
      <c r="AI194" s="225">
        <f t="shared" si="65"/>
        <v>-0.65978735592830506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7">
        <v>25.640999999999998</v>
      </c>
      <c r="C195" s="390"/>
      <c r="D195" s="393">
        <f t="shared" si="48"/>
        <v>26.066827871361845</v>
      </c>
      <c r="E195" s="385">
        <f t="shared" si="72"/>
        <v>27.155421062328013</v>
      </c>
      <c r="F195" s="385">
        <f t="shared" si="49"/>
        <v>27.155599142972463</v>
      </c>
      <c r="G195" s="110">
        <f t="shared" si="73"/>
        <v>0.43561197877945995</v>
      </c>
      <c r="H195" s="414" t="b">
        <f>Wh_hp&gt;='2019'!Maxi_hp</f>
        <v>0</v>
      </c>
      <c r="I195" s="380">
        <f>IF(H195,Wh_hp,'2019'!Maxi_hp)</f>
        <v>52.467807817786799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1.6336006569855011E-2</v>
      </c>
      <c r="M195" s="845"/>
      <c r="N195" s="845"/>
      <c r="O195" s="48">
        <f>IF(t&lt;Tnet,'2019'!Resal+('2019'!Salim-'2019'!Resal)*(1-EXP(('2019'!Tnet-t)/('2019'!Tau_j))),Resal+(Salim-Resal)*(1-EXP((Tnet-t)/(Tau_j))))*Salcycl</f>
        <v>4.0087509174230512E-2</v>
      </c>
      <c r="P195" s="169">
        <f>(INDEX(Models!$BJ195:$BT195,,T195)*(1-R195)+INDEX(Models!$BJ195:$BT195,,T195+1)*R195-ERP_i)*Q195*Ramure*Pc/MaxiM</f>
        <v>3.3846927209039942E-5</v>
      </c>
      <c r="Q195" s="305">
        <f t="shared" si="51"/>
        <v>0.5</v>
      </c>
      <c r="R195" s="177">
        <f t="shared" si="52"/>
        <v>0.34461324431725049</v>
      </c>
      <c r="S195" s="811">
        <f t="shared" si="53"/>
        <v>-1</v>
      </c>
      <c r="T195" s="176">
        <f t="shared" si="54"/>
        <v>5</v>
      </c>
      <c r="U195" s="251">
        <f t="shared" si="55"/>
        <v>-0.65538675568274951</v>
      </c>
      <c r="V195" s="383">
        <f t="shared" si="56"/>
        <v>58.860411383584129</v>
      </c>
      <c r="W195" s="402"/>
      <c r="X195" s="157">
        <f t="shared" si="57"/>
        <v>44011</v>
      </c>
      <c r="Y195" s="385">
        <f t="shared" si="58"/>
        <v>25.640999999999998</v>
      </c>
      <c r="Z195" s="385">
        <f t="shared" si="59"/>
        <v>26.066827871361845</v>
      </c>
      <c r="AA195" s="386">
        <f t="shared" si="60"/>
        <v>27.155421062328013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4.0087509174230512E-2</v>
      </c>
      <c r="AD195" s="231">
        <f>(INDEX(Models!$BJ195:$BT195,,AH195)*(1-AF195)+INDEX(Models!$BJ195:$BT195,,AH195+1)*AF195-ERP_i)*AE195*Ramure*Pc/MaxiM</f>
        <v>3.3846927209039942E-5</v>
      </c>
      <c r="AE195" s="305">
        <f t="shared" si="62"/>
        <v>0.5</v>
      </c>
      <c r="AF195" s="177">
        <f t="shared" si="63"/>
        <v>0.34461324431725049</v>
      </c>
      <c r="AG195" s="811">
        <f t="shared" si="71"/>
        <v>-1</v>
      </c>
      <c r="AH195" s="176">
        <f t="shared" si="64"/>
        <v>5</v>
      </c>
      <c r="AI195" s="225">
        <f t="shared" si="65"/>
        <v>-0.65538675568274951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7">
        <v>57.09</v>
      </c>
      <c r="C196" s="390"/>
      <c r="D196" s="393">
        <f t="shared" si="48"/>
        <v>58.039382173400575</v>
      </c>
      <c r="E196" s="385">
        <f t="shared" si="72"/>
        <v>60.468468843842082</v>
      </c>
      <c r="F196" s="385">
        <f t="shared" si="49"/>
        <v>60.470455322225597</v>
      </c>
      <c r="G196" s="110">
        <f t="shared" si="73"/>
        <v>0.97140070781075027</v>
      </c>
      <c r="H196" s="414" t="b">
        <f>Wh_hp&gt;='2019'!Maxi_hp</f>
        <v>1</v>
      </c>
      <c r="I196" s="380">
        <f>IF(H196,Wh_hp,'2019'!Maxi_hp)</f>
        <v>60.470455322225597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1.6357551335818177E-2</v>
      </c>
      <c r="M196" s="845"/>
      <c r="N196" s="845"/>
      <c r="O196" s="48">
        <f>IF(t&lt;Tnet,'2019'!Resal+('2019'!Salim-'2019'!Resal)*(1-EXP(('2019'!Tnet-t)/('2019'!Tau_j))),Resal+(Salim-Resal)*(1-EXP((Tnet-t)/(Tau_j))))*Salcycl</f>
        <v>4.0171129133673732E-2</v>
      </c>
      <c r="P196" s="169">
        <f>(INDEX(Models!$BJ196:$BT196,,T196)*(1-R196)+INDEX(Models!$BJ196:$BT196,,T196+1)*R196-ERP_i)*Q196*Ramure*Pc/MaxiM</f>
        <v>3.4249636833978289E-5</v>
      </c>
      <c r="Q196" s="305">
        <f t="shared" si="51"/>
        <v>0.5</v>
      </c>
      <c r="R196" s="177">
        <f t="shared" si="52"/>
        <v>0.34894401183819346</v>
      </c>
      <c r="S196" s="811">
        <f t="shared" si="53"/>
        <v>-1</v>
      </c>
      <c r="T196" s="176">
        <f t="shared" si="54"/>
        <v>5</v>
      </c>
      <c r="U196" s="251">
        <f t="shared" si="55"/>
        <v>-0.65105598816180654</v>
      </c>
      <c r="V196" s="383">
        <f t="shared" si="56"/>
        <v>58.770721140775493</v>
      </c>
      <c r="W196" s="402"/>
      <c r="X196" s="157">
        <f t="shared" si="57"/>
        <v>44012</v>
      </c>
      <c r="Y196" s="385">
        <f t="shared" si="58"/>
        <v>57.09</v>
      </c>
      <c r="Z196" s="385">
        <f t="shared" si="59"/>
        <v>58.039382173400575</v>
      </c>
      <c r="AA196" s="386">
        <f t="shared" si="60"/>
        <v>60.468468843842082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4.0171129133673732E-2</v>
      </c>
      <c r="AD196" s="231">
        <f>(INDEX(Models!$BJ196:$BT196,,AH196)*(1-AF196)+INDEX(Models!$BJ196:$BT196,,AH196+1)*AF196-ERP_i)*AE196*Ramure*Pc/MaxiM</f>
        <v>3.4249636833978289E-5</v>
      </c>
      <c r="AE196" s="305">
        <f t="shared" si="62"/>
        <v>0.5</v>
      </c>
      <c r="AF196" s="177">
        <f t="shared" si="63"/>
        <v>0.34894401183819346</v>
      </c>
      <c r="AG196" s="811">
        <f t="shared" si="71"/>
        <v>-1</v>
      </c>
      <c r="AH196" s="176">
        <f t="shared" si="64"/>
        <v>5</v>
      </c>
      <c r="AI196" s="225">
        <f t="shared" si="65"/>
        <v>-0.65105598816180654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7">
        <v>39.488999999999997</v>
      </c>
      <c r="C197" s="390"/>
      <c r="D197" s="393">
        <f t="shared" si="48"/>
        <v>40.146564417811092</v>
      </c>
      <c r="E197" s="385">
        <f t="shared" si="72"/>
        <v>41.830410100148796</v>
      </c>
      <c r="F197" s="385">
        <f t="shared" si="49"/>
        <v>41.831183374605963</v>
      </c>
      <c r="G197" s="110">
        <f t="shared" si="73"/>
        <v>0.67295333980953931</v>
      </c>
      <c r="H197" s="414" t="b">
        <f>Wh_hp&gt;='2019'!Maxi_hp</f>
        <v>1</v>
      </c>
      <c r="I197" s="380">
        <f>IF(H197,Wh_hp,'2019'!Maxi_hp)</f>
        <v>41.831183374605963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1.6379095629895701E-2</v>
      </c>
      <c r="M197" s="845"/>
      <c r="N197" s="845"/>
      <c r="O197" s="48">
        <f>IF(t&lt;Tnet,'2019'!Resal+('2019'!Salim-'2019'!Resal)*(1-EXP(('2019'!Tnet-t)/('2019'!Tau_j))),Resal+(Salim-Resal)*(1-EXP((Tnet-t)/(Tau_j))))*Salcycl</f>
        <v>4.0254104090930685E-2</v>
      </c>
      <c r="P197" s="169">
        <f>(INDEX(Models!$BJ197:$BT197,,T197)*(1-R197)+INDEX(Models!$BJ197:$BT197,,T197+1)*R197-ERP_i)*Q197*Ramure*Pc/MaxiM</f>
        <v>3.4694797030844946E-5</v>
      </c>
      <c r="Q197" s="305">
        <f t="shared" si="51"/>
        <v>0.5</v>
      </c>
      <c r="R197" s="177">
        <f t="shared" si="52"/>
        <v>0.35320302714585405</v>
      </c>
      <c r="S197" s="811">
        <f t="shared" si="53"/>
        <v>-1</v>
      </c>
      <c r="T197" s="176">
        <f t="shared" si="54"/>
        <v>5</v>
      </c>
      <c r="U197" s="251">
        <f t="shared" si="55"/>
        <v>-0.64679697285414595</v>
      </c>
      <c r="V197" s="383">
        <f t="shared" si="56"/>
        <v>58.679194480704169</v>
      </c>
      <c r="W197" s="402"/>
      <c r="X197" s="157">
        <f t="shared" si="57"/>
        <v>44013</v>
      </c>
      <c r="Y197" s="385">
        <f t="shared" si="58"/>
        <v>39.488999999999997</v>
      </c>
      <c r="Z197" s="385">
        <f t="shared" si="59"/>
        <v>40.146564417811092</v>
      </c>
      <c r="AA197" s="386">
        <f t="shared" si="60"/>
        <v>41.830410100148796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4.0254104090930685E-2</v>
      </c>
      <c r="AD197" s="231">
        <f>(INDEX(Models!$BJ197:$BT197,,AH197)*(1-AF197)+INDEX(Models!$BJ197:$BT197,,AH197+1)*AF197-ERP_i)*AE197*Ramure*Pc/MaxiM</f>
        <v>3.4694797030844946E-5</v>
      </c>
      <c r="AE197" s="305">
        <f t="shared" si="62"/>
        <v>0.5</v>
      </c>
      <c r="AF197" s="177">
        <f t="shared" si="63"/>
        <v>0.35320302714585405</v>
      </c>
      <c r="AG197" s="811">
        <f t="shared" si="71"/>
        <v>-1</v>
      </c>
      <c r="AH197" s="176">
        <f t="shared" si="64"/>
        <v>5</v>
      </c>
      <c r="AI197" s="225">
        <f t="shared" si="65"/>
        <v>-0.64679697285414595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7">
        <v>18.920000000000002</v>
      </c>
      <c r="C198" s="390"/>
      <c r="D198" s="393">
        <f t="shared" si="48"/>
        <v>19.235474074994158</v>
      </c>
      <c r="E198" s="385">
        <f t="shared" si="72"/>
        <v>20.043976836195966</v>
      </c>
      <c r="F198" s="385">
        <f t="shared" si="49"/>
        <v>20.044000188118922</v>
      </c>
      <c r="G198" s="110">
        <f t="shared" si="73"/>
        <v>0.32293399272157725</v>
      </c>
      <c r="H198" s="414" t="b">
        <f>Wh_hp&gt;='2019'!Maxi_hp</f>
        <v>0</v>
      </c>
      <c r="I198" s="380">
        <f>IF(H198,Wh_hp,'2019'!Maxi_hp)</f>
        <v>53.763656051916264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1.6400639452097909E-2</v>
      </c>
      <c r="M198" s="845"/>
      <c r="N198" s="845"/>
      <c r="O198" s="48">
        <f>IF(t&lt;Tnet,'2019'!Resal+('2019'!Salim-'2019'!Resal)*(1-EXP(('2019'!Tnet-t)/('2019'!Tau_j))),Resal+(Salim-Resal)*(1-EXP((Tnet-t)/(Tau_j))))*Salcycl</f>
        <v>4.0336444599246991E-2</v>
      </c>
      <c r="P198" s="169">
        <f>(INDEX(Models!$BJ198:$BT198,,T198)*(1-R198)+INDEX(Models!$BJ198:$BT198,,T198+1)*R198-ERP_i)*Q198*Ramure*Pc/MaxiM</f>
        <v>3.5542374284684347E-5</v>
      </c>
      <c r="Q198" s="305">
        <f t="shared" si="51"/>
        <v>0.5</v>
      </c>
      <c r="R198" s="177">
        <f t="shared" si="52"/>
        <v>0.35738855291315053</v>
      </c>
      <c r="S198" s="811">
        <f t="shared" si="53"/>
        <v>-1</v>
      </c>
      <c r="T198" s="176">
        <f t="shared" si="54"/>
        <v>5</v>
      </c>
      <c r="U198" s="251">
        <f t="shared" si="55"/>
        <v>-0.64261144708684947</v>
      </c>
      <c r="V198" s="383">
        <f t="shared" si="56"/>
        <v>58.585810123302721</v>
      </c>
      <c r="W198" s="402"/>
      <c r="X198" s="157">
        <f t="shared" si="57"/>
        <v>44014</v>
      </c>
      <c r="Y198" s="385">
        <f t="shared" si="58"/>
        <v>18.920000000000002</v>
      </c>
      <c r="Z198" s="385">
        <f t="shared" si="59"/>
        <v>19.235474074994158</v>
      </c>
      <c r="AA198" s="386">
        <f t="shared" si="60"/>
        <v>20.043976836195966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4.0336444599246991E-2</v>
      </c>
      <c r="AD198" s="231">
        <f>(INDEX(Models!$BJ198:$BT198,,AH198)*(1-AF198)+INDEX(Models!$BJ198:$BT198,,AH198+1)*AF198-ERP_i)*AE198*Ramure*Pc/MaxiM</f>
        <v>3.5542374284684347E-5</v>
      </c>
      <c r="AE198" s="305">
        <f t="shared" si="62"/>
        <v>0.5</v>
      </c>
      <c r="AF198" s="177">
        <f t="shared" si="63"/>
        <v>0.35738855291315053</v>
      </c>
      <c r="AG198" s="811">
        <f t="shared" si="71"/>
        <v>-1</v>
      </c>
      <c r="AH198" s="176">
        <f t="shared" si="64"/>
        <v>5</v>
      </c>
      <c r="AI198" s="225">
        <f t="shared" si="65"/>
        <v>-0.64261144708684947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7">
        <v>44.515999999999998</v>
      </c>
      <c r="C199" s="390"/>
      <c r="D199" s="393">
        <f t="shared" si="48"/>
        <v>45.259255771786442</v>
      </c>
      <c r="E199" s="385">
        <f t="shared" si="72"/>
        <v>47.165602770707096</v>
      </c>
      <c r="F199" s="385">
        <f t="shared" si="49"/>
        <v>47.166746277829766</v>
      </c>
      <c r="G199" s="110">
        <f t="shared" si="73"/>
        <v>0.76107042520773727</v>
      </c>
      <c r="H199" s="414" t="b">
        <f>Wh_hp&gt;='2019'!Maxi_hp</f>
        <v>0</v>
      </c>
      <c r="I199" s="380">
        <f>IF(H199,Wh_hp,'2019'!Maxi_hp)</f>
        <v>58.995697367701958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1.6422182802435126E-2</v>
      </c>
      <c r="M199" s="845"/>
      <c r="N199" s="845"/>
      <c r="O199" s="48">
        <f>IF(t&lt;Tnet,'2019'!Resal+('2019'!Salim-'2019'!Resal)*(1-EXP(('2019'!Tnet-t)/('2019'!Tau_j))),Resal+(Salim-Resal)*(1-EXP((Tnet-t)/(Tau_j))))*Salcycl</f>
        <v>4.041816253654705E-2</v>
      </c>
      <c r="P199" s="169">
        <f>(INDEX(Models!$BJ199:$BT199,,T199)*(1-R199)+INDEX(Models!$BJ199:$BT199,,T199+1)*R199-ERP_i)*Q199*Ramure*Pc/MaxiM</f>
        <v>3.6806517166650291E-5</v>
      </c>
      <c r="Q199" s="305">
        <f t="shared" si="51"/>
        <v>0.5</v>
      </c>
      <c r="R199" s="177">
        <f t="shared" si="52"/>
        <v>0.36149903313710763</v>
      </c>
      <c r="S199" s="811">
        <f t="shared" si="53"/>
        <v>-1</v>
      </c>
      <c r="T199" s="176">
        <f t="shared" si="54"/>
        <v>5</v>
      </c>
      <c r="U199" s="251">
        <f t="shared" si="55"/>
        <v>-0.63850096686289237</v>
      </c>
      <c r="V199" s="383">
        <f t="shared" si="56"/>
        <v>58.490567069398175</v>
      </c>
      <c r="W199" s="402"/>
      <c r="X199" s="157">
        <f t="shared" si="57"/>
        <v>44015</v>
      </c>
      <c r="Y199" s="385">
        <f t="shared" si="58"/>
        <v>44.515999999999998</v>
      </c>
      <c r="Z199" s="385">
        <f t="shared" si="59"/>
        <v>45.259255771786442</v>
      </c>
      <c r="AA199" s="386">
        <f t="shared" si="60"/>
        <v>47.165602770707096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4.041816253654705E-2</v>
      </c>
      <c r="AD199" s="231">
        <f>(INDEX(Models!$BJ199:$BT199,,AH199)*(1-AF199)+INDEX(Models!$BJ199:$BT199,,AH199+1)*AF199-ERP_i)*AE199*Ramure*Pc/MaxiM</f>
        <v>3.6806517166650291E-5</v>
      </c>
      <c r="AE199" s="305">
        <f t="shared" si="62"/>
        <v>0.5</v>
      </c>
      <c r="AF199" s="177">
        <f t="shared" si="63"/>
        <v>0.36149903313710763</v>
      </c>
      <c r="AG199" s="811">
        <f t="shared" si="71"/>
        <v>-1</v>
      </c>
      <c r="AH199" s="176">
        <f t="shared" si="64"/>
        <v>5</v>
      </c>
      <c r="AI199" s="225">
        <f t="shared" si="65"/>
        <v>-0.63850096686289237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7">
        <v>57.869</v>
      </c>
      <c r="C200" s="390"/>
      <c r="D200" s="393">
        <f t="shared" si="48"/>
        <v>58.836491120005114</v>
      </c>
      <c r="E200" s="385">
        <f t="shared" si="72"/>
        <v>61.319902467988413</v>
      </c>
      <c r="F200" s="385">
        <f t="shared" si="49"/>
        <v>61.322232788721351</v>
      </c>
      <c r="G200" s="110">
        <f t="shared" si="73"/>
        <v>0.99101794691406775</v>
      </c>
      <c r="H200" s="414" t="b">
        <f>Wh_hp&gt;='2019'!Maxi_hp</f>
        <v>1</v>
      </c>
      <c r="I200" s="380">
        <f>IF(H200,Wh_hp,'2019'!Maxi_hp)</f>
        <v>61.322232788721351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1.6443725680917676E-2</v>
      </c>
      <c r="M200" s="845"/>
      <c r="N200" s="845"/>
      <c r="O200" s="48">
        <f>IF(t&lt;Tnet,'2019'!Resal+('2019'!Salim-'2019'!Resal)*(1-EXP(('2019'!Tnet-t)/('2019'!Tau_j))),Resal+(Salim-Resal)*(1-EXP((Tnet-t)/(Tau_j))))*Salcycl</f>
        <v>4.0499271003892147E-2</v>
      </c>
      <c r="P200" s="169">
        <f>(INDEX(Models!$BJ200:$BT200,,T200)*(1-R200)+INDEX(Models!$BJ200:$BT200,,T200+1)*R200-ERP_i)*Q200*Ramure*Pc/MaxiM</f>
        <v>3.8495161425612294E-5</v>
      </c>
      <c r="Q200" s="305">
        <f t="shared" si="51"/>
        <v>0.5</v>
      </c>
      <c r="R200" s="177">
        <f t="shared" si="52"/>
        <v>0.36553309149708146</v>
      </c>
      <c r="S200" s="811">
        <f t="shared" si="53"/>
        <v>-1</v>
      </c>
      <c r="T200" s="176">
        <f t="shared" si="54"/>
        <v>5</v>
      </c>
      <c r="U200" s="251">
        <f t="shared" si="55"/>
        <v>-0.63446690850291854</v>
      </c>
      <c r="V200" s="383">
        <f t="shared" si="56"/>
        <v>58.393464615074905</v>
      </c>
      <c r="W200" s="402"/>
      <c r="X200" s="157">
        <f t="shared" si="57"/>
        <v>44016</v>
      </c>
      <c r="Y200" s="385">
        <f t="shared" si="58"/>
        <v>57.869</v>
      </c>
      <c r="Z200" s="385">
        <f t="shared" si="59"/>
        <v>58.836491120005114</v>
      </c>
      <c r="AA200" s="386">
        <f t="shared" si="60"/>
        <v>61.319902467988413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4.0499271003892147E-2</v>
      </c>
      <c r="AD200" s="231">
        <f>(INDEX(Models!$BJ200:$BT200,,AH200)*(1-AF200)+INDEX(Models!$BJ200:$BT200,,AH200+1)*AF200-ERP_i)*AE200*Ramure*Pc/MaxiM</f>
        <v>3.8495161425612294E-5</v>
      </c>
      <c r="AE200" s="305">
        <f t="shared" si="62"/>
        <v>0.5</v>
      </c>
      <c r="AF200" s="177">
        <f t="shared" si="63"/>
        <v>0.36553309149708146</v>
      </c>
      <c r="AG200" s="811">
        <f t="shared" si="71"/>
        <v>-1</v>
      </c>
      <c r="AH200" s="176">
        <f t="shared" si="64"/>
        <v>5</v>
      </c>
      <c r="AI200" s="225">
        <f t="shared" si="65"/>
        <v>-0.63446690850291854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7">
        <v>57.311</v>
      </c>
      <c r="C201" s="390"/>
      <c r="D201" s="393">
        <f t="shared" si="48"/>
        <v>58.270438389665252</v>
      </c>
      <c r="E201" s="385">
        <f t="shared" si="72"/>
        <v>60.735053765986741</v>
      </c>
      <c r="F201" s="385">
        <f t="shared" si="49"/>
        <v>60.73746121896113</v>
      </c>
      <c r="G201" s="110">
        <f t="shared" si="73"/>
        <v>0.98312777222037795</v>
      </c>
      <c r="H201" s="414" t="b">
        <f>Wh_hp&gt;='2019'!Maxi_hp</f>
        <v>1</v>
      </c>
      <c r="I201" s="380">
        <f>IF(H201,Wh_hp,'2019'!Maxi_hp)</f>
        <v>60.73746121896113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1.6465268087555995E-2</v>
      </c>
      <c r="M201" s="845"/>
      <c r="N201" s="845"/>
      <c r="O201" s="48">
        <f>IF(t&lt;Tnet,'2019'!Resal+('2019'!Salim-'2019'!Resal)*(1-EXP(('2019'!Tnet-t)/('2019'!Tau_j))),Resal+(Salim-Resal)*(1-EXP((Tnet-t)/(Tau_j))))*Salcycl</f>
        <v>4.0579784218479457E-2</v>
      </c>
      <c r="P201" s="169">
        <f>(INDEX(Models!$BJ201:$BT201,,T201)*(1-R201)+INDEX(Models!$BJ201:$BT201,,T201+1)*R201-ERP_i)*Q201*Ramure*Pc/MaxiM</f>
        <v>4.0615954540394281E-5</v>
      </c>
      <c r="Q201" s="305">
        <f t="shared" si="51"/>
        <v>0.5</v>
      </c>
      <c r="R201" s="177">
        <f t="shared" si="52"/>
        <v>0.36948952895820764</v>
      </c>
      <c r="S201" s="811">
        <f t="shared" si="53"/>
        <v>-1</v>
      </c>
      <c r="T201" s="176">
        <f t="shared" si="54"/>
        <v>5</v>
      </c>
      <c r="U201" s="251">
        <f t="shared" si="55"/>
        <v>-0.63051047104179236</v>
      </c>
      <c r="V201" s="383">
        <f t="shared" si="56"/>
        <v>58.294502011244433</v>
      </c>
      <c r="W201" s="402"/>
      <c r="X201" s="157">
        <f t="shared" si="57"/>
        <v>44017</v>
      </c>
      <c r="Y201" s="385">
        <f t="shared" si="58"/>
        <v>57.311</v>
      </c>
      <c r="Z201" s="385">
        <f t="shared" si="59"/>
        <v>58.270438389665252</v>
      </c>
      <c r="AA201" s="386">
        <f t="shared" si="60"/>
        <v>60.735053765986741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4.0579784218479457E-2</v>
      </c>
      <c r="AD201" s="231">
        <f>(INDEX(Models!$BJ201:$BT201,,AH201)*(1-AF201)+INDEX(Models!$BJ201:$BT201,,AH201+1)*AF201-ERP_i)*AE201*Ramure*Pc/MaxiM</f>
        <v>4.0615954540394281E-5</v>
      </c>
      <c r="AE201" s="305">
        <f t="shared" si="62"/>
        <v>0.5</v>
      </c>
      <c r="AF201" s="177">
        <f t="shared" si="63"/>
        <v>0.36948952895820764</v>
      </c>
      <c r="AG201" s="811">
        <f t="shared" si="71"/>
        <v>-1</v>
      </c>
      <c r="AH201" s="176">
        <f t="shared" si="64"/>
        <v>5</v>
      </c>
      <c r="AI201" s="225">
        <f t="shared" si="65"/>
        <v>-0.63051047104179236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7">
        <v>38.076999999999998</v>
      </c>
      <c r="C202" s="390"/>
      <c r="D202" s="393">
        <f t="shared" si="48"/>
        <v>38.715291658534525</v>
      </c>
      <c r="E202" s="385">
        <f t="shared" si="72"/>
        <v>40.356161792445405</v>
      </c>
      <c r="F202" s="385">
        <f t="shared" si="49"/>
        <v>40.357043766868408</v>
      </c>
      <c r="G202" s="110">
        <f t="shared" si="73"/>
        <v>0.65430110464336111</v>
      </c>
      <c r="H202" s="414" t="b">
        <f>Wh_hp&gt;='2019'!Maxi_hp</f>
        <v>0</v>
      </c>
      <c r="I202" s="380">
        <f>IF(H202,Wh_hp,'2019'!Maxi_hp)</f>
        <v>54.208935934270478</v>
      </c>
      <c r="J202" s="85">
        <f>IF(H202,An,'2019'!An_max)</f>
        <v>2019</v>
      </c>
      <c r="K202" s="197">
        <f t="shared" si="50"/>
        <v>44018</v>
      </c>
      <c r="L202" s="147">
        <f>IF(t&lt;Tvie,1-EXP((T0-t)*PertePVj)+'2019'!Pspv,1-EXP((T0-t)*PertePVj)+Pspv)</f>
        <v>1.6486810022360188E-2</v>
      </c>
      <c r="M202" s="845"/>
      <c r="N202" s="845"/>
      <c r="O202" s="48">
        <f>IF(t&lt;Tnet,'2019'!Resal+('2019'!Salim-'2019'!Resal)*(1-EXP(('2019'!Tnet-t)/('2019'!Tau_j))),Resal+(Salim-Resal)*(1-EXP((Tnet-t)/(Tau_j))))*Salcycl</f>
        <v>4.0659717402016349E-2</v>
      </c>
      <c r="P202" s="169">
        <f>(INDEX(Models!$BJ202:$BT202,,T202)*(1-R202)+INDEX(Models!$BJ202:$BT202,,T202+1)*R202-ERP_i)*Q202*Ramure*Pc/MaxiM</f>
        <v>4.3176265686396103E-5</v>
      </c>
      <c r="Q202" s="305">
        <f t="shared" si="51"/>
        <v>0.5</v>
      </c>
      <c r="R202" s="177">
        <f t="shared" si="52"/>
        <v>0.37336732067324718</v>
      </c>
      <c r="S202" s="811">
        <f t="shared" si="53"/>
        <v>-1</v>
      </c>
      <c r="T202" s="176">
        <f t="shared" si="54"/>
        <v>5</v>
      </c>
      <c r="U202" s="251">
        <f t="shared" si="55"/>
        <v>-0.62663267932675282</v>
      </c>
      <c r="V202" s="383">
        <f t="shared" si="56"/>
        <v>58.193678468621904</v>
      </c>
      <c r="W202" s="402"/>
      <c r="X202" s="157">
        <f t="shared" si="57"/>
        <v>44018</v>
      </c>
      <c r="Y202" s="385">
        <f t="shared" si="58"/>
        <v>38.076999999999998</v>
      </c>
      <c r="Z202" s="385">
        <f t="shared" si="59"/>
        <v>38.715291658534525</v>
      </c>
      <c r="AA202" s="386">
        <f t="shared" si="60"/>
        <v>40.356161792445405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4.0659717402016349E-2</v>
      </c>
      <c r="AD202" s="231">
        <f>(INDEX(Models!$BJ202:$BT202,,AH202)*(1-AF202)+INDEX(Models!$BJ202:$BT202,,AH202+1)*AF202-ERP_i)*AE202*Ramure*Pc/MaxiM</f>
        <v>4.3176265686396103E-5</v>
      </c>
      <c r="AE202" s="305">
        <f t="shared" si="62"/>
        <v>0.5</v>
      </c>
      <c r="AF202" s="177">
        <f t="shared" si="63"/>
        <v>0.37336732067324718</v>
      </c>
      <c r="AG202" s="811">
        <f t="shared" si="71"/>
        <v>-1</v>
      </c>
      <c r="AH202" s="176">
        <f t="shared" si="64"/>
        <v>5</v>
      </c>
      <c r="AI202" s="225">
        <f t="shared" si="65"/>
        <v>-0.62663267932675282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7">
        <v>59.558</v>
      </c>
      <c r="C203" s="390"/>
      <c r="D203" s="393">
        <f t="shared" si="48"/>
        <v>60.557707927615688</v>
      </c>
      <c r="E203" s="385">
        <f t="shared" si="72"/>
        <v>63.129548057055544</v>
      </c>
      <c r="F203" s="385">
        <f t="shared" si="49"/>
        <v>63.132463716134929</v>
      </c>
      <c r="G203" s="110">
        <f t="shared" si="73"/>
        <v>1.0252536021642322</v>
      </c>
      <c r="H203" s="414" t="b">
        <f>Wh_hp&gt;='2019'!Maxi_hp</f>
        <v>1</v>
      </c>
      <c r="I203" s="380">
        <f>IF(H203,Wh_hp,'2019'!Maxi_hp)</f>
        <v>63.132463716134929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1.65083514853408E-2</v>
      </c>
      <c r="M203" s="845"/>
      <c r="N203" s="845"/>
      <c r="O203" s="48">
        <f>IF(t&lt;Tnet,'2019'!Resal+('2019'!Salim-'2019'!Resal)*(1-EXP(('2019'!Tnet-t)/('2019'!Tau_j))),Resal+(Salim-Resal)*(1-EXP((Tnet-t)/(Tau_j))))*Salcycl</f>
        <v>4.0739086665335662E-2</v>
      </c>
      <c r="P203" s="169">
        <f>(INDEX(Models!$BJ203:$BT203,,T203)*(1-R203)+INDEX(Models!$BJ203:$BT203,,T203+1)*R203-ERP_i)*Q203*Ramure*Pc/MaxiM</f>
        <v>4.6183198116397367E-5</v>
      </c>
      <c r="Q203" s="305">
        <f t="shared" si="51"/>
        <v>0.5</v>
      </c>
      <c r="R203" s="177">
        <f t="shared" si="52"/>
        <v>0.37716561223884959</v>
      </c>
      <c r="S203" s="811">
        <f t="shared" si="53"/>
        <v>-1</v>
      </c>
      <c r="T203" s="176">
        <f t="shared" si="54"/>
        <v>5</v>
      </c>
      <c r="U203" s="251">
        <f t="shared" si="55"/>
        <v>-0.62283438776115041</v>
      </c>
      <c r="V203" s="383">
        <f t="shared" si="56"/>
        <v>58.090993169180393</v>
      </c>
      <c r="W203" s="402"/>
      <c r="X203" s="157">
        <f t="shared" si="57"/>
        <v>44019</v>
      </c>
      <c r="Y203" s="385">
        <f t="shared" si="58"/>
        <v>59.558</v>
      </c>
      <c r="Z203" s="385">
        <f t="shared" si="59"/>
        <v>60.557707927615688</v>
      </c>
      <c r="AA203" s="386">
        <f t="shared" si="60"/>
        <v>63.129548057055544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4.0739086665335662E-2</v>
      </c>
      <c r="AD203" s="231">
        <f>(INDEX(Models!$BJ203:$BT203,,AH203)*(1-AF203)+INDEX(Models!$BJ203:$BT203,,AH203+1)*AF203-ERP_i)*AE203*Ramure*Pc/MaxiM</f>
        <v>4.6183198116397367E-5</v>
      </c>
      <c r="AE203" s="305">
        <f t="shared" si="62"/>
        <v>0.5</v>
      </c>
      <c r="AF203" s="177">
        <f t="shared" si="63"/>
        <v>0.37716561223884959</v>
      </c>
      <c r="AG203" s="811">
        <f t="shared" si="71"/>
        <v>-1</v>
      </c>
      <c r="AH203" s="176">
        <f t="shared" si="64"/>
        <v>5</v>
      </c>
      <c r="AI203" s="225">
        <f t="shared" si="65"/>
        <v>-0.62283438776115041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7">
        <v>57.103000000000002</v>
      </c>
      <c r="C204" s="390"/>
      <c r="D204" s="393">
        <f t="shared" si="48"/>
        <v>58.062771367594408</v>
      </c>
      <c r="E204" s="385">
        <f t="shared" si="72"/>
        <v>60.533627457963298</v>
      </c>
      <c r="F204" s="385">
        <f t="shared" si="49"/>
        <v>60.536567302517156</v>
      </c>
      <c r="G204" s="110">
        <f t="shared" si="73"/>
        <v>0.98476356042645741</v>
      </c>
      <c r="H204" s="414" t="b">
        <f>Wh_hp&gt;='2019'!Maxi_hp</f>
        <v>1</v>
      </c>
      <c r="I204" s="380">
        <f>IF(H204,Wh_hp,'2019'!Maxi_hp)</f>
        <v>60.536567302517156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1.6529892476508046E-2</v>
      </c>
      <c r="M204" s="845"/>
      <c r="N204" s="845"/>
      <c r="O204" s="48">
        <f>IF(t&lt;Tnet,'2019'!Resal+('2019'!Salim-'2019'!Resal)*(1-EXP(('2019'!Tnet-t)/('2019'!Tau_j))),Resal+(Salim-Resal)*(1-EXP((Tnet-t)/(Tau_j))))*Salcycl</f>
        <v>4.08179088901411E-2</v>
      </c>
      <c r="P204" s="169">
        <f>(INDEX(Models!$BJ204:$BT204,,T204)*(1-R204)+INDEX(Models!$BJ204:$BT204,,T204+1)*R204-ERP_i)*Q204*Ramure*Pc/MaxiM</f>
        <v>4.9643603735929718E-5</v>
      </c>
      <c r="Q204" s="305">
        <f t="shared" si="51"/>
        <v>0.5</v>
      </c>
      <c r="R204" s="177">
        <f t="shared" si="52"/>
        <v>0.38088371536430166</v>
      </c>
      <c r="S204" s="811">
        <f t="shared" si="53"/>
        <v>-1</v>
      </c>
      <c r="T204" s="176">
        <f t="shared" si="54"/>
        <v>5</v>
      </c>
      <c r="U204" s="251">
        <f t="shared" si="55"/>
        <v>-0.61911628463569834</v>
      </c>
      <c r="V204" s="383">
        <f t="shared" si="56"/>
        <v>57.986445267517027</v>
      </c>
      <c r="W204" s="402"/>
      <c r="X204" s="157">
        <f t="shared" si="57"/>
        <v>44020</v>
      </c>
      <c r="Y204" s="385">
        <f t="shared" si="58"/>
        <v>57.103000000000002</v>
      </c>
      <c r="Z204" s="385">
        <f t="shared" si="59"/>
        <v>58.062771367594408</v>
      </c>
      <c r="AA204" s="386">
        <f t="shared" si="60"/>
        <v>60.533627457963298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4.08179088901411E-2</v>
      </c>
      <c r="AD204" s="231">
        <f>(INDEX(Models!$BJ204:$BT204,,AH204)*(1-AF204)+INDEX(Models!$BJ204:$BT204,,AH204+1)*AF204-ERP_i)*AE204*Ramure*Pc/MaxiM</f>
        <v>4.9643603735929718E-5</v>
      </c>
      <c r="AE204" s="305">
        <f t="shared" si="62"/>
        <v>0.5</v>
      </c>
      <c r="AF204" s="177">
        <f t="shared" si="63"/>
        <v>0.38088371536430166</v>
      </c>
      <c r="AG204" s="811">
        <f t="shared" si="71"/>
        <v>-1</v>
      </c>
      <c r="AH204" s="176">
        <f t="shared" si="64"/>
        <v>5</v>
      </c>
      <c r="AI204" s="225">
        <f t="shared" si="65"/>
        <v>-0.61911628463569834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7">
        <v>53.753</v>
      </c>
      <c r="C205" s="390"/>
      <c r="D205" s="393">
        <f t="shared" si="48"/>
        <v>54.657662640912044</v>
      </c>
      <c r="E205" s="385">
        <f t="shared" si="72"/>
        <v>56.988266267523933</v>
      </c>
      <c r="F205" s="385">
        <f t="shared" si="49"/>
        <v>56.991008014722723</v>
      </c>
      <c r="G205" s="110">
        <f t="shared" si="73"/>
        <v>0.92869521415667022</v>
      </c>
      <c r="H205" s="414" t="b">
        <f>Wh_hp&gt;='2019'!Maxi_hp</f>
        <v>0</v>
      </c>
      <c r="I205" s="380">
        <f>IF(H205,Wh_hp,'2019'!Maxi_hp)</f>
        <v>59.982897259607313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1.6551432995872251E-2</v>
      </c>
      <c r="M205" s="845"/>
      <c r="N205" s="845"/>
      <c r="O205" s="48">
        <f>IF(t&lt;Tnet,'2019'!Resal+('2019'!Salim-'2019'!Resal)*(1-EXP(('2019'!Tnet-t)/('2019'!Tau_j))),Resal+(Salim-Resal)*(1-EXP((Tnet-t)/(Tau_j))))*Salcycl</f>
        <v>4.0896201608786903E-2</v>
      </c>
      <c r="P205" s="169">
        <f>(INDEX(Models!$BJ205:$BT205,,T205)*(1-R205)+INDEX(Models!$BJ205:$BT205,,T205+1)*R205-ERP_i)*Q205*Ramure*Pc/MaxiM</f>
        <v>5.3564302653948192E-5</v>
      </c>
      <c r="Q205" s="305">
        <f t="shared" si="51"/>
        <v>0.5</v>
      </c>
      <c r="R205" s="177">
        <f t="shared" si="52"/>
        <v>0.38452110301213038</v>
      </c>
      <c r="S205" s="811">
        <f t="shared" si="53"/>
        <v>-1</v>
      </c>
      <c r="T205" s="176">
        <f t="shared" si="54"/>
        <v>5</v>
      </c>
      <c r="U205" s="251">
        <f t="shared" si="55"/>
        <v>-0.61547889698786962</v>
      </c>
      <c r="V205" s="383">
        <f t="shared" si="56"/>
        <v>57.879814492744643</v>
      </c>
      <c r="W205" s="402"/>
      <c r="X205" s="157">
        <f t="shared" si="57"/>
        <v>44021</v>
      </c>
      <c r="Y205" s="385">
        <f t="shared" si="58"/>
        <v>53.753</v>
      </c>
      <c r="Z205" s="385">
        <f t="shared" si="59"/>
        <v>54.657662640912044</v>
      </c>
      <c r="AA205" s="386">
        <f t="shared" si="60"/>
        <v>56.988266267523933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4.0896201608786903E-2</v>
      </c>
      <c r="AD205" s="231">
        <f>(INDEX(Models!$BJ205:$BT205,,AH205)*(1-AF205)+INDEX(Models!$BJ205:$BT205,,AH205+1)*AF205-ERP_i)*AE205*Ramure*Pc/MaxiM</f>
        <v>5.3564302653948192E-5</v>
      </c>
      <c r="AE205" s="305">
        <f t="shared" si="62"/>
        <v>0.5</v>
      </c>
      <c r="AF205" s="177">
        <f t="shared" si="63"/>
        <v>0.38452110301213038</v>
      </c>
      <c r="AG205" s="811">
        <f t="shared" si="71"/>
        <v>-1</v>
      </c>
      <c r="AH205" s="176">
        <f t="shared" si="64"/>
        <v>5</v>
      </c>
      <c r="AI205" s="225">
        <f t="shared" si="65"/>
        <v>-0.61547889698786962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7">
        <v>47.039000000000001</v>
      </c>
      <c r="C206" s="390"/>
      <c r="D206" s="393">
        <f t="shared" si="48"/>
        <v>47.831713701801682</v>
      </c>
      <c r="E206" s="385">
        <f t="shared" si="72"/>
        <v>49.875303535134869</v>
      </c>
      <c r="F206" s="385">
        <f t="shared" si="49"/>
        <v>49.877433313545708</v>
      </c>
      <c r="G206" s="110">
        <f t="shared" si="73"/>
        <v>0.81422036591448099</v>
      </c>
      <c r="H206" s="414" t="b">
        <f>Wh_hp&gt;='2019'!Maxi_hp</f>
        <v>0</v>
      </c>
      <c r="I206" s="380">
        <f>IF(H206,Wh_hp,'2019'!Maxi_hp)</f>
        <v>61.452728703103304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1.657297304344385E-2</v>
      </c>
      <c r="M206" s="845"/>
      <c r="N206" s="845"/>
      <c r="O206" s="48">
        <f>IF(t&lt;Tnet,'2019'!Resal+('2019'!Salim-'2019'!Resal)*(1-EXP(('2019'!Tnet-t)/('2019'!Tau_j))),Resal+(Salim-Resal)*(1-EXP((Tnet-t)/(Tau_j))))*Salcycl</f>
        <v>4.097398288300276E-2</v>
      </c>
      <c r="P206" s="169">
        <f>(INDEX(Models!$BJ206:$BT206,,T206)*(1-R206)+INDEX(Models!$BJ206:$BT206,,T206+1)*R206-ERP_i)*Q206*Ramure*Pc/MaxiM</f>
        <v>5.8125738348582696E-5</v>
      </c>
      <c r="Q206" s="305">
        <f t="shared" si="51"/>
        <v>0.5</v>
      </c>
      <c r="R206" s="177">
        <f t="shared" si="52"/>
        <v>0.38807740407049462</v>
      </c>
      <c r="S206" s="811">
        <f t="shared" si="53"/>
        <v>-1</v>
      </c>
      <c r="T206" s="176">
        <f t="shared" si="54"/>
        <v>5</v>
      </c>
      <c r="U206" s="251">
        <f t="shared" si="55"/>
        <v>-0.61192259592950538</v>
      </c>
      <c r="V206" s="383">
        <f t="shared" si="56"/>
        <v>57.770938112317737</v>
      </c>
      <c r="W206" s="402"/>
      <c r="X206" s="157">
        <f t="shared" si="57"/>
        <v>44022</v>
      </c>
      <c r="Y206" s="385">
        <f t="shared" si="58"/>
        <v>47.039000000000001</v>
      </c>
      <c r="Z206" s="385">
        <f t="shared" si="59"/>
        <v>47.831713701801682</v>
      </c>
      <c r="AA206" s="386">
        <f t="shared" si="60"/>
        <v>49.875303535134869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4.097398288300276E-2</v>
      </c>
      <c r="AD206" s="231">
        <f>(INDEX(Models!$BJ206:$BT206,,AH206)*(1-AF206)+INDEX(Models!$BJ206:$BT206,,AH206+1)*AF206-ERP_i)*AE206*Ramure*Pc/MaxiM</f>
        <v>5.8125738348582696E-5</v>
      </c>
      <c r="AE206" s="305">
        <f t="shared" si="62"/>
        <v>0.5</v>
      </c>
      <c r="AF206" s="177">
        <f t="shared" si="63"/>
        <v>0.38807740407049462</v>
      </c>
      <c r="AG206" s="811">
        <f t="shared" si="71"/>
        <v>-1</v>
      </c>
      <c r="AH206" s="176">
        <f t="shared" si="64"/>
        <v>5</v>
      </c>
      <c r="AI206" s="225">
        <f t="shared" si="65"/>
        <v>-0.61192259592950538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7">
        <v>48.207000000000001</v>
      </c>
      <c r="C207" s="390"/>
      <c r="D207" s="393">
        <f t="shared" ref="D207:D270" si="74">Wh/(1-Ppv)</f>
        <v>49.020470821650633</v>
      </c>
      <c r="E207" s="385">
        <f t="shared" si="72"/>
        <v>51.118969501213513</v>
      </c>
      <c r="F207" s="385">
        <f t="shared" ref="F207:F270" si="75">Wh_sa/(1-Pvg*MEDIAN((-Sdif+Wh/Env_an)/Csdif,0,1))</f>
        <v>51.121446951736054</v>
      </c>
      <c r="G207" s="110">
        <f t="shared" si="73"/>
        <v>0.83604496525994587</v>
      </c>
      <c r="H207" s="414" t="b">
        <f>Wh_hp&gt;='2019'!Maxi_hp</f>
        <v>0</v>
      </c>
      <c r="I207" s="380">
        <f>IF(H207,Wh_hp,'2019'!Maxi_hp)</f>
        <v>61.87528776158792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1.659451261923317E-2</v>
      </c>
      <c r="M207" s="845"/>
      <c r="N207" s="845"/>
      <c r="O207" s="48">
        <f>IF(t&lt;Tnet,'2019'!Resal+('2019'!Salim-'2019'!Resal)*(1-EXP(('2019'!Tnet-t)/('2019'!Tau_j))),Resal+(Salim-Resal)*(1-EXP((Tnet-t)/(Tau_j))))*Salcycl</f>
        <v>4.1051271182473023E-2</v>
      </c>
      <c r="P207" s="169">
        <f>(INDEX(Models!$BJ207:$BT207,,T207)*(1-R207)+INDEX(Models!$BJ207:$BT207,,T207+1)*R207-ERP_i)*Q207*Ramure*Pc/MaxiM</f>
        <v>6.328322907934986E-5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0.39155239761721283</v>
      </c>
      <c r="S207" s="811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-0.60844760238278717</v>
      </c>
      <c r="V207" s="383">
        <f t="shared" ref="V207:V270" si="82">MaxiM*(1-Ppv)*(1-Pvg)*(1-Psa)</f>
        <v>57.659919602752296</v>
      </c>
      <c r="W207" s="402"/>
      <c r="X207" s="157">
        <f t="shared" ref="X207:X270" si="83">t</f>
        <v>44023</v>
      </c>
      <c r="Y207" s="385">
        <f t="shared" ref="Y207:Y270" si="84">Wh_pvt_s*(1-Ppv)</f>
        <v>48.207000000000001</v>
      </c>
      <c r="Z207" s="385">
        <f t="shared" ref="Z207:Z270" si="85">Wh_sa_s*(1-Psa_s)</f>
        <v>49.020470821650633</v>
      </c>
      <c r="AA207" s="386">
        <f t="shared" ref="AA207:AA270" si="86">Wh_hp*(1-Pvg_s*MEDIAN((-Sdif+Wh/Env_an)/Csdif,0,1))</f>
        <v>51.118969501213513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4.1051271182473023E-2</v>
      </c>
      <c r="AD207" s="231">
        <f>(INDEX(Models!$BJ207:$BT207,,AH207)*(1-AF207)+INDEX(Models!$BJ207:$BT207,,AH207+1)*AF207-ERP_i)*AE207*Ramure*Pc/MaxiM</f>
        <v>6.328322907934986E-5</v>
      </c>
      <c r="AE207" s="305">
        <f t="shared" ref="AE207:AE270" si="88">IF(OR(t&lt;Ttai,Notai),Dd_s+PousD*Croivg,Dens_s+PousD*(Croivg-Croi_tai))</f>
        <v>0.5</v>
      </c>
      <c r="AF207" s="177">
        <f t="shared" ref="AF207:AF270" si="89">(Hp_vg_s-AG207)/(INDEX(Echel_vg,AH207+1)-AG207)</f>
        <v>0.39155239761721283</v>
      </c>
      <c r="AG207" s="811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-0.60844760238278717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7">
        <v>38.825000000000003</v>
      </c>
      <c r="C208" s="390"/>
      <c r="D208" s="393">
        <f t="shared" si="74"/>
        <v>39.4810186479408</v>
      </c>
      <c r="E208" s="385">
        <f t="shared" si="72"/>
        <v>41.174444721136524</v>
      </c>
      <c r="F208" s="385">
        <f t="shared" si="75"/>
        <v>41.175966374172262</v>
      </c>
      <c r="G208" s="110">
        <f t="shared" si="73"/>
        <v>0.67464592354736252</v>
      </c>
      <c r="H208" s="414" t="b">
        <f>Wh_hp&gt;='2019'!Maxi_hp</f>
        <v>0</v>
      </c>
      <c r="I208" s="380">
        <f>IF(H208,Wh_hp,'2019'!Maxi_hp)</f>
        <v>52.848178882001989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1.6616051723250425E-2</v>
      </c>
      <c r="M208" s="845"/>
      <c r="N208" s="845"/>
      <c r="O208" s="48">
        <f>IF(t&lt;Tnet,'2019'!Resal+('2019'!Salim-'2019'!Resal)*(1-EXP(('2019'!Tnet-t)/('2019'!Tau_j))),Resal+(Salim-Resal)*(1-EXP((Tnet-t)/(Tau_j))))*Salcycl</f>
        <v>4.1128085264169084E-2</v>
      </c>
      <c r="P208" s="169">
        <f>(INDEX(Models!$BJ208:$BT208,,T208)*(1-R208)+INDEX(Models!$BJ208:$BT208,,T208+1)*R208-ERP_i)*Q208*Ramure*Pc/MaxiM</f>
        <v>6.9043654146238312E-5</v>
      </c>
      <c r="Q208" s="305">
        <f t="shared" si="77"/>
        <v>0.5</v>
      </c>
      <c r="R208" s="177">
        <f t="shared" si="78"/>
        <v>0.39494600683455827</v>
      </c>
      <c r="S208" s="811">
        <f t="shared" si="79"/>
        <v>-1</v>
      </c>
      <c r="T208" s="176">
        <f t="shared" si="80"/>
        <v>5</v>
      </c>
      <c r="U208" s="251">
        <f t="shared" si="81"/>
        <v>-0.60505399316544173</v>
      </c>
      <c r="V208" s="383">
        <f t="shared" si="82"/>
        <v>57.546859400400599</v>
      </c>
      <c r="W208" s="402"/>
      <c r="X208" s="157">
        <f t="shared" si="83"/>
        <v>44024</v>
      </c>
      <c r="Y208" s="385">
        <f t="shared" si="84"/>
        <v>38.825000000000003</v>
      </c>
      <c r="Z208" s="385">
        <f t="shared" si="85"/>
        <v>39.4810186479408</v>
      </c>
      <c r="AA208" s="386">
        <f t="shared" si="86"/>
        <v>41.174444721136524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4.1128085264169084E-2</v>
      </c>
      <c r="AD208" s="231">
        <f>(INDEX(Models!$BJ208:$BT208,,AH208)*(1-AF208)+INDEX(Models!$BJ208:$BT208,,AH208+1)*AF208-ERP_i)*AE208*Ramure*Pc/MaxiM</f>
        <v>6.9043654146238312E-5</v>
      </c>
      <c r="AE208" s="305">
        <f t="shared" si="88"/>
        <v>0.5</v>
      </c>
      <c r="AF208" s="177">
        <f t="shared" si="89"/>
        <v>0.39494600683455827</v>
      </c>
      <c r="AG208" s="811">
        <f t="shared" ref="AG208:AG271" si="95">INDEX(Echel_vg,AH208)</f>
        <v>-1</v>
      </c>
      <c r="AH208" s="176">
        <f t="shared" si="90"/>
        <v>5</v>
      </c>
      <c r="AI208" s="225">
        <f t="shared" si="91"/>
        <v>-0.60505399316544173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7">
        <v>57.051000000000002</v>
      </c>
      <c r="C209" s="390"/>
      <c r="D209" s="393">
        <f t="shared" si="74"/>
        <v>58.016250611638824</v>
      </c>
      <c r="E209" s="385">
        <f t="shared" si="72"/>
        <v>60.509511388332825</v>
      </c>
      <c r="F209" s="385">
        <f t="shared" si="75"/>
        <v>60.514031741406733</v>
      </c>
      <c r="G209" s="110">
        <f t="shared" si="73"/>
        <v>0.99336781556650777</v>
      </c>
      <c r="H209" s="414" t="b">
        <f>Wh_hp&gt;='2019'!Maxi_hp</f>
        <v>0</v>
      </c>
      <c r="I209" s="380">
        <f>IF(H209,Wh_hp,'2019'!Maxi_hp)</f>
        <v>61.910407700916835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1.6637590355506049E-2</v>
      </c>
      <c r="M209" s="845"/>
      <c r="N209" s="845"/>
      <c r="O209" s="48">
        <f>IF(t&lt;Tnet,'2019'!Resal+('2019'!Salim-'2019'!Resal)*(1-EXP(('2019'!Tnet-t)/('2019'!Tau_j))),Resal+(Salim-Resal)*(1-EXP((Tnet-t)/(Tau_j))))*Salcycl</f>
        <v>4.1204444053315289E-2</v>
      </c>
      <c r="P209" s="169">
        <f>(INDEX(Models!$BJ209:$BT209,,T209)*(1-R209)+INDEX(Models!$BJ209:$BT209,,T209+1)*R209-ERP_i)*Q209*Ramure*Pc/MaxiM</f>
        <v>7.5413689007084234E-5</v>
      </c>
      <c r="Q209" s="305">
        <f t="shared" si="77"/>
        <v>0.5</v>
      </c>
      <c r="R209" s="177">
        <f t="shared" si="78"/>
        <v>0.39825829263269119</v>
      </c>
      <c r="S209" s="811">
        <f t="shared" si="79"/>
        <v>-1</v>
      </c>
      <c r="T209" s="176">
        <f t="shared" si="80"/>
        <v>5</v>
      </c>
      <c r="U209" s="251">
        <f t="shared" si="81"/>
        <v>-0.60174170736730881</v>
      </c>
      <c r="V209" s="383">
        <f t="shared" si="82"/>
        <v>57.4318579117963</v>
      </c>
      <c r="W209" s="402"/>
      <c r="X209" s="157">
        <f t="shared" si="83"/>
        <v>44025</v>
      </c>
      <c r="Y209" s="385">
        <f t="shared" si="84"/>
        <v>57.051000000000002</v>
      </c>
      <c r="Z209" s="385">
        <f t="shared" si="85"/>
        <v>58.016250611638824</v>
      </c>
      <c r="AA209" s="386">
        <f t="shared" si="86"/>
        <v>60.509511388332825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4.1204444053315289E-2</v>
      </c>
      <c r="AD209" s="231">
        <f>(INDEX(Models!$BJ209:$BT209,,AH209)*(1-AF209)+INDEX(Models!$BJ209:$BT209,,AH209+1)*AF209-ERP_i)*AE209*Ramure*Pc/MaxiM</f>
        <v>7.5413689007084234E-5</v>
      </c>
      <c r="AE209" s="305">
        <f t="shared" si="88"/>
        <v>0.5</v>
      </c>
      <c r="AF209" s="177">
        <f t="shared" si="89"/>
        <v>0.39825829263269119</v>
      </c>
      <c r="AG209" s="811">
        <f t="shared" si="95"/>
        <v>-1</v>
      </c>
      <c r="AH209" s="176">
        <f t="shared" si="90"/>
        <v>5</v>
      </c>
      <c r="AI209" s="225">
        <f t="shared" si="91"/>
        <v>-0.60174170736730881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7">
        <v>45.905000000000001</v>
      </c>
      <c r="C210" s="390"/>
      <c r="D210" s="393">
        <f t="shared" si="74"/>
        <v>46.682692981858231</v>
      </c>
      <c r="E210" s="385">
        <f t="shared" si="72"/>
        <v>48.692747443525917</v>
      </c>
      <c r="F210" s="385">
        <f t="shared" si="75"/>
        <v>48.69561882172404</v>
      </c>
      <c r="G210" s="110">
        <f t="shared" si="73"/>
        <v>0.80090572743581601</v>
      </c>
      <c r="H210" s="414" t="b">
        <f>Wh_hp&gt;='2019'!Maxi_hp</f>
        <v>0</v>
      </c>
      <c r="I210" s="380">
        <f>IF(H210,Wh_hp,'2019'!Maxi_hp)</f>
        <v>63.341573131215071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1.6659128516010369E-2</v>
      </c>
      <c r="M210" s="845"/>
      <c r="N210" s="845"/>
      <c r="O210" s="48">
        <f>IF(t&lt;Tnet,'2019'!Resal+('2019'!Salim-'2019'!Resal)*(1-EXP(('2019'!Tnet-t)/('2019'!Tau_j))),Resal+(Salim-Resal)*(1-EXP((Tnet-t)/(Tau_j))))*Salcycl</f>
        <v>4.1280366526841784E-2</v>
      </c>
      <c r="P210" s="169">
        <f>(INDEX(Models!$BJ210:$BT210,,T210)*(1-R210)+INDEX(Models!$BJ210:$BT210,,T210+1)*R210-ERP_i)*Q210*Ramure*Pc/MaxiM</f>
        <v>8.2399822894194363E-5</v>
      </c>
      <c r="Q210" s="305">
        <f t="shared" si="77"/>
        <v>0.5</v>
      </c>
      <c r="R210" s="177">
        <f t="shared" si="78"/>
        <v>0.40148944703784362</v>
      </c>
      <c r="S210" s="811">
        <f t="shared" si="79"/>
        <v>-1</v>
      </c>
      <c r="T210" s="176">
        <f t="shared" si="80"/>
        <v>5</v>
      </c>
      <c r="U210" s="251">
        <f t="shared" si="81"/>
        <v>-0.59851055296215638</v>
      </c>
      <c r="V210" s="383">
        <f t="shared" si="82"/>
        <v>57.315015522074674</v>
      </c>
      <c r="W210" s="402"/>
      <c r="X210" s="157">
        <f t="shared" si="83"/>
        <v>44026</v>
      </c>
      <c r="Y210" s="385">
        <f t="shared" si="84"/>
        <v>45.905000000000001</v>
      </c>
      <c r="Z210" s="385">
        <f t="shared" si="85"/>
        <v>46.682692981858231</v>
      </c>
      <c r="AA210" s="386">
        <f t="shared" si="86"/>
        <v>48.692747443525917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4.1280366526841784E-2</v>
      </c>
      <c r="AD210" s="231">
        <f>(INDEX(Models!$BJ210:$BT210,,AH210)*(1-AF210)+INDEX(Models!$BJ210:$BT210,,AH210+1)*AF210-ERP_i)*AE210*Ramure*Pc/MaxiM</f>
        <v>8.2399822894194363E-5</v>
      </c>
      <c r="AE210" s="305">
        <f t="shared" si="88"/>
        <v>0.5</v>
      </c>
      <c r="AF210" s="177">
        <f t="shared" si="89"/>
        <v>0.40148944703784362</v>
      </c>
      <c r="AG210" s="811">
        <f t="shared" si="95"/>
        <v>-1</v>
      </c>
      <c r="AH210" s="176">
        <f t="shared" si="90"/>
        <v>5</v>
      </c>
      <c r="AI210" s="225">
        <f t="shared" si="91"/>
        <v>-0.59851055296215638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7">
        <v>20.506</v>
      </c>
      <c r="C211" s="390"/>
      <c r="D211" s="393">
        <f t="shared" si="74"/>
        <v>20.853856214598057</v>
      </c>
      <c r="E211" s="385">
        <f t="shared" si="72"/>
        <v>21.753490786415977</v>
      </c>
      <c r="F211" s="385">
        <f t="shared" si="75"/>
        <v>21.753654472966002</v>
      </c>
      <c r="G211" s="110">
        <f t="shared" si="73"/>
        <v>0.35848929107378003</v>
      </c>
      <c r="H211" s="414" t="b">
        <f>Wh_hp&gt;='2019'!Maxi_hp</f>
        <v>0</v>
      </c>
      <c r="I211" s="380">
        <f>IF(H211,Wh_hp,'2019'!Maxi_hp)</f>
        <v>61.340662594559738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1.6680666204773709E-2</v>
      </c>
      <c r="M211" s="845"/>
      <c r="N211" s="845"/>
      <c r="O211" s="48">
        <f>IF(t&lt;Tnet,'2019'!Resal+('2019'!Salim-'2019'!Resal)*(1-EXP(('2019'!Tnet-t)/('2019'!Tau_j))),Resal+(Salim-Resal)*(1-EXP((Tnet-t)/(Tau_j))))*Salcycl</f>
        <v>4.1355871600143285E-2</v>
      </c>
      <c r="P211" s="169">
        <f>(INDEX(Models!$BJ211:$BT211,,T211)*(1-R211)+INDEX(Models!$BJ211:$BT211,,T211+1)*R211-ERP_i)*Q211*Ramure*Pc/MaxiM</f>
        <v>9.0008376359336406E-5</v>
      </c>
      <c r="Q211" s="305">
        <f t="shared" si="77"/>
        <v>0.5</v>
      </c>
      <c r="R211" s="177">
        <f t="shared" si="78"/>
        <v>0.40463978639918508</v>
      </c>
      <c r="S211" s="811">
        <f t="shared" si="79"/>
        <v>-1</v>
      </c>
      <c r="T211" s="176">
        <f t="shared" si="80"/>
        <v>5</v>
      </c>
      <c r="U211" s="251">
        <f t="shared" si="81"/>
        <v>-0.59536021360081492</v>
      </c>
      <c r="V211" s="383">
        <f t="shared" si="82"/>
        <v>57.196432598020444</v>
      </c>
      <c r="W211" s="402"/>
      <c r="X211" s="157">
        <f t="shared" si="83"/>
        <v>44027</v>
      </c>
      <c r="Y211" s="385">
        <f t="shared" si="84"/>
        <v>20.506</v>
      </c>
      <c r="Z211" s="385">
        <f t="shared" si="85"/>
        <v>20.853856214598057</v>
      </c>
      <c r="AA211" s="386">
        <f t="shared" si="86"/>
        <v>21.753490786415977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4.1355871600143285E-2</v>
      </c>
      <c r="AD211" s="231">
        <f>(INDEX(Models!$BJ211:$BT211,,AH211)*(1-AF211)+INDEX(Models!$BJ211:$BT211,,AH211+1)*AF211-ERP_i)*AE211*Ramure*Pc/MaxiM</f>
        <v>9.0008376359336406E-5</v>
      </c>
      <c r="AE211" s="305">
        <f t="shared" si="88"/>
        <v>0.5</v>
      </c>
      <c r="AF211" s="177">
        <f t="shared" si="89"/>
        <v>0.40463978639918508</v>
      </c>
      <c r="AG211" s="811">
        <f t="shared" si="95"/>
        <v>-1</v>
      </c>
      <c r="AH211" s="176">
        <f t="shared" si="90"/>
        <v>5</v>
      </c>
      <c r="AI211" s="225">
        <f t="shared" si="91"/>
        <v>-0.59536021360081492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7">
        <v>24.061</v>
      </c>
      <c r="C212" s="390"/>
      <c r="D212" s="393">
        <f t="shared" si="74"/>
        <v>24.469697871520275</v>
      </c>
      <c r="E212" s="385">
        <f t="shared" si="72"/>
        <v>25.527319692559121</v>
      </c>
      <c r="F212" s="385">
        <f t="shared" si="75"/>
        <v>25.527751970255242</v>
      </c>
      <c r="G212" s="110">
        <f t="shared" si="73"/>
        <v>0.42152490037862472</v>
      </c>
      <c r="H212" s="414" t="b">
        <f>Wh_hp&gt;='2019'!Maxi_hp</f>
        <v>0</v>
      </c>
      <c r="I212" s="380">
        <f>IF(H212,Wh_hp,'2019'!Maxi_hp)</f>
        <v>53.167525253576699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1.6702203421806394E-2</v>
      </c>
      <c r="M212" s="845"/>
      <c r="N212" s="845"/>
      <c r="O212" s="48">
        <f>IF(t&lt;Tnet,'2019'!Resal+('2019'!Salim-'2019'!Resal)*(1-EXP(('2019'!Tnet-t)/('2019'!Tau_j))),Resal+(Salim-Resal)*(1-EXP((Tnet-t)/(Tau_j))))*Salcycl</f>
        <v>4.1430978017920526E-2</v>
      </c>
      <c r="P212" s="169">
        <f>(INDEX(Models!$BJ212:$BT212,,T212)*(1-R212)+INDEX(Models!$BJ212:$BT212,,T212+1)*R212-ERP_i)*Q212*Ramure*Pc/MaxiM</f>
        <v>9.7512803590056975E-5</v>
      </c>
      <c r="Q212" s="305">
        <f t="shared" si="77"/>
        <v>0.5</v>
      </c>
      <c r="R212" s="177">
        <f t="shared" si="78"/>
        <v>0.40770974446576136</v>
      </c>
      <c r="S212" s="811">
        <f t="shared" si="79"/>
        <v>-1</v>
      </c>
      <c r="T212" s="176">
        <f t="shared" si="80"/>
        <v>5</v>
      </c>
      <c r="U212" s="251">
        <f t="shared" si="81"/>
        <v>-0.59229025553423864</v>
      </c>
      <c r="V212" s="383">
        <f t="shared" si="82"/>
        <v>57.07625132048107</v>
      </c>
      <c r="W212" s="402"/>
      <c r="X212" s="157">
        <f t="shared" si="83"/>
        <v>44028</v>
      </c>
      <c r="Y212" s="385">
        <f t="shared" si="84"/>
        <v>24.061</v>
      </c>
      <c r="Z212" s="385">
        <f t="shared" si="85"/>
        <v>24.469697871520275</v>
      </c>
      <c r="AA212" s="386">
        <f t="shared" si="86"/>
        <v>25.527319692559121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4.1430978017920526E-2</v>
      </c>
      <c r="AD212" s="231">
        <f>(INDEX(Models!$BJ212:$BT212,,AH212)*(1-AF212)+INDEX(Models!$BJ212:$BT212,,AH212+1)*AF212-ERP_i)*AE212*Ramure*Pc/MaxiM</f>
        <v>9.7512803590056975E-5</v>
      </c>
      <c r="AE212" s="305">
        <f t="shared" si="88"/>
        <v>0.5</v>
      </c>
      <c r="AF212" s="177">
        <f t="shared" si="89"/>
        <v>0.40770974446576136</v>
      </c>
      <c r="AG212" s="811">
        <f t="shared" si="95"/>
        <v>-1</v>
      </c>
      <c r="AH212" s="176">
        <f t="shared" si="90"/>
        <v>5</v>
      </c>
      <c r="AI212" s="225">
        <f t="shared" si="91"/>
        <v>-0.59229025553423864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7">
        <v>26.225999999999999</v>
      </c>
      <c r="C213" s="390"/>
      <c r="D213" s="393">
        <f t="shared" si="74"/>
        <v>26.672056543353747</v>
      </c>
      <c r="E213" s="385">
        <f t="shared" si="72"/>
        <v>27.827037324701848</v>
      </c>
      <c r="F213" s="385">
        <f t="shared" si="75"/>
        <v>27.827704086183811</v>
      </c>
      <c r="G213" s="110">
        <f t="shared" si="73"/>
        <v>0.46043497313277865</v>
      </c>
      <c r="H213" s="414" t="b">
        <f>Wh_hp&gt;='2019'!Maxi_hp</f>
        <v>0</v>
      </c>
      <c r="I213" s="380">
        <f>IF(H213,Wh_hp,'2019'!Maxi_hp)</f>
        <v>40.946955028301232</v>
      </c>
      <c r="J213" s="85">
        <f>IF(H213,An,'2019'!An_max)</f>
        <v>2019</v>
      </c>
      <c r="K213" s="197">
        <f t="shared" si="76"/>
        <v>44029</v>
      </c>
      <c r="L213" s="147">
        <f>IF(t&lt;Tvie,1-EXP((T0-t)*PertePVj)+'2019'!Pspv,1-EXP((T0-t)*PertePVj)+Pspv)</f>
        <v>1.672374016711875E-2</v>
      </c>
      <c r="M213" s="845"/>
      <c r="N213" s="845"/>
      <c r="O213" s="48">
        <f>IF(t&lt;Tnet,'2019'!Resal+('2019'!Salim-'2019'!Resal)*(1-EXP(('2019'!Tnet-t)/('2019'!Tau_j))),Resal+(Salim-Resal)*(1-EXP((Tnet-t)/(Tau_j))))*Salcycl</f>
        <v>4.1505704249831563E-2</v>
      </c>
      <c r="P213" s="169">
        <f>(INDEX(Models!$BJ213:$BT213,,T213)*(1-R213)+INDEX(Models!$BJ213:$BT213,,T213+1)*R213-ERP_i)*Q213*Ramure*Pc/MaxiM</f>
        <v>1.0451815037919345E-4</v>
      </c>
      <c r="Q213" s="305">
        <f t="shared" si="77"/>
        <v>0.5</v>
      </c>
      <c r="R213" s="177">
        <f t="shared" si="78"/>
        <v>0.41069986538205172</v>
      </c>
      <c r="S213" s="811">
        <f t="shared" si="79"/>
        <v>-1</v>
      </c>
      <c r="T213" s="176">
        <f t="shared" si="80"/>
        <v>5</v>
      </c>
      <c r="U213" s="251">
        <f t="shared" si="81"/>
        <v>-0.58930013461794828</v>
      </c>
      <c r="V213" s="383">
        <f t="shared" si="82"/>
        <v>56.954594613075912</v>
      </c>
      <c r="W213" s="402"/>
      <c r="X213" s="157">
        <f t="shared" si="83"/>
        <v>44029</v>
      </c>
      <c r="Y213" s="385">
        <f t="shared" si="84"/>
        <v>26.225999999999999</v>
      </c>
      <c r="Z213" s="385">
        <f t="shared" si="85"/>
        <v>26.672056543353747</v>
      </c>
      <c r="AA213" s="386">
        <f t="shared" si="86"/>
        <v>27.827037324701848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4.1505704249831563E-2</v>
      </c>
      <c r="AD213" s="231">
        <f>(INDEX(Models!$BJ213:$BT213,,AH213)*(1-AF213)+INDEX(Models!$BJ213:$BT213,,AH213+1)*AF213-ERP_i)*AE213*Ramure*Pc/MaxiM</f>
        <v>1.0451815037919345E-4</v>
      </c>
      <c r="AE213" s="305">
        <f t="shared" si="88"/>
        <v>0.5</v>
      </c>
      <c r="AF213" s="177">
        <f t="shared" si="89"/>
        <v>0.41069986538205172</v>
      </c>
      <c r="AG213" s="811">
        <f t="shared" si="95"/>
        <v>-1</v>
      </c>
      <c r="AH213" s="176">
        <f t="shared" si="90"/>
        <v>5</v>
      </c>
      <c r="AI213" s="225">
        <f t="shared" si="91"/>
        <v>-0.58930013461794828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7">
        <v>57.085000000000001</v>
      </c>
      <c r="C214" s="390"/>
      <c r="D214" s="393">
        <f t="shared" si="74"/>
        <v>58.057183588560129</v>
      </c>
      <c r="E214" s="385">
        <f t="shared" si="72"/>
        <v>60.575935113464617</v>
      </c>
      <c r="F214" s="385">
        <f t="shared" si="75"/>
        <v>60.582660665176114</v>
      </c>
      <c r="G214" s="110">
        <f t="shared" si="73"/>
        <v>1.0044594355515597</v>
      </c>
      <c r="H214" s="414" t="b">
        <f>Wh_hp&gt;='2019'!Maxi_hp</f>
        <v>1</v>
      </c>
      <c r="I214" s="380">
        <f>IF(H214,Wh_hp,'2019'!Maxi_hp)</f>
        <v>60.582660665176114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1.6745276440720991E-2</v>
      </c>
      <c r="M214" s="845"/>
      <c r="N214" s="845"/>
      <c r="O214" s="48">
        <f>IF(t&lt;Tnet,'2019'!Resal+('2019'!Salim-'2019'!Resal)*(1-EXP(('2019'!Tnet-t)/('2019'!Tau_j))),Resal+(Salim-Resal)*(1-EXP((Tnet-t)/(Tau_j))))*Salcycl</f>
        <v>4.1580068391624883E-2</v>
      </c>
      <c r="P214" s="169">
        <f>(INDEX(Models!$BJ214:$BT214,,T214)*(1-R214)+INDEX(Models!$BJ214:$BT214,,T214+1)*R214-ERP_i)*Q214*Ramure*Pc/MaxiM</f>
        <v>1.1101446581663855E-4</v>
      </c>
      <c r="Q214" s="305">
        <f t="shared" si="77"/>
        <v>0.5</v>
      </c>
      <c r="R214" s="177">
        <f t="shared" si="78"/>
        <v>0.41361079664761546</v>
      </c>
      <c r="S214" s="811">
        <f t="shared" si="79"/>
        <v>-1</v>
      </c>
      <c r="T214" s="176">
        <f t="shared" si="80"/>
        <v>5</v>
      </c>
      <c r="U214" s="251">
        <f t="shared" si="81"/>
        <v>-0.58638920335238454</v>
      </c>
      <c r="V214" s="383">
        <f t="shared" si="82"/>
        <v>56.831563306141874</v>
      </c>
      <c r="W214" s="402"/>
      <c r="X214" s="157">
        <f t="shared" si="83"/>
        <v>44030</v>
      </c>
      <c r="Y214" s="385">
        <f t="shared" si="84"/>
        <v>57.085000000000001</v>
      </c>
      <c r="Z214" s="385">
        <f t="shared" si="85"/>
        <v>58.057183588560129</v>
      </c>
      <c r="AA214" s="386">
        <f t="shared" si="86"/>
        <v>60.575935113464617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4.1580068391624883E-2</v>
      </c>
      <c r="AD214" s="231">
        <f>(INDEX(Models!$BJ214:$BT214,,AH214)*(1-AF214)+INDEX(Models!$BJ214:$BT214,,AH214+1)*AF214-ERP_i)*AE214*Ramure*Pc/MaxiM</f>
        <v>1.1101446581663855E-4</v>
      </c>
      <c r="AE214" s="305">
        <f t="shared" si="88"/>
        <v>0.5</v>
      </c>
      <c r="AF214" s="177">
        <f t="shared" si="89"/>
        <v>0.41361079664761546</v>
      </c>
      <c r="AG214" s="811">
        <f t="shared" si="95"/>
        <v>-1</v>
      </c>
      <c r="AH214" s="176">
        <f t="shared" si="90"/>
        <v>5</v>
      </c>
      <c r="AI214" s="225">
        <f t="shared" si="91"/>
        <v>-0.58638920335238454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7">
        <v>55.914999999999999</v>
      </c>
      <c r="C215" s="390"/>
      <c r="D215" s="393">
        <f t="shared" si="74"/>
        <v>56.868503521056539</v>
      </c>
      <c r="E215" s="385">
        <f t="shared" si="72"/>
        <v>59.340268282326242</v>
      </c>
      <c r="F215" s="385">
        <f t="shared" si="75"/>
        <v>59.347072848746947</v>
      </c>
      <c r="G215" s="110">
        <f t="shared" si="73"/>
        <v>0.98602667819363476</v>
      </c>
      <c r="H215" s="414" t="b">
        <f>Wh_hp&gt;='2019'!Maxi_hp</f>
        <v>1</v>
      </c>
      <c r="I215" s="380">
        <f>IF(H215,Wh_hp,'2019'!Maxi_hp)</f>
        <v>59.347072848746947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1.6766812242623663E-2</v>
      </c>
      <c r="M215" s="845"/>
      <c r="N215" s="845"/>
      <c r="O215" s="48">
        <f>IF(t&lt;Tnet,'2019'!Resal+('2019'!Salim-'2019'!Resal)*(1-EXP(('2019'!Tnet-t)/('2019'!Tau_j))),Resal+(Salim-Resal)*(1-EXP((Tnet-t)/(Tau_j))))*Salcycl</f>
        <v>4.1654088072363558E-2</v>
      </c>
      <c r="P215" s="169">
        <f>(INDEX(Models!$BJ215:$BT215,,T215)*(1-R215)+INDEX(Models!$BJ215:$BT215,,T215+1)*R215-ERP_i)*Q215*Ramure*Pc/MaxiM</f>
        <v>1.169921525885705E-4</v>
      </c>
      <c r="Q215" s="305">
        <f t="shared" si="77"/>
        <v>0.5</v>
      </c>
      <c r="R215" s="177">
        <f t="shared" si="78"/>
        <v>0.41644328208305059</v>
      </c>
      <c r="S215" s="811">
        <f t="shared" si="79"/>
        <v>-1</v>
      </c>
      <c r="T215" s="176">
        <f t="shared" si="80"/>
        <v>5</v>
      </c>
      <c r="U215" s="251">
        <f t="shared" si="81"/>
        <v>-0.58355671791694941</v>
      </c>
      <c r="V215" s="383">
        <f t="shared" si="82"/>
        <v>56.707258190994352</v>
      </c>
      <c r="W215" s="402"/>
      <c r="X215" s="157">
        <f t="shared" si="83"/>
        <v>44031</v>
      </c>
      <c r="Y215" s="385">
        <f t="shared" si="84"/>
        <v>55.914999999999999</v>
      </c>
      <c r="Z215" s="385">
        <f t="shared" si="85"/>
        <v>56.868503521056539</v>
      </c>
      <c r="AA215" s="386">
        <f t="shared" si="86"/>
        <v>59.340268282326242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4.1654088072363558E-2</v>
      </c>
      <c r="AD215" s="231">
        <f>(INDEX(Models!$BJ215:$BT215,,AH215)*(1-AF215)+INDEX(Models!$BJ215:$BT215,,AH215+1)*AF215-ERP_i)*AE215*Ramure*Pc/MaxiM</f>
        <v>1.169921525885705E-4</v>
      </c>
      <c r="AE215" s="305">
        <f t="shared" si="88"/>
        <v>0.5</v>
      </c>
      <c r="AF215" s="177">
        <f t="shared" si="89"/>
        <v>0.41644328208305059</v>
      </c>
      <c r="AG215" s="811">
        <f t="shared" si="95"/>
        <v>-1</v>
      </c>
      <c r="AH215" s="176">
        <f t="shared" si="90"/>
        <v>5</v>
      </c>
      <c r="AI215" s="225">
        <f t="shared" si="91"/>
        <v>-0.58355671791694941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7">
        <v>49.61</v>
      </c>
      <c r="C216" s="390"/>
      <c r="D216" s="393">
        <f t="shared" si="74"/>
        <v>50.457091184316639</v>
      </c>
      <c r="E216" s="385">
        <f t="shared" si="72"/>
        <v>52.654235561277467</v>
      </c>
      <c r="F216" s="385">
        <f t="shared" si="75"/>
        <v>52.659548349792288</v>
      </c>
      <c r="G216" s="110">
        <f t="shared" si="73"/>
        <v>0.87676511140649782</v>
      </c>
      <c r="H216" s="414" t="b">
        <f>Wh_hp&gt;='2019'!Maxi_hp</f>
        <v>1</v>
      </c>
      <c r="I216" s="380">
        <f>IF(H216,Wh_hp,'2019'!Maxi_hp)</f>
        <v>52.659548349792288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1.6788347572837092E-2</v>
      </c>
      <c r="M216" s="845"/>
      <c r="N216" s="845"/>
      <c r="O216" s="48">
        <f>IF(t&lt;Tnet,'2019'!Resal+('2019'!Salim-'2019'!Resal)*(1-EXP(('2019'!Tnet-t)/('2019'!Tau_j))),Resal+(Salim-Resal)*(1-EXP((Tnet-t)/(Tau_j))))*Salcycl</f>
        <v>4.1727780368283209E-2</v>
      </c>
      <c r="P216" s="169">
        <f>(INDEX(Models!$BJ216:$BT216,,T216)*(1-R216)+INDEX(Models!$BJ216:$BT216,,T216+1)*R216-ERP_i)*Q216*Ramure*Pc/MaxiM</f>
        <v>1.2244194680494737E-4</v>
      </c>
      <c r="Q216" s="305">
        <f t="shared" si="77"/>
        <v>0.5</v>
      </c>
      <c r="R216" s="177">
        <f t="shared" si="78"/>
        <v>0.41919815484111056</v>
      </c>
      <c r="S216" s="811">
        <f t="shared" si="79"/>
        <v>-1</v>
      </c>
      <c r="T216" s="176">
        <f t="shared" si="80"/>
        <v>5</v>
      </c>
      <c r="U216" s="251">
        <f t="shared" si="81"/>
        <v>-0.58080184515888944</v>
      </c>
      <c r="V216" s="383">
        <f t="shared" si="82"/>
        <v>56.581780026652716</v>
      </c>
      <c r="W216" s="402"/>
      <c r="X216" s="157">
        <f t="shared" si="83"/>
        <v>44032</v>
      </c>
      <c r="Y216" s="385">
        <f t="shared" si="84"/>
        <v>49.61</v>
      </c>
      <c r="Z216" s="385">
        <f t="shared" si="85"/>
        <v>50.457091184316639</v>
      </c>
      <c r="AA216" s="386">
        <f t="shared" si="86"/>
        <v>52.654235561277467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4.1727780368283209E-2</v>
      </c>
      <c r="AD216" s="231">
        <f>(INDEX(Models!$BJ216:$BT216,,AH216)*(1-AF216)+INDEX(Models!$BJ216:$BT216,,AH216+1)*AF216-ERP_i)*AE216*Ramure*Pc/MaxiM</f>
        <v>1.2244194680494737E-4</v>
      </c>
      <c r="AE216" s="305">
        <f t="shared" si="88"/>
        <v>0.5</v>
      </c>
      <c r="AF216" s="177">
        <f t="shared" si="89"/>
        <v>0.41919815484111056</v>
      </c>
      <c r="AG216" s="811">
        <f t="shared" si="95"/>
        <v>-1</v>
      </c>
      <c r="AH216" s="176">
        <f t="shared" si="90"/>
        <v>5</v>
      </c>
      <c r="AI216" s="225">
        <f t="shared" si="91"/>
        <v>-0.58080184515888944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7">
        <v>52.11</v>
      </c>
      <c r="C217" s="390"/>
      <c r="D217" s="393">
        <f t="shared" si="74"/>
        <v>53.000939562802934</v>
      </c>
      <c r="E217" s="385">
        <f t="shared" si="72"/>
        <v>55.313091026231156</v>
      </c>
      <c r="F217" s="385">
        <f t="shared" si="75"/>
        <v>55.319361571777101</v>
      </c>
      <c r="G217" s="110">
        <f t="shared" si="73"/>
        <v>0.92301936650766248</v>
      </c>
      <c r="H217" s="414" t="b">
        <f>Wh_hp&gt;='2019'!Maxi_hp</f>
        <v>1</v>
      </c>
      <c r="I217" s="380">
        <f>IF(H217,Wh_hp,'2019'!Maxi_hp)</f>
        <v>55.319361571777101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1.6809882431371381E-2</v>
      </c>
      <c r="M217" s="845"/>
      <c r="N217" s="845"/>
      <c r="O217" s="48">
        <f>IF(t&lt;Tnet,'2019'!Resal+('2019'!Salim-'2019'!Resal)*(1-EXP(('2019'!Tnet-t)/('2019'!Tau_j))),Resal+(Salim-Resal)*(1-EXP((Tnet-t)/(Tau_j))))*Salcycl</f>
        <v>4.1801161723754171E-2</v>
      </c>
      <c r="P217" s="169">
        <f>(INDEX(Models!$BJ217:$BT217,,T217)*(1-R217)+INDEX(Models!$BJ217:$BT217,,T217+1)*R217-ERP_i)*Q217*Ramure*Pc/MaxiM</f>
        <v>1.2735489716309781E-4</v>
      </c>
      <c r="Q217" s="305">
        <f t="shared" si="77"/>
        <v>0.5</v>
      </c>
      <c r="R217" s="177">
        <f t="shared" si="78"/>
        <v>0.42187633049838968</v>
      </c>
      <c r="S217" s="811">
        <f t="shared" si="79"/>
        <v>-1</v>
      </c>
      <c r="T217" s="176">
        <f t="shared" si="80"/>
        <v>5</v>
      </c>
      <c r="U217" s="251">
        <f t="shared" si="81"/>
        <v>-0.57812366950161032</v>
      </c>
      <c r="V217" s="383">
        <f t="shared" si="82"/>
        <v>56.455229546910054</v>
      </c>
      <c r="W217" s="402"/>
      <c r="X217" s="157">
        <f t="shared" si="83"/>
        <v>44033</v>
      </c>
      <c r="Y217" s="385">
        <f t="shared" si="84"/>
        <v>52.11</v>
      </c>
      <c r="Z217" s="385">
        <f t="shared" si="85"/>
        <v>53.000939562802934</v>
      </c>
      <c r="AA217" s="386">
        <f t="shared" si="86"/>
        <v>55.313091026231156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4.1801161723754171E-2</v>
      </c>
      <c r="AD217" s="231">
        <f>(INDEX(Models!$BJ217:$BT217,,AH217)*(1-AF217)+INDEX(Models!$BJ217:$BT217,,AH217+1)*AF217-ERP_i)*AE217*Ramure*Pc/MaxiM</f>
        <v>1.2735489716309781E-4</v>
      </c>
      <c r="AE217" s="305">
        <f t="shared" si="88"/>
        <v>0.5</v>
      </c>
      <c r="AF217" s="177">
        <f t="shared" si="89"/>
        <v>0.42187633049838968</v>
      </c>
      <c r="AG217" s="811">
        <f t="shared" si="95"/>
        <v>-1</v>
      </c>
      <c r="AH217" s="176">
        <f t="shared" si="90"/>
        <v>5</v>
      </c>
      <c r="AI217" s="225">
        <f t="shared" si="91"/>
        <v>-0.57812366950161032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7">
        <v>50.957999999999998</v>
      </c>
      <c r="C218" s="390"/>
      <c r="D218" s="393">
        <f t="shared" si="74"/>
        <v>51.830378707879397</v>
      </c>
      <c r="E218" s="385">
        <f t="shared" si="72"/>
        <v>54.095590890008772</v>
      </c>
      <c r="F218" s="385">
        <f t="shared" si="75"/>
        <v>54.101746786144005</v>
      </c>
      <c r="G218" s="110">
        <f t="shared" si="73"/>
        <v>0.90465399834549887</v>
      </c>
      <c r="H218" s="414" t="b">
        <f>Wh_hp&gt;='2019'!Maxi_hp</f>
        <v>0</v>
      </c>
      <c r="I218" s="380">
        <f>IF(H218,Wh_hp,'2019'!Maxi_hp)</f>
        <v>57.937152506467669</v>
      </c>
      <c r="J218" s="85">
        <f>IF(H218,An,'2019'!An_max)</f>
        <v>2019</v>
      </c>
      <c r="K218" s="197">
        <f t="shared" si="76"/>
        <v>44034</v>
      </c>
      <c r="L218" s="147">
        <f>IF(t&lt;Tvie,1-EXP((T0-t)*PertePVj)+'2019'!Pspv,1-EXP((T0-t)*PertePVj)+Pspv)</f>
        <v>1.6831416818237077E-2</v>
      </c>
      <c r="M218" s="845"/>
      <c r="N218" s="845"/>
      <c r="O218" s="48">
        <f>IF(t&lt;Tnet,'2019'!Resal+('2019'!Salim-'2019'!Resal)*(1-EXP(('2019'!Tnet-t)/('2019'!Tau_j))),Resal+(Salim-Resal)*(1-EXP((Tnet-t)/(Tau_j))))*Salcycl</f>
        <v>4.1874247879742539E-2</v>
      </c>
      <c r="P218" s="169">
        <f>(INDEX(Models!$BJ218:$BT218,,T218)*(1-R218)+INDEX(Models!$BJ218:$BT218,,T218+1)*R218-ERP_i)*Q218*Ramure*Pc/MaxiM</f>
        <v>1.3172234382091927E-4</v>
      </c>
      <c r="Q218" s="305">
        <f t="shared" si="77"/>
        <v>0.5</v>
      </c>
      <c r="R218" s="177">
        <f t="shared" si="78"/>
        <v>0.42447880025952189</v>
      </c>
      <c r="S218" s="811">
        <f t="shared" si="79"/>
        <v>-1</v>
      </c>
      <c r="T218" s="176">
        <f t="shared" si="80"/>
        <v>5</v>
      </c>
      <c r="U218" s="251">
        <f t="shared" si="81"/>
        <v>-0.57552119974047811</v>
      </c>
      <c r="V218" s="383">
        <f t="shared" si="82"/>
        <v>56.327707467179984</v>
      </c>
      <c r="W218" s="402"/>
      <c r="X218" s="157">
        <f t="shared" si="83"/>
        <v>44034</v>
      </c>
      <c r="Y218" s="385">
        <f t="shared" si="84"/>
        <v>50.957999999999998</v>
      </c>
      <c r="Z218" s="385">
        <f t="shared" si="85"/>
        <v>51.830378707879397</v>
      </c>
      <c r="AA218" s="386">
        <f t="shared" si="86"/>
        <v>54.095590890008772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4.1874247879742539E-2</v>
      </c>
      <c r="AD218" s="231">
        <f>(INDEX(Models!$BJ218:$BT218,,AH218)*(1-AF218)+INDEX(Models!$BJ218:$BT218,,AH218+1)*AF218-ERP_i)*AE218*Ramure*Pc/MaxiM</f>
        <v>1.3172234382091927E-4</v>
      </c>
      <c r="AE218" s="305">
        <f t="shared" si="88"/>
        <v>0.5</v>
      </c>
      <c r="AF218" s="177">
        <f t="shared" si="89"/>
        <v>0.42447880025952189</v>
      </c>
      <c r="AG218" s="811">
        <f t="shared" si="95"/>
        <v>-1</v>
      </c>
      <c r="AH218" s="176">
        <f t="shared" si="90"/>
        <v>5</v>
      </c>
      <c r="AI218" s="225">
        <f t="shared" si="91"/>
        <v>-0.57552119974047811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7">
        <v>48.616</v>
      </c>
      <c r="C219" s="390"/>
      <c r="D219" s="393">
        <f t="shared" si="74"/>
        <v>49.449367758636271</v>
      </c>
      <c r="E219" s="385">
        <f t="shared" si="72"/>
        <v>51.614441514210377</v>
      </c>
      <c r="F219" s="385">
        <f t="shared" si="75"/>
        <v>51.620089282585603</v>
      </c>
      <c r="G219" s="110">
        <f t="shared" si="73"/>
        <v>0.8650452206340502</v>
      </c>
      <c r="H219" s="414" t="b">
        <f>Wh_hp&gt;='2019'!Maxi_hp</f>
        <v>0</v>
      </c>
      <c r="I219" s="380">
        <f>IF(H219,Wh_hp,'2019'!Maxi_hp)</f>
        <v>57.924820130429069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1.6852950733444394E-2</v>
      </c>
      <c r="M219" s="845"/>
      <c r="N219" s="845"/>
      <c r="O219" s="48">
        <f>IF(t&lt;Tnet,'2019'!Resal+('2019'!Salim-'2019'!Resal)*(1-EXP(('2019'!Tnet-t)/('2019'!Tau_j))),Resal+(Salim-Resal)*(1-EXP((Tnet-t)/(Tau_j))))*Salcycl</f>
        <v>4.1947053810085809E-2</v>
      </c>
      <c r="P219" s="169">
        <f>(INDEX(Models!$BJ219:$BT219,,T219)*(1-R219)+INDEX(Models!$BJ219:$BT219,,T219+1)*R219-ERP_i)*Q219*Ramure*Pc/MaxiM</f>
        <v>1.3553628808633938E-4</v>
      </c>
      <c r="Q219" s="305">
        <f t="shared" si="77"/>
        <v>0.5</v>
      </c>
      <c r="R219" s="177">
        <f t="shared" si="78"/>
        <v>0.42700662430239911</v>
      </c>
      <c r="S219" s="811">
        <f t="shared" si="79"/>
        <v>-1</v>
      </c>
      <c r="T219" s="176">
        <f t="shared" si="80"/>
        <v>5</v>
      </c>
      <c r="U219" s="251">
        <f t="shared" si="81"/>
        <v>-0.57299337569760089</v>
      </c>
      <c r="V219" s="383">
        <f t="shared" si="82"/>
        <v>56.199061689898663</v>
      </c>
      <c r="W219" s="402"/>
      <c r="X219" s="157">
        <f t="shared" si="83"/>
        <v>44035</v>
      </c>
      <c r="Y219" s="385">
        <f t="shared" si="84"/>
        <v>48.616</v>
      </c>
      <c r="Z219" s="385">
        <f t="shared" si="85"/>
        <v>49.449367758636271</v>
      </c>
      <c r="AA219" s="386">
        <f t="shared" si="86"/>
        <v>51.614441514210377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4.1947053810085809E-2</v>
      </c>
      <c r="AD219" s="231">
        <f>(INDEX(Models!$BJ219:$BT219,,AH219)*(1-AF219)+INDEX(Models!$BJ219:$BT219,,AH219+1)*AF219-ERP_i)*AE219*Ramure*Pc/MaxiM</f>
        <v>1.3553628808633938E-4</v>
      </c>
      <c r="AE219" s="305">
        <f t="shared" si="88"/>
        <v>0.5</v>
      </c>
      <c r="AF219" s="177">
        <f t="shared" si="89"/>
        <v>0.42700662430239911</v>
      </c>
      <c r="AG219" s="811">
        <f t="shared" si="95"/>
        <v>-1</v>
      </c>
      <c r="AH219" s="176">
        <f t="shared" si="90"/>
        <v>5</v>
      </c>
      <c r="AI219" s="225">
        <f t="shared" si="91"/>
        <v>-0.57299337569760089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7">
        <v>54.643000000000001</v>
      </c>
      <c r="C220" s="390"/>
      <c r="D220" s="393">
        <f t="shared" si="74"/>
        <v>55.580899000731492</v>
      </c>
      <c r="E220" s="385">
        <f t="shared" si="72"/>
        <v>58.018826515897061</v>
      </c>
      <c r="F220" s="385">
        <f t="shared" si="75"/>
        <v>58.026560165421124</v>
      </c>
      <c r="G220" s="110">
        <f t="shared" si="73"/>
        <v>0.97456041397706794</v>
      </c>
      <c r="H220" s="414" t="b">
        <f>Wh_hp&gt;='2019'!Maxi_hp</f>
        <v>0</v>
      </c>
      <c r="I220" s="380">
        <f>IF(H220,Wh_hp,'2019'!Maxi_hp)</f>
        <v>58.619065963281635</v>
      </c>
      <c r="J220" s="85">
        <f>IF(H220,An,'2019'!An_max)</f>
        <v>2019</v>
      </c>
      <c r="K220" s="197">
        <f t="shared" si="76"/>
        <v>44036</v>
      </c>
      <c r="L220" s="147">
        <f>IF(t&lt;Tvie,1-EXP((T0-t)*PertePVj)+'2019'!Pspv,1-EXP((T0-t)*PertePVj)+Pspv)</f>
        <v>1.6874484177003768E-2</v>
      </c>
      <c r="M220" s="845"/>
      <c r="N220" s="845"/>
      <c r="O220" s="48">
        <f>IF(t&lt;Tnet,'2019'!Resal+('2019'!Salim-'2019'!Resal)*(1-EXP(('2019'!Tnet-t)/('2019'!Tau_j))),Resal+(Salim-Resal)*(1-EXP((Tnet-t)/(Tau_j))))*Salcycl</f>
        <v>4.2019593665817798E-2</v>
      </c>
      <c r="P220" s="169">
        <f>(INDEX(Models!$BJ220:$BT220,,T220)*(1-R220)+INDEX(Models!$BJ220:$BT220,,T220+1)*R220-ERP_i)*Q220*Ramure*Pc/MaxiM</f>
        <v>1.3830303022800455E-4</v>
      </c>
      <c r="Q220" s="305">
        <f t="shared" si="77"/>
        <v>0.5</v>
      </c>
      <c r="R220" s="177">
        <f t="shared" si="78"/>
        <v>0.42946092528953406</v>
      </c>
      <c r="S220" s="811">
        <f t="shared" si="79"/>
        <v>-1</v>
      </c>
      <c r="T220" s="176">
        <f t="shared" si="80"/>
        <v>5</v>
      </c>
      <c r="U220" s="251">
        <f t="shared" si="81"/>
        <v>-0.57053907471046594</v>
      </c>
      <c r="V220" s="383">
        <f t="shared" si="82"/>
        <v>56.069100061386614</v>
      </c>
      <c r="W220" s="402"/>
      <c r="X220" s="157">
        <f t="shared" si="83"/>
        <v>44036</v>
      </c>
      <c r="Y220" s="385">
        <f t="shared" si="84"/>
        <v>54.643000000000001</v>
      </c>
      <c r="Z220" s="385">
        <f t="shared" si="85"/>
        <v>55.580899000731492</v>
      </c>
      <c r="AA220" s="386">
        <f t="shared" si="86"/>
        <v>58.018826515897061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4.2019593665817798E-2</v>
      </c>
      <c r="AD220" s="231">
        <f>(INDEX(Models!$BJ220:$BT220,,AH220)*(1-AF220)+INDEX(Models!$BJ220:$BT220,,AH220+1)*AF220-ERP_i)*AE220*Ramure*Pc/MaxiM</f>
        <v>1.3830303022800455E-4</v>
      </c>
      <c r="AE220" s="305">
        <f t="shared" si="88"/>
        <v>0.5</v>
      </c>
      <c r="AF220" s="177">
        <f t="shared" si="89"/>
        <v>0.42946092528953406</v>
      </c>
      <c r="AG220" s="811">
        <f t="shared" si="95"/>
        <v>-1</v>
      </c>
      <c r="AH220" s="176">
        <f t="shared" si="90"/>
        <v>5</v>
      </c>
      <c r="AI220" s="225">
        <f t="shared" si="91"/>
        <v>-0.57053907471046594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7">
        <v>54.648000000000003</v>
      </c>
      <c r="C221" s="390"/>
      <c r="D221" s="393">
        <f t="shared" si="74"/>
        <v>55.587202323722401</v>
      </c>
      <c r="E221" s="385">
        <f t="shared" si="72"/>
        <v>58.029785117543796</v>
      </c>
      <c r="F221" s="385">
        <f t="shared" si="75"/>
        <v>58.03763301162973</v>
      </c>
      <c r="G221" s="110">
        <f t="shared" si="73"/>
        <v>0.97693717556042692</v>
      </c>
      <c r="H221" s="414" t="b">
        <f>Wh_hp&gt;='2019'!Maxi_hp</f>
        <v>1</v>
      </c>
      <c r="I221" s="380">
        <f>IF(H221,Wh_hp,'2019'!Maxi_hp)</f>
        <v>58.03763301162973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1.6896017148925413E-2</v>
      </c>
      <c r="M221" s="845"/>
      <c r="N221" s="845"/>
      <c r="O221" s="48">
        <f>IF(t&lt;Tnet,'2019'!Resal+('2019'!Salim-'2019'!Resal)*(1-EXP(('2019'!Tnet-t)/('2019'!Tau_j))),Resal+(Salim-Resal)*(1-EXP((Tnet-t)/(Tau_j))))*Salcycl</f>
        <v>4.20918807276945E-2</v>
      </c>
      <c r="P221" s="169">
        <f>(INDEX(Models!$BJ221:$BT221,,T221)*(1-R221)+INDEX(Models!$BJ221:$BT221,,T221+1)*R221-ERP_i)*Q221*Ramure*Pc/MaxiM</f>
        <v>1.3982673890650427E-4</v>
      </c>
      <c r="Q221" s="305">
        <f t="shared" si="77"/>
        <v>0.5</v>
      </c>
      <c r="R221" s="177">
        <f t="shared" si="78"/>
        <v>0.43184288206739296</v>
      </c>
      <c r="S221" s="811">
        <f t="shared" si="79"/>
        <v>-1</v>
      </c>
      <c r="T221" s="176">
        <f t="shared" si="80"/>
        <v>5</v>
      </c>
      <c r="U221" s="251">
        <f t="shared" si="81"/>
        <v>-0.56815711793260704</v>
      </c>
      <c r="V221" s="383">
        <f t="shared" si="82"/>
        <v>55.937832674085826</v>
      </c>
      <c r="W221" s="402"/>
      <c r="X221" s="157">
        <f t="shared" si="83"/>
        <v>44037</v>
      </c>
      <c r="Y221" s="385">
        <f t="shared" si="84"/>
        <v>54.648000000000003</v>
      </c>
      <c r="Z221" s="385">
        <f t="shared" si="85"/>
        <v>55.587202323722401</v>
      </c>
      <c r="AA221" s="386">
        <f t="shared" si="86"/>
        <v>58.029785117543796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4.20918807276945E-2</v>
      </c>
      <c r="AD221" s="231">
        <f>(INDEX(Models!$BJ221:$BT221,,AH221)*(1-AF221)+INDEX(Models!$BJ221:$BT221,,AH221+1)*AF221-ERP_i)*AE221*Ramure*Pc/MaxiM</f>
        <v>1.3982673890650427E-4</v>
      </c>
      <c r="AE221" s="305">
        <f t="shared" si="88"/>
        <v>0.5</v>
      </c>
      <c r="AF221" s="177">
        <f t="shared" si="89"/>
        <v>0.43184288206739296</v>
      </c>
      <c r="AG221" s="811">
        <f t="shared" si="95"/>
        <v>-1</v>
      </c>
      <c r="AH221" s="176">
        <f t="shared" si="90"/>
        <v>5</v>
      </c>
      <c r="AI221" s="225">
        <f t="shared" si="91"/>
        <v>-0.56815711793260704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7">
        <v>43.6</v>
      </c>
      <c r="C222" s="390"/>
      <c r="D222" s="393">
        <f t="shared" si="74"/>
        <v>44.350298374711898</v>
      </c>
      <c r="E222" s="385">
        <f t="shared" si="72"/>
        <v>46.302597742844114</v>
      </c>
      <c r="F222" s="385">
        <f t="shared" si="75"/>
        <v>46.307058112205148</v>
      </c>
      <c r="G222" s="110">
        <f t="shared" si="73"/>
        <v>0.78125416528338465</v>
      </c>
      <c r="H222" s="414" t="b">
        <f>Wh_hp&gt;='2019'!Maxi_hp</f>
        <v>0</v>
      </c>
      <c r="I222" s="380">
        <f>IF(H222,Wh_hp,'2019'!Maxi_hp)</f>
        <v>50.330259368541505</v>
      </c>
      <c r="J222" s="85">
        <f>IF(H222,An,'2019'!An_max)</f>
        <v>2018</v>
      </c>
      <c r="K222" s="197">
        <f t="shared" si="76"/>
        <v>44038</v>
      </c>
      <c r="L222" s="147">
        <f>IF(t&lt;Tvie,1-EXP((T0-t)*PertePVj)+'2019'!Pspv,1-EXP((T0-t)*PertePVj)+Pspv)</f>
        <v>1.6917549649219654E-2</v>
      </c>
      <c r="M222" s="845"/>
      <c r="N222" s="845"/>
      <c r="O222" s="48">
        <f>IF(t&lt;Tnet,'2019'!Resal+('2019'!Salim-'2019'!Resal)*(1-EXP(('2019'!Tnet-t)/('2019'!Tau_j))),Resal+(Salim-Resal)*(1-EXP((Tnet-t)/(Tau_j))))*Salcycl</f>
        <v>4.2163927366989581E-2</v>
      </c>
      <c r="P222" s="169">
        <f>(INDEX(Models!$BJ222:$BT222,,T222)*(1-R222)+INDEX(Models!$BJ222:$BT222,,T222+1)*R222-ERP_i)*Q222*Ramure*Pc/MaxiM</f>
        <v>1.4009295900929746E-4</v>
      </c>
      <c r="Q222" s="305">
        <f t="shared" si="77"/>
        <v>0.5</v>
      </c>
      <c r="R222" s="177">
        <f t="shared" si="78"/>
        <v>0.43415372357235893</v>
      </c>
      <c r="S222" s="811">
        <f t="shared" si="79"/>
        <v>-1</v>
      </c>
      <c r="T222" s="176">
        <f t="shared" si="80"/>
        <v>5</v>
      </c>
      <c r="U222" s="251">
        <f t="shared" si="81"/>
        <v>-0.56584627642764107</v>
      </c>
      <c r="V222" s="383">
        <f t="shared" si="82"/>
        <v>55.805259442754483</v>
      </c>
      <c r="W222" s="402"/>
      <c r="X222" s="157">
        <f t="shared" si="83"/>
        <v>44038</v>
      </c>
      <c r="Y222" s="385">
        <f t="shared" si="84"/>
        <v>43.6</v>
      </c>
      <c r="Z222" s="385">
        <f t="shared" si="85"/>
        <v>44.350298374711898</v>
      </c>
      <c r="AA222" s="386">
        <f t="shared" si="86"/>
        <v>46.302597742844114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4.2163927366989581E-2</v>
      </c>
      <c r="AD222" s="231">
        <f>(INDEX(Models!$BJ222:$BT222,,AH222)*(1-AF222)+INDEX(Models!$BJ222:$BT222,,AH222+1)*AF222-ERP_i)*AE222*Ramure*Pc/MaxiM</f>
        <v>1.4009295900929746E-4</v>
      </c>
      <c r="AE222" s="305">
        <f t="shared" si="88"/>
        <v>0.5</v>
      </c>
      <c r="AF222" s="177">
        <f t="shared" si="89"/>
        <v>0.43415372357235893</v>
      </c>
      <c r="AG222" s="811">
        <f t="shared" si="95"/>
        <v>-1</v>
      </c>
      <c r="AH222" s="176">
        <f t="shared" si="90"/>
        <v>5</v>
      </c>
      <c r="AI222" s="225">
        <f t="shared" si="91"/>
        <v>-0.56584627642764107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7">
        <v>53.134</v>
      </c>
      <c r="C223" s="390"/>
      <c r="D223" s="393">
        <f t="shared" si="74"/>
        <v>54.049549737659774</v>
      </c>
      <c r="E223" s="385">
        <f t="shared" si="72"/>
        <v>56.433041279537619</v>
      </c>
      <c r="F223" s="385">
        <f t="shared" si="75"/>
        <v>56.44038029737262</v>
      </c>
      <c r="G223" s="110">
        <f t="shared" si="73"/>
        <v>0.95441353264810536</v>
      </c>
      <c r="H223" s="414" t="b">
        <f>Wh_hp&gt;='2019'!Maxi_hp</f>
        <v>1</v>
      </c>
      <c r="I223" s="380">
        <f>IF(H223,Wh_hp,'2019'!Maxi_hp)</f>
        <v>56.44038029737262</v>
      </c>
      <c r="J223" s="85">
        <f>IF(H223,An,'2019'!An_max)</f>
        <v>2020</v>
      </c>
      <c r="K223" s="197">
        <f t="shared" si="76"/>
        <v>44039</v>
      </c>
      <c r="L223" s="147">
        <f>IF(t&lt;Tvie,1-EXP((T0-t)*PertePVj)+'2019'!Pspv,1-EXP((T0-t)*PertePVj)+Pspv)</f>
        <v>1.6939081677896928E-2</v>
      </c>
      <c r="M223" s="845"/>
      <c r="N223" s="845"/>
      <c r="O223" s="48">
        <f>IF(t&lt;Tnet,'2019'!Resal+('2019'!Salim-'2019'!Resal)*(1-EXP(('2019'!Tnet-t)/('2019'!Tau_j))),Resal+(Salim-Resal)*(1-EXP((Tnet-t)/(Tau_j))))*Salcycl</f>
        <v>4.2235745014545079E-2</v>
      </c>
      <c r="P223" s="169">
        <f>(INDEX(Models!$BJ223:$BT223,,T223)*(1-R223)+INDEX(Models!$BJ223:$BT223,,T223+1)*R223-ERP_i)*Q223*Ramure*Pc/MaxiM</f>
        <v>1.3908748152976206E-4</v>
      </c>
      <c r="Q223" s="305">
        <f t="shared" si="77"/>
        <v>0.5</v>
      </c>
      <c r="R223" s="177">
        <f t="shared" si="78"/>
        <v>0.43639472295894044</v>
      </c>
      <c r="S223" s="811">
        <f t="shared" si="79"/>
        <v>-1</v>
      </c>
      <c r="T223" s="176">
        <f t="shared" si="80"/>
        <v>5</v>
      </c>
      <c r="U223" s="251">
        <f t="shared" si="81"/>
        <v>-0.56360527704105956</v>
      </c>
      <c r="V223" s="383">
        <f t="shared" si="82"/>
        <v>55.671380308863952</v>
      </c>
      <c r="W223" s="402"/>
      <c r="X223" s="157">
        <f t="shared" si="83"/>
        <v>44039</v>
      </c>
      <c r="Y223" s="385">
        <f t="shared" si="84"/>
        <v>53.134</v>
      </c>
      <c r="Z223" s="385">
        <f t="shared" si="85"/>
        <v>54.049549737659774</v>
      </c>
      <c r="AA223" s="386">
        <f t="shared" si="86"/>
        <v>56.433041279537619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4.2235745014545079E-2</v>
      </c>
      <c r="AD223" s="231">
        <f>(INDEX(Models!$BJ223:$BT223,,AH223)*(1-AF223)+INDEX(Models!$BJ223:$BT223,,AH223+1)*AF223-ERP_i)*AE223*Ramure*Pc/MaxiM</f>
        <v>1.3908748152976206E-4</v>
      </c>
      <c r="AE223" s="305">
        <f t="shared" si="88"/>
        <v>0.5</v>
      </c>
      <c r="AF223" s="177">
        <f t="shared" si="89"/>
        <v>0.43639472295894044</v>
      </c>
      <c r="AG223" s="811">
        <f t="shared" si="95"/>
        <v>-1</v>
      </c>
      <c r="AH223" s="176">
        <f t="shared" si="90"/>
        <v>5</v>
      </c>
      <c r="AI223" s="225">
        <f t="shared" si="91"/>
        <v>-0.56360527704105956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7">
        <v>33.682000000000002</v>
      </c>
      <c r="C224" s="390"/>
      <c r="D224" s="393">
        <f t="shared" si="74"/>
        <v>34.263123587387575</v>
      </c>
      <c r="E224" s="385">
        <f t="shared" si="72"/>
        <v>35.776742546435585</v>
      </c>
      <c r="F224" s="385">
        <f t="shared" si="75"/>
        <v>35.778885514429021</v>
      </c>
      <c r="G224" s="110">
        <f t="shared" si="73"/>
        <v>0.60644070950007245</v>
      </c>
      <c r="H224" s="414" t="b">
        <f>Wh_hp&gt;='2019'!Maxi_hp</f>
        <v>0</v>
      </c>
      <c r="I224" s="380">
        <f>IF(H224,Wh_hp,'2019'!Maxi_hp)</f>
        <v>59.643858292588483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1.6960613234967559E-2</v>
      </c>
      <c r="M224" s="845"/>
      <c r="N224" s="845"/>
      <c r="O224" s="48">
        <f>IF(t&lt;Tnet,'2019'!Resal+('2019'!Salim-'2019'!Resal)*(1-EXP(('2019'!Tnet-t)/('2019'!Tau_j))),Resal+(Salim-Resal)*(1-EXP((Tnet-t)/(Tau_j))))*Salcycl</f>
        <v>4.2307344137981345E-2</v>
      </c>
      <c r="P224" s="169">
        <f>(INDEX(Models!$BJ224:$BT224,,T224)*(1-R224)+INDEX(Models!$BJ224:$BT224,,T224+1)*R224-ERP_i)*Q224*Ramure*Pc/MaxiM</f>
        <v>1.3679630255786454E-4</v>
      </c>
      <c r="Q224" s="305">
        <f t="shared" si="77"/>
        <v>0.5</v>
      </c>
      <c r="R224" s="177">
        <f t="shared" si="78"/>
        <v>0.43856719196297378</v>
      </c>
      <c r="S224" s="811">
        <f t="shared" si="79"/>
        <v>-1</v>
      </c>
      <c r="T224" s="176">
        <f t="shared" si="80"/>
        <v>5</v>
      </c>
      <c r="U224" s="251">
        <f t="shared" si="81"/>
        <v>-0.56143280803702622</v>
      </c>
      <c r="V224" s="383">
        <f t="shared" si="82"/>
        <v>55.536195245002482</v>
      </c>
      <c r="W224" s="402"/>
      <c r="X224" s="157">
        <f t="shared" si="83"/>
        <v>44040</v>
      </c>
      <c r="Y224" s="385">
        <f t="shared" si="84"/>
        <v>33.682000000000002</v>
      </c>
      <c r="Z224" s="385">
        <f t="shared" si="85"/>
        <v>34.263123587387575</v>
      </c>
      <c r="AA224" s="386">
        <f t="shared" si="86"/>
        <v>35.776742546435585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4.2307344137981345E-2</v>
      </c>
      <c r="AD224" s="231">
        <f>(INDEX(Models!$BJ224:$BT224,,AH224)*(1-AF224)+INDEX(Models!$BJ224:$BT224,,AH224+1)*AF224-ERP_i)*AE224*Ramure*Pc/MaxiM</f>
        <v>1.3679630255786454E-4</v>
      </c>
      <c r="AE224" s="305">
        <f t="shared" si="88"/>
        <v>0.5</v>
      </c>
      <c r="AF224" s="177">
        <f t="shared" si="89"/>
        <v>0.43856719196297378</v>
      </c>
      <c r="AG224" s="811">
        <f t="shared" si="95"/>
        <v>-1</v>
      </c>
      <c r="AH224" s="176">
        <f t="shared" si="90"/>
        <v>5</v>
      </c>
      <c r="AI224" s="225">
        <f t="shared" si="91"/>
        <v>-0.56143280803702622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7">
        <v>47.972000000000001</v>
      </c>
      <c r="C225" s="390"/>
      <c r="D225" s="393">
        <f t="shared" si="74"/>
        <v>48.800741230521247</v>
      </c>
      <c r="E225" s="385">
        <f t="shared" si="72"/>
        <v>50.960377525788651</v>
      </c>
      <c r="F225" s="385">
        <f t="shared" si="75"/>
        <v>50.965866141662275</v>
      </c>
      <c r="G225" s="110">
        <f t="shared" si="73"/>
        <v>0.86590310497143563</v>
      </c>
      <c r="H225" s="414" t="b">
        <f>Wh_hp&gt;='2019'!Maxi_hp</f>
        <v>0</v>
      </c>
      <c r="I225" s="380">
        <f>IF(H225,Wh_hp,'2019'!Maxi_hp)</f>
        <v>55.994393253662331</v>
      </c>
      <c r="J225" s="85">
        <f>IF(H225,An,'2019'!An_max)</f>
        <v>2018</v>
      </c>
      <c r="K225" s="197">
        <f t="shared" si="76"/>
        <v>44041</v>
      </c>
      <c r="L225" s="147">
        <f>IF(t&lt;Tvie,1-EXP((T0-t)*PertePVj)+'2019'!Pspv,1-EXP((T0-t)*PertePVj)+Pspv)</f>
        <v>1.6982144320441761E-2</v>
      </c>
      <c r="M225" s="845"/>
      <c r="N225" s="845"/>
      <c r="O225" s="48">
        <f>IF(t&lt;Tnet,'2019'!Resal+('2019'!Salim-'2019'!Resal)*(1-EXP(('2019'!Tnet-t)/('2019'!Tau_j))),Resal+(Salim-Resal)*(1-EXP((Tnet-t)/(Tau_j))))*Salcycl</f>
        <v>4.2378734226890508E-2</v>
      </c>
      <c r="P225" s="169">
        <f>(INDEX(Models!$BJ225:$BT225,,T225)*(1-R225)+INDEX(Models!$BJ225:$BT225,,T225+1)*R225-ERP_i)*Q225*Ramure*Pc/MaxiM</f>
        <v>1.3320558522552433E-4</v>
      </c>
      <c r="Q225" s="305">
        <f t="shared" si="77"/>
        <v>0.5</v>
      </c>
      <c r="R225" s="177">
        <f t="shared" si="78"/>
        <v>0.44067247550985622</v>
      </c>
      <c r="S225" s="811">
        <f t="shared" si="79"/>
        <v>-1</v>
      </c>
      <c r="T225" s="176">
        <f t="shared" si="80"/>
        <v>5</v>
      </c>
      <c r="U225" s="251">
        <f t="shared" si="81"/>
        <v>-0.55932752449014378</v>
      </c>
      <c r="V225" s="383">
        <f t="shared" si="82"/>
        <v>55.399704256606576</v>
      </c>
      <c r="W225" s="402"/>
      <c r="X225" s="157">
        <f t="shared" si="83"/>
        <v>44041</v>
      </c>
      <c r="Y225" s="385">
        <f t="shared" si="84"/>
        <v>47.972000000000001</v>
      </c>
      <c r="Z225" s="385">
        <f t="shared" si="85"/>
        <v>48.800741230521247</v>
      </c>
      <c r="AA225" s="386">
        <f t="shared" si="86"/>
        <v>50.960377525788651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4.2378734226890508E-2</v>
      </c>
      <c r="AD225" s="231">
        <f>(INDEX(Models!$BJ225:$BT225,,AH225)*(1-AF225)+INDEX(Models!$BJ225:$BT225,,AH225+1)*AF225-ERP_i)*AE225*Ramure*Pc/MaxiM</f>
        <v>1.3320558522552433E-4</v>
      </c>
      <c r="AE225" s="305">
        <f t="shared" si="88"/>
        <v>0.5</v>
      </c>
      <c r="AF225" s="177">
        <f t="shared" si="89"/>
        <v>0.44067247550985622</v>
      </c>
      <c r="AG225" s="811">
        <f t="shared" si="95"/>
        <v>-1</v>
      </c>
      <c r="AH225" s="176">
        <f t="shared" si="90"/>
        <v>5</v>
      </c>
      <c r="AI225" s="225">
        <f t="shared" si="91"/>
        <v>-0.55932752449014378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7">
        <v>52.856000000000002</v>
      </c>
      <c r="C226" s="390"/>
      <c r="D226" s="393">
        <f t="shared" si="74"/>
        <v>53.770292576087613</v>
      </c>
      <c r="E226" s="385">
        <f t="shared" si="72"/>
        <v>56.154026731085764</v>
      </c>
      <c r="F226" s="385">
        <f t="shared" si="75"/>
        <v>56.160795352722573</v>
      </c>
      <c r="G226" s="110">
        <f t="shared" si="73"/>
        <v>0.95645610625210487</v>
      </c>
      <c r="H226" s="414" t="b">
        <f>Wh_hp&gt;='2019'!Maxi_hp</f>
        <v>0</v>
      </c>
      <c r="I226" s="380">
        <f>IF(H226,Wh_hp,'2019'!Maxi_hp)</f>
        <v>58.250484133448317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1.7003674934329971E-2</v>
      </c>
      <c r="M226" s="845"/>
      <c r="N226" s="845"/>
      <c r="O226" s="48">
        <f>IF(t&lt;Tnet,'2019'!Resal+('2019'!Salim-'2019'!Resal)*(1-EXP(('2019'!Tnet-t)/('2019'!Tau_j))),Resal+(Salim-Resal)*(1-EXP((Tnet-t)/(Tau_j))))*Salcycl</f>
        <v>4.2449923785760554E-2</v>
      </c>
      <c r="P226" s="169">
        <f>(INDEX(Models!$BJ226:$BT226,,T226)*(1-R226)+INDEX(Models!$BJ226:$BT226,,T226+1)*R226-ERP_i)*Q226*Ramure*Pc/MaxiM</f>
        <v>1.2851513522074316E-4</v>
      </c>
      <c r="Q226" s="305">
        <f t="shared" si="77"/>
        <v>0.5</v>
      </c>
      <c r="R226" s="177">
        <f t="shared" si="78"/>
        <v>0.44271194657532931</v>
      </c>
      <c r="S226" s="811">
        <f t="shared" si="79"/>
        <v>-1</v>
      </c>
      <c r="T226" s="176">
        <f t="shared" si="80"/>
        <v>5</v>
      </c>
      <c r="U226" s="251">
        <f t="shared" si="81"/>
        <v>-0.55728805342467069</v>
      </c>
      <c r="V226" s="383">
        <f t="shared" si="82"/>
        <v>55.261895583156821</v>
      </c>
      <c r="W226" s="402"/>
      <c r="X226" s="157">
        <f t="shared" si="83"/>
        <v>44042</v>
      </c>
      <c r="Y226" s="385">
        <f t="shared" si="84"/>
        <v>52.856000000000002</v>
      </c>
      <c r="Z226" s="385">
        <f t="shared" si="85"/>
        <v>53.770292576087613</v>
      </c>
      <c r="AA226" s="386">
        <f t="shared" si="86"/>
        <v>56.154026731085764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4.2449923785760554E-2</v>
      </c>
      <c r="AD226" s="231">
        <f>(INDEX(Models!$BJ226:$BT226,,AH226)*(1-AF226)+INDEX(Models!$BJ226:$BT226,,AH226+1)*AF226-ERP_i)*AE226*Ramure*Pc/MaxiM</f>
        <v>1.2851513522074316E-4</v>
      </c>
      <c r="AE226" s="305">
        <f t="shared" si="88"/>
        <v>0.5</v>
      </c>
      <c r="AF226" s="177">
        <f t="shared" si="89"/>
        <v>0.44271194657532931</v>
      </c>
      <c r="AG226" s="811">
        <f t="shared" si="95"/>
        <v>-1</v>
      </c>
      <c r="AH226" s="176">
        <f t="shared" si="90"/>
        <v>5</v>
      </c>
      <c r="AI226" s="225">
        <f t="shared" si="91"/>
        <v>-0.55728805342467069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7">
        <v>51.23</v>
      </c>
      <c r="C227" s="390"/>
      <c r="D227" s="393">
        <f t="shared" si="74"/>
        <v>52.117307854261306</v>
      </c>
      <c r="E227" s="385">
        <f t="shared" si="72"/>
        <v>54.431798000702138</v>
      </c>
      <c r="F227" s="385">
        <f t="shared" si="75"/>
        <v>54.437842614852151</v>
      </c>
      <c r="G227" s="110">
        <f t="shared" si="73"/>
        <v>0.92936915949410281</v>
      </c>
      <c r="H227" s="414" t="b">
        <f>Wh_hp&gt;='2019'!Maxi_hp</f>
        <v>0</v>
      </c>
      <c r="I227" s="380">
        <f>IF(H227,Wh_hp,'2019'!Maxi_hp)</f>
        <v>54.762972636889117</v>
      </c>
      <c r="J227" s="85">
        <f>IF(H227,An,'2019'!An_max)</f>
        <v>2018</v>
      </c>
      <c r="K227" s="197">
        <f t="shared" si="76"/>
        <v>44043</v>
      </c>
      <c r="L227" s="147">
        <f>IF(t&lt;Tvie,1-EXP((T0-t)*PertePVj)+'2019'!Pspv,1-EXP((T0-t)*PertePVj)+Pspv)</f>
        <v>1.7025205076642513E-2</v>
      </c>
      <c r="M227" s="845"/>
      <c r="N227" s="845"/>
      <c r="O227" s="48">
        <f>IF(t&lt;Tnet,'2019'!Resal+('2019'!Salim-'2019'!Resal)*(1-EXP(('2019'!Tnet-t)/('2019'!Tau_j))),Resal+(Salim-Resal)*(1-EXP((Tnet-t)/(Tau_j))))*Salcycl</f>
        <v>4.2520920334304872E-2</v>
      </c>
      <c r="P227" s="169">
        <f>(INDEX(Models!$BJ227:$BT227,,T227)*(1-R227)+INDEX(Models!$BJ227:$BT227,,T227+1)*R227-ERP_i)*Q227*Ramure*Pc/MaxiM</f>
        <v>1.2349582315439889E-4</v>
      </c>
      <c r="Q227" s="305">
        <f t="shared" si="77"/>
        <v>0.5</v>
      </c>
      <c r="R227" s="177">
        <f t="shared" si="78"/>
        <v>0.44468700130399852</v>
      </c>
      <c r="S227" s="811">
        <f t="shared" si="79"/>
        <v>-1</v>
      </c>
      <c r="T227" s="176">
        <f t="shared" si="80"/>
        <v>5</v>
      </c>
      <c r="U227" s="251">
        <f t="shared" si="81"/>
        <v>-0.55531299869600148</v>
      </c>
      <c r="V227" s="383">
        <f t="shared" si="82"/>
        <v>55.122726141408656</v>
      </c>
      <c r="W227" s="402"/>
      <c r="X227" s="157">
        <f t="shared" si="83"/>
        <v>44043</v>
      </c>
      <c r="Y227" s="385">
        <f t="shared" si="84"/>
        <v>51.23</v>
      </c>
      <c r="Z227" s="385">
        <f t="shared" si="85"/>
        <v>52.117307854261306</v>
      </c>
      <c r="AA227" s="386">
        <f t="shared" si="86"/>
        <v>54.431798000702138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4.2520920334304872E-2</v>
      </c>
      <c r="AD227" s="231">
        <f>(INDEX(Models!$BJ227:$BT227,,AH227)*(1-AF227)+INDEX(Models!$BJ227:$BT227,,AH227+1)*AF227-ERP_i)*AE227*Ramure*Pc/MaxiM</f>
        <v>1.2349582315439889E-4</v>
      </c>
      <c r="AE227" s="305">
        <f t="shared" si="88"/>
        <v>0.5</v>
      </c>
      <c r="AF227" s="177">
        <f t="shared" si="89"/>
        <v>0.44468700130399852</v>
      </c>
      <c r="AG227" s="811">
        <f t="shared" si="95"/>
        <v>-1</v>
      </c>
      <c r="AH227" s="176">
        <f t="shared" si="90"/>
        <v>5</v>
      </c>
      <c r="AI227" s="225">
        <f t="shared" si="91"/>
        <v>-0.55531299869600148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7">
        <v>45.75</v>
      </c>
      <c r="C228" s="390"/>
      <c r="D228" s="393">
        <f t="shared" si="74"/>
        <v>46.543413219389073</v>
      </c>
      <c r="E228" s="385">
        <f t="shared" si="72"/>
        <v>48.613966160491046</v>
      </c>
      <c r="F228" s="385">
        <f t="shared" si="75"/>
        <v>48.618332361701739</v>
      </c>
      <c r="G228" s="110">
        <f t="shared" si="73"/>
        <v>0.83206395518901233</v>
      </c>
      <c r="H228" s="414" t="b">
        <f>Wh_hp&gt;='2019'!Maxi_hp</f>
        <v>0</v>
      </c>
      <c r="I228" s="380">
        <f>IF(H228,Wh_hp,'2019'!Maxi_hp)</f>
        <v>56.845203333586923</v>
      </c>
      <c r="J228" s="85">
        <f>IF(H228,An,'2019'!An_max)</f>
        <v>2019</v>
      </c>
      <c r="K228" s="197">
        <f t="shared" si="76"/>
        <v>44044</v>
      </c>
      <c r="L228" s="147">
        <f>IF(t&lt;Tvie,1-EXP((T0-t)*PertePVj)+'2019'!Pspv,1-EXP((T0-t)*PertePVj)+Pspv)</f>
        <v>1.7046734747389602E-2</v>
      </c>
      <c r="M228" s="845"/>
      <c r="N228" s="845"/>
      <c r="O228" s="48">
        <f>IF(t&lt;Tnet,'2019'!Resal+('2019'!Salim-'2019'!Resal)*(1-EXP(('2019'!Tnet-t)/('2019'!Tau_j))),Resal+(Salim-Resal)*(1-EXP((Tnet-t)/(Tau_j))))*Salcycl</f>
        <v>4.2591730414802575E-2</v>
      </c>
      <c r="P228" s="169">
        <f>(INDEX(Models!$BJ228:$BT228,,T228)*(1-R228)+INDEX(Models!$BJ228:$BT228,,T228+1)*R228-ERP_i)*Q228*Ramure*Pc/MaxiM</f>
        <v>1.1814589576029054E-4</v>
      </c>
      <c r="Q228" s="305">
        <f t="shared" si="77"/>
        <v>0.5</v>
      </c>
      <c r="R228" s="177">
        <f t="shared" si="78"/>
        <v>0.44659905438863534</v>
      </c>
      <c r="S228" s="811">
        <f t="shared" si="79"/>
        <v>-1</v>
      </c>
      <c r="T228" s="176">
        <f t="shared" si="80"/>
        <v>5</v>
      </c>
      <c r="U228" s="251">
        <f t="shared" si="81"/>
        <v>-0.55340094561136466</v>
      </c>
      <c r="V228" s="383">
        <f t="shared" si="82"/>
        <v>54.982195818312775</v>
      </c>
      <c r="W228" s="402"/>
      <c r="X228" s="157">
        <f t="shared" si="83"/>
        <v>44044</v>
      </c>
      <c r="Y228" s="385">
        <f t="shared" si="84"/>
        <v>45.75</v>
      </c>
      <c r="Z228" s="385">
        <f t="shared" si="85"/>
        <v>46.543413219389073</v>
      </c>
      <c r="AA228" s="386">
        <f t="shared" si="86"/>
        <v>48.613966160491046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4.2591730414802575E-2</v>
      </c>
      <c r="AD228" s="231">
        <f>(INDEX(Models!$BJ228:$BT228,,AH228)*(1-AF228)+INDEX(Models!$BJ228:$BT228,,AH228+1)*AF228-ERP_i)*AE228*Ramure*Pc/MaxiM</f>
        <v>1.1814589576029054E-4</v>
      </c>
      <c r="AE228" s="305">
        <f t="shared" si="88"/>
        <v>0.5</v>
      </c>
      <c r="AF228" s="177">
        <f t="shared" si="89"/>
        <v>0.44659905438863534</v>
      </c>
      <c r="AG228" s="811">
        <f t="shared" si="95"/>
        <v>-1</v>
      </c>
      <c r="AH228" s="176">
        <f t="shared" si="90"/>
        <v>5</v>
      </c>
      <c r="AI228" s="225">
        <f t="shared" si="91"/>
        <v>-0.55340094561136466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7">
        <v>34.143000000000001</v>
      </c>
      <c r="C229" s="390"/>
      <c r="D229" s="393">
        <f t="shared" si="74"/>
        <v>34.735881188543154</v>
      </c>
      <c r="E229" s="385">
        <f t="shared" si="72"/>
        <v>36.283835214341977</v>
      </c>
      <c r="F229" s="385">
        <f t="shared" si="75"/>
        <v>36.285715828057278</v>
      </c>
      <c r="G229" s="110">
        <f t="shared" si="73"/>
        <v>0.62255178717481729</v>
      </c>
      <c r="H229" s="414" t="b">
        <f>Wh_hp&gt;='2019'!Maxi_hp</f>
        <v>0</v>
      </c>
      <c r="I229" s="380">
        <f>IF(H229,Wh_hp,'2019'!Maxi_hp)</f>
        <v>57.532187418566849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1.7068263946581674E-2</v>
      </c>
      <c r="M229" s="845"/>
      <c r="N229" s="845"/>
      <c r="O229" s="48">
        <f>IF(t&lt;Tnet,'2019'!Resal+('2019'!Salim-'2019'!Resal)*(1-EXP(('2019'!Tnet-t)/('2019'!Tau_j))),Resal+(Salim-Resal)*(1-EXP((Tnet-t)/(Tau_j))))*Salcycl</f>
        <v>4.2662359605992267E-2</v>
      </c>
      <c r="P229" s="169">
        <f>(INDEX(Models!$BJ229:$BT229,,T229)*(1-R229)+INDEX(Models!$BJ229:$BT229,,T229+1)*R229-ERP_i)*Q229*Ramure*Pc/MaxiM</f>
        <v>1.1246351744493693E-4</v>
      </c>
      <c r="Q229" s="305">
        <f t="shared" si="77"/>
        <v>0.5</v>
      </c>
      <c r="R229" s="177">
        <f t="shared" si="78"/>
        <v>0.44844953471135829</v>
      </c>
      <c r="S229" s="811">
        <f t="shared" si="79"/>
        <v>-1</v>
      </c>
      <c r="T229" s="176">
        <f t="shared" si="80"/>
        <v>5</v>
      </c>
      <c r="U229" s="251">
        <f t="shared" si="81"/>
        <v>-0.55155046528864171</v>
      </c>
      <c r="V229" s="383">
        <f t="shared" si="82"/>
        <v>54.840304558328903</v>
      </c>
      <c r="W229" s="402"/>
      <c r="X229" s="157">
        <f t="shared" si="83"/>
        <v>44045</v>
      </c>
      <c r="Y229" s="385">
        <f t="shared" si="84"/>
        <v>34.143000000000001</v>
      </c>
      <c r="Z229" s="385">
        <f t="shared" si="85"/>
        <v>34.735881188543154</v>
      </c>
      <c r="AA229" s="386">
        <f t="shared" si="86"/>
        <v>36.283835214341977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4.2662359605992267E-2</v>
      </c>
      <c r="AD229" s="231">
        <f>(INDEX(Models!$BJ229:$BT229,,AH229)*(1-AF229)+INDEX(Models!$BJ229:$BT229,,AH229+1)*AF229-ERP_i)*AE229*Ramure*Pc/MaxiM</f>
        <v>1.1246351744493693E-4</v>
      </c>
      <c r="AE229" s="305">
        <f t="shared" si="88"/>
        <v>0.5</v>
      </c>
      <c r="AF229" s="177">
        <f t="shared" si="89"/>
        <v>0.44844953471135829</v>
      </c>
      <c r="AG229" s="811">
        <f t="shared" si="95"/>
        <v>-1</v>
      </c>
      <c r="AH229" s="176">
        <f t="shared" si="90"/>
        <v>5</v>
      </c>
      <c r="AI229" s="225">
        <f t="shared" si="91"/>
        <v>-0.55155046528864171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7">
        <v>48.209000000000003</v>
      </c>
      <c r="C230" s="390"/>
      <c r="D230" s="393">
        <f t="shared" si="74"/>
        <v>49.047206591905756</v>
      </c>
      <c r="E230" s="385">
        <f t="shared" si="72"/>
        <v>51.236694660140678</v>
      </c>
      <c r="F230" s="385">
        <f t="shared" si="75"/>
        <v>51.241224841278388</v>
      </c>
      <c r="G230" s="110">
        <f t="shared" si="73"/>
        <v>0.88136614778935118</v>
      </c>
      <c r="H230" s="414" t="b">
        <f>Wh_hp&gt;='2019'!Maxi_hp</f>
        <v>0</v>
      </c>
      <c r="I230" s="380">
        <f>IF(H230,Wh_hp,'2019'!Maxi_hp)</f>
        <v>54.820289563876685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1.7089792674229054E-2</v>
      </c>
      <c r="M230" s="845"/>
      <c r="N230" s="845"/>
      <c r="O230" s="48">
        <f>IF(t&lt;Tnet,'2019'!Resal+('2019'!Salim-'2019'!Resal)*(1-EXP(('2019'!Tnet-t)/('2019'!Tau_j))),Resal+(Salim-Resal)*(1-EXP((Tnet-t)/(Tau_j))))*Salcycl</f>
        <v>4.2732812543003942E-2</v>
      </c>
      <c r="P230" s="169">
        <f>(INDEX(Models!$BJ230:$BT230,,T230)*(1-R230)+INDEX(Models!$BJ230:$BT230,,T230+1)*R230-ERP_i)*Q230*Ramure*Pc/MaxiM</f>
        <v>1.0644677007888451E-4</v>
      </c>
      <c r="Q230" s="305">
        <f t="shared" si="77"/>
        <v>0.5</v>
      </c>
      <c r="R230" s="177">
        <f t="shared" si="78"/>
        <v>0.45023988124603509</v>
      </c>
      <c r="S230" s="811">
        <f t="shared" si="79"/>
        <v>-1</v>
      </c>
      <c r="T230" s="176">
        <f t="shared" si="80"/>
        <v>5</v>
      </c>
      <c r="U230" s="251">
        <f t="shared" si="81"/>
        <v>-0.54976011875396491</v>
      </c>
      <c r="V230" s="383">
        <f t="shared" si="82"/>
        <v>54.697052362537335</v>
      </c>
      <c r="W230" s="402"/>
      <c r="X230" s="157">
        <f t="shared" si="83"/>
        <v>44046</v>
      </c>
      <c r="Y230" s="385">
        <f t="shared" si="84"/>
        <v>48.209000000000003</v>
      </c>
      <c r="Z230" s="385">
        <f t="shared" si="85"/>
        <v>49.047206591905756</v>
      </c>
      <c r="AA230" s="386">
        <f t="shared" si="86"/>
        <v>51.236694660140678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4.2732812543003942E-2</v>
      </c>
      <c r="AD230" s="231">
        <f>(INDEX(Models!$BJ230:$BT230,,AH230)*(1-AF230)+INDEX(Models!$BJ230:$BT230,,AH230+1)*AF230-ERP_i)*AE230*Ramure*Pc/MaxiM</f>
        <v>1.0644677007888451E-4</v>
      </c>
      <c r="AE230" s="305">
        <f t="shared" si="88"/>
        <v>0.5</v>
      </c>
      <c r="AF230" s="177">
        <f t="shared" si="89"/>
        <v>0.45023988124603509</v>
      </c>
      <c r="AG230" s="811">
        <f t="shared" si="95"/>
        <v>-1</v>
      </c>
      <c r="AH230" s="176">
        <f t="shared" si="90"/>
        <v>5</v>
      </c>
      <c r="AI230" s="225">
        <f t="shared" si="91"/>
        <v>-0.54976011875396491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7">
        <v>53.097000000000001</v>
      </c>
      <c r="C231" s="390"/>
      <c r="D231" s="393">
        <f t="shared" si="74"/>
        <v>54.021377121016755</v>
      </c>
      <c r="E231" s="385">
        <f t="shared" si="72"/>
        <v>56.437057749275056</v>
      </c>
      <c r="F231" s="385">
        <f t="shared" si="75"/>
        <v>56.442491959447445</v>
      </c>
      <c r="G231" s="110">
        <f t="shared" si="73"/>
        <v>0.97331664932939033</v>
      </c>
      <c r="H231" s="414" t="b">
        <f>Wh_hp&gt;='2019'!Maxi_hp</f>
        <v>1</v>
      </c>
      <c r="I231" s="380">
        <f>IF(H231,Wh_hp,'2019'!Maxi_hp)</f>
        <v>56.442491959447445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1.7111320930342067E-2</v>
      </c>
      <c r="M231" s="845"/>
      <c r="N231" s="845"/>
      <c r="O231" s="48">
        <f>IF(t&lt;Tnet,'2019'!Resal+('2019'!Salim-'2019'!Resal)*(1-EXP(('2019'!Tnet-t)/('2019'!Tau_j))),Resal+(Salim-Resal)*(1-EXP((Tnet-t)/(Tau_j))))*Salcycl</f>
        <v>4.2803092942762924E-2</v>
      </c>
      <c r="P231" s="169">
        <f>(INDEX(Models!$BJ231:$BT231,,T231)*(1-R231)+INDEX(Models!$BJ231:$BT231,,T231+1)*R231-ERP_i)*Q231*Ramure*Pc/MaxiM</f>
        <v>1.000936537036199E-4</v>
      </c>
      <c r="Q231" s="305">
        <f t="shared" si="77"/>
        <v>0.5</v>
      </c>
      <c r="R231" s="177">
        <f t="shared" si="78"/>
        <v>0.45197153921967748</v>
      </c>
      <c r="S231" s="811">
        <f t="shared" si="79"/>
        <v>-1</v>
      </c>
      <c r="T231" s="176">
        <f t="shared" si="80"/>
        <v>5</v>
      </c>
      <c r="U231" s="251">
        <f t="shared" si="81"/>
        <v>-0.54802846078032252</v>
      </c>
      <c r="V231" s="383">
        <f t="shared" si="82"/>
        <v>54.552439285692955</v>
      </c>
      <c r="W231" s="402"/>
      <c r="X231" s="157">
        <f t="shared" si="83"/>
        <v>44047</v>
      </c>
      <c r="Y231" s="385">
        <f t="shared" si="84"/>
        <v>53.097000000000001</v>
      </c>
      <c r="Z231" s="385">
        <f t="shared" si="85"/>
        <v>54.021377121016755</v>
      </c>
      <c r="AA231" s="386">
        <f t="shared" si="86"/>
        <v>56.437057749275056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4.2803092942762924E-2</v>
      </c>
      <c r="AD231" s="231">
        <f>(INDEX(Models!$BJ231:$BT231,,AH231)*(1-AF231)+INDEX(Models!$BJ231:$BT231,,AH231+1)*AF231-ERP_i)*AE231*Ramure*Pc/MaxiM</f>
        <v>1.000936537036199E-4</v>
      </c>
      <c r="AE231" s="305">
        <f t="shared" si="88"/>
        <v>0.5</v>
      </c>
      <c r="AF231" s="177">
        <f t="shared" si="89"/>
        <v>0.45197153921967748</v>
      </c>
      <c r="AG231" s="811">
        <f t="shared" si="95"/>
        <v>-1</v>
      </c>
      <c r="AH231" s="176">
        <f t="shared" si="90"/>
        <v>5</v>
      </c>
      <c r="AI231" s="225">
        <f t="shared" si="91"/>
        <v>-0.54802846078032252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7">
        <v>54.051000000000002</v>
      </c>
      <c r="C232" s="390"/>
      <c r="D232" s="393">
        <f t="shared" si="74"/>
        <v>54.993190004702022</v>
      </c>
      <c r="E232" s="385">
        <f t="shared" si="72"/>
        <v>57.45653576256958</v>
      </c>
      <c r="F232" s="385">
        <f t="shared" si="75"/>
        <v>57.46185272567628</v>
      </c>
      <c r="G232" s="110">
        <f t="shared" si="73"/>
        <v>0.99346561927378441</v>
      </c>
      <c r="H232" s="414" t="b">
        <f>Wh_hp&gt;='2019'!Maxi_hp</f>
        <v>1</v>
      </c>
      <c r="I232" s="380">
        <f>IF(H232,Wh_hp,'2019'!Maxi_hp)</f>
        <v>57.46185272567628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1.7132848714931037E-2</v>
      </c>
      <c r="M232" s="845"/>
      <c r="N232" s="845"/>
      <c r="O232" s="48">
        <f>IF(t&lt;Tnet,'2019'!Resal+('2019'!Salim-'2019'!Resal)*(1-EXP(('2019'!Tnet-t)/('2019'!Tau_j))),Resal+(Salim-Resal)*(1-EXP((Tnet-t)/(Tau_j))))*Salcycl</f>
        <v>4.2873203634255938E-2</v>
      </c>
      <c r="P232" s="169">
        <f>(INDEX(Models!$BJ232:$BT232,,T232)*(1-R232)+INDEX(Models!$BJ232:$BT232,,T232+1)*R232-ERP_i)*Q232*Ramure*Pc/MaxiM</f>
        <v>9.3402088062357426E-5</v>
      </c>
      <c r="Q232" s="305">
        <f t="shared" si="77"/>
        <v>0.5</v>
      </c>
      <c r="R232" s="177">
        <f t="shared" si="78"/>
        <v>0.45364595652920903</v>
      </c>
      <c r="S232" s="811">
        <f t="shared" si="79"/>
        <v>-1</v>
      </c>
      <c r="T232" s="176">
        <f t="shared" si="80"/>
        <v>5</v>
      </c>
      <c r="U232" s="251">
        <f t="shared" si="81"/>
        <v>-0.54635404347079097</v>
      </c>
      <c r="V232" s="383">
        <f t="shared" si="82"/>
        <v>54.40646543433634</v>
      </c>
      <c r="W232" s="402"/>
      <c r="X232" s="157">
        <f t="shared" si="83"/>
        <v>44048</v>
      </c>
      <c r="Y232" s="385">
        <f t="shared" si="84"/>
        <v>54.051000000000002</v>
      </c>
      <c r="Z232" s="385">
        <f t="shared" si="85"/>
        <v>54.993190004702022</v>
      </c>
      <c r="AA232" s="386">
        <f t="shared" si="86"/>
        <v>57.45653576256958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4.2873203634255938E-2</v>
      </c>
      <c r="AD232" s="231">
        <f>(INDEX(Models!$BJ232:$BT232,,AH232)*(1-AF232)+INDEX(Models!$BJ232:$BT232,,AH232+1)*AF232-ERP_i)*AE232*Ramure*Pc/MaxiM</f>
        <v>9.3402088062357426E-5</v>
      </c>
      <c r="AE232" s="305">
        <f t="shared" si="88"/>
        <v>0.5</v>
      </c>
      <c r="AF232" s="177">
        <f t="shared" si="89"/>
        <v>0.45364595652920903</v>
      </c>
      <c r="AG232" s="811">
        <f t="shared" si="95"/>
        <v>-1</v>
      </c>
      <c r="AH232" s="176">
        <f t="shared" si="90"/>
        <v>5</v>
      </c>
      <c r="AI232" s="225">
        <f t="shared" si="91"/>
        <v>-0.54635404347079097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7">
        <v>52.503</v>
      </c>
      <c r="C233" s="390"/>
      <c r="D233" s="393">
        <f t="shared" si="74"/>
        <v>53.41937606418653</v>
      </c>
      <c r="E233" s="385">
        <f t="shared" ref="E233:E296" si="96">Wh_pvt/(1-Psa)</f>
        <v>55.816303779677334</v>
      </c>
      <c r="F233" s="385">
        <f t="shared" si="75"/>
        <v>55.820902062700583</v>
      </c>
      <c r="G233" s="110">
        <f t="shared" ref="G233:G296" si="97">+Wh_hp/MaxiM</f>
        <v>0.9676266028070647</v>
      </c>
      <c r="H233" s="414" t="b">
        <f>Wh_hp&gt;='2019'!Maxi_hp</f>
        <v>1</v>
      </c>
      <c r="I233" s="380">
        <f>IF(H233,Wh_hp,'2019'!Maxi_hp)</f>
        <v>55.820902062700583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1.715437602800618E-2</v>
      </c>
      <c r="M233" s="845"/>
      <c r="N233" s="845"/>
      <c r="O233" s="48">
        <f>IF(t&lt;Tnet,'2019'!Resal+('2019'!Salim-'2019'!Resal)*(1-EXP(('2019'!Tnet-t)/('2019'!Tau_j))),Resal+(Salim-Resal)*(1-EXP((Tnet-t)/(Tau_j))))*Salcycl</f>
        <v>4.2943146593012627E-2</v>
      </c>
      <c r="P233" s="169">
        <f>(INDEX(Models!$BJ233:$BT233,,T233)*(1-R233)+INDEX(Models!$BJ233:$BT233,,T233+1)*R233-ERP_i)*Q233*Ramure*Pc/MaxiM</f>
        <v>8.6369566601219257E-5</v>
      </c>
      <c r="Q233" s="305">
        <f t="shared" si="77"/>
        <v>0.5</v>
      </c>
      <c r="R233" s="177">
        <f t="shared" si="78"/>
        <v>0.45526458040877249</v>
      </c>
      <c r="S233" s="811">
        <f t="shared" si="79"/>
        <v>-1</v>
      </c>
      <c r="T233" s="176">
        <f t="shared" si="80"/>
        <v>5</v>
      </c>
      <c r="U233" s="251">
        <f t="shared" si="81"/>
        <v>-0.54473541959122751</v>
      </c>
      <c r="V233" s="383">
        <f t="shared" si="82"/>
        <v>54.259349771645859</v>
      </c>
      <c r="W233" s="402"/>
      <c r="X233" s="157">
        <f t="shared" si="83"/>
        <v>44049</v>
      </c>
      <c r="Y233" s="385">
        <f t="shared" si="84"/>
        <v>52.503</v>
      </c>
      <c r="Z233" s="385">
        <f t="shared" si="85"/>
        <v>53.41937606418653</v>
      </c>
      <c r="AA233" s="386">
        <f t="shared" si="86"/>
        <v>55.816303779677334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4.2943146593012627E-2</v>
      </c>
      <c r="AD233" s="231">
        <f>(INDEX(Models!$BJ233:$BT233,,AH233)*(1-AF233)+INDEX(Models!$BJ233:$BT233,,AH233+1)*AF233-ERP_i)*AE233*Ramure*Pc/MaxiM</f>
        <v>8.6369566601219257E-5</v>
      </c>
      <c r="AE233" s="305">
        <f t="shared" si="88"/>
        <v>0.5</v>
      </c>
      <c r="AF233" s="177">
        <f t="shared" si="89"/>
        <v>0.45526458040877249</v>
      </c>
      <c r="AG233" s="811">
        <f t="shared" si="95"/>
        <v>-1</v>
      </c>
      <c r="AH233" s="176">
        <f t="shared" si="90"/>
        <v>5</v>
      </c>
      <c r="AI233" s="225">
        <f t="shared" si="91"/>
        <v>-0.54473541959122751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7">
        <v>51.725000000000001</v>
      </c>
      <c r="C234" s="390"/>
      <c r="D234" s="393">
        <f t="shared" si="74"/>
        <v>52.628949728667493</v>
      </c>
      <c r="E234" s="385">
        <f t="shared" si="96"/>
        <v>54.994420502001859</v>
      </c>
      <c r="F234" s="385">
        <f t="shared" si="75"/>
        <v>54.998501236505938</v>
      </c>
      <c r="G234" s="110">
        <f t="shared" si="97"/>
        <v>0.95589655954334352</v>
      </c>
      <c r="H234" s="414" t="b">
        <f>Wh_hp&gt;='2019'!Maxi_hp</f>
        <v>0</v>
      </c>
      <c r="I234" s="380">
        <f>IF(H234,Wh_hp,'2019'!Maxi_hp)</f>
        <v>55.053603871117858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1.717590286957793E-2</v>
      </c>
      <c r="M234" s="845"/>
      <c r="N234" s="845"/>
      <c r="O234" s="48">
        <f>IF(t&lt;Tnet,'2019'!Resal+('2019'!Salim-'2019'!Resal)*(1-EXP(('2019'!Tnet-t)/('2019'!Tau_j))),Resal+(Salim-Resal)*(1-EXP((Tnet-t)/(Tau_j))))*Salcycl</f>
        <v>4.301292297912758E-2</v>
      </c>
      <c r="P234" s="169">
        <f>(INDEX(Models!$BJ234:$BT234,,T234)*(1-R234)+INDEX(Models!$BJ234:$BT234,,T234+1)*R234-ERP_i)*Q234*Ramure*Pc/MaxiM</f>
        <v>7.9185746440064755E-5</v>
      </c>
      <c r="Q234" s="305">
        <f t="shared" si="77"/>
        <v>0.5</v>
      </c>
      <c r="R234" s="177">
        <f t="shared" si="78"/>
        <v>0.45682885434169407</v>
      </c>
      <c r="S234" s="811">
        <f t="shared" si="79"/>
        <v>-1</v>
      </c>
      <c r="T234" s="176">
        <f t="shared" si="80"/>
        <v>5</v>
      </c>
      <c r="U234" s="251">
        <f t="shared" si="81"/>
        <v>-0.54317114565830593</v>
      </c>
      <c r="V234" s="383">
        <f t="shared" si="82"/>
        <v>54.11123351330442</v>
      </c>
      <c r="W234" s="402"/>
      <c r="X234" s="157">
        <f t="shared" si="83"/>
        <v>44050</v>
      </c>
      <c r="Y234" s="385">
        <f t="shared" si="84"/>
        <v>51.725000000000001</v>
      </c>
      <c r="Z234" s="385">
        <f t="shared" si="85"/>
        <v>52.628949728667493</v>
      </c>
      <c r="AA234" s="386">
        <f t="shared" si="86"/>
        <v>54.994420502001859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4.301292297912758E-2</v>
      </c>
      <c r="AD234" s="231">
        <f>(INDEX(Models!$BJ234:$BT234,,AH234)*(1-AF234)+INDEX(Models!$BJ234:$BT234,,AH234+1)*AF234-ERP_i)*AE234*Ramure*Pc/MaxiM</f>
        <v>7.9185746440064755E-5</v>
      </c>
      <c r="AE234" s="305">
        <f t="shared" si="88"/>
        <v>0.5</v>
      </c>
      <c r="AF234" s="177">
        <f t="shared" si="89"/>
        <v>0.45682885434169407</v>
      </c>
      <c r="AG234" s="811">
        <f t="shared" si="95"/>
        <v>-1</v>
      </c>
      <c r="AH234" s="176">
        <f t="shared" si="90"/>
        <v>5</v>
      </c>
      <c r="AI234" s="225">
        <f t="shared" si="91"/>
        <v>-0.54317114565830593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7">
        <v>49.494999999999997</v>
      </c>
      <c r="C235" s="390"/>
      <c r="D235" s="393">
        <f t="shared" si="74"/>
        <v>50.361081129151188</v>
      </c>
      <c r="E235" s="385">
        <f t="shared" si="96"/>
        <v>52.628447985604339</v>
      </c>
      <c r="F235" s="385">
        <f t="shared" si="75"/>
        <v>52.631806166083933</v>
      </c>
      <c r="G235" s="110">
        <f t="shared" si="97"/>
        <v>0.91721187624731271</v>
      </c>
      <c r="H235" s="414" t="b">
        <f>Wh_hp&gt;='2019'!Maxi_hp</f>
        <v>0</v>
      </c>
      <c r="I235" s="380">
        <f>IF(H235,Wh_hp,'2019'!Maxi_hp)</f>
        <v>53.129673681331845</v>
      </c>
      <c r="J235" s="85">
        <f>IF(H235,An,'2019'!An_max)</f>
        <v>2019</v>
      </c>
      <c r="K235" s="197">
        <f t="shared" si="76"/>
        <v>44051</v>
      </c>
      <c r="L235" s="147">
        <f>IF(t&lt;Tvie,1-EXP((T0-t)*PertePVj)+'2019'!Pspv,1-EXP((T0-t)*PertePVj)+Pspv)</f>
        <v>1.7197429239656725E-2</v>
      </c>
      <c r="M235" s="845"/>
      <c r="N235" s="845"/>
      <c r="O235" s="48">
        <f>IF(t&lt;Tnet,'2019'!Resal+('2019'!Salim-'2019'!Resal)*(1-EXP(('2019'!Tnet-t)/('2019'!Tau_j))),Resal+(Salim-Resal)*(1-EXP((Tnet-t)/(Tau_j))))*Salcycl</f>
        <v>4.308253317812738E-2</v>
      </c>
      <c r="P235" s="169">
        <f>(INDEX(Models!$BJ235:$BT235,,T235)*(1-R235)+INDEX(Models!$BJ235:$BT235,,T235+1)*R235-ERP_i)*Q235*Ramure*Pc/MaxiM</f>
        <v>7.2362573153641988E-5</v>
      </c>
      <c r="Q235" s="305">
        <f t="shared" si="77"/>
        <v>0.5</v>
      </c>
      <c r="R235" s="177">
        <f t="shared" si="78"/>
        <v>0.45834021521032242</v>
      </c>
      <c r="S235" s="811">
        <f t="shared" si="79"/>
        <v>-1</v>
      </c>
      <c r="T235" s="176">
        <f t="shared" si="80"/>
        <v>5</v>
      </c>
      <c r="U235" s="251">
        <f t="shared" si="81"/>
        <v>-0.54165978478967758</v>
      </c>
      <c r="V235" s="383">
        <f t="shared" si="82"/>
        <v>53.961988178781596</v>
      </c>
      <c r="W235" s="402"/>
      <c r="X235" s="157">
        <f t="shared" si="83"/>
        <v>44051</v>
      </c>
      <c r="Y235" s="385">
        <f t="shared" si="84"/>
        <v>49.494999999999997</v>
      </c>
      <c r="Z235" s="385">
        <f t="shared" si="85"/>
        <v>50.361081129151188</v>
      </c>
      <c r="AA235" s="386">
        <f t="shared" si="86"/>
        <v>52.628447985604339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4.308253317812738E-2</v>
      </c>
      <c r="AD235" s="231">
        <f>(INDEX(Models!$BJ235:$BT235,,AH235)*(1-AF235)+INDEX(Models!$BJ235:$BT235,,AH235+1)*AF235-ERP_i)*AE235*Ramure*Pc/MaxiM</f>
        <v>7.2362573153641988E-5</v>
      </c>
      <c r="AE235" s="305">
        <f t="shared" si="88"/>
        <v>0.5</v>
      </c>
      <c r="AF235" s="177">
        <f t="shared" si="89"/>
        <v>0.45834021521032242</v>
      </c>
      <c r="AG235" s="811">
        <f t="shared" si="95"/>
        <v>-1</v>
      </c>
      <c r="AH235" s="176">
        <f t="shared" si="90"/>
        <v>5</v>
      </c>
      <c r="AI235" s="225">
        <f t="shared" si="91"/>
        <v>-0.54165978478967758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7">
        <v>40.295000000000002</v>
      </c>
      <c r="C236" s="390"/>
      <c r="D236" s="393">
        <f t="shared" si="74"/>
        <v>41.000994281150895</v>
      </c>
      <c r="E236" s="385">
        <f t="shared" si="96"/>
        <v>42.850059036454994</v>
      </c>
      <c r="F236" s="385">
        <f t="shared" si="75"/>
        <v>42.851869791704615</v>
      </c>
      <c r="G236" s="110">
        <f t="shared" si="97"/>
        <v>0.74879974224196377</v>
      </c>
      <c r="H236" s="414" t="b">
        <f>Wh_hp&gt;='2019'!Maxi_hp</f>
        <v>0</v>
      </c>
      <c r="I236" s="380">
        <f>IF(H236,Wh_hp,'2019'!Maxi_hp)</f>
        <v>52.024091924029669</v>
      </c>
      <c r="J236" s="85">
        <f>IF(H236,An,'2019'!An_max)</f>
        <v>2018</v>
      </c>
      <c r="K236" s="197">
        <f t="shared" si="76"/>
        <v>44052</v>
      </c>
      <c r="L236" s="147">
        <f>IF(t&lt;Tvie,1-EXP((T0-t)*PertePVj)+'2019'!Pspv,1-EXP((T0-t)*PertePVj)+Pspv)</f>
        <v>1.7218955138252667E-2</v>
      </c>
      <c r="M236" s="845"/>
      <c r="N236" s="845"/>
      <c r="O236" s="48">
        <f>IF(t&lt;Tnet,'2019'!Resal+('2019'!Salim-'2019'!Resal)*(1-EXP(('2019'!Tnet-t)/('2019'!Tau_j))),Resal+(Salim-Resal)*(1-EXP((Tnet-t)/(Tau_j))))*Salcycl</f>
        <v>4.3151976843975669E-2</v>
      </c>
      <c r="P236" s="169">
        <f>(INDEX(Models!$BJ236:$BT236,,T236)*(1-R236)+INDEX(Models!$BJ236:$BT236,,T236+1)*R236-ERP_i)*Q236*Ramure*Pc/MaxiM</f>
        <v>6.5904987324239711E-5</v>
      </c>
      <c r="Q236" s="305">
        <f t="shared" si="77"/>
        <v>0.5</v>
      </c>
      <c r="R236" s="177">
        <f t="shared" si="78"/>
        <v>0.45980009067621952</v>
      </c>
      <c r="S236" s="811">
        <f t="shared" si="79"/>
        <v>-1</v>
      </c>
      <c r="T236" s="176">
        <f t="shared" si="80"/>
        <v>5</v>
      </c>
      <c r="U236" s="251">
        <f t="shared" si="81"/>
        <v>-0.54019990932378048</v>
      </c>
      <c r="V236" s="383">
        <f t="shared" si="82"/>
        <v>53.811512954567789</v>
      </c>
      <c r="W236" s="402"/>
      <c r="X236" s="157">
        <f t="shared" si="83"/>
        <v>44052</v>
      </c>
      <c r="Y236" s="385">
        <f t="shared" si="84"/>
        <v>40.295000000000002</v>
      </c>
      <c r="Z236" s="385">
        <f t="shared" si="85"/>
        <v>41.000994281150895</v>
      </c>
      <c r="AA236" s="386">
        <f t="shared" si="86"/>
        <v>42.850059036454994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4.3151976843975669E-2</v>
      </c>
      <c r="AD236" s="231">
        <f>(INDEX(Models!$BJ236:$BT236,,AH236)*(1-AF236)+INDEX(Models!$BJ236:$BT236,,AH236+1)*AF236-ERP_i)*AE236*Ramure*Pc/MaxiM</f>
        <v>6.5904987324239711E-5</v>
      </c>
      <c r="AE236" s="305">
        <f t="shared" si="88"/>
        <v>0.5</v>
      </c>
      <c r="AF236" s="177">
        <f t="shared" si="89"/>
        <v>0.45980009067621952</v>
      </c>
      <c r="AG236" s="811">
        <f t="shared" si="95"/>
        <v>-1</v>
      </c>
      <c r="AH236" s="176">
        <f t="shared" si="90"/>
        <v>5</v>
      </c>
      <c r="AI236" s="225">
        <f t="shared" si="91"/>
        <v>-0.54019990932378048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7">
        <v>37.061999999999998</v>
      </c>
      <c r="C237" s="390"/>
      <c r="D237" s="393">
        <f t="shared" si="74"/>
        <v>37.712176038062253</v>
      </c>
      <c r="E237" s="385">
        <f t="shared" si="96"/>
        <v>39.415775229208201</v>
      </c>
      <c r="F237" s="385">
        <f t="shared" si="75"/>
        <v>39.417091195499061</v>
      </c>
      <c r="G237" s="110">
        <f t="shared" si="97"/>
        <v>0.69066758530066041</v>
      </c>
      <c r="H237" s="414" t="b">
        <f>Wh_hp&gt;='2019'!Maxi_hp</f>
        <v>0</v>
      </c>
      <c r="I237" s="380">
        <f>IF(H237,Wh_hp,'2019'!Maxi_hp)</f>
        <v>54.934751797677123</v>
      </c>
      <c r="J237" s="85">
        <f>IF(H237,An,'2019'!An_max)</f>
        <v>2018</v>
      </c>
      <c r="K237" s="197">
        <f t="shared" si="76"/>
        <v>44053</v>
      </c>
      <c r="L237" s="147">
        <f>IF(t&lt;Tvie,1-EXP((T0-t)*PertePVj)+'2019'!Pspv,1-EXP((T0-t)*PertePVj)+Pspv)</f>
        <v>1.7240480565376193E-2</v>
      </c>
      <c r="M237" s="845"/>
      <c r="N237" s="845"/>
      <c r="O237" s="48">
        <f>IF(t&lt;Tnet,'2019'!Resal+('2019'!Salim-'2019'!Resal)*(1-EXP(('2019'!Tnet-t)/('2019'!Tau_j))),Resal+(Salim-Resal)*(1-EXP((Tnet-t)/(Tau_j))))*Salcycl</f>
        <v>4.322125294350504E-2</v>
      </c>
      <c r="P237" s="169">
        <f>(INDEX(Models!$BJ237:$BT237,,T237)*(1-R237)+INDEX(Models!$BJ237:$BT237,,T237+1)*R237-ERP_i)*Q237*Ramure*Pc/MaxiM</f>
        <v>5.9817816919950035E-5</v>
      </c>
      <c r="Q237" s="305">
        <f t="shared" si="77"/>
        <v>0.5</v>
      </c>
      <c r="R237" s="177">
        <f t="shared" si="78"/>
        <v>0.46120989678256197</v>
      </c>
      <c r="S237" s="811">
        <f t="shared" si="79"/>
        <v>-1</v>
      </c>
      <c r="T237" s="176">
        <f t="shared" si="80"/>
        <v>5</v>
      </c>
      <c r="U237" s="251">
        <f t="shared" si="81"/>
        <v>-0.53879010321743803</v>
      </c>
      <c r="V237" s="383">
        <f t="shared" si="82"/>
        <v>53.659707112510972</v>
      </c>
      <c r="W237" s="402"/>
      <c r="X237" s="157">
        <f t="shared" si="83"/>
        <v>44053</v>
      </c>
      <c r="Y237" s="385">
        <f t="shared" si="84"/>
        <v>37.061999999999998</v>
      </c>
      <c r="Z237" s="385">
        <f t="shared" si="85"/>
        <v>37.712176038062253</v>
      </c>
      <c r="AA237" s="386">
        <f t="shared" si="86"/>
        <v>39.415775229208201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4.322125294350504E-2</v>
      </c>
      <c r="AD237" s="231">
        <f>(INDEX(Models!$BJ237:$BT237,,AH237)*(1-AF237)+INDEX(Models!$BJ237:$BT237,,AH237+1)*AF237-ERP_i)*AE237*Ramure*Pc/MaxiM</f>
        <v>5.9817816919950035E-5</v>
      </c>
      <c r="AE237" s="305">
        <f t="shared" si="88"/>
        <v>0.5</v>
      </c>
      <c r="AF237" s="177">
        <f t="shared" si="89"/>
        <v>0.46120989678256197</v>
      </c>
      <c r="AG237" s="811">
        <f t="shared" si="95"/>
        <v>-1</v>
      </c>
      <c r="AH237" s="176">
        <f t="shared" si="90"/>
        <v>5</v>
      </c>
      <c r="AI237" s="225">
        <f t="shared" si="91"/>
        <v>-0.53879010321743803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7">
        <v>42.587000000000003</v>
      </c>
      <c r="C238" s="390"/>
      <c r="D238" s="393">
        <f t="shared" si="74"/>
        <v>43.335049870112321</v>
      </c>
      <c r="E238" s="385">
        <f t="shared" si="96"/>
        <v>45.295926840586944</v>
      </c>
      <c r="F238" s="385">
        <f t="shared" si="75"/>
        <v>45.297663182616709</v>
      </c>
      <c r="G238" s="110">
        <f t="shared" si="97"/>
        <v>0.79590988164506982</v>
      </c>
      <c r="H238" s="414" t="b">
        <f>Wh_hp&gt;='2019'!Maxi_hp</f>
        <v>0</v>
      </c>
      <c r="I238" s="380">
        <f>IF(H238,Wh_hp,'2019'!Maxi_hp)</f>
        <v>52.198759439863373</v>
      </c>
      <c r="J238" s="85">
        <f>IF(H238,An,'2019'!An_max)</f>
        <v>2018</v>
      </c>
      <c r="K238" s="197">
        <f t="shared" si="76"/>
        <v>44054</v>
      </c>
      <c r="L238" s="147">
        <f>IF(t&lt;Tvie,1-EXP((T0-t)*PertePVj)+'2019'!Pspv,1-EXP((T0-t)*PertePVj)+Pspv)</f>
        <v>1.7262005521037627E-2</v>
      </c>
      <c r="M238" s="845"/>
      <c r="N238" s="845"/>
      <c r="O238" s="48">
        <f>IF(t&lt;Tnet,'2019'!Resal+('2019'!Salim-'2019'!Resal)*(1-EXP(('2019'!Tnet-t)/('2019'!Tau_j))),Resal+(Salim-Resal)*(1-EXP((Tnet-t)/(Tau_j))))*Salcycl</f>
        <v>4.3290359801570491E-2</v>
      </c>
      <c r="P238" s="169">
        <f>(INDEX(Models!$BJ238:$BT238,,T238)*(1-R238)+INDEX(Models!$BJ238:$BT238,,T238+1)*R238-ERP_i)*Q238*Ramure*Pc/MaxiM</f>
        <v>5.4105792446999389E-5</v>
      </c>
      <c r="Q238" s="305">
        <f t="shared" si="77"/>
        <v>0.5</v>
      </c>
      <c r="R238" s="177">
        <f t="shared" si="78"/>
        <v>0.46257103577012804</v>
      </c>
      <c r="S238" s="811">
        <f t="shared" si="79"/>
        <v>-1</v>
      </c>
      <c r="T238" s="176">
        <f t="shared" si="80"/>
        <v>5</v>
      </c>
      <c r="U238" s="251">
        <f t="shared" si="81"/>
        <v>-0.53742896422987196</v>
      </c>
      <c r="V238" s="383">
        <f t="shared" si="82"/>
        <v>53.506470004130719</v>
      </c>
      <c r="W238" s="402"/>
      <c r="X238" s="157">
        <f t="shared" si="83"/>
        <v>44054</v>
      </c>
      <c r="Y238" s="385">
        <f t="shared" si="84"/>
        <v>42.587000000000003</v>
      </c>
      <c r="Z238" s="385">
        <f t="shared" si="85"/>
        <v>43.335049870112321</v>
      </c>
      <c r="AA238" s="386">
        <f t="shared" si="86"/>
        <v>45.295926840586944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4.3290359801570491E-2</v>
      </c>
      <c r="AD238" s="231">
        <f>(INDEX(Models!$BJ238:$BT238,,AH238)*(1-AF238)+INDEX(Models!$BJ238:$BT238,,AH238+1)*AF238-ERP_i)*AE238*Ramure*Pc/MaxiM</f>
        <v>5.4105792446999389E-5</v>
      </c>
      <c r="AE238" s="305">
        <f t="shared" si="88"/>
        <v>0.5</v>
      </c>
      <c r="AF238" s="177">
        <f t="shared" si="89"/>
        <v>0.46257103577012804</v>
      </c>
      <c r="AG238" s="811">
        <f t="shared" si="95"/>
        <v>-1</v>
      </c>
      <c r="AH238" s="176">
        <f t="shared" si="90"/>
        <v>5</v>
      </c>
      <c r="AI238" s="225">
        <f t="shared" si="91"/>
        <v>-0.53742896422987196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7">
        <v>27.704000000000001</v>
      </c>
      <c r="C239" s="390"/>
      <c r="D239" s="393">
        <f t="shared" si="74"/>
        <v>28.191244215280047</v>
      </c>
      <c r="E239" s="385">
        <f t="shared" si="96"/>
        <v>29.468999251489489</v>
      </c>
      <c r="F239" s="385">
        <f t="shared" si="75"/>
        <v>29.46944948723948</v>
      </c>
      <c r="G239" s="110">
        <f t="shared" si="97"/>
        <v>0.51925377217685786</v>
      </c>
      <c r="H239" s="414" t="b">
        <f>Wh_hp&gt;='2019'!Maxi_hp</f>
        <v>0</v>
      </c>
      <c r="I239" s="380">
        <f>IF(H239,Wh_hp,'2019'!Maxi_hp)</f>
        <v>49.571963401626377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1.7283530005247294E-2</v>
      </c>
      <c r="M239" s="845"/>
      <c r="N239" s="845"/>
      <c r="O239" s="48">
        <f>IF(t&lt;Tnet,'2019'!Resal+('2019'!Salim-'2019'!Resal)*(1-EXP(('2019'!Tnet-t)/('2019'!Tau_j))),Resal+(Salim-Resal)*(1-EXP((Tnet-t)/(Tau_j))))*Salcycl</f>
        <v>4.3359295146232602E-2</v>
      </c>
      <c r="P239" s="169">
        <f>(INDEX(Models!$BJ239:$BT239,,T239)*(1-R239)+INDEX(Models!$BJ239:$BT239,,T239+1)*R239-ERP_i)*Q239*Ramure*Pc/MaxiM</f>
        <v>4.8773561326997554E-5</v>
      </c>
      <c r="Q239" s="305">
        <f t="shared" si="77"/>
        <v>0.5</v>
      </c>
      <c r="R239" s="177">
        <f t="shared" si="78"/>
        <v>0.4638848940978717</v>
      </c>
      <c r="S239" s="811">
        <f t="shared" si="79"/>
        <v>-1</v>
      </c>
      <c r="T239" s="176">
        <f t="shared" si="80"/>
        <v>5</v>
      </c>
      <c r="U239" s="251">
        <f t="shared" si="81"/>
        <v>-0.5361151059021283</v>
      </c>
      <c r="V239" s="383">
        <f t="shared" si="82"/>
        <v>53.351701057583298</v>
      </c>
      <c r="W239" s="402"/>
      <c r="X239" s="157">
        <f t="shared" si="83"/>
        <v>44055</v>
      </c>
      <c r="Y239" s="385">
        <f t="shared" si="84"/>
        <v>27.704000000000001</v>
      </c>
      <c r="Z239" s="385">
        <f t="shared" si="85"/>
        <v>28.191244215280047</v>
      </c>
      <c r="AA239" s="386">
        <f t="shared" si="86"/>
        <v>29.468999251489489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4.3359295146232602E-2</v>
      </c>
      <c r="AD239" s="231">
        <f>(INDEX(Models!$BJ239:$BT239,,AH239)*(1-AF239)+INDEX(Models!$BJ239:$BT239,,AH239+1)*AF239-ERP_i)*AE239*Ramure*Pc/MaxiM</f>
        <v>4.8773561326997554E-5</v>
      </c>
      <c r="AE239" s="305">
        <f t="shared" si="88"/>
        <v>0.5</v>
      </c>
      <c r="AF239" s="177">
        <f t="shared" si="89"/>
        <v>0.4638848940978717</v>
      </c>
      <c r="AG239" s="811">
        <f t="shared" si="95"/>
        <v>-1</v>
      </c>
      <c r="AH239" s="176">
        <f t="shared" si="90"/>
        <v>5</v>
      </c>
      <c r="AI239" s="225">
        <f t="shared" si="91"/>
        <v>-0.5361151059021283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7">
        <v>17.427</v>
      </c>
      <c r="C240" s="390"/>
      <c r="D240" s="393">
        <f t="shared" si="74"/>
        <v>17.733885852629069</v>
      </c>
      <c r="E240" s="385">
        <f t="shared" si="96"/>
        <v>18.538998521444299</v>
      </c>
      <c r="F240" s="385">
        <f t="shared" si="75"/>
        <v>18.539030655230604</v>
      </c>
      <c r="G240" s="110">
        <f t="shared" si="97"/>
        <v>0.32759034215424476</v>
      </c>
      <c r="H240" s="414" t="b">
        <f>Wh_hp&gt;='2019'!Maxi_hp</f>
        <v>0</v>
      </c>
      <c r="I240" s="380">
        <f>IF(H240,Wh_hp,'2019'!Maxi_hp)</f>
        <v>57.385484130512104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1.730505401801552E-2</v>
      </c>
      <c r="M240" s="845"/>
      <c r="N240" s="845"/>
      <c r="O240" s="48">
        <f>IF(t&lt;Tnet,'2019'!Resal+('2019'!Salim-'2019'!Resal)*(1-EXP(('2019'!Tnet-t)/('2019'!Tau_j))),Resal+(Salim-Resal)*(1-EXP((Tnet-t)/(Tau_j))))*Salcycl</f>
        <v>4.3428056153300039E-2</v>
      </c>
      <c r="P240" s="169">
        <f>(INDEX(Models!$BJ240:$BT240,,T240)*(1-R240)+INDEX(Models!$BJ240:$BT240,,T240+1)*R240-ERP_i)*Q240*Ramure*Pc/MaxiM</f>
        <v>4.3953975806156057E-5</v>
      </c>
      <c r="Q240" s="305">
        <f t="shared" si="77"/>
        <v>0.5</v>
      </c>
      <c r="R240" s="177">
        <f t="shared" si="78"/>
        <v>0.46515284065882057</v>
      </c>
      <c r="S240" s="811">
        <f t="shared" si="79"/>
        <v>-1</v>
      </c>
      <c r="T240" s="176">
        <f t="shared" si="80"/>
        <v>5</v>
      </c>
      <c r="U240" s="251">
        <f t="shared" si="81"/>
        <v>-0.53484715934117943</v>
      </c>
      <c r="V240" s="383">
        <f t="shared" si="82"/>
        <v>53.195292951834659</v>
      </c>
      <c r="W240" s="402"/>
      <c r="X240" s="157">
        <f t="shared" si="83"/>
        <v>44056</v>
      </c>
      <c r="Y240" s="385">
        <f t="shared" si="84"/>
        <v>17.427</v>
      </c>
      <c r="Z240" s="385">
        <f t="shared" si="85"/>
        <v>17.733885852629069</v>
      </c>
      <c r="AA240" s="386">
        <f t="shared" si="86"/>
        <v>18.538998521444299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4.3428056153300039E-2</v>
      </c>
      <c r="AD240" s="231">
        <f>(INDEX(Models!$BJ240:$BT240,,AH240)*(1-AF240)+INDEX(Models!$BJ240:$BT240,,AH240+1)*AF240-ERP_i)*AE240*Ramure*Pc/MaxiM</f>
        <v>4.3953975806156057E-5</v>
      </c>
      <c r="AE240" s="305">
        <f t="shared" si="88"/>
        <v>0.5</v>
      </c>
      <c r="AF240" s="177">
        <f t="shared" si="89"/>
        <v>0.46515284065882057</v>
      </c>
      <c r="AG240" s="811">
        <f t="shared" si="95"/>
        <v>-1</v>
      </c>
      <c r="AH240" s="176">
        <f t="shared" si="90"/>
        <v>5</v>
      </c>
      <c r="AI240" s="225">
        <f t="shared" si="91"/>
        <v>-0.53484715934117943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7">
        <v>44.186</v>
      </c>
      <c r="C241" s="390"/>
      <c r="D241" s="393">
        <f t="shared" si="74"/>
        <v>44.965091139084713</v>
      </c>
      <c r="E241" s="385">
        <f t="shared" si="96"/>
        <v>47.009862166182558</v>
      </c>
      <c r="F241" s="385">
        <f t="shared" si="75"/>
        <v>47.01127376482291</v>
      </c>
      <c r="G241" s="110">
        <f t="shared" si="97"/>
        <v>0.83310620212302688</v>
      </c>
      <c r="H241" s="414" t="b">
        <f>Wh_hp&gt;='2019'!Maxi_hp</f>
        <v>0</v>
      </c>
      <c r="I241" s="380">
        <f>IF(H241,Wh_hp,'2019'!Maxi_hp)</f>
        <v>56.300151621417385</v>
      </c>
      <c r="J241" s="85">
        <f>IF(H241,An,'2019'!An_max)</f>
        <v>2018</v>
      </c>
      <c r="K241" s="197">
        <f t="shared" si="76"/>
        <v>44057</v>
      </c>
      <c r="L241" s="147">
        <f>IF(t&lt;Tvie,1-EXP((T0-t)*PertePVj)+'2019'!Pspv,1-EXP((T0-t)*PertePVj)+Pspv)</f>
        <v>1.7326577559352629E-2</v>
      </c>
      <c r="M241" s="845"/>
      <c r="N241" s="845"/>
      <c r="O241" s="48">
        <f>IF(t&lt;Tnet,'2019'!Resal+('2019'!Salim-'2019'!Resal)*(1-EXP(('2019'!Tnet-t)/('2019'!Tau_j))),Resal+(Salim-Resal)*(1-EXP((Tnet-t)/(Tau_j))))*Salcycl</f>
        <v>4.3496639489591774E-2</v>
      </c>
      <c r="P241" s="169">
        <f>(INDEX(Models!$BJ241:$BT241,,T241)*(1-R241)+INDEX(Models!$BJ241:$BT241,,T241+1)*R241-ERP_i)*Q241*Ramure*Pc/MaxiM</f>
        <v>3.9426401311730509E-5</v>
      </c>
      <c r="Q241" s="305">
        <f t="shared" si="77"/>
        <v>0.5</v>
      </c>
      <c r="R241" s="177">
        <f t="shared" si="78"/>
        <v>0.46637622518186084</v>
      </c>
      <c r="S241" s="811">
        <f t="shared" si="79"/>
        <v>-1</v>
      </c>
      <c r="T241" s="176">
        <f t="shared" si="80"/>
        <v>5</v>
      </c>
      <c r="U241" s="251">
        <f t="shared" si="81"/>
        <v>-0.53362377481813916</v>
      </c>
      <c r="V241" s="383">
        <f t="shared" si="82"/>
        <v>53.037157261150405</v>
      </c>
      <c r="W241" s="402"/>
      <c r="X241" s="157">
        <f t="shared" si="83"/>
        <v>44057</v>
      </c>
      <c r="Y241" s="385">
        <f t="shared" si="84"/>
        <v>44.186</v>
      </c>
      <c r="Z241" s="385">
        <f t="shared" si="85"/>
        <v>44.965091139084713</v>
      </c>
      <c r="AA241" s="386">
        <f t="shared" si="86"/>
        <v>47.009862166182558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4.3496639489591774E-2</v>
      </c>
      <c r="AD241" s="231">
        <f>(INDEX(Models!$BJ241:$BT241,,AH241)*(1-AF241)+INDEX(Models!$BJ241:$BT241,,AH241+1)*AF241-ERP_i)*AE241*Ramure*Pc/MaxiM</f>
        <v>3.9426401311730509E-5</v>
      </c>
      <c r="AE241" s="305">
        <f t="shared" si="88"/>
        <v>0.5</v>
      </c>
      <c r="AF241" s="177">
        <f t="shared" si="89"/>
        <v>0.46637622518186084</v>
      </c>
      <c r="AG241" s="811">
        <f t="shared" si="95"/>
        <v>-1</v>
      </c>
      <c r="AH241" s="176">
        <f t="shared" si="90"/>
        <v>5</v>
      </c>
      <c r="AI241" s="225">
        <f t="shared" si="91"/>
        <v>-0.53362377481813916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7">
        <v>46.08</v>
      </c>
      <c r="C242" s="390"/>
      <c r="D242" s="393">
        <f t="shared" si="74"/>
        <v>46.893513389134675</v>
      </c>
      <c r="E242" s="385">
        <f t="shared" si="96"/>
        <v>49.029484927585791</v>
      </c>
      <c r="F242" s="385">
        <f t="shared" si="75"/>
        <v>49.030893639999135</v>
      </c>
      <c r="G242" s="110">
        <f t="shared" si="97"/>
        <v>0.87144757508044324</v>
      </c>
      <c r="H242" s="414" t="b">
        <f>Wh_hp&gt;='2019'!Maxi_hp</f>
        <v>0</v>
      </c>
      <c r="I242" s="380">
        <f>IF(H242,Wh_hp,'2019'!Maxi_hp)</f>
        <v>56.421516120211891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1.7348100629268948E-2</v>
      </c>
      <c r="M242" s="845"/>
      <c r="N242" s="845"/>
      <c r="O242" s="48">
        <f>IF(t&lt;Tnet,'2019'!Resal+('2019'!Salim-'2019'!Resal)*(1-EXP(('2019'!Tnet-t)/('2019'!Tau_j))),Resal+(Salim-Resal)*(1-EXP((Tnet-t)/(Tau_j))))*Salcycl</f>
        <v>4.3565041354316617E-2</v>
      </c>
      <c r="P242" s="169">
        <f>(INDEX(Models!$BJ242:$BT242,,T242)*(1-R242)+INDEX(Models!$BJ242:$BT242,,T242+1)*R242-ERP_i)*Q242*Ramure*Pc/MaxiM</f>
        <v>3.5194102789431293E-5</v>
      </c>
      <c r="Q242" s="305">
        <f t="shared" si="77"/>
        <v>0.5</v>
      </c>
      <c r="R242" s="177">
        <f t="shared" si="78"/>
        <v>0.4675563768098796</v>
      </c>
      <c r="S242" s="811">
        <f t="shared" si="79"/>
        <v>-1</v>
      </c>
      <c r="T242" s="176">
        <f t="shared" si="80"/>
        <v>5</v>
      </c>
      <c r="U242" s="251">
        <f t="shared" si="81"/>
        <v>-0.5324436231901204</v>
      </c>
      <c r="V242" s="383">
        <f t="shared" si="82"/>
        <v>52.877193642855303</v>
      </c>
      <c r="W242" s="402"/>
      <c r="X242" s="157">
        <f t="shared" si="83"/>
        <v>44058</v>
      </c>
      <c r="Y242" s="385">
        <f t="shared" si="84"/>
        <v>46.08</v>
      </c>
      <c r="Z242" s="385">
        <f t="shared" si="85"/>
        <v>46.893513389134675</v>
      </c>
      <c r="AA242" s="386">
        <f t="shared" si="86"/>
        <v>49.029484927585791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4.3565041354316617E-2</v>
      </c>
      <c r="AD242" s="231">
        <f>(INDEX(Models!$BJ242:$BT242,,AH242)*(1-AF242)+INDEX(Models!$BJ242:$BT242,,AH242+1)*AF242-ERP_i)*AE242*Ramure*Pc/MaxiM</f>
        <v>3.5194102789431293E-5</v>
      </c>
      <c r="AE242" s="305">
        <f t="shared" si="88"/>
        <v>0.5</v>
      </c>
      <c r="AF242" s="177">
        <f t="shared" si="89"/>
        <v>0.4675563768098796</v>
      </c>
      <c r="AG242" s="811">
        <f t="shared" si="95"/>
        <v>-1</v>
      </c>
      <c r="AH242" s="176">
        <f t="shared" si="90"/>
        <v>5</v>
      </c>
      <c r="AI242" s="225">
        <f t="shared" si="91"/>
        <v>-0.5324436231901204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7">
        <v>18.878</v>
      </c>
      <c r="C243" s="390"/>
      <c r="D243" s="393">
        <f t="shared" si="74"/>
        <v>19.211699990398262</v>
      </c>
      <c r="E243" s="385">
        <f t="shared" si="96"/>
        <v>20.088214214287262</v>
      </c>
      <c r="F243" s="385">
        <f t="shared" si="75"/>
        <v>20.088266346505218</v>
      </c>
      <c r="G243" s="110">
        <f t="shared" si="97"/>
        <v>0.35810207297809449</v>
      </c>
      <c r="H243" s="414" t="b">
        <f>Wh_hp&gt;='2019'!Maxi_hp</f>
        <v>0</v>
      </c>
      <c r="I243" s="380">
        <f>IF(H243,Wh_hp,'2019'!Maxi_hp)</f>
        <v>55.293372982977111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1.73696232277748E-2</v>
      </c>
      <c r="M243" s="845"/>
      <c r="N243" s="845"/>
      <c r="O243" s="48">
        <f>IF(t&lt;Tnet,'2019'!Resal+('2019'!Salim-'2019'!Resal)*(1-EXP(('2019'!Tnet-t)/('2019'!Tau_j))),Resal+(Salim-Resal)*(1-EXP((Tnet-t)/(Tau_j))))*Salcycl</f>
        <v>4.3633257518012745E-2</v>
      </c>
      <c r="P243" s="169">
        <f>(INDEX(Models!$BJ243:$BT243,,T243)*(1-R243)+INDEX(Models!$BJ243:$BT243,,T243+1)*R243-ERP_i)*Q243*Ramure*Pc/MaxiM</f>
        <v>3.1260320991053164E-5</v>
      </c>
      <c r="Q243" s="305">
        <f t="shared" si="77"/>
        <v>0.5</v>
      </c>
      <c r="R243" s="177">
        <f t="shared" si="78"/>
        <v>0.4686946028447323</v>
      </c>
      <c r="S243" s="811">
        <f t="shared" si="79"/>
        <v>-1</v>
      </c>
      <c r="T243" s="176">
        <f t="shared" si="80"/>
        <v>5</v>
      </c>
      <c r="U243" s="251">
        <f t="shared" si="81"/>
        <v>-0.5313053971552677</v>
      </c>
      <c r="V243" s="383">
        <f t="shared" si="82"/>
        <v>52.715301815068614</v>
      </c>
      <c r="W243" s="402"/>
      <c r="X243" s="157">
        <f t="shared" si="83"/>
        <v>44059</v>
      </c>
      <c r="Y243" s="385">
        <f t="shared" si="84"/>
        <v>18.878</v>
      </c>
      <c r="Z243" s="385">
        <f t="shared" si="85"/>
        <v>19.211699990398262</v>
      </c>
      <c r="AA243" s="386">
        <f t="shared" si="86"/>
        <v>20.088214214287262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4.3633257518012745E-2</v>
      </c>
      <c r="AD243" s="231">
        <f>(INDEX(Models!$BJ243:$BT243,,AH243)*(1-AF243)+INDEX(Models!$BJ243:$BT243,,AH243+1)*AF243-ERP_i)*AE243*Ramure*Pc/MaxiM</f>
        <v>3.1260320991053164E-5</v>
      </c>
      <c r="AE243" s="305">
        <f t="shared" si="88"/>
        <v>0.5</v>
      </c>
      <c r="AF243" s="177">
        <f t="shared" si="89"/>
        <v>0.4686946028447323</v>
      </c>
      <c r="AG243" s="811">
        <f t="shared" si="95"/>
        <v>-1</v>
      </c>
      <c r="AH243" s="176">
        <f t="shared" si="90"/>
        <v>5</v>
      </c>
      <c r="AI243" s="225">
        <f t="shared" si="91"/>
        <v>-0.5313053971552677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7">
        <v>41.728999999999999</v>
      </c>
      <c r="C244" s="390"/>
      <c r="D244" s="393">
        <f t="shared" si="74"/>
        <v>42.467559500133859</v>
      </c>
      <c r="E244" s="385">
        <f t="shared" si="96"/>
        <v>44.408257337498959</v>
      </c>
      <c r="F244" s="385">
        <f t="shared" si="75"/>
        <v>44.409123318875373</v>
      </c>
      <c r="G244" s="110">
        <f t="shared" si="97"/>
        <v>0.79405449631518854</v>
      </c>
      <c r="H244" s="414" t="b">
        <f>Wh_hp&gt;='2019'!Maxi_hp</f>
        <v>1</v>
      </c>
      <c r="I244" s="380">
        <f>IF(H244,Wh_hp,'2019'!Maxi_hp)</f>
        <v>44.409123318875373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1.73911453548804E-2</v>
      </c>
      <c r="M244" s="845"/>
      <c r="N244" s="845"/>
      <c r="O244" s="48">
        <f>IF(t&lt;Tnet,'2019'!Resal+('2019'!Salim-'2019'!Resal)*(1-EXP(('2019'!Tnet-t)/('2019'!Tau_j))),Resal+(Salim-Resal)*(1-EXP((Tnet-t)/(Tau_j))))*Salcycl</f>
        <v>4.370128335854221E-2</v>
      </c>
      <c r="P244" s="169">
        <f>(INDEX(Models!$BJ244:$BT244,,T244)*(1-R244)+INDEX(Models!$BJ244:$BT244,,T244+1)*R244-ERP_i)*Q244*Ramure*Pc/MaxiM</f>
        <v>2.7628280888409212E-5</v>
      </c>
      <c r="Q244" s="305">
        <f t="shared" si="77"/>
        <v>0.5</v>
      </c>
      <c r="R244" s="177">
        <f t="shared" si="78"/>
        <v>0.46979218764954589</v>
      </c>
      <c r="S244" s="811">
        <f t="shared" si="79"/>
        <v>-1</v>
      </c>
      <c r="T244" s="176">
        <f t="shared" si="80"/>
        <v>5</v>
      </c>
      <c r="U244" s="251">
        <f t="shared" si="81"/>
        <v>-0.53020781235045411</v>
      </c>
      <c r="V244" s="383">
        <f t="shared" si="82"/>
        <v>52.551381555367691</v>
      </c>
      <c r="W244" s="402"/>
      <c r="X244" s="157">
        <f t="shared" si="83"/>
        <v>44060</v>
      </c>
      <c r="Y244" s="385">
        <f t="shared" si="84"/>
        <v>41.728999999999999</v>
      </c>
      <c r="Z244" s="385">
        <f t="shared" si="85"/>
        <v>42.467559500133859</v>
      </c>
      <c r="AA244" s="386">
        <f t="shared" si="86"/>
        <v>44.408257337498959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4.370128335854221E-2</v>
      </c>
      <c r="AD244" s="231">
        <f>(INDEX(Models!$BJ244:$BT244,,AH244)*(1-AF244)+INDEX(Models!$BJ244:$BT244,,AH244+1)*AF244-ERP_i)*AE244*Ramure*Pc/MaxiM</f>
        <v>2.7628280888409212E-5</v>
      </c>
      <c r="AE244" s="305">
        <f t="shared" si="88"/>
        <v>0.5</v>
      </c>
      <c r="AF244" s="177">
        <f t="shared" si="89"/>
        <v>0.46979218764954589</v>
      </c>
      <c r="AG244" s="811">
        <f t="shared" si="95"/>
        <v>-1</v>
      </c>
      <c r="AH244" s="176">
        <f t="shared" si="90"/>
        <v>5</v>
      </c>
      <c r="AI244" s="225">
        <f t="shared" si="91"/>
        <v>-0.53020781235045411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7">
        <v>40.152000000000001</v>
      </c>
      <c r="C245" s="390"/>
      <c r="D245" s="393">
        <f t="shared" si="74"/>
        <v>40.863543271866099</v>
      </c>
      <c r="E245" s="385">
        <f t="shared" si="96"/>
        <v>42.733971330144996</v>
      </c>
      <c r="F245" s="385">
        <f t="shared" si="75"/>
        <v>42.734663380163497</v>
      </c>
      <c r="G245" s="110">
        <f t="shared" si="97"/>
        <v>0.76646787203057232</v>
      </c>
      <c r="H245" s="414" t="b">
        <f>Wh_hp&gt;='2019'!Maxi_hp</f>
        <v>0</v>
      </c>
      <c r="I245" s="380">
        <f>IF(H245,Wh_hp,'2019'!Maxi_hp)</f>
        <v>53.076716411968974</v>
      </c>
      <c r="J245" s="85">
        <f>IF(H245,An,'2019'!An_max)</f>
        <v>2018</v>
      </c>
      <c r="K245" s="197">
        <f t="shared" si="76"/>
        <v>44061</v>
      </c>
      <c r="L245" s="147">
        <f>IF(t&lt;Tvie,1-EXP((T0-t)*PertePVj)+'2019'!Pspv,1-EXP((T0-t)*PertePVj)+Pspv)</f>
        <v>1.7412667010596294E-2</v>
      </c>
      <c r="M245" s="845"/>
      <c r="N245" s="845"/>
      <c r="O245" s="48">
        <f>IF(t&lt;Tnet,'2019'!Resal+('2019'!Salim-'2019'!Resal)*(1-EXP(('2019'!Tnet-t)/('2019'!Tau_j))),Resal+(Salim-Resal)*(1-EXP((Tnet-t)/(Tau_j))))*Salcycl</f>
        <v>4.3769113893692209E-2</v>
      </c>
      <c r="P245" s="169">
        <f>(INDEX(Models!$BJ245:$BT245,,T245)*(1-R245)+INDEX(Models!$BJ245:$BT245,,T245+1)*R245-ERP_i)*Q245*Ramure*Pc/MaxiM</f>
        <v>2.4301199725189231E-5</v>
      </c>
      <c r="Q245" s="305">
        <f t="shared" si="77"/>
        <v>0.5</v>
      </c>
      <c r="R245" s="177">
        <f t="shared" si="78"/>
        <v>0.47085039169898524</v>
      </c>
      <c r="S245" s="811">
        <f t="shared" si="79"/>
        <v>-1</v>
      </c>
      <c r="T245" s="176">
        <f t="shared" si="80"/>
        <v>5</v>
      </c>
      <c r="U245" s="251">
        <f t="shared" si="81"/>
        <v>-0.52914960830101476</v>
      </c>
      <c r="V245" s="383">
        <f t="shared" si="82"/>
        <v>52.385332698496185</v>
      </c>
      <c r="W245" s="402"/>
      <c r="X245" s="157">
        <f t="shared" si="83"/>
        <v>44061</v>
      </c>
      <c r="Y245" s="385">
        <f t="shared" si="84"/>
        <v>40.152000000000001</v>
      </c>
      <c r="Z245" s="385">
        <f t="shared" si="85"/>
        <v>40.863543271866099</v>
      </c>
      <c r="AA245" s="386">
        <f t="shared" si="86"/>
        <v>42.733971330144996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4.3769113893692209E-2</v>
      </c>
      <c r="AD245" s="231">
        <f>(INDEX(Models!$BJ245:$BT245,,AH245)*(1-AF245)+INDEX(Models!$BJ245:$BT245,,AH245+1)*AF245-ERP_i)*AE245*Ramure*Pc/MaxiM</f>
        <v>2.4301199725189231E-5</v>
      </c>
      <c r="AE245" s="305">
        <f t="shared" si="88"/>
        <v>0.5</v>
      </c>
      <c r="AF245" s="177">
        <f t="shared" si="89"/>
        <v>0.47085039169898524</v>
      </c>
      <c r="AG245" s="811">
        <f t="shared" si="95"/>
        <v>-1</v>
      </c>
      <c r="AH245" s="176">
        <f t="shared" si="90"/>
        <v>5</v>
      </c>
      <c r="AI245" s="225">
        <f t="shared" si="91"/>
        <v>-0.52914960830101476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7">
        <v>50.383000000000003</v>
      </c>
      <c r="C246" s="390"/>
      <c r="D246" s="393">
        <f t="shared" si="74"/>
        <v>51.276972386655316</v>
      </c>
      <c r="E246" s="385">
        <f t="shared" si="96"/>
        <v>53.62784237388226</v>
      </c>
      <c r="F246" s="385">
        <f t="shared" si="75"/>
        <v>53.628926451512207</v>
      </c>
      <c r="G246" s="110">
        <f t="shared" si="97"/>
        <v>0.96487528968878922</v>
      </c>
      <c r="H246" s="414" t="b">
        <f>Wh_hp&gt;='2019'!Maxi_hp</f>
        <v>0</v>
      </c>
      <c r="I246" s="380">
        <f>IF(H246,Wh_hp,'2019'!Maxi_hp)</f>
        <v>53.656818151544883</v>
      </c>
      <c r="J246" s="85">
        <f>IF(H246,An,'2019'!An_max)</f>
        <v>2018</v>
      </c>
      <c r="K246" s="197">
        <f t="shared" si="76"/>
        <v>44062</v>
      </c>
      <c r="L246" s="147">
        <f>IF(t&lt;Tvie,1-EXP((T0-t)*PertePVj)+'2019'!Pspv,1-EXP((T0-t)*PertePVj)+Pspv)</f>
        <v>1.7434188194932698E-2</v>
      </c>
      <c r="M246" s="845"/>
      <c r="N246" s="845"/>
      <c r="O246" s="48">
        <f>IF(t&lt;Tnet,'2019'!Resal+('2019'!Salim-'2019'!Resal)*(1-EXP(('2019'!Tnet-t)/('2019'!Tau_j))),Resal+(Salim-Resal)*(1-EXP((Tnet-t)/(Tau_j))))*Salcycl</f>
        <v>4.3836743809999974E-2</v>
      </c>
      <c r="P246" s="169">
        <f>(INDEX(Models!$BJ246:$BT246,,T246)*(1-R246)+INDEX(Models!$BJ246:$BT246,,T246+1)*R246-ERP_i)*Q246*Ramure*Pc/MaxiM</f>
        <v>2.128229476156397E-5</v>
      </c>
      <c r="Q246" s="305">
        <f t="shared" si="77"/>
        <v>0.5</v>
      </c>
      <c r="R246" s="177">
        <f t="shared" si="78"/>
        <v>0.4718704507682705</v>
      </c>
      <c r="S246" s="811">
        <f t="shared" si="79"/>
        <v>-1</v>
      </c>
      <c r="T246" s="176">
        <f t="shared" si="80"/>
        <v>5</v>
      </c>
      <c r="U246" s="251">
        <f t="shared" si="81"/>
        <v>-0.5281295492317295</v>
      </c>
      <c r="V246" s="383">
        <f t="shared" si="82"/>
        <v>52.217055130944551</v>
      </c>
      <c r="W246" s="402"/>
      <c r="X246" s="157">
        <f t="shared" si="83"/>
        <v>44062</v>
      </c>
      <c r="Y246" s="385">
        <f t="shared" si="84"/>
        <v>50.383000000000003</v>
      </c>
      <c r="Z246" s="385">
        <f t="shared" si="85"/>
        <v>51.276972386655316</v>
      </c>
      <c r="AA246" s="386">
        <f t="shared" si="86"/>
        <v>53.62784237388226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4.3836743809999974E-2</v>
      </c>
      <c r="AD246" s="231">
        <f>(INDEX(Models!$BJ246:$BT246,,AH246)*(1-AF246)+INDEX(Models!$BJ246:$BT246,,AH246+1)*AF246-ERP_i)*AE246*Ramure*Pc/MaxiM</f>
        <v>2.128229476156397E-5</v>
      </c>
      <c r="AE246" s="305">
        <f t="shared" si="88"/>
        <v>0.5</v>
      </c>
      <c r="AF246" s="177">
        <f t="shared" si="89"/>
        <v>0.4718704507682705</v>
      </c>
      <c r="AG246" s="811">
        <f t="shared" si="95"/>
        <v>-1</v>
      </c>
      <c r="AH246" s="176">
        <f t="shared" si="90"/>
        <v>5</v>
      </c>
      <c r="AI246" s="225">
        <f t="shared" si="91"/>
        <v>-0.5281295492317295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7">
        <v>51.195</v>
      </c>
      <c r="C247" s="390"/>
      <c r="D247" s="393">
        <f t="shared" si="74"/>
        <v>52.104521357603787</v>
      </c>
      <c r="E247" s="385">
        <f t="shared" si="96"/>
        <v>54.497174431436243</v>
      </c>
      <c r="F247" s="385">
        <f t="shared" si="75"/>
        <v>54.498162972904758</v>
      </c>
      <c r="G247" s="110">
        <f t="shared" si="97"/>
        <v>0.98360236671178747</v>
      </c>
      <c r="H247" s="414" t="b">
        <f>Wh_hp&gt;='2019'!Maxi_hp</f>
        <v>1</v>
      </c>
      <c r="I247" s="380">
        <f>IF(H247,Wh_hp,'2019'!Maxi_hp)</f>
        <v>54.498162972904758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1.7455708907899936E-2</v>
      </c>
      <c r="M247" s="845"/>
      <c r="N247" s="845"/>
      <c r="O247" s="48">
        <f>IF(t&lt;Tnet,'2019'!Resal+('2019'!Salim-'2019'!Resal)*(1-EXP(('2019'!Tnet-t)/('2019'!Tau_j))),Resal+(Salim-Resal)*(1-EXP((Tnet-t)/(Tau_j))))*Salcycl</f>
        <v>4.3904167487484935E-2</v>
      </c>
      <c r="P247" s="169">
        <f>(INDEX(Models!$BJ247:$BT247,,T247)*(1-R247)+INDEX(Models!$BJ247:$BT247,,T247+1)*R247-ERP_i)*Q247*Ramure*Pc/MaxiM</f>
        <v>1.8574076911097603E-5</v>
      </c>
      <c r="Q247" s="305">
        <f t="shared" si="77"/>
        <v>0.5</v>
      </c>
      <c r="R247" s="177">
        <f t="shared" si="78"/>
        <v>0.47285357525193472</v>
      </c>
      <c r="S247" s="811">
        <f t="shared" si="79"/>
        <v>-1</v>
      </c>
      <c r="T247" s="176">
        <f t="shared" si="80"/>
        <v>5</v>
      </c>
      <c r="U247" s="251">
        <f t="shared" si="81"/>
        <v>-0.52714642474806528</v>
      </c>
      <c r="V247" s="383">
        <f t="shared" si="82"/>
        <v>52.048449106841026</v>
      </c>
      <c r="W247" s="402"/>
      <c r="X247" s="157">
        <f t="shared" si="83"/>
        <v>44063</v>
      </c>
      <c r="Y247" s="385">
        <f t="shared" si="84"/>
        <v>51.195</v>
      </c>
      <c r="Z247" s="385">
        <f t="shared" si="85"/>
        <v>52.104521357603787</v>
      </c>
      <c r="AA247" s="386">
        <f t="shared" si="86"/>
        <v>54.497174431436243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4.3904167487484935E-2</v>
      </c>
      <c r="AD247" s="231">
        <f>(INDEX(Models!$BJ247:$BT247,,AH247)*(1-AF247)+INDEX(Models!$BJ247:$BT247,,AH247+1)*AF247-ERP_i)*AE247*Ramure*Pc/MaxiM</f>
        <v>1.8574076911097603E-5</v>
      </c>
      <c r="AE247" s="305">
        <f t="shared" si="88"/>
        <v>0.5</v>
      </c>
      <c r="AF247" s="177">
        <f t="shared" si="89"/>
        <v>0.47285357525193472</v>
      </c>
      <c r="AG247" s="811">
        <f t="shared" si="95"/>
        <v>-1</v>
      </c>
      <c r="AH247" s="176">
        <f t="shared" si="90"/>
        <v>5</v>
      </c>
      <c r="AI247" s="225">
        <f t="shared" si="91"/>
        <v>-0.52714642474806528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7">
        <v>46.527999999999999</v>
      </c>
      <c r="C248" s="390"/>
      <c r="D248" s="393">
        <f t="shared" si="74"/>
        <v>47.355645467355849</v>
      </c>
      <c r="E248" s="385">
        <f t="shared" si="96"/>
        <v>49.533711050214208</v>
      </c>
      <c r="F248" s="385">
        <f t="shared" si="75"/>
        <v>49.534397650484649</v>
      </c>
      <c r="G248" s="110">
        <f t="shared" si="97"/>
        <v>0.89682046854996622</v>
      </c>
      <c r="H248" s="414" t="b">
        <f>Wh_hp&gt;='2019'!Maxi_hp</f>
        <v>0</v>
      </c>
      <c r="I248" s="380">
        <f>IF(H248,Wh_hp,'2019'!Maxi_hp)</f>
        <v>56.835581680919191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1.7477229149508333E-2</v>
      </c>
      <c r="M248" s="845"/>
      <c r="N248" s="845"/>
      <c r="O248" s="48">
        <f>IF(t&lt;Tnet,'2019'!Resal+('2019'!Salim-'2019'!Resal)*(1-EXP(('2019'!Tnet-t)/('2019'!Tau_j))),Resal+(Salim-Resal)*(1-EXP((Tnet-t)/(Tau_j))))*Salcycl</f>
        <v>4.3971379020044964E-2</v>
      </c>
      <c r="P248" s="169">
        <f>(INDEX(Models!$BJ248:$BT248,,T248)*(1-R248)+INDEX(Models!$BJ248:$BT248,,T248+1)*R248-ERP_i)*Q248*Ramure*Pc/MaxiM</f>
        <v>1.6257353562884049E-5</v>
      </c>
      <c r="Q248" s="305">
        <f t="shared" si="77"/>
        <v>0.5</v>
      </c>
      <c r="R248" s="177">
        <f t="shared" si="78"/>
        <v>0.47380094960355312</v>
      </c>
      <c r="S248" s="811">
        <f t="shared" si="79"/>
        <v>-1</v>
      </c>
      <c r="T248" s="176">
        <f t="shared" si="80"/>
        <v>5</v>
      </c>
      <c r="U248" s="251">
        <f t="shared" si="81"/>
        <v>-0.52619905039644688</v>
      </c>
      <c r="V248" s="383">
        <f t="shared" si="82"/>
        <v>51.880939537305451</v>
      </c>
      <c r="W248" s="402"/>
      <c r="X248" s="157">
        <f t="shared" si="83"/>
        <v>44064</v>
      </c>
      <c r="Y248" s="385">
        <f t="shared" si="84"/>
        <v>46.527999999999999</v>
      </c>
      <c r="Z248" s="385">
        <f t="shared" si="85"/>
        <v>47.355645467355849</v>
      </c>
      <c r="AA248" s="386">
        <f t="shared" si="86"/>
        <v>49.533711050214208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4.3971379020044964E-2</v>
      </c>
      <c r="AD248" s="231">
        <f>(INDEX(Models!$BJ248:$BT248,,AH248)*(1-AF248)+INDEX(Models!$BJ248:$BT248,,AH248+1)*AF248-ERP_i)*AE248*Ramure*Pc/MaxiM</f>
        <v>1.6257353562884049E-5</v>
      </c>
      <c r="AE248" s="305">
        <f t="shared" si="88"/>
        <v>0.5</v>
      </c>
      <c r="AF248" s="177">
        <f t="shared" si="89"/>
        <v>0.47380094960355312</v>
      </c>
      <c r="AG248" s="811">
        <f t="shared" si="95"/>
        <v>-1</v>
      </c>
      <c r="AH248" s="176">
        <f t="shared" si="90"/>
        <v>5</v>
      </c>
      <c r="AI248" s="225">
        <f t="shared" si="91"/>
        <v>-0.52619905039644688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7">
        <v>36.17</v>
      </c>
      <c r="C249" s="390"/>
      <c r="D249" s="393">
        <f t="shared" si="74"/>
        <v>36.814202485983735</v>
      </c>
      <c r="E249" s="385">
        <f t="shared" si="96"/>
        <v>38.510125737905653</v>
      </c>
      <c r="F249" s="385">
        <f t="shared" si="75"/>
        <v>38.510436341373989</v>
      </c>
      <c r="G249" s="110">
        <f t="shared" si="97"/>
        <v>0.69942315939938471</v>
      </c>
      <c r="H249" s="414" t="b">
        <f>Wh_hp&gt;='2019'!Maxi_hp</f>
        <v>0</v>
      </c>
      <c r="I249" s="380">
        <f>IF(H249,Wh_hp,'2019'!Maxi_hp)</f>
        <v>54.138140935976416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1.7498748919768103E-2</v>
      </c>
      <c r="M249" s="845"/>
      <c r="N249" s="845"/>
      <c r="O249" s="48">
        <f>IF(t&lt;Tnet,'2019'!Resal+('2019'!Salim-'2019'!Resal)*(1-EXP(('2019'!Tnet-t)/('2019'!Tau_j))),Resal+(Salim-Resal)*(1-EXP((Tnet-t)/(Tau_j))))*Salcycl</f>
        <v>4.4038372231348467E-2</v>
      </c>
      <c r="P249" s="169">
        <f>(INDEX(Models!$BJ249:$BT249,,T249)*(1-R249)+INDEX(Models!$BJ249:$BT249,,T249+1)*R249-ERP_i)*Q249*Ramure*Pc/MaxiM</f>
        <v>1.4134747127524617E-5</v>
      </c>
      <c r="Q249" s="305">
        <f t="shared" si="77"/>
        <v>0.5</v>
      </c>
      <c r="R249" s="177">
        <f t="shared" si="78"/>
        <v>0.47471373188793931</v>
      </c>
      <c r="S249" s="811">
        <f t="shared" si="79"/>
        <v>-1</v>
      </c>
      <c r="T249" s="176">
        <f t="shared" si="80"/>
        <v>5</v>
      </c>
      <c r="U249" s="251">
        <f t="shared" si="81"/>
        <v>-0.52528626811206069</v>
      </c>
      <c r="V249" s="383">
        <f t="shared" si="82"/>
        <v>51.713730071955503</v>
      </c>
      <c r="W249" s="402"/>
      <c r="X249" s="157">
        <f t="shared" si="83"/>
        <v>44065</v>
      </c>
      <c r="Y249" s="385">
        <f t="shared" si="84"/>
        <v>36.17</v>
      </c>
      <c r="Z249" s="385">
        <f t="shared" si="85"/>
        <v>36.814202485983735</v>
      </c>
      <c r="AA249" s="386">
        <f t="shared" si="86"/>
        <v>38.510125737905653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4.4038372231348467E-2</v>
      </c>
      <c r="AD249" s="231">
        <f>(INDEX(Models!$BJ249:$BT249,,AH249)*(1-AF249)+INDEX(Models!$BJ249:$BT249,,AH249+1)*AF249-ERP_i)*AE249*Ramure*Pc/MaxiM</f>
        <v>1.4134747127524617E-5</v>
      </c>
      <c r="AE249" s="305">
        <f t="shared" si="88"/>
        <v>0.5</v>
      </c>
      <c r="AF249" s="177">
        <f t="shared" si="89"/>
        <v>0.47471373188793931</v>
      </c>
      <c r="AG249" s="811">
        <f t="shared" si="95"/>
        <v>-1</v>
      </c>
      <c r="AH249" s="176">
        <f t="shared" si="90"/>
        <v>5</v>
      </c>
      <c r="AI249" s="225">
        <f t="shared" si="91"/>
        <v>-0.52528626811206069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7">
        <v>42.743000000000002</v>
      </c>
      <c r="C250" s="390"/>
      <c r="D250" s="393">
        <f t="shared" si="74"/>
        <v>43.505223179010223</v>
      </c>
      <c r="E250" s="385">
        <f t="shared" si="96"/>
        <v>45.51256108881875</v>
      </c>
      <c r="F250" s="385">
        <f t="shared" si="75"/>
        <v>45.512981179630906</v>
      </c>
      <c r="G250" s="110">
        <f t="shared" si="97"/>
        <v>0.82921780330656436</v>
      </c>
      <c r="H250" s="414" t="b">
        <f>Wh_hp&gt;='2019'!Maxi_hp</f>
        <v>0</v>
      </c>
      <c r="I250" s="380">
        <f>IF(H250,Wh_hp,'2019'!Maxi_hp)</f>
        <v>54.480093410292213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1.7520268218689794E-2</v>
      </c>
      <c r="M250" s="845"/>
      <c r="N250" s="845"/>
      <c r="O250" s="48">
        <f>IF(t&lt;Tnet,'2019'!Resal+('2019'!Salim-'2019'!Resal)*(1-EXP(('2019'!Tnet-t)/('2019'!Tau_j))),Resal+(Salim-Resal)*(1-EXP((Tnet-t)/(Tau_j))))*Salcycl</f>
        <v>4.4105140686132062E-2</v>
      </c>
      <c r="P250" s="169">
        <f>(INDEX(Models!$BJ250:$BT250,,T250)*(1-R250)+INDEX(Models!$BJ250:$BT250,,T250+1)*R250-ERP_i)*Q250*Ramure*Pc/MaxiM</f>
        <v>1.2208701262498527E-5</v>
      </c>
      <c r="Q250" s="305">
        <f t="shared" si="77"/>
        <v>0.5</v>
      </c>
      <c r="R250" s="177">
        <f t="shared" si="78"/>
        <v>0.47559305343760361</v>
      </c>
      <c r="S250" s="811">
        <f t="shared" si="79"/>
        <v>-1</v>
      </c>
      <c r="T250" s="176">
        <f t="shared" si="80"/>
        <v>5</v>
      </c>
      <c r="U250" s="251">
        <f t="shared" si="81"/>
        <v>-0.52440694656239639</v>
      </c>
      <c r="V250" s="383">
        <f t="shared" si="82"/>
        <v>51.54601422616296</v>
      </c>
      <c r="W250" s="402"/>
      <c r="X250" s="157">
        <f t="shared" si="83"/>
        <v>44066</v>
      </c>
      <c r="Y250" s="385">
        <f t="shared" si="84"/>
        <v>42.743000000000002</v>
      </c>
      <c r="Z250" s="385">
        <f t="shared" si="85"/>
        <v>43.505223179010223</v>
      </c>
      <c r="AA250" s="386">
        <f t="shared" si="86"/>
        <v>45.51256108881875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4.4105140686132062E-2</v>
      </c>
      <c r="AD250" s="231">
        <f>(INDEX(Models!$BJ250:$BT250,,AH250)*(1-AF250)+INDEX(Models!$BJ250:$BT250,,AH250+1)*AF250-ERP_i)*AE250*Ramure*Pc/MaxiM</f>
        <v>1.2208701262498527E-5</v>
      </c>
      <c r="AE250" s="305">
        <f t="shared" si="88"/>
        <v>0.5</v>
      </c>
      <c r="AF250" s="177">
        <f t="shared" si="89"/>
        <v>0.47559305343760361</v>
      </c>
      <c r="AG250" s="811">
        <f t="shared" si="95"/>
        <v>-1</v>
      </c>
      <c r="AH250" s="176">
        <f t="shared" si="90"/>
        <v>5</v>
      </c>
      <c r="AI250" s="225">
        <f t="shared" si="91"/>
        <v>-0.52440694656239639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7">
        <v>46.996000000000002</v>
      </c>
      <c r="C251" s="390"/>
      <c r="D251" s="393">
        <f t="shared" si="74"/>
        <v>47.835113372108353</v>
      </c>
      <c r="E251" s="385">
        <f t="shared" si="96"/>
        <v>50.045716637531392</v>
      </c>
      <c r="F251" s="385">
        <f t="shared" si="75"/>
        <v>50.04617729749566</v>
      </c>
      <c r="G251" s="110">
        <f t="shared" si="97"/>
        <v>0.91472746483800627</v>
      </c>
      <c r="H251" s="414" t="b">
        <f>Wh_hp&gt;='2019'!Maxi_hp</f>
        <v>1</v>
      </c>
      <c r="I251" s="380">
        <f>IF(H251,Wh_hp,'2019'!Maxi_hp)</f>
        <v>50.04617729749566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1.7541787046283508E-2</v>
      </c>
      <c r="M251" s="845"/>
      <c r="N251" s="845"/>
      <c r="O251" s="48">
        <f>IF(t&lt;Tnet,'2019'!Resal+('2019'!Salim-'2019'!Resal)*(1-EXP(('2019'!Tnet-t)/('2019'!Tau_j))),Resal+(Salim-Resal)*(1-EXP((Tnet-t)/(Tau_j))))*Salcycl</f>
        <v>4.4171677696892397E-2</v>
      </c>
      <c r="P251" s="169">
        <f>(INDEX(Models!$BJ251:$BT251,,T251)*(1-R251)+INDEX(Models!$BJ251:$BT251,,T251+1)*R251-ERP_i)*Q251*Ramure*Pc/MaxiM</f>
        <v>1.0481517343999885E-5</v>
      </c>
      <c r="Q251" s="305">
        <f t="shared" si="77"/>
        <v>0.5</v>
      </c>
      <c r="R251" s="177">
        <f t="shared" si="78"/>
        <v>0.47644001860556817</v>
      </c>
      <c r="S251" s="811">
        <f t="shared" si="79"/>
        <v>-1</v>
      </c>
      <c r="T251" s="176">
        <f t="shared" si="80"/>
        <v>5</v>
      </c>
      <c r="U251" s="251">
        <f t="shared" si="81"/>
        <v>-0.52355998139443183</v>
      </c>
      <c r="V251" s="383">
        <f t="shared" si="82"/>
        <v>51.376985824279068</v>
      </c>
      <c r="W251" s="402"/>
      <c r="X251" s="157">
        <f t="shared" si="83"/>
        <v>44067</v>
      </c>
      <c r="Y251" s="385">
        <f t="shared" si="84"/>
        <v>46.996000000000002</v>
      </c>
      <c r="Z251" s="385">
        <f t="shared" si="85"/>
        <v>47.835113372108353</v>
      </c>
      <c r="AA251" s="386">
        <f t="shared" si="86"/>
        <v>50.045716637531392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4.4171677696892397E-2</v>
      </c>
      <c r="AD251" s="231">
        <f>(INDEX(Models!$BJ251:$BT251,,AH251)*(1-AF251)+INDEX(Models!$BJ251:$BT251,,AH251+1)*AF251-ERP_i)*AE251*Ramure*Pc/MaxiM</f>
        <v>1.0481517343999885E-5</v>
      </c>
      <c r="AE251" s="305">
        <f t="shared" si="88"/>
        <v>0.5</v>
      </c>
      <c r="AF251" s="177">
        <f t="shared" si="89"/>
        <v>0.47644001860556817</v>
      </c>
      <c r="AG251" s="811">
        <f t="shared" si="95"/>
        <v>-1</v>
      </c>
      <c r="AH251" s="176">
        <f t="shared" si="90"/>
        <v>5</v>
      </c>
      <c r="AI251" s="225">
        <f t="shared" si="91"/>
        <v>-0.52355998139443183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7">
        <v>49.780999999999999</v>
      </c>
      <c r="C252" s="390"/>
      <c r="D252" s="393">
        <f t="shared" si="74"/>
        <v>50.67094935862314</v>
      </c>
      <c r="E252" s="385">
        <f t="shared" si="96"/>
        <v>53.01628240452937</v>
      </c>
      <c r="F252" s="385">
        <f t="shared" si="75"/>
        <v>53.016738316039692</v>
      </c>
      <c r="G252" s="110">
        <f t="shared" si="97"/>
        <v>0.97217394060455997</v>
      </c>
      <c r="H252" s="414" t="b">
        <f>Wh_hp&gt;='2019'!Maxi_hp</f>
        <v>0</v>
      </c>
      <c r="I252" s="380">
        <f>IF(H252,Wh_hp,'2019'!Maxi_hp)</f>
        <v>54.589001673677714</v>
      </c>
      <c r="J252" s="85">
        <f>IF(H252,An,'2019'!An_max)</f>
        <v>2018</v>
      </c>
      <c r="K252" s="197">
        <f t="shared" si="76"/>
        <v>44068</v>
      </c>
      <c r="L252" s="147">
        <f>IF(t&lt;Tvie,1-EXP((T0-t)*PertePVj)+'2019'!Pspv,1-EXP((T0-t)*PertePVj)+Pspv)</f>
        <v>1.7563305402559792E-2</v>
      </c>
      <c r="M252" s="845"/>
      <c r="N252" s="845"/>
      <c r="O252" s="48">
        <f>IF(t&lt;Tnet,'2019'!Resal+('2019'!Salim-'2019'!Resal)*(1-EXP(('2019'!Tnet-t)/('2019'!Tau_j))),Resal+(Salim-Resal)*(1-EXP((Tnet-t)/(Tau_j))))*Salcycl</f>
        <v>4.4237976326040158E-2</v>
      </c>
      <c r="P252" s="169">
        <f>(INDEX(Models!$BJ252:$BT252,,T252)*(1-R252)+INDEX(Models!$BJ252:$BT252,,T252+1)*R252-ERP_i)*Q252*Ramure*Pc/MaxiM</f>
        <v>8.9553733492602344E-6</v>
      </c>
      <c r="Q252" s="305">
        <f t="shared" si="77"/>
        <v>0.5</v>
      </c>
      <c r="R252" s="177">
        <f t="shared" si="78"/>
        <v>0.47725570460697186</v>
      </c>
      <c r="S252" s="811">
        <f t="shared" si="79"/>
        <v>-1</v>
      </c>
      <c r="T252" s="176">
        <f t="shared" si="80"/>
        <v>5</v>
      </c>
      <c r="U252" s="251">
        <f t="shared" si="81"/>
        <v>-0.52274429539302814</v>
      </c>
      <c r="V252" s="383">
        <f t="shared" si="82"/>
        <v>51.205838995839109</v>
      </c>
      <c r="W252" s="402"/>
      <c r="X252" s="157">
        <f t="shared" si="83"/>
        <v>44068</v>
      </c>
      <c r="Y252" s="385">
        <f t="shared" si="84"/>
        <v>49.780999999999999</v>
      </c>
      <c r="Z252" s="385">
        <f t="shared" si="85"/>
        <v>50.67094935862314</v>
      </c>
      <c r="AA252" s="386">
        <f t="shared" si="86"/>
        <v>53.01628240452937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4.4237976326040158E-2</v>
      </c>
      <c r="AD252" s="231">
        <f>(INDEX(Models!$BJ252:$BT252,,AH252)*(1-AF252)+INDEX(Models!$BJ252:$BT252,,AH252+1)*AF252-ERP_i)*AE252*Ramure*Pc/MaxiM</f>
        <v>8.9553733492602344E-6</v>
      </c>
      <c r="AE252" s="305">
        <f t="shared" si="88"/>
        <v>0.5</v>
      </c>
      <c r="AF252" s="177">
        <f t="shared" si="89"/>
        <v>0.47725570460697186</v>
      </c>
      <c r="AG252" s="811">
        <f t="shared" si="95"/>
        <v>-1</v>
      </c>
      <c r="AH252" s="176">
        <f t="shared" si="90"/>
        <v>5</v>
      </c>
      <c r="AI252" s="225">
        <f t="shared" si="91"/>
        <v>-0.52274429539302814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7">
        <v>26.308</v>
      </c>
      <c r="C253" s="390"/>
      <c r="D253" s="393">
        <f t="shared" si="74"/>
        <v>26.778902264149064</v>
      </c>
      <c r="E253" s="385">
        <f t="shared" si="96"/>
        <v>28.020315128962118</v>
      </c>
      <c r="F253" s="385">
        <f t="shared" si="75"/>
        <v>28.020380974561427</v>
      </c>
      <c r="G253" s="110">
        <f t="shared" si="97"/>
        <v>0.51551929259926654</v>
      </c>
      <c r="H253" s="414" t="b">
        <f>Wh_hp&gt;='2019'!Maxi_hp</f>
        <v>0</v>
      </c>
      <c r="I253" s="380">
        <f>IF(H253,Wh_hp,'2019'!Maxi_hp)</f>
        <v>52.049973436944512</v>
      </c>
      <c r="J253" s="85">
        <f>IF(H253,An,'2019'!An_max)</f>
        <v>2018</v>
      </c>
      <c r="K253" s="197">
        <f t="shared" si="76"/>
        <v>44069</v>
      </c>
      <c r="L253" s="147">
        <f>IF(t&lt;Tvie,1-EXP((T0-t)*PertePVj)+'2019'!Pspv,1-EXP((T0-t)*PertePVj)+Pspv)</f>
        <v>1.758482328752875E-2</v>
      </c>
      <c r="M253" s="845"/>
      <c r="N253" s="845"/>
      <c r="O253" s="48">
        <f>IF(t&lt;Tnet,'2019'!Resal+('2019'!Salim-'2019'!Resal)*(1-EXP(('2019'!Tnet-t)/('2019'!Tau_j))),Resal+(Salim-Resal)*(1-EXP((Tnet-t)/(Tau_j))))*Salcycl</f>
        <v>4.4304029383663672E-2</v>
      </c>
      <c r="P253" s="169">
        <f>(INDEX(Models!$BJ253:$BT253,,T253)*(1-R253)+INDEX(Models!$BJ253:$BT253,,T253+1)*R253-ERP_i)*Q253*Ramure*Pc/MaxiM</f>
        <v>7.6323647770337869E-6</v>
      </c>
      <c r="Q253" s="305">
        <f t="shared" si="77"/>
        <v>0.5</v>
      </c>
      <c r="R253" s="177">
        <f t="shared" si="78"/>
        <v>0.47804116144221909</v>
      </c>
      <c r="S253" s="811">
        <f t="shared" si="79"/>
        <v>-1</v>
      </c>
      <c r="T253" s="176">
        <f t="shared" si="80"/>
        <v>5</v>
      </c>
      <c r="U253" s="251">
        <f t="shared" si="81"/>
        <v>-0.52195883855778091</v>
      </c>
      <c r="V253" s="383">
        <f t="shared" si="82"/>
        <v>51.031768173835047</v>
      </c>
      <c r="W253" s="402"/>
      <c r="X253" s="157">
        <f t="shared" si="83"/>
        <v>44069</v>
      </c>
      <c r="Y253" s="385">
        <f t="shared" si="84"/>
        <v>26.308</v>
      </c>
      <c r="Z253" s="385">
        <f t="shared" si="85"/>
        <v>26.778902264149064</v>
      </c>
      <c r="AA253" s="386">
        <f t="shared" si="86"/>
        <v>28.020315128962118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4.4304029383663672E-2</v>
      </c>
      <c r="AD253" s="231">
        <f>(INDEX(Models!$BJ253:$BT253,,AH253)*(1-AF253)+INDEX(Models!$BJ253:$BT253,,AH253+1)*AF253-ERP_i)*AE253*Ramure*Pc/MaxiM</f>
        <v>7.6323647770337869E-6</v>
      </c>
      <c r="AE253" s="305">
        <f t="shared" si="88"/>
        <v>0.5</v>
      </c>
      <c r="AF253" s="177">
        <f t="shared" si="89"/>
        <v>0.47804116144221909</v>
      </c>
      <c r="AG253" s="811">
        <f t="shared" si="95"/>
        <v>-1</v>
      </c>
      <c r="AH253" s="176">
        <f t="shared" si="90"/>
        <v>5</v>
      </c>
      <c r="AI253" s="225">
        <f t="shared" si="91"/>
        <v>-0.52195883855778091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7">
        <v>48.046999999999997</v>
      </c>
      <c r="C254" s="390"/>
      <c r="D254" s="393">
        <f t="shared" si="74"/>
        <v>48.908092540310562</v>
      </c>
      <c r="E254" s="385">
        <f t="shared" si="96"/>
        <v>51.17889121341203</v>
      </c>
      <c r="F254" s="385">
        <f t="shared" si="75"/>
        <v>51.179199658851765</v>
      </c>
      <c r="G254" s="110">
        <f t="shared" si="97"/>
        <v>0.94480290067303485</v>
      </c>
      <c r="H254" s="414" t="b">
        <f>Wh_hp&gt;='2019'!Maxi_hp</f>
        <v>1</v>
      </c>
      <c r="I254" s="380">
        <f>IF(H254,Wh_hp,'2019'!Maxi_hp)</f>
        <v>51.179199658851765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1.7606340701200818E-2</v>
      </c>
      <c r="M254" s="845"/>
      <c r="N254" s="845"/>
      <c r="O254" s="48">
        <f>IF(t&lt;Tnet,'2019'!Resal+('2019'!Salim-'2019'!Resal)*(1-EXP(('2019'!Tnet-t)/('2019'!Tau_j))),Resal+(Salim-Resal)*(1-EXP((Tnet-t)/(Tau_j))))*Salcycl</f>
        <v>4.4369829421126238E-2</v>
      </c>
      <c r="P254" s="169">
        <f>(INDEX(Models!$BJ254:$BT254,,T254)*(1-R254)+INDEX(Models!$BJ254:$BT254,,T254+1)*R254-ERP_i)*Q254*Ramure*Pc/MaxiM</f>
        <v>6.5426786924380129E-6</v>
      </c>
      <c r="Q254" s="305">
        <f t="shared" si="77"/>
        <v>0.5</v>
      </c>
      <c r="R254" s="177">
        <f t="shared" si="78"/>
        <v>0.47879741189477887</v>
      </c>
      <c r="S254" s="811">
        <f t="shared" si="79"/>
        <v>-1</v>
      </c>
      <c r="T254" s="176">
        <f t="shared" si="80"/>
        <v>5</v>
      </c>
      <c r="U254" s="251">
        <f t="shared" si="81"/>
        <v>-0.52120258810522113</v>
      </c>
      <c r="V254" s="383">
        <f t="shared" si="82"/>
        <v>50.853966661113219</v>
      </c>
      <c r="W254" s="402"/>
      <c r="X254" s="157">
        <f t="shared" si="83"/>
        <v>44070</v>
      </c>
      <c r="Y254" s="385">
        <f t="shared" si="84"/>
        <v>48.046999999999997</v>
      </c>
      <c r="Z254" s="385">
        <f t="shared" si="85"/>
        <v>48.908092540310562</v>
      </c>
      <c r="AA254" s="386">
        <f t="shared" si="86"/>
        <v>51.17889121341203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4.4369829421126238E-2</v>
      </c>
      <c r="AD254" s="231">
        <f>(INDEX(Models!$BJ254:$BT254,,AH254)*(1-AF254)+INDEX(Models!$BJ254:$BT254,,AH254+1)*AF254-ERP_i)*AE254*Ramure*Pc/MaxiM</f>
        <v>6.5426786924380129E-6</v>
      </c>
      <c r="AE254" s="305">
        <f t="shared" si="88"/>
        <v>0.5</v>
      </c>
      <c r="AF254" s="177">
        <f t="shared" si="89"/>
        <v>0.47879741189477887</v>
      </c>
      <c r="AG254" s="811">
        <f t="shared" si="95"/>
        <v>-1</v>
      </c>
      <c r="AH254" s="176">
        <f t="shared" si="90"/>
        <v>5</v>
      </c>
      <c r="AI254" s="225">
        <f t="shared" si="91"/>
        <v>-0.52120258810522113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7">
        <v>9.3520000000000003</v>
      </c>
      <c r="C255" s="390"/>
      <c r="D255" s="393">
        <f t="shared" si="74"/>
        <v>9.5198139246572904</v>
      </c>
      <c r="E255" s="385">
        <f t="shared" si="96"/>
        <v>9.9625013453179356</v>
      </c>
      <c r="F255" s="385">
        <f t="shared" si="75"/>
        <v>9.9625013453179356</v>
      </c>
      <c r="G255" s="110">
        <f t="shared" si="97"/>
        <v>0.18455981964159524</v>
      </c>
      <c r="H255" s="414" t="b">
        <f>Wh_hp&gt;='2019'!Maxi_hp</f>
        <v>0</v>
      </c>
      <c r="I255" s="380">
        <f>IF(H255,Wh_hp,'2019'!Maxi_hp)</f>
        <v>51.040823369252443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1.762785764358632E-2</v>
      </c>
      <c r="M255" s="845"/>
      <c r="N255" s="845"/>
      <c r="O255" s="48">
        <f>IF(t&lt;Tnet,'2019'!Resal+('2019'!Salim-'2019'!Resal)*(1-EXP(('2019'!Tnet-t)/('2019'!Tau_j))),Resal+(Salim-Resal)*(1-EXP((Tnet-t)/(Tau_j))))*Salcycl</f>
        <v>4.4435368720797716E-2</v>
      </c>
      <c r="P255" s="169">
        <f>(INDEX(Models!$BJ255:$BT255,,T255)*(1-R255)+INDEX(Models!$BJ255:$BT255,,T255+1)*R255-ERP_i)*Q255*Ramure*Pc/MaxiM</f>
        <v>5.5538207877917456E-6</v>
      </c>
      <c r="Q255" s="305">
        <f t="shared" si="77"/>
        <v>0.5</v>
      </c>
      <c r="R255" s="177">
        <f t="shared" si="78"/>
        <v>0.47952545159707349</v>
      </c>
      <c r="S255" s="811">
        <f t="shared" si="79"/>
        <v>-1</v>
      </c>
      <c r="T255" s="176">
        <f t="shared" si="80"/>
        <v>5</v>
      </c>
      <c r="U255" s="251">
        <f t="shared" si="81"/>
        <v>-0.52047454840292651</v>
      </c>
      <c r="V255" s="383">
        <f t="shared" si="82"/>
        <v>50.671636322732375</v>
      </c>
      <c r="W255" s="402"/>
      <c r="X255" s="157">
        <f t="shared" si="83"/>
        <v>44071</v>
      </c>
      <c r="Y255" s="385">
        <f t="shared" si="84"/>
        <v>9.3520000000000003</v>
      </c>
      <c r="Z255" s="385">
        <f t="shared" si="85"/>
        <v>9.5198139246572904</v>
      </c>
      <c r="AA255" s="386">
        <f t="shared" si="86"/>
        <v>9.9625013453179356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4.4435368720797716E-2</v>
      </c>
      <c r="AD255" s="231">
        <f>(INDEX(Models!$BJ255:$BT255,,AH255)*(1-AF255)+INDEX(Models!$BJ255:$BT255,,AH255+1)*AF255-ERP_i)*AE255*Ramure*Pc/MaxiM</f>
        <v>5.5538207877917456E-6</v>
      </c>
      <c r="AE255" s="305">
        <f t="shared" si="88"/>
        <v>0.5</v>
      </c>
      <c r="AF255" s="177">
        <f t="shared" si="89"/>
        <v>0.47952545159707349</v>
      </c>
      <c r="AG255" s="811">
        <f t="shared" si="95"/>
        <v>-1</v>
      </c>
      <c r="AH255" s="176">
        <f t="shared" si="90"/>
        <v>5</v>
      </c>
      <c r="AI255" s="225">
        <f t="shared" si="91"/>
        <v>-0.52047454840292651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7">
        <v>22.911999999999999</v>
      </c>
      <c r="C256" s="390"/>
      <c r="D256" s="393">
        <f t="shared" si="74"/>
        <v>23.323647785485424</v>
      </c>
      <c r="E256" s="385">
        <f t="shared" si="96"/>
        <v>24.409904123814609</v>
      </c>
      <c r="F256" s="385">
        <f t="shared" si="75"/>
        <v>24.409929160261967</v>
      </c>
      <c r="G256" s="110">
        <f t="shared" si="97"/>
        <v>0.45384535820523053</v>
      </c>
      <c r="H256" s="414" t="b">
        <f>Wh_hp&gt;='2019'!Maxi_hp</f>
        <v>0</v>
      </c>
      <c r="I256" s="380">
        <f>IF(H256,Wh_hp,'2019'!Maxi_hp)</f>
        <v>50.619616686697206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1.7649374114695582E-2</v>
      </c>
      <c r="M256" s="845"/>
      <c r="N256" s="845"/>
      <c r="O256" s="48">
        <f>IF(t&lt;Tnet,'2019'!Resal+('2019'!Salim-'2019'!Resal)*(1-EXP(('2019'!Tnet-t)/('2019'!Tau_j))),Resal+(Salim-Resal)*(1-EXP((Tnet-t)/(Tau_j))))*Salcycl</f>
        <v>4.4500639282291213E-2</v>
      </c>
      <c r="P256" s="169">
        <f>(INDEX(Models!$BJ256:$BT256,,T256)*(1-R256)+INDEX(Models!$BJ256:$BT256,,T256+1)*R256-ERP_i)*Q256*Ramure*Pc/MaxiM</f>
        <v>4.6667567231475665E-6</v>
      </c>
      <c r="Q256" s="305">
        <f t="shared" si="77"/>
        <v>0.5</v>
      </c>
      <c r="R256" s="177">
        <f t="shared" si="78"/>
        <v>0.4802262491582483</v>
      </c>
      <c r="S256" s="811">
        <f t="shared" si="79"/>
        <v>-1</v>
      </c>
      <c r="T256" s="176">
        <f t="shared" si="80"/>
        <v>5</v>
      </c>
      <c r="U256" s="251">
        <f t="shared" si="81"/>
        <v>-0.5197737508417517</v>
      </c>
      <c r="V256" s="383">
        <f t="shared" si="82"/>
        <v>50.483972483189071</v>
      </c>
      <c r="W256" s="402"/>
      <c r="X256" s="157">
        <f t="shared" si="83"/>
        <v>44072</v>
      </c>
      <c r="Y256" s="385">
        <f t="shared" si="84"/>
        <v>22.911999999999999</v>
      </c>
      <c r="Z256" s="385">
        <f t="shared" si="85"/>
        <v>23.323647785485424</v>
      </c>
      <c r="AA256" s="386">
        <f t="shared" si="86"/>
        <v>24.409904123814609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4.4500639282291213E-2</v>
      </c>
      <c r="AD256" s="231">
        <f>(INDEX(Models!$BJ256:$BT256,,AH256)*(1-AF256)+INDEX(Models!$BJ256:$BT256,,AH256+1)*AF256-ERP_i)*AE256*Ramure*Pc/MaxiM</f>
        <v>4.6667567231475665E-6</v>
      </c>
      <c r="AE256" s="305">
        <f t="shared" si="88"/>
        <v>0.5</v>
      </c>
      <c r="AF256" s="177">
        <f t="shared" si="89"/>
        <v>0.4802262491582483</v>
      </c>
      <c r="AG256" s="811">
        <f t="shared" si="95"/>
        <v>-1</v>
      </c>
      <c r="AH256" s="176">
        <f t="shared" si="90"/>
        <v>5</v>
      </c>
      <c r="AI256" s="225">
        <f t="shared" si="91"/>
        <v>-0.5197737508417517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7">
        <v>31.228999999999999</v>
      </c>
      <c r="C257" s="390"/>
      <c r="D257" s="393">
        <f t="shared" si="74"/>
        <v>31.790771224972943</v>
      </c>
      <c r="E257" s="385">
        <f t="shared" si="96"/>
        <v>33.273631676372439</v>
      </c>
      <c r="F257" s="385">
        <f t="shared" si="75"/>
        <v>33.273690911675942</v>
      </c>
      <c r="G257" s="110">
        <f t="shared" si="97"/>
        <v>0.62097491174467911</v>
      </c>
      <c r="H257" s="414" t="b">
        <f>Wh_hp&gt;='2019'!Maxi_hp</f>
        <v>0</v>
      </c>
      <c r="I257" s="380">
        <f>IF(H257,Wh_hp,'2019'!Maxi_hp)</f>
        <v>47.913117386310404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1.7670890114538929E-2</v>
      </c>
      <c r="M257" s="845"/>
      <c r="N257" s="845"/>
      <c r="O257" s="48">
        <f>IF(t&lt;Tnet,'2019'!Resal+('2019'!Salim-'2019'!Resal)*(1-EXP(('2019'!Tnet-t)/('2019'!Tau_j))),Resal+(Salim-Resal)*(1-EXP((Tnet-t)/(Tau_j))))*Salcycl</f>
        <v>4.4565632805645156E-2</v>
      </c>
      <c r="P257" s="169">
        <f>(INDEX(Models!$BJ257:$BT257,,T257)*(1-R257)+INDEX(Models!$BJ257:$BT257,,T257+1)*R257-ERP_i)*Q257*Ramure*Pc/MaxiM</f>
        <v>3.8824406507731185E-6</v>
      </c>
      <c r="Q257" s="305">
        <f t="shared" si="77"/>
        <v>0.5</v>
      </c>
      <c r="R257" s="177">
        <f t="shared" si="78"/>
        <v>0.48090074634794844</v>
      </c>
      <c r="S257" s="811">
        <f t="shared" si="79"/>
        <v>-1</v>
      </c>
      <c r="T257" s="176">
        <f t="shared" si="80"/>
        <v>5</v>
      </c>
      <c r="U257" s="251">
        <f t="shared" si="81"/>
        <v>-0.51909925365205156</v>
      </c>
      <c r="V257" s="383">
        <f t="shared" si="82"/>
        <v>50.290170761742523</v>
      </c>
      <c r="W257" s="402"/>
      <c r="X257" s="157">
        <f t="shared" si="83"/>
        <v>44073</v>
      </c>
      <c r="Y257" s="385">
        <f t="shared" si="84"/>
        <v>31.228999999999996</v>
      </c>
      <c r="Z257" s="385">
        <f t="shared" si="85"/>
        <v>31.790771224972939</v>
      </c>
      <c r="AA257" s="386">
        <f t="shared" si="86"/>
        <v>33.273631676372439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4.4565632805645156E-2</v>
      </c>
      <c r="AD257" s="231">
        <f>(INDEX(Models!$BJ257:$BT257,,AH257)*(1-AF257)+INDEX(Models!$BJ257:$BT257,,AH257+1)*AF257-ERP_i)*AE257*Ramure*Pc/MaxiM</f>
        <v>3.8824406507731185E-6</v>
      </c>
      <c r="AE257" s="305">
        <f t="shared" si="88"/>
        <v>0.5</v>
      </c>
      <c r="AF257" s="177">
        <f t="shared" si="89"/>
        <v>0.48090074634794844</v>
      </c>
      <c r="AG257" s="811">
        <f t="shared" si="95"/>
        <v>-1</v>
      </c>
      <c r="AH257" s="176">
        <f t="shared" si="90"/>
        <v>5</v>
      </c>
      <c r="AI257" s="225">
        <f t="shared" si="91"/>
        <v>-0.51909925365205156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7">
        <v>43.753</v>
      </c>
      <c r="C258" s="390"/>
      <c r="D258" s="393">
        <f t="shared" si="74"/>
        <v>44.541038114080273</v>
      </c>
      <c r="E258" s="385">
        <f t="shared" si="96"/>
        <v>46.621784226859241</v>
      </c>
      <c r="F258" s="385">
        <f t="shared" si="75"/>
        <v>46.621906525674554</v>
      </c>
      <c r="G258" s="110">
        <f t="shared" si="97"/>
        <v>0.87349720779457396</v>
      </c>
      <c r="H258" s="414" t="b">
        <f>Wh_hp&gt;='2019'!Maxi_hp</f>
        <v>0</v>
      </c>
      <c r="I258" s="380">
        <f>IF(H258,Wh_hp,'2019'!Maxi_hp)</f>
        <v>53.475031417285187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1.7692405643126574E-2</v>
      </c>
      <c r="M258" s="845"/>
      <c r="N258" s="845"/>
      <c r="O258" s="48">
        <f>IF(t&lt;Tnet,'2019'!Resal+('2019'!Salim-'2019'!Resal)*(1-EXP(('2019'!Tnet-t)/('2019'!Tau_j))),Resal+(Salim-Resal)*(1-EXP((Tnet-t)/(Tau_j))))*Salcycl</f>
        <v>4.4630340671952005E-2</v>
      </c>
      <c r="P258" s="169">
        <f>(INDEX(Models!$BJ258:$BT258,,T258)*(1-R258)+INDEX(Models!$BJ258:$BT258,,T258+1)*R258-ERP_i)*Q258*Ramure*Pc/MaxiM</f>
        <v>3.2018322179149331E-6</v>
      </c>
      <c r="Q258" s="305">
        <f t="shared" si="77"/>
        <v>0.5</v>
      </c>
      <c r="R258" s="177">
        <f t="shared" si="78"/>
        <v>0.48154985833056996</v>
      </c>
      <c r="S258" s="811">
        <f t="shared" si="79"/>
        <v>-1</v>
      </c>
      <c r="T258" s="176">
        <f t="shared" si="80"/>
        <v>5</v>
      </c>
      <c r="U258" s="251">
        <f t="shared" si="81"/>
        <v>-0.51845014166943004</v>
      </c>
      <c r="V258" s="383">
        <f t="shared" si="82"/>
        <v>50.08942706722857</v>
      </c>
      <c r="W258" s="402"/>
      <c r="X258" s="157">
        <f t="shared" si="83"/>
        <v>44074</v>
      </c>
      <c r="Y258" s="385">
        <f t="shared" si="84"/>
        <v>43.753</v>
      </c>
      <c r="Z258" s="385">
        <f t="shared" si="85"/>
        <v>44.541038114080273</v>
      </c>
      <c r="AA258" s="386">
        <f t="shared" si="86"/>
        <v>46.621784226859241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4.4630340671952005E-2</v>
      </c>
      <c r="AD258" s="231">
        <f>(INDEX(Models!$BJ258:$BT258,,AH258)*(1-AF258)+INDEX(Models!$BJ258:$BT258,,AH258+1)*AF258-ERP_i)*AE258*Ramure*Pc/MaxiM</f>
        <v>3.2018322179149331E-6</v>
      </c>
      <c r="AE258" s="305">
        <f t="shared" si="88"/>
        <v>0.5</v>
      </c>
      <c r="AF258" s="177">
        <f t="shared" si="89"/>
        <v>0.48154985833056996</v>
      </c>
      <c r="AG258" s="811">
        <f t="shared" si="95"/>
        <v>-1</v>
      </c>
      <c r="AH258" s="176">
        <f t="shared" si="90"/>
        <v>5</v>
      </c>
      <c r="AI258" s="225">
        <f t="shared" si="91"/>
        <v>-0.51845014166943004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7">
        <v>46.345999999999997</v>
      </c>
      <c r="C259" s="390"/>
      <c r="D259" s="393">
        <f t="shared" si="74"/>
        <v>47.181774206806807</v>
      </c>
      <c r="E259" s="385">
        <f t="shared" si="96"/>
        <v>49.389212924885491</v>
      </c>
      <c r="F259" s="385">
        <f t="shared" si="75"/>
        <v>49.389329487084815</v>
      </c>
      <c r="G259" s="110">
        <f t="shared" si="97"/>
        <v>0.92913224789284521</v>
      </c>
      <c r="H259" s="414" t="b">
        <f>Wh_hp&gt;='2019'!Maxi_hp</f>
        <v>0</v>
      </c>
      <c r="I259" s="380">
        <f>IF(H259,Wh_hp,'2019'!Maxi_hp)</f>
        <v>51.427835350869806</v>
      </c>
      <c r="J259" s="85">
        <f>IF(H259,An,'2019'!An_max)</f>
        <v>2019</v>
      </c>
      <c r="K259" s="197">
        <f t="shared" si="76"/>
        <v>44075</v>
      </c>
      <c r="L259" s="147">
        <f>IF(t&lt;Tvie,1-EXP((T0-t)*PertePVj)+'2019'!Pspv,1-EXP((T0-t)*PertePVj)+Pspv)</f>
        <v>1.7713920700469066E-2</v>
      </c>
      <c r="M259" s="845"/>
      <c r="N259" s="845"/>
      <c r="O259" s="48">
        <f>IF(t&lt;Tnet,'2019'!Resal+('2019'!Salim-'2019'!Resal)*(1-EXP(('2019'!Tnet-t)/('2019'!Tau_j))),Resal+(Salim-Resal)*(1-EXP((Tnet-t)/(Tau_j))))*Salcycl</f>
        <v>4.469475392199318E-2</v>
      </c>
      <c r="P259" s="169">
        <f>(INDEX(Models!$BJ259:$BT259,,T259)*(1-R259)+INDEX(Models!$BJ259:$BT259,,T259+1)*R259-ERP_i)*Q259*Ramure*Pc/MaxiM</f>
        <v>2.6259141644716939E-6</v>
      </c>
      <c r="Q259" s="305">
        <f t="shared" si="77"/>
        <v>0.5</v>
      </c>
      <c r="R259" s="177">
        <f t="shared" si="78"/>
        <v>0.48217447394477653</v>
      </c>
      <c r="S259" s="811">
        <f t="shared" si="79"/>
        <v>-1</v>
      </c>
      <c r="T259" s="176">
        <f t="shared" si="80"/>
        <v>5</v>
      </c>
      <c r="U259" s="251">
        <f t="shared" si="81"/>
        <v>-0.51782552605522347</v>
      </c>
      <c r="V259" s="383">
        <f t="shared" si="82"/>
        <v>49.880937599780083</v>
      </c>
      <c r="W259" s="402"/>
      <c r="X259" s="157">
        <f t="shared" si="83"/>
        <v>44075</v>
      </c>
      <c r="Y259" s="385">
        <f t="shared" si="84"/>
        <v>46.345999999999997</v>
      </c>
      <c r="Z259" s="385">
        <f t="shared" si="85"/>
        <v>47.181774206806807</v>
      </c>
      <c r="AA259" s="386">
        <f t="shared" si="86"/>
        <v>49.389212924885491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4.469475392199318E-2</v>
      </c>
      <c r="AD259" s="231">
        <f>(INDEX(Models!$BJ259:$BT259,,AH259)*(1-AF259)+INDEX(Models!$BJ259:$BT259,,AH259+1)*AF259-ERP_i)*AE259*Ramure*Pc/MaxiM</f>
        <v>2.6259141644716939E-6</v>
      </c>
      <c r="AE259" s="305">
        <f t="shared" si="88"/>
        <v>0.5</v>
      </c>
      <c r="AF259" s="177">
        <f t="shared" si="89"/>
        <v>0.48217447394477653</v>
      </c>
      <c r="AG259" s="811">
        <f t="shared" si="95"/>
        <v>-1</v>
      </c>
      <c r="AH259" s="176">
        <f t="shared" si="90"/>
        <v>5</v>
      </c>
      <c r="AI259" s="225">
        <f t="shared" si="91"/>
        <v>-0.51782552605522347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7">
        <v>50.808999999999997</v>
      </c>
      <c r="C260" s="390"/>
      <c r="D260" s="393">
        <f t="shared" si="74"/>
        <v>51.72639004321973</v>
      </c>
      <c r="E260" s="385">
        <f t="shared" si="96"/>
        <v>54.150086352346008</v>
      </c>
      <c r="F260" s="385">
        <f t="shared" si="75"/>
        <v>54.150203084511908</v>
      </c>
      <c r="G260" s="110">
        <f t="shared" si="97"/>
        <v>1.0230570129436911</v>
      </c>
      <c r="H260" s="414" t="b">
        <f>Wh_hp&gt;='2019'!Maxi_hp</f>
        <v>1</v>
      </c>
      <c r="I260" s="380">
        <f>IF(H260,Wh_hp,'2019'!Maxi_hp)</f>
        <v>54.150203084511908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1.7735435286576395E-2</v>
      </c>
      <c r="M260" s="845"/>
      <c r="N260" s="845"/>
      <c r="O260" s="48">
        <f>IF(t&lt;Tnet,'2019'!Resal+('2019'!Salim-'2019'!Resal)*(1-EXP(('2019'!Tnet-t)/('2019'!Tau_j))),Resal+(Salim-Resal)*(1-EXP((Tnet-t)/(Tau_j))))*Salcycl</f>
        <v>4.4758863233489141E-2</v>
      </c>
      <c r="P260" s="169">
        <f>(INDEX(Models!$BJ260:$BT260,,T260)*(1-R260)+INDEX(Models!$BJ260:$BT260,,T260+1)*R260-ERP_i)*Q260*Ramure*Pc/MaxiM</f>
        <v>2.1557105836552286E-6</v>
      </c>
      <c r="Q260" s="305">
        <f t="shared" si="77"/>
        <v>0.5</v>
      </c>
      <c r="R260" s="177">
        <f t="shared" si="78"/>
        <v>0.48277545602340199</v>
      </c>
      <c r="S260" s="811">
        <f t="shared" si="79"/>
        <v>-1</v>
      </c>
      <c r="T260" s="176">
        <f t="shared" si="80"/>
        <v>5</v>
      </c>
      <c r="U260" s="251">
        <f t="shared" si="81"/>
        <v>-0.51722454397659801</v>
      </c>
      <c r="V260" s="383">
        <f t="shared" si="82"/>
        <v>49.663898841575616</v>
      </c>
      <c r="W260" s="402"/>
      <c r="X260" s="157">
        <f t="shared" si="83"/>
        <v>44076</v>
      </c>
      <c r="Y260" s="385">
        <f t="shared" si="84"/>
        <v>50.808999999999997</v>
      </c>
      <c r="Z260" s="385">
        <f t="shared" si="85"/>
        <v>51.72639004321973</v>
      </c>
      <c r="AA260" s="386">
        <f t="shared" si="86"/>
        <v>54.150086352346008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4.4758863233489141E-2</v>
      </c>
      <c r="AD260" s="231">
        <f>(INDEX(Models!$BJ260:$BT260,,AH260)*(1-AF260)+INDEX(Models!$BJ260:$BT260,,AH260+1)*AF260-ERP_i)*AE260*Ramure*Pc/MaxiM</f>
        <v>2.1557105836552286E-6</v>
      </c>
      <c r="AE260" s="305">
        <f t="shared" si="88"/>
        <v>0.5</v>
      </c>
      <c r="AF260" s="177">
        <f t="shared" si="89"/>
        <v>0.48277545602340199</v>
      </c>
      <c r="AG260" s="811">
        <f t="shared" si="95"/>
        <v>-1</v>
      </c>
      <c r="AH260" s="176">
        <f t="shared" si="90"/>
        <v>5</v>
      </c>
      <c r="AI260" s="225">
        <f t="shared" si="91"/>
        <v>-0.51722454397659801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7">
        <v>47.978000000000002</v>
      </c>
      <c r="C261" s="390"/>
      <c r="D261" s="393">
        <f t="shared" si="74"/>
        <v>48.845344307362694</v>
      </c>
      <c r="E261" s="385">
        <f t="shared" si="96"/>
        <v>51.137461291732095</v>
      </c>
      <c r="F261" s="385">
        <f t="shared" si="75"/>
        <v>51.137549075420111</v>
      </c>
      <c r="G261" s="110">
        <f t="shared" si="97"/>
        <v>0.9704552448498257</v>
      </c>
      <c r="H261" s="414" t="b">
        <f>Wh_hp&gt;='2019'!Maxi_hp</f>
        <v>0</v>
      </c>
      <c r="I261" s="380">
        <f>IF(H261,Wh_hp,'2019'!Maxi_hp)</f>
        <v>53.283178554064911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1.7756949401459221E-2</v>
      </c>
      <c r="M261" s="845"/>
      <c r="N261" s="845"/>
      <c r="O261" s="48">
        <f>IF(t&lt;Tnet,'2019'!Resal+('2019'!Salim-'2019'!Resal)*(1-EXP(('2019'!Tnet-t)/('2019'!Tau_j))),Resal+(Salim-Resal)*(1-EXP((Tnet-t)/(Tau_j))))*Salcycl</f>
        <v>4.4822658897617079E-2</v>
      </c>
      <c r="P261" s="169">
        <f>(INDEX(Models!$BJ261:$BT261,,T261)*(1-R261)+INDEX(Models!$BJ261:$BT261,,T261+1)*R261-ERP_i)*Q261*Ramure*Pc/MaxiM</f>
        <v>1.7922645442279947E-6</v>
      </c>
      <c r="Q261" s="305">
        <f t="shared" si="77"/>
        <v>0.5</v>
      </c>
      <c r="R261" s="177">
        <f t="shared" si="78"/>
        <v>0.48335364174916617</v>
      </c>
      <c r="S261" s="811">
        <f t="shared" si="79"/>
        <v>-1</v>
      </c>
      <c r="T261" s="176">
        <f t="shared" si="80"/>
        <v>5</v>
      </c>
      <c r="U261" s="251">
        <f t="shared" si="81"/>
        <v>-0.51664635825083383</v>
      </c>
      <c r="V261" s="383">
        <f t="shared" si="82"/>
        <v>49.438649154908674</v>
      </c>
      <c r="W261" s="402"/>
      <c r="X261" s="157">
        <f t="shared" si="83"/>
        <v>44077</v>
      </c>
      <c r="Y261" s="385">
        <f t="shared" si="84"/>
        <v>47.978000000000002</v>
      </c>
      <c r="Z261" s="385">
        <f t="shared" si="85"/>
        <v>48.845344307362694</v>
      </c>
      <c r="AA261" s="386">
        <f t="shared" si="86"/>
        <v>51.137461291732095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4.4822658897617079E-2</v>
      </c>
      <c r="AD261" s="231">
        <f>(INDEX(Models!$BJ261:$BT261,,AH261)*(1-AF261)+INDEX(Models!$BJ261:$BT261,,AH261+1)*AF261-ERP_i)*AE261*Ramure*Pc/MaxiM</f>
        <v>1.7922645442279947E-6</v>
      </c>
      <c r="AE261" s="305">
        <f t="shared" si="88"/>
        <v>0.5</v>
      </c>
      <c r="AF261" s="177">
        <f t="shared" si="89"/>
        <v>0.48335364174916617</v>
      </c>
      <c r="AG261" s="811">
        <f t="shared" si="95"/>
        <v>-1</v>
      </c>
      <c r="AH261" s="176">
        <f t="shared" si="90"/>
        <v>5</v>
      </c>
      <c r="AI261" s="225">
        <f t="shared" si="91"/>
        <v>-0.51664635825083383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7">
        <v>49.521999999999998</v>
      </c>
      <c r="C262" s="390"/>
      <c r="D262" s="393">
        <f t="shared" si="74"/>
        <v>50.418360967252198</v>
      </c>
      <c r="E262" s="385">
        <f t="shared" si="96"/>
        <v>52.787801112388877</v>
      </c>
      <c r="F262" s="385">
        <f t="shared" si="75"/>
        <v>52.787883333438941</v>
      </c>
      <c r="G262" s="110">
        <f t="shared" si="97"/>
        <v>1.006415200872719</v>
      </c>
      <c r="H262" s="414" t="b">
        <f>Wh_hp&gt;='2019'!Maxi_hp</f>
        <v>1</v>
      </c>
      <c r="I262" s="380">
        <f>IF(H262,Wh_hp,'2019'!Maxi_hp)</f>
        <v>52.787883333438941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1.7778463045127646E-2</v>
      </c>
      <c r="M262" s="845"/>
      <c r="N262" s="845"/>
      <c r="O262" s="48">
        <f>IF(t&lt;Tnet,'2019'!Resal+('2019'!Salim-'2019'!Resal)*(1-EXP(('2019'!Tnet-t)/('2019'!Tau_j))),Resal+(Salim-Resal)*(1-EXP((Tnet-t)/(Tau_j))))*Salcycl</f>
        <v>4.4886130795484022E-2</v>
      </c>
      <c r="P262" s="169">
        <f>(INDEX(Models!$BJ262:$BT262,,T262)*(1-R262)+INDEX(Models!$BJ262:$BT262,,T262+1)*R262-ERP_i)*Q262*Ramure*Pc/MaxiM</f>
        <v>1.557574293039787E-6</v>
      </c>
      <c r="Q262" s="305">
        <f t="shared" si="77"/>
        <v>0.5</v>
      </c>
      <c r="R262" s="177">
        <f t="shared" si="78"/>
        <v>0.48390984304193818</v>
      </c>
      <c r="S262" s="811">
        <f t="shared" si="79"/>
        <v>-1</v>
      </c>
      <c r="T262" s="176">
        <f t="shared" si="80"/>
        <v>5</v>
      </c>
      <c r="U262" s="251">
        <f t="shared" si="81"/>
        <v>-0.51609015695806182</v>
      </c>
      <c r="V262" s="383">
        <f t="shared" si="82"/>
        <v>49.206331499222884</v>
      </c>
      <c r="W262" s="402"/>
      <c r="X262" s="157">
        <f t="shared" si="83"/>
        <v>44078</v>
      </c>
      <c r="Y262" s="385">
        <f t="shared" si="84"/>
        <v>49.521999999999998</v>
      </c>
      <c r="Z262" s="385">
        <f t="shared" si="85"/>
        <v>50.418360967252198</v>
      </c>
      <c r="AA262" s="386">
        <f t="shared" si="86"/>
        <v>52.787801112388877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4.4886130795484022E-2</v>
      </c>
      <c r="AD262" s="231">
        <f>(INDEX(Models!$BJ262:$BT262,,AH262)*(1-AF262)+INDEX(Models!$BJ262:$BT262,,AH262+1)*AF262-ERP_i)*AE262*Ramure*Pc/MaxiM</f>
        <v>1.557574293039787E-6</v>
      </c>
      <c r="AE262" s="305">
        <f t="shared" si="88"/>
        <v>0.5</v>
      </c>
      <c r="AF262" s="177">
        <f t="shared" si="89"/>
        <v>0.48390984304193818</v>
      </c>
      <c r="AG262" s="811">
        <f t="shared" si="95"/>
        <v>-1</v>
      </c>
      <c r="AH262" s="176">
        <f t="shared" si="90"/>
        <v>5</v>
      </c>
      <c r="AI262" s="225">
        <f t="shared" si="91"/>
        <v>-0.51609015695806182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7">
        <v>43.970999999999997</v>
      </c>
      <c r="C263" s="390"/>
      <c r="D263" s="393">
        <f t="shared" si="74"/>
        <v>44.767866967330811</v>
      </c>
      <c r="E263" s="385">
        <f t="shared" si="96"/>
        <v>46.874857517958041</v>
      </c>
      <c r="F263" s="385">
        <f t="shared" si="75"/>
        <v>46.874912422944824</v>
      </c>
      <c r="G263" s="110">
        <f t="shared" si="97"/>
        <v>0.89796541528146201</v>
      </c>
      <c r="H263" s="414" t="b">
        <f>Wh_hp&gt;='2019'!Maxi_hp</f>
        <v>0</v>
      </c>
      <c r="I263" s="380">
        <f>IF(H263,Wh_hp,'2019'!Maxi_hp)</f>
        <v>54.673871330579189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1.7799976217592106E-2</v>
      </c>
      <c r="M263" s="845"/>
      <c r="N263" s="845"/>
      <c r="O263" s="48">
        <f>IF(t&lt;Tnet,'2019'!Resal+('2019'!Salim-'2019'!Resal)*(1-EXP(('2019'!Tnet-t)/('2019'!Tau_j))),Resal+(Salim-Resal)*(1-EXP((Tnet-t)/(Tau_j))))*Salcycl</f>
        <v>4.494926837526983E-2</v>
      </c>
      <c r="P263" s="169">
        <f>(INDEX(Models!$BJ263:$BT263,,T263)*(1-R263)+INDEX(Models!$BJ263:$BT263,,T263+1)*R263-ERP_i)*Q263*Ramure*Pc/MaxiM</f>
        <v>1.3711758808830954E-6</v>
      </c>
      <c r="Q263" s="305">
        <f t="shared" si="77"/>
        <v>0.5</v>
      </c>
      <c r="R263" s="177">
        <f t="shared" si="78"/>
        <v>0.48444484697356982</v>
      </c>
      <c r="S263" s="811">
        <f t="shared" si="79"/>
        <v>-1</v>
      </c>
      <c r="T263" s="176">
        <f t="shared" si="80"/>
        <v>5</v>
      </c>
      <c r="U263" s="251">
        <f t="shared" si="81"/>
        <v>-0.51555515302643018</v>
      </c>
      <c r="V263" s="383">
        <f t="shared" si="82"/>
        <v>48.967354937430258</v>
      </c>
      <c r="W263" s="402"/>
      <c r="X263" s="157">
        <f t="shared" si="83"/>
        <v>44079</v>
      </c>
      <c r="Y263" s="385">
        <f t="shared" si="84"/>
        <v>43.970999999999997</v>
      </c>
      <c r="Z263" s="385">
        <f t="shared" si="85"/>
        <v>44.767866967330811</v>
      </c>
      <c r="AA263" s="386">
        <f t="shared" si="86"/>
        <v>46.874857517958041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4.494926837526983E-2</v>
      </c>
      <c r="AD263" s="231">
        <f>(INDEX(Models!$BJ263:$BT263,,AH263)*(1-AF263)+INDEX(Models!$BJ263:$BT263,,AH263+1)*AF263-ERP_i)*AE263*Ramure*Pc/MaxiM</f>
        <v>1.3711758808830954E-6</v>
      </c>
      <c r="AE263" s="305">
        <f t="shared" si="88"/>
        <v>0.5</v>
      </c>
      <c r="AF263" s="177">
        <f t="shared" si="89"/>
        <v>0.48444484697356982</v>
      </c>
      <c r="AG263" s="811">
        <f t="shared" si="95"/>
        <v>-1</v>
      </c>
      <c r="AH263" s="176">
        <f t="shared" si="90"/>
        <v>5</v>
      </c>
      <c r="AI263" s="225">
        <f t="shared" si="91"/>
        <v>-0.51555515302643018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7">
        <v>27.567</v>
      </c>
      <c r="C264" s="390"/>
      <c r="D264" s="393">
        <f t="shared" si="74"/>
        <v>28.067199280969309</v>
      </c>
      <c r="E264" s="385">
        <f t="shared" si="96"/>
        <v>29.390108632688907</v>
      </c>
      <c r="F264" s="385">
        <f t="shared" si="75"/>
        <v>29.390122399969826</v>
      </c>
      <c r="G264" s="110">
        <f t="shared" si="97"/>
        <v>0.56580001933812163</v>
      </c>
      <c r="H264" s="414" t="b">
        <f>Wh_hp&gt;='2019'!Maxi_hp</f>
        <v>0</v>
      </c>
      <c r="I264" s="380">
        <f>IF(H264,Wh_hp,'2019'!Maxi_hp)</f>
        <v>50.140065797662274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1.7821488918862816E-2</v>
      </c>
      <c r="M264" s="845"/>
      <c r="N264" s="845"/>
      <c r="O264" s="48">
        <f>IF(t&lt;Tnet,'2019'!Resal+('2019'!Salim-'2019'!Resal)*(1-EXP(('2019'!Tnet-t)/('2019'!Tau_j))),Resal+(Salim-Resal)*(1-EXP((Tnet-t)/(Tau_j))))*Salcycl</f>
        <v>4.5012060630773017E-2</v>
      </c>
      <c r="P264" s="169">
        <f>(INDEX(Models!$BJ264:$BT264,,T264)*(1-R264)+INDEX(Models!$BJ264:$BT264,,T264+1)*R264-ERP_i)*Q264*Ramure*Pc/MaxiM</f>
        <v>1.2336418780380595E-6</v>
      </c>
      <c r="Q264" s="305">
        <f t="shared" si="77"/>
        <v>0.5</v>
      </c>
      <c r="R264" s="177">
        <f t="shared" si="78"/>
        <v>0.48495941620660732</v>
      </c>
      <c r="S264" s="811">
        <f t="shared" si="79"/>
        <v>-1</v>
      </c>
      <c r="T264" s="176">
        <f t="shared" si="80"/>
        <v>5</v>
      </c>
      <c r="U264" s="251">
        <f t="shared" si="81"/>
        <v>-0.51504058379339268</v>
      </c>
      <c r="V264" s="383">
        <f t="shared" si="82"/>
        <v>48.722124360660494</v>
      </c>
      <c r="W264" s="402"/>
      <c r="X264" s="157">
        <f t="shared" si="83"/>
        <v>44080</v>
      </c>
      <c r="Y264" s="385">
        <f t="shared" si="84"/>
        <v>27.567</v>
      </c>
      <c r="Z264" s="385">
        <f t="shared" si="85"/>
        <v>28.067199280969309</v>
      </c>
      <c r="AA264" s="386">
        <f t="shared" si="86"/>
        <v>29.390108632688907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4.5012060630773017E-2</v>
      </c>
      <c r="AD264" s="231">
        <f>(INDEX(Models!$BJ264:$BT264,,AH264)*(1-AF264)+INDEX(Models!$BJ264:$BT264,,AH264+1)*AF264-ERP_i)*AE264*Ramure*Pc/MaxiM</f>
        <v>1.2336418780380595E-6</v>
      </c>
      <c r="AE264" s="305">
        <f t="shared" si="88"/>
        <v>0.5</v>
      </c>
      <c r="AF264" s="177">
        <f t="shared" si="89"/>
        <v>0.48495941620660732</v>
      </c>
      <c r="AG264" s="811">
        <f t="shared" si="95"/>
        <v>-1</v>
      </c>
      <c r="AH264" s="176">
        <f t="shared" si="90"/>
        <v>5</v>
      </c>
      <c r="AI264" s="225">
        <f t="shared" si="91"/>
        <v>-0.51504058379339268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7">
        <v>43.188000000000002</v>
      </c>
      <c r="C265" s="390"/>
      <c r="D265" s="393">
        <f t="shared" si="74"/>
        <v>43.972603209591071</v>
      </c>
      <c r="E265" s="385">
        <f t="shared" si="96"/>
        <v>46.048202743752135</v>
      </c>
      <c r="F265" s="385">
        <f t="shared" si="75"/>
        <v>46.048247281994044</v>
      </c>
      <c r="G265" s="110">
        <f t="shared" si="97"/>
        <v>0.89100601649988731</v>
      </c>
      <c r="H265" s="414" t="b">
        <f>Wh_hp&gt;='2019'!Maxi_hp</f>
        <v>0</v>
      </c>
      <c r="I265" s="380">
        <f>IF(H265,Wh_hp,'2019'!Maxi_hp)</f>
        <v>49.195092920557293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1.784300114895021E-2</v>
      </c>
      <c r="M265" s="845"/>
      <c r="N265" s="845"/>
      <c r="O265" s="48">
        <f>IF(t&lt;Tnet,'2019'!Resal+('2019'!Salim-'2019'!Resal)*(1-EXP(('2019'!Tnet-t)/('2019'!Tau_j))),Resal+(Salim-Resal)*(1-EXP((Tnet-t)/(Tau_j))))*Salcycl</f>
        <v>4.5074496082101373E-2</v>
      </c>
      <c r="P265" s="169">
        <f>(INDEX(Models!$BJ265:$BT265,,T265)*(1-R265)+INDEX(Models!$BJ265:$BT265,,T265+1)*R265-ERP_i)*Q265*Ramure*Pc/MaxiM</f>
        <v>1.145581486585267E-6</v>
      </c>
      <c r="Q265" s="305">
        <f t="shared" si="77"/>
        <v>0.5</v>
      </c>
      <c r="R265" s="177">
        <f t="shared" si="78"/>
        <v>0.48545428945345326</v>
      </c>
      <c r="S265" s="811">
        <f t="shared" si="79"/>
        <v>-1</v>
      </c>
      <c r="T265" s="176">
        <f t="shared" si="80"/>
        <v>5</v>
      </c>
      <c r="U265" s="251">
        <f t="shared" si="81"/>
        <v>-0.51454571054654674</v>
      </c>
      <c r="V265" s="383">
        <f t="shared" si="82"/>
        <v>48.471044523426158</v>
      </c>
      <c r="W265" s="402"/>
      <c r="X265" s="157">
        <f t="shared" si="83"/>
        <v>44081</v>
      </c>
      <c r="Y265" s="385">
        <f t="shared" si="84"/>
        <v>43.188000000000002</v>
      </c>
      <c r="Z265" s="385">
        <f t="shared" si="85"/>
        <v>43.972603209591071</v>
      </c>
      <c r="AA265" s="386">
        <f t="shared" si="86"/>
        <v>46.048202743752135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4.5074496082101373E-2</v>
      </c>
      <c r="AD265" s="231">
        <f>(INDEX(Models!$BJ265:$BT265,,AH265)*(1-AF265)+INDEX(Models!$BJ265:$BT265,,AH265+1)*AF265-ERP_i)*AE265*Ramure*Pc/MaxiM</f>
        <v>1.145581486585267E-6</v>
      </c>
      <c r="AE265" s="305">
        <f t="shared" si="88"/>
        <v>0.5</v>
      </c>
      <c r="AF265" s="177">
        <f t="shared" si="89"/>
        <v>0.48545428945345326</v>
      </c>
      <c r="AG265" s="811">
        <f t="shared" si="95"/>
        <v>-1</v>
      </c>
      <c r="AH265" s="176">
        <f t="shared" si="90"/>
        <v>5</v>
      </c>
      <c r="AI265" s="225">
        <f t="shared" si="91"/>
        <v>-0.51454571054654674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7">
        <v>46.143999999999998</v>
      </c>
      <c r="C266" s="390"/>
      <c r="D266" s="393">
        <f t="shared" si="74"/>
        <v>46.983334383549433</v>
      </c>
      <c r="E266" s="385">
        <f t="shared" si="96"/>
        <v>49.204244870152543</v>
      </c>
      <c r="F266" s="385">
        <f t="shared" si="75"/>
        <v>49.204296027158733</v>
      </c>
      <c r="G266" s="110">
        <f t="shared" si="97"/>
        <v>0.95705602441555615</v>
      </c>
      <c r="H266" s="414" t="b">
        <f>Wh_hp&gt;='2019'!Maxi_hp</f>
        <v>1</v>
      </c>
      <c r="I266" s="380">
        <f>IF(H266,Wh_hp,'2019'!Maxi_hp)</f>
        <v>49.204296027158733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1.7864512907864505E-2</v>
      </c>
      <c r="M266" s="845"/>
      <c r="N266" s="845"/>
      <c r="O266" s="48">
        <f>IF(t&lt;Tnet,'2019'!Resal+('2019'!Salim-'2019'!Resal)*(1-EXP(('2019'!Tnet-t)/('2019'!Tau_j))),Resal+(Salim-Resal)*(1-EXP((Tnet-t)/(Tau_j))))*Salcycl</f>
        <v>4.5136562759249314E-2</v>
      </c>
      <c r="P266" s="169">
        <f>(INDEX(Models!$BJ266:$BT266,,T266)*(1-R266)+INDEX(Models!$BJ266:$BT266,,T266+1)*R266-ERP_i)*Q266*Ramure*Pc/MaxiM</f>
        <v>1.1076376091213652E-6</v>
      </c>
      <c r="Q266" s="305">
        <f t="shared" si="77"/>
        <v>0.5</v>
      </c>
      <c r="R266" s="177">
        <f t="shared" si="78"/>
        <v>0.48593018195280835</v>
      </c>
      <c r="S266" s="811">
        <f t="shared" si="79"/>
        <v>-1</v>
      </c>
      <c r="T266" s="176">
        <f t="shared" si="80"/>
        <v>5</v>
      </c>
      <c r="U266" s="251">
        <f t="shared" si="81"/>
        <v>-0.51406981804719165</v>
      </c>
      <c r="V266" s="383">
        <f t="shared" si="82"/>
        <v>48.214520035653671</v>
      </c>
      <c r="W266" s="402"/>
      <c r="X266" s="157">
        <f t="shared" si="83"/>
        <v>44082</v>
      </c>
      <c r="Y266" s="385">
        <f t="shared" si="84"/>
        <v>46.143999999999998</v>
      </c>
      <c r="Z266" s="385">
        <f t="shared" si="85"/>
        <v>46.983334383549433</v>
      </c>
      <c r="AA266" s="386">
        <f t="shared" si="86"/>
        <v>49.204244870152543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4.5136562759249314E-2</v>
      </c>
      <c r="AD266" s="231">
        <f>(INDEX(Models!$BJ266:$BT266,,AH266)*(1-AF266)+INDEX(Models!$BJ266:$BT266,,AH266+1)*AF266-ERP_i)*AE266*Ramure*Pc/MaxiM</f>
        <v>1.1076376091213652E-6</v>
      </c>
      <c r="AE266" s="305">
        <f t="shared" si="88"/>
        <v>0.5</v>
      </c>
      <c r="AF266" s="177">
        <f t="shared" si="89"/>
        <v>0.48593018195280835</v>
      </c>
      <c r="AG266" s="811">
        <f t="shared" si="95"/>
        <v>-1</v>
      </c>
      <c r="AH266" s="176">
        <f t="shared" si="90"/>
        <v>5</v>
      </c>
      <c r="AI266" s="225">
        <f t="shared" si="91"/>
        <v>-0.51406981804719165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7">
        <v>23.864000000000001</v>
      </c>
      <c r="C267" s="390"/>
      <c r="D267" s="393">
        <f t="shared" si="74"/>
        <v>24.298605444907345</v>
      </c>
      <c r="E267" s="385">
        <f t="shared" si="96"/>
        <v>25.448848830479157</v>
      </c>
      <c r="F267" s="385">
        <f t="shared" si="75"/>
        <v>25.448856882081273</v>
      </c>
      <c r="G267" s="110">
        <f t="shared" si="97"/>
        <v>0.49765401580947138</v>
      </c>
      <c r="H267" s="414" t="b">
        <f>Wh_hp&gt;='2019'!Maxi_hp</f>
        <v>0</v>
      </c>
      <c r="I267" s="380">
        <f>IF(H267,Wh_hp,'2019'!Maxi_hp)</f>
        <v>39.947514243105942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1.7886024195616135E-2</v>
      </c>
      <c r="M267" s="845"/>
      <c r="N267" s="845"/>
      <c r="O267" s="48">
        <f>IF(t&lt;Tnet,'2019'!Resal+('2019'!Salim-'2019'!Resal)*(1-EXP(('2019'!Tnet-t)/('2019'!Tau_j))),Resal+(Salim-Resal)*(1-EXP((Tnet-t)/(Tau_j))))*Salcycl</f>
        <v>4.5198248189293654E-2</v>
      </c>
      <c r="P267" s="169">
        <f>(INDEX(Models!$BJ267:$BT267,,T267)*(1-R267)+INDEX(Models!$BJ267:$BT267,,T267+1)*R267-ERP_i)*Q267*Ramure*Pc/MaxiM</f>
        <v>1.1204837027126116E-6</v>
      </c>
      <c r="Q267" s="305">
        <f t="shared" si="77"/>
        <v>0.5</v>
      </c>
      <c r="R267" s="177">
        <f t="shared" si="78"/>
        <v>0.48638778596047327</v>
      </c>
      <c r="S267" s="811">
        <f t="shared" si="79"/>
        <v>-1</v>
      </c>
      <c r="T267" s="176">
        <f t="shared" si="80"/>
        <v>5</v>
      </c>
      <c r="U267" s="251">
        <f t="shared" si="81"/>
        <v>-0.51361221403952673</v>
      </c>
      <c r="V267" s="383">
        <f t="shared" si="82"/>
        <v>47.952955372285352</v>
      </c>
      <c r="W267" s="402"/>
      <c r="X267" s="157">
        <f t="shared" si="83"/>
        <v>44083</v>
      </c>
      <c r="Y267" s="385">
        <f t="shared" si="84"/>
        <v>23.864000000000001</v>
      </c>
      <c r="Z267" s="385">
        <f t="shared" si="85"/>
        <v>24.298605444907345</v>
      </c>
      <c r="AA267" s="386">
        <f t="shared" si="86"/>
        <v>25.448848830479157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4.5198248189293654E-2</v>
      </c>
      <c r="AD267" s="231">
        <f>(INDEX(Models!$BJ267:$BT267,,AH267)*(1-AF267)+INDEX(Models!$BJ267:$BT267,,AH267+1)*AF267-ERP_i)*AE267*Ramure*Pc/MaxiM</f>
        <v>1.1204837027126116E-6</v>
      </c>
      <c r="AE267" s="305">
        <f t="shared" si="88"/>
        <v>0.5</v>
      </c>
      <c r="AF267" s="177">
        <f t="shared" si="89"/>
        <v>0.48638778596047327</v>
      </c>
      <c r="AG267" s="811">
        <f t="shared" si="95"/>
        <v>-1</v>
      </c>
      <c r="AH267" s="176">
        <f t="shared" si="90"/>
        <v>5</v>
      </c>
      <c r="AI267" s="225">
        <f t="shared" si="91"/>
        <v>-0.51361221403952673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7">
        <v>39.665999999999997</v>
      </c>
      <c r="C268" s="390"/>
      <c r="D268" s="393">
        <f t="shared" si="74"/>
        <v>40.389272307972924</v>
      </c>
      <c r="E268" s="385">
        <f t="shared" si="96"/>
        <v>42.303928632164165</v>
      </c>
      <c r="F268" s="385">
        <f t="shared" si="75"/>
        <v>42.303967425500829</v>
      </c>
      <c r="G268" s="110">
        <f t="shared" si="97"/>
        <v>0.83180307593157743</v>
      </c>
      <c r="H268" s="414" t="b">
        <f>Wh_hp&gt;='2019'!Maxi_hp</f>
        <v>0</v>
      </c>
      <c r="I268" s="380">
        <f>IF(H268,Wh_hp,'2019'!Maxi_hp)</f>
        <v>46.653482601520295</v>
      </c>
      <c r="J268" s="85">
        <f>IF(H268,An,'2019'!An_max)</f>
        <v>2018</v>
      </c>
      <c r="K268" s="197">
        <f t="shared" si="76"/>
        <v>44084</v>
      </c>
      <c r="L268" s="147">
        <f>IF(t&lt;Tvie,1-EXP((T0-t)*PertePVj)+'2019'!Pspv,1-EXP((T0-t)*PertePVj)+Pspv)</f>
        <v>1.7907535012215314E-2</v>
      </c>
      <c r="M268" s="845"/>
      <c r="N268" s="845"/>
      <c r="O268" s="48">
        <f>IF(t&lt;Tnet,'2019'!Resal+('2019'!Salim-'2019'!Resal)*(1-EXP(('2019'!Tnet-t)/('2019'!Tau_j))),Resal+(Salim-Resal)*(1-EXP((Tnet-t)/(Tau_j))))*Salcycl</f>
        <v>4.5259539387921252E-2</v>
      </c>
      <c r="P268" s="169">
        <f>(INDEX(Models!$BJ268:$BT268,,T268)*(1-R268)+INDEX(Models!$BJ268:$BT268,,T268+1)*R268-ERP_i)*Q268*Ramure*Pc/MaxiM</f>
        <v>1.2070438132980731E-6</v>
      </c>
      <c r="Q268" s="305">
        <f t="shared" si="77"/>
        <v>0.5</v>
      </c>
      <c r="R268" s="177">
        <f t="shared" si="78"/>
        <v>0.48682777125180998</v>
      </c>
      <c r="S268" s="811">
        <f t="shared" si="79"/>
        <v>-1</v>
      </c>
      <c r="T268" s="176">
        <f t="shared" si="80"/>
        <v>5</v>
      </c>
      <c r="U268" s="251">
        <f t="shared" si="81"/>
        <v>-0.51317222874819002</v>
      </c>
      <c r="V268" s="383">
        <f t="shared" si="82"/>
        <v>47.68675380437714</v>
      </c>
      <c r="W268" s="402"/>
      <c r="X268" s="157">
        <f t="shared" si="83"/>
        <v>44084</v>
      </c>
      <c r="Y268" s="385">
        <f t="shared" si="84"/>
        <v>39.665999999999997</v>
      </c>
      <c r="Z268" s="385">
        <f t="shared" si="85"/>
        <v>40.389272307972924</v>
      </c>
      <c r="AA268" s="386">
        <f t="shared" si="86"/>
        <v>42.303928632164165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4.5259539387921252E-2</v>
      </c>
      <c r="AD268" s="231">
        <f>(INDEX(Models!$BJ268:$BT268,,AH268)*(1-AF268)+INDEX(Models!$BJ268:$BT268,,AH268+1)*AF268-ERP_i)*AE268*Ramure*Pc/MaxiM</f>
        <v>1.2070438132980731E-6</v>
      </c>
      <c r="AE268" s="305">
        <f t="shared" si="88"/>
        <v>0.5</v>
      </c>
      <c r="AF268" s="177">
        <f t="shared" si="89"/>
        <v>0.48682777125180998</v>
      </c>
      <c r="AG268" s="811">
        <f t="shared" si="95"/>
        <v>-1</v>
      </c>
      <c r="AH268" s="176">
        <f t="shared" si="90"/>
        <v>5</v>
      </c>
      <c r="AI268" s="225">
        <f t="shared" si="91"/>
        <v>-0.51317222874819002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7">
        <v>44.475000000000001</v>
      </c>
      <c r="C269" s="390"/>
      <c r="D269" s="393">
        <f t="shared" si="74"/>
        <v>45.28695181316904</v>
      </c>
      <c r="E269" s="385">
        <f t="shared" si="96"/>
        <v>47.436808011172985</v>
      </c>
      <c r="F269" s="385">
        <f t="shared" si="75"/>
        <v>47.43686587633227</v>
      </c>
      <c r="G269" s="110">
        <f t="shared" si="97"/>
        <v>0.93796806317939219</v>
      </c>
      <c r="H269" s="414" t="b">
        <f>Wh_hp&gt;='2019'!Maxi_hp</f>
        <v>0</v>
      </c>
      <c r="I269" s="380">
        <f>IF(H269,Wh_hp,'2019'!Maxi_hp)</f>
        <v>50.761032411385656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1.792904535767248E-2</v>
      </c>
      <c r="M269" s="845"/>
      <c r="N269" s="845"/>
      <c r="O269" s="48">
        <f>IF(t&lt;Tnet,'2019'!Resal+('2019'!Salim-'2019'!Resal)*(1-EXP(('2019'!Tnet-t)/('2019'!Tau_j))),Resal+(Salim-Resal)*(1-EXP((Tnet-t)/(Tau_j))))*Salcycl</f>
        <v>4.5320422855972632E-2</v>
      </c>
      <c r="P269" s="169">
        <f>(INDEX(Models!$BJ269:$BT269,,T269)*(1-R269)+INDEX(Models!$BJ269:$BT269,,T269+1)*R269-ERP_i)*Q269*Ramure*Pc/MaxiM</f>
        <v>1.3384439566223839E-6</v>
      </c>
      <c r="Q269" s="305">
        <f t="shared" si="77"/>
        <v>0.5</v>
      </c>
      <c r="R269" s="177">
        <f t="shared" si="78"/>
        <v>0.48725078563339697</v>
      </c>
      <c r="S269" s="811">
        <f t="shared" si="79"/>
        <v>-1</v>
      </c>
      <c r="T269" s="176">
        <f t="shared" si="80"/>
        <v>5</v>
      </c>
      <c r="U269" s="251">
        <f t="shared" si="81"/>
        <v>-0.51274921436660303</v>
      </c>
      <c r="V269" s="383">
        <f t="shared" si="82"/>
        <v>47.416320950325861</v>
      </c>
      <c r="W269" s="402"/>
      <c r="X269" s="157">
        <f t="shared" si="83"/>
        <v>44085</v>
      </c>
      <c r="Y269" s="385">
        <f t="shared" si="84"/>
        <v>44.475000000000001</v>
      </c>
      <c r="Z269" s="385">
        <f t="shared" si="85"/>
        <v>45.28695181316904</v>
      </c>
      <c r="AA269" s="386">
        <f t="shared" si="86"/>
        <v>47.436808011172985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4.5320422855972632E-2</v>
      </c>
      <c r="AD269" s="231">
        <f>(INDEX(Models!$BJ269:$BT269,,AH269)*(1-AF269)+INDEX(Models!$BJ269:$BT269,,AH269+1)*AF269-ERP_i)*AE269*Ramure*Pc/MaxiM</f>
        <v>1.3384439566223839E-6</v>
      </c>
      <c r="AE269" s="305">
        <f t="shared" si="88"/>
        <v>0.5</v>
      </c>
      <c r="AF269" s="177">
        <f t="shared" si="89"/>
        <v>0.48725078563339697</v>
      </c>
      <c r="AG269" s="811">
        <f t="shared" si="95"/>
        <v>-1</v>
      </c>
      <c r="AH269" s="176">
        <f t="shared" si="90"/>
        <v>5</v>
      </c>
      <c r="AI269" s="225">
        <f t="shared" si="91"/>
        <v>-0.51274921436660303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7">
        <v>45.228999999999999</v>
      </c>
      <c r="C270" s="390"/>
      <c r="D270" s="393">
        <f t="shared" si="74"/>
        <v>46.055725850631504</v>
      </c>
      <c r="E270" s="385">
        <f t="shared" si="96"/>
        <v>48.245132646907095</v>
      </c>
      <c r="F270" s="385">
        <f t="shared" si="75"/>
        <v>48.245201516580117</v>
      </c>
      <c r="G270" s="110">
        <f t="shared" si="97"/>
        <v>0.95941915131640443</v>
      </c>
      <c r="H270" s="414" t="b">
        <f>Wh_hp&gt;='2019'!Maxi_hp</f>
        <v>1</v>
      </c>
      <c r="I270" s="380">
        <f>IF(H270,Wh_hp,'2019'!Maxi_hp)</f>
        <v>48.245201516580117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1.7950555231997734E-2</v>
      </c>
      <c r="M270" s="845"/>
      <c r="N270" s="845"/>
      <c r="O270" s="48">
        <f>IF(t&lt;Tnet,'2019'!Resal+('2019'!Salim-'2019'!Resal)*(1-EXP(('2019'!Tnet-t)/('2019'!Tau_j))),Resal+(Salim-Resal)*(1-EXP((Tnet-t)/(Tau_j))))*Salcycl</f>
        <v>4.5380884581648066E-2</v>
      </c>
      <c r="P270" s="169">
        <f>(INDEX(Models!$BJ270:$BT270,,T270)*(1-R270)+INDEX(Models!$BJ270:$BT270,,T270+1)*R270-ERP_i)*Q270*Ramure*Pc/MaxiM</f>
        <v>1.5153408283081631E-6</v>
      </c>
      <c r="Q270" s="305">
        <f t="shared" si="77"/>
        <v>0.5</v>
      </c>
      <c r="R270" s="177">
        <f t="shared" si="78"/>
        <v>0.4876574554616071</v>
      </c>
      <c r="S270" s="811">
        <f t="shared" si="79"/>
        <v>-1</v>
      </c>
      <c r="T270" s="176">
        <f t="shared" si="80"/>
        <v>5</v>
      </c>
      <c r="U270" s="251">
        <f t="shared" si="81"/>
        <v>-0.5123425445383929</v>
      </c>
      <c r="V270" s="383">
        <f t="shared" si="82"/>
        <v>47.14206086531977</v>
      </c>
      <c r="W270" s="402"/>
      <c r="X270" s="157">
        <f t="shared" si="83"/>
        <v>44086</v>
      </c>
      <c r="Y270" s="385">
        <f t="shared" si="84"/>
        <v>45.228999999999999</v>
      </c>
      <c r="Z270" s="385">
        <f t="shared" si="85"/>
        <v>46.055725850631504</v>
      </c>
      <c r="AA270" s="386">
        <f t="shared" si="86"/>
        <v>48.245132646907095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4.5380884581648066E-2</v>
      </c>
      <c r="AD270" s="231">
        <f>(INDEX(Models!$BJ270:$BT270,,AH270)*(1-AF270)+INDEX(Models!$BJ270:$BT270,,AH270+1)*AF270-ERP_i)*AE270*Ramure*Pc/MaxiM</f>
        <v>1.5153408283081631E-6</v>
      </c>
      <c r="AE270" s="305">
        <f t="shared" si="88"/>
        <v>0.5</v>
      </c>
      <c r="AF270" s="177">
        <f t="shared" si="89"/>
        <v>0.4876574554616071</v>
      </c>
      <c r="AG270" s="811">
        <f t="shared" si="95"/>
        <v>-1</v>
      </c>
      <c r="AH270" s="176">
        <f t="shared" si="90"/>
        <v>5</v>
      </c>
      <c r="AI270" s="225">
        <f t="shared" si="91"/>
        <v>-0.5123425445383929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7">
        <v>44.953000000000003</v>
      </c>
      <c r="C271" s="390"/>
      <c r="D271" s="393">
        <f t="shared" ref="D271:D334" si="98">Wh/(1-Ppv)</f>
        <v>45.775683543361836</v>
      </c>
      <c r="E271" s="385">
        <f t="shared" si="96"/>
        <v>47.954792977468252</v>
      </c>
      <c r="F271" s="385">
        <f t="shared" ref="F271:F334" si="99">Wh_sa/(1-Pvg*MEDIAN((-Sdif+Wh/Env_an)/Csdif,0,1))</f>
        <v>47.954871485084247</v>
      </c>
      <c r="G271" s="110">
        <f t="shared" si="97"/>
        <v>0.95921460769143452</v>
      </c>
      <c r="H271" s="414" t="b">
        <f>Wh_hp&gt;='2019'!Maxi_hp</f>
        <v>1</v>
      </c>
      <c r="I271" s="380">
        <f>IF(H271,Wh_hp,'2019'!Maxi_hp)</f>
        <v>47.954871485084247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1.7972064635201623E-2</v>
      </c>
      <c r="M271" s="845"/>
      <c r="N271" s="845"/>
      <c r="O271" s="48">
        <f>IF(t&lt;Tnet,'2019'!Resal+('2019'!Salim-'2019'!Resal)*(1-EXP(('2019'!Tnet-t)/('2019'!Tau_j))),Resal+(Salim-Resal)*(1-EXP((Tnet-t)/(Tau_j))))*Salcycl</f>
        <v>4.544091004897631E-2</v>
      </c>
      <c r="P271" s="169">
        <f>(INDEX(Models!$BJ271:$BT271,,T271)*(1-R271)+INDEX(Models!$BJ271:$BT271,,T271+1)*R271-ERP_i)*Q271*Ramure*Pc/MaxiM</f>
        <v>1.7384019947772311E-6</v>
      </c>
      <c r="Q271" s="305">
        <f t="shared" ref="Q271:Q334" si="101">IF(OR(t&lt;Ttai,Notai),Dd+PousD*Croivg,Dens+PousD*(Croivg-Croi_tai))</f>
        <v>0.5</v>
      </c>
      <c r="R271" s="177">
        <f t="shared" ref="R271:R334" si="102">(Hp_vg-S271)/(INDEX(Echel_vg,T271+1)-S271)</f>
        <v>0.48804838616604262</v>
      </c>
      <c r="S271" s="811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-0.51195161383395738</v>
      </c>
      <c r="V271" s="383">
        <f t="shared" ref="V271:V334" si="106">MaxiM*(1-Ppv)*(1-Pvg)*(1-Psa)</f>
        <v>46.864377467109037</v>
      </c>
      <c r="W271" s="402"/>
      <c r="X271" s="157">
        <f t="shared" ref="X271:X334" si="107">t</f>
        <v>44087</v>
      </c>
      <c r="Y271" s="385">
        <f t="shared" ref="Y271:Y334" si="108">Wh_pvt_s*(1-Ppv)</f>
        <v>44.953000000000003</v>
      </c>
      <c r="Z271" s="385">
        <f t="shared" ref="Z271:Z334" si="109">Wh_sa_s*(1-Psa_s)</f>
        <v>45.775683543361836</v>
      </c>
      <c r="AA271" s="386">
        <f t="shared" ref="AA271:AA334" si="110">Wh_hp*(1-Pvg_s*MEDIAN((-Sdif+Wh/Env_an)/Csdif,0,1))</f>
        <v>47.954792977468252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4.544091004897631E-2</v>
      </c>
      <c r="AD271" s="231">
        <f>(INDEX(Models!$BJ271:$BT271,,AH271)*(1-AF271)+INDEX(Models!$BJ271:$BT271,,AH271+1)*AF271-ERP_i)*AE271*Ramure*Pc/MaxiM</f>
        <v>1.7384019947772311E-6</v>
      </c>
      <c r="AE271" s="305">
        <f t="shared" ref="AE271:AE334" si="112">IF(OR(t&lt;Ttai,Notai),Dd_s+PousD*Croivg,Dens_s+PousD*(Croivg-Croi_tai))</f>
        <v>0.5</v>
      </c>
      <c r="AF271" s="177">
        <f t="shared" ref="AF271:AF334" si="113">(Hp_vg_s-AG271)/(INDEX(Echel_vg,AH271+1)-AG271)</f>
        <v>0.48804838616604262</v>
      </c>
      <c r="AG271" s="811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-0.51195161383395738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7">
        <v>45.850999999999999</v>
      </c>
      <c r="C272" s="390"/>
      <c r="D272" s="393">
        <f t="shared" si="98"/>
        <v>46.691140471005916</v>
      </c>
      <c r="E272" s="385">
        <f t="shared" si="96"/>
        <v>48.916882303988807</v>
      </c>
      <c r="F272" s="385">
        <f t="shared" si="99"/>
        <v>48.916978336718785</v>
      </c>
      <c r="G272" s="110">
        <f t="shared" si="97"/>
        <v>0.98427181600959701</v>
      </c>
      <c r="H272" s="414" t="b">
        <f>Wh_hp&gt;='2019'!Maxi_hp</f>
        <v>1</v>
      </c>
      <c r="I272" s="380">
        <f>IF(H272,Wh_hp,'2019'!Maxi_hp)</f>
        <v>48.916978336718785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1.7993573567294363E-2</v>
      </c>
      <c r="M272" s="845"/>
      <c r="N272" s="845"/>
      <c r="O272" s="48">
        <f>IF(t&lt;Tnet,'2019'!Resal+('2019'!Salim-'2019'!Resal)*(1-EXP(('2019'!Tnet-t)/('2019'!Tau_j))),Resal+(Salim-Resal)*(1-EXP((Tnet-t)/(Tau_j))))*Salcycl</f>
        <v>4.5500484253089876E-2</v>
      </c>
      <c r="P272" s="169">
        <f>(INDEX(Models!$BJ272:$BT272,,T272)*(1-R272)+INDEX(Models!$BJ272:$BT272,,T272+1)*R272-ERP_i)*Q272*Ramure*Pc/MaxiM</f>
        <v>2.0083019596102533E-6</v>
      </c>
      <c r="Q272" s="305">
        <f t="shared" si="101"/>
        <v>0.5</v>
      </c>
      <c r="R272" s="177">
        <f t="shared" si="102"/>
        <v>0.4884241627759407</v>
      </c>
      <c r="S272" s="811">
        <f t="shared" si="103"/>
        <v>-1</v>
      </c>
      <c r="T272" s="176">
        <f t="shared" si="104"/>
        <v>5</v>
      </c>
      <c r="U272" s="251">
        <f t="shared" si="105"/>
        <v>-0.5115758372240593</v>
      </c>
      <c r="V272" s="383">
        <f t="shared" si="106"/>
        <v>46.583674535048189</v>
      </c>
      <c r="W272" s="402"/>
      <c r="X272" s="157">
        <f t="shared" si="107"/>
        <v>44088</v>
      </c>
      <c r="Y272" s="385">
        <f t="shared" si="108"/>
        <v>45.850999999999999</v>
      </c>
      <c r="Z272" s="385">
        <f t="shared" si="109"/>
        <v>46.691140471005916</v>
      </c>
      <c r="AA272" s="386">
        <f t="shared" si="110"/>
        <v>48.916882303988807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4.5500484253089876E-2</v>
      </c>
      <c r="AD272" s="231">
        <f>(INDEX(Models!$BJ272:$BT272,,AH272)*(1-AF272)+INDEX(Models!$BJ272:$BT272,,AH272+1)*AF272-ERP_i)*AE272*Ramure*Pc/MaxiM</f>
        <v>2.0083019596102533E-6</v>
      </c>
      <c r="AE272" s="305">
        <f t="shared" si="112"/>
        <v>0.5</v>
      </c>
      <c r="AF272" s="177">
        <f t="shared" si="113"/>
        <v>0.4884241627759407</v>
      </c>
      <c r="AG272" s="811">
        <f t="shared" ref="AG272:AG335" si="119">INDEX(Echel_vg,AH272)</f>
        <v>-1</v>
      </c>
      <c r="AH272" s="176">
        <f t="shared" si="114"/>
        <v>5</v>
      </c>
      <c r="AI272" s="225">
        <f t="shared" si="115"/>
        <v>-0.5115758372240593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7">
        <v>38.341999999999999</v>
      </c>
      <c r="C273" s="390"/>
      <c r="D273" s="393">
        <f t="shared" si="98"/>
        <v>39.045406195438581</v>
      </c>
      <c r="E273" s="385">
        <f t="shared" si="96"/>
        <v>40.909213248752216</v>
      </c>
      <c r="F273" s="385">
        <f t="shared" si="99"/>
        <v>40.909285029677378</v>
      </c>
      <c r="G273" s="110">
        <f t="shared" si="97"/>
        <v>0.82811411523383494</v>
      </c>
      <c r="H273" s="414" t="b">
        <f>Wh_hp&gt;='2019'!Maxi_hp</f>
        <v>0</v>
      </c>
      <c r="I273" s="380">
        <f>IF(H273,Wh_hp,'2019'!Maxi_hp)</f>
        <v>46.225866499783969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1.8015082028286278E-2</v>
      </c>
      <c r="M273" s="845"/>
      <c r="N273" s="845"/>
      <c r="O273" s="48">
        <f>IF(t&lt;Tnet,'2019'!Resal+('2019'!Salim-'2019'!Resal)*(1-EXP(('2019'!Tnet-t)/('2019'!Tau_j))),Resal+(Salim-Resal)*(1-EXP((Tnet-t)/(Tau_j))))*Salcycl</f>
        <v>4.5559591722788291E-2</v>
      </c>
      <c r="P273" s="169">
        <f>(INDEX(Models!$BJ273:$BT273,,T273)*(1-R273)+INDEX(Models!$BJ273:$BT273,,T273+1)*R273-ERP_i)*Q273*Ramure*Pc/MaxiM</f>
        <v>2.3257179132401661E-6</v>
      </c>
      <c r="Q273" s="305">
        <f t="shared" si="101"/>
        <v>0.5</v>
      </c>
      <c r="R273" s="177">
        <f t="shared" si="102"/>
        <v>0.48878535044783633</v>
      </c>
      <c r="S273" s="811">
        <f t="shared" si="103"/>
        <v>-1</v>
      </c>
      <c r="T273" s="176">
        <f t="shared" si="104"/>
        <v>5</v>
      </c>
      <c r="U273" s="251">
        <f t="shared" si="105"/>
        <v>-0.51121464955216367</v>
      </c>
      <c r="V273" s="383">
        <f t="shared" si="106"/>
        <v>46.300355709710153</v>
      </c>
      <c r="W273" s="402"/>
      <c r="X273" s="157">
        <f t="shared" si="107"/>
        <v>44089</v>
      </c>
      <c r="Y273" s="385">
        <f t="shared" si="108"/>
        <v>38.341999999999999</v>
      </c>
      <c r="Z273" s="385">
        <f t="shared" si="109"/>
        <v>39.045406195438581</v>
      </c>
      <c r="AA273" s="386">
        <f t="shared" si="110"/>
        <v>40.909213248752216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4.5559591722788291E-2</v>
      </c>
      <c r="AD273" s="231">
        <f>(INDEX(Models!$BJ273:$BT273,,AH273)*(1-AF273)+INDEX(Models!$BJ273:$BT273,,AH273+1)*AF273-ERP_i)*AE273*Ramure*Pc/MaxiM</f>
        <v>2.3257179132401661E-6</v>
      </c>
      <c r="AE273" s="305">
        <f t="shared" si="112"/>
        <v>0.5</v>
      </c>
      <c r="AF273" s="177">
        <f t="shared" si="113"/>
        <v>0.48878535044783633</v>
      </c>
      <c r="AG273" s="811">
        <f t="shared" si="119"/>
        <v>-1</v>
      </c>
      <c r="AH273" s="176">
        <f t="shared" si="114"/>
        <v>5</v>
      </c>
      <c r="AI273" s="225">
        <f t="shared" si="115"/>
        <v>-0.51121464955216367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7">
        <v>40.247999999999998</v>
      </c>
      <c r="C274" s="390"/>
      <c r="D274" s="393">
        <f t="shared" si="98"/>
        <v>40.987270595699144</v>
      </c>
      <c r="E274" s="385">
        <f t="shared" si="96"/>
        <v>42.946409190217729</v>
      </c>
      <c r="F274" s="385">
        <f t="shared" si="99"/>
        <v>42.94650407967859</v>
      </c>
      <c r="G274" s="110">
        <f t="shared" si="97"/>
        <v>0.87467421750872887</v>
      </c>
      <c r="H274" s="414" t="b">
        <f>Wh_hp&gt;='2019'!Maxi_hp</f>
        <v>0</v>
      </c>
      <c r="I274" s="380">
        <f>IF(H274,Wh_hp,'2019'!Maxi_hp)</f>
        <v>43.928763597128906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1.8036590018187804E-2</v>
      </c>
      <c r="M274" s="845"/>
      <c r="N274" s="845"/>
      <c r="O274" s="48">
        <f>IF(t&lt;Tnet,'2019'!Resal+('2019'!Salim-'2019'!Resal)*(1-EXP(('2019'!Tnet-t)/('2019'!Tau_j))),Resal+(Salim-Resal)*(1-EXP((Tnet-t)/(Tau_j))))*Salcycl</f>
        <v>4.5618216550799132E-2</v>
      </c>
      <c r="P274" s="169">
        <f>(INDEX(Models!$BJ274:$BT274,,T274)*(1-R274)+INDEX(Models!$BJ274:$BT274,,T274+1)*R274-ERP_i)*Q274*Ramure*Pc/MaxiM</f>
        <v>2.6913251520991454E-6</v>
      </c>
      <c r="Q274" s="305">
        <f t="shared" si="101"/>
        <v>0.5</v>
      </c>
      <c r="R274" s="177">
        <f t="shared" si="102"/>
        <v>0.48913249499293465</v>
      </c>
      <c r="S274" s="811">
        <f t="shared" si="103"/>
        <v>-1</v>
      </c>
      <c r="T274" s="176">
        <f t="shared" si="104"/>
        <v>5</v>
      </c>
      <c r="U274" s="251">
        <f t="shared" si="105"/>
        <v>-0.51086750500706535</v>
      </c>
      <c r="V274" s="383">
        <f t="shared" si="106"/>
        <v>46.014824492376945</v>
      </c>
      <c r="W274" s="402"/>
      <c r="X274" s="157">
        <f t="shared" si="107"/>
        <v>44090</v>
      </c>
      <c r="Y274" s="385">
        <f t="shared" si="108"/>
        <v>40.247999999999998</v>
      </c>
      <c r="Z274" s="385">
        <f t="shared" si="109"/>
        <v>40.987270595699144</v>
      </c>
      <c r="AA274" s="386">
        <f t="shared" si="110"/>
        <v>42.946409190217729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4.5618216550799132E-2</v>
      </c>
      <c r="AD274" s="231">
        <f>(INDEX(Models!$BJ274:$BT274,,AH274)*(1-AF274)+INDEX(Models!$BJ274:$BT274,,AH274+1)*AF274-ERP_i)*AE274*Ramure*Pc/MaxiM</f>
        <v>2.6913251520991454E-6</v>
      </c>
      <c r="AE274" s="305">
        <f t="shared" si="112"/>
        <v>0.5</v>
      </c>
      <c r="AF274" s="177">
        <f t="shared" si="113"/>
        <v>0.48913249499293465</v>
      </c>
      <c r="AG274" s="811">
        <f t="shared" si="119"/>
        <v>-1</v>
      </c>
      <c r="AH274" s="176">
        <f t="shared" si="114"/>
        <v>5</v>
      </c>
      <c r="AI274" s="225">
        <f t="shared" si="115"/>
        <v>-0.51086750500706535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7">
        <v>40.880000000000003</v>
      </c>
      <c r="C275" s="390"/>
      <c r="D275" s="393">
        <f t="shared" si="98"/>
        <v>41.631790941461283</v>
      </c>
      <c r="E275" s="385">
        <f t="shared" si="96"/>
        <v>43.624393685847437</v>
      </c>
      <c r="F275" s="385">
        <f t="shared" si="99"/>
        <v>43.62450867340219</v>
      </c>
      <c r="G275" s="110">
        <f t="shared" si="97"/>
        <v>0.89404523392292523</v>
      </c>
      <c r="H275" s="414" t="b">
        <f>Wh_hp&gt;='2019'!Maxi_hp</f>
        <v>1</v>
      </c>
      <c r="I275" s="380">
        <f>IF(H275,Wh_hp,'2019'!Maxi_hp)</f>
        <v>43.62450867340219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1.8058097537009044E-2</v>
      </c>
      <c r="M275" s="845"/>
      <c r="N275" s="845"/>
      <c r="O275" s="48">
        <f>IF(t&lt;Tnet,'2019'!Resal+('2019'!Salim-'2019'!Resal)*(1-EXP(('2019'!Tnet-t)/('2019'!Tau_j))),Resal+(Salim-Resal)*(1-EXP((Tnet-t)/(Tau_j))))*Salcycl</f>
        <v>4.5676342432068993E-2</v>
      </c>
      <c r="P275" s="169">
        <f>(INDEX(Models!$BJ275:$BT275,,T275)*(1-R275)+INDEX(Models!$BJ275:$BT275,,T275+1)*R275-ERP_i)*Q275*Ramure*Pc/MaxiM</f>
        <v>3.1059789411417537E-6</v>
      </c>
      <c r="Q275" s="305">
        <f t="shared" si="101"/>
        <v>0.5</v>
      </c>
      <c r="R275" s="177">
        <f t="shared" si="102"/>
        <v>0.4894661234027925</v>
      </c>
      <c r="S275" s="811">
        <f t="shared" si="103"/>
        <v>-1</v>
      </c>
      <c r="T275" s="176">
        <f t="shared" si="104"/>
        <v>5</v>
      </c>
      <c r="U275" s="251">
        <f t="shared" si="105"/>
        <v>-0.5105338765972075</v>
      </c>
      <c r="V275" s="383">
        <f t="shared" si="106"/>
        <v>45.724734308580537</v>
      </c>
      <c r="W275" s="402"/>
      <c r="X275" s="157">
        <f t="shared" si="107"/>
        <v>44091</v>
      </c>
      <c r="Y275" s="385">
        <f t="shared" si="108"/>
        <v>40.880000000000003</v>
      </c>
      <c r="Z275" s="385">
        <f t="shared" si="109"/>
        <v>41.631790941461283</v>
      </c>
      <c r="AA275" s="386">
        <f t="shared" si="110"/>
        <v>43.624393685847437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4.5676342432068993E-2</v>
      </c>
      <c r="AD275" s="231">
        <f>(INDEX(Models!$BJ275:$BT275,,AH275)*(1-AF275)+INDEX(Models!$BJ275:$BT275,,AH275+1)*AF275-ERP_i)*AE275*Ramure*Pc/MaxiM</f>
        <v>3.1059789411417537E-6</v>
      </c>
      <c r="AE275" s="305">
        <f t="shared" si="112"/>
        <v>0.5</v>
      </c>
      <c r="AF275" s="177">
        <f t="shared" si="113"/>
        <v>0.4894661234027925</v>
      </c>
      <c r="AG275" s="811">
        <f t="shared" si="119"/>
        <v>-1</v>
      </c>
      <c r="AH275" s="176">
        <f t="shared" si="114"/>
        <v>5</v>
      </c>
      <c r="AI275" s="225">
        <f t="shared" si="115"/>
        <v>-0.5105338765972075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7">
        <v>19.838999999999999</v>
      </c>
      <c r="C276" s="390"/>
      <c r="D276" s="393">
        <f t="shared" si="98"/>
        <v>20.204285492624258</v>
      </c>
      <c r="E276" s="385">
        <f t="shared" si="96"/>
        <v>21.172591804988798</v>
      </c>
      <c r="F276" s="385">
        <f t="shared" si="99"/>
        <v>21.172607840938412</v>
      </c>
      <c r="G276" s="110">
        <f t="shared" si="97"/>
        <v>0.4367117386845093</v>
      </c>
      <c r="H276" s="414" t="b">
        <f>Wh_hp&gt;='2019'!Maxi_hp</f>
        <v>0</v>
      </c>
      <c r="I276" s="380">
        <f>IF(H276,Wh_hp,'2019'!Maxi_hp)</f>
        <v>42.413786815005437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1.8079604584760434E-2</v>
      </c>
      <c r="M276" s="845"/>
      <c r="N276" s="845"/>
      <c r="O276" s="48">
        <f>IF(t&lt;Tnet,'2019'!Resal+('2019'!Salim-'2019'!Resal)*(1-EXP(('2019'!Tnet-t)/('2019'!Tau_j))),Resal+(Salim-Resal)*(1-EXP((Tnet-t)/(Tau_j))))*Salcycl</f>
        <v>4.5733952710332919E-2</v>
      </c>
      <c r="P276" s="169">
        <f>(INDEX(Models!$BJ276:$BT276,,T276)*(1-R276)+INDEX(Models!$BJ276:$BT276,,T276+1)*R276-ERP_i)*Q276*Ramure*Pc/MaxiM</f>
        <v>3.878003828843383E-6</v>
      </c>
      <c r="Q276" s="305">
        <f t="shared" si="101"/>
        <v>0.5</v>
      </c>
      <c r="R276" s="177">
        <f t="shared" si="102"/>
        <v>0.48978674437205405</v>
      </c>
      <c r="S276" s="811">
        <f t="shared" si="103"/>
        <v>-1</v>
      </c>
      <c r="T276" s="176">
        <f t="shared" si="104"/>
        <v>5</v>
      </c>
      <c r="U276" s="251">
        <f t="shared" si="105"/>
        <v>-0.51021325562794595</v>
      </c>
      <c r="V276" s="383">
        <f t="shared" si="106"/>
        <v>45.427993646064685</v>
      </c>
      <c r="W276" s="402"/>
      <c r="X276" s="157">
        <f t="shared" si="107"/>
        <v>44092</v>
      </c>
      <c r="Y276" s="385">
        <f t="shared" si="108"/>
        <v>19.838999999999999</v>
      </c>
      <c r="Z276" s="385">
        <f t="shared" si="109"/>
        <v>20.204285492624258</v>
      </c>
      <c r="AA276" s="386">
        <f t="shared" si="110"/>
        <v>21.172591804988798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4.5733952710332919E-2</v>
      </c>
      <c r="AD276" s="231">
        <f>(INDEX(Models!$BJ276:$BT276,,AH276)*(1-AF276)+INDEX(Models!$BJ276:$BT276,,AH276+1)*AF276-ERP_i)*AE276*Ramure*Pc/MaxiM</f>
        <v>3.878003828843383E-6</v>
      </c>
      <c r="AE276" s="305">
        <f t="shared" si="112"/>
        <v>0.5</v>
      </c>
      <c r="AF276" s="177">
        <f t="shared" si="113"/>
        <v>0.48978674437205405</v>
      </c>
      <c r="AG276" s="811">
        <f t="shared" si="119"/>
        <v>-1</v>
      </c>
      <c r="AH276" s="176">
        <f t="shared" si="114"/>
        <v>5</v>
      </c>
      <c r="AI276" s="225">
        <f t="shared" si="115"/>
        <v>-0.51021325562794595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7">
        <v>32.354999999999997</v>
      </c>
      <c r="C277" s="390"/>
      <c r="D277" s="393">
        <f t="shared" si="98"/>
        <v>32.951458004267167</v>
      </c>
      <c r="E277" s="385">
        <f t="shared" si="96"/>
        <v>34.532748124579072</v>
      </c>
      <c r="F277" s="385">
        <f t="shared" si="99"/>
        <v>34.532850794388182</v>
      </c>
      <c r="G277" s="110">
        <f t="shared" si="97"/>
        <v>0.71700034435010962</v>
      </c>
      <c r="H277" s="414" t="b">
        <f>Wh_hp&gt;='2019'!Maxi_hp</f>
        <v>0</v>
      </c>
      <c r="I277" s="380">
        <f>IF(H277,Wh_hp,'2019'!Maxi_hp)</f>
        <v>48.16407719164706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1.8101111161452299E-2</v>
      </c>
      <c r="M277" s="845"/>
      <c r="N277" s="845"/>
      <c r="O277" s="48">
        <f>IF(t&lt;Tnet,'2019'!Resal+('2019'!Salim-'2019'!Resal)*(1-EXP(('2019'!Tnet-t)/('2019'!Tau_j))),Resal+(Salim-Resal)*(1-EXP((Tnet-t)/(Tau_j))))*Salcycl</f>
        <v>4.5791030433121022E-2</v>
      </c>
      <c r="P277" s="169">
        <f>(INDEX(Models!$BJ277:$BT277,,T277)*(1-R277)+INDEX(Models!$BJ277:$BT277,,T277+1)*R277-ERP_i)*Q277*Ramure*Pc/MaxiM</f>
        <v>4.990803167984624E-6</v>
      </c>
      <c r="Q277" s="305">
        <f t="shared" si="101"/>
        <v>0.5</v>
      </c>
      <c r="R277" s="177">
        <f t="shared" si="102"/>
        <v>0.49009484881711285</v>
      </c>
      <c r="S277" s="811">
        <f t="shared" si="103"/>
        <v>-1</v>
      </c>
      <c r="T277" s="176">
        <f t="shared" si="104"/>
        <v>5</v>
      </c>
      <c r="U277" s="251">
        <f t="shared" si="105"/>
        <v>-0.50990515118288715</v>
      </c>
      <c r="V277" s="383">
        <f t="shared" si="106"/>
        <v>45.125410290457928</v>
      </c>
      <c r="W277" s="402"/>
      <c r="X277" s="157">
        <f t="shared" si="107"/>
        <v>44093</v>
      </c>
      <c r="Y277" s="385">
        <f t="shared" si="108"/>
        <v>32.354999999999997</v>
      </c>
      <c r="Z277" s="385">
        <f t="shared" si="109"/>
        <v>32.951458004267167</v>
      </c>
      <c r="AA277" s="386">
        <f t="shared" si="110"/>
        <v>34.532748124579072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4.5791030433121022E-2</v>
      </c>
      <c r="AD277" s="231">
        <f>(INDEX(Models!$BJ277:$BT277,,AH277)*(1-AF277)+INDEX(Models!$BJ277:$BT277,,AH277+1)*AF277-ERP_i)*AE277*Ramure*Pc/MaxiM</f>
        <v>4.990803167984624E-6</v>
      </c>
      <c r="AE277" s="305">
        <f t="shared" si="112"/>
        <v>0.5</v>
      </c>
      <c r="AF277" s="177">
        <f t="shared" si="113"/>
        <v>0.49009484881711285</v>
      </c>
      <c r="AG277" s="811">
        <f t="shared" si="119"/>
        <v>-1</v>
      </c>
      <c r="AH277" s="176">
        <f t="shared" si="114"/>
        <v>5</v>
      </c>
      <c r="AI277" s="225">
        <f t="shared" si="115"/>
        <v>-0.50990515118288715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7">
        <v>30.72</v>
      </c>
      <c r="C278" s="390"/>
      <c r="D278" s="393">
        <f t="shared" si="98"/>
        <v>31.287002369374871</v>
      </c>
      <c r="E278" s="385">
        <f t="shared" si="96"/>
        <v>32.790360330065219</v>
      </c>
      <c r="F278" s="385">
        <f t="shared" si="99"/>
        <v>32.790476788296331</v>
      </c>
      <c r="G278" s="110">
        <f t="shared" si="97"/>
        <v>0.68544010012169443</v>
      </c>
      <c r="H278" s="414" t="b">
        <f>Wh_hp&gt;='2019'!Maxi_hp</f>
        <v>0</v>
      </c>
      <c r="I278" s="380">
        <f>IF(H278,Wh_hp,'2019'!Maxi_hp)</f>
        <v>34.911371761935094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1.8122617267094965E-2</v>
      </c>
      <c r="M278" s="845"/>
      <c r="N278" s="845"/>
      <c r="O278" s="48">
        <f>IF(t&lt;Tnet,'2019'!Resal+('2019'!Salim-'2019'!Resal)*(1-EXP(('2019'!Tnet-t)/('2019'!Tau_j))),Resal+(Salim-Resal)*(1-EXP((Tnet-t)/(Tau_j))))*Salcycl</f>
        <v>4.5847558415267893E-2</v>
      </c>
      <c r="P278" s="169">
        <f>(INDEX(Models!$BJ278:$BT278,,T278)*(1-R278)+INDEX(Models!$BJ278:$BT278,,T278+1)*R278-ERP_i)*Q278*Ramure*Pc/MaxiM</f>
        <v>6.4500244923978264E-6</v>
      </c>
      <c r="Q278" s="305">
        <f t="shared" si="101"/>
        <v>0.5</v>
      </c>
      <c r="R278" s="177">
        <f t="shared" si="102"/>
        <v>0.49039091038970051</v>
      </c>
      <c r="S278" s="811">
        <f t="shared" si="103"/>
        <v>-1</v>
      </c>
      <c r="T278" s="176">
        <f t="shared" si="104"/>
        <v>5</v>
      </c>
      <c r="U278" s="251">
        <f t="shared" si="105"/>
        <v>-0.50960908961029949</v>
      </c>
      <c r="V278" s="383">
        <f t="shared" si="106"/>
        <v>44.817790721946302</v>
      </c>
      <c r="W278" s="402"/>
      <c r="X278" s="157">
        <f t="shared" si="107"/>
        <v>44094</v>
      </c>
      <c r="Y278" s="385">
        <f t="shared" si="108"/>
        <v>30.72</v>
      </c>
      <c r="Z278" s="385">
        <f t="shared" si="109"/>
        <v>31.287002369374871</v>
      </c>
      <c r="AA278" s="386">
        <f t="shared" si="110"/>
        <v>32.790360330065219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4.5847558415267893E-2</v>
      </c>
      <c r="AD278" s="231">
        <f>(INDEX(Models!$BJ278:$BT278,,AH278)*(1-AF278)+INDEX(Models!$BJ278:$BT278,,AH278+1)*AF278-ERP_i)*AE278*Ramure*Pc/MaxiM</f>
        <v>6.4500244923978264E-6</v>
      </c>
      <c r="AE278" s="305">
        <f t="shared" si="112"/>
        <v>0.5</v>
      </c>
      <c r="AF278" s="177">
        <f t="shared" si="113"/>
        <v>0.49039091038970051</v>
      </c>
      <c r="AG278" s="811">
        <f t="shared" si="119"/>
        <v>-1</v>
      </c>
      <c r="AH278" s="176">
        <f t="shared" si="114"/>
        <v>5</v>
      </c>
      <c r="AI278" s="225">
        <f t="shared" si="115"/>
        <v>-0.50960908961029949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7">
        <v>27.236000000000001</v>
      </c>
      <c r="C279" s="390"/>
      <c r="D279" s="393">
        <f t="shared" si="98"/>
        <v>27.739305365764174</v>
      </c>
      <c r="E279" s="385">
        <f t="shared" si="96"/>
        <v>29.07389968122423</v>
      </c>
      <c r="F279" s="385">
        <f t="shared" si="99"/>
        <v>29.074006725540272</v>
      </c>
      <c r="G279" s="110">
        <f t="shared" si="97"/>
        <v>0.61196043881427775</v>
      </c>
      <c r="H279" s="414" t="b">
        <f>Wh_hp&gt;='2019'!Maxi_hp</f>
        <v>0</v>
      </c>
      <c r="I279" s="380">
        <f>IF(H279,Wh_hp,'2019'!Maxi_hp)</f>
        <v>43.945672735997164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1.8144122901698645E-2</v>
      </c>
      <c r="M279" s="845"/>
      <c r="N279" s="845"/>
      <c r="O279" s="48">
        <f>IF(t&lt;Tnet,'2019'!Resal+('2019'!Salim-'2019'!Resal)*(1-EXP(('2019'!Tnet-t)/('2019'!Tau_j))),Resal+(Salim-Resal)*(1-EXP((Tnet-t)/(Tau_j))))*Salcycl</f>
        <v>4.5903519310893412E-2</v>
      </c>
      <c r="P279" s="169">
        <f>(INDEX(Models!$BJ279:$BT279,,T279)*(1-R279)+INDEX(Models!$BJ279:$BT279,,T279+1)*R279-ERP_i)*Q279*Ramure*Pc/MaxiM</f>
        <v>8.2613941143793605E-6</v>
      </c>
      <c r="Q279" s="305">
        <f t="shared" si="101"/>
        <v>0.5</v>
      </c>
      <c r="R279" s="177">
        <f t="shared" si="102"/>
        <v>0.49067538598451066</v>
      </c>
      <c r="S279" s="811">
        <f t="shared" si="103"/>
        <v>-1</v>
      </c>
      <c r="T279" s="176">
        <f t="shared" si="104"/>
        <v>5</v>
      </c>
      <c r="U279" s="251">
        <f t="shared" si="105"/>
        <v>-0.50932461401548934</v>
      </c>
      <c r="V279" s="383">
        <f t="shared" si="106"/>
        <v>44.505941139182326</v>
      </c>
      <c r="W279" s="402"/>
      <c r="X279" s="157">
        <f t="shared" si="107"/>
        <v>44095</v>
      </c>
      <c r="Y279" s="385">
        <f t="shared" si="108"/>
        <v>27.236000000000001</v>
      </c>
      <c r="Z279" s="385">
        <f t="shared" si="109"/>
        <v>27.739305365764174</v>
      </c>
      <c r="AA279" s="386">
        <f t="shared" si="110"/>
        <v>29.07389968122423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4.5903519310893412E-2</v>
      </c>
      <c r="AD279" s="231">
        <f>(INDEX(Models!$BJ279:$BT279,,AH279)*(1-AF279)+INDEX(Models!$BJ279:$BT279,,AH279+1)*AF279-ERP_i)*AE279*Ramure*Pc/MaxiM</f>
        <v>8.2613941143793605E-6</v>
      </c>
      <c r="AE279" s="305">
        <f t="shared" si="112"/>
        <v>0.5</v>
      </c>
      <c r="AF279" s="177">
        <f t="shared" si="113"/>
        <v>0.49067538598451066</v>
      </c>
      <c r="AG279" s="811">
        <f t="shared" si="119"/>
        <v>-1</v>
      </c>
      <c r="AH279" s="176">
        <f t="shared" si="114"/>
        <v>5</v>
      </c>
      <c r="AI279" s="225">
        <f t="shared" si="115"/>
        <v>-0.50932461401548934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7">
        <v>23.952999999999999</v>
      </c>
      <c r="C280" s="390"/>
      <c r="D280" s="393">
        <f t="shared" si="98"/>
        <v>24.396171782823295</v>
      </c>
      <c r="E280" s="385">
        <f t="shared" si="96"/>
        <v>25.571405333277315</v>
      </c>
      <c r="F280" s="385">
        <f t="shared" si="99"/>
        <v>25.571497559569142</v>
      </c>
      <c r="G280" s="110">
        <f t="shared" si="97"/>
        <v>0.54203382574110859</v>
      </c>
      <c r="H280" s="414" t="b">
        <f>Wh_hp&gt;='2019'!Maxi_hp</f>
        <v>0</v>
      </c>
      <c r="I280" s="380">
        <f>IF(H280,Wh_hp,'2019'!Maxi_hp)</f>
        <v>44.303472000025792</v>
      </c>
      <c r="J280" s="85">
        <f>IF(H280,An,'2019'!An_max)</f>
        <v>2018</v>
      </c>
      <c r="K280" s="197">
        <f t="shared" si="100"/>
        <v>44096</v>
      </c>
      <c r="L280" s="147">
        <f>IF(t&lt;Tvie,1-EXP((T0-t)*PertePVj)+'2019'!Pspv,1-EXP((T0-t)*PertePVj)+Pspv)</f>
        <v>1.8165628065273776E-2</v>
      </c>
      <c r="M280" s="845"/>
      <c r="N280" s="845"/>
      <c r="O280" s="48">
        <f>IF(t&lt;Tnet,'2019'!Resal+('2019'!Salim-'2019'!Resal)*(1-EXP(('2019'!Tnet-t)/('2019'!Tau_j))),Resal+(Salim-Resal)*(1-EXP((Tnet-t)/(Tau_j))))*Salcycl</f>
        <v>4.5958895693723523E-2</v>
      </c>
      <c r="P280" s="169">
        <f>(INDEX(Models!$BJ280:$BT280,,T280)*(1-R280)+INDEX(Models!$BJ280:$BT280,,T280+1)*R280-ERP_i)*Q280*Ramure*Pc/MaxiM</f>
        <v>1.0430711218077236E-5</v>
      </c>
      <c r="Q280" s="305">
        <f t="shared" si="101"/>
        <v>0.5</v>
      </c>
      <c r="R280" s="177">
        <f t="shared" si="102"/>
        <v>0.49094871624007586</v>
      </c>
      <c r="S280" s="811">
        <f t="shared" si="103"/>
        <v>-1</v>
      </c>
      <c r="T280" s="176">
        <f t="shared" si="104"/>
        <v>5</v>
      </c>
      <c r="U280" s="251">
        <f t="shared" si="105"/>
        <v>-0.50905128375992414</v>
      </c>
      <c r="V280" s="383">
        <f t="shared" si="106"/>
        <v>44.190667452985913</v>
      </c>
      <c r="W280" s="402"/>
      <c r="X280" s="157">
        <f t="shared" si="107"/>
        <v>44096</v>
      </c>
      <c r="Y280" s="385">
        <f t="shared" si="108"/>
        <v>23.952999999999999</v>
      </c>
      <c r="Z280" s="385">
        <f t="shared" si="109"/>
        <v>24.396171782823295</v>
      </c>
      <c r="AA280" s="386">
        <f t="shared" si="110"/>
        <v>25.571405333277315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4.5958895693723523E-2</v>
      </c>
      <c r="AD280" s="231">
        <f>(INDEX(Models!$BJ280:$BT280,,AH280)*(1-AF280)+INDEX(Models!$BJ280:$BT280,,AH280+1)*AF280-ERP_i)*AE280*Ramure*Pc/MaxiM</f>
        <v>1.0430711218077236E-5</v>
      </c>
      <c r="AE280" s="305">
        <f t="shared" si="112"/>
        <v>0.5</v>
      </c>
      <c r="AF280" s="177">
        <f t="shared" si="113"/>
        <v>0.49094871624007586</v>
      </c>
      <c r="AG280" s="811">
        <f t="shared" si="119"/>
        <v>-1</v>
      </c>
      <c r="AH280" s="176">
        <f t="shared" si="114"/>
        <v>5</v>
      </c>
      <c r="AI280" s="225">
        <f t="shared" si="115"/>
        <v>-0.50905128375992414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7">
        <v>34.865000000000002</v>
      </c>
      <c r="C281" s="390"/>
      <c r="D281" s="393">
        <f t="shared" si="98"/>
        <v>35.51084036811708</v>
      </c>
      <c r="E281" s="385">
        <f t="shared" si="96"/>
        <v>37.223636499627659</v>
      </c>
      <c r="F281" s="385">
        <f t="shared" si="99"/>
        <v>37.223977522302476</v>
      </c>
      <c r="G281" s="110">
        <f t="shared" si="97"/>
        <v>0.79468114792162226</v>
      </c>
      <c r="H281" s="414" t="b">
        <f>Wh_hp&gt;='2019'!Maxi_hp</f>
        <v>0</v>
      </c>
      <c r="I281" s="380">
        <f>IF(H281,Wh_hp,'2019'!Maxi_hp)</f>
        <v>40.084162591234495</v>
      </c>
      <c r="J281" s="85">
        <f>IF(H281,An,'2019'!An_max)</f>
        <v>2018</v>
      </c>
      <c r="K281" s="197">
        <f t="shared" si="100"/>
        <v>44097</v>
      </c>
      <c r="L281" s="147">
        <f>IF(t&lt;Tvie,1-EXP((T0-t)*PertePVj)+'2019'!Pspv,1-EXP((T0-t)*PertePVj)+Pspv)</f>
        <v>1.8187132757830682E-2</v>
      </c>
      <c r="M281" s="845"/>
      <c r="N281" s="845"/>
      <c r="O281" s="48">
        <f>IF(t&lt;Tnet,'2019'!Resal+('2019'!Salim-'2019'!Resal)*(1-EXP(('2019'!Tnet-t)/('2019'!Tau_j))),Resal+(Salim-Resal)*(1-EXP((Tnet-t)/(Tau_j))))*Salcycl</f>
        <v>4.6013670145519298E-2</v>
      </c>
      <c r="P281" s="169">
        <f>(INDEX(Models!$BJ281:$BT281,,T281)*(1-R281)+INDEX(Models!$BJ281:$BT281,,T281+1)*R281-ERP_i)*Q281*Ramure*Pc/MaxiM</f>
        <v>1.296374579692184E-5</v>
      </c>
      <c r="Q281" s="305">
        <f t="shared" si="101"/>
        <v>0.5</v>
      </c>
      <c r="R281" s="177">
        <f t="shared" si="102"/>
        <v>0.49121132603221196</v>
      </c>
      <c r="S281" s="811">
        <f t="shared" si="103"/>
        <v>-1</v>
      </c>
      <c r="T281" s="176">
        <f t="shared" si="104"/>
        <v>5</v>
      </c>
      <c r="U281" s="251">
        <f t="shared" si="105"/>
        <v>-0.50878867396778804</v>
      </c>
      <c r="V281" s="383">
        <f t="shared" si="106"/>
        <v>43.872775288779145</v>
      </c>
      <c r="W281" s="402"/>
      <c r="X281" s="157">
        <f t="shared" si="107"/>
        <v>44097</v>
      </c>
      <c r="Y281" s="385">
        <f t="shared" si="108"/>
        <v>34.865000000000002</v>
      </c>
      <c r="Z281" s="385">
        <f t="shared" si="109"/>
        <v>35.51084036811708</v>
      </c>
      <c r="AA281" s="386">
        <f t="shared" si="110"/>
        <v>37.223636499627659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4.6013670145519298E-2</v>
      </c>
      <c r="AD281" s="231">
        <f>(INDEX(Models!$BJ281:$BT281,,AH281)*(1-AF281)+INDEX(Models!$BJ281:$BT281,,AH281+1)*AF281-ERP_i)*AE281*Ramure*Pc/MaxiM</f>
        <v>1.296374579692184E-5</v>
      </c>
      <c r="AE281" s="305">
        <f t="shared" si="112"/>
        <v>0.5</v>
      </c>
      <c r="AF281" s="177">
        <f t="shared" si="113"/>
        <v>0.49121132603221196</v>
      </c>
      <c r="AG281" s="811">
        <f t="shared" si="119"/>
        <v>-1</v>
      </c>
      <c r="AH281" s="176">
        <f t="shared" si="114"/>
        <v>5</v>
      </c>
      <c r="AI281" s="225">
        <f t="shared" si="115"/>
        <v>-0.50878867396778804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7">
        <v>21.306000000000001</v>
      </c>
      <c r="C282" s="390"/>
      <c r="D282" s="393">
        <f t="shared" si="98"/>
        <v>21.7011483320133</v>
      </c>
      <c r="E282" s="385">
        <f t="shared" si="96"/>
        <v>22.749152307424158</v>
      </c>
      <c r="F282" s="385">
        <f t="shared" si="99"/>
        <v>22.749252166298948</v>
      </c>
      <c r="G282" s="110">
        <f t="shared" si="97"/>
        <v>0.48919066975664049</v>
      </c>
      <c r="H282" s="414" t="b">
        <f>Wh_hp&gt;='2019'!Maxi_hp</f>
        <v>0</v>
      </c>
      <c r="I282" s="380">
        <f>IF(H282,Wh_hp,'2019'!Maxi_hp)</f>
        <v>46.514117854235721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1.8208636979379578E-2</v>
      </c>
      <c r="M282" s="845"/>
      <c r="N282" s="845"/>
      <c r="O282" s="48">
        <f>IF(t&lt;Tnet,'2019'!Resal+('2019'!Salim-'2019'!Resal)*(1-EXP(('2019'!Tnet-t)/('2019'!Tau_j))),Resal+(Salim-Resal)*(1-EXP((Tnet-t)/(Tau_j))))*Salcycl</f>
        <v>4.6067825352281037E-2</v>
      </c>
      <c r="P282" s="169">
        <f>(INDEX(Models!$BJ282:$BT282,,T282)*(1-R282)+INDEX(Models!$BJ282:$BT282,,T282+1)*R282-ERP_i)*Q282*Ramure*Pc/MaxiM</f>
        <v>1.6240693131756181E-5</v>
      </c>
      <c r="Q282" s="305">
        <f t="shared" si="101"/>
        <v>0.5</v>
      </c>
      <c r="R282" s="177">
        <f t="shared" si="102"/>
        <v>0.49146362495943019</v>
      </c>
      <c r="S282" s="811">
        <f t="shared" si="103"/>
        <v>-1</v>
      </c>
      <c r="T282" s="176">
        <f t="shared" si="104"/>
        <v>5</v>
      </c>
      <c r="U282" s="251">
        <f t="shared" si="105"/>
        <v>-0.50853637504056981</v>
      </c>
      <c r="V282" s="383">
        <f t="shared" si="106"/>
        <v>43.553053677284417</v>
      </c>
      <c r="W282" s="402"/>
      <c r="X282" s="157">
        <f t="shared" si="107"/>
        <v>44098</v>
      </c>
      <c r="Y282" s="385">
        <f t="shared" si="108"/>
        <v>21.306000000000001</v>
      </c>
      <c r="Z282" s="385">
        <f t="shared" si="109"/>
        <v>21.7011483320133</v>
      </c>
      <c r="AA282" s="386">
        <f t="shared" si="110"/>
        <v>22.749152307424158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4.6067825352281037E-2</v>
      </c>
      <c r="AD282" s="231">
        <f>(INDEX(Models!$BJ282:$BT282,,AH282)*(1-AF282)+INDEX(Models!$BJ282:$BT282,,AH282+1)*AF282-ERP_i)*AE282*Ramure*Pc/MaxiM</f>
        <v>1.6240693131756181E-5</v>
      </c>
      <c r="AE282" s="305">
        <f t="shared" si="112"/>
        <v>0.5</v>
      </c>
      <c r="AF282" s="177">
        <f t="shared" si="113"/>
        <v>0.49146362495943019</v>
      </c>
      <c r="AG282" s="811">
        <f t="shared" si="119"/>
        <v>-1</v>
      </c>
      <c r="AH282" s="176">
        <f t="shared" si="114"/>
        <v>5</v>
      </c>
      <c r="AI282" s="225">
        <f t="shared" si="115"/>
        <v>-0.50853637504056981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7">
        <v>20.68</v>
      </c>
      <c r="C283" s="390"/>
      <c r="D283" s="393">
        <f t="shared" si="98"/>
        <v>21.063999678473795</v>
      </c>
      <c r="E283" s="385">
        <f t="shared" si="96"/>
        <v>22.082473017471937</v>
      </c>
      <c r="F283" s="385">
        <f t="shared" si="99"/>
        <v>22.082586941197373</v>
      </c>
      <c r="G283" s="110">
        <f t="shared" si="97"/>
        <v>0.47833873560939533</v>
      </c>
      <c r="H283" s="414" t="b">
        <f>Wh_hp&gt;='2019'!Maxi_hp</f>
        <v>0</v>
      </c>
      <c r="I283" s="380">
        <f>IF(H283,Wh_hp,'2019'!Maxi_hp)</f>
        <v>46.475483095151723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1.8230140729930788E-2</v>
      </c>
      <c r="M283" s="845"/>
      <c r="N283" s="845"/>
      <c r="O283" s="48">
        <f>IF(t&lt;Tnet,'2019'!Resal+('2019'!Salim-'2019'!Resal)*(1-EXP(('2019'!Tnet-t)/('2019'!Tau_j))),Resal+(Salim-Resal)*(1-EXP((Tnet-t)/(Tau_j))))*Salcycl</f>
        <v>4.6121344207793798E-2</v>
      </c>
      <c r="P283" s="169">
        <f>(INDEX(Models!$BJ283:$BT283,,T283)*(1-R283)+INDEX(Models!$BJ283:$BT283,,T283+1)*R283-ERP_i)*Q283*Ramure*Pc/MaxiM</f>
        <v>2.0248786847743638E-5</v>
      </c>
      <c r="Q283" s="305">
        <f t="shared" si="101"/>
        <v>0.5</v>
      </c>
      <c r="R283" s="177">
        <f t="shared" si="102"/>
        <v>0.49170600781980811</v>
      </c>
      <c r="S283" s="811">
        <f t="shared" si="103"/>
        <v>-1</v>
      </c>
      <c r="T283" s="176">
        <f t="shared" si="104"/>
        <v>5</v>
      </c>
      <c r="U283" s="251">
        <f t="shared" si="105"/>
        <v>-0.50829399218019189</v>
      </c>
      <c r="V283" s="383">
        <f t="shared" si="106"/>
        <v>43.232308825948529</v>
      </c>
      <c r="W283" s="402"/>
      <c r="X283" s="157">
        <f t="shared" si="107"/>
        <v>44099</v>
      </c>
      <c r="Y283" s="385">
        <f t="shared" si="108"/>
        <v>20.68</v>
      </c>
      <c r="Z283" s="385">
        <f t="shared" si="109"/>
        <v>21.063999678473795</v>
      </c>
      <c r="AA283" s="386">
        <f t="shared" si="110"/>
        <v>22.082473017471937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4.6121344207793798E-2</v>
      </c>
      <c r="AD283" s="231">
        <f>(INDEX(Models!$BJ283:$BT283,,AH283)*(1-AF283)+INDEX(Models!$BJ283:$BT283,,AH283+1)*AF283-ERP_i)*AE283*Ramure*Pc/MaxiM</f>
        <v>2.0248786847743638E-5</v>
      </c>
      <c r="AE283" s="305">
        <f t="shared" si="112"/>
        <v>0.5</v>
      </c>
      <c r="AF283" s="177">
        <f t="shared" si="113"/>
        <v>0.49170600781980811</v>
      </c>
      <c r="AG283" s="811">
        <f t="shared" si="119"/>
        <v>-1</v>
      </c>
      <c r="AH283" s="176">
        <f t="shared" si="114"/>
        <v>5</v>
      </c>
      <c r="AI283" s="225">
        <f t="shared" si="115"/>
        <v>-0.50829399218019189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7">
        <v>14.837</v>
      </c>
      <c r="C284" s="390"/>
      <c r="D284" s="393">
        <f t="shared" si="98"/>
        <v>15.112834067372242</v>
      </c>
      <c r="E284" s="385">
        <f t="shared" si="96"/>
        <v>15.8444384966439</v>
      </c>
      <c r="F284" s="385">
        <f t="shared" si="99"/>
        <v>15.844464389207065</v>
      </c>
      <c r="G284" s="110">
        <f t="shared" si="97"/>
        <v>0.34575129550438444</v>
      </c>
      <c r="H284" s="414" t="b">
        <f>Wh_hp&gt;='2019'!Maxi_hp</f>
        <v>0</v>
      </c>
      <c r="I284" s="380">
        <f>IF(H284,Wh_hp,'2019'!Maxi_hp)</f>
        <v>45.12039737403196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1.825164400949475E-2</v>
      </c>
      <c r="M284" s="845"/>
      <c r="N284" s="845"/>
      <c r="O284" s="48">
        <f>IF(t&lt;Tnet,'2019'!Resal+('2019'!Salim-'2019'!Resal)*(1-EXP(('2019'!Tnet-t)/('2019'!Tau_j))),Resal+(Salim-Resal)*(1-EXP((Tnet-t)/(Tau_j))))*Salcycl</f>
        <v>4.6174209923982072E-2</v>
      </c>
      <c r="P284" s="169">
        <f>(INDEX(Models!$BJ284:$BT284,,T284)*(1-R284)+INDEX(Models!$BJ284:$BT284,,T284+1)*R284-ERP_i)*Q284*Ramure*Pc/MaxiM</f>
        <v>2.4998586170374612E-5</v>
      </c>
      <c r="Q284" s="305">
        <f t="shared" si="101"/>
        <v>0.5</v>
      </c>
      <c r="R284" s="177">
        <f t="shared" si="102"/>
        <v>0.49193885507887747</v>
      </c>
      <c r="S284" s="811">
        <f t="shared" si="103"/>
        <v>-1</v>
      </c>
      <c r="T284" s="176">
        <f t="shared" si="104"/>
        <v>5</v>
      </c>
      <c r="U284" s="251">
        <f t="shared" si="105"/>
        <v>-0.50806114492112253</v>
      </c>
      <c r="V284" s="383">
        <f t="shared" si="106"/>
        <v>42.911345624781596</v>
      </c>
      <c r="W284" s="402"/>
      <c r="X284" s="157">
        <f t="shared" si="107"/>
        <v>44100</v>
      </c>
      <c r="Y284" s="385">
        <f t="shared" si="108"/>
        <v>14.837</v>
      </c>
      <c r="Z284" s="385">
        <f t="shared" si="109"/>
        <v>15.112834067372242</v>
      </c>
      <c r="AA284" s="386">
        <f t="shared" si="110"/>
        <v>15.8444384966439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4.6174209923982072E-2</v>
      </c>
      <c r="AD284" s="231">
        <f>(INDEX(Models!$BJ284:$BT284,,AH284)*(1-AF284)+INDEX(Models!$BJ284:$BT284,,AH284+1)*AF284-ERP_i)*AE284*Ramure*Pc/MaxiM</f>
        <v>2.4998586170374612E-5</v>
      </c>
      <c r="AE284" s="305">
        <f t="shared" si="112"/>
        <v>0.5</v>
      </c>
      <c r="AF284" s="177">
        <f t="shared" si="113"/>
        <v>0.49193885507887747</v>
      </c>
      <c r="AG284" s="811">
        <f t="shared" si="119"/>
        <v>-1</v>
      </c>
      <c r="AH284" s="176">
        <f t="shared" si="114"/>
        <v>5</v>
      </c>
      <c r="AI284" s="225">
        <f t="shared" si="115"/>
        <v>-0.50806114492112253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7">
        <v>12.242000000000001</v>
      </c>
      <c r="C285" s="390"/>
      <c r="D285" s="393">
        <f t="shared" si="98"/>
        <v>12.46986364926447</v>
      </c>
      <c r="E285" s="385">
        <f t="shared" si="96"/>
        <v>13.074238718326489</v>
      </c>
      <c r="F285" s="385">
        <f t="shared" si="99"/>
        <v>13.074238718326489</v>
      </c>
      <c r="G285" s="110">
        <f t="shared" si="97"/>
        <v>0.28742306158006653</v>
      </c>
      <c r="H285" s="414" t="b">
        <f>Wh_hp&gt;='2019'!Maxi_hp</f>
        <v>0</v>
      </c>
      <c r="I285" s="380">
        <f>IF(H285,Wh_hp,'2019'!Maxi_hp)</f>
        <v>42.169880552957594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1.8273146818081676E-2</v>
      </c>
      <c r="M285" s="845"/>
      <c r="N285" s="845"/>
      <c r="O285" s="48">
        <f>IF(t&lt;Tnet,'2019'!Resal+('2019'!Salim-'2019'!Resal)*(1-EXP(('2019'!Tnet-t)/('2019'!Tau_j))),Resal+(Salim-Resal)*(1-EXP((Tnet-t)/(Tau_j))))*Salcycl</f>
        <v>4.6226406147445713E-2</v>
      </c>
      <c r="P285" s="169">
        <f>(INDEX(Models!$BJ285:$BT285,,T285)*(1-R285)+INDEX(Models!$BJ285:$BT285,,T285+1)*R285-ERP_i)*Q285*Ramure*Pc/MaxiM</f>
        <v>3.0500161598708003E-5</v>
      </c>
      <c r="Q285" s="305">
        <f t="shared" si="101"/>
        <v>0.5</v>
      </c>
      <c r="R285" s="177">
        <f t="shared" si="102"/>
        <v>0.49216253332816406</v>
      </c>
      <c r="S285" s="811">
        <f t="shared" si="103"/>
        <v>-1</v>
      </c>
      <c r="T285" s="176">
        <f t="shared" si="104"/>
        <v>5</v>
      </c>
      <c r="U285" s="251">
        <f t="shared" si="105"/>
        <v>-0.50783746667183594</v>
      </c>
      <c r="V285" s="383">
        <f t="shared" si="106"/>
        <v>42.590968691674028</v>
      </c>
      <c r="W285" s="402"/>
      <c r="X285" s="157">
        <f t="shared" si="107"/>
        <v>44101</v>
      </c>
      <c r="Y285" s="385">
        <f t="shared" si="108"/>
        <v>12.242000000000001</v>
      </c>
      <c r="Z285" s="385">
        <f t="shared" si="109"/>
        <v>12.46986364926447</v>
      </c>
      <c r="AA285" s="386">
        <f t="shared" si="110"/>
        <v>13.074238718326489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4.6226406147445713E-2</v>
      </c>
      <c r="AD285" s="231">
        <f>(INDEX(Models!$BJ285:$BT285,,AH285)*(1-AF285)+INDEX(Models!$BJ285:$BT285,,AH285+1)*AF285-ERP_i)*AE285*Ramure*Pc/MaxiM</f>
        <v>3.0500161598708003E-5</v>
      </c>
      <c r="AE285" s="305">
        <f t="shared" si="112"/>
        <v>0.5</v>
      </c>
      <c r="AF285" s="177">
        <f t="shared" si="113"/>
        <v>0.49216253332816406</v>
      </c>
      <c r="AG285" s="811">
        <f t="shared" si="119"/>
        <v>-1</v>
      </c>
      <c r="AH285" s="176">
        <f t="shared" si="114"/>
        <v>5</v>
      </c>
      <c r="AI285" s="225">
        <f t="shared" si="115"/>
        <v>-0.50783746667183594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7">
        <v>29.094000000000001</v>
      </c>
      <c r="C286" s="390"/>
      <c r="D286" s="393">
        <f t="shared" si="98"/>
        <v>29.636183580927035</v>
      </c>
      <c r="E286" s="385">
        <f t="shared" si="96"/>
        <v>31.074234425017778</v>
      </c>
      <c r="F286" s="385">
        <f t="shared" si="99"/>
        <v>31.074868062366047</v>
      </c>
      <c r="G286" s="110">
        <f t="shared" si="97"/>
        <v>0.6882460206884462</v>
      </c>
      <c r="H286" s="414" t="b">
        <f>Wh_hp&gt;='2019'!Maxi_hp</f>
        <v>0</v>
      </c>
      <c r="I286" s="380">
        <f>IF(H286,Wh_hp,'2019'!Maxi_hp)</f>
        <v>44.457549596928516</v>
      </c>
      <c r="J286" s="85">
        <f>IF(H286,An,'2019'!An_max)</f>
        <v>2019</v>
      </c>
      <c r="K286" s="197">
        <f t="shared" si="100"/>
        <v>44102</v>
      </c>
      <c r="L286" s="147">
        <f>IF(t&lt;Tvie,1-EXP((T0-t)*PertePVj)+'2019'!Pspv,1-EXP((T0-t)*PertePVj)+Pspv)</f>
        <v>1.8294649155701892E-2</v>
      </c>
      <c r="M286" s="845"/>
      <c r="N286" s="845"/>
      <c r="O286" s="48">
        <f>IF(t&lt;Tnet,'2019'!Resal+('2019'!Salim-'2019'!Resal)*(1-EXP(('2019'!Tnet-t)/('2019'!Tau_j))),Resal+(Salim-Resal)*(1-EXP((Tnet-t)/(Tau_j))))*Salcycl</f>
        <v>4.6277917081457454E-2</v>
      </c>
      <c r="P286" s="169">
        <f>(INDEX(Models!$BJ286:$BT286,,T286)*(1-R286)+INDEX(Models!$BJ286:$BT286,,T286+1)*R286-ERP_i)*Q286*Ramure*Pc/MaxiM</f>
        <v>3.6762911301503292E-5</v>
      </c>
      <c r="Q286" s="305">
        <f t="shared" si="101"/>
        <v>0.5</v>
      </c>
      <c r="R286" s="177">
        <f t="shared" si="102"/>
        <v>0.49237739573407424</v>
      </c>
      <c r="S286" s="811">
        <f t="shared" si="103"/>
        <v>-1</v>
      </c>
      <c r="T286" s="176">
        <f t="shared" si="104"/>
        <v>5</v>
      </c>
      <c r="U286" s="251">
        <f t="shared" si="105"/>
        <v>-0.50762260426592576</v>
      </c>
      <c r="V286" s="383">
        <f t="shared" si="106"/>
        <v>42.271982375091625</v>
      </c>
      <c r="W286" s="402"/>
      <c r="X286" s="157">
        <f t="shared" si="107"/>
        <v>44102</v>
      </c>
      <c r="Y286" s="385">
        <f t="shared" si="108"/>
        <v>29.094000000000001</v>
      </c>
      <c r="Z286" s="385">
        <f t="shared" si="109"/>
        <v>29.636183580927035</v>
      </c>
      <c r="AA286" s="386">
        <f t="shared" si="110"/>
        <v>31.074234425017778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4.6277917081457454E-2</v>
      </c>
      <c r="AD286" s="231">
        <f>(INDEX(Models!$BJ286:$BT286,,AH286)*(1-AF286)+INDEX(Models!$BJ286:$BT286,,AH286+1)*AF286-ERP_i)*AE286*Ramure*Pc/MaxiM</f>
        <v>3.6762911301503292E-5</v>
      </c>
      <c r="AE286" s="305">
        <f t="shared" si="112"/>
        <v>0.5</v>
      </c>
      <c r="AF286" s="177">
        <f t="shared" si="113"/>
        <v>0.49237739573407424</v>
      </c>
      <c r="AG286" s="811">
        <f t="shared" si="119"/>
        <v>-1</v>
      </c>
      <c r="AH286" s="176">
        <f t="shared" si="114"/>
        <v>5</v>
      </c>
      <c r="AI286" s="225">
        <f t="shared" si="115"/>
        <v>-0.50762260426592576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7">
        <v>33.761000000000003</v>
      </c>
      <c r="C287" s="390"/>
      <c r="D287" s="393">
        <f t="shared" si="98"/>
        <v>34.390909084589801</v>
      </c>
      <c r="E287" s="385">
        <f t="shared" si="96"/>
        <v>36.061596988757891</v>
      </c>
      <c r="F287" s="385">
        <f t="shared" si="99"/>
        <v>36.062735703895534</v>
      </c>
      <c r="G287" s="110">
        <f t="shared" si="97"/>
        <v>0.80468201523934657</v>
      </c>
      <c r="H287" s="414" t="b">
        <f>Wh_hp&gt;='2019'!Maxi_hp</f>
        <v>0</v>
      </c>
      <c r="I287" s="380">
        <f>IF(H287,Wh_hp,'2019'!Maxi_hp)</f>
        <v>41.406216750872005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1.8316151022365723E-2</v>
      </c>
      <c r="M287" s="845"/>
      <c r="N287" s="845"/>
      <c r="O287" s="48">
        <f>IF(t&lt;Tnet,'2019'!Resal+('2019'!Salim-'2019'!Resal)*(1-EXP(('2019'!Tnet-t)/('2019'!Tau_j))),Resal+(Salim-Resal)*(1-EXP((Tnet-t)/(Tau_j))))*Salcycl</f>
        <v>4.632872761261575E-2</v>
      </c>
      <c r="P287" s="169">
        <f>(INDEX(Models!$BJ287:$BT287,,T287)*(1-R287)+INDEX(Models!$BJ287:$BT287,,T287+1)*R287-ERP_i)*Q287*Ramure*Pc/MaxiM</f>
        <v>4.3795367478701938E-5</v>
      </c>
      <c r="Q287" s="305">
        <f t="shared" si="101"/>
        <v>0.5</v>
      </c>
      <c r="R287" s="177">
        <f t="shared" si="102"/>
        <v>0.49258378247688328</v>
      </c>
      <c r="S287" s="811">
        <f t="shared" si="103"/>
        <v>-1</v>
      </c>
      <c r="T287" s="176">
        <f t="shared" si="104"/>
        <v>5</v>
      </c>
      <c r="U287" s="251">
        <f t="shared" si="105"/>
        <v>-0.50741621752311672</v>
      </c>
      <c r="V287" s="383">
        <f t="shared" si="106"/>
        <v>41.955190755911502</v>
      </c>
      <c r="W287" s="402"/>
      <c r="X287" s="157">
        <f t="shared" si="107"/>
        <v>44103</v>
      </c>
      <c r="Y287" s="385">
        <f t="shared" si="108"/>
        <v>33.761000000000003</v>
      </c>
      <c r="Z287" s="385">
        <f t="shared" si="109"/>
        <v>34.390909084589801</v>
      </c>
      <c r="AA287" s="386">
        <f t="shared" si="110"/>
        <v>36.061596988757891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4.632872761261575E-2</v>
      </c>
      <c r="AD287" s="231">
        <f>(INDEX(Models!$BJ287:$BT287,,AH287)*(1-AF287)+INDEX(Models!$BJ287:$BT287,,AH287+1)*AF287-ERP_i)*AE287*Ramure*Pc/MaxiM</f>
        <v>4.3795367478701938E-5</v>
      </c>
      <c r="AE287" s="305">
        <f t="shared" si="112"/>
        <v>0.5</v>
      </c>
      <c r="AF287" s="177">
        <f t="shared" si="113"/>
        <v>0.49258378247688328</v>
      </c>
      <c r="AG287" s="811">
        <f t="shared" si="119"/>
        <v>-1</v>
      </c>
      <c r="AH287" s="176">
        <f t="shared" si="114"/>
        <v>5</v>
      </c>
      <c r="AI287" s="225">
        <f t="shared" si="115"/>
        <v>-0.50741621752311672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7">
        <v>40.747999999999998</v>
      </c>
      <c r="C288" s="390"/>
      <c r="D288" s="393">
        <f t="shared" si="98"/>
        <v>41.509180932092043</v>
      </c>
      <c r="E288" s="385">
        <f t="shared" si="96"/>
        <v>43.527956333649513</v>
      </c>
      <c r="F288" s="385">
        <f t="shared" si="99"/>
        <v>43.530133856028712</v>
      </c>
      <c r="G288" s="110">
        <f t="shared" si="97"/>
        <v>0.97854389734941183</v>
      </c>
      <c r="H288" s="414" t="b">
        <f>Wh_hp&gt;='2019'!Maxi_hp</f>
        <v>1</v>
      </c>
      <c r="I288" s="380">
        <f>IF(H288,Wh_hp,'2019'!Maxi_hp)</f>
        <v>43.530133856028712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1.8337652418083605E-2</v>
      </c>
      <c r="M288" s="845"/>
      <c r="N288" s="845"/>
      <c r="O288" s="48">
        <f>IF(t&lt;Tnet,'2019'!Resal+('2019'!Salim-'2019'!Resal)*(1-EXP(('2019'!Tnet-t)/('2019'!Tau_j))),Resal+(Salim-Resal)*(1-EXP((Tnet-t)/(Tau_j))))*Salcycl</f>
        <v>4.6378823441266037E-2</v>
      </c>
      <c r="P288" s="169">
        <f>(INDEX(Models!$BJ288:$BT288,,T288)*(1-R288)+INDEX(Models!$BJ288:$BT288,,T288+1)*R288-ERP_i)*Q288*Ramure*Pc/MaxiM</f>
        <v>5.1604993172530222E-5</v>
      </c>
      <c r="Q288" s="305">
        <f t="shared" si="101"/>
        <v>0.5</v>
      </c>
      <c r="R288" s="177">
        <f t="shared" si="102"/>
        <v>0.49278202117963155</v>
      </c>
      <c r="S288" s="811">
        <f t="shared" si="103"/>
        <v>-1</v>
      </c>
      <c r="T288" s="176">
        <f t="shared" si="104"/>
        <v>5</v>
      </c>
      <c r="U288" s="251">
        <f t="shared" si="105"/>
        <v>-0.50721797882036845</v>
      </c>
      <c r="V288" s="383">
        <f t="shared" si="106"/>
        <v>41.64139764977255</v>
      </c>
      <c r="W288" s="402"/>
      <c r="X288" s="157">
        <f t="shared" si="107"/>
        <v>44104</v>
      </c>
      <c r="Y288" s="385">
        <f t="shared" si="108"/>
        <v>40.747999999999998</v>
      </c>
      <c r="Z288" s="385">
        <f t="shared" si="109"/>
        <v>41.509180932092043</v>
      </c>
      <c r="AA288" s="386">
        <f t="shared" si="110"/>
        <v>43.527956333649513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4.6378823441266037E-2</v>
      </c>
      <c r="AD288" s="231">
        <f>(INDEX(Models!$BJ288:$BT288,,AH288)*(1-AF288)+INDEX(Models!$BJ288:$BT288,,AH288+1)*AF288-ERP_i)*AE288*Ramure*Pc/MaxiM</f>
        <v>5.1604993172530222E-5</v>
      </c>
      <c r="AE288" s="305">
        <f t="shared" si="112"/>
        <v>0.5</v>
      </c>
      <c r="AF288" s="177">
        <f t="shared" si="113"/>
        <v>0.49278202117963155</v>
      </c>
      <c r="AG288" s="811">
        <f t="shared" si="119"/>
        <v>-1</v>
      </c>
      <c r="AH288" s="176">
        <f t="shared" si="114"/>
        <v>5</v>
      </c>
      <c r="AI288" s="225">
        <f t="shared" si="115"/>
        <v>-0.50721797882036845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7">
        <v>8.1020000000000003</v>
      </c>
      <c r="C289" s="390"/>
      <c r="D289" s="393">
        <f t="shared" si="98"/>
        <v>8.2535277821725064</v>
      </c>
      <c r="E289" s="385">
        <f t="shared" si="96"/>
        <v>8.6553814889792697</v>
      </c>
      <c r="F289" s="385">
        <f t="shared" si="99"/>
        <v>8.6553814889792697</v>
      </c>
      <c r="G289" s="110">
        <f t="shared" si="97"/>
        <v>0.19602299831552675</v>
      </c>
      <c r="H289" s="414" t="b">
        <f>Wh_hp&gt;='2019'!Maxi_hp</f>
        <v>0</v>
      </c>
      <c r="I289" s="380">
        <f>IF(H289,Wh_hp,'2019'!Maxi_hp)</f>
        <v>44.550821163435508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1.8359153342865642E-2</v>
      </c>
      <c r="M289" s="845"/>
      <c r="N289" s="845"/>
      <c r="O289" s="48">
        <f>IF(t&lt;Tnet,'2019'!Resal+('2019'!Salim-'2019'!Resal)*(1-EXP(('2019'!Tnet-t)/('2019'!Tau_j))),Resal+(Salim-Resal)*(1-EXP((Tnet-t)/(Tau_j))))*Salcycl</f>
        <v>4.6428191214729957E-2</v>
      </c>
      <c r="P289" s="169">
        <f>(INDEX(Models!$BJ289:$BT289,,T289)*(1-R289)+INDEX(Models!$BJ289:$BT289,,T289+1)*R289-ERP_i)*Q289*Ramure*Pc/MaxiM</f>
        <v>6.0200897668412401E-5</v>
      </c>
      <c r="Q289" s="305">
        <f t="shared" si="101"/>
        <v>0.5</v>
      </c>
      <c r="R289" s="177">
        <f t="shared" si="102"/>
        <v>0.49297242732678792</v>
      </c>
      <c r="S289" s="811">
        <f t="shared" si="103"/>
        <v>-1</v>
      </c>
      <c r="T289" s="176">
        <f t="shared" si="104"/>
        <v>5</v>
      </c>
      <c r="U289" s="251">
        <f t="shared" si="105"/>
        <v>-0.50702757267321208</v>
      </c>
      <c r="V289" s="383">
        <f t="shared" si="106"/>
        <v>41.329396662357745</v>
      </c>
      <c r="W289" s="402"/>
      <c r="X289" s="157">
        <f t="shared" si="107"/>
        <v>44105</v>
      </c>
      <c r="Y289" s="385">
        <f t="shared" si="108"/>
        <v>8.1020000000000003</v>
      </c>
      <c r="Z289" s="385">
        <f t="shared" si="109"/>
        <v>8.2535277821725064</v>
      </c>
      <c r="AA289" s="386">
        <f t="shared" si="110"/>
        <v>8.6553814889792697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4.6428191214729957E-2</v>
      </c>
      <c r="AD289" s="231">
        <f>(INDEX(Models!$BJ289:$BT289,,AH289)*(1-AF289)+INDEX(Models!$BJ289:$BT289,,AH289+1)*AF289-ERP_i)*AE289*Ramure*Pc/MaxiM</f>
        <v>6.0200897668412401E-5</v>
      </c>
      <c r="AE289" s="305">
        <f t="shared" si="112"/>
        <v>0.5</v>
      </c>
      <c r="AF289" s="177">
        <f t="shared" si="113"/>
        <v>0.49297242732678792</v>
      </c>
      <c r="AG289" s="811">
        <f t="shared" si="119"/>
        <v>-1</v>
      </c>
      <c r="AH289" s="176">
        <f t="shared" si="114"/>
        <v>5</v>
      </c>
      <c r="AI289" s="225">
        <f t="shared" si="115"/>
        <v>-0.50702757267321208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7">
        <v>5.6589999999999998</v>
      </c>
      <c r="C290" s="390"/>
      <c r="D290" s="393">
        <f t="shared" si="98"/>
        <v>5.7649638038288122</v>
      </c>
      <c r="E290" s="385">
        <f t="shared" si="96"/>
        <v>6.045960828913703</v>
      </c>
      <c r="F290" s="385">
        <f t="shared" si="99"/>
        <v>6.045960828913703</v>
      </c>
      <c r="G290" s="110">
        <f t="shared" si="97"/>
        <v>0.13795608338830109</v>
      </c>
      <c r="H290" s="414" t="b">
        <f>Wh_hp&gt;='2019'!Maxi_hp</f>
        <v>0</v>
      </c>
      <c r="I290" s="380">
        <f>IF(H290,Wh_hp,'2019'!Maxi_hp)</f>
        <v>42.516161138689995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1.8380653796722268E-2</v>
      </c>
      <c r="M290" s="845"/>
      <c r="N290" s="845"/>
      <c r="O290" s="48">
        <f>IF(t&lt;Tnet,'2019'!Resal+('2019'!Salim-'2019'!Resal)*(1-EXP(('2019'!Tnet-t)/('2019'!Tau_j))),Resal+(Salim-Resal)*(1-EXP((Tnet-t)/(Tau_j))))*Salcycl</f>
        <v>4.647681866231642E-2</v>
      </c>
      <c r="P290" s="169">
        <f>(INDEX(Models!$BJ290:$BT290,,T290)*(1-R290)+INDEX(Models!$BJ290:$BT290,,T290+1)*R290-ERP_i)*Q290*Ramure*Pc/MaxiM</f>
        <v>6.917766190172762E-5</v>
      </c>
      <c r="Q290" s="305">
        <f t="shared" si="101"/>
        <v>0.5</v>
      </c>
      <c r="R290" s="177">
        <f t="shared" si="102"/>
        <v>0.49315530467257607</v>
      </c>
      <c r="S290" s="811">
        <f t="shared" si="103"/>
        <v>-1</v>
      </c>
      <c r="T290" s="176">
        <f t="shared" si="104"/>
        <v>5</v>
      </c>
      <c r="U290" s="251">
        <f t="shared" si="105"/>
        <v>-0.50684469532742393</v>
      </c>
      <c r="V290" s="383">
        <f t="shared" si="106"/>
        <v>41.017462837678366</v>
      </c>
      <c r="W290" s="402"/>
      <c r="X290" s="157">
        <f t="shared" si="107"/>
        <v>44106</v>
      </c>
      <c r="Y290" s="385">
        <f t="shared" si="108"/>
        <v>5.6589999999999998</v>
      </c>
      <c r="Z290" s="385">
        <f t="shared" si="109"/>
        <v>5.7649638038288122</v>
      </c>
      <c r="AA290" s="386">
        <f t="shared" si="110"/>
        <v>6.045960828913703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4.647681866231642E-2</v>
      </c>
      <c r="AD290" s="231">
        <f>(INDEX(Models!$BJ290:$BT290,,AH290)*(1-AF290)+INDEX(Models!$BJ290:$BT290,,AH290+1)*AF290-ERP_i)*AE290*Ramure*Pc/MaxiM</f>
        <v>6.917766190172762E-5</v>
      </c>
      <c r="AE290" s="305">
        <f t="shared" si="112"/>
        <v>0.5</v>
      </c>
      <c r="AF290" s="177">
        <f t="shared" si="113"/>
        <v>0.49315530467257607</v>
      </c>
      <c r="AG290" s="811">
        <f t="shared" si="119"/>
        <v>-1</v>
      </c>
      <c r="AH290" s="176">
        <f t="shared" si="114"/>
        <v>5</v>
      </c>
      <c r="AI290" s="225">
        <f t="shared" si="115"/>
        <v>-0.50684469532742393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7">
        <v>17.209</v>
      </c>
      <c r="C291" s="390"/>
      <c r="D291" s="393">
        <f t="shared" si="98"/>
        <v>17.531619559133738</v>
      </c>
      <c r="E291" s="385">
        <f t="shared" si="96"/>
        <v>18.387072493910249</v>
      </c>
      <c r="F291" s="385">
        <f t="shared" si="99"/>
        <v>18.387324688213294</v>
      </c>
      <c r="G291" s="110">
        <f t="shared" si="97"/>
        <v>0.42274001801003636</v>
      </c>
      <c r="H291" s="414" t="b">
        <f>Wh_hp&gt;='2019'!Maxi_hp</f>
        <v>0</v>
      </c>
      <c r="I291" s="380">
        <f>IF(H291,Wh_hp,'2019'!Maxi_hp)</f>
        <v>42.093320826448114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1.8402153779663699E-2</v>
      </c>
      <c r="M291" s="845"/>
      <c r="N291" s="845"/>
      <c r="O291" s="48">
        <f>IF(t&lt;Tnet,'2019'!Resal+('2019'!Salim-'2019'!Resal)*(1-EXP(('2019'!Tnet-t)/('2019'!Tau_j))),Resal+(Salim-Resal)*(1-EXP((Tnet-t)/(Tau_j))))*Salcycl</f>
        <v>4.6524694731031081E-2</v>
      </c>
      <c r="P291" s="169">
        <f>(INDEX(Models!$BJ291:$BT291,,T291)*(1-R291)+INDEX(Models!$BJ291:$BT291,,T291+1)*R291-ERP_i)*Q291*Ramure*Pc/MaxiM</f>
        <v>7.8204568706526288E-5</v>
      </c>
      <c r="Q291" s="305">
        <f t="shared" si="101"/>
        <v>0.5</v>
      </c>
      <c r="R291" s="177">
        <f t="shared" si="102"/>
        <v>0.49333094563890645</v>
      </c>
      <c r="S291" s="811">
        <f t="shared" si="103"/>
        <v>-1</v>
      </c>
      <c r="T291" s="176">
        <f t="shared" si="104"/>
        <v>5</v>
      </c>
      <c r="U291" s="251">
        <f t="shared" si="105"/>
        <v>-0.50666905436109355</v>
      </c>
      <c r="V291" s="383">
        <f t="shared" si="106"/>
        <v>40.705609741324608</v>
      </c>
      <c r="W291" s="402"/>
      <c r="X291" s="157">
        <f t="shared" si="107"/>
        <v>44107</v>
      </c>
      <c r="Y291" s="385">
        <f t="shared" si="108"/>
        <v>17.209</v>
      </c>
      <c r="Z291" s="385">
        <f t="shared" si="109"/>
        <v>17.531619559133738</v>
      </c>
      <c r="AA291" s="386">
        <f t="shared" si="110"/>
        <v>18.387072493910249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4.6524694731031081E-2</v>
      </c>
      <c r="AD291" s="231">
        <f>(INDEX(Models!$BJ291:$BT291,,AH291)*(1-AF291)+INDEX(Models!$BJ291:$BT291,,AH291+1)*AF291-ERP_i)*AE291*Ramure*Pc/MaxiM</f>
        <v>7.8204568706526288E-5</v>
      </c>
      <c r="AE291" s="305">
        <f t="shared" si="112"/>
        <v>0.5</v>
      </c>
      <c r="AF291" s="177">
        <f t="shared" si="113"/>
        <v>0.49333094563890645</v>
      </c>
      <c r="AG291" s="811">
        <f t="shared" si="119"/>
        <v>-1</v>
      </c>
      <c r="AH291" s="176">
        <f t="shared" si="114"/>
        <v>5</v>
      </c>
      <c r="AI291" s="225">
        <f t="shared" si="115"/>
        <v>-0.50666905436109355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7">
        <v>20.800999999999998</v>
      </c>
      <c r="C292" s="390"/>
      <c r="D292" s="393">
        <f t="shared" si="98"/>
        <v>21.191423438182689</v>
      </c>
      <c r="E292" s="385">
        <f t="shared" si="96"/>
        <v>22.226554295586997</v>
      </c>
      <c r="F292" s="385">
        <f t="shared" si="99"/>
        <v>22.227150015533745</v>
      </c>
      <c r="G292" s="110">
        <f t="shared" si="97"/>
        <v>0.51492364712614558</v>
      </c>
      <c r="H292" s="414" t="b">
        <f>Wh_hp&gt;='2019'!Maxi_hp</f>
        <v>0</v>
      </c>
      <c r="I292" s="380">
        <f>IF(H292,Wh_hp,'2019'!Maxi_hp)</f>
        <v>42.281588278704412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1.842365329170037E-2</v>
      </c>
      <c r="M292" s="845"/>
      <c r="N292" s="845"/>
      <c r="O292" s="48">
        <f>IF(t&lt;Tnet,'2019'!Resal+('2019'!Salim-'2019'!Resal)*(1-EXP(('2019'!Tnet-t)/('2019'!Tau_j))),Resal+(Salim-Resal)*(1-EXP((Tnet-t)/(Tau_j))))*Salcycl</f>
        <v>4.6571809720853959E-2</v>
      </c>
      <c r="P292" s="169">
        <f>(INDEX(Models!$BJ292:$BT292,,T292)*(1-R292)+INDEX(Models!$BJ292:$BT292,,T292+1)*R292-ERP_i)*Q292*Ramure*Pc/MaxiM</f>
        <v>8.7278901561516469E-5</v>
      </c>
      <c r="Q292" s="305">
        <f t="shared" si="101"/>
        <v>0.5</v>
      </c>
      <c r="R292" s="177">
        <f t="shared" si="102"/>
        <v>0.49349963170288813</v>
      </c>
      <c r="S292" s="811">
        <f t="shared" si="103"/>
        <v>-1</v>
      </c>
      <c r="T292" s="176">
        <f t="shared" si="104"/>
        <v>5</v>
      </c>
      <c r="U292" s="251">
        <f t="shared" si="105"/>
        <v>-0.50650036829711187</v>
      </c>
      <c r="V292" s="383">
        <f t="shared" si="106"/>
        <v>40.393837204777668</v>
      </c>
      <c r="W292" s="402"/>
      <c r="X292" s="157">
        <f t="shared" si="107"/>
        <v>44108</v>
      </c>
      <c r="Y292" s="385">
        <f t="shared" si="108"/>
        <v>20.800999999999998</v>
      </c>
      <c r="Z292" s="385">
        <f t="shared" si="109"/>
        <v>21.191423438182689</v>
      </c>
      <c r="AA292" s="386">
        <f t="shared" si="110"/>
        <v>22.226554295586997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4.6571809720853959E-2</v>
      </c>
      <c r="AD292" s="231">
        <f>(INDEX(Models!$BJ292:$BT292,,AH292)*(1-AF292)+INDEX(Models!$BJ292:$BT292,,AH292+1)*AF292-ERP_i)*AE292*Ramure*Pc/MaxiM</f>
        <v>8.7278901561516469E-5</v>
      </c>
      <c r="AE292" s="305">
        <f t="shared" si="112"/>
        <v>0.5</v>
      </c>
      <c r="AF292" s="177">
        <f t="shared" si="113"/>
        <v>0.49349963170288813</v>
      </c>
      <c r="AG292" s="811">
        <f t="shared" si="119"/>
        <v>-1</v>
      </c>
      <c r="AH292" s="176">
        <f t="shared" si="114"/>
        <v>5</v>
      </c>
      <c r="AI292" s="225">
        <f t="shared" si="115"/>
        <v>-0.50650036829711187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7">
        <v>27.015000000000001</v>
      </c>
      <c r="C293" s="390"/>
      <c r="D293" s="393">
        <f t="shared" si="98"/>
        <v>27.522659649846396</v>
      </c>
      <c r="E293" s="385">
        <f t="shared" si="96"/>
        <v>28.868453711666216</v>
      </c>
      <c r="F293" s="385">
        <f t="shared" si="99"/>
        <v>28.869940592978708</v>
      </c>
      <c r="G293" s="110">
        <f t="shared" si="97"/>
        <v>0.6739606152962464</v>
      </c>
      <c r="H293" s="414" t="b">
        <f>Wh_hp&gt;='2019'!Maxi_hp</f>
        <v>0</v>
      </c>
      <c r="I293" s="380">
        <f>IF(H293,Wh_hp,'2019'!Maxi_hp)</f>
        <v>39.638043153684698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1.8445152332842607E-2</v>
      </c>
      <c r="M293" s="845"/>
      <c r="N293" s="845"/>
      <c r="O293" s="48">
        <f>IF(t&lt;Tnet,'2019'!Resal+('2019'!Salim-'2019'!Resal)*(1-EXP(('2019'!Tnet-t)/('2019'!Tau_j))),Resal+(Salim-Resal)*(1-EXP((Tnet-t)/(Tau_j))))*Salcycl</f>
        <v>4.661815541841656E-2</v>
      </c>
      <c r="P293" s="169">
        <f>(INDEX(Models!$BJ293:$BT293,,T293)*(1-R293)+INDEX(Models!$BJ293:$BT293,,T293+1)*R293-ERP_i)*Q293*Ramure*Pc/MaxiM</f>
        <v>9.6397871827142833E-5</v>
      </c>
      <c r="Q293" s="305">
        <f t="shared" si="101"/>
        <v>0.5</v>
      </c>
      <c r="R293" s="177">
        <f t="shared" si="102"/>
        <v>0.49366163377392724</v>
      </c>
      <c r="S293" s="811">
        <f t="shared" si="103"/>
        <v>-1</v>
      </c>
      <c r="T293" s="176">
        <f t="shared" si="104"/>
        <v>5</v>
      </c>
      <c r="U293" s="251">
        <f t="shared" si="105"/>
        <v>-0.50633836622607276</v>
      </c>
      <c r="V293" s="383">
        <f t="shared" si="106"/>
        <v>40.082144983980513</v>
      </c>
      <c r="W293" s="402"/>
      <c r="X293" s="157">
        <f t="shared" si="107"/>
        <v>44109</v>
      </c>
      <c r="Y293" s="385">
        <f t="shared" si="108"/>
        <v>27.015000000000001</v>
      </c>
      <c r="Z293" s="385">
        <f t="shared" si="109"/>
        <v>27.522659649846396</v>
      </c>
      <c r="AA293" s="386">
        <f t="shared" si="110"/>
        <v>28.868453711666216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4.661815541841656E-2</v>
      </c>
      <c r="AD293" s="231">
        <f>(INDEX(Models!$BJ293:$BT293,,AH293)*(1-AF293)+INDEX(Models!$BJ293:$BT293,,AH293+1)*AF293-ERP_i)*AE293*Ramure*Pc/MaxiM</f>
        <v>9.6397871827142833E-5</v>
      </c>
      <c r="AE293" s="305">
        <f t="shared" si="112"/>
        <v>0.5</v>
      </c>
      <c r="AF293" s="177">
        <f t="shared" si="113"/>
        <v>0.49366163377392724</v>
      </c>
      <c r="AG293" s="811">
        <f t="shared" si="119"/>
        <v>-1</v>
      </c>
      <c r="AH293" s="176">
        <f t="shared" si="114"/>
        <v>5</v>
      </c>
      <c r="AI293" s="225">
        <f t="shared" si="115"/>
        <v>-0.50633836622607276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7">
        <v>6.976</v>
      </c>
      <c r="C294" s="390"/>
      <c r="D294" s="393">
        <f t="shared" si="98"/>
        <v>7.1072470501573477</v>
      </c>
      <c r="E294" s="385">
        <f t="shared" si="96"/>
        <v>7.455131246166264</v>
      </c>
      <c r="F294" s="385">
        <f t="shared" si="99"/>
        <v>7.455131246166264</v>
      </c>
      <c r="G294" s="110">
        <f t="shared" si="97"/>
        <v>0.17538773407528419</v>
      </c>
      <c r="H294" s="414" t="b">
        <f>Wh_hp&gt;='2019'!Maxi_hp</f>
        <v>0</v>
      </c>
      <c r="I294" s="380">
        <f>IF(H294,Wh_hp,'2019'!Maxi_hp)</f>
        <v>32.487428789010735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1.8466650903100623E-2</v>
      </c>
      <c r="M294" s="845"/>
      <c r="N294" s="845"/>
      <c r="O294" s="48">
        <f>IF(t&lt;Tnet,'2019'!Resal+('2019'!Salim-'2019'!Resal)*(1-EXP(('2019'!Tnet-t)/('2019'!Tau_j))),Resal+(Salim-Resal)*(1-EXP((Tnet-t)/(Tau_j))))*Salcycl</f>
        <v>4.6663725227884222E-2</v>
      </c>
      <c r="P294" s="169">
        <f>(INDEX(Models!$BJ294:$BT294,,T294)*(1-R294)+INDEX(Models!$BJ294:$BT294,,T294+1)*R294-ERP_i)*Q294*Ramure*Pc/MaxiM</f>
        <v>1.055586294786202E-4</v>
      </c>
      <c r="Q294" s="305">
        <f t="shared" si="101"/>
        <v>0.5</v>
      </c>
      <c r="R294" s="177">
        <f t="shared" si="102"/>
        <v>0.49381721256045008</v>
      </c>
      <c r="S294" s="811">
        <f t="shared" si="103"/>
        <v>-1</v>
      </c>
      <c r="T294" s="176">
        <f t="shared" si="104"/>
        <v>5</v>
      </c>
      <c r="U294" s="251">
        <f t="shared" si="105"/>
        <v>-0.50618278743954992</v>
      </c>
      <c r="V294" s="383">
        <f t="shared" si="106"/>
        <v>39.770532755766517</v>
      </c>
      <c r="W294" s="402"/>
      <c r="X294" s="157">
        <f t="shared" si="107"/>
        <v>44110</v>
      </c>
      <c r="Y294" s="385">
        <f t="shared" si="108"/>
        <v>6.976</v>
      </c>
      <c r="Z294" s="385">
        <f t="shared" si="109"/>
        <v>7.1072470501573477</v>
      </c>
      <c r="AA294" s="386">
        <f t="shared" si="110"/>
        <v>7.455131246166264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4.6663725227884222E-2</v>
      </c>
      <c r="AD294" s="231">
        <f>(INDEX(Models!$BJ294:$BT294,,AH294)*(1-AF294)+INDEX(Models!$BJ294:$BT294,,AH294+1)*AF294-ERP_i)*AE294*Ramure*Pc/MaxiM</f>
        <v>1.055586294786202E-4</v>
      </c>
      <c r="AE294" s="305">
        <f t="shared" si="112"/>
        <v>0.5</v>
      </c>
      <c r="AF294" s="177">
        <f t="shared" si="113"/>
        <v>0.49381721256045008</v>
      </c>
      <c r="AG294" s="811">
        <f t="shared" si="119"/>
        <v>-1</v>
      </c>
      <c r="AH294" s="176">
        <f t="shared" si="114"/>
        <v>5</v>
      </c>
      <c r="AI294" s="225">
        <f t="shared" si="115"/>
        <v>-0.50618278743954992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7">
        <v>28.978999999999999</v>
      </c>
      <c r="C295" s="390"/>
      <c r="D295" s="393">
        <f t="shared" si="98"/>
        <v>29.524860011163902</v>
      </c>
      <c r="E295" s="385">
        <f t="shared" si="96"/>
        <v>30.971492407085471</v>
      </c>
      <c r="F295" s="385">
        <f t="shared" si="99"/>
        <v>30.973698260840962</v>
      </c>
      <c r="G295" s="110">
        <f t="shared" si="97"/>
        <v>0.73437588492376027</v>
      </c>
      <c r="H295" s="414" t="b">
        <f>Wh_hp&gt;='2019'!Maxi_hp</f>
        <v>0</v>
      </c>
      <c r="I295" s="380">
        <f>IF(H295,Wh_hp,'2019'!Maxi_hp)</f>
        <v>40.412475476580589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1.8488149002484744E-2</v>
      </c>
      <c r="M295" s="845"/>
      <c r="N295" s="845"/>
      <c r="O295" s="48">
        <f>IF(t&lt;Tnet,'2019'!Resal+('2019'!Salim-'2019'!Resal)*(1-EXP(('2019'!Tnet-t)/('2019'!Tau_j))),Resal+(Salim-Resal)*(1-EXP((Tnet-t)/(Tau_j))))*Salcycl</f>
        <v>4.6708514297832723E-2</v>
      </c>
      <c r="P295" s="169">
        <f>(INDEX(Models!$BJ295:$BT295,,T295)*(1-R295)+INDEX(Models!$BJ295:$BT295,,T295+1)*R295-ERP_i)*Q295*Ramure*Pc/MaxiM</f>
        <v>1.1475827565599746E-4</v>
      </c>
      <c r="Q295" s="305">
        <f t="shared" si="101"/>
        <v>0.5</v>
      </c>
      <c r="R295" s="177">
        <f t="shared" si="102"/>
        <v>0.49396661892631133</v>
      </c>
      <c r="S295" s="811">
        <f t="shared" si="103"/>
        <v>-1</v>
      </c>
      <c r="T295" s="176">
        <f t="shared" si="104"/>
        <v>5</v>
      </c>
      <c r="U295" s="251">
        <f t="shared" si="105"/>
        <v>-0.50603338107368867</v>
      </c>
      <c r="V295" s="383">
        <f t="shared" si="106"/>
        <v>39.459000114645775</v>
      </c>
      <c r="W295" s="402"/>
      <c r="X295" s="157">
        <f t="shared" si="107"/>
        <v>44111</v>
      </c>
      <c r="Y295" s="385">
        <f t="shared" si="108"/>
        <v>28.978999999999999</v>
      </c>
      <c r="Z295" s="385">
        <f t="shared" si="109"/>
        <v>29.524860011163902</v>
      </c>
      <c r="AA295" s="386">
        <f t="shared" si="110"/>
        <v>30.971492407085471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4.6708514297832723E-2</v>
      </c>
      <c r="AD295" s="231">
        <f>(INDEX(Models!$BJ295:$BT295,,AH295)*(1-AF295)+INDEX(Models!$BJ295:$BT295,,AH295+1)*AF295-ERP_i)*AE295*Ramure*Pc/MaxiM</f>
        <v>1.1475827565599746E-4</v>
      </c>
      <c r="AE295" s="305">
        <f t="shared" si="112"/>
        <v>0.5</v>
      </c>
      <c r="AF295" s="177">
        <f t="shared" si="113"/>
        <v>0.49396661892631133</v>
      </c>
      <c r="AG295" s="811">
        <f t="shared" si="119"/>
        <v>-1</v>
      </c>
      <c r="AH295" s="176">
        <f t="shared" si="114"/>
        <v>5</v>
      </c>
      <c r="AI295" s="225">
        <f t="shared" si="115"/>
        <v>-0.50603338107368867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7">
        <v>34.713999999999999</v>
      </c>
      <c r="C296" s="390"/>
      <c r="D296" s="393">
        <f t="shared" si="98"/>
        <v>35.368661424784428</v>
      </c>
      <c r="E296" s="385">
        <f t="shared" si="96"/>
        <v>37.103335863562961</v>
      </c>
      <c r="F296" s="385">
        <f t="shared" si="99"/>
        <v>37.107170971880073</v>
      </c>
      <c r="G296" s="110">
        <f t="shared" si="97"/>
        <v>0.88672947381791878</v>
      </c>
      <c r="H296" s="414" t="b">
        <f>Wh_hp&gt;='2019'!Maxi_hp</f>
        <v>1</v>
      </c>
      <c r="I296" s="380">
        <f>IF(H296,Wh_hp,'2019'!Maxi_hp)</f>
        <v>37.107170971880073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1.8509646631005405E-2</v>
      </c>
      <c r="M296" s="845"/>
      <c r="N296" s="845"/>
      <c r="O296" s="48">
        <f>IF(t&lt;Tnet,'2019'!Resal+('2019'!Salim-'2019'!Resal)*(1-EXP(('2019'!Tnet-t)/('2019'!Tau_j))),Resal+(Salim-Resal)*(1-EXP((Tnet-t)/(Tau_j))))*Salcycl</f>
        <v>4.6752519642905138E-2</v>
      </c>
      <c r="P296" s="169">
        <f>(INDEX(Models!$BJ296:$BT296,,T296)*(1-R296)+INDEX(Models!$BJ296:$BT296,,T296+1)*R296-ERP_i)*Q296*Ramure*Pc/MaxiM</f>
        <v>1.2330106539423558E-4</v>
      </c>
      <c r="Q296" s="305">
        <f t="shared" si="101"/>
        <v>0.5</v>
      </c>
      <c r="R296" s="177">
        <f t="shared" si="102"/>
        <v>0.49411009423697383</v>
      </c>
      <c r="S296" s="811">
        <f t="shared" si="103"/>
        <v>-1</v>
      </c>
      <c r="T296" s="176">
        <f t="shared" si="104"/>
        <v>5</v>
      </c>
      <c r="U296" s="251">
        <f t="shared" si="105"/>
        <v>-0.50588990576302617</v>
      </c>
      <c r="V296" s="383">
        <f t="shared" si="106"/>
        <v>39.147573695244809</v>
      </c>
      <c r="W296" s="402"/>
      <c r="X296" s="157">
        <f t="shared" si="107"/>
        <v>44112</v>
      </c>
      <c r="Y296" s="385">
        <f t="shared" si="108"/>
        <v>34.713999999999999</v>
      </c>
      <c r="Z296" s="385">
        <f t="shared" si="109"/>
        <v>35.368661424784428</v>
      </c>
      <c r="AA296" s="386">
        <f t="shared" si="110"/>
        <v>37.103335863562961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4.6752519642905138E-2</v>
      </c>
      <c r="AD296" s="231">
        <f>(INDEX(Models!$BJ296:$BT296,,AH296)*(1-AF296)+INDEX(Models!$BJ296:$BT296,,AH296+1)*AF296-ERP_i)*AE296*Ramure*Pc/MaxiM</f>
        <v>1.2330106539423558E-4</v>
      </c>
      <c r="AE296" s="305">
        <f t="shared" si="112"/>
        <v>0.5</v>
      </c>
      <c r="AF296" s="177">
        <f t="shared" si="113"/>
        <v>0.49411009423697383</v>
      </c>
      <c r="AG296" s="811">
        <f t="shared" si="119"/>
        <v>-1</v>
      </c>
      <c r="AH296" s="176">
        <f t="shared" si="114"/>
        <v>5</v>
      </c>
      <c r="AI296" s="225">
        <f t="shared" si="115"/>
        <v>-0.50588990576302617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7">
        <v>24.113</v>
      </c>
      <c r="C297" s="390"/>
      <c r="D297" s="393">
        <f t="shared" si="98"/>
        <v>24.568278297776217</v>
      </c>
      <c r="E297" s="385">
        <f t="shared" ref="E297:E360" si="120">Wh_pvt/(1-Psa)</f>
        <v>25.774410937329282</v>
      </c>
      <c r="F297" s="385">
        <f t="shared" si="99"/>
        <v>25.775956171525134</v>
      </c>
      <c r="G297" s="110">
        <f t="shared" ref="G297:G360" si="121">+Wh_hp/MaxiM</f>
        <v>0.62084472077280783</v>
      </c>
      <c r="H297" s="414" t="b">
        <f>Wh_hp&gt;='2019'!Maxi_hp</f>
        <v>0</v>
      </c>
      <c r="I297" s="380">
        <f>IF(H297,Wh_hp,'2019'!Maxi_hp)</f>
        <v>30.27474450167183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1.853114378867271E-2</v>
      </c>
      <c r="M297" s="845"/>
      <c r="N297" s="845"/>
      <c r="O297" s="48">
        <f>IF(t&lt;Tnet,'2019'!Resal+('2019'!Salim-'2019'!Resal)*(1-EXP(('2019'!Tnet-t)/('2019'!Tau_j))),Resal+(Salim-Resal)*(1-EXP((Tnet-t)/(Tau_j))))*Salcycl</f>
        <v>4.6795740259041631E-2</v>
      </c>
      <c r="P297" s="169">
        <f>(INDEX(Models!$BJ297:$BT297,,T297)*(1-R297)+INDEX(Models!$BJ297:$BT297,,T297+1)*R297-ERP_i)*Q297*Ramure*Pc/MaxiM</f>
        <v>1.3077452288630094E-4</v>
      </c>
      <c r="Q297" s="305">
        <f t="shared" si="101"/>
        <v>0.5</v>
      </c>
      <c r="R297" s="177">
        <f t="shared" si="102"/>
        <v>0.49424787069556497</v>
      </c>
      <c r="S297" s="811">
        <f t="shared" si="103"/>
        <v>-1</v>
      </c>
      <c r="T297" s="176">
        <f t="shared" si="104"/>
        <v>5</v>
      </c>
      <c r="U297" s="251">
        <f t="shared" si="105"/>
        <v>-0.50575212930443503</v>
      </c>
      <c r="V297" s="383">
        <f t="shared" si="106"/>
        <v>38.836268179457136</v>
      </c>
      <c r="W297" s="402"/>
      <c r="X297" s="157">
        <f t="shared" si="107"/>
        <v>44113</v>
      </c>
      <c r="Y297" s="385">
        <f t="shared" si="108"/>
        <v>24.113</v>
      </c>
      <c r="Z297" s="385">
        <f t="shared" si="109"/>
        <v>24.568278297776217</v>
      </c>
      <c r="AA297" s="386">
        <f t="shared" si="110"/>
        <v>25.774410937329282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4.6795740259041631E-2</v>
      </c>
      <c r="AD297" s="231">
        <f>(INDEX(Models!$BJ297:$BT297,,AH297)*(1-AF297)+INDEX(Models!$BJ297:$BT297,,AH297+1)*AF297-ERP_i)*AE297*Ramure*Pc/MaxiM</f>
        <v>1.3077452288630094E-4</v>
      </c>
      <c r="AE297" s="305">
        <f t="shared" si="112"/>
        <v>0.5</v>
      </c>
      <c r="AF297" s="177">
        <f t="shared" si="113"/>
        <v>0.49424787069556497</v>
      </c>
      <c r="AG297" s="811">
        <f t="shared" si="119"/>
        <v>-1</v>
      </c>
      <c r="AH297" s="176">
        <f t="shared" si="114"/>
        <v>5</v>
      </c>
      <c r="AI297" s="225">
        <f t="shared" si="115"/>
        <v>-0.50575212930443503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7">
        <v>21.661999999999999</v>
      </c>
      <c r="C298" s="390"/>
      <c r="D298" s="393">
        <f t="shared" si="98"/>
        <v>22.071484313223817</v>
      </c>
      <c r="E298" s="385">
        <f t="shared" si="120"/>
        <v>23.156072542967419</v>
      </c>
      <c r="F298" s="385">
        <f t="shared" si="99"/>
        <v>23.157262678539507</v>
      </c>
      <c r="G298" s="110">
        <f t="shared" si="121"/>
        <v>0.56223479979474322</v>
      </c>
      <c r="H298" s="414" t="b">
        <f>Wh_hp&gt;='2019'!Maxi_hp</f>
        <v>0</v>
      </c>
      <c r="I298" s="380">
        <f>IF(H298,Wh_hp,'2019'!Maxi_hp)</f>
        <v>42.375150802238252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1.8552640475497206E-2</v>
      </c>
      <c r="M298" s="845"/>
      <c r="N298" s="845"/>
      <c r="O298" s="48">
        <f>IF(t&lt;Tnet,'2019'!Resal+('2019'!Salim-'2019'!Resal)*(1-EXP(('2019'!Tnet-t)/('2019'!Tau_j))),Resal+(Salim-Resal)*(1-EXP((Tnet-t)/(Tau_j))))*Salcycl</f>
        <v>4.6838177231095027E-2</v>
      </c>
      <c r="P298" s="169">
        <f>(INDEX(Models!$BJ298:$BT298,,T298)*(1-R298)+INDEX(Models!$BJ298:$BT298,,T298+1)*R298-ERP_i)*Q298*Ramure*Pc/MaxiM</f>
        <v>1.3716302788941627E-4</v>
      </c>
      <c r="Q298" s="305">
        <f t="shared" si="101"/>
        <v>0.5</v>
      </c>
      <c r="R298" s="177">
        <f t="shared" si="102"/>
        <v>0.49438017166893133</v>
      </c>
      <c r="S298" s="811">
        <f t="shared" si="103"/>
        <v>-1</v>
      </c>
      <c r="T298" s="176">
        <f t="shared" si="104"/>
        <v>5</v>
      </c>
      <c r="U298" s="251">
        <f t="shared" si="105"/>
        <v>-0.50561982833106867</v>
      </c>
      <c r="V298" s="383">
        <f t="shared" si="106"/>
        <v>38.525082359746634</v>
      </c>
      <c r="W298" s="402"/>
      <c r="X298" s="157">
        <f t="shared" si="107"/>
        <v>44114</v>
      </c>
      <c r="Y298" s="385">
        <f t="shared" si="108"/>
        <v>21.661999999999999</v>
      </c>
      <c r="Z298" s="385">
        <f t="shared" si="109"/>
        <v>22.071484313223817</v>
      </c>
      <c r="AA298" s="386">
        <f t="shared" si="110"/>
        <v>23.156072542967419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4.6838177231095027E-2</v>
      </c>
      <c r="AD298" s="231">
        <f>(INDEX(Models!$BJ298:$BT298,,AH298)*(1-AF298)+INDEX(Models!$BJ298:$BT298,,AH298+1)*AF298-ERP_i)*AE298*Ramure*Pc/MaxiM</f>
        <v>1.3716302788941627E-4</v>
      </c>
      <c r="AE298" s="305">
        <f t="shared" si="112"/>
        <v>0.5</v>
      </c>
      <c r="AF298" s="177">
        <f t="shared" si="113"/>
        <v>0.49438017166893133</v>
      </c>
      <c r="AG298" s="811">
        <f t="shared" si="119"/>
        <v>-1</v>
      </c>
      <c r="AH298" s="176">
        <f t="shared" si="114"/>
        <v>5</v>
      </c>
      <c r="AI298" s="225">
        <f t="shared" si="115"/>
        <v>-0.50561982833106867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7">
        <v>15.513999999999999</v>
      </c>
      <c r="C299" s="390"/>
      <c r="D299" s="393">
        <f t="shared" si="98"/>
        <v>15.807612760173589</v>
      </c>
      <c r="E299" s="385">
        <f t="shared" si="120"/>
        <v>16.585120450994548</v>
      </c>
      <c r="F299" s="385">
        <f t="shared" si="99"/>
        <v>16.58547814146997</v>
      </c>
      <c r="G299" s="110">
        <f t="shared" si="121"/>
        <v>0.40592763123446651</v>
      </c>
      <c r="H299" s="414" t="b">
        <f>Wh_hp&gt;='2019'!Maxi_hp</f>
        <v>0</v>
      </c>
      <c r="I299" s="380">
        <f>IF(H299,Wh_hp,'2019'!Maxi_hp)</f>
        <v>35.169239917574913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1.8574136691488996E-2</v>
      </c>
      <c r="M299" s="845"/>
      <c r="N299" s="845"/>
      <c r="O299" s="48">
        <f>IF(t&lt;Tnet,'2019'!Resal+('2019'!Salim-'2019'!Resal)*(1-EXP(('2019'!Tnet-t)/('2019'!Tau_j))),Resal+(Salim-Resal)*(1-EXP((Tnet-t)/(Tau_j))))*Salcycl</f>
        <v>4.6879833831676161E-2</v>
      </c>
      <c r="P299" s="169">
        <f>(INDEX(Models!$BJ299:$BT299,,T299)*(1-R299)+INDEX(Models!$BJ299:$BT299,,T299+1)*R299-ERP_i)*Q299*Ramure*Pc/MaxiM</f>
        <v>1.4245148852976813E-4</v>
      </c>
      <c r="Q299" s="305">
        <f t="shared" si="101"/>
        <v>0.5</v>
      </c>
      <c r="R299" s="177">
        <f t="shared" si="102"/>
        <v>0.49450721200383274</v>
      </c>
      <c r="S299" s="811">
        <f t="shared" si="103"/>
        <v>-1</v>
      </c>
      <c r="T299" s="176">
        <f t="shared" si="104"/>
        <v>5</v>
      </c>
      <c r="U299" s="251">
        <f t="shared" si="105"/>
        <v>-0.50549278799616726</v>
      </c>
      <c r="V299" s="383">
        <f t="shared" si="106"/>
        <v>38.214014903207435</v>
      </c>
      <c r="W299" s="402"/>
      <c r="X299" s="157">
        <f t="shared" si="107"/>
        <v>44115</v>
      </c>
      <c r="Y299" s="385">
        <f t="shared" si="108"/>
        <v>15.514000000000001</v>
      </c>
      <c r="Z299" s="385">
        <f t="shared" si="109"/>
        <v>15.807612760173591</v>
      </c>
      <c r="AA299" s="386">
        <f t="shared" si="110"/>
        <v>16.585120450994548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4.6879833831676161E-2</v>
      </c>
      <c r="AD299" s="231">
        <f>(INDEX(Models!$BJ299:$BT299,,AH299)*(1-AF299)+INDEX(Models!$BJ299:$BT299,,AH299+1)*AF299-ERP_i)*AE299*Ramure*Pc/MaxiM</f>
        <v>1.4245148852976813E-4</v>
      </c>
      <c r="AE299" s="305">
        <f t="shared" si="112"/>
        <v>0.5</v>
      </c>
      <c r="AF299" s="177">
        <f t="shared" si="113"/>
        <v>0.49450721200383274</v>
      </c>
      <c r="AG299" s="811">
        <f t="shared" si="119"/>
        <v>-1</v>
      </c>
      <c r="AH299" s="176">
        <f t="shared" si="114"/>
        <v>5</v>
      </c>
      <c r="AI299" s="225">
        <f t="shared" si="115"/>
        <v>-0.50549278799616726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7">
        <v>22.751999999999999</v>
      </c>
      <c r="C300" s="390"/>
      <c r="D300" s="393">
        <f t="shared" si="98"/>
        <v>23.183104489833596</v>
      </c>
      <c r="E300" s="385">
        <f t="shared" si="120"/>
        <v>24.324423864352809</v>
      </c>
      <c r="F300" s="385">
        <f t="shared" si="99"/>
        <v>24.325953859869148</v>
      </c>
      <c r="G300" s="110">
        <f t="shared" si="121"/>
        <v>0.60021782538826074</v>
      </c>
      <c r="H300" s="414" t="b">
        <f>Wh_hp&gt;='2019'!Maxi_hp</f>
        <v>0</v>
      </c>
      <c r="I300" s="380">
        <f>IF(H300,Wh_hp,'2019'!Maxi_hp)</f>
        <v>39.855056795061437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1.8595632436658627E-2</v>
      </c>
      <c r="M300" s="845"/>
      <c r="N300" s="845"/>
      <c r="O300" s="48">
        <f>IF(t&lt;Tnet,'2019'!Resal+('2019'!Salim-'2019'!Resal)*(1-EXP(('2019'!Tnet-t)/('2019'!Tau_j))),Resal+(Salim-Resal)*(1-EXP((Tnet-t)/(Tau_j))))*Salcycl</f>
        <v>4.6920715610115772E-2</v>
      </c>
      <c r="P300" s="169">
        <f>(INDEX(Models!$BJ300:$BT300,,T300)*(1-R300)+INDEX(Models!$BJ300:$BT300,,T300+1)*R300-ERP_i)*Q300*Ramure*Pc/MaxiM</f>
        <v>1.4662537629255861E-4</v>
      </c>
      <c r="Q300" s="305">
        <f t="shared" si="101"/>
        <v>0.5</v>
      </c>
      <c r="R300" s="177">
        <f t="shared" si="102"/>
        <v>0.49462919833342689</v>
      </c>
      <c r="S300" s="811">
        <f t="shared" si="103"/>
        <v>-1</v>
      </c>
      <c r="T300" s="176">
        <f t="shared" si="104"/>
        <v>5</v>
      </c>
      <c r="U300" s="251">
        <f t="shared" si="105"/>
        <v>-0.50537080166657311</v>
      </c>
      <c r="V300" s="383">
        <f t="shared" si="106"/>
        <v>37.903064351076132</v>
      </c>
      <c r="W300" s="402"/>
      <c r="X300" s="157">
        <f t="shared" si="107"/>
        <v>44116</v>
      </c>
      <c r="Y300" s="385">
        <f t="shared" si="108"/>
        <v>22.751999999999999</v>
      </c>
      <c r="Z300" s="385">
        <f t="shared" si="109"/>
        <v>23.183104489833596</v>
      </c>
      <c r="AA300" s="386">
        <f t="shared" si="110"/>
        <v>24.324423864352809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4.6920715610115772E-2</v>
      </c>
      <c r="AD300" s="231">
        <f>(INDEX(Models!$BJ300:$BT300,,AH300)*(1-AF300)+INDEX(Models!$BJ300:$BT300,,AH300+1)*AF300-ERP_i)*AE300*Ramure*Pc/MaxiM</f>
        <v>1.4662537629255861E-4</v>
      </c>
      <c r="AE300" s="305">
        <f t="shared" si="112"/>
        <v>0.5</v>
      </c>
      <c r="AF300" s="177">
        <f t="shared" si="113"/>
        <v>0.49462919833342689</v>
      </c>
      <c r="AG300" s="811">
        <f t="shared" si="119"/>
        <v>-1</v>
      </c>
      <c r="AH300" s="176">
        <f t="shared" si="114"/>
        <v>5</v>
      </c>
      <c r="AI300" s="225">
        <f t="shared" si="115"/>
        <v>-0.50537080166657311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7">
        <v>21.024000000000001</v>
      </c>
      <c r="C301" s="390"/>
      <c r="D301" s="393">
        <f t="shared" si="98"/>
        <v>21.422831591673781</v>
      </c>
      <c r="E301" s="385">
        <f t="shared" si="120"/>
        <v>22.478437693436614</v>
      </c>
      <c r="F301" s="385">
        <f t="shared" si="99"/>
        <v>22.479683848820279</v>
      </c>
      <c r="G301" s="110">
        <f t="shared" si="121"/>
        <v>0.5592118149079196</v>
      </c>
      <c r="H301" s="414" t="b">
        <f>Wh_hp&gt;='2019'!Maxi_hp</f>
        <v>0</v>
      </c>
      <c r="I301" s="380">
        <f>IF(H301,Wh_hp,'2019'!Maxi_hp)</f>
        <v>35.714648786243551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1.861712771101609E-2</v>
      </c>
      <c r="M301" s="845"/>
      <c r="N301" s="845"/>
      <c r="O301" s="48">
        <f>IF(t&lt;Tnet,'2019'!Resal+('2019'!Salim-'2019'!Resal)*(1-EXP(('2019'!Tnet-t)/('2019'!Tau_j))),Resal+(Salim-Resal)*(1-EXP((Tnet-t)/(Tau_j))))*Salcycl</f>
        <v>4.6960830470484834E-2</v>
      </c>
      <c r="P301" s="169">
        <f>(INDEX(Models!$BJ301:$BT301,,T301)*(1-R301)+INDEX(Models!$BJ301:$BT301,,T301+1)*R301-ERP_i)*Q301*Ramure*Pc/MaxiM</f>
        <v>1.4967075506982003E-4</v>
      </c>
      <c r="Q301" s="305">
        <f t="shared" si="101"/>
        <v>0.5</v>
      </c>
      <c r="R301" s="177">
        <f t="shared" si="102"/>
        <v>0.49474632937420771</v>
      </c>
      <c r="S301" s="811">
        <f t="shared" si="103"/>
        <v>-1</v>
      </c>
      <c r="T301" s="176">
        <f t="shared" si="104"/>
        <v>5</v>
      </c>
      <c r="U301" s="251">
        <f t="shared" si="105"/>
        <v>-0.50525367062579229</v>
      </c>
      <c r="V301" s="383">
        <f t="shared" si="106"/>
        <v>37.592229119128106</v>
      </c>
      <c r="W301" s="402"/>
      <c r="X301" s="157">
        <f t="shared" si="107"/>
        <v>44117</v>
      </c>
      <c r="Y301" s="385">
        <f t="shared" si="108"/>
        <v>21.024000000000001</v>
      </c>
      <c r="Z301" s="385">
        <f t="shared" si="109"/>
        <v>21.422831591673781</v>
      </c>
      <c r="AA301" s="386">
        <f t="shared" si="110"/>
        <v>22.478437693436614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4.6960830470484834E-2</v>
      </c>
      <c r="AD301" s="231">
        <f>(INDEX(Models!$BJ301:$BT301,,AH301)*(1-AF301)+INDEX(Models!$BJ301:$BT301,,AH301+1)*AF301-ERP_i)*AE301*Ramure*Pc/MaxiM</f>
        <v>1.4967075506982003E-4</v>
      </c>
      <c r="AE301" s="305">
        <f t="shared" si="112"/>
        <v>0.5</v>
      </c>
      <c r="AF301" s="177">
        <f t="shared" si="113"/>
        <v>0.49474632937420771</v>
      </c>
      <c r="AG301" s="811">
        <f t="shared" si="119"/>
        <v>-1</v>
      </c>
      <c r="AH301" s="176">
        <f t="shared" si="114"/>
        <v>5</v>
      </c>
      <c r="AI301" s="225">
        <f t="shared" si="115"/>
        <v>-0.50525367062579229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7">
        <v>14.555</v>
      </c>
      <c r="C302" s="390"/>
      <c r="D302" s="393">
        <f t="shared" si="98"/>
        <v>14.831437566143798</v>
      </c>
      <c r="E302" s="385">
        <f t="shared" si="120"/>
        <v>15.562896645801484</v>
      </c>
      <c r="F302" s="385">
        <f t="shared" si="99"/>
        <v>15.563201318469389</v>
      </c>
      <c r="G302" s="110">
        <f t="shared" si="121"/>
        <v>0.39035649871254341</v>
      </c>
      <c r="H302" s="414" t="b">
        <f>Wh_hp&gt;='2019'!Maxi_hp</f>
        <v>0</v>
      </c>
      <c r="I302" s="380">
        <f>IF(H302,Wh_hp,'2019'!Maxi_hp)</f>
        <v>32.225618138846443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1.8638622514572045E-2</v>
      </c>
      <c r="M302" s="845"/>
      <c r="N302" s="845"/>
      <c r="O302" s="48">
        <f>IF(t&lt;Tnet,'2019'!Resal+('2019'!Salim-'2019'!Resal)*(1-EXP(('2019'!Tnet-t)/('2019'!Tau_j))),Resal+(Salim-Resal)*(1-EXP((Tnet-t)/(Tau_j))))*Salcycl</f>
        <v>4.7000188737680658E-2</v>
      </c>
      <c r="P302" s="169">
        <f>(INDEX(Models!$BJ302:$BT302,,T302)*(1-R302)+INDEX(Models!$BJ302:$BT302,,T302+1)*R302-ERP_i)*Q302*Ramure*Pc/MaxiM</f>
        <v>1.5157430342863253E-4</v>
      </c>
      <c r="Q302" s="305">
        <f t="shared" si="101"/>
        <v>0.5</v>
      </c>
      <c r="R302" s="177">
        <f t="shared" si="102"/>
        <v>0.49485879621357376</v>
      </c>
      <c r="S302" s="811">
        <f t="shared" si="103"/>
        <v>-1</v>
      </c>
      <c r="T302" s="176">
        <f t="shared" si="104"/>
        <v>5</v>
      </c>
      <c r="U302" s="251">
        <f t="shared" si="105"/>
        <v>-0.50514120378642624</v>
      </c>
      <c r="V302" s="383">
        <f t="shared" si="106"/>
        <v>37.28150749900999</v>
      </c>
      <c r="W302" s="402"/>
      <c r="X302" s="157">
        <f t="shared" si="107"/>
        <v>44118</v>
      </c>
      <c r="Y302" s="385">
        <f t="shared" si="108"/>
        <v>14.555</v>
      </c>
      <c r="Z302" s="385">
        <f t="shared" si="109"/>
        <v>14.831437566143798</v>
      </c>
      <c r="AA302" s="386">
        <f t="shared" si="110"/>
        <v>15.562896645801484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4.7000188737680658E-2</v>
      </c>
      <c r="AD302" s="231">
        <f>(INDEX(Models!$BJ302:$BT302,,AH302)*(1-AF302)+INDEX(Models!$BJ302:$BT302,,AH302+1)*AF302-ERP_i)*AE302*Ramure*Pc/MaxiM</f>
        <v>1.5157430342863253E-4</v>
      </c>
      <c r="AE302" s="305">
        <f t="shared" si="112"/>
        <v>0.5</v>
      </c>
      <c r="AF302" s="177">
        <f t="shared" si="113"/>
        <v>0.49485879621357376</v>
      </c>
      <c r="AG302" s="811">
        <f t="shared" si="119"/>
        <v>-1</v>
      </c>
      <c r="AH302" s="176">
        <f t="shared" si="114"/>
        <v>5</v>
      </c>
      <c r="AI302" s="225">
        <f t="shared" si="115"/>
        <v>-0.50514120378642624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7">
        <v>17.945</v>
      </c>
      <c r="C303" s="390"/>
      <c r="D303" s="393">
        <f t="shared" si="98"/>
        <v>18.286223058976969</v>
      </c>
      <c r="E303" s="385">
        <f t="shared" si="120"/>
        <v>19.188843281957194</v>
      </c>
      <c r="F303" s="385">
        <f t="shared" si="99"/>
        <v>19.189617456211096</v>
      </c>
      <c r="G303" s="110">
        <f t="shared" si="121"/>
        <v>0.48533884295256874</v>
      </c>
      <c r="H303" s="414" t="b">
        <f>Wh_hp&gt;='2019'!Maxi_hp</f>
        <v>0</v>
      </c>
      <c r="I303" s="380">
        <f>IF(H303,Wh_hp,'2019'!Maxi_hp)</f>
        <v>35.127517240266528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1.8660116847336483E-2</v>
      </c>
      <c r="M303" s="845"/>
      <c r="N303" s="845"/>
      <c r="O303" s="48">
        <f>IF(t&lt;Tnet,'2019'!Resal+('2019'!Salim-'2019'!Resal)*(1-EXP(('2019'!Tnet-t)/('2019'!Tau_j))),Resal+(Salim-Resal)*(1-EXP((Tnet-t)/(Tau_j))))*Salcycl</f>
        <v>4.7038803210662457E-2</v>
      </c>
      <c r="P303" s="169">
        <f>(INDEX(Models!$BJ303:$BT303,,T303)*(1-R303)+INDEX(Models!$BJ303:$BT303,,T303+1)*R303-ERP_i)*Q303*Ramure*Pc/MaxiM</f>
        <v>1.5232691393223256E-4</v>
      </c>
      <c r="Q303" s="305">
        <f t="shared" si="101"/>
        <v>0.5</v>
      </c>
      <c r="R303" s="177">
        <f t="shared" si="102"/>
        <v>0.4949667825882067</v>
      </c>
      <c r="S303" s="811">
        <f t="shared" si="103"/>
        <v>-1</v>
      </c>
      <c r="T303" s="176">
        <f t="shared" si="104"/>
        <v>5</v>
      </c>
      <c r="U303" s="251">
        <f t="shared" si="105"/>
        <v>-0.5050332174117933</v>
      </c>
      <c r="V303" s="383">
        <f t="shared" si="106"/>
        <v>36.970027507920371</v>
      </c>
      <c r="W303" s="402"/>
      <c r="X303" s="157">
        <f t="shared" si="107"/>
        <v>44119</v>
      </c>
      <c r="Y303" s="385">
        <f t="shared" si="108"/>
        <v>17.945</v>
      </c>
      <c r="Z303" s="385">
        <f t="shared" si="109"/>
        <v>18.286223058976969</v>
      </c>
      <c r="AA303" s="386">
        <f t="shared" si="110"/>
        <v>19.188843281957194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4.7038803210662457E-2</v>
      </c>
      <c r="AD303" s="231">
        <f>(INDEX(Models!$BJ303:$BT303,,AH303)*(1-AF303)+INDEX(Models!$BJ303:$BT303,,AH303+1)*AF303-ERP_i)*AE303*Ramure*Pc/MaxiM</f>
        <v>1.5232691393223256E-4</v>
      </c>
      <c r="AE303" s="305">
        <f t="shared" si="112"/>
        <v>0.5</v>
      </c>
      <c r="AF303" s="177">
        <f t="shared" si="113"/>
        <v>0.4949667825882067</v>
      </c>
      <c r="AG303" s="811">
        <f t="shared" si="119"/>
        <v>-1</v>
      </c>
      <c r="AH303" s="176">
        <f t="shared" si="114"/>
        <v>5</v>
      </c>
      <c r="AI303" s="225">
        <f t="shared" si="115"/>
        <v>-0.5050332174117933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7">
        <v>9.5489999999999995</v>
      </c>
      <c r="C304" s="390"/>
      <c r="D304" s="393">
        <f t="shared" si="98"/>
        <v>9.7307867703388702</v>
      </c>
      <c r="E304" s="385">
        <f t="shared" si="120"/>
        <v>10.211510895026963</v>
      </c>
      <c r="F304" s="385">
        <f t="shared" si="99"/>
        <v>10.211510895026963</v>
      </c>
      <c r="G304" s="110">
        <f t="shared" si="121"/>
        <v>0.26045506029334164</v>
      </c>
      <c r="H304" s="414" t="b">
        <f>Wh_hp&gt;='2019'!Maxi_hp</f>
        <v>0</v>
      </c>
      <c r="I304" s="380">
        <f>IF(H304,Wh_hp,'2019'!Maxi_hp)</f>
        <v>21.822298308807774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1.8681610709319951E-2</v>
      </c>
      <c r="M304" s="845"/>
      <c r="N304" s="845"/>
      <c r="O304" s="48">
        <f>IF(t&lt;Tnet,'2019'!Resal+('2019'!Salim-'2019'!Resal)*(1-EXP(('2019'!Tnet-t)/('2019'!Tau_j))),Resal+(Salim-Resal)*(1-EXP((Tnet-t)/(Tau_j))))*Salcycl</f>
        <v>4.7076689202007048E-2</v>
      </c>
      <c r="P304" s="169">
        <f>(INDEX(Models!$BJ304:$BT304,,T304)*(1-R304)+INDEX(Models!$BJ304:$BT304,,T304+1)*R304-ERP_i)*Q304*Ramure*Pc/MaxiM</f>
        <v>1.5192806785782235E-4</v>
      </c>
      <c r="Q304" s="305">
        <f t="shared" si="101"/>
        <v>0.5</v>
      </c>
      <c r="R304" s="177">
        <f t="shared" si="102"/>
        <v>0.49507046515345154</v>
      </c>
      <c r="S304" s="811">
        <f t="shared" si="103"/>
        <v>-1</v>
      </c>
      <c r="T304" s="176">
        <f t="shared" si="104"/>
        <v>5</v>
      </c>
      <c r="U304" s="251">
        <f t="shared" si="105"/>
        <v>-0.50492953484654846</v>
      </c>
      <c r="V304" s="383">
        <f t="shared" si="106"/>
        <v>36.657184652611264</v>
      </c>
      <c r="W304" s="402"/>
      <c r="X304" s="157">
        <f t="shared" si="107"/>
        <v>44120</v>
      </c>
      <c r="Y304" s="385">
        <f t="shared" si="108"/>
        <v>9.5489999999999995</v>
      </c>
      <c r="Z304" s="385">
        <f t="shared" si="109"/>
        <v>9.7307867703388702</v>
      </c>
      <c r="AA304" s="386">
        <f t="shared" si="110"/>
        <v>10.211510895026963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4.7076689202007048E-2</v>
      </c>
      <c r="AD304" s="231">
        <f>(INDEX(Models!$BJ304:$BT304,,AH304)*(1-AF304)+INDEX(Models!$BJ304:$BT304,,AH304+1)*AF304-ERP_i)*AE304*Ramure*Pc/MaxiM</f>
        <v>1.5192806785782235E-4</v>
      </c>
      <c r="AE304" s="305">
        <f t="shared" si="112"/>
        <v>0.5</v>
      </c>
      <c r="AF304" s="177">
        <f t="shared" si="113"/>
        <v>0.49507046515345154</v>
      </c>
      <c r="AG304" s="811">
        <f t="shared" si="119"/>
        <v>-1</v>
      </c>
      <c r="AH304" s="176">
        <f t="shared" si="114"/>
        <v>5</v>
      </c>
      <c r="AI304" s="225">
        <f t="shared" si="115"/>
        <v>-0.50492953484654846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7">
        <v>35.335000000000001</v>
      </c>
      <c r="C305" s="390"/>
      <c r="D305" s="393">
        <f t="shared" si="98"/>
        <v>36.008470166015918</v>
      </c>
      <c r="E305" s="385">
        <f t="shared" si="120"/>
        <v>37.788848873852181</v>
      </c>
      <c r="F305" s="385">
        <f t="shared" si="99"/>
        <v>37.794322636082605</v>
      </c>
      <c r="G305" s="110">
        <f t="shared" si="121"/>
        <v>0.97224874727643562</v>
      </c>
      <c r="H305" s="414" t="b">
        <f>Wh_hp&gt;='2019'!Maxi_hp</f>
        <v>1</v>
      </c>
      <c r="I305" s="380">
        <f>IF(H305,Wh_hp,'2019'!Maxi_hp)</f>
        <v>37.794322636082605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1.8703104100532664E-2</v>
      </c>
      <c r="M305" s="845"/>
      <c r="N305" s="845"/>
      <c r="O305" s="48">
        <f>IF(t&lt;Tnet,'2019'!Resal+('2019'!Salim-'2019'!Resal)*(1-EXP(('2019'!Tnet-t)/('2019'!Tau_j))),Resal+(Salim-Resal)*(1-EXP((Tnet-t)/(Tau_j))))*Salcycl</f>
        <v>4.7113864563050716E-2</v>
      </c>
      <c r="P305" s="169">
        <f>(INDEX(Models!$BJ305:$BT305,,T305)*(1-R305)+INDEX(Models!$BJ305:$BT305,,T305+1)*R305-ERP_i)*Q305*Ramure*Pc/MaxiM</f>
        <v>1.5080774490983039E-4</v>
      </c>
      <c r="Q305" s="305">
        <f t="shared" si="101"/>
        <v>0.5</v>
      </c>
      <c r="R305" s="177">
        <f t="shared" si="102"/>
        <v>0.49517001374389202</v>
      </c>
      <c r="S305" s="811">
        <f t="shared" si="103"/>
        <v>-1</v>
      </c>
      <c r="T305" s="176">
        <f t="shared" si="104"/>
        <v>5</v>
      </c>
      <c r="U305" s="251">
        <f t="shared" si="105"/>
        <v>-0.50482998625610798</v>
      </c>
      <c r="V305" s="383">
        <f t="shared" si="106"/>
        <v>36.34336259581039</v>
      </c>
      <c r="W305" s="402"/>
      <c r="X305" s="157">
        <f t="shared" si="107"/>
        <v>44121</v>
      </c>
      <c r="Y305" s="385">
        <f t="shared" si="108"/>
        <v>35.335000000000001</v>
      </c>
      <c r="Z305" s="385">
        <f t="shared" si="109"/>
        <v>36.008470166015918</v>
      </c>
      <c r="AA305" s="386">
        <f t="shared" si="110"/>
        <v>37.788848873852181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4.7113864563050716E-2</v>
      </c>
      <c r="AD305" s="231">
        <f>(INDEX(Models!$BJ305:$BT305,,AH305)*(1-AF305)+INDEX(Models!$BJ305:$BT305,,AH305+1)*AF305-ERP_i)*AE305*Ramure*Pc/MaxiM</f>
        <v>1.5080774490983039E-4</v>
      </c>
      <c r="AE305" s="305">
        <f t="shared" si="112"/>
        <v>0.5</v>
      </c>
      <c r="AF305" s="177">
        <f t="shared" si="113"/>
        <v>0.49517001374389202</v>
      </c>
      <c r="AG305" s="811">
        <f t="shared" si="119"/>
        <v>-1</v>
      </c>
      <c r="AH305" s="176">
        <f t="shared" si="114"/>
        <v>5</v>
      </c>
      <c r="AI305" s="225">
        <f t="shared" si="115"/>
        <v>-0.50482998625610798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7">
        <v>35.259</v>
      </c>
      <c r="C306" s="390"/>
      <c r="D306" s="393">
        <f t="shared" si="98"/>
        <v>35.931808636962266</v>
      </c>
      <c r="E306" s="385">
        <f t="shared" si="120"/>
        <v>37.709840818457167</v>
      </c>
      <c r="F306" s="385">
        <f t="shared" si="99"/>
        <v>37.715287299843339</v>
      </c>
      <c r="G306" s="110">
        <f t="shared" si="121"/>
        <v>0.97862493169662701</v>
      </c>
      <c r="H306" s="414" t="b">
        <f>Wh_hp&gt;='2019'!Maxi_hp</f>
        <v>1</v>
      </c>
      <c r="I306" s="380">
        <f>IF(H306,Wh_hp,'2019'!Maxi_hp)</f>
        <v>37.715287299843339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1.8724597020985057E-2</v>
      </c>
      <c r="M306" s="845"/>
      <c r="N306" s="845"/>
      <c r="O306" s="48">
        <f>IF(t&lt;Tnet,'2019'!Resal+('2019'!Salim-'2019'!Resal)*(1-EXP(('2019'!Tnet-t)/('2019'!Tau_j))),Resal+(Salim-Resal)*(1-EXP((Tnet-t)/(Tau_j))))*Salcycl</f>
        <v>4.7150349693988639E-2</v>
      </c>
      <c r="P306" s="169">
        <f>(INDEX(Models!$BJ306:$BT306,,T306)*(1-R306)+INDEX(Models!$BJ306:$BT306,,T306+1)*R306-ERP_i)*Q306*Ramure*Pc/MaxiM</f>
        <v>1.4895805191726379E-4</v>
      </c>
      <c r="Q306" s="305">
        <f t="shared" si="101"/>
        <v>0.5</v>
      </c>
      <c r="R306" s="177">
        <f t="shared" si="102"/>
        <v>0.49526559162532213</v>
      </c>
      <c r="S306" s="811">
        <f t="shared" si="103"/>
        <v>-1</v>
      </c>
      <c r="T306" s="176">
        <f t="shared" si="104"/>
        <v>5</v>
      </c>
      <c r="U306" s="251">
        <f t="shared" si="105"/>
        <v>-0.50473440837467787</v>
      </c>
      <c r="V306" s="383">
        <f t="shared" si="106"/>
        <v>36.028961137958682</v>
      </c>
      <c r="W306" s="402"/>
      <c r="X306" s="157">
        <f t="shared" si="107"/>
        <v>44122</v>
      </c>
      <c r="Y306" s="385">
        <f t="shared" si="108"/>
        <v>35.259</v>
      </c>
      <c r="Z306" s="385">
        <f t="shared" si="109"/>
        <v>35.931808636962266</v>
      </c>
      <c r="AA306" s="386">
        <f t="shared" si="110"/>
        <v>37.709840818457167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4.7150349693988639E-2</v>
      </c>
      <c r="AD306" s="231">
        <f>(INDEX(Models!$BJ306:$BT306,,AH306)*(1-AF306)+INDEX(Models!$BJ306:$BT306,,AH306+1)*AF306-ERP_i)*AE306*Ramure*Pc/MaxiM</f>
        <v>1.4895805191726379E-4</v>
      </c>
      <c r="AE306" s="305">
        <f t="shared" si="112"/>
        <v>0.5</v>
      </c>
      <c r="AF306" s="177">
        <f t="shared" si="113"/>
        <v>0.49526559162532213</v>
      </c>
      <c r="AG306" s="811">
        <f t="shared" si="119"/>
        <v>-1</v>
      </c>
      <c r="AH306" s="176">
        <f t="shared" si="114"/>
        <v>5</v>
      </c>
      <c r="AI306" s="225">
        <f t="shared" si="115"/>
        <v>-0.50473440837467787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7">
        <v>29.83</v>
      </c>
      <c r="C307" s="390"/>
      <c r="D307" s="393">
        <f t="shared" si="98"/>
        <v>30.399878848797609</v>
      </c>
      <c r="E307" s="385">
        <f t="shared" si="120"/>
        <v>31.905371031673443</v>
      </c>
      <c r="F307" s="385">
        <f t="shared" si="99"/>
        <v>31.908942257613869</v>
      </c>
      <c r="G307" s="110">
        <f t="shared" si="121"/>
        <v>0.83520901862407548</v>
      </c>
      <c r="H307" s="414" t="b">
        <f>Wh_hp&gt;='2019'!Maxi_hp</f>
        <v>1</v>
      </c>
      <c r="I307" s="380">
        <f>IF(H307,Wh_hp,'2019'!Maxi_hp)</f>
        <v>31.908942257613869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1.8746089470687233E-2</v>
      </c>
      <c r="M307" s="845"/>
      <c r="N307" s="845"/>
      <c r="O307" s="48">
        <f>IF(t&lt;Tnet,'2019'!Resal+('2019'!Salim-'2019'!Resal)*(1-EXP(('2019'!Tnet-t)/('2019'!Tau_j))),Resal+(Salim-Resal)*(1-EXP((Tnet-t)/(Tau_j))))*Salcycl</f>
        <v>4.718616753841498E-2</v>
      </c>
      <c r="P307" s="169">
        <f>(INDEX(Models!$BJ307:$BT307,,T307)*(1-R307)+INDEX(Models!$BJ307:$BT307,,T307+1)*R307-ERP_i)*Q307*Ramure*Pc/MaxiM</f>
        <v>1.4637138575814164E-4</v>
      </c>
      <c r="Q307" s="305">
        <f t="shared" si="101"/>
        <v>0.5</v>
      </c>
      <c r="R307" s="177">
        <f t="shared" si="102"/>
        <v>0.49535735573831552</v>
      </c>
      <c r="S307" s="811">
        <f t="shared" si="103"/>
        <v>-1</v>
      </c>
      <c r="T307" s="176">
        <f t="shared" si="104"/>
        <v>5</v>
      </c>
      <c r="U307" s="251">
        <f t="shared" si="105"/>
        <v>-0.50464264426168448</v>
      </c>
      <c r="V307" s="383">
        <f t="shared" si="106"/>
        <v>35.714379890058595</v>
      </c>
      <c r="W307" s="402"/>
      <c r="X307" s="157">
        <f t="shared" si="107"/>
        <v>44123</v>
      </c>
      <c r="Y307" s="385">
        <f t="shared" si="108"/>
        <v>29.83</v>
      </c>
      <c r="Z307" s="385">
        <f t="shared" si="109"/>
        <v>30.399878848797609</v>
      </c>
      <c r="AA307" s="386">
        <f t="shared" si="110"/>
        <v>31.905371031673443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4.718616753841498E-2</v>
      </c>
      <c r="AD307" s="231">
        <f>(INDEX(Models!$BJ307:$BT307,,AH307)*(1-AF307)+INDEX(Models!$BJ307:$BT307,,AH307+1)*AF307-ERP_i)*AE307*Ramure*Pc/MaxiM</f>
        <v>1.4637138575814164E-4</v>
      </c>
      <c r="AE307" s="305">
        <f t="shared" si="112"/>
        <v>0.5</v>
      </c>
      <c r="AF307" s="177">
        <f t="shared" si="113"/>
        <v>0.49535735573831552</v>
      </c>
      <c r="AG307" s="811">
        <f t="shared" si="119"/>
        <v>-1</v>
      </c>
      <c r="AH307" s="176">
        <f t="shared" si="114"/>
        <v>5</v>
      </c>
      <c r="AI307" s="225">
        <f t="shared" si="115"/>
        <v>-0.50464264426168448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7">
        <v>5.7309999999999999</v>
      </c>
      <c r="C308" s="390"/>
      <c r="D308" s="393">
        <f t="shared" si="98"/>
        <v>5.8406142027663979</v>
      </c>
      <c r="E308" s="385">
        <f t="shared" si="120"/>
        <v>6.1300850552227795</v>
      </c>
      <c r="F308" s="385">
        <f t="shared" si="99"/>
        <v>6.1300850552227795</v>
      </c>
      <c r="G308" s="110">
        <f t="shared" si="121"/>
        <v>0.1618694145565667</v>
      </c>
      <c r="H308" s="414" t="b">
        <f>Wh_hp&gt;='2019'!Maxi_hp</f>
        <v>0</v>
      </c>
      <c r="I308" s="380">
        <f>IF(H308,Wh_hp,'2019'!Maxi_hp)</f>
        <v>24.59946864863414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1.8767581449649517E-2</v>
      </c>
      <c r="M308" s="845"/>
      <c r="N308" s="845"/>
      <c r="O308" s="48">
        <f>IF(t&lt;Tnet,'2019'!Resal+('2019'!Salim-'2019'!Resal)*(1-EXP(('2019'!Tnet-t)/('2019'!Tau_j))),Resal+(Salim-Resal)*(1-EXP((Tnet-t)/(Tau_j))))*Salcycl</f>
        <v>4.7221343561906243E-2</v>
      </c>
      <c r="P308" s="169">
        <f>(INDEX(Models!$BJ308:$BT308,,T308)*(1-R308)+INDEX(Models!$BJ308:$BT308,,T308+1)*R308-ERP_i)*Q308*Ramure*Pc/MaxiM</f>
        <v>1.4304049265717126E-4</v>
      </c>
      <c r="Q308" s="305">
        <f t="shared" si="101"/>
        <v>0.5</v>
      </c>
      <c r="R308" s="177">
        <f t="shared" si="102"/>
        <v>0.49544545693360087</v>
      </c>
      <c r="S308" s="811">
        <f t="shared" si="103"/>
        <v>-1</v>
      </c>
      <c r="T308" s="176">
        <f t="shared" si="104"/>
        <v>5</v>
      </c>
      <c r="U308" s="251">
        <f t="shared" si="105"/>
        <v>-0.50455454306639913</v>
      </c>
      <c r="V308" s="383">
        <f t="shared" si="106"/>
        <v>35.400018284084915</v>
      </c>
      <c r="W308" s="402"/>
      <c r="X308" s="157">
        <f t="shared" si="107"/>
        <v>44124</v>
      </c>
      <c r="Y308" s="385">
        <f t="shared" si="108"/>
        <v>5.7309999999999999</v>
      </c>
      <c r="Z308" s="385">
        <f t="shared" si="109"/>
        <v>5.8406142027663979</v>
      </c>
      <c r="AA308" s="386">
        <f t="shared" si="110"/>
        <v>6.1300850552227795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4.7221343561906243E-2</v>
      </c>
      <c r="AD308" s="231">
        <f>(INDEX(Models!$BJ308:$BT308,,AH308)*(1-AF308)+INDEX(Models!$BJ308:$BT308,,AH308+1)*AF308-ERP_i)*AE308*Ramure*Pc/MaxiM</f>
        <v>1.4304049265717126E-4</v>
      </c>
      <c r="AE308" s="305">
        <f t="shared" si="112"/>
        <v>0.5</v>
      </c>
      <c r="AF308" s="177">
        <f t="shared" si="113"/>
        <v>0.49544545693360087</v>
      </c>
      <c r="AG308" s="811">
        <f t="shared" si="119"/>
        <v>-1</v>
      </c>
      <c r="AH308" s="176">
        <f t="shared" si="114"/>
        <v>5</v>
      </c>
      <c r="AI308" s="225">
        <f t="shared" si="115"/>
        <v>-0.50455454306639913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7">
        <v>24.111999999999998</v>
      </c>
      <c r="C309" s="390"/>
      <c r="D309" s="393">
        <f t="shared" si="98"/>
        <v>24.573717368482804</v>
      </c>
      <c r="E309" s="385">
        <f t="shared" si="120"/>
        <v>25.792568556311423</v>
      </c>
      <c r="F309" s="385">
        <f t="shared" si="99"/>
        <v>25.794551330369501</v>
      </c>
      <c r="G309" s="110">
        <f t="shared" si="121"/>
        <v>0.68717760314334153</v>
      </c>
      <c r="H309" s="414" t="b">
        <f>Wh_hp&gt;='2019'!Maxi_hp</f>
        <v>1</v>
      </c>
      <c r="I309" s="380">
        <f>IF(H309,Wh_hp,'2019'!Maxi_hp)</f>
        <v>25.794551330369501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1.8789072957882458E-2</v>
      </c>
      <c r="M309" s="845"/>
      <c r="N309" s="845"/>
      <c r="O309" s="48">
        <f>IF(t&lt;Tnet,'2019'!Resal+('2019'!Salim-'2019'!Resal)*(1-EXP(('2019'!Tnet-t)/('2019'!Tau_j))),Resal+(Salim-Resal)*(1-EXP((Tnet-t)/(Tau_j))))*Salcycl</f>
        <v>4.725590571437558E-2</v>
      </c>
      <c r="P309" s="169">
        <f>(INDEX(Models!$BJ309:$BT309,,T309)*(1-R309)+INDEX(Models!$BJ309:$BT309,,T309+1)*R309-ERP_i)*Q309*Ramure*Pc/MaxiM</f>
        <v>1.3895852622879153E-4</v>
      </c>
      <c r="Q309" s="305">
        <f t="shared" si="101"/>
        <v>0.5</v>
      </c>
      <c r="R309" s="177">
        <f t="shared" si="102"/>
        <v>0.49553004019944669</v>
      </c>
      <c r="S309" s="811">
        <f t="shared" si="103"/>
        <v>-1</v>
      </c>
      <c r="T309" s="176">
        <f t="shared" si="104"/>
        <v>5</v>
      </c>
      <c r="U309" s="251">
        <f t="shared" si="105"/>
        <v>-0.50446995980055331</v>
      </c>
      <c r="V309" s="383">
        <f t="shared" si="106"/>
        <v>35.086275580633824</v>
      </c>
      <c r="W309" s="402"/>
      <c r="X309" s="157">
        <f t="shared" si="107"/>
        <v>44125</v>
      </c>
      <c r="Y309" s="385">
        <f t="shared" si="108"/>
        <v>24.111999999999998</v>
      </c>
      <c r="Z309" s="385">
        <f t="shared" si="109"/>
        <v>24.573717368482804</v>
      </c>
      <c r="AA309" s="386">
        <f t="shared" si="110"/>
        <v>25.792568556311423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4.725590571437558E-2</v>
      </c>
      <c r="AD309" s="231">
        <f>(INDEX(Models!$BJ309:$BT309,,AH309)*(1-AF309)+INDEX(Models!$BJ309:$BT309,,AH309+1)*AF309-ERP_i)*AE309*Ramure*Pc/MaxiM</f>
        <v>1.3895852622879153E-4</v>
      </c>
      <c r="AE309" s="305">
        <f t="shared" si="112"/>
        <v>0.5</v>
      </c>
      <c r="AF309" s="177">
        <f t="shared" si="113"/>
        <v>0.49553004019944669</v>
      </c>
      <c r="AG309" s="811">
        <f t="shared" si="119"/>
        <v>-1</v>
      </c>
      <c r="AH309" s="176">
        <f t="shared" si="114"/>
        <v>5</v>
      </c>
      <c r="AI309" s="225">
        <f t="shared" si="115"/>
        <v>-0.50446995980055331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7">
        <v>4.7880000000000003</v>
      </c>
      <c r="C310" s="390"/>
      <c r="D310" s="393">
        <f t="shared" si="98"/>
        <v>4.8797916327928483</v>
      </c>
      <c r="E310" s="385">
        <f t="shared" si="120"/>
        <v>5.1220109378150083</v>
      </c>
      <c r="F310" s="385">
        <f t="shared" si="99"/>
        <v>5.1220109378150083</v>
      </c>
      <c r="G310" s="110">
        <f t="shared" si="121"/>
        <v>0.13767238940078033</v>
      </c>
      <c r="H310" s="414" t="b">
        <f>Wh_hp&gt;='2019'!Maxi_hp</f>
        <v>0</v>
      </c>
      <c r="I310" s="380">
        <f>IF(H310,Wh_hp,'2019'!Maxi_hp)</f>
        <v>37.419724893736571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1.8810563995396046E-2</v>
      </c>
      <c r="M310" s="845"/>
      <c r="N310" s="845"/>
      <c r="O310" s="48">
        <f>IF(t&lt;Tnet,'2019'!Resal+('2019'!Salim-'2019'!Resal)*(1-EXP(('2019'!Tnet-t)/('2019'!Tau_j))),Resal+(Salim-Resal)*(1-EXP((Tnet-t)/(Tau_j))))*Salcycl</f>
        <v>4.7289884376054886E-2</v>
      </c>
      <c r="P310" s="169">
        <f>(INDEX(Models!$BJ310:$BT310,,T310)*(1-R310)+INDEX(Models!$BJ310:$BT310,,T310+1)*R310-ERP_i)*Q310*Ramure*Pc/MaxiM</f>
        <v>1.3447028400928455E-4</v>
      </c>
      <c r="Q310" s="305">
        <f t="shared" si="101"/>
        <v>0.5</v>
      </c>
      <c r="R310" s="177">
        <f t="shared" si="102"/>
        <v>0.49561124488126851</v>
      </c>
      <c r="S310" s="811">
        <f t="shared" si="103"/>
        <v>-1</v>
      </c>
      <c r="T310" s="176">
        <f t="shared" si="104"/>
        <v>5</v>
      </c>
      <c r="U310" s="251">
        <f t="shared" si="105"/>
        <v>-0.50438875511873149</v>
      </c>
      <c r="V310" s="383">
        <f t="shared" si="106"/>
        <v>34.7735386675364</v>
      </c>
      <c r="W310" s="402"/>
      <c r="X310" s="157">
        <f t="shared" si="107"/>
        <v>44126</v>
      </c>
      <c r="Y310" s="385">
        <f t="shared" si="108"/>
        <v>4.7880000000000003</v>
      </c>
      <c r="Z310" s="385">
        <f t="shared" si="109"/>
        <v>4.8797916327928483</v>
      </c>
      <c r="AA310" s="386">
        <f t="shared" si="110"/>
        <v>5.1220109378150083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4.7289884376054886E-2</v>
      </c>
      <c r="AD310" s="231">
        <f>(INDEX(Models!$BJ310:$BT310,,AH310)*(1-AF310)+INDEX(Models!$BJ310:$BT310,,AH310+1)*AF310-ERP_i)*AE310*Ramure*Pc/MaxiM</f>
        <v>1.3447028400928455E-4</v>
      </c>
      <c r="AE310" s="305">
        <f t="shared" si="112"/>
        <v>0.5</v>
      </c>
      <c r="AF310" s="177">
        <f t="shared" si="113"/>
        <v>0.49561124488126851</v>
      </c>
      <c r="AG310" s="811">
        <f t="shared" si="119"/>
        <v>-1</v>
      </c>
      <c r="AH310" s="176">
        <f t="shared" si="114"/>
        <v>5</v>
      </c>
      <c r="AI310" s="225">
        <f t="shared" si="115"/>
        <v>-0.50438875511873149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7">
        <v>9.7910000000000004</v>
      </c>
      <c r="C311" s="390"/>
      <c r="D311" s="393">
        <f t="shared" si="98"/>
        <v>9.9789236343541958</v>
      </c>
      <c r="E311" s="385">
        <f t="shared" si="120"/>
        <v>10.474617215952495</v>
      </c>
      <c r="F311" s="385">
        <f t="shared" si="99"/>
        <v>10.474617215952495</v>
      </c>
      <c r="G311" s="110">
        <f t="shared" si="121"/>
        <v>0.28407151726972146</v>
      </c>
      <c r="H311" s="414" t="b">
        <f>Wh_hp&gt;='2019'!Maxi_hp</f>
        <v>0</v>
      </c>
      <c r="I311" s="380">
        <f>IF(H311,Wh_hp,'2019'!Maxi_hp)</f>
        <v>35.856341166256932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1.8832054562200939E-2</v>
      </c>
      <c r="M311" s="845"/>
      <c r="N311" s="845"/>
      <c r="O311" s="48">
        <f>IF(t&lt;Tnet,'2019'!Resal+('2019'!Salim-'2019'!Resal)*(1-EXP(('2019'!Tnet-t)/('2019'!Tau_j))),Resal+(Salim-Resal)*(1-EXP((Tnet-t)/(Tau_j))))*Salcycl</f>
        <v>4.7323312287094764E-2</v>
      </c>
      <c r="P311" s="169">
        <f>(INDEX(Models!$BJ311:$BT311,,T311)*(1-R311)+INDEX(Models!$BJ311:$BT311,,T311+1)*R311-ERP_i)*Q311*Ramure*Pc/MaxiM</f>
        <v>1.3030377818896597E-4</v>
      </c>
      <c r="Q311" s="305">
        <f t="shared" si="101"/>
        <v>0.5</v>
      </c>
      <c r="R311" s="177">
        <f t="shared" si="102"/>
        <v>0.49568920489366119</v>
      </c>
      <c r="S311" s="811">
        <f t="shared" si="103"/>
        <v>-1</v>
      </c>
      <c r="T311" s="176">
        <f t="shared" si="104"/>
        <v>5</v>
      </c>
      <c r="U311" s="251">
        <f t="shared" si="105"/>
        <v>-0.50431079510633881</v>
      </c>
      <c r="V311" s="383">
        <f t="shared" si="106"/>
        <v>34.462181530197427</v>
      </c>
      <c r="W311" s="402"/>
      <c r="X311" s="157">
        <f t="shared" si="107"/>
        <v>44127</v>
      </c>
      <c r="Y311" s="385">
        <f t="shared" si="108"/>
        <v>9.7910000000000004</v>
      </c>
      <c r="Z311" s="385">
        <f t="shared" si="109"/>
        <v>9.9789236343541958</v>
      </c>
      <c r="AA311" s="386">
        <f t="shared" si="110"/>
        <v>10.474617215952495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4.7323312287094764E-2</v>
      </c>
      <c r="AD311" s="231">
        <f>(INDEX(Models!$BJ311:$BT311,,AH311)*(1-AF311)+INDEX(Models!$BJ311:$BT311,,AH311+1)*AF311-ERP_i)*AE311*Ramure*Pc/MaxiM</f>
        <v>1.3030377818896597E-4</v>
      </c>
      <c r="AE311" s="305">
        <f t="shared" si="112"/>
        <v>0.5</v>
      </c>
      <c r="AF311" s="177">
        <f t="shared" si="113"/>
        <v>0.49568920489366119</v>
      </c>
      <c r="AG311" s="811">
        <f t="shared" si="119"/>
        <v>-1</v>
      </c>
      <c r="AH311" s="176">
        <f t="shared" si="114"/>
        <v>5</v>
      </c>
      <c r="AI311" s="225">
        <f t="shared" si="115"/>
        <v>-0.50431079510633881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7">
        <v>29.824999999999999</v>
      </c>
      <c r="C312" s="390"/>
      <c r="D312" s="393">
        <f t="shared" si="98"/>
        <v>30.398112165235496</v>
      </c>
      <c r="E312" s="385">
        <f t="shared" si="120"/>
        <v>31.909211969640481</v>
      </c>
      <c r="F312" s="385">
        <f t="shared" si="99"/>
        <v>31.912517184513508</v>
      </c>
      <c r="G312" s="110">
        <f t="shared" si="121"/>
        <v>0.87326628051285948</v>
      </c>
      <c r="H312" s="414" t="b">
        <f>Wh_hp&gt;='2019'!Maxi_hp</f>
        <v>0</v>
      </c>
      <c r="I312" s="380">
        <f>IF(H312,Wh_hp,'2019'!Maxi_hp)</f>
        <v>35.926796289859503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1.8853544658307131E-2</v>
      </c>
      <c r="M312" s="845"/>
      <c r="N312" s="845"/>
      <c r="O312" s="48">
        <f>IF(t&lt;Tnet,'2019'!Resal+('2019'!Salim-'2019'!Resal)*(1-EXP(('2019'!Tnet-t)/('2019'!Tau_j))),Resal+(Salim-Resal)*(1-EXP((Tnet-t)/(Tau_j))))*Salcycl</f>
        <v>4.7356224460907946E-2</v>
      </c>
      <c r="P312" s="169">
        <f>(INDEX(Models!$BJ312:$BT312,,T312)*(1-R312)+INDEX(Models!$BJ312:$BT312,,T312+1)*R312-ERP_i)*Q312*Ramure*Pc/MaxiM</f>
        <v>1.2646348126621172E-4</v>
      </c>
      <c r="Q312" s="305">
        <f t="shared" si="101"/>
        <v>0.5</v>
      </c>
      <c r="R312" s="177">
        <f t="shared" si="102"/>
        <v>0.49576404892506942</v>
      </c>
      <c r="S312" s="811">
        <f t="shared" si="103"/>
        <v>-1</v>
      </c>
      <c r="T312" s="176">
        <f t="shared" si="104"/>
        <v>5</v>
      </c>
      <c r="U312" s="251">
        <f t="shared" si="105"/>
        <v>-0.50423595107493058</v>
      </c>
      <c r="V312" s="383">
        <f t="shared" si="106"/>
        <v>34.152603655819412</v>
      </c>
      <c r="W312" s="402"/>
      <c r="X312" s="157">
        <f t="shared" si="107"/>
        <v>44128</v>
      </c>
      <c r="Y312" s="385">
        <f t="shared" si="108"/>
        <v>29.824999999999999</v>
      </c>
      <c r="Z312" s="385">
        <f t="shared" si="109"/>
        <v>30.398112165235496</v>
      </c>
      <c r="AA312" s="386">
        <f t="shared" si="110"/>
        <v>31.909211969640481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4.7356224460907946E-2</v>
      </c>
      <c r="AD312" s="231">
        <f>(INDEX(Models!$BJ312:$BT312,,AH312)*(1-AF312)+INDEX(Models!$BJ312:$BT312,,AH312+1)*AF312-ERP_i)*AE312*Ramure*Pc/MaxiM</f>
        <v>1.2646348126621172E-4</v>
      </c>
      <c r="AE312" s="305">
        <f t="shared" si="112"/>
        <v>0.5</v>
      </c>
      <c r="AF312" s="177">
        <f t="shared" si="113"/>
        <v>0.49576404892506942</v>
      </c>
      <c r="AG312" s="811">
        <f t="shared" si="119"/>
        <v>-1</v>
      </c>
      <c r="AH312" s="176">
        <f t="shared" si="114"/>
        <v>5</v>
      </c>
      <c r="AI312" s="225">
        <f t="shared" si="115"/>
        <v>-0.50423595107493058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7">
        <v>22.292999999999999</v>
      </c>
      <c r="C313" s="390"/>
      <c r="D313" s="393">
        <f t="shared" si="98"/>
        <v>22.721876192116763</v>
      </c>
      <c r="E313" s="385">
        <f t="shared" si="120"/>
        <v>23.852199939543798</v>
      </c>
      <c r="F313" s="385">
        <f t="shared" si="99"/>
        <v>23.853702725737847</v>
      </c>
      <c r="G313" s="110">
        <f t="shared" si="121"/>
        <v>0.65863580225654195</v>
      </c>
      <c r="H313" s="414" t="b">
        <f>Wh_hp&gt;='2019'!Maxi_hp</f>
        <v>0</v>
      </c>
      <c r="I313" s="380">
        <f>IF(H313,Wh_hp,'2019'!Maxi_hp)</f>
        <v>37.208706699200022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1.8875034283725167E-2</v>
      </c>
      <c r="M313" s="845"/>
      <c r="N313" s="845"/>
      <c r="O313" s="48">
        <f>IF(t&lt;Tnet,'2019'!Resal+('2019'!Salim-'2019'!Resal)*(1-EXP(('2019'!Tnet-t)/('2019'!Tau_j))),Resal+(Salim-Resal)*(1-EXP((Tnet-t)/(Tau_j))))*Salcycl</f>
        <v>4.7388658081517585E-2</v>
      </c>
      <c r="P313" s="169">
        <f>(INDEX(Models!$BJ313:$BT313,,T313)*(1-R313)+INDEX(Models!$BJ313:$BT313,,T313+1)*R313-ERP_i)*Q313*Ramure*Pc/MaxiM</f>
        <v>1.2295267194034824E-4</v>
      </c>
      <c r="Q313" s="305">
        <f t="shared" si="101"/>
        <v>0.5</v>
      </c>
      <c r="R313" s="177">
        <f t="shared" si="102"/>
        <v>0.49583590063529892</v>
      </c>
      <c r="S313" s="811">
        <f t="shared" si="103"/>
        <v>-1</v>
      </c>
      <c r="T313" s="176">
        <f t="shared" si="104"/>
        <v>5</v>
      </c>
      <c r="U313" s="251">
        <f t="shared" si="105"/>
        <v>-0.50416409936470108</v>
      </c>
      <c r="V313" s="383">
        <f t="shared" si="106"/>
        <v>33.845204462369132</v>
      </c>
      <c r="W313" s="402"/>
      <c r="X313" s="157">
        <f t="shared" si="107"/>
        <v>44129</v>
      </c>
      <c r="Y313" s="385">
        <f t="shared" si="108"/>
        <v>22.292999999999999</v>
      </c>
      <c r="Z313" s="385">
        <f t="shared" si="109"/>
        <v>22.721876192116763</v>
      </c>
      <c r="AA313" s="386">
        <f t="shared" si="110"/>
        <v>23.852199939543798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4.7388658081517585E-2</v>
      </c>
      <c r="AD313" s="231">
        <f>(INDEX(Models!$BJ313:$BT313,,AH313)*(1-AF313)+INDEX(Models!$BJ313:$BT313,,AH313+1)*AF313-ERP_i)*AE313*Ramure*Pc/MaxiM</f>
        <v>1.2295267194034824E-4</v>
      </c>
      <c r="AE313" s="305">
        <f t="shared" si="112"/>
        <v>0.5</v>
      </c>
      <c r="AF313" s="177">
        <f t="shared" si="113"/>
        <v>0.49583590063529892</v>
      </c>
      <c r="AG313" s="811">
        <f t="shared" si="119"/>
        <v>-1</v>
      </c>
      <c r="AH313" s="176">
        <f t="shared" si="114"/>
        <v>5</v>
      </c>
      <c r="AI313" s="225">
        <f t="shared" si="115"/>
        <v>-0.50416409936470108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7">
        <v>25.364999999999998</v>
      </c>
      <c r="C314" s="390"/>
      <c r="D314" s="393">
        <f t="shared" si="98"/>
        <v>25.853542063571624</v>
      </c>
      <c r="E314" s="385">
        <f t="shared" si="120"/>
        <v>27.140565379997202</v>
      </c>
      <c r="F314" s="385">
        <f t="shared" si="99"/>
        <v>27.14268434908648</v>
      </c>
      <c r="G314" s="110">
        <f t="shared" si="121"/>
        <v>0.75622099551351041</v>
      </c>
      <c r="H314" s="414" t="b">
        <f>Wh_hp&gt;='2019'!Maxi_hp</f>
        <v>1</v>
      </c>
      <c r="I314" s="380">
        <f>IF(H314,Wh_hp,'2019'!Maxi_hp)</f>
        <v>27.14268434908648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1.8896523438465151E-2</v>
      </c>
      <c r="M314" s="845"/>
      <c r="N314" s="845"/>
      <c r="O314" s="48">
        <f>IF(t&lt;Tnet,'2019'!Resal+('2019'!Salim-'2019'!Resal)*(1-EXP(('2019'!Tnet-t)/('2019'!Tau_j))),Resal+(Salim-Resal)*(1-EXP((Tnet-t)/(Tau_j))))*Salcycl</f>
        <v>4.7420652385308279E-2</v>
      </c>
      <c r="P314" s="169">
        <f>(INDEX(Models!$BJ314:$BT314,,T314)*(1-R314)+INDEX(Models!$BJ314:$BT314,,T314+1)*R314-ERP_i)*Q314*Ramure*Pc/MaxiM</f>
        <v>1.1977455642386764E-4</v>
      </c>
      <c r="Q314" s="305">
        <f t="shared" si="101"/>
        <v>0.5</v>
      </c>
      <c r="R314" s="177">
        <f t="shared" si="102"/>
        <v>0.49590487884607626</v>
      </c>
      <c r="S314" s="811">
        <f t="shared" si="103"/>
        <v>-1</v>
      </c>
      <c r="T314" s="176">
        <f t="shared" si="104"/>
        <v>5</v>
      </c>
      <c r="U314" s="251">
        <f t="shared" si="105"/>
        <v>-0.50409512115392374</v>
      </c>
      <c r="V314" s="383">
        <f t="shared" si="106"/>
        <v>33.540383268225973</v>
      </c>
      <c r="W314" s="402"/>
      <c r="X314" s="157">
        <f t="shared" si="107"/>
        <v>44130</v>
      </c>
      <c r="Y314" s="385">
        <f t="shared" si="108"/>
        <v>25.364999999999998</v>
      </c>
      <c r="Z314" s="385">
        <f t="shared" si="109"/>
        <v>25.853542063571624</v>
      </c>
      <c r="AA314" s="386">
        <f t="shared" si="110"/>
        <v>27.140565379997202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4.7420652385308279E-2</v>
      </c>
      <c r="AD314" s="231">
        <f>(INDEX(Models!$BJ314:$BT314,,AH314)*(1-AF314)+INDEX(Models!$BJ314:$BT314,,AH314+1)*AF314-ERP_i)*AE314*Ramure*Pc/MaxiM</f>
        <v>1.1977455642386764E-4</v>
      </c>
      <c r="AE314" s="305">
        <f t="shared" si="112"/>
        <v>0.5</v>
      </c>
      <c r="AF314" s="177">
        <f t="shared" si="113"/>
        <v>0.49590487884607626</v>
      </c>
      <c r="AG314" s="811">
        <f t="shared" si="119"/>
        <v>-1</v>
      </c>
      <c r="AH314" s="176">
        <f t="shared" si="114"/>
        <v>5</v>
      </c>
      <c r="AI314" s="225">
        <f t="shared" si="115"/>
        <v>-0.50409512115392374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7">
        <v>23.271000000000001</v>
      </c>
      <c r="C315" s="390"/>
      <c r="D315" s="393">
        <f t="shared" si="98"/>
        <v>23.719730142376804</v>
      </c>
      <c r="E315" s="385">
        <f t="shared" si="120"/>
        <v>24.901355449860482</v>
      </c>
      <c r="F315" s="385">
        <f t="shared" si="99"/>
        <v>24.903019933810778</v>
      </c>
      <c r="G315" s="110">
        <f t="shared" si="121"/>
        <v>0.70008594491197751</v>
      </c>
      <c r="H315" s="414" t="b">
        <f>Wh_hp&gt;='2019'!Maxi_hp</f>
        <v>1</v>
      </c>
      <c r="I315" s="380">
        <f>IF(H315,Wh_hp,'2019'!Maxi_hp)</f>
        <v>24.903019933810778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1.891801212253752E-2</v>
      </c>
      <c r="M315" s="845"/>
      <c r="N315" s="845"/>
      <c r="O315" s="48">
        <f>IF(t&lt;Tnet,'2019'!Resal+('2019'!Salim-'2019'!Resal)*(1-EXP(('2019'!Tnet-t)/('2019'!Tau_j))),Resal+(Salim-Resal)*(1-EXP((Tnet-t)/(Tau_j))))*Salcycl</f>
        <v>4.7452248527712126E-2</v>
      </c>
      <c r="P315" s="169">
        <f>(INDEX(Models!$BJ315:$BT315,,T315)*(1-R315)+INDEX(Models!$BJ315:$BT315,,T315+1)*R315-ERP_i)*Q315*Ramure*Pc/MaxiM</f>
        <v>1.1693224010249751E-4</v>
      </c>
      <c r="Q315" s="305">
        <f t="shared" si="101"/>
        <v>0.5</v>
      </c>
      <c r="R315" s="177">
        <f t="shared" si="102"/>
        <v>0.49597109772485837</v>
      </c>
      <c r="S315" s="811">
        <f t="shared" si="103"/>
        <v>-1</v>
      </c>
      <c r="T315" s="176">
        <f t="shared" si="104"/>
        <v>5</v>
      </c>
      <c r="U315" s="251">
        <f t="shared" si="105"/>
        <v>-0.50402890227514163</v>
      </c>
      <c r="V315" s="383">
        <f t="shared" si="106"/>
        <v>33.238539300778449</v>
      </c>
      <c r="W315" s="402"/>
      <c r="X315" s="157">
        <f t="shared" si="107"/>
        <v>44131</v>
      </c>
      <c r="Y315" s="385">
        <f t="shared" si="108"/>
        <v>23.271000000000001</v>
      </c>
      <c r="Z315" s="385">
        <f t="shared" si="109"/>
        <v>23.719730142376804</v>
      </c>
      <c r="AA315" s="386">
        <f t="shared" si="110"/>
        <v>24.901355449860482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4.7452248527712126E-2</v>
      </c>
      <c r="AD315" s="231">
        <f>(INDEX(Models!$BJ315:$BT315,,AH315)*(1-AF315)+INDEX(Models!$BJ315:$BT315,,AH315+1)*AF315-ERP_i)*AE315*Ramure*Pc/MaxiM</f>
        <v>1.1693224010249751E-4</v>
      </c>
      <c r="AE315" s="305">
        <f t="shared" si="112"/>
        <v>0.5</v>
      </c>
      <c r="AF315" s="177">
        <f t="shared" si="113"/>
        <v>0.49597109772485837</v>
      </c>
      <c r="AG315" s="811">
        <f t="shared" si="119"/>
        <v>-1</v>
      </c>
      <c r="AH315" s="176">
        <f t="shared" si="114"/>
        <v>5</v>
      </c>
      <c r="AI315" s="225">
        <f t="shared" si="115"/>
        <v>-0.50402890227514163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7">
        <v>13.029</v>
      </c>
      <c r="C316" s="390"/>
      <c r="D316" s="393">
        <f t="shared" si="98"/>
        <v>13.280526536805453</v>
      </c>
      <c r="E316" s="385">
        <f t="shared" si="120"/>
        <v>13.942568332946569</v>
      </c>
      <c r="F316" s="385">
        <f t="shared" si="99"/>
        <v>13.942786081721502</v>
      </c>
      <c r="G316" s="110">
        <f t="shared" si="121"/>
        <v>0.39549739550828072</v>
      </c>
      <c r="H316" s="414" t="b">
        <f>Wh_hp&gt;='2019'!Maxi_hp</f>
        <v>0</v>
      </c>
      <c r="I316" s="380">
        <f>IF(H316,Wh_hp,'2019'!Maxi_hp)</f>
        <v>29.923980500554308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1.8939500335952597E-2</v>
      </c>
      <c r="M316" s="845"/>
      <c r="N316" s="845"/>
      <c r="O316" s="48">
        <f>IF(t&lt;Tnet,'2019'!Resal+('2019'!Salim-'2019'!Resal)*(1-EXP(('2019'!Tnet-t)/('2019'!Tau_j))),Resal+(Salim-Resal)*(1-EXP((Tnet-t)/(Tau_j))))*Salcycl</f>
        <v>4.7483489435493603E-2</v>
      </c>
      <c r="P316" s="169">
        <f>(INDEX(Models!$BJ316:$BT316,,T316)*(1-R316)+INDEX(Models!$BJ316:$BT316,,T316+1)*R316-ERP_i)*Q316*Ramure*Pc/MaxiM</f>
        <v>1.1442869944893044E-4</v>
      </c>
      <c r="Q316" s="305">
        <f t="shared" si="101"/>
        <v>0.5</v>
      </c>
      <c r="R316" s="177">
        <f t="shared" si="102"/>
        <v>0.49603466696209453</v>
      </c>
      <c r="S316" s="811">
        <f t="shared" si="103"/>
        <v>-1</v>
      </c>
      <c r="T316" s="176">
        <f t="shared" si="104"/>
        <v>5</v>
      </c>
      <c r="U316" s="251">
        <f t="shared" si="105"/>
        <v>-0.50396533303790547</v>
      </c>
      <c r="V316" s="383">
        <f t="shared" si="106"/>
        <v>32.940071702678878</v>
      </c>
      <c r="W316" s="402"/>
      <c r="X316" s="157">
        <f t="shared" si="107"/>
        <v>44132</v>
      </c>
      <c r="Y316" s="385">
        <f t="shared" si="108"/>
        <v>13.029</v>
      </c>
      <c r="Z316" s="385">
        <f t="shared" si="109"/>
        <v>13.280526536805453</v>
      </c>
      <c r="AA316" s="386">
        <f t="shared" si="110"/>
        <v>13.942568332946569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4.7483489435493603E-2</v>
      </c>
      <c r="AD316" s="231">
        <f>(INDEX(Models!$BJ316:$BT316,,AH316)*(1-AF316)+INDEX(Models!$BJ316:$BT316,,AH316+1)*AF316-ERP_i)*AE316*Ramure*Pc/MaxiM</f>
        <v>1.1442869944893044E-4</v>
      </c>
      <c r="AE316" s="305">
        <f t="shared" si="112"/>
        <v>0.5</v>
      </c>
      <c r="AF316" s="177">
        <f t="shared" si="113"/>
        <v>0.49603466696209453</v>
      </c>
      <c r="AG316" s="811">
        <f t="shared" si="119"/>
        <v>-1</v>
      </c>
      <c r="AH316" s="176">
        <f t="shared" si="114"/>
        <v>5</v>
      </c>
      <c r="AI316" s="225">
        <f t="shared" si="115"/>
        <v>-0.50396533303790547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7">
        <v>28.318999999999999</v>
      </c>
      <c r="C317" s="390"/>
      <c r="D317" s="393">
        <f t="shared" si="98"/>
        <v>28.86633421900288</v>
      </c>
      <c r="E317" s="385">
        <f t="shared" si="120"/>
        <v>30.306321496496587</v>
      </c>
      <c r="F317" s="385">
        <f t="shared" si="99"/>
        <v>30.309080386765242</v>
      </c>
      <c r="G317" s="110">
        <f t="shared" si="121"/>
        <v>0.86750477913256763</v>
      </c>
      <c r="H317" s="414" t="b">
        <f>Wh_hp&gt;='2019'!Maxi_hp</f>
        <v>0</v>
      </c>
      <c r="I317" s="380">
        <f>IF(H317,Wh_hp,'2019'!Maxi_hp)</f>
        <v>33.09982659368044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1.8960988078720709E-2</v>
      </c>
      <c r="M317" s="845"/>
      <c r="N317" s="845"/>
      <c r="O317" s="48">
        <f>IF(t&lt;Tnet,'2019'!Resal+('2019'!Salim-'2019'!Resal)*(1-EXP(('2019'!Tnet-t)/('2019'!Tau_j))),Resal+(Salim-Resal)*(1-EXP((Tnet-t)/(Tau_j))))*Salcycl</f>
        <v>4.7514419645425111E-2</v>
      </c>
      <c r="P317" s="169">
        <f>(INDEX(Models!$BJ317:$BT317,,T317)*(1-R317)+INDEX(Models!$BJ317:$BT317,,T317+1)*R317-ERP_i)*Q317*Ramure*Pc/MaxiM</f>
        <v>1.1227319383215561E-4</v>
      </c>
      <c r="Q317" s="305">
        <f t="shared" si="101"/>
        <v>0.5</v>
      </c>
      <c r="R317" s="177">
        <f t="shared" si="102"/>
        <v>0.4960956919421371</v>
      </c>
      <c r="S317" s="811">
        <f t="shared" si="103"/>
        <v>-1</v>
      </c>
      <c r="T317" s="176">
        <f t="shared" si="104"/>
        <v>5</v>
      </c>
      <c r="U317" s="251">
        <f t="shared" si="105"/>
        <v>-0.5039043080578629</v>
      </c>
      <c r="V317" s="383">
        <f t="shared" si="106"/>
        <v>32.6435068769946</v>
      </c>
      <c r="W317" s="402"/>
      <c r="X317" s="157">
        <f t="shared" si="107"/>
        <v>44133</v>
      </c>
      <c r="Y317" s="385">
        <f t="shared" si="108"/>
        <v>28.318999999999999</v>
      </c>
      <c r="Z317" s="385">
        <f t="shared" si="109"/>
        <v>28.86633421900288</v>
      </c>
      <c r="AA317" s="386">
        <f t="shared" si="110"/>
        <v>30.306321496496587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4.7514419645425111E-2</v>
      </c>
      <c r="AD317" s="231">
        <f>(INDEX(Models!$BJ317:$BT317,,AH317)*(1-AF317)+INDEX(Models!$BJ317:$BT317,,AH317+1)*AF317-ERP_i)*AE317*Ramure*Pc/MaxiM</f>
        <v>1.1227319383215561E-4</v>
      </c>
      <c r="AE317" s="305">
        <f t="shared" si="112"/>
        <v>0.5</v>
      </c>
      <c r="AF317" s="177">
        <f t="shared" si="113"/>
        <v>0.4960956919421371</v>
      </c>
      <c r="AG317" s="811">
        <f t="shared" si="119"/>
        <v>-1</v>
      </c>
      <c r="AH317" s="176">
        <f t="shared" si="114"/>
        <v>5</v>
      </c>
      <c r="AI317" s="225">
        <f t="shared" si="115"/>
        <v>-0.5039043080578629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7">
        <v>31.308</v>
      </c>
      <c r="C318" s="390"/>
      <c r="D318" s="393">
        <f t="shared" si="98"/>
        <v>31.913802978389217</v>
      </c>
      <c r="E318" s="385">
        <f t="shared" si="120"/>
        <v>33.506890961609514</v>
      </c>
      <c r="F318" s="385">
        <f t="shared" si="99"/>
        <v>33.51042975379562</v>
      </c>
      <c r="G318" s="110">
        <f t="shared" si="121"/>
        <v>0.96786372253243858</v>
      </c>
      <c r="H318" s="414" t="b">
        <f>Wh_hp&gt;='2019'!Maxi_hp</f>
        <v>1</v>
      </c>
      <c r="I318" s="380">
        <f>IF(H318,Wh_hp,'2019'!Maxi_hp)</f>
        <v>33.51042975379562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1.8982475350851957E-2</v>
      </c>
      <c r="M318" s="845"/>
      <c r="N318" s="845"/>
      <c r="O318" s="48">
        <f>IF(t&lt;Tnet,'2019'!Resal+('2019'!Salim-'2019'!Resal)*(1-EXP(('2019'!Tnet-t)/('2019'!Tau_j))),Resal+(Salim-Resal)*(1-EXP((Tnet-t)/(Tau_j))))*Salcycl</f>
        <v>4.7545085130266986E-2</v>
      </c>
      <c r="P318" s="169">
        <f>(INDEX(Models!$BJ318:$BT318,,T318)*(1-R318)+INDEX(Models!$BJ318:$BT318,,T318+1)*R318-ERP_i)*Q318*Ramure*Pc/MaxiM</f>
        <v>1.1068328760896839E-4</v>
      </c>
      <c r="Q318" s="305">
        <f t="shared" si="101"/>
        <v>0.5</v>
      </c>
      <c r="R318" s="177">
        <f t="shared" si="102"/>
        <v>0.49615427390799804</v>
      </c>
      <c r="S318" s="811">
        <f t="shared" si="103"/>
        <v>-1</v>
      </c>
      <c r="T318" s="176">
        <f t="shared" si="104"/>
        <v>5</v>
      </c>
      <c r="U318" s="251">
        <f t="shared" si="105"/>
        <v>-0.50384572609200196</v>
      </c>
      <c r="V318" s="383">
        <f t="shared" si="106"/>
        <v>32.347364811391742</v>
      </c>
      <c r="W318" s="402"/>
      <c r="X318" s="157">
        <f t="shared" si="107"/>
        <v>44134</v>
      </c>
      <c r="Y318" s="385">
        <f t="shared" si="108"/>
        <v>31.308</v>
      </c>
      <c r="Z318" s="385">
        <f t="shared" si="109"/>
        <v>31.913802978389217</v>
      </c>
      <c r="AA318" s="386">
        <f t="shared" si="110"/>
        <v>33.506890961609514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4.7545085130266986E-2</v>
      </c>
      <c r="AD318" s="231">
        <f>(INDEX(Models!$BJ318:$BT318,,AH318)*(1-AF318)+INDEX(Models!$BJ318:$BT318,,AH318+1)*AF318-ERP_i)*AE318*Ramure*Pc/MaxiM</f>
        <v>1.1068328760896839E-4</v>
      </c>
      <c r="AE318" s="305">
        <f t="shared" si="112"/>
        <v>0.5</v>
      </c>
      <c r="AF318" s="177">
        <f t="shared" si="113"/>
        <v>0.49615427390799804</v>
      </c>
      <c r="AG318" s="811">
        <f t="shared" si="119"/>
        <v>-1</v>
      </c>
      <c r="AH318" s="176">
        <f t="shared" si="114"/>
        <v>5</v>
      </c>
      <c r="AI318" s="225">
        <f t="shared" si="115"/>
        <v>-0.50384572609200196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7">
        <v>30.248000000000001</v>
      </c>
      <c r="C319" s="390"/>
      <c r="D319" s="393">
        <f t="shared" si="98"/>
        <v>30.833967552372286</v>
      </c>
      <c r="E319" s="385">
        <f t="shared" si="120"/>
        <v>32.374186745911501</v>
      </c>
      <c r="F319" s="385">
        <f t="shared" si="99"/>
        <v>32.377451552901285</v>
      </c>
      <c r="G319" s="110">
        <f t="shared" si="121"/>
        <v>0.94370679938336255</v>
      </c>
      <c r="H319" s="414" t="b">
        <f>Wh_hp&gt;='2019'!Maxi_hp</f>
        <v>1</v>
      </c>
      <c r="I319" s="380">
        <f>IF(H319,Wh_hp,'2019'!Maxi_hp)</f>
        <v>32.377451552901285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1.900396215235689E-2</v>
      </c>
      <c r="M319" s="845"/>
      <c r="N319" s="845"/>
      <c r="O319" s="48">
        <f>IF(t&lt;Tnet,'2019'!Resal+('2019'!Salim-'2019'!Resal)*(1-EXP(('2019'!Tnet-t)/('2019'!Tau_j))),Resal+(Salim-Resal)*(1-EXP((Tnet-t)/(Tau_j))))*Salcycl</f>
        <v>4.7575533113082089E-2</v>
      </c>
      <c r="P319" s="169">
        <f>(INDEX(Models!$BJ319:$BT319,,T319)*(1-R319)+INDEX(Models!$BJ319:$BT319,,T319+1)*R319-ERP_i)*Q319*Ramure*Pc/MaxiM</f>
        <v>1.0965266180673191E-4</v>
      </c>
      <c r="Q319" s="305">
        <f t="shared" si="101"/>
        <v>0.5</v>
      </c>
      <c r="R319" s="177">
        <f t="shared" si="102"/>
        <v>0.49621051012013973</v>
      </c>
      <c r="S319" s="811">
        <f t="shared" si="103"/>
        <v>-1</v>
      </c>
      <c r="T319" s="176">
        <f t="shared" si="104"/>
        <v>5</v>
      </c>
      <c r="U319" s="251">
        <f t="shared" si="105"/>
        <v>-0.50378948987986027</v>
      </c>
      <c r="V319" s="383">
        <f t="shared" si="106"/>
        <v>32.052045509414839</v>
      </c>
      <c r="W319" s="402"/>
      <c r="X319" s="157">
        <f t="shared" si="107"/>
        <v>44135</v>
      </c>
      <c r="Y319" s="385">
        <f t="shared" si="108"/>
        <v>30.248000000000001</v>
      </c>
      <c r="Z319" s="385">
        <f t="shared" si="109"/>
        <v>30.833967552372286</v>
      </c>
      <c r="AA319" s="386">
        <f t="shared" si="110"/>
        <v>32.374186745911501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4.7575533113082089E-2</v>
      </c>
      <c r="AD319" s="231">
        <f>(INDEX(Models!$BJ319:$BT319,,AH319)*(1-AF319)+INDEX(Models!$BJ319:$BT319,,AH319+1)*AF319-ERP_i)*AE319*Ramure*Pc/MaxiM</f>
        <v>1.0965266180673191E-4</v>
      </c>
      <c r="AE319" s="305">
        <f t="shared" si="112"/>
        <v>0.5</v>
      </c>
      <c r="AF319" s="177">
        <f t="shared" si="113"/>
        <v>0.49621051012013973</v>
      </c>
      <c r="AG319" s="811">
        <f t="shared" si="119"/>
        <v>-1</v>
      </c>
      <c r="AH319" s="176">
        <f t="shared" si="114"/>
        <v>5</v>
      </c>
      <c r="AI319" s="225">
        <f t="shared" si="115"/>
        <v>-0.50378948987986027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7">
        <v>27.05</v>
      </c>
      <c r="C320" s="390"/>
      <c r="D320" s="393">
        <f t="shared" si="98"/>
        <v>27.574619502795539</v>
      </c>
      <c r="E320" s="385">
        <f t="shared" si="120"/>
        <v>28.952948103313368</v>
      </c>
      <c r="F320" s="385">
        <f t="shared" si="99"/>
        <v>28.955440063578585</v>
      </c>
      <c r="G320" s="110">
        <f t="shared" si="121"/>
        <v>0.85173557077987128</v>
      </c>
      <c r="H320" s="414" t="b">
        <f>Wh_hp&gt;='2019'!Maxi_hp</f>
        <v>1</v>
      </c>
      <c r="I320" s="380">
        <f>IF(H320,Wh_hp,'2019'!Maxi_hp)</f>
        <v>28.955440063578585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1.9025448483245722E-2</v>
      </c>
      <c r="M320" s="845"/>
      <c r="N320" s="845"/>
      <c r="O320" s="48">
        <f>IF(t&lt;Tnet,'2019'!Resal+('2019'!Salim-'2019'!Resal)*(1-EXP(('2019'!Tnet-t)/('2019'!Tau_j))),Resal+(Salim-Resal)*(1-EXP((Tnet-t)/(Tau_j))))*Salcycl</f>
        <v>4.7605811871022995E-2</v>
      </c>
      <c r="P320" s="169">
        <f>(INDEX(Models!$BJ320:$BT320,,T320)*(1-R320)+INDEX(Models!$BJ320:$BT320,,T320+1)*R320-ERP_i)*Q320*Ramure*Pc/MaxiM</f>
        <v>1.0918487855831407E-4</v>
      </c>
      <c r="Q320" s="305">
        <f t="shared" si="101"/>
        <v>0.5</v>
      </c>
      <c r="R320" s="177">
        <f t="shared" si="102"/>
        <v>0.4962644940094938</v>
      </c>
      <c r="S320" s="811">
        <f t="shared" si="103"/>
        <v>-1</v>
      </c>
      <c r="T320" s="176">
        <f t="shared" si="104"/>
        <v>5</v>
      </c>
      <c r="U320" s="251">
        <f t="shared" si="105"/>
        <v>-0.5037355059905062</v>
      </c>
      <c r="V320" s="383">
        <f t="shared" si="106"/>
        <v>31.757948590665805</v>
      </c>
      <c r="W320" s="402"/>
      <c r="X320" s="157">
        <f t="shared" si="107"/>
        <v>44136</v>
      </c>
      <c r="Y320" s="385">
        <f t="shared" si="108"/>
        <v>27.05</v>
      </c>
      <c r="Z320" s="385">
        <f t="shared" si="109"/>
        <v>27.574619502795539</v>
      </c>
      <c r="AA320" s="386">
        <f t="shared" si="110"/>
        <v>28.952948103313368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4.7605811871022995E-2</v>
      </c>
      <c r="AD320" s="231">
        <f>(INDEX(Models!$BJ320:$BT320,,AH320)*(1-AF320)+INDEX(Models!$BJ320:$BT320,,AH320+1)*AF320-ERP_i)*AE320*Ramure*Pc/MaxiM</f>
        <v>1.0918487855831407E-4</v>
      </c>
      <c r="AE320" s="305">
        <f t="shared" si="112"/>
        <v>0.5</v>
      </c>
      <c r="AF320" s="177">
        <f t="shared" si="113"/>
        <v>0.4962644940094938</v>
      </c>
      <c r="AG320" s="811">
        <f t="shared" si="119"/>
        <v>-1</v>
      </c>
      <c r="AH320" s="176">
        <f t="shared" si="114"/>
        <v>5</v>
      </c>
      <c r="AI320" s="225">
        <f t="shared" si="115"/>
        <v>-0.5037355059905062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7">
        <v>27.629000000000001</v>
      </c>
      <c r="C321" s="390"/>
      <c r="D321" s="393">
        <f t="shared" si="98"/>
        <v>28.165465777417378</v>
      </c>
      <c r="E321" s="385">
        <f t="shared" si="120"/>
        <v>29.574264573061104</v>
      </c>
      <c r="F321" s="385">
        <f t="shared" si="99"/>
        <v>29.576933844232062</v>
      </c>
      <c r="G321" s="110">
        <f t="shared" si="121"/>
        <v>0.8780568303337104</v>
      </c>
      <c r="H321" s="414" t="b">
        <f>Wh_hp&gt;='2019'!Maxi_hp</f>
        <v>0</v>
      </c>
      <c r="I321" s="380">
        <f>IF(H321,Wh_hp,'2019'!Maxi_hp)</f>
        <v>30.00122544451607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1.9046934343528776E-2</v>
      </c>
      <c r="M321" s="845"/>
      <c r="N321" s="845"/>
      <c r="O321" s="48">
        <f>IF(t&lt;Tnet,'2019'!Resal+('2019'!Salim-'2019'!Resal)*(1-EXP(('2019'!Tnet-t)/('2019'!Tau_j))),Resal+(Salim-Resal)*(1-EXP((Tnet-t)/(Tau_j))))*Salcycl</f>
        <v>4.7635970529829742E-2</v>
      </c>
      <c r="P321" s="169">
        <f>(INDEX(Models!$BJ321:$BT321,,T321)*(1-R321)+INDEX(Models!$BJ321:$BT321,,T321+1)*R321-ERP_i)*Q321*Ramure*Pc/MaxiM</f>
        <v>1.0928347355278769E-4</v>
      </c>
      <c r="Q321" s="305">
        <f t="shared" si="101"/>
        <v>0.5</v>
      </c>
      <c r="R321" s="177">
        <f t="shared" si="102"/>
        <v>0.49631631532488707</v>
      </c>
      <c r="S321" s="811">
        <f t="shared" si="103"/>
        <v>-1</v>
      </c>
      <c r="T321" s="176">
        <f t="shared" si="104"/>
        <v>5</v>
      </c>
      <c r="U321" s="251">
        <f t="shared" si="105"/>
        <v>-0.50368368467511293</v>
      </c>
      <c r="V321" s="383">
        <f t="shared" si="106"/>
        <v>31.465473621092638</v>
      </c>
      <c r="W321" s="402"/>
      <c r="X321" s="157">
        <f t="shared" si="107"/>
        <v>44137</v>
      </c>
      <c r="Y321" s="385">
        <f t="shared" si="108"/>
        <v>27.629000000000001</v>
      </c>
      <c r="Z321" s="385">
        <f t="shared" si="109"/>
        <v>28.165465777417378</v>
      </c>
      <c r="AA321" s="386">
        <f t="shared" si="110"/>
        <v>29.574264573061104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4.7635970529829742E-2</v>
      </c>
      <c r="AD321" s="231">
        <f>(INDEX(Models!$BJ321:$BT321,,AH321)*(1-AF321)+INDEX(Models!$BJ321:$BT321,,AH321+1)*AF321-ERP_i)*AE321*Ramure*Pc/MaxiM</f>
        <v>1.0928347355278769E-4</v>
      </c>
      <c r="AE321" s="305">
        <f t="shared" si="112"/>
        <v>0.5</v>
      </c>
      <c r="AF321" s="177">
        <f t="shared" si="113"/>
        <v>0.49631631532488707</v>
      </c>
      <c r="AG321" s="811">
        <f t="shared" si="119"/>
        <v>-1</v>
      </c>
      <c r="AH321" s="176">
        <f t="shared" si="114"/>
        <v>5</v>
      </c>
      <c r="AI321" s="225">
        <f t="shared" si="115"/>
        <v>-0.50368368467511293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7">
        <v>5.0049999999999999</v>
      </c>
      <c r="C322" s="390"/>
      <c r="D322" s="393">
        <f t="shared" si="98"/>
        <v>5.1022926580045391</v>
      </c>
      <c r="E322" s="385">
        <f t="shared" si="120"/>
        <v>5.3576717551882869</v>
      </c>
      <c r="F322" s="385">
        <f t="shared" si="99"/>
        <v>5.3576717551882869</v>
      </c>
      <c r="G322" s="110">
        <f t="shared" si="121"/>
        <v>0.16052755284352482</v>
      </c>
      <c r="H322" s="414" t="b">
        <f>Wh_hp&gt;='2019'!Maxi_hp</f>
        <v>0</v>
      </c>
      <c r="I322" s="380">
        <f>IF(H322,Wh_hp,'2019'!Maxi_hp)</f>
        <v>23.180990079496752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1.906841973321638E-2</v>
      </c>
      <c r="M322" s="845"/>
      <c r="N322" s="845"/>
      <c r="O322" s="48">
        <f>IF(t&lt;Tnet,'2019'!Resal+('2019'!Salim-'2019'!Resal)*(1-EXP(('2019'!Tnet-t)/('2019'!Tau_j))),Resal+(Salim-Resal)*(1-EXP((Tnet-t)/(Tau_j))))*Salcycl</f>
        <v>4.7666058850365907E-2</v>
      </c>
      <c r="P322" s="169">
        <f>(INDEX(Models!$BJ322:$BT322,,T322)*(1-R322)+INDEX(Models!$BJ322:$BT322,,T322+1)*R322-ERP_i)*Q322*Ramure*Pc/MaxiM</f>
        <v>1.0995193248438579E-4</v>
      </c>
      <c r="Q322" s="305">
        <f t="shared" si="101"/>
        <v>0.5</v>
      </c>
      <c r="R322" s="177">
        <f t="shared" si="102"/>
        <v>0.49636606027505947</v>
      </c>
      <c r="S322" s="811">
        <f t="shared" si="103"/>
        <v>-1</v>
      </c>
      <c r="T322" s="176">
        <f t="shared" si="104"/>
        <v>5</v>
      </c>
      <c r="U322" s="251">
        <f t="shared" si="105"/>
        <v>-0.50363393972494053</v>
      </c>
      <c r="V322" s="383">
        <f t="shared" si="106"/>
        <v>31.175020125398859</v>
      </c>
      <c r="W322" s="402"/>
      <c r="X322" s="157">
        <f t="shared" si="107"/>
        <v>44138</v>
      </c>
      <c r="Y322" s="385">
        <f t="shared" si="108"/>
        <v>5.0049999999999999</v>
      </c>
      <c r="Z322" s="385">
        <f t="shared" si="109"/>
        <v>5.1022926580045391</v>
      </c>
      <c r="AA322" s="386">
        <f t="shared" si="110"/>
        <v>5.3576717551882869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4.7666058850365907E-2</v>
      </c>
      <c r="AD322" s="231">
        <f>(INDEX(Models!$BJ322:$BT322,,AH322)*(1-AF322)+INDEX(Models!$BJ322:$BT322,,AH322+1)*AF322-ERP_i)*AE322*Ramure*Pc/MaxiM</f>
        <v>1.0995193248438579E-4</v>
      </c>
      <c r="AE322" s="305">
        <f t="shared" si="112"/>
        <v>0.5</v>
      </c>
      <c r="AF322" s="177">
        <f t="shared" si="113"/>
        <v>0.49636606027505947</v>
      </c>
      <c r="AG322" s="811">
        <f t="shared" si="119"/>
        <v>-1</v>
      </c>
      <c r="AH322" s="176">
        <f t="shared" si="114"/>
        <v>5</v>
      </c>
      <c r="AI322" s="225">
        <f t="shared" si="115"/>
        <v>-0.50363393972494053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7">
        <v>15.62</v>
      </c>
      <c r="C323" s="390"/>
      <c r="D323" s="393">
        <f t="shared" si="98"/>
        <v>15.923987401173118</v>
      </c>
      <c r="E323" s="385">
        <f t="shared" si="120"/>
        <v>16.721540101640354</v>
      </c>
      <c r="F323" s="385">
        <f t="shared" si="99"/>
        <v>16.722086535438599</v>
      </c>
      <c r="G323" s="110">
        <f t="shared" si="121"/>
        <v>0.50567487335401373</v>
      </c>
      <c r="H323" s="414" t="b">
        <f>Wh_hp&gt;='2019'!Maxi_hp</f>
        <v>1</v>
      </c>
      <c r="I323" s="380">
        <f>IF(H323,Wh_hp,'2019'!Maxi_hp)</f>
        <v>16.722086535438599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1.9089904652318745E-2</v>
      </c>
      <c r="M323" s="845"/>
      <c r="N323" s="845"/>
      <c r="O323" s="48">
        <f>IF(t&lt;Tnet,'2019'!Resal+('2019'!Salim-'2019'!Resal)*(1-EXP(('2019'!Tnet-t)/('2019'!Tau_j))),Resal+(Salim-Resal)*(1-EXP((Tnet-t)/(Tau_j))))*Salcycl</f>
        <v>4.7696127008599987E-2</v>
      </c>
      <c r="P323" s="169">
        <f>(INDEX(Models!$BJ323:$BT323,,T323)*(1-R323)+INDEX(Models!$BJ323:$BT323,,T323+1)*R323-ERP_i)*Q323*Ramure*Pc/MaxiM</f>
        <v>1.1119366643317011E-4</v>
      </c>
      <c r="Q323" s="305">
        <f t="shared" si="101"/>
        <v>0.5</v>
      </c>
      <c r="R323" s="177">
        <f t="shared" si="102"/>
        <v>0.49641381166544885</v>
      </c>
      <c r="S323" s="811">
        <f t="shared" si="103"/>
        <v>-1</v>
      </c>
      <c r="T323" s="176">
        <f t="shared" si="104"/>
        <v>5</v>
      </c>
      <c r="U323" s="251">
        <f t="shared" si="105"/>
        <v>-0.50358618833455115</v>
      </c>
      <c r="V323" s="383">
        <f t="shared" si="106"/>
        <v>30.886987585059835</v>
      </c>
      <c r="W323" s="402"/>
      <c r="X323" s="157">
        <f t="shared" si="107"/>
        <v>44139</v>
      </c>
      <c r="Y323" s="385">
        <f t="shared" si="108"/>
        <v>15.619999999999997</v>
      </c>
      <c r="Z323" s="385">
        <f t="shared" si="109"/>
        <v>15.923987401173116</v>
      </c>
      <c r="AA323" s="386">
        <f t="shared" si="110"/>
        <v>16.721540101640354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4.7696127008599987E-2</v>
      </c>
      <c r="AD323" s="231">
        <f>(INDEX(Models!$BJ323:$BT323,,AH323)*(1-AF323)+INDEX(Models!$BJ323:$BT323,,AH323+1)*AF323-ERP_i)*AE323*Ramure*Pc/MaxiM</f>
        <v>1.1119366643317011E-4</v>
      </c>
      <c r="AE323" s="305">
        <f t="shared" si="112"/>
        <v>0.5</v>
      </c>
      <c r="AF323" s="177">
        <f t="shared" si="113"/>
        <v>0.49641381166544885</v>
      </c>
      <c r="AG323" s="811">
        <f t="shared" si="119"/>
        <v>-1</v>
      </c>
      <c r="AH323" s="176">
        <f t="shared" si="114"/>
        <v>5</v>
      </c>
      <c r="AI323" s="225">
        <f t="shared" si="115"/>
        <v>-0.50358618833455115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7">
        <v>23.370999999999999</v>
      </c>
      <c r="C324" s="390"/>
      <c r="D324" s="393">
        <f t="shared" si="98"/>
        <v>23.826354736218665</v>
      </c>
      <c r="E324" s="385">
        <f t="shared" si="120"/>
        <v>25.020488194677991</v>
      </c>
      <c r="F324" s="385">
        <f t="shared" si="99"/>
        <v>25.022364408355351</v>
      </c>
      <c r="G324" s="110">
        <f t="shared" si="121"/>
        <v>0.76368481164750335</v>
      </c>
      <c r="H324" s="414" t="b">
        <f>Wh_hp&gt;='2019'!Maxi_hp</f>
        <v>1</v>
      </c>
      <c r="I324" s="380">
        <f>IF(H324,Wh_hp,'2019'!Maxi_hp)</f>
        <v>25.022364408355351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1.9111389100846199E-2</v>
      </c>
      <c r="M324" s="845"/>
      <c r="N324" s="845"/>
      <c r="O324" s="48">
        <f>IF(t&lt;Tnet,'2019'!Resal+('2019'!Salim-'2019'!Resal)*(1-EXP(('2019'!Tnet-t)/('2019'!Tau_j))),Resal+(Salim-Resal)*(1-EXP((Tnet-t)/(Tau_j))))*Salcycl</f>
        <v>4.7726225370507538E-2</v>
      </c>
      <c r="P324" s="169">
        <f>(INDEX(Models!$BJ324:$BT324,,T324)*(1-R324)+INDEX(Models!$BJ324:$BT324,,T324+1)*R324-ERP_i)*Q324*Ramure*Pc/MaxiM</f>
        <v>1.131883663351072E-4</v>
      </c>
      <c r="Q324" s="305">
        <f t="shared" si="101"/>
        <v>0.5</v>
      </c>
      <c r="R324" s="177">
        <f t="shared" si="102"/>
        <v>0.49645964902991802</v>
      </c>
      <c r="S324" s="811">
        <f t="shared" si="103"/>
        <v>-1</v>
      </c>
      <c r="T324" s="176">
        <f t="shared" si="104"/>
        <v>5</v>
      </c>
      <c r="U324" s="251">
        <f t="shared" si="105"/>
        <v>-0.50354035097008198</v>
      </c>
      <c r="V324" s="383">
        <f t="shared" si="106"/>
        <v>30.601770053880173</v>
      </c>
      <c r="W324" s="402"/>
      <c r="X324" s="157">
        <f t="shared" si="107"/>
        <v>44140</v>
      </c>
      <c r="Y324" s="385">
        <f t="shared" si="108"/>
        <v>23.370999999999999</v>
      </c>
      <c r="Z324" s="385">
        <f t="shared" si="109"/>
        <v>23.826354736218665</v>
      </c>
      <c r="AA324" s="386">
        <f t="shared" si="110"/>
        <v>25.020488194677991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4.7726225370507538E-2</v>
      </c>
      <c r="AD324" s="231">
        <f>(INDEX(Models!$BJ324:$BT324,,AH324)*(1-AF324)+INDEX(Models!$BJ324:$BT324,,AH324+1)*AF324-ERP_i)*AE324*Ramure*Pc/MaxiM</f>
        <v>1.131883663351072E-4</v>
      </c>
      <c r="AE324" s="305">
        <f t="shared" si="112"/>
        <v>0.5</v>
      </c>
      <c r="AF324" s="177">
        <f t="shared" si="113"/>
        <v>0.49645964902991802</v>
      </c>
      <c r="AG324" s="811">
        <f t="shared" si="119"/>
        <v>-1</v>
      </c>
      <c r="AH324" s="176">
        <f t="shared" si="114"/>
        <v>5</v>
      </c>
      <c r="AI324" s="225">
        <f t="shared" si="115"/>
        <v>-0.50354035097008198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7">
        <v>15.877000000000001</v>
      </c>
      <c r="C325" s="390"/>
      <c r="D325" s="393">
        <f t="shared" si="98"/>
        <v>16.18669803914803</v>
      </c>
      <c r="E325" s="385">
        <f t="shared" si="120"/>
        <v>16.998484538640941</v>
      </c>
      <c r="F325" s="385">
        <f t="shared" si="99"/>
        <v>16.999112263029826</v>
      </c>
      <c r="G325" s="110">
        <f t="shared" si="121"/>
        <v>0.52361040317894525</v>
      </c>
      <c r="H325" s="414" t="b">
        <f>Wh_hp&gt;='2019'!Maxi_hp</f>
        <v>1</v>
      </c>
      <c r="I325" s="380">
        <f>IF(H325,Wh_hp,'2019'!Maxi_hp)</f>
        <v>16.999112263029826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1.9132873078809176E-2</v>
      </c>
      <c r="M325" s="845"/>
      <c r="N325" s="845"/>
      <c r="O325" s="48">
        <f>IF(t&lt;Tnet,'2019'!Resal+('2019'!Salim-'2019'!Resal)*(1-EXP(('2019'!Tnet-t)/('2019'!Tau_j))),Resal+(Salim-Resal)*(1-EXP((Tnet-t)/(Tau_j))))*Salcycl</f>
        <v>4.7756404263424708E-2</v>
      </c>
      <c r="P325" s="169">
        <f>(INDEX(Models!$BJ325:$BT325,,T325)*(1-R325)+INDEX(Models!$BJ325:$BT325,,T325+1)*R325-ERP_i)*Q325*Ramure*Pc/MaxiM</f>
        <v>1.1557630645359223E-4</v>
      </c>
      <c r="Q325" s="305">
        <f t="shared" si="101"/>
        <v>0.5</v>
      </c>
      <c r="R325" s="177">
        <f t="shared" si="102"/>
        <v>0.49650364875758912</v>
      </c>
      <c r="S325" s="811">
        <f t="shared" si="103"/>
        <v>-1</v>
      </c>
      <c r="T325" s="176">
        <f t="shared" si="104"/>
        <v>5</v>
      </c>
      <c r="U325" s="251">
        <f t="shared" si="105"/>
        <v>-0.50349635124241088</v>
      </c>
      <c r="V325" s="383">
        <f t="shared" si="106"/>
        <v>30.319778103633379</v>
      </c>
      <c r="W325" s="402"/>
      <c r="X325" s="157">
        <f t="shared" si="107"/>
        <v>44141</v>
      </c>
      <c r="Y325" s="385">
        <f t="shared" si="108"/>
        <v>15.877000000000002</v>
      </c>
      <c r="Z325" s="385">
        <f t="shared" si="109"/>
        <v>16.18669803914803</v>
      </c>
      <c r="AA325" s="386">
        <f t="shared" si="110"/>
        <v>16.998484538640941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4.7756404263424708E-2</v>
      </c>
      <c r="AD325" s="231">
        <f>(INDEX(Models!$BJ325:$BT325,,AH325)*(1-AF325)+INDEX(Models!$BJ325:$BT325,,AH325+1)*AF325-ERP_i)*AE325*Ramure*Pc/MaxiM</f>
        <v>1.1557630645359223E-4</v>
      </c>
      <c r="AE325" s="305">
        <f t="shared" si="112"/>
        <v>0.5</v>
      </c>
      <c r="AF325" s="177">
        <f t="shared" si="113"/>
        <v>0.49650364875758912</v>
      </c>
      <c r="AG325" s="811">
        <f t="shared" si="119"/>
        <v>-1</v>
      </c>
      <c r="AH325" s="176">
        <f t="shared" si="114"/>
        <v>5</v>
      </c>
      <c r="AI325" s="225">
        <f t="shared" si="115"/>
        <v>-0.50349635124241088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7">
        <v>5.1050000000000004</v>
      </c>
      <c r="C326" s="390"/>
      <c r="D326" s="393">
        <f t="shared" si="98"/>
        <v>5.2046925367709376</v>
      </c>
      <c r="E326" s="385">
        <f t="shared" si="120"/>
        <v>5.4658894303428909</v>
      </c>
      <c r="F326" s="385">
        <f t="shared" si="99"/>
        <v>5.4658894303428909</v>
      </c>
      <c r="G326" s="110">
        <f t="shared" si="121"/>
        <v>0.16991198496197069</v>
      </c>
      <c r="H326" s="414" t="b">
        <f>Wh_hp&gt;='2019'!Maxi_hp</f>
        <v>0</v>
      </c>
      <c r="I326" s="380">
        <f>IF(H326,Wh_hp,'2019'!Maxi_hp)</f>
        <v>17.42994024110709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1.9154356586217891E-2</v>
      </c>
      <c r="M326" s="845"/>
      <c r="N326" s="845"/>
      <c r="O326" s="48">
        <f>IF(t&lt;Tnet,'2019'!Resal+('2019'!Salim-'2019'!Resal)*(1-EXP(('2019'!Tnet-t)/('2019'!Tau_j))),Resal+(Salim-Resal)*(1-EXP((Tnet-t)/(Tau_j))))*Salcycl</f>
        <v>4.7786713745427582E-2</v>
      </c>
      <c r="P326" s="169">
        <f>(INDEX(Models!$BJ326:$BT326,,T326)*(1-R326)+INDEX(Models!$BJ326:$BT326,,T326+1)*R326-ERP_i)*Q326*Ramure*Pc/MaxiM</f>
        <v>1.1835930283717755E-4</v>
      </c>
      <c r="Q326" s="305">
        <f t="shared" si="101"/>
        <v>0.5</v>
      </c>
      <c r="R326" s="177">
        <f t="shared" si="102"/>
        <v>0.49654588421495516</v>
      </c>
      <c r="S326" s="811">
        <f t="shared" si="103"/>
        <v>-1</v>
      </c>
      <c r="T326" s="176">
        <f t="shared" si="104"/>
        <v>5</v>
      </c>
      <c r="U326" s="251">
        <f t="shared" si="105"/>
        <v>-0.50345411578504484</v>
      </c>
      <c r="V326" s="383">
        <f t="shared" si="106"/>
        <v>30.041411009950064</v>
      </c>
      <c r="W326" s="402"/>
      <c r="X326" s="157">
        <f t="shared" si="107"/>
        <v>44142</v>
      </c>
      <c r="Y326" s="385">
        <f t="shared" si="108"/>
        <v>5.1050000000000004</v>
      </c>
      <c r="Z326" s="385">
        <f t="shared" si="109"/>
        <v>5.2046925367709376</v>
      </c>
      <c r="AA326" s="386">
        <f t="shared" si="110"/>
        <v>5.4658894303428909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4.7786713745427582E-2</v>
      </c>
      <c r="AD326" s="231">
        <f>(INDEX(Models!$BJ326:$BT326,,AH326)*(1-AF326)+INDEX(Models!$BJ326:$BT326,,AH326+1)*AF326-ERP_i)*AE326*Ramure*Pc/MaxiM</f>
        <v>1.1835930283717755E-4</v>
      </c>
      <c r="AE326" s="305">
        <f t="shared" si="112"/>
        <v>0.5</v>
      </c>
      <c r="AF326" s="177">
        <f t="shared" si="113"/>
        <v>0.49654588421495516</v>
      </c>
      <c r="AG326" s="811">
        <f t="shared" si="119"/>
        <v>-1</v>
      </c>
      <c r="AH326" s="176">
        <f t="shared" si="114"/>
        <v>5</v>
      </c>
      <c r="AI326" s="225">
        <f t="shared" si="115"/>
        <v>-0.50345411578504484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7">
        <v>20.376000000000001</v>
      </c>
      <c r="C327" s="390"/>
      <c r="D327" s="393">
        <f t="shared" si="98"/>
        <v>20.774365908941093</v>
      </c>
      <c r="E327" s="385">
        <f t="shared" si="120"/>
        <v>21.81762365646723</v>
      </c>
      <c r="F327" s="385">
        <f t="shared" si="99"/>
        <v>21.819080346731017</v>
      </c>
      <c r="G327" s="110">
        <f t="shared" si="121"/>
        <v>0.68447734848843311</v>
      </c>
      <c r="H327" s="414" t="b">
        <f>Wh_hp&gt;='2019'!Maxi_hp</f>
        <v>1</v>
      </c>
      <c r="I327" s="380">
        <f>IF(H327,Wh_hp,'2019'!Maxi_hp)</f>
        <v>21.819080346731017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1.9175839623082669E-2</v>
      </c>
      <c r="M327" s="845"/>
      <c r="N327" s="845"/>
      <c r="O327" s="48">
        <f>IF(t&lt;Tnet,'2019'!Resal+('2019'!Salim-'2019'!Resal)*(1-EXP(('2019'!Tnet-t)/('2019'!Tau_j))),Resal+(Salim-Resal)*(1-EXP((Tnet-t)/(Tau_j))))*Salcycl</f>
        <v>4.7817203374341477E-2</v>
      </c>
      <c r="P327" s="169">
        <f>(INDEX(Models!$BJ327:$BT327,,T327)*(1-R327)+INDEX(Models!$BJ327:$BT327,,T327+1)*R327-ERP_i)*Q327*Ramure*Pc/MaxiM</f>
        <v>1.2153901237430064E-4</v>
      </c>
      <c r="Q327" s="305">
        <f t="shared" si="101"/>
        <v>0.5</v>
      </c>
      <c r="R327" s="177">
        <f t="shared" si="102"/>
        <v>0.49658642586342472</v>
      </c>
      <c r="S327" s="811">
        <f t="shared" si="103"/>
        <v>-1</v>
      </c>
      <c r="T327" s="176">
        <f t="shared" si="104"/>
        <v>5</v>
      </c>
      <c r="U327" s="251">
        <f t="shared" si="105"/>
        <v>-0.50341357413657528</v>
      </c>
      <c r="V327" s="383">
        <f t="shared" si="106"/>
        <v>29.767068024344617</v>
      </c>
      <c r="W327" s="402"/>
      <c r="X327" s="157">
        <f t="shared" si="107"/>
        <v>44143</v>
      </c>
      <c r="Y327" s="385">
        <f t="shared" si="108"/>
        <v>20.376000000000001</v>
      </c>
      <c r="Z327" s="385">
        <f t="shared" si="109"/>
        <v>20.774365908941093</v>
      </c>
      <c r="AA327" s="386">
        <f t="shared" si="110"/>
        <v>21.81762365646723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4.7817203374341477E-2</v>
      </c>
      <c r="AD327" s="231">
        <f>(INDEX(Models!$BJ327:$BT327,,AH327)*(1-AF327)+INDEX(Models!$BJ327:$BT327,,AH327+1)*AF327-ERP_i)*AE327*Ramure*Pc/MaxiM</f>
        <v>1.2153901237430064E-4</v>
      </c>
      <c r="AE327" s="305">
        <f t="shared" si="112"/>
        <v>0.5</v>
      </c>
      <c r="AF327" s="177">
        <f t="shared" si="113"/>
        <v>0.49658642586342472</v>
      </c>
      <c r="AG327" s="811">
        <f t="shared" si="119"/>
        <v>-1</v>
      </c>
      <c r="AH327" s="176">
        <f t="shared" si="114"/>
        <v>5</v>
      </c>
      <c r="AI327" s="225">
        <f t="shared" si="115"/>
        <v>-0.50341357413657528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7">
        <v>15.864000000000001</v>
      </c>
      <c r="C328" s="390"/>
      <c r="D328" s="393">
        <f t="shared" si="98"/>
        <v>16.174507226481772</v>
      </c>
      <c r="E328" s="385">
        <f t="shared" si="120"/>
        <v>16.987314946665546</v>
      </c>
      <c r="F328" s="385">
        <f t="shared" si="99"/>
        <v>16.988037050811439</v>
      </c>
      <c r="G328" s="110">
        <f t="shared" si="121"/>
        <v>0.53777026881675671</v>
      </c>
      <c r="H328" s="414" t="b">
        <f>Wh_hp&gt;='2019'!Maxi_hp</f>
        <v>0</v>
      </c>
      <c r="I328" s="380">
        <f>IF(H328,Wh_hp,'2019'!Maxi_hp)</f>
        <v>21.789231727925742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1.9197322189413724E-2</v>
      </c>
      <c r="M328" s="845"/>
      <c r="N328" s="845"/>
      <c r="O328" s="48">
        <f>IF(t&lt;Tnet,'2019'!Resal+('2019'!Salim-'2019'!Resal)*(1-EXP(('2019'!Tnet-t)/('2019'!Tau_j))),Resal+(Salim-Resal)*(1-EXP((Tnet-t)/(Tau_j))))*Salcycl</f>
        <v>4.7847921978000418E-2</v>
      </c>
      <c r="P328" s="169">
        <f>(INDEX(Models!$BJ328:$BT328,,T328)*(1-R328)+INDEX(Models!$BJ328:$BT328,,T328+1)*R328-ERP_i)*Q328*Ramure*Pc/MaxiM</f>
        <v>1.2511690229619554E-4</v>
      </c>
      <c r="Q328" s="305">
        <f t="shared" si="101"/>
        <v>0.5</v>
      </c>
      <c r="R328" s="177">
        <f t="shared" si="102"/>
        <v>0.49662534137245984</v>
      </c>
      <c r="S328" s="811">
        <f t="shared" si="103"/>
        <v>-1</v>
      </c>
      <c r="T328" s="176">
        <f t="shared" si="104"/>
        <v>5</v>
      </c>
      <c r="U328" s="251">
        <f t="shared" si="105"/>
        <v>-0.50337465862754016</v>
      </c>
      <c r="V328" s="383">
        <f t="shared" si="106"/>
        <v>29.497148382298121</v>
      </c>
      <c r="W328" s="402"/>
      <c r="X328" s="157">
        <f t="shared" si="107"/>
        <v>44144</v>
      </c>
      <c r="Y328" s="385">
        <f t="shared" si="108"/>
        <v>15.864000000000001</v>
      </c>
      <c r="Z328" s="385">
        <f t="shared" si="109"/>
        <v>16.174507226481772</v>
      </c>
      <c r="AA328" s="386">
        <f t="shared" si="110"/>
        <v>16.987314946665546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4.7847921978000418E-2</v>
      </c>
      <c r="AD328" s="231">
        <f>(INDEX(Models!$BJ328:$BT328,,AH328)*(1-AF328)+INDEX(Models!$BJ328:$BT328,,AH328+1)*AF328-ERP_i)*AE328*Ramure*Pc/MaxiM</f>
        <v>1.2511690229619554E-4</v>
      </c>
      <c r="AE328" s="305">
        <f t="shared" si="112"/>
        <v>0.5</v>
      </c>
      <c r="AF328" s="177">
        <f t="shared" si="113"/>
        <v>0.49662534137245984</v>
      </c>
      <c r="AG328" s="811">
        <f t="shared" si="119"/>
        <v>-1</v>
      </c>
      <c r="AH328" s="176">
        <f t="shared" si="114"/>
        <v>5</v>
      </c>
      <c r="AI328" s="225">
        <f t="shared" si="115"/>
        <v>-0.50337465862754016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7">
        <v>10.52</v>
      </c>
      <c r="C329" s="390"/>
      <c r="D329" s="393">
        <f t="shared" si="98"/>
        <v>10.726143655653168</v>
      </c>
      <c r="E329" s="385">
        <f t="shared" si="120"/>
        <v>11.26552478669127</v>
      </c>
      <c r="F329" s="385">
        <f t="shared" si="99"/>
        <v>11.265649192071168</v>
      </c>
      <c r="G329" s="110">
        <f t="shared" si="121"/>
        <v>0.35983646777613826</v>
      </c>
      <c r="H329" s="414" t="b">
        <f>Wh_hp&gt;='2019'!Maxi_hp</f>
        <v>0</v>
      </c>
      <c r="I329" s="380">
        <f>IF(H329,Wh_hp,'2019'!Maxi_hp)</f>
        <v>26.827720309111356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1.9218804285221491E-2</v>
      </c>
      <c r="M329" s="845"/>
      <c r="N329" s="845"/>
      <c r="O329" s="48">
        <f>IF(t&lt;Tnet,'2019'!Resal+('2019'!Salim-'2019'!Resal)*(1-EXP(('2019'!Tnet-t)/('2019'!Tau_j))),Resal+(Salim-Resal)*(1-EXP((Tnet-t)/(Tau_j))))*Salcycl</f>
        <v>4.7878917427380673E-2</v>
      </c>
      <c r="P329" s="169">
        <f>(INDEX(Models!$BJ329:$BT329,,T329)*(1-R329)+INDEX(Models!$BJ329:$BT329,,T329+1)*R329-ERP_i)*Q329*Ramure*Pc/MaxiM</f>
        <v>1.2909421606876559E-4</v>
      </c>
      <c r="Q329" s="305">
        <f t="shared" si="101"/>
        <v>0.5</v>
      </c>
      <c r="R329" s="177">
        <f t="shared" si="102"/>
        <v>0.496662695728457</v>
      </c>
      <c r="S329" s="811">
        <f t="shared" si="103"/>
        <v>-1</v>
      </c>
      <c r="T329" s="176">
        <f t="shared" si="104"/>
        <v>5</v>
      </c>
      <c r="U329" s="251">
        <f t="shared" si="105"/>
        <v>-0.503337304271543</v>
      </c>
      <c r="V329" s="383">
        <f t="shared" si="106"/>
        <v>29.232051302067632</v>
      </c>
      <c r="W329" s="402"/>
      <c r="X329" s="157">
        <f t="shared" si="107"/>
        <v>44145</v>
      </c>
      <c r="Y329" s="385">
        <f t="shared" si="108"/>
        <v>10.52</v>
      </c>
      <c r="Z329" s="385">
        <f t="shared" si="109"/>
        <v>10.726143655653168</v>
      </c>
      <c r="AA329" s="386">
        <f t="shared" si="110"/>
        <v>11.26552478669127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4.7878917427380673E-2</v>
      </c>
      <c r="AD329" s="231">
        <f>(INDEX(Models!$BJ329:$BT329,,AH329)*(1-AF329)+INDEX(Models!$BJ329:$BT329,,AH329+1)*AF329-ERP_i)*AE329*Ramure*Pc/MaxiM</f>
        <v>1.2909421606876559E-4</v>
      </c>
      <c r="AE329" s="305">
        <f t="shared" si="112"/>
        <v>0.5</v>
      </c>
      <c r="AF329" s="177">
        <f t="shared" si="113"/>
        <v>0.496662695728457</v>
      </c>
      <c r="AG329" s="811">
        <f t="shared" si="119"/>
        <v>-1</v>
      </c>
      <c r="AH329" s="176">
        <f t="shared" si="114"/>
        <v>5</v>
      </c>
      <c r="AI329" s="225">
        <f t="shared" si="115"/>
        <v>-0.503337304271543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7">
        <v>21.469000000000001</v>
      </c>
      <c r="C330" s="390"/>
      <c r="D330" s="393">
        <f t="shared" si="98"/>
        <v>21.890173190822136</v>
      </c>
      <c r="E330" s="385">
        <f t="shared" si="120"/>
        <v>22.991711525580222</v>
      </c>
      <c r="F330" s="385">
        <f t="shared" si="99"/>
        <v>22.993645093012937</v>
      </c>
      <c r="G330" s="110">
        <f t="shared" si="121"/>
        <v>0.74098472158781947</v>
      </c>
      <c r="H330" s="414" t="b">
        <f>Wh_hp&gt;='2019'!Maxi_hp</f>
        <v>0</v>
      </c>
      <c r="I330" s="380">
        <f>IF(H330,Wh_hp,'2019'!Maxi_hp)</f>
        <v>28.254170415117652</v>
      </c>
      <c r="J330" s="85">
        <f>IF(H330,An,'2019'!An_max)</f>
        <v>2018</v>
      </c>
      <c r="K330" s="197">
        <f t="shared" si="100"/>
        <v>44146</v>
      </c>
      <c r="L330" s="147">
        <f>IF(t&lt;Tvie,1-EXP((T0-t)*PertePVj)+'2019'!Pspv,1-EXP((T0-t)*PertePVj)+Pspv)</f>
        <v>1.9240285910516186E-2</v>
      </c>
      <c r="M330" s="845"/>
      <c r="N330" s="845"/>
      <c r="O330" s="48">
        <f>IF(t&lt;Tnet,'2019'!Resal+('2019'!Salim-'2019'!Resal)*(1-EXP(('2019'!Tnet-t)/('2019'!Tau_j))),Resal+(Salim-Resal)*(1-EXP((Tnet-t)/(Tau_j))))*Salcycl</f>
        <v>4.7910236414219556E-2</v>
      </c>
      <c r="P330" s="169">
        <f>(INDEX(Models!$BJ330:$BT330,,T330)*(1-R330)+INDEX(Models!$BJ330:$BT330,,T330+1)*R330-ERP_i)*Q330*Ramure*Pc/MaxiM</f>
        <v>1.3347193520252371E-4</v>
      </c>
      <c r="Q330" s="305">
        <f t="shared" si="101"/>
        <v>0.5</v>
      </c>
      <c r="R330" s="177">
        <f t="shared" si="102"/>
        <v>0.49669855133952012</v>
      </c>
      <c r="S330" s="811">
        <f t="shared" si="103"/>
        <v>-1</v>
      </c>
      <c r="T330" s="176">
        <f t="shared" si="104"/>
        <v>5</v>
      </c>
      <c r="U330" s="251">
        <f t="shared" si="105"/>
        <v>-0.50330144866047988</v>
      </c>
      <c r="V330" s="383">
        <f t="shared" si="106"/>
        <v>28.972175990053675</v>
      </c>
      <c r="W330" s="402"/>
      <c r="X330" s="157">
        <f t="shared" si="107"/>
        <v>44146</v>
      </c>
      <c r="Y330" s="385">
        <f t="shared" si="108"/>
        <v>21.469000000000001</v>
      </c>
      <c r="Z330" s="385">
        <f t="shared" si="109"/>
        <v>21.890173190822136</v>
      </c>
      <c r="AA330" s="386">
        <f t="shared" si="110"/>
        <v>22.991711525580222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4.7910236414219556E-2</v>
      </c>
      <c r="AD330" s="231">
        <f>(INDEX(Models!$BJ330:$BT330,,AH330)*(1-AF330)+INDEX(Models!$BJ330:$BT330,,AH330+1)*AF330-ERP_i)*AE330*Ramure*Pc/MaxiM</f>
        <v>1.3347193520252371E-4</v>
      </c>
      <c r="AE330" s="305">
        <f t="shared" si="112"/>
        <v>0.5</v>
      </c>
      <c r="AF330" s="177">
        <f t="shared" si="113"/>
        <v>0.49669855133952012</v>
      </c>
      <c r="AG330" s="811">
        <f t="shared" si="119"/>
        <v>-1</v>
      </c>
      <c r="AH330" s="176">
        <f t="shared" si="114"/>
        <v>5</v>
      </c>
      <c r="AI330" s="225">
        <f t="shared" si="115"/>
        <v>-0.50330144866047988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7">
        <v>27.242000000000001</v>
      </c>
      <c r="C331" s="390"/>
      <c r="D331" s="393">
        <f t="shared" si="98"/>
        <v>27.77703477357354</v>
      </c>
      <c r="E331" s="385">
        <f t="shared" si="120"/>
        <v>29.175777697432505</v>
      </c>
      <c r="F331" s="385">
        <f t="shared" si="99"/>
        <v>29.179515996539571</v>
      </c>
      <c r="G331" s="110">
        <f t="shared" si="121"/>
        <v>0.94863691784245308</v>
      </c>
      <c r="H331" s="414" t="b">
        <f>Wh_hp&gt;='2019'!Maxi_hp</f>
        <v>1</v>
      </c>
      <c r="I331" s="380">
        <f>IF(H331,Wh_hp,'2019'!Maxi_hp)</f>
        <v>29.179515996539571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1.9261767065308244E-2</v>
      </c>
      <c r="M331" s="845"/>
      <c r="N331" s="845"/>
      <c r="O331" s="48">
        <f>IF(t&lt;Tnet,'2019'!Resal+('2019'!Salim-'2019'!Resal)*(1-EXP(('2019'!Tnet-t)/('2019'!Tau_j))),Resal+(Salim-Resal)*(1-EXP((Tnet-t)/(Tau_j))))*Salcycl</f>
        <v>4.7941924234706994E-2</v>
      </c>
      <c r="P331" s="169">
        <f>(INDEX(Models!$BJ331:$BT331,,T331)*(1-R331)+INDEX(Models!$BJ331:$BT331,,T331+1)*R331-ERP_i)*Q331*Ramure*Pc/MaxiM</f>
        <v>1.3825660766066738E-4</v>
      </c>
      <c r="Q331" s="305">
        <f t="shared" si="101"/>
        <v>0.5</v>
      </c>
      <c r="R331" s="177">
        <f t="shared" si="102"/>
        <v>0.49673296813627088</v>
      </c>
      <c r="S331" s="811">
        <f t="shared" si="103"/>
        <v>-1</v>
      </c>
      <c r="T331" s="176">
        <f t="shared" si="104"/>
        <v>5</v>
      </c>
      <c r="U331" s="251">
        <f t="shared" si="105"/>
        <v>-0.50326703186372912</v>
      </c>
      <c r="V331" s="383">
        <f t="shared" si="106"/>
        <v>28.716701977601382</v>
      </c>
      <c r="W331" s="402"/>
      <c r="X331" s="157">
        <f t="shared" si="107"/>
        <v>44147</v>
      </c>
      <c r="Y331" s="385">
        <f t="shared" si="108"/>
        <v>27.242000000000001</v>
      </c>
      <c r="Z331" s="385">
        <f t="shared" si="109"/>
        <v>27.77703477357354</v>
      </c>
      <c r="AA331" s="386">
        <f t="shared" si="110"/>
        <v>29.175777697432505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4.7941924234706994E-2</v>
      </c>
      <c r="AD331" s="231">
        <f>(INDEX(Models!$BJ331:$BT331,,AH331)*(1-AF331)+INDEX(Models!$BJ331:$BT331,,AH331+1)*AF331-ERP_i)*AE331*Ramure*Pc/MaxiM</f>
        <v>1.3825660766066738E-4</v>
      </c>
      <c r="AE331" s="305">
        <f t="shared" si="112"/>
        <v>0.5</v>
      </c>
      <c r="AF331" s="177">
        <f t="shared" si="113"/>
        <v>0.49673296813627088</v>
      </c>
      <c r="AG331" s="811">
        <f t="shared" si="119"/>
        <v>-1</v>
      </c>
      <c r="AH331" s="176">
        <f t="shared" si="114"/>
        <v>5</v>
      </c>
      <c r="AI331" s="225">
        <f t="shared" si="115"/>
        <v>-0.50326703186372912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7">
        <v>18.579000000000001</v>
      </c>
      <c r="C332" s="390"/>
      <c r="D332" s="393">
        <f t="shared" si="98"/>
        <v>18.944307780373773</v>
      </c>
      <c r="E332" s="385">
        <f t="shared" si="120"/>
        <v>19.89894001792555</v>
      </c>
      <c r="F332" s="385">
        <f t="shared" si="99"/>
        <v>19.900379192311398</v>
      </c>
      <c r="G332" s="110">
        <f t="shared" si="121"/>
        <v>0.65265883372222955</v>
      </c>
      <c r="H332" s="414" t="b">
        <f>Wh_hp&gt;='2019'!Maxi_hp</f>
        <v>1</v>
      </c>
      <c r="I332" s="380">
        <f>IF(H332,Wh_hp,'2019'!Maxi_hp)</f>
        <v>19.900379192311398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1.9283247749607879E-2</v>
      </c>
      <c r="M332" s="845"/>
      <c r="N332" s="845"/>
      <c r="O332" s="48">
        <f>IF(t&lt;Tnet,'2019'!Resal+('2019'!Salim-'2019'!Resal)*(1-EXP(('2019'!Tnet-t)/('2019'!Tau_j))),Resal+(Salim-Resal)*(1-EXP((Tnet-t)/(Tau_j))))*Salcycl</f>
        <v>4.7974024580797539E-2</v>
      </c>
      <c r="P332" s="169">
        <f>(INDEX(Models!$BJ332:$BT332,,T332)*(1-R332)+INDEX(Models!$BJ332:$BT332,,T332+1)*R332-ERP_i)*Q332*Ramure*Pc/MaxiM</f>
        <v>1.4352848602105072E-4</v>
      </c>
      <c r="Q332" s="305">
        <f t="shared" si="101"/>
        <v>0.5</v>
      </c>
      <c r="R332" s="177">
        <f t="shared" si="102"/>
        <v>0.49676600366883261</v>
      </c>
      <c r="S332" s="811">
        <f t="shared" si="103"/>
        <v>-1</v>
      </c>
      <c r="T332" s="176">
        <f t="shared" si="104"/>
        <v>5</v>
      </c>
      <c r="U332" s="251">
        <f t="shared" si="105"/>
        <v>-0.50323399633116739</v>
      </c>
      <c r="V332" s="383">
        <f t="shared" si="106"/>
        <v>28.464606533034907</v>
      </c>
      <c r="W332" s="402"/>
      <c r="X332" s="157">
        <f t="shared" si="107"/>
        <v>44148</v>
      </c>
      <c r="Y332" s="385">
        <f t="shared" si="108"/>
        <v>18.579000000000001</v>
      </c>
      <c r="Z332" s="385">
        <f t="shared" si="109"/>
        <v>18.944307780373773</v>
      </c>
      <c r="AA332" s="386">
        <f t="shared" si="110"/>
        <v>19.89894001792555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4.7974024580797539E-2</v>
      </c>
      <c r="AD332" s="231">
        <f>(INDEX(Models!$BJ332:$BT332,,AH332)*(1-AF332)+INDEX(Models!$BJ332:$BT332,,AH332+1)*AF332-ERP_i)*AE332*Ramure*Pc/MaxiM</f>
        <v>1.4352848602105072E-4</v>
      </c>
      <c r="AE332" s="305">
        <f t="shared" si="112"/>
        <v>0.5</v>
      </c>
      <c r="AF332" s="177">
        <f t="shared" si="113"/>
        <v>0.49676600366883261</v>
      </c>
      <c r="AG332" s="811">
        <f t="shared" si="119"/>
        <v>-1</v>
      </c>
      <c r="AH332" s="176">
        <f t="shared" si="114"/>
        <v>5</v>
      </c>
      <c r="AI332" s="225">
        <f t="shared" si="115"/>
        <v>-0.50323399633116739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7">
        <v>25.408999999999999</v>
      </c>
      <c r="C333" s="390"/>
      <c r="D333" s="393">
        <f t="shared" si="98"/>
        <v>25.909169468344679</v>
      </c>
      <c r="E333" s="385">
        <f t="shared" si="120"/>
        <v>27.215702237101279</v>
      </c>
      <c r="F333" s="385">
        <f t="shared" si="99"/>
        <v>27.219183293094108</v>
      </c>
      <c r="G333" s="110">
        <f t="shared" si="121"/>
        <v>0.90049852579651879</v>
      </c>
      <c r="H333" s="414" t="b">
        <f>Wh_hp&gt;='2019'!Maxi_hp</f>
        <v>1</v>
      </c>
      <c r="I333" s="380">
        <f>IF(H333,Wh_hp,'2019'!Maxi_hp)</f>
        <v>27.219183293094108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1.9304727963425306E-2</v>
      </c>
      <c r="M333" s="845"/>
      <c r="N333" s="845"/>
      <c r="O333" s="48">
        <f>IF(t&lt;Tnet,'2019'!Resal+('2019'!Salim-'2019'!Resal)*(1-EXP(('2019'!Tnet-t)/('2019'!Tau_j))),Resal+(Salim-Resal)*(1-EXP((Tnet-t)/(Tau_j))))*Salcycl</f>
        <v>4.8006579340638705E-2</v>
      </c>
      <c r="P333" s="169">
        <f>(INDEX(Models!$BJ333:$BT333,,T333)*(1-R333)+INDEX(Models!$BJ333:$BT333,,T333+1)*R333-ERP_i)*Q333*Ramure*Pc/MaxiM</f>
        <v>1.4907616556284408E-4</v>
      </c>
      <c r="Q333" s="305">
        <f t="shared" si="101"/>
        <v>0.5</v>
      </c>
      <c r="R333" s="177">
        <f t="shared" si="102"/>
        <v>0.49679771320012767</v>
      </c>
      <c r="S333" s="811">
        <f t="shared" si="103"/>
        <v>-1</v>
      </c>
      <c r="T333" s="176">
        <f t="shared" si="104"/>
        <v>5</v>
      </c>
      <c r="U333" s="251">
        <f t="shared" si="105"/>
        <v>-0.50320228679987233</v>
      </c>
      <c r="V333" s="383">
        <f t="shared" si="106"/>
        <v>28.215994672936851</v>
      </c>
      <c r="W333" s="402"/>
      <c r="X333" s="157">
        <f t="shared" si="107"/>
        <v>44149</v>
      </c>
      <c r="Y333" s="385">
        <f t="shared" si="108"/>
        <v>25.408999999999999</v>
      </c>
      <c r="Z333" s="385">
        <f t="shared" si="109"/>
        <v>25.909169468344679</v>
      </c>
      <c r="AA333" s="386">
        <f t="shared" si="110"/>
        <v>27.215702237101279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4.8006579340638705E-2</v>
      </c>
      <c r="AD333" s="231">
        <f>(INDEX(Models!$BJ333:$BT333,,AH333)*(1-AF333)+INDEX(Models!$BJ333:$BT333,,AH333+1)*AF333-ERP_i)*AE333*Ramure*Pc/MaxiM</f>
        <v>1.4907616556284408E-4</v>
      </c>
      <c r="AE333" s="305">
        <f t="shared" si="112"/>
        <v>0.5</v>
      </c>
      <c r="AF333" s="177">
        <f t="shared" si="113"/>
        <v>0.49679771320012767</v>
      </c>
      <c r="AG333" s="811">
        <f t="shared" si="119"/>
        <v>-1</v>
      </c>
      <c r="AH333" s="176">
        <f t="shared" si="114"/>
        <v>5</v>
      </c>
      <c r="AI333" s="225">
        <f t="shared" si="115"/>
        <v>-0.50320228679987233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7">
        <v>19.382000000000001</v>
      </c>
      <c r="C334" s="390"/>
      <c r="D334" s="393">
        <f t="shared" si="98"/>
        <v>19.763962443287802</v>
      </c>
      <c r="E334" s="385">
        <f t="shared" si="120"/>
        <v>20.761328972410762</v>
      </c>
      <c r="F334" s="385">
        <f t="shared" si="99"/>
        <v>20.763134363948222</v>
      </c>
      <c r="G334" s="110">
        <f t="shared" si="121"/>
        <v>0.69288573608391635</v>
      </c>
      <c r="H334" s="414" t="b">
        <f>Wh_hp&gt;='2019'!Maxi_hp</f>
        <v>0</v>
      </c>
      <c r="I334" s="380">
        <f>IF(H334,Wh_hp,'2019'!Maxi_hp)</f>
        <v>25.63773042545121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1.9326207706770959E-2</v>
      </c>
      <c r="M334" s="845"/>
      <c r="N334" s="845"/>
      <c r="O334" s="48">
        <f>IF(t&lt;Tnet,'2019'!Resal+('2019'!Salim-'2019'!Resal)*(1-EXP(('2019'!Tnet-t)/('2019'!Tau_j))),Resal+(Salim-Resal)*(1-EXP((Tnet-t)/(Tau_j))))*Salcycl</f>
        <v>4.8039628409546349E-2</v>
      </c>
      <c r="P334" s="169">
        <f>(INDEX(Models!$BJ334:$BT334,,T334)*(1-R334)+INDEX(Models!$BJ334:$BT334,,T334+1)*R334-ERP_i)*Q334*Ramure*Pc/MaxiM</f>
        <v>1.5490242509507088E-4</v>
      </c>
      <c r="Q334" s="305">
        <f t="shared" si="101"/>
        <v>0.5</v>
      </c>
      <c r="R334" s="177">
        <f t="shared" si="102"/>
        <v>0.49682814979561729</v>
      </c>
      <c r="S334" s="811">
        <f t="shared" si="103"/>
        <v>-1</v>
      </c>
      <c r="T334" s="176">
        <f t="shared" si="104"/>
        <v>5</v>
      </c>
      <c r="U334" s="251">
        <f t="shared" si="105"/>
        <v>-0.50317185020438271</v>
      </c>
      <c r="V334" s="383">
        <f t="shared" si="106"/>
        <v>27.970965278704302</v>
      </c>
      <c r="W334" s="402"/>
      <c r="X334" s="157">
        <f t="shared" si="107"/>
        <v>44150</v>
      </c>
      <c r="Y334" s="385">
        <f t="shared" si="108"/>
        <v>19.382000000000001</v>
      </c>
      <c r="Z334" s="385">
        <f t="shared" si="109"/>
        <v>19.763962443287802</v>
      </c>
      <c r="AA334" s="386">
        <f t="shared" si="110"/>
        <v>20.761328972410762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4.8039628409546349E-2</v>
      </c>
      <c r="AD334" s="231">
        <f>(INDEX(Models!$BJ334:$BT334,,AH334)*(1-AF334)+INDEX(Models!$BJ334:$BT334,,AH334+1)*AF334-ERP_i)*AE334*Ramure*Pc/MaxiM</f>
        <v>1.5490242509507088E-4</v>
      </c>
      <c r="AE334" s="305">
        <f t="shared" si="112"/>
        <v>0.5</v>
      </c>
      <c r="AF334" s="177">
        <f t="shared" si="113"/>
        <v>0.49682814979561729</v>
      </c>
      <c r="AG334" s="811">
        <f t="shared" si="119"/>
        <v>-1</v>
      </c>
      <c r="AH334" s="176">
        <f t="shared" si="114"/>
        <v>5</v>
      </c>
      <c r="AI334" s="225">
        <f t="shared" si="115"/>
        <v>-0.50317185020438271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7">
        <v>21.956</v>
      </c>
      <c r="C335" s="390"/>
      <c r="D335" s="393">
        <f t="shared" ref="D335:D380" si="122">Wh/(1-Ppv)</f>
        <v>22.389178823610745</v>
      </c>
      <c r="E335" s="385">
        <f t="shared" si="120"/>
        <v>23.519853677144379</v>
      </c>
      <c r="F335" s="385">
        <f t="shared" ref="F335:F380" si="123">Wh_sa/(1-Pvg*MEDIAN((-Sdif+Wh/Env_an)/Csdif,0,1))</f>
        <v>23.52251450981467</v>
      </c>
      <c r="G335" s="110">
        <f t="shared" si="121"/>
        <v>0.79175086132285144</v>
      </c>
      <c r="H335" s="414" t="b">
        <f>Wh_hp&gt;='2019'!Maxi_hp</f>
        <v>0</v>
      </c>
      <c r="I335" s="380">
        <f>IF(H335,Wh_hp,'2019'!Maxi_hp)</f>
        <v>28.670073792979203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1.9347686979655165E-2</v>
      </c>
      <c r="M335" s="845"/>
      <c r="N335" s="845"/>
      <c r="O335" s="48">
        <f>IF(t&lt;Tnet,'2019'!Resal+('2019'!Salim-'2019'!Resal)*(1-EXP(('2019'!Tnet-t)/('2019'!Tau_j))),Resal+(Salim-Resal)*(1-EXP((Tnet-t)/(Tau_j))))*Salcycl</f>
        <v>4.8073209512879675E-2</v>
      </c>
      <c r="P335" s="169">
        <f>(INDEX(Models!$BJ335:$BT335,,T335)*(1-R335)+INDEX(Models!$BJ335:$BT335,,T335+1)*R335-ERP_i)*Q335*Ramure*Pc/MaxiM</f>
        <v>1.6101014383543575E-4</v>
      </c>
      <c r="Q335" s="305">
        <f t="shared" ref="Q335:Q380" si="125">IF(OR(t&lt;Ttai,Notai),Dd+PousD*Croivg,Dens+PousD*(Croivg-Croi_tai))</f>
        <v>0.5</v>
      </c>
      <c r="R335" s="177">
        <f t="shared" ref="R335:R379" si="126">(Hp_vg-S335)/(INDEX(Echel_vg,T335+1)-S335)</f>
        <v>0.49685736440961148</v>
      </c>
      <c r="S335" s="811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-0.50314263559038852</v>
      </c>
      <c r="V335" s="383">
        <f t="shared" ref="V335:V380" si="130">MaxiM*(1-Ppv)*(1-Pvg)*(1-Psa)</f>
        <v>27.729617289542187</v>
      </c>
      <c r="W335" s="402"/>
      <c r="X335" s="157">
        <f t="shared" ref="X335:X380" si="131">t</f>
        <v>44151</v>
      </c>
      <c r="Y335" s="385">
        <f t="shared" ref="Y335:Y380" si="132">Wh_pvt_s*(1-Ppv)</f>
        <v>21.956</v>
      </c>
      <c r="Z335" s="385">
        <f t="shared" ref="Z335:Z380" si="133">Wh_sa_s*(1-Psa_s)</f>
        <v>22.389178823610745</v>
      </c>
      <c r="AA335" s="386">
        <f t="shared" ref="AA335:AA380" si="134">Wh_hp*(1-Pvg_s*MEDIAN((-Sdif+Wh/Env_an)/Csdif,0,1))</f>
        <v>23.519853677144379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4.8073209512879675E-2</v>
      </c>
      <c r="AD335" s="231">
        <f>(INDEX(Models!$BJ335:$BT335,,AH335)*(1-AF335)+INDEX(Models!$BJ335:$BT335,,AH335+1)*AF335-ERP_i)*AE335*Ramure*Pc/MaxiM</f>
        <v>1.6101014383543575E-4</v>
      </c>
      <c r="AE335" s="305">
        <f t="shared" ref="AE335:AE380" si="136">IF(OR(t&lt;Ttai,Notai),Dd_s+PousD*Croivg,Dens_s+PousD*(Croivg-Croi_tai))</f>
        <v>0.5</v>
      </c>
      <c r="AF335" s="177">
        <f t="shared" ref="AF335:AF379" si="137">(Hp_vg_s-AG335)/(INDEX(Echel_vg,AH335+1)-AG335)</f>
        <v>0.49685736440961148</v>
      </c>
      <c r="AG335" s="811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-0.50314263559038852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7">
        <v>25.622</v>
      </c>
      <c r="C336" s="390"/>
      <c r="D336" s="393">
        <f t="shared" si="122"/>
        <v>26.1280790955696</v>
      </c>
      <c r="E336" s="385">
        <f t="shared" si="120"/>
        <v>27.448556637466492</v>
      </c>
      <c r="F336" s="385">
        <f t="shared" si="123"/>
        <v>27.452705708144066</v>
      </c>
      <c r="G336" s="110">
        <f t="shared" si="121"/>
        <v>0.93196336434517812</v>
      </c>
      <c r="H336" s="414" t="b">
        <f>Wh_hp&gt;='2019'!Maxi_hp</f>
        <v>1</v>
      </c>
      <c r="I336" s="380">
        <f>IF(H336,Wh_hp,'2019'!Maxi_hp)</f>
        <v>27.452705708144066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1.9369165782088138E-2</v>
      </c>
      <c r="M336" s="845"/>
      <c r="N336" s="845"/>
      <c r="O336" s="48">
        <f>IF(t&lt;Tnet,'2019'!Resal+('2019'!Salim-'2019'!Resal)*(1-EXP(('2019'!Tnet-t)/('2019'!Tau_j))),Resal+(Salim-Resal)*(1-EXP((Tnet-t)/(Tau_j))))*Salcycl</f>
        <v>4.8107358042079357E-2</v>
      </c>
      <c r="P336" s="169">
        <f>(INDEX(Models!$BJ336:$BT336,,T336)*(1-R336)+INDEX(Models!$BJ336:$BT336,,T336+1)*R336-ERP_i)*Q336*Ramure*Pc/MaxiM</f>
        <v>1.6740229050009344E-4</v>
      </c>
      <c r="Q336" s="305">
        <f t="shared" si="125"/>
        <v>0.5</v>
      </c>
      <c r="R336" s="177">
        <f t="shared" si="126"/>
        <v>0.4968854059682748</v>
      </c>
      <c r="S336" s="811">
        <f t="shared" si="127"/>
        <v>-1</v>
      </c>
      <c r="T336" s="176">
        <f t="shared" si="128"/>
        <v>5</v>
      </c>
      <c r="U336" s="251">
        <f t="shared" si="129"/>
        <v>-0.5031145940317252</v>
      </c>
      <c r="V336" s="383">
        <f t="shared" si="130"/>
        <v>27.492049711721794</v>
      </c>
      <c r="W336" s="402"/>
      <c r="X336" s="157">
        <f t="shared" si="131"/>
        <v>44152</v>
      </c>
      <c r="Y336" s="385">
        <f t="shared" si="132"/>
        <v>25.622</v>
      </c>
      <c r="Z336" s="385">
        <f t="shared" si="133"/>
        <v>26.1280790955696</v>
      </c>
      <c r="AA336" s="386">
        <f t="shared" si="134"/>
        <v>27.448556637466492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4.8107358042079357E-2</v>
      </c>
      <c r="AD336" s="231">
        <f>(INDEX(Models!$BJ336:$BT336,,AH336)*(1-AF336)+INDEX(Models!$BJ336:$BT336,,AH336+1)*AF336-ERP_i)*AE336*Ramure*Pc/MaxiM</f>
        <v>1.6740229050009344E-4</v>
      </c>
      <c r="AE336" s="305">
        <f t="shared" si="136"/>
        <v>0.5</v>
      </c>
      <c r="AF336" s="177">
        <f t="shared" si="137"/>
        <v>0.4968854059682748</v>
      </c>
      <c r="AG336" s="811">
        <f t="shared" ref="AG336:AG379" si="143">INDEX(Echel_vg,AH336)</f>
        <v>-1</v>
      </c>
      <c r="AH336" s="176">
        <f t="shared" si="138"/>
        <v>5</v>
      </c>
      <c r="AI336" s="225">
        <f t="shared" si="139"/>
        <v>-0.5031145940317252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7">
        <v>27.138999999999999</v>
      </c>
      <c r="C337" s="390"/>
      <c r="D337" s="393">
        <f t="shared" si="122"/>
        <v>27.675648653669629</v>
      </c>
      <c r="E337" s="385">
        <f t="shared" si="120"/>
        <v>29.075399652023879</v>
      </c>
      <c r="F337" s="385">
        <f t="shared" si="123"/>
        <v>29.080430360791048</v>
      </c>
      <c r="G337" s="110">
        <f t="shared" si="121"/>
        <v>0.99562001673886757</v>
      </c>
      <c r="H337" s="414" t="b">
        <f>Wh_hp&gt;='2019'!Maxi_hp</f>
        <v>1</v>
      </c>
      <c r="I337" s="380">
        <f>IF(H337,Wh_hp,'2019'!Maxi_hp)</f>
        <v>29.080430360791048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1.9390644114080202E-2</v>
      </c>
      <c r="M337" s="845"/>
      <c r="N337" s="845"/>
      <c r="O337" s="48">
        <f>IF(t&lt;Tnet,'2019'!Resal+('2019'!Salim-'2019'!Resal)*(1-EXP(('2019'!Tnet-t)/('2019'!Tau_j))),Resal+(Salim-Resal)*(1-EXP((Tnet-t)/(Tau_j))))*Salcycl</f>
        <v>4.8142106905031547E-2</v>
      </c>
      <c r="P337" s="169">
        <f>(INDEX(Models!$BJ337:$BT337,,T337)*(1-R337)+INDEX(Models!$BJ337:$BT337,,T337+1)*R337-ERP_i)*Q337*Ramure*Pc/MaxiM</f>
        <v>1.7408190855186791E-4</v>
      </c>
      <c r="Q337" s="305">
        <f t="shared" si="125"/>
        <v>0.5</v>
      </c>
      <c r="R337" s="177">
        <f t="shared" si="126"/>
        <v>0.4969123214494453</v>
      </c>
      <c r="S337" s="811">
        <f t="shared" si="127"/>
        <v>-1</v>
      </c>
      <c r="T337" s="176">
        <f t="shared" si="128"/>
        <v>5</v>
      </c>
      <c r="U337" s="251">
        <f t="shared" si="129"/>
        <v>-0.5030876785505547</v>
      </c>
      <c r="V337" s="383">
        <f t="shared" si="130"/>
        <v>27.258361608588274</v>
      </c>
      <c r="W337" s="402"/>
      <c r="X337" s="157">
        <f t="shared" si="131"/>
        <v>44153</v>
      </c>
      <c r="Y337" s="385">
        <f t="shared" si="132"/>
        <v>27.138999999999999</v>
      </c>
      <c r="Z337" s="385">
        <f t="shared" si="133"/>
        <v>27.675648653669629</v>
      </c>
      <c r="AA337" s="386">
        <f t="shared" si="134"/>
        <v>29.075399652023879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4.8142106905031547E-2</v>
      </c>
      <c r="AD337" s="231">
        <f>(INDEX(Models!$BJ337:$BT337,,AH337)*(1-AF337)+INDEX(Models!$BJ337:$BT337,,AH337+1)*AF337-ERP_i)*AE337*Ramure*Pc/MaxiM</f>
        <v>1.7408190855186791E-4</v>
      </c>
      <c r="AE337" s="305">
        <f t="shared" si="136"/>
        <v>0.5</v>
      </c>
      <c r="AF337" s="177">
        <f t="shared" si="137"/>
        <v>0.4969123214494453</v>
      </c>
      <c r="AG337" s="811">
        <f t="shared" si="143"/>
        <v>-1</v>
      </c>
      <c r="AH337" s="176">
        <f t="shared" si="138"/>
        <v>5</v>
      </c>
      <c r="AI337" s="225">
        <f t="shared" si="139"/>
        <v>-0.5030876785505547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7">
        <v>8.2270000000000003</v>
      </c>
      <c r="C338" s="390"/>
      <c r="D338" s="393">
        <f t="shared" si="122"/>
        <v>8.3898650843771065</v>
      </c>
      <c r="E338" s="385">
        <f t="shared" si="120"/>
        <v>8.8145268308191351</v>
      </c>
      <c r="F338" s="385">
        <f t="shared" si="123"/>
        <v>8.8145368007533911</v>
      </c>
      <c r="G338" s="110">
        <f t="shared" si="121"/>
        <v>0.30432593364750787</v>
      </c>
      <c r="H338" s="414" t="b">
        <f>Wh_hp&gt;='2019'!Maxi_hp</f>
        <v>0</v>
      </c>
      <c r="I338" s="380">
        <f>IF(H338,Wh_hp,'2019'!Maxi_hp)</f>
        <v>30.110087627610774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1.9412121975641683E-2</v>
      </c>
      <c r="M338" s="845"/>
      <c r="N338" s="845"/>
      <c r="O338" s="48">
        <f>IF(t&lt;Tnet,'2019'!Resal+('2019'!Salim-'2019'!Resal)*(1-EXP(('2019'!Tnet-t)/('2019'!Tau_j))),Resal+(Salim-Resal)*(1-EXP((Tnet-t)/(Tau_j))))*Salcycl</f>
        <v>4.8177486391809451E-2</v>
      </c>
      <c r="P338" s="169">
        <f>(INDEX(Models!$BJ338:$BT338,,T338)*(1-R338)+INDEX(Models!$BJ338:$BT338,,T338+1)*R338-ERP_i)*Q338*Ramure*Pc/MaxiM</f>
        <v>1.8074108795427532E-4</v>
      </c>
      <c r="Q338" s="305">
        <f t="shared" si="125"/>
        <v>0.5</v>
      </c>
      <c r="R338" s="177">
        <f t="shared" si="126"/>
        <v>0.4969381559593844</v>
      </c>
      <c r="S338" s="811">
        <f t="shared" si="127"/>
        <v>-1</v>
      </c>
      <c r="T338" s="176">
        <f t="shared" si="128"/>
        <v>5</v>
      </c>
      <c r="U338" s="251">
        <f t="shared" si="129"/>
        <v>-0.5030618440406156</v>
      </c>
      <c r="V338" s="383">
        <f t="shared" si="130"/>
        <v>27.028660516028783</v>
      </c>
      <c r="W338" s="402"/>
      <c r="X338" s="157">
        <f t="shared" si="131"/>
        <v>44154</v>
      </c>
      <c r="Y338" s="385">
        <f t="shared" si="132"/>
        <v>8.2270000000000003</v>
      </c>
      <c r="Z338" s="385">
        <f t="shared" si="133"/>
        <v>8.3898650843771065</v>
      </c>
      <c r="AA338" s="386">
        <f t="shared" si="134"/>
        <v>8.8145268308191351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4.8177486391809451E-2</v>
      </c>
      <c r="AD338" s="231">
        <f>(INDEX(Models!$BJ338:$BT338,,AH338)*(1-AF338)+INDEX(Models!$BJ338:$BT338,,AH338+1)*AF338-ERP_i)*AE338*Ramure*Pc/MaxiM</f>
        <v>1.8074108795427532E-4</v>
      </c>
      <c r="AE338" s="305">
        <f t="shared" si="136"/>
        <v>0.5</v>
      </c>
      <c r="AF338" s="177">
        <f t="shared" si="137"/>
        <v>0.4969381559593844</v>
      </c>
      <c r="AG338" s="811">
        <f t="shared" si="143"/>
        <v>-1</v>
      </c>
      <c r="AH338" s="176">
        <f t="shared" si="138"/>
        <v>5</v>
      </c>
      <c r="AI338" s="225">
        <f t="shared" si="139"/>
        <v>-0.5030618440406156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7">
        <v>18.631</v>
      </c>
      <c r="C339" s="390"/>
      <c r="D339" s="393">
        <f t="shared" si="122"/>
        <v>19.000243112520192</v>
      </c>
      <c r="E339" s="385">
        <f t="shared" si="120"/>
        <v>19.962716000655359</v>
      </c>
      <c r="F339" s="385">
        <f t="shared" si="123"/>
        <v>19.964825533436027</v>
      </c>
      <c r="G339" s="110">
        <f t="shared" si="121"/>
        <v>0.69505076835087021</v>
      </c>
      <c r="H339" s="414" t="b">
        <f>Wh_hp&gt;='2019'!Maxi_hp</f>
        <v>0</v>
      </c>
      <c r="I339" s="380">
        <f>IF(H339,Wh_hp,'2019'!Maxi_hp)</f>
        <v>29.084066217541494</v>
      </c>
      <c r="J339" s="85">
        <f>IF(H339,An,'2019'!An_max)</f>
        <v>2019</v>
      </c>
      <c r="K339" s="197">
        <f t="shared" si="124"/>
        <v>44155</v>
      </c>
      <c r="L339" s="147">
        <f>IF(t&lt;Tvie,1-EXP((T0-t)*PertePVj)+'2019'!Pspv,1-EXP((T0-t)*PertePVj)+Pspv)</f>
        <v>1.9433599366782794E-2</v>
      </c>
      <c r="M339" s="845"/>
      <c r="N339" s="845"/>
      <c r="O339" s="48">
        <f>IF(t&lt;Tnet,'2019'!Resal+('2019'!Salim-'2019'!Resal)*(1-EXP(('2019'!Tnet-t)/('2019'!Tau_j))),Resal+(Salim-Resal)*(1-EXP((Tnet-t)/(Tau_j))))*Salcycl</f>
        <v>4.8213524056724917E-2</v>
      </c>
      <c r="P339" s="169">
        <f>(INDEX(Models!$BJ339:$BT339,,T339)*(1-R339)+INDEX(Models!$BJ339:$BT339,,T339+1)*R339-ERP_i)*Q339*Ramure*Pc/MaxiM</f>
        <v>1.871990236347914E-4</v>
      </c>
      <c r="Q339" s="305">
        <f t="shared" si="125"/>
        <v>0.5</v>
      </c>
      <c r="R339" s="177">
        <f t="shared" si="126"/>
        <v>0.49696295280656955</v>
      </c>
      <c r="S339" s="811">
        <f t="shared" si="127"/>
        <v>-1</v>
      </c>
      <c r="T339" s="176">
        <f t="shared" si="128"/>
        <v>5</v>
      </c>
      <c r="U339" s="251">
        <f t="shared" si="129"/>
        <v>-0.50303704719343045</v>
      </c>
      <c r="V339" s="383">
        <f t="shared" si="130"/>
        <v>26.803050338528362</v>
      </c>
      <c r="W339" s="402"/>
      <c r="X339" s="157">
        <f t="shared" si="131"/>
        <v>44155</v>
      </c>
      <c r="Y339" s="385">
        <f t="shared" si="132"/>
        <v>18.631</v>
      </c>
      <c r="Z339" s="385">
        <f t="shared" si="133"/>
        <v>19.000243112520192</v>
      </c>
      <c r="AA339" s="386">
        <f t="shared" si="134"/>
        <v>19.962716000655359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4.8213524056724917E-2</v>
      </c>
      <c r="AD339" s="231">
        <f>(INDEX(Models!$BJ339:$BT339,,AH339)*(1-AF339)+INDEX(Models!$BJ339:$BT339,,AH339+1)*AF339-ERP_i)*AE339*Ramure*Pc/MaxiM</f>
        <v>1.871990236347914E-4</v>
      </c>
      <c r="AE339" s="305">
        <f t="shared" si="136"/>
        <v>0.5</v>
      </c>
      <c r="AF339" s="177">
        <f t="shared" si="137"/>
        <v>0.49696295280656955</v>
      </c>
      <c r="AG339" s="811">
        <f t="shared" si="143"/>
        <v>-1</v>
      </c>
      <c r="AH339" s="176">
        <f t="shared" si="138"/>
        <v>5</v>
      </c>
      <c r="AI339" s="225">
        <f t="shared" si="139"/>
        <v>-0.50303704719343045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7">
        <v>27.61</v>
      </c>
      <c r="C340" s="390"/>
      <c r="D340" s="393">
        <f t="shared" si="122"/>
        <v>28.157812388099995</v>
      </c>
      <c r="E340" s="385">
        <f t="shared" si="120"/>
        <v>29.585310874898443</v>
      </c>
      <c r="F340" s="385">
        <f t="shared" si="123"/>
        <v>29.591035421411469</v>
      </c>
      <c r="G340" s="110">
        <f t="shared" si="121"/>
        <v>1.038687240367683</v>
      </c>
      <c r="H340" s="414" t="b">
        <f>Wh_hp&gt;='2019'!Maxi_hp</f>
        <v>1</v>
      </c>
      <c r="I340" s="380">
        <f>IF(H340,Wh_hp,'2019'!Maxi_hp)</f>
        <v>29.591035421411469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1.9455076287514084E-2</v>
      </c>
      <c r="M340" s="845"/>
      <c r="N340" s="845"/>
      <c r="O340" s="48">
        <f>IF(t&lt;Tnet,'2019'!Resal+('2019'!Salim-'2019'!Resal)*(1-EXP(('2019'!Tnet-t)/('2019'!Tau_j))),Resal+(Salim-Resal)*(1-EXP((Tnet-t)/(Tau_j))))*Salcycl</f>
        <v>4.8250244617493665E-2</v>
      </c>
      <c r="P340" s="169">
        <f>(INDEX(Models!$BJ340:$BT340,,T340)*(1-R340)+INDEX(Models!$BJ340:$BT340,,T340+1)*R340-ERP_i)*Q340*Ramure*Pc/MaxiM</f>
        <v>1.9345543106223428E-4</v>
      </c>
      <c r="Q340" s="305">
        <f t="shared" si="125"/>
        <v>0.5</v>
      </c>
      <c r="R340" s="177">
        <f t="shared" si="126"/>
        <v>0.49698675357263811</v>
      </c>
      <c r="S340" s="811">
        <f t="shared" si="127"/>
        <v>-1</v>
      </c>
      <c r="T340" s="176">
        <f t="shared" si="128"/>
        <v>5</v>
      </c>
      <c r="U340" s="251">
        <f t="shared" si="129"/>
        <v>-0.50301324642736189</v>
      </c>
      <c r="V340" s="383">
        <f t="shared" si="130"/>
        <v>26.581630087442285</v>
      </c>
      <c r="W340" s="402"/>
      <c r="X340" s="157">
        <f t="shared" si="131"/>
        <v>44156</v>
      </c>
      <c r="Y340" s="385">
        <f t="shared" si="132"/>
        <v>27.61</v>
      </c>
      <c r="Z340" s="385">
        <f t="shared" si="133"/>
        <v>28.157812388099995</v>
      </c>
      <c r="AA340" s="386">
        <f t="shared" si="134"/>
        <v>29.585310874898443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4.8250244617493665E-2</v>
      </c>
      <c r="AD340" s="231">
        <f>(INDEX(Models!$BJ340:$BT340,,AH340)*(1-AF340)+INDEX(Models!$BJ340:$BT340,,AH340+1)*AF340-ERP_i)*AE340*Ramure*Pc/MaxiM</f>
        <v>1.9345543106223428E-4</v>
      </c>
      <c r="AE340" s="305">
        <f t="shared" si="136"/>
        <v>0.5</v>
      </c>
      <c r="AF340" s="177">
        <f t="shared" si="137"/>
        <v>0.49698675357263811</v>
      </c>
      <c r="AG340" s="811">
        <f t="shared" si="143"/>
        <v>-1</v>
      </c>
      <c r="AH340" s="176">
        <f t="shared" si="138"/>
        <v>5</v>
      </c>
      <c r="AI340" s="225">
        <f t="shared" si="139"/>
        <v>-0.50301324642736189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7">
        <v>27.582000000000001</v>
      </c>
      <c r="C341" s="390"/>
      <c r="D341" s="393">
        <f t="shared" si="122"/>
        <v>28.129872954099412</v>
      </c>
      <c r="E341" s="385">
        <f t="shared" si="120"/>
        <v>29.557117275470748</v>
      </c>
      <c r="F341" s="385">
        <f t="shared" si="123"/>
        <v>29.56301535081597</v>
      </c>
      <c r="G341" s="110">
        <f t="shared" si="121"/>
        <v>1.0461795663788345</v>
      </c>
      <c r="H341" s="414" t="b">
        <f>Wh_hp&gt;='2019'!Maxi_hp</f>
        <v>1</v>
      </c>
      <c r="I341" s="380">
        <f>IF(H341,Wh_hp,'2019'!Maxi_hp)</f>
        <v>29.56301535081597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1.9476552737845543E-2</v>
      </c>
      <c r="M341" s="845"/>
      <c r="N341" s="845"/>
      <c r="O341" s="48">
        <f>IF(t&lt;Tnet,'2019'!Resal+('2019'!Salim-'2019'!Resal)*(1-EXP(('2019'!Tnet-t)/('2019'!Tau_j))),Resal+(Salim-Resal)*(1-EXP((Tnet-t)/(Tau_j))))*Salcycl</f>
        <v>4.8287669872183282E-2</v>
      </c>
      <c r="P341" s="169">
        <f>(INDEX(Models!$BJ341:$BT341,,T341)*(1-R341)+INDEX(Models!$BJ341:$BT341,,T341+1)*R341-ERP_i)*Q341*Ramure*Pc/MaxiM</f>
        <v>1.9950858446710187E-4</v>
      </c>
      <c r="Q341" s="305">
        <f t="shared" si="125"/>
        <v>0.5</v>
      </c>
      <c r="R341" s="177">
        <f t="shared" si="126"/>
        <v>0.49700959818058776</v>
      </c>
      <c r="S341" s="811">
        <f t="shared" si="127"/>
        <v>-1</v>
      </c>
      <c r="T341" s="176">
        <f t="shared" si="128"/>
        <v>5</v>
      </c>
      <c r="U341" s="251">
        <f t="shared" si="129"/>
        <v>-0.50299040181941224</v>
      </c>
      <c r="V341" s="383">
        <f t="shared" si="130"/>
        <v>26.364498874194432</v>
      </c>
      <c r="W341" s="402"/>
      <c r="X341" s="157">
        <f t="shared" si="131"/>
        <v>44157</v>
      </c>
      <c r="Y341" s="385">
        <f t="shared" si="132"/>
        <v>27.582000000000001</v>
      </c>
      <c r="Z341" s="385">
        <f t="shared" si="133"/>
        <v>28.129872954099412</v>
      </c>
      <c r="AA341" s="386">
        <f t="shared" si="134"/>
        <v>29.557117275470748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4.8287669872183282E-2</v>
      </c>
      <c r="AD341" s="231">
        <f>(INDEX(Models!$BJ341:$BT341,,AH341)*(1-AF341)+INDEX(Models!$BJ341:$BT341,,AH341+1)*AF341-ERP_i)*AE341*Ramure*Pc/MaxiM</f>
        <v>1.9950858446710187E-4</v>
      </c>
      <c r="AE341" s="305">
        <f t="shared" si="136"/>
        <v>0.5</v>
      </c>
      <c r="AF341" s="177">
        <f t="shared" si="137"/>
        <v>0.49700959818058776</v>
      </c>
      <c r="AG341" s="811">
        <f t="shared" si="143"/>
        <v>-1</v>
      </c>
      <c r="AH341" s="176">
        <f t="shared" si="138"/>
        <v>5</v>
      </c>
      <c r="AI341" s="225">
        <f t="shared" si="139"/>
        <v>-0.50299040181941224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7">
        <v>25.398</v>
      </c>
      <c r="C342" s="390"/>
      <c r="D342" s="393">
        <f t="shared" si="122"/>
        <v>25.903058580072798</v>
      </c>
      <c r="E342" s="385">
        <f t="shared" si="120"/>
        <v>27.218410551923654</v>
      </c>
      <c r="F342" s="385">
        <f t="shared" si="123"/>
        <v>27.223770958160259</v>
      </c>
      <c r="G342" s="110">
        <f t="shared" si="121"/>
        <v>0.97116940605772195</v>
      </c>
      <c r="H342" s="414" t="b">
        <f>Wh_hp&gt;='2019'!Maxi_hp</f>
        <v>1</v>
      </c>
      <c r="I342" s="380">
        <f>IF(H342,Wh_hp,'2019'!Maxi_hp)</f>
        <v>27.223770958160259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1.9498028717787719E-2</v>
      </c>
      <c r="M342" s="845"/>
      <c r="N342" s="845"/>
      <c r="O342" s="48">
        <f>IF(t&lt;Tnet,'2019'!Resal+('2019'!Salim-'2019'!Resal)*(1-EXP(('2019'!Tnet-t)/('2019'!Tau_j))),Resal+(Salim-Resal)*(1-EXP((Tnet-t)/(Tau_j))))*Salcycl</f>
        <v>4.832581863447187E-2</v>
      </c>
      <c r="P342" s="169">
        <f>(INDEX(Models!$BJ342:$BT342,,T342)*(1-R342)+INDEX(Models!$BJ342:$BT342,,T342+1)*R342-ERP_i)*Q342*Ramure*Pc/MaxiM</f>
        <v>2.0535722879760486E-4</v>
      </c>
      <c r="Q342" s="305">
        <f t="shared" si="125"/>
        <v>0.5</v>
      </c>
      <c r="R342" s="177">
        <f t="shared" si="126"/>
        <v>0.49703152496033587</v>
      </c>
      <c r="S342" s="811">
        <f t="shared" si="127"/>
        <v>-1</v>
      </c>
      <c r="T342" s="176">
        <f t="shared" si="128"/>
        <v>5</v>
      </c>
      <c r="U342" s="251">
        <f t="shared" si="129"/>
        <v>-0.50296847503966413</v>
      </c>
      <c r="V342" s="383">
        <f t="shared" si="130"/>
        <v>26.151755857687537</v>
      </c>
      <c r="W342" s="402"/>
      <c r="X342" s="157">
        <f t="shared" si="131"/>
        <v>44158</v>
      </c>
      <c r="Y342" s="385">
        <f t="shared" si="132"/>
        <v>25.398</v>
      </c>
      <c r="Z342" s="385">
        <f t="shared" si="133"/>
        <v>25.903058580072798</v>
      </c>
      <c r="AA342" s="386">
        <f t="shared" si="134"/>
        <v>27.218410551923654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4.832581863447187E-2</v>
      </c>
      <c r="AD342" s="231">
        <f>(INDEX(Models!$BJ342:$BT342,,AH342)*(1-AF342)+INDEX(Models!$BJ342:$BT342,,AH342+1)*AF342-ERP_i)*AE342*Ramure*Pc/MaxiM</f>
        <v>2.0535722879760486E-4</v>
      </c>
      <c r="AE342" s="305">
        <f t="shared" si="136"/>
        <v>0.5</v>
      </c>
      <c r="AF342" s="177">
        <f t="shared" si="137"/>
        <v>0.49703152496033587</v>
      </c>
      <c r="AG342" s="811">
        <f t="shared" si="143"/>
        <v>-1</v>
      </c>
      <c r="AH342" s="176">
        <f t="shared" si="138"/>
        <v>5</v>
      </c>
      <c r="AI342" s="225">
        <f t="shared" si="139"/>
        <v>-0.50296847503966413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7">
        <v>24.614000000000001</v>
      </c>
      <c r="C343" s="390"/>
      <c r="D343" s="393">
        <f t="shared" si="122"/>
        <v>25.104017985185315</v>
      </c>
      <c r="E343" s="385">
        <f t="shared" si="120"/>
        <v>26.379872795390582</v>
      </c>
      <c r="F343" s="385">
        <f t="shared" si="123"/>
        <v>26.38503248912658</v>
      </c>
      <c r="G343" s="110">
        <f t="shared" si="121"/>
        <v>0.94873935626539951</v>
      </c>
      <c r="H343" s="414" t="b">
        <f>Wh_hp&gt;='2019'!Maxi_hp</f>
        <v>1</v>
      </c>
      <c r="I343" s="380">
        <f>IF(H343,Wh_hp,'2019'!Maxi_hp)</f>
        <v>26.38503248912658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1.9519504227350715E-2</v>
      </c>
      <c r="M343" s="845"/>
      <c r="N343" s="845"/>
      <c r="O343" s="48">
        <f>IF(t&lt;Tnet,'2019'!Resal+('2019'!Salim-'2019'!Resal)*(1-EXP(('2019'!Tnet-t)/('2019'!Tau_j))),Resal+(Salim-Resal)*(1-EXP((Tnet-t)/(Tau_j))))*Salcycl</f>
        <v>4.8364706687600081E-2</v>
      </c>
      <c r="P343" s="169">
        <f>(INDEX(Models!$BJ343:$BT343,,T343)*(1-R343)+INDEX(Models!$BJ343:$BT343,,T343+1)*R343-ERP_i)*Q343*Ramure*Pc/MaxiM</f>
        <v>2.110008828085122E-4</v>
      </c>
      <c r="Q343" s="305">
        <f t="shared" si="125"/>
        <v>0.5</v>
      </c>
      <c r="R343" s="177">
        <f t="shared" si="126"/>
        <v>0.49705257071173314</v>
      </c>
      <c r="S343" s="811">
        <f t="shared" si="127"/>
        <v>-1</v>
      </c>
      <c r="T343" s="176">
        <f t="shared" si="128"/>
        <v>5</v>
      </c>
      <c r="U343" s="251">
        <f t="shared" si="129"/>
        <v>-0.50294742928826686</v>
      </c>
      <c r="V343" s="383">
        <f t="shared" si="130"/>
        <v>25.943500234216391</v>
      </c>
      <c r="W343" s="402"/>
      <c r="X343" s="157">
        <f t="shared" si="131"/>
        <v>44159</v>
      </c>
      <c r="Y343" s="385">
        <f t="shared" si="132"/>
        <v>24.614000000000001</v>
      </c>
      <c r="Z343" s="385">
        <f t="shared" si="133"/>
        <v>25.104017985185315</v>
      </c>
      <c r="AA343" s="386">
        <f t="shared" si="134"/>
        <v>26.379872795390582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4.8364706687600081E-2</v>
      </c>
      <c r="AD343" s="231">
        <f>(INDEX(Models!$BJ343:$BT343,,AH343)*(1-AF343)+INDEX(Models!$BJ343:$BT343,,AH343+1)*AF343-ERP_i)*AE343*Ramure*Pc/MaxiM</f>
        <v>2.110008828085122E-4</v>
      </c>
      <c r="AE343" s="305">
        <f t="shared" si="136"/>
        <v>0.5</v>
      </c>
      <c r="AF343" s="177">
        <f t="shared" si="137"/>
        <v>0.49705257071173314</v>
      </c>
      <c r="AG343" s="811">
        <f t="shared" si="143"/>
        <v>-1</v>
      </c>
      <c r="AH343" s="176">
        <f t="shared" si="138"/>
        <v>5</v>
      </c>
      <c r="AI343" s="225">
        <f t="shared" si="139"/>
        <v>-0.50294742928826686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7">
        <v>24.992999999999999</v>
      </c>
      <c r="C344" s="390"/>
      <c r="D344" s="393">
        <f t="shared" si="122"/>
        <v>25.491121476248345</v>
      </c>
      <c r="E344" s="385">
        <f t="shared" si="120"/>
        <v>26.787765779911176</v>
      </c>
      <c r="F344" s="385">
        <f t="shared" si="123"/>
        <v>26.793324525882319</v>
      </c>
      <c r="G344" s="110">
        <f t="shared" si="121"/>
        <v>0.97097667353997708</v>
      </c>
      <c r="H344" s="414" t="b">
        <f>Wh_hp&gt;='2019'!Maxi_hp</f>
        <v>1</v>
      </c>
      <c r="I344" s="380">
        <f>IF(H344,Wh_hp,'2019'!Maxi_hp)</f>
        <v>26.793324525882319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1.9540979266544967E-2</v>
      </c>
      <c r="M344" s="845"/>
      <c r="N344" s="845"/>
      <c r="O344" s="48">
        <f>IF(t&lt;Tnet,'2019'!Resal+('2019'!Salim-'2019'!Resal)*(1-EXP(('2019'!Tnet-t)/('2019'!Tau_j))),Resal+(Salim-Resal)*(1-EXP((Tnet-t)/(Tau_j))))*Salcycl</f>
        <v>4.8404346757250562E-2</v>
      </c>
      <c r="P344" s="169">
        <f>(INDEX(Models!$BJ344:$BT344,,T344)*(1-R344)+INDEX(Models!$BJ344:$BT344,,T344+1)*R344-ERP_i)*Q344*Ramure*Pc/MaxiM</f>
        <v>2.1643884202810073E-4</v>
      </c>
      <c r="Q344" s="305">
        <f t="shared" si="125"/>
        <v>0.5</v>
      </c>
      <c r="R344" s="177">
        <f t="shared" si="126"/>
        <v>0.49707277076513146</v>
      </c>
      <c r="S344" s="811">
        <f t="shared" si="127"/>
        <v>-1</v>
      </c>
      <c r="T344" s="176">
        <f t="shared" si="128"/>
        <v>5</v>
      </c>
      <c r="U344" s="251">
        <f t="shared" si="129"/>
        <v>-0.50292722923486854</v>
      </c>
      <c r="V344" s="383">
        <f t="shared" si="130"/>
        <v>25.739831260197885</v>
      </c>
      <c r="W344" s="402"/>
      <c r="X344" s="157">
        <f t="shared" si="131"/>
        <v>44160</v>
      </c>
      <c r="Y344" s="385">
        <f t="shared" si="132"/>
        <v>24.992999999999999</v>
      </c>
      <c r="Z344" s="385">
        <f t="shared" si="133"/>
        <v>25.491121476248345</v>
      </c>
      <c r="AA344" s="386">
        <f t="shared" si="134"/>
        <v>26.787765779911176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4.8404346757250562E-2</v>
      </c>
      <c r="AD344" s="231">
        <f>(INDEX(Models!$BJ344:$BT344,,AH344)*(1-AF344)+INDEX(Models!$BJ344:$BT344,,AH344+1)*AF344-ERP_i)*AE344*Ramure*Pc/MaxiM</f>
        <v>2.1643884202810073E-4</v>
      </c>
      <c r="AE344" s="305">
        <f t="shared" si="136"/>
        <v>0.5</v>
      </c>
      <c r="AF344" s="177">
        <f t="shared" si="137"/>
        <v>0.49707277076513146</v>
      </c>
      <c r="AG344" s="811">
        <f t="shared" si="143"/>
        <v>-1</v>
      </c>
      <c r="AH344" s="176">
        <f t="shared" si="138"/>
        <v>5</v>
      </c>
      <c r="AI344" s="225">
        <f t="shared" si="139"/>
        <v>-0.50292722923486854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7">
        <v>20.407</v>
      </c>
      <c r="C345" s="390"/>
      <c r="D345" s="393">
        <f t="shared" si="122"/>
        <v>20.814176364247057</v>
      </c>
      <c r="E345" s="385">
        <f t="shared" si="120"/>
        <v>21.873849502182345</v>
      </c>
      <c r="F345" s="385">
        <f t="shared" si="123"/>
        <v>21.877307656306048</v>
      </c>
      <c r="G345" s="110">
        <f t="shared" si="121"/>
        <v>0.79904664561066363</v>
      </c>
      <c r="H345" s="414" t="b">
        <f>Wh_hp&gt;='2019'!Maxi_hp</f>
        <v>0</v>
      </c>
      <c r="I345" s="380">
        <f>IF(H345,Wh_hp,'2019'!Maxi_hp)</f>
        <v>25.130362962848679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1.95624538353808E-2</v>
      </c>
      <c r="M345" s="845"/>
      <c r="N345" s="845"/>
      <c r="O345" s="48">
        <f>IF(t&lt;Tnet,'2019'!Resal+('2019'!Salim-'2019'!Resal)*(1-EXP(('2019'!Tnet-t)/('2019'!Tau_j))),Resal+(Salim-Resal)*(1-EXP((Tnet-t)/(Tau_j))))*Salcycl</f>
        <v>4.8444748503438557E-2</v>
      </c>
      <c r="P345" s="169">
        <f>(INDEX(Models!$BJ345:$BT345,,T345)*(1-R345)+INDEX(Models!$BJ345:$BT345,,T345+1)*R345-ERP_i)*Q345*Ramure*Pc/MaxiM</f>
        <v>2.2169868512836262E-4</v>
      </c>
      <c r="Q345" s="305">
        <f t="shared" si="125"/>
        <v>0.5</v>
      </c>
      <c r="R345" s="177">
        <f t="shared" si="126"/>
        <v>0.49709215903959203</v>
      </c>
      <c r="S345" s="811">
        <f t="shared" si="127"/>
        <v>-1</v>
      </c>
      <c r="T345" s="176">
        <f t="shared" si="128"/>
        <v>5</v>
      </c>
      <c r="U345" s="251">
        <f t="shared" si="129"/>
        <v>-0.50290784096040797</v>
      </c>
      <c r="V345" s="383">
        <f t="shared" si="130"/>
        <v>25.537559595290805</v>
      </c>
      <c r="W345" s="402"/>
      <c r="X345" s="157">
        <f t="shared" si="131"/>
        <v>44161</v>
      </c>
      <c r="Y345" s="385">
        <f t="shared" si="132"/>
        <v>20.407</v>
      </c>
      <c r="Z345" s="385">
        <f t="shared" si="133"/>
        <v>20.814176364247057</v>
      </c>
      <c r="AA345" s="386">
        <f t="shared" si="134"/>
        <v>21.873849502182345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4.8444748503438557E-2</v>
      </c>
      <c r="AD345" s="231">
        <f>(INDEX(Models!$BJ345:$BT345,,AH345)*(1-AF345)+INDEX(Models!$BJ345:$BT345,,AH345+1)*AF345-ERP_i)*AE345*Ramure*Pc/MaxiM</f>
        <v>2.2169868512836262E-4</v>
      </c>
      <c r="AE345" s="305">
        <f t="shared" si="136"/>
        <v>0.5</v>
      </c>
      <c r="AF345" s="177">
        <f t="shared" si="137"/>
        <v>0.49709215903959203</v>
      </c>
      <c r="AG345" s="811">
        <f t="shared" si="143"/>
        <v>-1</v>
      </c>
      <c r="AH345" s="176">
        <f t="shared" si="138"/>
        <v>5</v>
      </c>
      <c r="AI345" s="225">
        <f t="shared" si="139"/>
        <v>-0.50290784096040797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7">
        <v>14.461</v>
      </c>
      <c r="C346" s="390"/>
      <c r="D346" s="393">
        <f t="shared" si="122"/>
        <v>14.749860199175282</v>
      </c>
      <c r="E346" s="385">
        <f t="shared" si="120"/>
        <v>15.50146286475235</v>
      </c>
      <c r="F346" s="385">
        <f t="shared" si="123"/>
        <v>15.502821499090683</v>
      </c>
      <c r="G346" s="110">
        <f t="shared" si="121"/>
        <v>0.57072626251766767</v>
      </c>
      <c r="H346" s="414" t="b">
        <f>Wh_hp&gt;='2019'!Maxi_hp</f>
        <v>0</v>
      </c>
      <c r="I346" s="380">
        <f>IF(H346,Wh_hp,'2019'!Maxi_hp)</f>
        <v>18.630206084198146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1.9583927933868428E-2</v>
      </c>
      <c r="M346" s="845"/>
      <c r="N346" s="845"/>
      <c r="O346" s="48">
        <f>IF(t&lt;Tnet,'2019'!Resal+('2019'!Salim-'2019'!Resal)*(1-EXP(('2019'!Tnet-t)/('2019'!Tau_j))),Resal+(Salim-Resal)*(1-EXP((Tnet-t)/(Tau_j))))*Salcycl</f>
        <v>4.848591853134597E-2</v>
      </c>
      <c r="P346" s="169">
        <f>(INDEX(Models!$BJ346:$BT346,,T346)*(1-R346)+INDEX(Models!$BJ346:$BT346,,T346+1)*R346-ERP_i)*Q346*Ramure*Pc/MaxiM</f>
        <v>2.2653343826105571E-4</v>
      </c>
      <c r="Q346" s="305">
        <f t="shared" si="125"/>
        <v>0.5</v>
      </c>
      <c r="R346" s="177">
        <f t="shared" si="126"/>
        <v>0.49711076809882682</v>
      </c>
      <c r="S346" s="811">
        <f t="shared" si="127"/>
        <v>-1</v>
      </c>
      <c r="T346" s="176">
        <f t="shared" si="128"/>
        <v>5</v>
      </c>
      <c r="U346" s="251">
        <f t="shared" si="129"/>
        <v>-0.50288923190117318</v>
      </c>
      <c r="V346" s="383">
        <f t="shared" si="130"/>
        <v>25.334371667845275</v>
      </c>
      <c r="W346" s="402"/>
      <c r="X346" s="157">
        <f t="shared" si="131"/>
        <v>44162</v>
      </c>
      <c r="Y346" s="385">
        <f t="shared" si="132"/>
        <v>14.461</v>
      </c>
      <c r="Z346" s="385">
        <f t="shared" si="133"/>
        <v>14.749860199175282</v>
      </c>
      <c r="AA346" s="386">
        <f t="shared" si="134"/>
        <v>15.50146286475235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4.848591853134597E-2</v>
      </c>
      <c r="AD346" s="231">
        <f>(INDEX(Models!$BJ346:$BT346,,AH346)*(1-AF346)+INDEX(Models!$BJ346:$BT346,,AH346+1)*AF346-ERP_i)*AE346*Ramure*Pc/MaxiM</f>
        <v>2.2653343826105571E-4</v>
      </c>
      <c r="AE346" s="305">
        <f t="shared" si="136"/>
        <v>0.5</v>
      </c>
      <c r="AF346" s="177">
        <f t="shared" si="137"/>
        <v>0.49711076809882682</v>
      </c>
      <c r="AG346" s="811">
        <f t="shared" si="143"/>
        <v>-1</v>
      </c>
      <c r="AH346" s="176">
        <f t="shared" si="138"/>
        <v>5</v>
      </c>
      <c r="AI346" s="225">
        <f t="shared" si="139"/>
        <v>-0.50288923190117318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7">
        <v>7.9489999999999998</v>
      </c>
      <c r="C347" s="390"/>
      <c r="D347" s="393">
        <f t="shared" si="122"/>
        <v>8.107959807882235</v>
      </c>
      <c r="E347" s="385">
        <f t="shared" si="120"/>
        <v>8.5214894589228578</v>
      </c>
      <c r="F347" s="385">
        <f t="shared" si="123"/>
        <v>8.5215352513610387</v>
      </c>
      <c r="G347" s="110">
        <f t="shared" si="121"/>
        <v>0.31622280080720394</v>
      </c>
      <c r="H347" s="414" t="b">
        <f>Wh_hp&gt;='2019'!Maxi_hp</f>
        <v>0</v>
      </c>
      <c r="I347" s="380">
        <f>IF(H347,Wh_hp,'2019'!Maxi_hp)</f>
        <v>26.41641779115476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1.9605401562018177E-2</v>
      </c>
      <c r="M347" s="845"/>
      <c r="N347" s="845"/>
      <c r="O347" s="48">
        <f>IF(t&lt;Tnet,'2019'!Resal+('2019'!Salim-'2019'!Resal)*(1-EXP(('2019'!Tnet-t)/('2019'!Tau_j))),Resal+(Salim-Resal)*(1-EXP((Tnet-t)/(Tau_j))))*Salcycl</f>
        <v>4.8527860420881704E-2</v>
      </c>
      <c r="P347" s="169">
        <f>(INDEX(Models!$BJ347:$BT347,,T347)*(1-R347)+INDEX(Models!$BJ347:$BT347,,T347+1)*R347-ERP_i)*Q347*Ramure*Pc/MaxiM</f>
        <v>2.3085699942163195E-4</v>
      </c>
      <c r="Q347" s="305">
        <f t="shared" si="125"/>
        <v>0.5</v>
      </c>
      <c r="R347" s="177">
        <f t="shared" si="126"/>
        <v>0.49712862920495593</v>
      </c>
      <c r="S347" s="811">
        <f t="shared" si="127"/>
        <v>-1</v>
      </c>
      <c r="T347" s="176">
        <f t="shared" si="128"/>
        <v>5</v>
      </c>
      <c r="U347" s="251">
        <f t="shared" si="129"/>
        <v>-0.50287137079504407</v>
      </c>
      <c r="V347" s="383">
        <f t="shared" si="130"/>
        <v>25.1316717313907</v>
      </c>
      <c r="W347" s="402"/>
      <c r="X347" s="157">
        <f t="shared" si="131"/>
        <v>44163</v>
      </c>
      <c r="Y347" s="385">
        <f t="shared" si="132"/>
        <v>7.9489999999999998</v>
      </c>
      <c r="Z347" s="385">
        <f t="shared" si="133"/>
        <v>8.107959807882235</v>
      </c>
      <c r="AA347" s="386">
        <f t="shared" si="134"/>
        <v>8.5214894589228578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4.8527860420881704E-2</v>
      </c>
      <c r="AD347" s="231">
        <f>(INDEX(Models!$BJ347:$BT347,,AH347)*(1-AF347)+INDEX(Models!$BJ347:$BT347,,AH347+1)*AF347-ERP_i)*AE347*Ramure*Pc/MaxiM</f>
        <v>2.3085699942163195E-4</v>
      </c>
      <c r="AE347" s="305">
        <f t="shared" si="136"/>
        <v>0.5</v>
      </c>
      <c r="AF347" s="177">
        <f t="shared" si="137"/>
        <v>0.49712862920495593</v>
      </c>
      <c r="AG347" s="811">
        <f t="shared" si="143"/>
        <v>-1</v>
      </c>
      <c r="AH347" s="176">
        <f t="shared" si="138"/>
        <v>5</v>
      </c>
      <c r="AI347" s="225">
        <f t="shared" si="139"/>
        <v>-0.50287137079504407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7">
        <v>23.954999999999998</v>
      </c>
      <c r="C348" s="390"/>
      <c r="D348" s="393">
        <f t="shared" si="122"/>
        <v>24.434574329191669</v>
      </c>
      <c r="E348" s="385">
        <f t="shared" si="120"/>
        <v>25.681961984098844</v>
      </c>
      <c r="F348" s="385">
        <f t="shared" si="123"/>
        <v>25.687652657075112</v>
      </c>
      <c r="G348" s="110">
        <f t="shared" si="121"/>
        <v>0.96084466439937288</v>
      </c>
      <c r="H348" s="414" t="b">
        <f>Wh_hp&gt;='2019'!Maxi_hp</f>
        <v>1</v>
      </c>
      <c r="I348" s="380">
        <f>IF(H348,Wh_hp,'2019'!Maxi_hp)</f>
        <v>25.687652657075112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1.962687471984037E-2</v>
      </c>
      <c r="M348" s="845"/>
      <c r="N348" s="845"/>
      <c r="O348" s="48">
        <f>IF(t&lt;Tnet,'2019'!Resal+('2019'!Salim-'2019'!Resal)*(1-EXP(('2019'!Tnet-t)/('2019'!Tau_j))),Resal+(Salim-Resal)*(1-EXP((Tnet-t)/(Tau_j))))*Salcycl</f>
        <v>4.8570574774602575E-2</v>
      </c>
      <c r="P348" s="169">
        <f>(INDEX(Models!$BJ348:$BT348,,T348)*(1-R348)+INDEX(Models!$BJ348:$BT348,,T348+1)*R348-ERP_i)*Q348*Ramure*Pc/MaxiM</f>
        <v>2.3465487081407842E-4</v>
      </c>
      <c r="Q348" s="305">
        <f t="shared" si="125"/>
        <v>0.5</v>
      </c>
      <c r="R348" s="177">
        <f t="shared" si="126"/>
        <v>0.49714577237016511</v>
      </c>
      <c r="S348" s="811">
        <f t="shared" si="127"/>
        <v>-1</v>
      </c>
      <c r="T348" s="176">
        <f t="shared" si="128"/>
        <v>5</v>
      </c>
      <c r="U348" s="251">
        <f t="shared" si="129"/>
        <v>-0.50285422762983489</v>
      </c>
      <c r="V348" s="383">
        <f t="shared" si="130"/>
        <v>24.930861868750387</v>
      </c>
      <c r="W348" s="402"/>
      <c r="X348" s="157">
        <f t="shared" si="131"/>
        <v>44164</v>
      </c>
      <c r="Y348" s="385">
        <f t="shared" si="132"/>
        <v>23.954999999999998</v>
      </c>
      <c r="Z348" s="385">
        <f t="shared" si="133"/>
        <v>24.434574329191669</v>
      </c>
      <c r="AA348" s="386">
        <f t="shared" si="134"/>
        <v>25.681961984098844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4.8570574774602575E-2</v>
      </c>
      <c r="AD348" s="231">
        <f>(INDEX(Models!$BJ348:$BT348,,AH348)*(1-AF348)+INDEX(Models!$BJ348:$BT348,,AH348+1)*AF348-ERP_i)*AE348*Ramure*Pc/MaxiM</f>
        <v>2.3465487081407842E-4</v>
      </c>
      <c r="AE348" s="305">
        <f t="shared" si="136"/>
        <v>0.5</v>
      </c>
      <c r="AF348" s="177">
        <f t="shared" si="137"/>
        <v>0.49714577237016511</v>
      </c>
      <c r="AG348" s="811">
        <f t="shared" si="143"/>
        <v>-1</v>
      </c>
      <c r="AH348" s="176">
        <f t="shared" si="138"/>
        <v>5</v>
      </c>
      <c r="AI348" s="225">
        <f t="shared" si="139"/>
        <v>-0.50285422762983489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7">
        <v>24.722000000000001</v>
      </c>
      <c r="C349" s="390"/>
      <c r="D349" s="393">
        <f t="shared" si="122"/>
        <v>25.217481844009523</v>
      </c>
      <c r="E349" s="385">
        <f t="shared" si="120"/>
        <v>26.506048454970372</v>
      </c>
      <c r="F349" s="385">
        <f t="shared" si="123"/>
        <v>26.512351889003813</v>
      </c>
      <c r="G349" s="110">
        <f t="shared" si="121"/>
        <v>0.99954119662789631</v>
      </c>
      <c r="H349" s="414" t="b">
        <f>Wh_hp&gt;='2019'!Maxi_hp</f>
        <v>1</v>
      </c>
      <c r="I349" s="380">
        <f>IF(H349,Wh_hp,'2019'!Maxi_hp)</f>
        <v>26.512351889003813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1.9648347407345335E-2</v>
      </c>
      <c r="M349" s="845"/>
      <c r="N349" s="845"/>
      <c r="O349" s="48">
        <f>IF(t&lt;Tnet,'2019'!Resal+('2019'!Salim-'2019'!Resal)*(1-EXP(('2019'!Tnet-t)/('2019'!Tau_j))),Resal+(Salim-Resal)*(1-EXP((Tnet-t)/(Tau_j))))*Salcycl</f>
        <v>4.8614059283484778E-2</v>
      </c>
      <c r="P349" s="169">
        <f>(INDEX(Models!$BJ349:$BT349,,T349)*(1-R349)+INDEX(Models!$BJ349:$BT349,,T349+1)*R349-ERP_i)*Q349*Ramure*Pc/MaxiM</f>
        <v>2.3791049716890761E-4</v>
      </c>
      <c r="Q349" s="305">
        <f t="shared" si="125"/>
        <v>0.5</v>
      </c>
      <c r="R349" s="177">
        <f t="shared" si="126"/>
        <v>0.49716222640634056</v>
      </c>
      <c r="S349" s="811">
        <f t="shared" si="127"/>
        <v>-1</v>
      </c>
      <c r="T349" s="176">
        <f t="shared" si="128"/>
        <v>5</v>
      </c>
      <c r="U349" s="251">
        <f t="shared" si="129"/>
        <v>-0.50283777359365944</v>
      </c>
      <c r="V349" s="383">
        <f t="shared" si="130"/>
        <v>24.73334388695946</v>
      </c>
      <c r="W349" s="402"/>
      <c r="X349" s="157">
        <f t="shared" si="131"/>
        <v>44165</v>
      </c>
      <c r="Y349" s="385">
        <f t="shared" si="132"/>
        <v>24.722000000000001</v>
      </c>
      <c r="Z349" s="385">
        <f t="shared" si="133"/>
        <v>25.217481844009523</v>
      </c>
      <c r="AA349" s="386">
        <f t="shared" si="134"/>
        <v>26.506048454970372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4.8614059283484778E-2</v>
      </c>
      <c r="AD349" s="231">
        <f>(INDEX(Models!$BJ349:$BT349,,AH349)*(1-AF349)+INDEX(Models!$BJ349:$BT349,,AH349+1)*AF349-ERP_i)*AE349*Ramure*Pc/MaxiM</f>
        <v>2.3791049716890761E-4</v>
      </c>
      <c r="AE349" s="305">
        <f t="shared" si="136"/>
        <v>0.5</v>
      </c>
      <c r="AF349" s="177">
        <f t="shared" si="137"/>
        <v>0.49716222640634056</v>
      </c>
      <c r="AG349" s="811">
        <f t="shared" si="143"/>
        <v>-1</v>
      </c>
      <c r="AH349" s="176">
        <f t="shared" si="138"/>
        <v>5</v>
      </c>
      <c r="AI349" s="225">
        <f t="shared" si="139"/>
        <v>-0.50283777359365944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7">
        <v>4.5570000000000004</v>
      </c>
      <c r="C350" s="390"/>
      <c r="D350" s="393">
        <f t="shared" si="122"/>
        <v>4.6484338554737903</v>
      </c>
      <c r="E350" s="385">
        <f t="shared" si="120"/>
        <v>4.886187474511626</v>
      </c>
      <c r="F350" s="385">
        <f t="shared" si="123"/>
        <v>4.886187474511626</v>
      </c>
      <c r="G350" s="110">
        <f t="shared" si="121"/>
        <v>0.18564821337327941</v>
      </c>
      <c r="H350" s="414" t="b">
        <f>Wh_hp&gt;='2019'!Maxi_hp</f>
        <v>0</v>
      </c>
      <c r="I350" s="380">
        <f>IF(H350,Wh_hp,'2019'!Maxi_hp)</f>
        <v>7.4365611729539358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1.9669819624543283E-2</v>
      </c>
      <c r="M350" s="845"/>
      <c r="N350" s="845"/>
      <c r="O350" s="48">
        <f>IF(t&lt;Tnet,'2019'!Resal+('2019'!Salim-'2019'!Resal)*(1-EXP(('2019'!Tnet-t)/('2019'!Tau_j))),Resal+(Salim-Resal)*(1-EXP((Tnet-t)/(Tau_j))))*Salcycl</f>
        <v>4.8658308809896675E-2</v>
      </c>
      <c r="P350" s="169">
        <f>(INDEX(Models!$BJ350:$BT350,,T350)*(1-R350)+INDEX(Models!$BJ350:$BT350,,T350+1)*R350-ERP_i)*Q350*Ramure*Pc/MaxiM</f>
        <v>2.4060549472791889E-4</v>
      </c>
      <c r="Q350" s="305">
        <f t="shared" si="125"/>
        <v>0.5</v>
      </c>
      <c r="R350" s="177">
        <f t="shared" si="126"/>
        <v>0.49717801897276248</v>
      </c>
      <c r="S350" s="811">
        <f t="shared" si="127"/>
        <v>-1</v>
      </c>
      <c r="T350" s="176">
        <f t="shared" si="128"/>
        <v>5</v>
      </c>
      <c r="U350" s="251">
        <f t="shared" si="129"/>
        <v>-0.50282198102723752</v>
      </c>
      <c r="V350" s="383">
        <f t="shared" si="130"/>
        <v>24.540519286334604</v>
      </c>
      <c r="W350" s="402"/>
      <c r="X350" s="157">
        <f t="shared" si="131"/>
        <v>44166</v>
      </c>
      <c r="Y350" s="385">
        <f t="shared" si="132"/>
        <v>4.5570000000000004</v>
      </c>
      <c r="Z350" s="385">
        <f t="shared" si="133"/>
        <v>4.6484338554737903</v>
      </c>
      <c r="AA350" s="386">
        <f t="shared" si="134"/>
        <v>4.886187474511626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4.8658308809896675E-2</v>
      </c>
      <c r="AD350" s="231">
        <f>(INDEX(Models!$BJ350:$BT350,,AH350)*(1-AF350)+INDEX(Models!$BJ350:$BT350,,AH350+1)*AF350-ERP_i)*AE350*Ramure*Pc/MaxiM</f>
        <v>2.4060549472791889E-4</v>
      </c>
      <c r="AE350" s="305">
        <f t="shared" si="136"/>
        <v>0.5</v>
      </c>
      <c r="AF350" s="177">
        <f t="shared" si="137"/>
        <v>0.49717801897276248</v>
      </c>
      <c r="AG350" s="811">
        <f t="shared" si="143"/>
        <v>-1</v>
      </c>
      <c r="AH350" s="176">
        <f t="shared" si="138"/>
        <v>5</v>
      </c>
      <c r="AI350" s="225">
        <f t="shared" si="139"/>
        <v>-0.50282198102723752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7">
        <v>1.369</v>
      </c>
      <c r="C351" s="390"/>
      <c r="D351" s="393">
        <f t="shared" si="122"/>
        <v>1.3964988660717101</v>
      </c>
      <c r="E351" s="385">
        <f t="shared" si="120"/>
        <v>1.4679950942818731</v>
      </c>
      <c r="F351" s="385">
        <f t="shared" si="123"/>
        <v>1.4679950942818731</v>
      </c>
      <c r="G351" s="110">
        <f t="shared" si="121"/>
        <v>5.6199374235295703E-2</v>
      </c>
      <c r="H351" s="414" t="b">
        <f>Wh_hp&gt;='2019'!Maxi_hp</f>
        <v>0</v>
      </c>
      <c r="I351" s="380">
        <f>IF(H351,Wh_hp,'2019'!Maxi_hp)</f>
        <v>8.0123989333500703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1.9691291371444652E-2</v>
      </c>
      <c r="M351" s="845"/>
      <c r="N351" s="845"/>
      <c r="O351" s="48">
        <f>IF(t&lt;Tnet,'2019'!Resal+('2019'!Salim-'2019'!Resal)*(1-EXP(('2019'!Tnet-t)/('2019'!Tau_j))),Resal+(Salim-Resal)*(1-EXP((Tnet-t)/(Tau_j))))*Salcycl</f>
        <v>4.8703315486989605E-2</v>
      </c>
      <c r="P351" s="169">
        <f>(INDEX(Models!$BJ351:$BT351,,T351)*(1-R351)+INDEX(Models!$BJ351:$BT351,,T351+1)*R351-ERP_i)*Q351*Ramure*Pc/MaxiM</f>
        <v>2.4271992333717868E-4</v>
      </c>
      <c r="Q351" s="305">
        <f t="shared" si="125"/>
        <v>0.5</v>
      </c>
      <c r="R351" s="177">
        <f t="shared" si="126"/>
        <v>0.49719317662192508</v>
      </c>
      <c r="S351" s="811">
        <f t="shared" si="127"/>
        <v>-1</v>
      </c>
      <c r="T351" s="176">
        <f t="shared" si="128"/>
        <v>5</v>
      </c>
      <c r="U351" s="251">
        <f t="shared" si="129"/>
        <v>-0.50280682337807492</v>
      </c>
      <c r="V351" s="383">
        <f t="shared" si="130"/>
        <v>24.353789255634936</v>
      </c>
      <c r="W351" s="402"/>
      <c r="X351" s="157">
        <f t="shared" si="131"/>
        <v>44167</v>
      </c>
      <c r="Y351" s="385">
        <f t="shared" si="132"/>
        <v>1.369</v>
      </c>
      <c r="Z351" s="385">
        <f t="shared" si="133"/>
        <v>1.3964988660717101</v>
      </c>
      <c r="AA351" s="386">
        <f t="shared" si="134"/>
        <v>1.4679950942818731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4.8703315486989605E-2</v>
      </c>
      <c r="AD351" s="231">
        <f>(INDEX(Models!$BJ351:$BT351,,AH351)*(1-AF351)+INDEX(Models!$BJ351:$BT351,,AH351+1)*AF351-ERP_i)*AE351*Ramure*Pc/MaxiM</f>
        <v>2.4271992333717868E-4</v>
      </c>
      <c r="AE351" s="305">
        <f t="shared" si="136"/>
        <v>0.5</v>
      </c>
      <c r="AF351" s="177">
        <f t="shared" si="137"/>
        <v>0.49719317662192508</v>
      </c>
      <c r="AG351" s="811">
        <f t="shared" si="143"/>
        <v>-1</v>
      </c>
      <c r="AH351" s="176">
        <f t="shared" si="138"/>
        <v>5</v>
      </c>
      <c r="AI351" s="225">
        <f t="shared" si="139"/>
        <v>-0.50280682337807492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7">
        <v>12.492000000000001</v>
      </c>
      <c r="C352" s="390"/>
      <c r="D352" s="393">
        <f t="shared" si="122"/>
        <v>12.743203750917704</v>
      </c>
      <c r="E352" s="385">
        <f t="shared" si="120"/>
        <v>13.39625889805151</v>
      </c>
      <c r="F352" s="385">
        <f t="shared" si="123"/>
        <v>13.397272469910812</v>
      </c>
      <c r="G352" s="110">
        <f t="shared" si="121"/>
        <v>0.51665456301857071</v>
      </c>
      <c r="H352" s="414" t="b">
        <f>Wh_hp&gt;='2019'!Maxi_hp</f>
        <v>1</v>
      </c>
      <c r="I352" s="380">
        <f>IF(H352,Wh_hp,'2019'!Maxi_hp)</f>
        <v>13.397272469910812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1.9712762648059545E-2</v>
      </c>
      <c r="M352" s="845"/>
      <c r="N352" s="845"/>
      <c r="O352" s="48">
        <f>IF(t&lt;Tnet,'2019'!Resal+('2019'!Salim-'2019'!Resal)*(1-EXP(('2019'!Tnet-t)/('2019'!Tau_j))),Resal+(Salim-Resal)*(1-EXP((Tnet-t)/(Tau_j))))*Salcycl</f>
        <v>4.8749068833597455E-2</v>
      </c>
      <c r="P352" s="169">
        <f>(INDEX(Models!$BJ352:$BT352,,T352)*(1-R352)+INDEX(Models!$BJ352:$BT352,,T352+1)*R352-ERP_i)*Q352*Ramure*Pc/MaxiM</f>
        <v>2.4433948098677471E-4</v>
      </c>
      <c r="Q352" s="305">
        <f t="shared" si="125"/>
        <v>0.5</v>
      </c>
      <c r="R352" s="177">
        <f t="shared" si="126"/>
        <v>0.49720772484356002</v>
      </c>
      <c r="S352" s="811">
        <f t="shared" si="127"/>
        <v>-1</v>
      </c>
      <c r="T352" s="176">
        <f t="shared" si="128"/>
        <v>5</v>
      </c>
      <c r="U352" s="251">
        <f t="shared" si="129"/>
        <v>-0.50279227515643998</v>
      </c>
      <c r="V352" s="383">
        <f t="shared" si="130"/>
        <v>24.174552068575242</v>
      </c>
      <c r="W352" s="402"/>
      <c r="X352" s="157">
        <f t="shared" si="131"/>
        <v>44168</v>
      </c>
      <c r="Y352" s="385">
        <f t="shared" si="132"/>
        <v>12.492000000000001</v>
      </c>
      <c r="Z352" s="385">
        <f t="shared" si="133"/>
        <v>12.743203750917704</v>
      </c>
      <c r="AA352" s="386">
        <f t="shared" si="134"/>
        <v>13.39625889805151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4.8749068833597455E-2</v>
      </c>
      <c r="AD352" s="231">
        <f>(INDEX(Models!$BJ352:$BT352,,AH352)*(1-AF352)+INDEX(Models!$BJ352:$BT352,,AH352+1)*AF352-ERP_i)*AE352*Ramure*Pc/MaxiM</f>
        <v>2.4433948098677471E-4</v>
      </c>
      <c r="AE352" s="305">
        <f t="shared" si="136"/>
        <v>0.5</v>
      </c>
      <c r="AF352" s="177">
        <f t="shared" si="137"/>
        <v>0.49720772484356002</v>
      </c>
      <c r="AG352" s="811">
        <f t="shared" si="143"/>
        <v>-1</v>
      </c>
      <c r="AH352" s="176">
        <f t="shared" si="138"/>
        <v>5</v>
      </c>
      <c r="AI352" s="225">
        <f t="shared" si="139"/>
        <v>-0.50279227515643998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7">
        <v>8.5809999999999995</v>
      </c>
      <c r="C353" s="390"/>
      <c r="D353" s="393">
        <f t="shared" si="122"/>
        <v>8.7537485168322622</v>
      </c>
      <c r="E353" s="385">
        <f t="shared" si="120"/>
        <v>9.2028044769744781</v>
      </c>
      <c r="F353" s="385">
        <f t="shared" si="123"/>
        <v>9.2029902000727422</v>
      </c>
      <c r="G353" s="110">
        <f t="shared" si="121"/>
        <v>0.35739845663538722</v>
      </c>
      <c r="H353" s="414" t="b">
        <f>Wh_hp&gt;='2019'!Maxi_hp</f>
        <v>0</v>
      </c>
      <c r="I353" s="380">
        <f>IF(H353,Wh_hp,'2019'!Maxi_hp)</f>
        <v>19.604054954984996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1.9734233454398509E-2</v>
      </c>
      <c r="M353" s="845"/>
      <c r="N353" s="845"/>
      <c r="O353" s="48">
        <f>IF(t&lt;Tnet,'2019'!Resal+('2019'!Salim-'2019'!Resal)*(1-EXP(('2019'!Tnet-t)/('2019'!Tau_j))),Resal+(Salim-Resal)*(1-EXP((Tnet-t)/(Tau_j))))*Salcycl</f>
        <v>4.8795555883617794E-2</v>
      </c>
      <c r="P353" s="169">
        <f>(INDEX(Models!$BJ353:$BT353,,T353)*(1-R353)+INDEX(Models!$BJ353:$BT353,,T353+1)*R353-ERP_i)*Q353*Ramure*Pc/MaxiM</f>
        <v>2.4576782950008394E-4</v>
      </c>
      <c r="Q353" s="305">
        <f t="shared" si="125"/>
        <v>0.5</v>
      </c>
      <c r="R353" s="177">
        <f t="shared" si="126"/>
        <v>0.49722168810692902</v>
      </c>
      <c r="S353" s="811">
        <f t="shared" si="127"/>
        <v>-1</v>
      </c>
      <c r="T353" s="176">
        <f t="shared" si="128"/>
        <v>5</v>
      </c>
      <c r="U353" s="251">
        <f t="shared" si="129"/>
        <v>-0.50277831189307098</v>
      </c>
      <c r="V353" s="383">
        <f t="shared" si="130"/>
        <v>24.004200462512937</v>
      </c>
      <c r="W353" s="402"/>
      <c r="X353" s="157">
        <f t="shared" si="131"/>
        <v>44169</v>
      </c>
      <c r="Y353" s="385">
        <f t="shared" si="132"/>
        <v>8.5809999999999995</v>
      </c>
      <c r="Z353" s="385">
        <f t="shared" si="133"/>
        <v>8.7537485168322622</v>
      </c>
      <c r="AA353" s="386">
        <f t="shared" si="134"/>
        <v>9.2028044769744781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4.8795555883617794E-2</v>
      </c>
      <c r="AD353" s="231">
        <f>(INDEX(Models!$BJ353:$BT353,,AH353)*(1-AF353)+INDEX(Models!$BJ353:$BT353,,AH353+1)*AF353-ERP_i)*AE353*Ramure*Pc/MaxiM</f>
        <v>2.4576782950008394E-4</v>
      </c>
      <c r="AE353" s="305">
        <f t="shared" si="136"/>
        <v>0.5</v>
      </c>
      <c r="AF353" s="177">
        <f t="shared" si="137"/>
        <v>0.49722168810692902</v>
      </c>
      <c r="AG353" s="811">
        <f t="shared" si="143"/>
        <v>-1</v>
      </c>
      <c r="AH353" s="176">
        <f t="shared" si="138"/>
        <v>5</v>
      </c>
      <c r="AI353" s="225">
        <f t="shared" si="139"/>
        <v>-0.50277831189307098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7">
        <v>19.234000000000002</v>
      </c>
      <c r="C354" s="390"/>
      <c r="D354" s="393">
        <f t="shared" si="122"/>
        <v>19.621639293771224</v>
      </c>
      <c r="E354" s="385">
        <f t="shared" si="120"/>
        <v>20.629227740706767</v>
      </c>
      <c r="F354" s="385">
        <f t="shared" si="123"/>
        <v>20.632916228723204</v>
      </c>
      <c r="G354" s="110">
        <f t="shared" si="121"/>
        <v>0.8066003602448133</v>
      </c>
      <c r="H354" s="414" t="b">
        <f>Wh_hp&gt;='2019'!Maxi_hp</f>
        <v>1</v>
      </c>
      <c r="I354" s="380">
        <f>IF(H354,Wh_hp,'2019'!Maxi_hp)</f>
        <v>20.632916228723204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1.9755703790471535E-2</v>
      </c>
      <c r="M354" s="845"/>
      <c r="N354" s="845"/>
      <c r="O354" s="48">
        <f>IF(t&lt;Tnet,'2019'!Resal+('2019'!Salim-'2019'!Resal)*(1-EXP(('2019'!Tnet-t)/('2019'!Tau_j))),Resal+(Salim-Resal)*(1-EXP((Tnet-t)/(Tau_j))))*Salcycl</f>
        <v>4.8842761328739118E-2</v>
      </c>
      <c r="P354" s="169">
        <f>(INDEX(Models!$BJ354:$BT354,,T354)*(1-R354)+INDEX(Models!$BJ354:$BT354,,T354+1)*R354-ERP_i)*Q354*Ramure*Pc/MaxiM</f>
        <v>2.469864491956499E-4</v>
      </c>
      <c r="Q354" s="305">
        <f t="shared" si="125"/>
        <v>0.5</v>
      </c>
      <c r="R354" s="177">
        <f t="shared" si="126"/>
        <v>0.49723508990145193</v>
      </c>
      <c r="S354" s="811">
        <f t="shared" si="127"/>
        <v>-1</v>
      </c>
      <c r="T354" s="176">
        <f t="shared" si="128"/>
        <v>5</v>
      </c>
      <c r="U354" s="251">
        <f t="shared" si="129"/>
        <v>-0.50276491009854807</v>
      </c>
      <c r="V354" s="383">
        <f t="shared" si="130"/>
        <v>23.844134696287682</v>
      </c>
      <c r="W354" s="402"/>
      <c r="X354" s="157">
        <f t="shared" si="131"/>
        <v>44170</v>
      </c>
      <c r="Y354" s="385">
        <f t="shared" si="132"/>
        <v>19.234000000000002</v>
      </c>
      <c r="Z354" s="385">
        <f t="shared" si="133"/>
        <v>19.621639293771224</v>
      </c>
      <c r="AA354" s="386">
        <f t="shared" si="134"/>
        <v>20.629227740706767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4.8842761328739118E-2</v>
      </c>
      <c r="AD354" s="231">
        <f>(INDEX(Models!$BJ354:$BT354,,AH354)*(1-AF354)+INDEX(Models!$BJ354:$BT354,,AH354+1)*AF354-ERP_i)*AE354*Ramure*Pc/MaxiM</f>
        <v>2.469864491956499E-4</v>
      </c>
      <c r="AE354" s="305">
        <f t="shared" si="136"/>
        <v>0.5</v>
      </c>
      <c r="AF354" s="177">
        <f t="shared" si="137"/>
        <v>0.49723508990145193</v>
      </c>
      <c r="AG354" s="811">
        <f t="shared" si="143"/>
        <v>-1</v>
      </c>
      <c r="AH354" s="176">
        <f t="shared" si="138"/>
        <v>5</v>
      </c>
      <c r="AI354" s="225">
        <f t="shared" si="139"/>
        <v>-0.50276491009854807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7">
        <v>11.634</v>
      </c>
      <c r="C355" s="390"/>
      <c r="D355" s="393">
        <f t="shared" si="122"/>
        <v>11.868729932963825</v>
      </c>
      <c r="E355" s="385">
        <f t="shared" si="120"/>
        <v>12.478828174179608</v>
      </c>
      <c r="F355" s="385">
        <f t="shared" si="123"/>
        <v>12.479672459844819</v>
      </c>
      <c r="G355" s="110">
        <f t="shared" si="121"/>
        <v>0.49088548388507108</v>
      </c>
      <c r="H355" s="414" t="b">
        <f>Wh_hp&gt;='2019'!Maxi_hp</f>
        <v>0</v>
      </c>
      <c r="I355" s="380">
        <f>IF(H355,Wh_hp,'2019'!Maxi_hp)</f>
        <v>19.491266327728862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1.9777173656289282E-2</v>
      </c>
      <c r="M355" s="845"/>
      <c r="N355" s="845"/>
      <c r="O355" s="48">
        <f>IF(t&lt;Tnet,'2019'!Resal+('2019'!Salim-'2019'!Resal)*(1-EXP(('2019'!Tnet-t)/('2019'!Tau_j))),Resal+(Salim-Resal)*(1-EXP((Tnet-t)/(Tau_j))))*Salcycl</f>
        <v>4.8890667673280271E-2</v>
      </c>
      <c r="P355" s="169">
        <f>(INDEX(Models!$BJ355:$BT355,,T355)*(1-R355)+INDEX(Models!$BJ355:$BT355,,T355+1)*R355-ERP_i)*Q355*Ramure*Pc/MaxiM</f>
        <v>2.4797618229045098E-4</v>
      </c>
      <c r="Q355" s="305">
        <f t="shared" si="125"/>
        <v>0.5</v>
      </c>
      <c r="R355" s="177">
        <f t="shared" si="126"/>
        <v>0.49724795277573697</v>
      </c>
      <c r="S355" s="811">
        <f t="shared" si="127"/>
        <v>-1</v>
      </c>
      <c r="T355" s="176">
        <f t="shared" si="128"/>
        <v>5</v>
      </c>
      <c r="U355" s="251">
        <f t="shared" si="129"/>
        <v>-0.50275204722426303</v>
      </c>
      <c r="V355" s="383">
        <f t="shared" si="130"/>
        <v>23.695754628134473</v>
      </c>
      <c r="W355" s="402"/>
      <c r="X355" s="157">
        <f t="shared" si="131"/>
        <v>44171</v>
      </c>
      <c r="Y355" s="385">
        <f t="shared" si="132"/>
        <v>11.634</v>
      </c>
      <c r="Z355" s="385">
        <f t="shared" si="133"/>
        <v>11.868729932963825</v>
      </c>
      <c r="AA355" s="386">
        <f t="shared" si="134"/>
        <v>12.478828174179608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4.8890667673280271E-2</v>
      </c>
      <c r="AD355" s="231">
        <f>(INDEX(Models!$BJ355:$BT355,,AH355)*(1-AF355)+INDEX(Models!$BJ355:$BT355,,AH355+1)*AF355-ERP_i)*AE355*Ramure*Pc/MaxiM</f>
        <v>2.4797618229045098E-4</v>
      </c>
      <c r="AE355" s="305">
        <f t="shared" si="136"/>
        <v>0.5</v>
      </c>
      <c r="AF355" s="177">
        <f t="shared" si="137"/>
        <v>0.49724795277573697</v>
      </c>
      <c r="AG355" s="811">
        <f t="shared" si="143"/>
        <v>-1</v>
      </c>
      <c r="AH355" s="176">
        <f t="shared" si="138"/>
        <v>5</v>
      </c>
      <c r="AI355" s="225">
        <f t="shared" si="139"/>
        <v>-0.50275204722426303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7">
        <v>2.714</v>
      </c>
      <c r="C356" s="390"/>
      <c r="D356" s="393">
        <f t="shared" si="122"/>
        <v>2.7688188562093532</v>
      </c>
      <c r="E356" s="385">
        <f t="shared" si="120"/>
        <v>2.9112954897253727</v>
      </c>
      <c r="F356" s="385">
        <f t="shared" si="123"/>
        <v>2.9112954897253727</v>
      </c>
      <c r="G356" s="110">
        <f t="shared" si="121"/>
        <v>0.11516434798313016</v>
      </c>
      <c r="H356" s="414" t="b">
        <f>Wh_hp&gt;='2019'!Maxi_hp</f>
        <v>0</v>
      </c>
      <c r="I356" s="380">
        <f>IF(H356,Wh_hp,'2019'!Maxi_hp)</f>
        <v>16.757981515209075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1.9798643051861742E-2</v>
      </c>
      <c r="M356" s="845"/>
      <c r="N356" s="845"/>
      <c r="O356" s="48">
        <f>IF(t&lt;Tnet,'2019'!Resal+('2019'!Salim-'2019'!Resal)*(1-EXP(('2019'!Tnet-t)/('2019'!Tau_j))),Resal+(Salim-Resal)*(1-EXP((Tnet-t)/(Tau_j))))*Salcycl</f>
        <v>4.8939255399821878E-2</v>
      </c>
      <c r="P356" s="169">
        <f>(INDEX(Models!$BJ356:$BT356,,T356)*(1-R356)+INDEX(Models!$BJ356:$BT356,,T356+1)*R356-ERP_i)*Q356*Ramure*Pc/MaxiM</f>
        <v>2.4871744808279008E-4</v>
      </c>
      <c r="Q356" s="305">
        <f t="shared" si="125"/>
        <v>0.5</v>
      </c>
      <c r="R356" s="177">
        <f t="shared" si="126"/>
        <v>0.49726029837507113</v>
      </c>
      <c r="S356" s="811">
        <f t="shared" si="127"/>
        <v>-1</v>
      </c>
      <c r="T356" s="176">
        <f t="shared" si="128"/>
        <v>5</v>
      </c>
      <c r="U356" s="251">
        <f t="shared" si="129"/>
        <v>-0.50273970162492887</v>
      </c>
      <c r="V356" s="383">
        <f t="shared" si="130"/>
        <v>23.560459711397527</v>
      </c>
      <c r="W356" s="402"/>
      <c r="X356" s="157">
        <f t="shared" si="131"/>
        <v>44172</v>
      </c>
      <c r="Y356" s="385">
        <f t="shared" si="132"/>
        <v>2.714</v>
      </c>
      <c r="Z356" s="385">
        <f t="shared" si="133"/>
        <v>2.7688188562093532</v>
      </c>
      <c r="AA356" s="386">
        <f t="shared" si="134"/>
        <v>2.9112954897253727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4.8939255399821878E-2</v>
      </c>
      <c r="AD356" s="231">
        <f>(INDEX(Models!$BJ356:$BT356,,AH356)*(1-AF356)+INDEX(Models!$BJ356:$BT356,,AH356+1)*AF356-ERP_i)*AE356*Ramure*Pc/MaxiM</f>
        <v>2.4871744808279008E-4</v>
      </c>
      <c r="AE356" s="305">
        <f t="shared" si="136"/>
        <v>0.5</v>
      </c>
      <c r="AF356" s="177">
        <f t="shared" si="137"/>
        <v>0.49726029837507113</v>
      </c>
      <c r="AG356" s="811">
        <f t="shared" si="143"/>
        <v>-1</v>
      </c>
      <c r="AH356" s="176">
        <f t="shared" si="138"/>
        <v>5</v>
      </c>
      <c r="AI356" s="225">
        <f t="shared" si="139"/>
        <v>-0.50273970162492887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7">
        <v>8.4529999999999994</v>
      </c>
      <c r="C357" s="390"/>
      <c r="D357" s="393">
        <f t="shared" si="122"/>
        <v>8.6239272028435749</v>
      </c>
      <c r="E357" s="385">
        <f t="shared" si="120"/>
        <v>9.0681629311065155</v>
      </c>
      <c r="F357" s="385">
        <f t="shared" si="123"/>
        <v>9.0683586520399171</v>
      </c>
      <c r="G357" s="110">
        <f t="shared" si="121"/>
        <v>0.36054618391513471</v>
      </c>
      <c r="H357" s="414" t="b">
        <f>Wh_hp&gt;='2019'!Maxi_hp</f>
        <v>0</v>
      </c>
      <c r="I357" s="380">
        <f>IF(H357,Wh_hp,'2019'!Maxi_hp)</f>
        <v>11.880379374635188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1.9820111977199351E-2</v>
      </c>
      <c r="M357" s="845"/>
      <c r="N357" s="845"/>
      <c r="O357" s="48">
        <f>IF(t&lt;Tnet,'2019'!Resal+('2019'!Salim-'2019'!Resal)*(1-EXP(('2019'!Tnet-t)/('2019'!Tau_j))),Resal+(Salim-Resal)*(1-EXP((Tnet-t)/(Tau_j))))*Salcycl</f>
        <v>4.8988503144234301E-2</v>
      </c>
      <c r="P357" s="169">
        <f>(INDEX(Models!$BJ357:$BT357,,T357)*(1-R357)+INDEX(Models!$BJ357:$BT357,,T357+1)*R357-ERP_i)*Q357*Ramure*Pc/MaxiM</f>
        <v>2.4919049484767574E-4</v>
      </c>
      <c r="Q357" s="305">
        <f t="shared" si="125"/>
        <v>0.5</v>
      </c>
      <c r="R357" s="177">
        <f t="shared" si="126"/>
        <v>0.49727214747743109</v>
      </c>
      <c r="S357" s="811">
        <f t="shared" si="127"/>
        <v>-1</v>
      </c>
      <c r="T357" s="176">
        <f t="shared" si="128"/>
        <v>5</v>
      </c>
      <c r="U357" s="251">
        <f t="shared" si="129"/>
        <v>-0.50272785252256891</v>
      </c>
      <c r="V357" s="383">
        <f t="shared" si="130"/>
        <v>23.439648976999816</v>
      </c>
      <c r="W357" s="402"/>
      <c r="X357" s="157">
        <f t="shared" si="131"/>
        <v>44173</v>
      </c>
      <c r="Y357" s="385">
        <f t="shared" si="132"/>
        <v>8.4529999999999994</v>
      </c>
      <c r="Z357" s="385">
        <f t="shared" si="133"/>
        <v>8.6239272028435749</v>
      </c>
      <c r="AA357" s="386">
        <f t="shared" si="134"/>
        <v>9.0681629311065155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4.8988503144234301E-2</v>
      </c>
      <c r="AD357" s="231">
        <f>(INDEX(Models!$BJ357:$BT357,,AH357)*(1-AF357)+INDEX(Models!$BJ357:$BT357,,AH357+1)*AF357-ERP_i)*AE357*Ramure*Pc/MaxiM</f>
        <v>2.4919049484767574E-4</v>
      </c>
      <c r="AE357" s="305">
        <f t="shared" si="136"/>
        <v>0.5</v>
      </c>
      <c r="AF357" s="177">
        <f t="shared" si="137"/>
        <v>0.49727214747743109</v>
      </c>
      <c r="AG357" s="811">
        <f t="shared" si="143"/>
        <v>-1</v>
      </c>
      <c r="AH357" s="176">
        <f t="shared" si="138"/>
        <v>5</v>
      </c>
      <c r="AI357" s="225">
        <f t="shared" si="139"/>
        <v>-0.50272785252256891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7">
        <v>8.6039999999999992</v>
      </c>
      <c r="C358" s="390"/>
      <c r="D358" s="393">
        <f t="shared" si="122"/>
        <v>8.7781728220984032</v>
      </c>
      <c r="E358" s="385">
        <f t="shared" si="120"/>
        <v>9.230838248577161</v>
      </c>
      <c r="F358" s="385">
        <f t="shared" si="123"/>
        <v>9.2310642425526286</v>
      </c>
      <c r="G358" s="110">
        <f t="shared" si="121"/>
        <v>0.36863800338183234</v>
      </c>
      <c r="H358" s="414" t="b">
        <f>Wh_hp&gt;='2019'!Maxi_hp</f>
        <v>0</v>
      </c>
      <c r="I358" s="380">
        <f>IF(H358,Wh_hp,'2019'!Maxi_hp)</f>
        <v>21.95872257479607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1.9841580432312433E-2</v>
      </c>
      <c r="M358" s="845"/>
      <c r="N358" s="845"/>
      <c r="O358" s="48">
        <f>IF(t&lt;Tnet,'2019'!Resal+('2019'!Salim-'2019'!Resal)*(1-EXP(('2019'!Tnet-t)/('2019'!Tau_j))),Resal+(Salim-Resal)*(1-EXP((Tnet-t)/(Tau_j))))*Salcycl</f>
        <v>4.9038387878644778E-2</v>
      </c>
      <c r="P358" s="169">
        <f>(INDEX(Models!$BJ358:$BT358,,T358)*(1-R358)+INDEX(Models!$BJ358:$BT358,,T358+1)*R358-ERP_i)*Q358*Ramure*Pc/MaxiM</f>
        <v>2.4937568736181816E-4</v>
      </c>
      <c r="Q358" s="305">
        <f t="shared" si="125"/>
        <v>0.5</v>
      </c>
      <c r="R358" s="177">
        <f t="shared" si="126"/>
        <v>0.49728352002807563</v>
      </c>
      <c r="S358" s="811">
        <f t="shared" si="127"/>
        <v>-1</v>
      </c>
      <c r="T358" s="176">
        <f t="shared" si="128"/>
        <v>5</v>
      </c>
      <c r="U358" s="251">
        <f t="shared" si="129"/>
        <v>-0.50271647997192437</v>
      </c>
      <c r="V358" s="383">
        <f t="shared" si="130"/>
        <v>23.334721020488988</v>
      </c>
      <c r="W358" s="402"/>
      <c r="X358" s="157">
        <f t="shared" si="131"/>
        <v>44174</v>
      </c>
      <c r="Y358" s="385">
        <f t="shared" si="132"/>
        <v>8.6039999999999992</v>
      </c>
      <c r="Z358" s="385">
        <f t="shared" si="133"/>
        <v>8.7781728220984032</v>
      </c>
      <c r="AA358" s="386">
        <f t="shared" si="134"/>
        <v>9.230838248577161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4.9038387878644778E-2</v>
      </c>
      <c r="AD358" s="231">
        <f>(INDEX(Models!$BJ358:$BT358,,AH358)*(1-AF358)+INDEX(Models!$BJ358:$BT358,,AH358+1)*AF358-ERP_i)*AE358*Ramure*Pc/MaxiM</f>
        <v>2.4937568736181816E-4</v>
      </c>
      <c r="AE358" s="305">
        <f t="shared" si="136"/>
        <v>0.5</v>
      </c>
      <c r="AF358" s="177">
        <f t="shared" si="137"/>
        <v>0.49728352002807563</v>
      </c>
      <c r="AG358" s="811">
        <f t="shared" si="143"/>
        <v>-1</v>
      </c>
      <c r="AH358" s="176">
        <f t="shared" si="138"/>
        <v>5</v>
      </c>
      <c r="AI358" s="225">
        <f t="shared" si="139"/>
        <v>-0.50271647997192437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7">
        <v>4.6870000000000003</v>
      </c>
      <c r="C359" s="390"/>
      <c r="D359" s="393">
        <f t="shared" si="122"/>
        <v>4.7819847955238588</v>
      </c>
      <c r="E359" s="385">
        <f t="shared" si="120"/>
        <v>5.0288451997229551</v>
      </c>
      <c r="F359" s="385">
        <f t="shared" si="123"/>
        <v>5.0288451997229551</v>
      </c>
      <c r="G359" s="110">
        <f t="shared" si="121"/>
        <v>0.20160144037095781</v>
      </c>
      <c r="H359" s="414" t="b">
        <f>Wh_hp&gt;='2019'!Maxi_hp</f>
        <v>0</v>
      </c>
      <c r="I359" s="380">
        <f>IF(H359,Wh_hp,'2019'!Maxi_hp)</f>
        <v>18.260406248134906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1.9863048417211204E-2</v>
      </c>
      <c r="M359" s="845"/>
      <c r="N359" s="845"/>
      <c r="O359" s="48">
        <f>IF(t&lt;Tnet,'2019'!Resal+('2019'!Salim-'2019'!Resal)*(1-EXP(('2019'!Tnet-t)/('2019'!Tau_j))),Resal+(Salim-Resal)*(1-EXP((Tnet-t)/(Tau_j))))*Salcycl</f>
        <v>4.9088885100837067E-2</v>
      </c>
      <c r="P359" s="169">
        <f>(INDEX(Models!$BJ359:$BT359,,T359)*(1-R359)+INDEX(Models!$BJ359:$BT359,,T359+1)*R359-ERP_i)*Q359*Ramure*Pc/MaxiM</f>
        <v>2.4929701266901216E-4</v>
      </c>
      <c r="Q359" s="305">
        <f t="shared" si="125"/>
        <v>0.5</v>
      </c>
      <c r="R359" s="177">
        <f t="shared" si="126"/>
        <v>0.49729443517276706</v>
      </c>
      <c r="S359" s="811">
        <f t="shared" si="127"/>
        <v>-1</v>
      </c>
      <c r="T359" s="176">
        <f t="shared" si="128"/>
        <v>5</v>
      </c>
      <c r="U359" s="251">
        <f t="shared" si="129"/>
        <v>-0.50270556482723294</v>
      </c>
      <c r="V359" s="383">
        <f t="shared" si="130"/>
        <v>23.243045963756174</v>
      </c>
      <c r="W359" s="402"/>
      <c r="X359" s="157">
        <f t="shared" si="131"/>
        <v>44175</v>
      </c>
      <c r="Y359" s="385">
        <f t="shared" si="132"/>
        <v>4.6870000000000003</v>
      </c>
      <c r="Z359" s="385">
        <f t="shared" si="133"/>
        <v>4.7819847955238588</v>
      </c>
      <c r="AA359" s="386">
        <f t="shared" si="134"/>
        <v>5.0288451997229551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4.9088885100837067E-2</v>
      </c>
      <c r="AD359" s="231">
        <f>(INDEX(Models!$BJ359:$BT359,,AH359)*(1-AF359)+INDEX(Models!$BJ359:$BT359,,AH359+1)*AF359-ERP_i)*AE359*Ramure*Pc/MaxiM</f>
        <v>2.4929701266901216E-4</v>
      </c>
      <c r="AE359" s="305">
        <f t="shared" si="136"/>
        <v>0.5</v>
      </c>
      <c r="AF359" s="177">
        <f t="shared" si="137"/>
        <v>0.49729443517276706</v>
      </c>
      <c r="AG359" s="811">
        <f t="shared" si="143"/>
        <v>-1</v>
      </c>
      <c r="AH359" s="176">
        <f t="shared" si="138"/>
        <v>5</v>
      </c>
      <c r="AI359" s="225">
        <f t="shared" si="139"/>
        <v>-0.50270556482723294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7">
        <v>6.7949999999999999</v>
      </c>
      <c r="C360" s="390"/>
      <c r="D360" s="393">
        <f t="shared" si="122"/>
        <v>6.9328564954371386</v>
      </c>
      <c r="E360" s="385">
        <f t="shared" si="120"/>
        <v>7.291143038533332</v>
      </c>
      <c r="F360" s="385">
        <f t="shared" si="123"/>
        <v>7.291143038533332</v>
      </c>
      <c r="G360" s="110">
        <f t="shared" si="121"/>
        <v>0.29330524740408831</v>
      </c>
      <c r="H360" s="414" t="b">
        <f>Wh_hp&gt;='2019'!Maxi_hp</f>
        <v>1</v>
      </c>
      <c r="I360" s="380">
        <f>IF(H360,Wh_hp,'2019'!Maxi_hp)</f>
        <v>7.291143038533332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1.9884515931906099E-2</v>
      </c>
      <c r="M360" s="845"/>
      <c r="N360" s="845"/>
      <c r="O360" s="48">
        <f>IF(t&lt;Tnet,'2019'!Resal+('2019'!Salim-'2019'!Resal)*(1-EXP(('2019'!Tnet-t)/('2019'!Tau_j))),Resal+(Salim-Resal)*(1-EXP((Tnet-t)/(Tau_j))))*Salcycl</f>
        <v>4.9139969028541508E-2</v>
      </c>
      <c r="P360" s="169">
        <f>(INDEX(Models!$BJ360:$BT360,,T360)*(1-R360)+INDEX(Models!$BJ360:$BT360,,T360+1)*R360-ERP_i)*Q360*Ramure*Pc/MaxiM</f>
        <v>2.4898782298607598E-4</v>
      </c>
      <c r="Q360" s="305">
        <f t="shared" si="125"/>
        <v>0.5</v>
      </c>
      <c r="R360" s="177">
        <f t="shared" si="126"/>
        <v>0.49730491128968168</v>
      </c>
      <c r="S360" s="811">
        <f t="shared" si="127"/>
        <v>-1</v>
      </c>
      <c r="T360" s="176">
        <f t="shared" si="128"/>
        <v>5</v>
      </c>
      <c r="U360" s="251">
        <f t="shared" si="129"/>
        <v>-0.50269508871031832</v>
      </c>
      <c r="V360" s="383">
        <f t="shared" si="130"/>
        <v>23.161222609780417</v>
      </c>
      <c r="W360" s="402"/>
      <c r="X360" s="157">
        <f t="shared" si="131"/>
        <v>44176</v>
      </c>
      <c r="Y360" s="385">
        <f t="shared" si="132"/>
        <v>6.7949999999999999</v>
      </c>
      <c r="Z360" s="385">
        <f t="shared" si="133"/>
        <v>6.9328564954371386</v>
      </c>
      <c r="AA360" s="386">
        <f t="shared" si="134"/>
        <v>7.291143038533332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4.9139969028541508E-2</v>
      </c>
      <c r="AD360" s="231">
        <f>(INDEX(Models!$BJ360:$BT360,,AH360)*(1-AF360)+INDEX(Models!$BJ360:$BT360,,AH360+1)*AF360-ERP_i)*AE360*Ramure*Pc/MaxiM</f>
        <v>2.4898782298607598E-4</v>
      </c>
      <c r="AE360" s="305">
        <f t="shared" si="136"/>
        <v>0.5</v>
      </c>
      <c r="AF360" s="177">
        <f t="shared" si="137"/>
        <v>0.49730491128968168</v>
      </c>
      <c r="AG360" s="811">
        <f t="shared" si="143"/>
        <v>-1</v>
      </c>
      <c r="AH360" s="176">
        <f t="shared" si="138"/>
        <v>5</v>
      </c>
      <c r="AI360" s="225">
        <f t="shared" si="139"/>
        <v>-0.50269508871031832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7">
        <v>11.37</v>
      </c>
      <c r="C361" s="390"/>
      <c r="D361" s="393">
        <f t="shared" si="122"/>
        <v>11.600927872745396</v>
      </c>
      <c r="E361" s="385">
        <f t="shared" ref="E361:E380" si="144">Wh_pvt/(1-Psa)</f>
        <v>12.201120676767017</v>
      </c>
      <c r="F361" s="385">
        <f t="shared" si="123"/>
        <v>12.201954964682038</v>
      </c>
      <c r="G361" s="110">
        <f t="shared" ref="G361:G380" si="145">+Wh_hp/MaxiM</f>
        <v>0.49234311348096854</v>
      </c>
      <c r="H361" s="414" t="b">
        <f>Wh_hp&gt;='2019'!Maxi_hp</f>
        <v>1</v>
      </c>
      <c r="I361" s="380">
        <f>IF(H361,Wh_hp,'2019'!Maxi_hp)</f>
        <v>12.201954964682038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1.9905982976407222E-2</v>
      </c>
      <c r="M361" s="845"/>
      <c r="N361" s="845"/>
      <c r="O361" s="48">
        <f>IF(t&lt;Tnet,'2019'!Resal+('2019'!Salim-'2019'!Resal)*(1-EXP(('2019'!Tnet-t)/('2019'!Tau_j))),Resal+(Salim-Resal)*(1-EXP((Tnet-t)/(Tau_j))))*Salcycl</f>
        <v>4.9191612797051427E-2</v>
      </c>
      <c r="P361" s="169">
        <f>(INDEX(Models!$BJ361:$BT361,,T361)*(1-R361)+INDEX(Models!$BJ361:$BT361,,T361+1)*R361-ERP_i)*Q361*Ramure*Pc/MaxiM</f>
        <v>2.4871813118653368E-4</v>
      </c>
      <c r="Q361" s="305">
        <f t="shared" si="125"/>
        <v>0.5</v>
      </c>
      <c r="R361" s="177">
        <f t="shared" si="126"/>
        <v>0.49731496602005765</v>
      </c>
      <c r="S361" s="811">
        <f t="shared" si="127"/>
        <v>-1</v>
      </c>
      <c r="T361" s="176">
        <f t="shared" si="128"/>
        <v>5</v>
      </c>
      <c r="U361" s="251">
        <f t="shared" si="129"/>
        <v>-0.50268503397994235</v>
      </c>
      <c r="V361" s="383">
        <f t="shared" si="130"/>
        <v>23.089485823562466</v>
      </c>
      <c r="W361" s="402"/>
      <c r="X361" s="157">
        <f t="shared" si="131"/>
        <v>44177</v>
      </c>
      <c r="Y361" s="385">
        <f t="shared" si="132"/>
        <v>11.37</v>
      </c>
      <c r="Z361" s="385">
        <f t="shared" si="133"/>
        <v>11.600927872745396</v>
      </c>
      <c r="AA361" s="386">
        <f t="shared" si="134"/>
        <v>12.201120676767017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4.9191612797051427E-2</v>
      </c>
      <c r="AD361" s="231">
        <f>(INDEX(Models!$BJ361:$BT361,,AH361)*(1-AF361)+INDEX(Models!$BJ361:$BT361,,AH361+1)*AF361-ERP_i)*AE361*Ramure*Pc/MaxiM</f>
        <v>2.4871813118653368E-4</v>
      </c>
      <c r="AE361" s="305">
        <f t="shared" si="136"/>
        <v>0.5</v>
      </c>
      <c r="AF361" s="177">
        <f t="shared" si="137"/>
        <v>0.49731496602005765</v>
      </c>
      <c r="AG361" s="811">
        <f t="shared" si="143"/>
        <v>-1</v>
      </c>
      <c r="AH361" s="176">
        <f t="shared" si="138"/>
        <v>5</v>
      </c>
      <c r="AI361" s="225">
        <f t="shared" si="139"/>
        <v>-0.50268503397994235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7">
        <v>10.326000000000001</v>
      </c>
      <c r="C362" s="390"/>
      <c r="D362" s="393">
        <f t="shared" si="122"/>
        <v>10.535954705869948</v>
      </c>
      <c r="E362" s="385">
        <f t="shared" si="144"/>
        <v>11.081657506086598</v>
      </c>
      <c r="F362" s="385">
        <f t="shared" si="123"/>
        <v>11.082241338179657</v>
      </c>
      <c r="G362" s="110">
        <f t="shared" si="145"/>
        <v>0.44832133149151804</v>
      </c>
      <c r="H362" s="414" t="b">
        <f>Wh_hp&gt;='2019'!Maxi_hp</f>
        <v>0</v>
      </c>
      <c r="I362" s="380">
        <f>IF(H362,Wh_hp,'2019'!Maxi_hp)</f>
        <v>19.817194245198483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1.9927449550725007E-2</v>
      </c>
      <c r="M362" s="845"/>
      <c r="N362" s="845"/>
      <c r="O362" s="48">
        <f>IF(t&lt;Tnet,'2019'!Resal+('2019'!Salim-'2019'!Resal)*(1-EXP(('2019'!Tnet-t)/('2019'!Tau_j))),Resal+(Salim-Resal)*(1-EXP((Tnet-t)/(Tau_j))))*Salcycl</f>
        <v>4.9243788658593995E-2</v>
      </c>
      <c r="P362" s="169">
        <f>(INDEX(Models!$BJ362:$BT362,,T362)*(1-R362)+INDEX(Models!$BJ362:$BT362,,T362+1)*R362-ERP_i)*Q362*Ramure*Pc/MaxiM</f>
        <v>2.4848362013924218E-4</v>
      </c>
      <c r="Q362" s="305">
        <f t="shared" si="125"/>
        <v>0.5</v>
      </c>
      <c r="R362" s="177">
        <f t="shared" si="126"/>
        <v>0.49732461629762703</v>
      </c>
      <c r="S362" s="811">
        <f t="shared" si="127"/>
        <v>-1</v>
      </c>
      <c r="T362" s="176">
        <f t="shared" si="128"/>
        <v>5</v>
      </c>
      <c r="U362" s="251">
        <f t="shared" si="129"/>
        <v>-0.50267538370237297</v>
      </c>
      <c r="V362" s="383">
        <f t="shared" si="130"/>
        <v>23.028076779732881</v>
      </c>
      <c r="W362" s="402"/>
      <c r="X362" s="157">
        <f t="shared" si="131"/>
        <v>44178</v>
      </c>
      <c r="Y362" s="385">
        <f t="shared" si="132"/>
        <v>10.326000000000001</v>
      </c>
      <c r="Z362" s="385">
        <f t="shared" si="133"/>
        <v>10.535954705869948</v>
      </c>
      <c r="AA362" s="386">
        <f t="shared" si="134"/>
        <v>11.081657506086598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4.9243788658593995E-2</v>
      </c>
      <c r="AD362" s="231">
        <f>(INDEX(Models!$BJ362:$BT362,,AH362)*(1-AF362)+INDEX(Models!$BJ362:$BT362,,AH362+1)*AF362-ERP_i)*AE362*Ramure*Pc/MaxiM</f>
        <v>2.4848362013924218E-4</v>
      </c>
      <c r="AE362" s="305">
        <f t="shared" si="136"/>
        <v>0.5</v>
      </c>
      <c r="AF362" s="177">
        <f t="shared" si="137"/>
        <v>0.49732461629762703</v>
      </c>
      <c r="AG362" s="811">
        <f t="shared" si="143"/>
        <v>-1</v>
      </c>
      <c r="AH362" s="176">
        <f t="shared" si="138"/>
        <v>5</v>
      </c>
      <c r="AI362" s="225">
        <f t="shared" si="139"/>
        <v>-0.50267538370237297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7">
        <v>3.67</v>
      </c>
      <c r="C363" s="390"/>
      <c r="D363" s="393">
        <f t="shared" si="122"/>
        <v>3.7447027595018607</v>
      </c>
      <c r="E363" s="385">
        <f t="shared" si="144"/>
        <v>3.9388754056067823</v>
      </c>
      <c r="F363" s="385">
        <f t="shared" si="123"/>
        <v>3.9388754056067823</v>
      </c>
      <c r="G363" s="110">
        <f t="shared" si="145"/>
        <v>0.15968364191658299</v>
      </c>
      <c r="H363" s="414" t="b">
        <f>Wh_hp&gt;='2019'!Maxi_hp</f>
        <v>0</v>
      </c>
      <c r="I363" s="380">
        <f>IF(H363,Wh_hp,'2019'!Maxi_hp)</f>
        <v>25.557265904120406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1.9948915654869781E-2</v>
      </c>
      <c r="M363" s="845"/>
      <c r="N363" s="845"/>
      <c r="O363" s="48">
        <f>IF(t&lt;Tnet,'2019'!Resal+('2019'!Salim-'2019'!Resal)*(1-EXP(('2019'!Tnet-t)/('2019'!Tau_j))),Resal+(Salim-Resal)*(1-EXP((Tnet-t)/(Tau_j))))*Salcycl</f>
        <v>4.9296468181889486E-2</v>
      </c>
      <c r="P363" s="169">
        <f>(INDEX(Models!$BJ363:$BT363,,T363)*(1-R363)+INDEX(Models!$BJ363:$BT363,,T363+1)*R363-ERP_i)*Q363*Ramure*Pc/MaxiM</f>
        <v>2.4827991970209813E-4</v>
      </c>
      <c r="Q363" s="305">
        <f t="shared" si="125"/>
        <v>0.5</v>
      </c>
      <c r="R363" s="177">
        <f t="shared" si="126"/>
        <v>0.49733387837688348</v>
      </c>
      <c r="S363" s="811">
        <f t="shared" si="127"/>
        <v>-1</v>
      </c>
      <c r="T363" s="176">
        <f t="shared" si="128"/>
        <v>5</v>
      </c>
      <c r="U363" s="251">
        <f t="shared" si="129"/>
        <v>-0.50266612162311652</v>
      </c>
      <c r="V363" s="383">
        <f t="shared" si="130"/>
        <v>22.977236545064432</v>
      </c>
      <c r="W363" s="402"/>
      <c r="X363" s="157">
        <f t="shared" si="131"/>
        <v>44179</v>
      </c>
      <c r="Y363" s="385">
        <f t="shared" si="132"/>
        <v>3.67</v>
      </c>
      <c r="Z363" s="385">
        <f t="shared" si="133"/>
        <v>3.7447027595018607</v>
      </c>
      <c r="AA363" s="386">
        <f t="shared" si="134"/>
        <v>3.9388754056067823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4.9296468181889486E-2</v>
      </c>
      <c r="AD363" s="231">
        <f>(INDEX(Models!$BJ363:$BT363,,AH363)*(1-AF363)+INDEX(Models!$BJ363:$BT363,,AH363+1)*AF363-ERP_i)*AE363*Ramure*Pc/MaxiM</f>
        <v>2.4827991970209813E-4</v>
      </c>
      <c r="AE363" s="305">
        <f t="shared" si="136"/>
        <v>0.5</v>
      </c>
      <c r="AF363" s="177">
        <f t="shared" si="137"/>
        <v>0.49733387837688348</v>
      </c>
      <c r="AG363" s="811">
        <f t="shared" si="143"/>
        <v>-1</v>
      </c>
      <c r="AH363" s="176">
        <f t="shared" si="138"/>
        <v>5</v>
      </c>
      <c r="AI363" s="225">
        <f t="shared" si="139"/>
        <v>-0.50266612162311652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7">
        <v>2.3410000000000002</v>
      </c>
      <c r="C364" s="390"/>
      <c r="D364" s="393">
        <f t="shared" si="122"/>
        <v>2.3887033160065965</v>
      </c>
      <c r="E364" s="385">
        <f t="shared" si="144"/>
        <v>2.51270432581493</v>
      </c>
      <c r="F364" s="385">
        <f t="shared" si="123"/>
        <v>2.51270432581493</v>
      </c>
      <c r="G364" s="110">
        <f t="shared" si="145"/>
        <v>0.1020359316101097</v>
      </c>
      <c r="H364" s="414" t="b">
        <f>Wh_hp&gt;='2019'!Maxi_hp</f>
        <v>0</v>
      </c>
      <c r="I364" s="380">
        <f>IF(H364,Wh_hp,'2019'!Maxi_hp)</f>
        <v>14.860636438752699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1.9970381288851757E-2</v>
      </c>
      <c r="M364" s="845"/>
      <c r="N364" s="845"/>
      <c r="O364" s="48">
        <f>IF(t&lt;Tnet,'2019'!Resal+('2019'!Salim-'2019'!Resal)*(1-EXP(('2019'!Tnet-t)/('2019'!Tau_j))),Resal+(Salim-Resal)*(1-EXP((Tnet-t)/(Tau_j))))*Salcycl</f>
        <v>4.9349622450352272E-2</v>
      </c>
      <c r="P364" s="169">
        <f>(INDEX(Models!$BJ364:$BT364,,T364)*(1-R364)+INDEX(Models!$BJ364:$BT364,,T364+1)*R364-ERP_i)*Q364*Ramure*Pc/MaxiM</f>
        <v>2.4810263002286015E-4</v>
      </c>
      <c r="Q364" s="305">
        <f t="shared" si="125"/>
        <v>0.5</v>
      </c>
      <c r="R364" s="177">
        <f t="shared" si="126"/>
        <v>0.49734276786022868</v>
      </c>
      <c r="S364" s="811">
        <f t="shared" si="127"/>
        <v>-1</v>
      </c>
      <c r="T364" s="176">
        <f t="shared" si="128"/>
        <v>5</v>
      </c>
      <c r="U364" s="251">
        <f t="shared" si="129"/>
        <v>-0.50265723213977132</v>
      </c>
      <c r="V364" s="383">
        <f t="shared" si="130"/>
        <v>22.937206088205386</v>
      </c>
      <c r="W364" s="402"/>
      <c r="X364" s="157">
        <f t="shared" si="131"/>
        <v>44180</v>
      </c>
      <c r="Y364" s="385">
        <f t="shared" si="132"/>
        <v>2.3410000000000002</v>
      </c>
      <c r="Z364" s="385">
        <f t="shared" si="133"/>
        <v>2.3887033160065965</v>
      </c>
      <c r="AA364" s="386">
        <f t="shared" si="134"/>
        <v>2.51270432581493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4.9349622450352272E-2</v>
      </c>
      <c r="AD364" s="231">
        <f>(INDEX(Models!$BJ364:$BT364,,AH364)*(1-AF364)+INDEX(Models!$BJ364:$BT364,,AH364+1)*AF364-ERP_i)*AE364*Ramure*Pc/MaxiM</f>
        <v>2.4810263002286015E-4</v>
      </c>
      <c r="AE364" s="305">
        <f t="shared" si="136"/>
        <v>0.5</v>
      </c>
      <c r="AF364" s="177">
        <f t="shared" si="137"/>
        <v>0.49734276786022868</v>
      </c>
      <c r="AG364" s="811">
        <f t="shared" si="143"/>
        <v>-1</v>
      </c>
      <c r="AH364" s="176">
        <f t="shared" si="138"/>
        <v>5</v>
      </c>
      <c r="AI364" s="225">
        <f t="shared" si="139"/>
        <v>-0.50265723213977132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7">
        <v>16.5</v>
      </c>
      <c r="C365" s="390"/>
      <c r="D365" s="393">
        <f t="shared" si="122"/>
        <v>16.836594614315434</v>
      </c>
      <c r="E365" s="385">
        <f t="shared" si="144"/>
        <v>17.711604971245514</v>
      </c>
      <c r="F365" s="385">
        <f t="shared" si="123"/>
        <v>17.714241955328927</v>
      </c>
      <c r="G365" s="110">
        <f t="shared" si="145"/>
        <v>0.7201939016531046</v>
      </c>
      <c r="H365" s="414" t="b">
        <f>Wh_hp&gt;='2019'!Maxi_hp</f>
        <v>0</v>
      </c>
      <c r="I365" s="380">
        <f>IF(H365,Wh_hp,'2019'!Maxi_hp)</f>
        <v>20.357064325924458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1.9991846452681261E-2</v>
      </c>
      <c r="M365" s="845"/>
      <c r="N365" s="845"/>
      <c r="O365" s="48">
        <f>IF(t&lt;Tnet,'2019'!Resal+('2019'!Salim-'2019'!Resal)*(1-EXP(('2019'!Tnet-t)/('2019'!Tau_j))),Resal+(Salim-Resal)*(1-EXP((Tnet-t)/(Tau_j))))*Salcycl</f>
        <v>4.9403222257420686E-2</v>
      </c>
      <c r="P365" s="169">
        <f>(INDEX(Models!$BJ365:$BT365,,T365)*(1-R365)+INDEX(Models!$BJ365:$BT365,,T365+1)*R365-ERP_i)*Q365*Ramure*Pc/MaxiM</f>
        <v>2.4794734594763912E-4</v>
      </c>
      <c r="Q365" s="305">
        <f t="shared" si="125"/>
        <v>0.5</v>
      </c>
      <c r="R365" s="177">
        <f t="shared" si="126"/>
        <v>0.49735129972404113</v>
      </c>
      <c r="S365" s="811">
        <f t="shared" si="127"/>
        <v>-1</v>
      </c>
      <c r="T365" s="176">
        <f t="shared" si="128"/>
        <v>5</v>
      </c>
      <c r="U365" s="251">
        <f t="shared" si="129"/>
        <v>-0.50264870027595887</v>
      </c>
      <c r="V365" s="383">
        <f t="shared" si="130"/>
        <v>22.90822626608718</v>
      </c>
      <c r="W365" s="402"/>
      <c r="X365" s="157">
        <f t="shared" si="131"/>
        <v>44181</v>
      </c>
      <c r="Y365" s="385">
        <f t="shared" si="132"/>
        <v>16.5</v>
      </c>
      <c r="Z365" s="385">
        <f t="shared" si="133"/>
        <v>16.836594614315434</v>
      </c>
      <c r="AA365" s="386">
        <f t="shared" si="134"/>
        <v>17.711604971245514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4.9403222257420686E-2</v>
      </c>
      <c r="AD365" s="231">
        <f>(INDEX(Models!$BJ365:$BT365,,AH365)*(1-AF365)+INDEX(Models!$BJ365:$BT365,,AH365+1)*AF365-ERP_i)*AE365*Ramure*Pc/MaxiM</f>
        <v>2.4794734594763912E-4</v>
      </c>
      <c r="AE365" s="305">
        <f t="shared" si="136"/>
        <v>0.5</v>
      </c>
      <c r="AF365" s="177">
        <f t="shared" si="137"/>
        <v>0.49735129972404113</v>
      </c>
      <c r="AG365" s="811">
        <f t="shared" si="143"/>
        <v>-1</v>
      </c>
      <c r="AH365" s="176">
        <f t="shared" si="138"/>
        <v>5</v>
      </c>
      <c r="AI365" s="225">
        <f t="shared" si="139"/>
        <v>-0.50264870027595887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7">
        <v>8.9499999999999993</v>
      </c>
      <c r="C366" s="390"/>
      <c r="D366" s="393">
        <f t="shared" si="122"/>
        <v>9.1327771099314905</v>
      </c>
      <c r="E366" s="385">
        <f t="shared" si="144"/>
        <v>9.6079602916279114</v>
      </c>
      <c r="F366" s="385">
        <f t="shared" si="123"/>
        <v>9.6082697877878687</v>
      </c>
      <c r="G366" s="110">
        <f t="shared" si="145"/>
        <v>0.39090695042596285</v>
      </c>
      <c r="H366" s="414" t="b">
        <f>Wh_hp&gt;='2019'!Maxi_hp</f>
        <v>0</v>
      </c>
      <c r="I366" s="380">
        <f>IF(H366,Wh_hp,'2019'!Maxi_hp)</f>
        <v>18.652973480244018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2.0013311146368506E-2</v>
      </c>
      <c r="M366" s="845"/>
      <c r="N366" s="845"/>
      <c r="O366" s="48">
        <f>IF(t&lt;Tnet,'2019'!Resal+('2019'!Salim-'2019'!Resal)*(1-EXP(('2019'!Tnet-t)/('2019'!Tau_j))),Resal+(Salim-Resal)*(1-EXP((Tnet-t)/(Tau_j))))*Salcycl</f>
        <v>4.9457238297548146E-2</v>
      </c>
      <c r="P366" s="169">
        <f>(INDEX(Models!$BJ366:$BT366,,T366)*(1-R366)+INDEX(Models!$BJ366:$BT366,,T366+1)*R366-ERP_i)*Q366*Ramure*Pc/MaxiM</f>
        <v>2.4780410381013043E-4</v>
      </c>
      <c r="Q366" s="305">
        <f t="shared" si="125"/>
        <v>0.5</v>
      </c>
      <c r="R366" s="177">
        <f t="shared" si="126"/>
        <v>0.49735948834371047</v>
      </c>
      <c r="S366" s="811">
        <f t="shared" si="127"/>
        <v>-1</v>
      </c>
      <c r="T366" s="176">
        <f t="shared" si="128"/>
        <v>5</v>
      </c>
      <c r="U366" s="251">
        <f t="shared" si="129"/>
        <v>-0.50264051165628953</v>
      </c>
      <c r="V366" s="383">
        <f t="shared" si="130"/>
        <v>22.890537949529893</v>
      </c>
      <c r="W366" s="402"/>
      <c r="X366" s="157">
        <f t="shared" si="131"/>
        <v>44182</v>
      </c>
      <c r="Y366" s="385">
        <f t="shared" si="132"/>
        <v>8.9499999999999993</v>
      </c>
      <c r="Z366" s="385">
        <f t="shared" si="133"/>
        <v>9.1327771099314905</v>
      </c>
      <c r="AA366" s="386">
        <f t="shared" si="134"/>
        <v>9.6079602916279114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4.9457238297548146E-2</v>
      </c>
      <c r="AD366" s="231">
        <f>(INDEX(Models!$BJ366:$BT366,,AH366)*(1-AF366)+INDEX(Models!$BJ366:$BT366,,AH366+1)*AF366-ERP_i)*AE366*Ramure*Pc/MaxiM</f>
        <v>2.4780410381013043E-4</v>
      </c>
      <c r="AE366" s="305">
        <f t="shared" si="136"/>
        <v>0.5</v>
      </c>
      <c r="AF366" s="177">
        <f t="shared" si="137"/>
        <v>0.49735948834371047</v>
      </c>
      <c r="AG366" s="811">
        <f t="shared" si="143"/>
        <v>-1</v>
      </c>
      <c r="AH366" s="176">
        <f t="shared" si="138"/>
        <v>5</v>
      </c>
      <c r="AI366" s="225">
        <f t="shared" si="139"/>
        <v>-0.50264051165628953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7">
        <v>9.5909999999999993</v>
      </c>
      <c r="C367" s="390"/>
      <c r="D367" s="393">
        <f t="shared" si="122"/>
        <v>9.7870819891802547</v>
      </c>
      <c r="E367" s="385">
        <f t="shared" si="144"/>
        <v>10.296898326136228</v>
      </c>
      <c r="F367" s="385">
        <f t="shared" si="123"/>
        <v>10.297332079966434</v>
      </c>
      <c r="G367" s="110">
        <f t="shared" si="145"/>
        <v>0.41902065006203404</v>
      </c>
      <c r="H367" s="414" t="b">
        <f>Wh_hp&gt;='2019'!Maxi_hp</f>
        <v>0</v>
      </c>
      <c r="I367" s="380">
        <f>IF(H367,Wh_hp,'2019'!Maxi_hp)</f>
        <v>23.39378515963071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2.0034775369924041E-2</v>
      </c>
      <c r="M367" s="845"/>
      <c r="N367" s="845"/>
      <c r="O367" s="48">
        <f>IF(t&lt;Tnet,'2019'!Resal+('2019'!Salim-'2019'!Resal)*(1-EXP(('2019'!Tnet-t)/('2019'!Tau_j))),Resal+(Salim-Resal)*(1-EXP((Tnet-t)/(Tau_j))))*Salcycl</f>
        <v>4.9511641351447165E-2</v>
      </c>
      <c r="P367" s="169">
        <f>(INDEX(Models!$BJ367:$BT367,,T367)*(1-R367)+INDEX(Models!$BJ367:$BT367,,T367+1)*R367-ERP_i)*Q367*Ramure*Pc/MaxiM</f>
        <v>2.4755987588424659E-4</v>
      </c>
      <c r="Q367" s="305">
        <f t="shared" si="125"/>
        <v>0.5</v>
      </c>
      <c r="R367" s="177">
        <f t="shared" si="126"/>
        <v>0.49736734751767664</v>
      </c>
      <c r="S367" s="811">
        <f t="shared" si="127"/>
        <v>-1</v>
      </c>
      <c r="T367" s="176">
        <f t="shared" si="128"/>
        <v>5</v>
      </c>
      <c r="U367" s="251">
        <f t="shared" si="129"/>
        <v>-0.50263265248232336</v>
      </c>
      <c r="V367" s="383">
        <f t="shared" si="130"/>
        <v>22.884384265696234</v>
      </c>
      <c r="W367" s="402"/>
      <c r="X367" s="157">
        <f t="shared" si="131"/>
        <v>44183</v>
      </c>
      <c r="Y367" s="385">
        <f t="shared" si="132"/>
        <v>9.5909999999999993</v>
      </c>
      <c r="Z367" s="385">
        <f t="shared" si="133"/>
        <v>9.7870819891802547</v>
      </c>
      <c r="AA367" s="386">
        <f t="shared" si="134"/>
        <v>10.296898326136228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4.9511641351447165E-2</v>
      </c>
      <c r="AD367" s="231">
        <f>(INDEX(Models!$BJ367:$BT367,,AH367)*(1-AF367)+INDEX(Models!$BJ367:$BT367,,AH367+1)*AF367-ERP_i)*AE367*Ramure*Pc/MaxiM</f>
        <v>2.4755987588424659E-4</v>
      </c>
      <c r="AE367" s="305">
        <f t="shared" si="136"/>
        <v>0.5</v>
      </c>
      <c r="AF367" s="177">
        <f t="shared" si="137"/>
        <v>0.49736734751767664</v>
      </c>
      <c r="AG367" s="811">
        <f t="shared" si="143"/>
        <v>-1</v>
      </c>
      <c r="AH367" s="176">
        <f t="shared" si="138"/>
        <v>5</v>
      </c>
      <c r="AI367" s="225">
        <f t="shared" si="139"/>
        <v>-0.50263265248232336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7">
        <v>8.2490000000000006</v>
      </c>
      <c r="C368" s="390"/>
      <c r="D368" s="393">
        <f t="shared" si="122"/>
        <v>8.4178300116126827</v>
      </c>
      <c r="E368" s="385">
        <f t="shared" si="144"/>
        <v>8.8568312751549563</v>
      </c>
      <c r="F368" s="385">
        <f t="shared" si="123"/>
        <v>8.8570201259561134</v>
      </c>
      <c r="G368" s="110">
        <f t="shared" si="145"/>
        <v>0.36029421338886475</v>
      </c>
      <c r="H368" s="414" t="b">
        <f>Wh_hp&gt;='2019'!Maxi_hp</f>
        <v>0</v>
      </c>
      <c r="I368" s="380">
        <f>IF(H368,Wh_hp,'2019'!Maxi_hp)</f>
        <v>13.943536832461973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2.0056239123357855E-2</v>
      </c>
      <c r="M368" s="845"/>
      <c r="N368" s="845"/>
      <c r="O368" s="48">
        <f>IF(t&lt;Tnet,'2019'!Resal+('2019'!Salim-'2019'!Resal)*(1-EXP(('2019'!Tnet-t)/('2019'!Tau_j))),Resal+(Salim-Resal)*(1-EXP((Tnet-t)/(Tau_j))))*Salcycl</f>
        <v>4.9566402464248489E-2</v>
      </c>
      <c r="P368" s="169">
        <f>(INDEX(Models!$BJ368:$BT368,,T368)*(1-R368)+INDEX(Models!$BJ368:$BT368,,T368+1)*R368-ERP_i)*Q368*Ramure*Pc/MaxiM</f>
        <v>2.4721091213185056E-4</v>
      </c>
      <c r="Q368" s="305">
        <f t="shared" si="125"/>
        <v>0.5</v>
      </c>
      <c r="R368" s="177">
        <f t="shared" si="126"/>
        <v>0.49737489049051498</v>
      </c>
      <c r="S368" s="811">
        <f t="shared" si="127"/>
        <v>-1</v>
      </c>
      <c r="T368" s="176">
        <f t="shared" si="128"/>
        <v>5</v>
      </c>
      <c r="U368" s="251">
        <f t="shared" si="129"/>
        <v>-0.50262510950948502</v>
      </c>
      <c r="V368" s="383">
        <f t="shared" si="130"/>
        <v>22.890005716111141</v>
      </c>
      <c r="W368" s="402"/>
      <c r="X368" s="157">
        <f t="shared" si="131"/>
        <v>44184</v>
      </c>
      <c r="Y368" s="385">
        <f t="shared" si="132"/>
        <v>8.2490000000000006</v>
      </c>
      <c r="Z368" s="385">
        <f t="shared" si="133"/>
        <v>8.4178300116126827</v>
      </c>
      <c r="AA368" s="386">
        <f t="shared" si="134"/>
        <v>8.8568312751549563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4.9566402464248489E-2</v>
      </c>
      <c r="AD368" s="231">
        <f>(INDEX(Models!$BJ368:$BT368,,AH368)*(1-AF368)+INDEX(Models!$BJ368:$BT368,,AH368+1)*AF368-ERP_i)*AE368*Ramure*Pc/MaxiM</f>
        <v>2.4721091213185056E-4</v>
      </c>
      <c r="AE368" s="305">
        <f t="shared" si="136"/>
        <v>0.5</v>
      </c>
      <c r="AF368" s="177">
        <f t="shared" si="137"/>
        <v>0.49737489049051498</v>
      </c>
      <c r="AG368" s="811">
        <f t="shared" si="143"/>
        <v>-1</v>
      </c>
      <c r="AH368" s="176">
        <f t="shared" si="138"/>
        <v>5</v>
      </c>
      <c r="AI368" s="225">
        <f t="shared" si="139"/>
        <v>-0.50262510950948502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7">
        <v>7.0220000000000002</v>
      </c>
      <c r="C369" s="390"/>
      <c r="D369" s="393">
        <f t="shared" si="122"/>
        <v>7.1658742915085911</v>
      </c>
      <c r="E369" s="385">
        <f t="shared" si="144"/>
        <v>7.5400214120983886</v>
      </c>
      <c r="F369" s="385">
        <f t="shared" si="123"/>
        <v>7.5400387821734753</v>
      </c>
      <c r="G369" s="110">
        <f t="shared" si="145"/>
        <v>0.30646031804375329</v>
      </c>
      <c r="H369" s="414" t="b">
        <f>Wh_hp&gt;='2019'!Maxi_hp</f>
        <v>0</v>
      </c>
      <c r="I369" s="380">
        <f>IF(H369,Wh_hp,'2019'!Maxi_hp)</f>
        <v>20.512881562962292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2.0077702406680387E-2</v>
      </c>
      <c r="M369" s="845"/>
      <c r="N369" s="845"/>
      <c r="O369" s="48">
        <f>IF(t&lt;Tnet,'2019'!Resal+('2019'!Salim-'2019'!Resal)*(1-EXP(('2019'!Tnet-t)/('2019'!Tau_j))),Resal+(Salim-Resal)*(1-EXP((Tnet-t)/(Tau_j))))*Salcycl</f>
        <v>4.9621493115318986E-2</v>
      </c>
      <c r="P369" s="169">
        <f>(INDEX(Models!$BJ369:$BT369,,T369)*(1-R369)+INDEX(Models!$BJ369:$BT369,,T369+1)*R369-ERP_i)*Q369*Ramure*Pc/MaxiM</f>
        <v>2.4675382733994655E-4</v>
      </c>
      <c r="Q369" s="305">
        <f t="shared" si="125"/>
        <v>0.5</v>
      </c>
      <c r="R369" s="177">
        <f t="shared" si="126"/>
        <v>0.49738212997510189</v>
      </c>
      <c r="S369" s="811">
        <f t="shared" si="127"/>
        <v>-1</v>
      </c>
      <c r="T369" s="176">
        <f t="shared" si="128"/>
        <v>5</v>
      </c>
      <c r="U369" s="251">
        <f t="shared" si="129"/>
        <v>-0.50261787002489811</v>
      </c>
      <c r="V369" s="383">
        <f t="shared" si="130"/>
        <v>22.907642699538197</v>
      </c>
      <c r="W369" s="402"/>
      <c r="X369" s="157">
        <f t="shared" si="131"/>
        <v>44185</v>
      </c>
      <c r="Y369" s="385">
        <f t="shared" si="132"/>
        <v>7.0220000000000002</v>
      </c>
      <c r="Z369" s="385">
        <f t="shared" si="133"/>
        <v>7.1658742915085911</v>
      </c>
      <c r="AA369" s="386">
        <f t="shared" si="134"/>
        <v>7.5400214120983886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4.9621493115318986E-2</v>
      </c>
      <c r="AD369" s="231">
        <f>(INDEX(Models!$BJ369:$BT369,,AH369)*(1-AF369)+INDEX(Models!$BJ369:$BT369,,AH369+1)*AF369-ERP_i)*AE369*Ramure*Pc/MaxiM</f>
        <v>2.4675382733994655E-4</v>
      </c>
      <c r="AE369" s="305">
        <f t="shared" si="136"/>
        <v>0.5</v>
      </c>
      <c r="AF369" s="177">
        <f t="shared" si="137"/>
        <v>0.49738212997510189</v>
      </c>
      <c r="AG369" s="811">
        <f t="shared" si="143"/>
        <v>-1</v>
      </c>
      <c r="AH369" s="176">
        <f t="shared" si="138"/>
        <v>5</v>
      </c>
      <c r="AI369" s="225">
        <f t="shared" si="139"/>
        <v>-0.50261787002489811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7">
        <v>7.77</v>
      </c>
      <c r="C370" s="390"/>
      <c r="D370" s="393">
        <f t="shared" si="122"/>
        <v>7.9293737939754738</v>
      </c>
      <c r="E370" s="385">
        <f t="shared" si="144"/>
        <v>8.3438713338402266</v>
      </c>
      <c r="F370" s="385">
        <f t="shared" si="123"/>
        <v>8.3439850352501974</v>
      </c>
      <c r="G370" s="110">
        <f t="shared" si="145"/>
        <v>0.33866729028065956</v>
      </c>
      <c r="H370" s="414" t="b">
        <f>Wh_hp&gt;='2019'!Maxi_hp</f>
        <v>1</v>
      </c>
      <c r="I370" s="380">
        <f>IF(H370,Wh_hp,'2019'!Maxi_hp)</f>
        <v>8.3439850352501974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2.009916521990196E-2</v>
      </c>
      <c r="M370" s="845"/>
      <c r="N370" s="845"/>
      <c r="O370" s="48">
        <f>IF(t&lt;Tnet,'2019'!Resal+('2019'!Salim-'2019'!Resal)*(1-EXP(('2019'!Tnet-t)/('2019'!Tau_j))),Resal+(Salim-Resal)*(1-EXP((Tnet-t)/(Tau_j))))*Salcycl</f>
        <v>4.967688537857444E-2</v>
      </c>
      <c r="P370" s="169">
        <f>(INDEX(Models!$BJ370:$BT370,,T370)*(1-R370)+INDEX(Models!$BJ370:$BT370,,T370+1)*R370-ERP_i)*Q370*Ramure*Pc/MaxiM</f>
        <v>2.4618564039733277E-4</v>
      </c>
      <c r="Q370" s="305">
        <f t="shared" si="125"/>
        <v>0.5</v>
      </c>
      <c r="R370" s="177">
        <f t="shared" si="126"/>
        <v>0.49738907817389921</v>
      </c>
      <c r="S370" s="811">
        <f t="shared" si="127"/>
        <v>-1</v>
      </c>
      <c r="T370" s="176">
        <f t="shared" si="128"/>
        <v>5</v>
      </c>
      <c r="U370" s="251">
        <f t="shared" si="129"/>
        <v>-0.50261092182610079</v>
      </c>
      <c r="V370" s="383">
        <f t="shared" si="130"/>
        <v>22.937535497955558</v>
      </c>
      <c r="W370" s="402"/>
      <c r="X370" s="157">
        <f t="shared" si="131"/>
        <v>44186</v>
      </c>
      <c r="Y370" s="385">
        <f t="shared" si="132"/>
        <v>7.7699999999999987</v>
      </c>
      <c r="Z370" s="385">
        <f t="shared" si="133"/>
        <v>7.9293737939754729</v>
      </c>
      <c r="AA370" s="386">
        <f t="shared" si="134"/>
        <v>8.3438713338402266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4.967688537857444E-2</v>
      </c>
      <c r="AD370" s="231">
        <f>(INDEX(Models!$BJ370:$BT370,,AH370)*(1-AF370)+INDEX(Models!$BJ370:$BT370,,AH370+1)*AF370-ERP_i)*AE370*Ramure*Pc/MaxiM</f>
        <v>2.4618564039733277E-4</v>
      </c>
      <c r="AE370" s="305">
        <f t="shared" si="136"/>
        <v>0.5</v>
      </c>
      <c r="AF370" s="177">
        <f t="shared" si="137"/>
        <v>0.49738907817389921</v>
      </c>
      <c r="AG370" s="811">
        <f t="shared" si="143"/>
        <v>-1</v>
      </c>
      <c r="AH370" s="176">
        <f t="shared" si="138"/>
        <v>5</v>
      </c>
      <c r="AI370" s="225">
        <f t="shared" si="139"/>
        <v>-0.50261092182610079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7">
        <v>18.460999999999999</v>
      </c>
      <c r="C371" s="390"/>
      <c r="D371" s="393">
        <f t="shared" si="122"/>
        <v>18.840074114518156</v>
      </c>
      <c r="E371" s="385">
        <f t="shared" si="144"/>
        <v>19.8260754439208</v>
      </c>
      <c r="F371" s="385">
        <f t="shared" si="123"/>
        <v>19.829576058520093</v>
      </c>
      <c r="G371" s="110">
        <f t="shared" si="145"/>
        <v>0.80329797127046298</v>
      </c>
      <c r="H371" s="414" t="b">
        <f>Wh_hp&gt;='2019'!Maxi_hp</f>
        <v>1</v>
      </c>
      <c r="I371" s="380">
        <f>IF(H371,Wh_hp,'2019'!Maxi_hp)</f>
        <v>19.829576058520093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2.01206275630329E-2</v>
      </c>
      <c r="M371" s="845"/>
      <c r="N371" s="845"/>
      <c r="O371" s="48">
        <f>IF(t&lt;Tnet,'2019'!Resal+('2019'!Salim-'2019'!Resal)*(1-EXP(('2019'!Tnet-t)/('2019'!Tau_j))),Resal+(Salim-Resal)*(1-EXP((Tnet-t)/(Tau_j))))*Salcycl</f>
        <v>4.9732552072224434E-2</v>
      </c>
      <c r="P371" s="169">
        <f>(INDEX(Models!$BJ371:$BT371,,T371)*(1-R371)+INDEX(Models!$BJ371:$BT371,,T371+1)*R371-ERP_i)*Q371*Ramure*Pc/MaxiM</f>
        <v>2.455024980881478E-4</v>
      </c>
      <c r="Q371" s="305">
        <f t="shared" si="125"/>
        <v>0.5</v>
      </c>
      <c r="R371" s="177">
        <f t="shared" si="126"/>
        <v>0.49738907817389921</v>
      </c>
      <c r="S371" s="811">
        <f t="shared" si="127"/>
        <v>-1</v>
      </c>
      <c r="T371" s="176">
        <f t="shared" si="128"/>
        <v>5</v>
      </c>
      <c r="U371" s="251">
        <f t="shared" si="129"/>
        <v>-0.50261092182610079</v>
      </c>
      <c r="V371" s="383">
        <f t="shared" si="130"/>
        <v>22.979924295563645</v>
      </c>
      <c r="W371" s="402"/>
      <c r="X371" s="157">
        <f t="shared" si="131"/>
        <v>44187</v>
      </c>
      <c r="Y371" s="385">
        <f t="shared" si="132"/>
        <v>18.460999999999999</v>
      </c>
      <c r="Z371" s="385">
        <f t="shared" si="133"/>
        <v>18.840074114518156</v>
      </c>
      <c r="AA371" s="386">
        <f t="shared" si="134"/>
        <v>19.8260754439208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4.9732552072224434E-2</v>
      </c>
      <c r="AD371" s="231">
        <f>(INDEX(Models!$BJ371:$BT371,,AH371)*(1-AF371)+INDEX(Models!$BJ371:$BT371,,AH371+1)*AF371-ERP_i)*AE371*Ramure*Pc/MaxiM</f>
        <v>2.455024980881478E-4</v>
      </c>
      <c r="AE371" s="305">
        <f t="shared" si="136"/>
        <v>0.5</v>
      </c>
      <c r="AF371" s="177">
        <f t="shared" si="137"/>
        <v>0.49738907817389921</v>
      </c>
      <c r="AG371" s="811">
        <f t="shared" si="143"/>
        <v>-1</v>
      </c>
      <c r="AH371" s="176">
        <f t="shared" si="138"/>
        <v>5</v>
      </c>
      <c r="AI371" s="225">
        <f t="shared" si="139"/>
        <v>-0.50261092182610079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7">
        <v>9.2739999999999991</v>
      </c>
      <c r="C372" s="390"/>
      <c r="D372" s="393">
        <f t="shared" si="122"/>
        <v>9.4646375765469219</v>
      </c>
      <c r="E372" s="385">
        <f t="shared" si="144"/>
        <v>9.9605585144176008</v>
      </c>
      <c r="F372" s="385">
        <f t="shared" si="123"/>
        <v>9.9609157912654478</v>
      </c>
      <c r="G372" s="110">
        <f t="shared" si="145"/>
        <v>0.40251979244669406</v>
      </c>
      <c r="H372" s="414" t="b">
        <f>Wh_hp&gt;='2019'!Maxi_hp</f>
        <v>0</v>
      </c>
      <c r="I372" s="380">
        <f>IF(H372,Wh_hp,'2019'!Maxi_hp)</f>
        <v>15.301038083820069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2.014208943608331E-2</v>
      </c>
      <c r="M372" s="845"/>
      <c r="N372" s="845"/>
      <c r="O372" s="48">
        <f>IF(t&lt;Tnet,'2019'!Resal+('2019'!Salim-'2019'!Resal)*(1-EXP(('2019'!Tnet-t)/('2019'!Tau_j))),Resal+(Salim-Resal)*(1-EXP((Tnet-t)/(Tau_j))))*Salcycl</f>
        <v>4.9788466896996654E-2</v>
      </c>
      <c r="P372" s="169">
        <f>(INDEX(Models!$BJ372:$BT372,,T372)*(1-R372)+INDEX(Models!$BJ372:$BT372,,T372+1)*R372-ERP_i)*Q372*Ramure*Pc/MaxiM</f>
        <v>2.4470333552263868E-4</v>
      </c>
      <c r="Q372" s="305">
        <f t="shared" si="125"/>
        <v>0.5</v>
      </c>
      <c r="R372" s="177">
        <f t="shared" si="126"/>
        <v>0.49738907817389921</v>
      </c>
      <c r="S372" s="811">
        <f t="shared" si="127"/>
        <v>-1</v>
      </c>
      <c r="T372" s="176">
        <f t="shared" si="128"/>
        <v>5</v>
      </c>
      <c r="U372" s="251">
        <f t="shared" si="129"/>
        <v>-0.50261092182610079</v>
      </c>
      <c r="V372" s="383">
        <f t="shared" si="130"/>
        <v>23.035049119144944</v>
      </c>
      <c r="W372" s="402"/>
      <c r="X372" s="157">
        <f t="shared" si="131"/>
        <v>44188</v>
      </c>
      <c r="Y372" s="385">
        <f t="shared" si="132"/>
        <v>9.2739999999999991</v>
      </c>
      <c r="Z372" s="385">
        <f t="shared" si="133"/>
        <v>9.4646375765469219</v>
      </c>
      <c r="AA372" s="386">
        <f t="shared" si="134"/>
        <v>9.9605585144176008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4.9788466896996654E-2</v>
      </c>
      <c r="AD372" s="231">
        <f>(INDEX(Models!$BJ372:$BT372,,AH372)*(1-AF372)+INDEX(Models!$BJ372:$BT372,,AH372+1)*AF372-ERP_i)*AE372*Ramure*Pc/MaxiM</f>
        <v>2.4470333552263868E-4</v>
      </c>
      <c r="AE372" s="305">
        <f t="shared" si="136"/>
        <v>0.5</v>
      </c>
      <c r="AF372" s="177">
        <f t="shared" si="137"/>
        <v>0.49738907817389921</v>
      </c>
      <c r="AG372" s="811">
        <f t="shared" si="143"/>
        <v>-1</v>
      </c>
      <c r="AH372" s="176">
        <f t="shared" si="138"/>
        <v>5</v>
      </c>
      <c r="AI372" s="225">
        <f t="shared" si="139"/>
        <v>-0.50261092182610079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7">
        <v>10.195</v>
      </c>
      <c r="C373" s="390"/>
      <c r="D373" s="393">
        <f t="shared" si="122"/>
        <v>10.404797666723145</v>
      </c>
      <c r="E373" s="385">
        <f t="shared" si="144"/>
        <v>10.950627357040709</v>
      </c>
      <c r="F373" s="385">
        <f t="shared" si="123"/>
        <v>10.951165995078949</v>
      </c>
      <c r="G373" s="110">
        <f t="shared" si="145"/>
        <v>0.44115668831959931</v>
      </c>
      <c r="H373" s="414" t="b">
        <f>Wh_hp&gt;='2019'!Maxi_hp</f>
        <v>0</v>
      </c>
      <c r="I373" s="380">
        <f>IF(H373,Wh_hp,'2019'!Maxi_hp)</f>
        <v>16.332134440633631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2.0163550839063737E-2</v>
      </c>
      <c r="M373" s="845"/>
      <c r="N373" s="845"/>
      <c r="O373" s="48">
        <f>IF(t&lt;Tnet,'2019'!Resal+('2019'!Salim-'2019'!Resal)*(1-EXP(('2019'!Tnet-t)/('2019'!Tau_j))),Resal+(Salim-Resal)*(1-EXP((Tnet-t)/(Tau_j))))*Salcycl</f>
        <v>4.9844604562004714E-2</v>
      </c>
      <c r="P373" s="169">
        <f>(INDEX(Models!$BJ373:$BT373,,T373)*(1-R373)+INDEX(Models!$BJ373:$BT373,,T373+1)*R373-ERP_i)*Q373*Ramure*Pc/MaxiM</f>
        <v>2.4376376655339276E-4</v>
      </c>
      <c r="Q373" s="305">
        <f t="shared" si="125"/>
        <v>0.5</v>
      </c>
      <c r="R373" s="177">
        <f t="shared" si="126"/>
        <v>0.49738907817389921</v>
      </c>
      <c r="S373" s="811">
        <f t="shared" si="127"/>
        <v>-1</v>
      </c>
      <c r="T373" s="176">
        <f t="shared" si="128"/>
        <v>5</v>
      </c>
      <c r="U373" s="251">
        <f t="shared" si="129"/>
        <v>-0.50261092182610079</v>
      </c>
      <c r="V373" s="383">
        <f t="shared" si="130"/>
        <v>23.105206033084286</v>
      </c>
      <c r="W373" s="402"/>
      <c r="X373" s="157">
        <f t="shared" si="131"/>
        <v>44189</v>
      </c>
      <c r="Y373" s="385">
        <f t="shared" si="132"/>
        <v>10.195</v>
      </c>
      <c r="Z373" s="385">
        <f t="shared" si="133"/>
        <v>10.404797666723145</v>
      </c>
      <c r="AA373" s="386">
        <f t="shared" si="134"/>
        <v>10.950627357040709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4.9844604562004714E-2</v>
      </c>
      <c r="AD373" s="231">
        <f>(INDEX(Models!$BJ373:$BT373,,AH373)*(1-AF373)+INDEX(Models!$BJ373:$BT373,,AH373+1)*AF373-ERP_i)*AE373*Ramure*Pc/MaxiM</f>
        <v>2.4376376655339276E-4</v>
      </c>
      <c r="AE373" s="305">
        <f t="shared" si="136"/>
        <v>0.5</v>
      </c>
      <c r="AF373" s="177">
        <f t="shared" si="137"/>
        <v>0.49738907817389921</v>
      </c>
      <c r="AG373" s="811">
        <f t="shared" si="143"/>
        <v>-1</v>
      </c>
      <c r="AH373" s="176">
        <f t="shared" si="138"/>
        <v>5</v>
      </c>
      <c r="AI373" s="225">
        <f t="shared" si="139"/>
        <v>-0.50261092182610079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7">
        <v>4.13</v>
      </c>
      <c r="C374" s="390"/>
      <c r="D374" s="393">
        <f t="shared" si="122"/>
        <v>4.2150814690731133</v>
      </c>
      <c r="E374" s="385">
        <f t="shared" si="144"/>
        <v>4.4364652597962246</v>
      </c>
      <c r="F374" s="385">
        <f t="shared" si="123"/>
        <v>4.4364652597962246</v>
      </c>
      <c r="G374" s="110">
        <f t="shared" si="145"/>
        <v>0.17803721313735385</v>
      </c>
      <c r="H374" s="414" t="b">
        <f>Wh_hp&gt;='2019'!Maxi_hp</f>
        <v>0</v>
      </c>
      <c r="I374" s="380">
        <f>IF(H374,Wh_hp,'2019'!Maxi_hp)</f>
        <v>24.2954595694269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2.0185011771984285E-2</v>
      </c>
      <c r="M374" s="845"/>
      <c r="N374" s="845"/>
      <c r="O374" s="48">
        <f>IF(t&lt;Tnet,'2019'!Resal+('2019'!Salim-'2019'!Resal)*(1-EXP(('2019'!Tnet-t)/('2019'!Tau_j))),Resal+(Salim-Resal)*(1-EXP((Tnet-t)/(Tau_j))))*Salcycl</f>
        <v>4.9900940897546937E-2</v>
      </c>
      <c r="P374" s="169">
        <f>(INDEX(Models!$BJ374:$BT374,,T374)*(1-R374)+INDEX(Models!$BJ374:$BT374,,T374+1)*R374-ERP_i)*Q374*Ramure*Pc/MaxiM</f>
        <v>2.4267029609270968E-4</v>
      </c>
      <c r="Q374" s="305">
        <f t="shared" si="125"/>
        <v>0.5</v>
      </c>
      <c r="R374" s="177">
        <f t="shared" si="126"/>
        <v>0.49738907817389921</v>
      </c>
      <c r="S374" s="811">
        <f t="shared" si="127"/>
        <v>-1</v>
      </c>
      <c r="T374" s="176">
        <f t="shared" si="128"/>
        <v>5</v>
      </c>
      <c r="U374" s="251">
        <f t="shared" si="129"/>
        <v>-0.50261092182610079</v>
      </c>
      <c r="V374" s="383">
        <f t="shared" si="130"/>
        <v>23.191768164173958</v>
      </c>
      <c r="W374" s="402"/>
      <c r="X374" s="157">
        <f t="shared" si="131"/>
        <v>44190</v>
      </c>
      <c r="Y374" s="385">
        <f t="shared" si="132"/>
        <v>4.13</v>
      </c>
      <c r="Z374" s="385">
        <f t="shared" si="133"/>
        <v>4.2150814690731133</v>
      </c>
      <c r="AA374" s="386">
        <f t="shared" si="134"/>
        <v>4.4364652597962246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4.9900940897546937E-2</v>
      </c>
      <c r="AD374" s="231">
        <f>(INDEX(Models!$BJ374:$BT374,,AH374)*(1-AF374)+INDEX(Models!$BJ374:$BT374,,AH374+1)*AF374-ERP_i)*AE374*Ramure*Pc/MaxiM</f>
        <v>2.4267029609270968E-4</v>
      </c>
      <c r="AE374" s="305">
        <f t="shared" si="136"/>
        <v>0.5</v>
      </c>
      <c r="AF374" s="177">
        <f t="shared" si="137"/>
        <v>0.49738907817389921</v>
      </c>
      <c r="AG374" s="811">
        <f t="shared" si="143"/>
        <v>-1</v>
      </c>
      <c r="AH374" s="176">
        <f t="shared" si="138"/>
        <v>5</v>
      </c>
      <c r="AI374" s="225">
        <f t="shared" si="139"/>
        <v>-0.50261092182610079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7">
        <v>15.43</v>
      </c>
      <c r="C375" s="390"/>
      <c r="D375" s="393">
        <f t="shared" si="122"/>
        <v>15.7482158870706</v>
      </c>
      <c r="E375" s="385">
        <f t="shared" si="144"/>
        <v>16.576326961398983</v>
      </c>
      <c r="F375" s="385">
        <f t="shared" si="123"/>
        <v>16.57840017270798</v>
      </c>
      <c r="G375" s="110">
        <f t="shared" si="145"/>
        <v>0.6623368541467175</v>
      </c>
      <c r="H375" s="414" t="b">
        <f>Wh_hp&gt;='2019'!Maxi_hp</f>
        <v>0</v>
      </c>
      <c r="I375" s="380">
        <f>IF(H375,Wh_hp,'2019'!Maxi_hp)</f>
        <v>24.678488393426758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2.0206472234855388E-2</v>
      </c>
      <c r="M375" s="845"/>
      <c r="N375" s="845"/>
      <c r="O375" s="48">
        <f>IF(t&lt;Tnet,'2019'!Resal+('2019'!Salim-'2019'!Resal)*(1-EXP(('2019'!Tnet-t)/('2019'!Tau_j))),Resal+(Salim-Resal)*(1-EXP((Tnet-t)/(Tau_j))))*Salcycl</f>
        <v>4.995745295425158E-2</v>
      </c>
      <c r="P375" s="169">
        <f>(INDEX(Models!$BJ375:$BT375,,T375)*(1-R375)+INDEX(Models!$BJ375:$BT375,,T375+1)*R375-ERP_i)*Q375*Ramure*Pc/MaxiM</f>
        <v>2.4154274212356974E-4</v>
      </c>
      <c r="Q375" s="305">
        <f t="shared" si="125"/>
        <v>0.5</v>
      </c>
      <c r="R375" s="177">
        <f t="shared" si="126"/>
        <v>0.49738907817389921</v>
      </c>
      <c r="S375" s="811">
        <f t="shared" si="127"/>
        <v>-1</v>
      </c>
      <c r="T375" s="176">
        <f t="shared" si="128"/>
        <v>5</v>
      </c>
      <c r="U375" s="251">
        <f t="shared" si="129"/>
        <v>-0.50261092182610079</v>
      </c>
      <c r="V375" s="383">
        <f t="shared" si="130"/>
        <v>23.293588862307953</v>
      </c>
      <c r="W375" s="402"/>
      <c r="X375" s="157">
        <f t="shared" si="131"/>
        <v>44191</v>
      </c>
      <c r="Y375" s="385">
        <f t="shared" si="132"/>
        <v>15.430000000000001</v>
      </c>
      <c r="Z375" s="385">
        <f t="shared" si="133"/>
        <v>15.748215887070602</v>
      </c>
      <c r="AA375" s="386">
        <f t="shared" si="134"/>
        <v>16.576326961398983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4.995745295425158E-2</v>
      </c>
      <c r="AD375" s="231">
        <f>(INDEX(Models!$BJ375:$BT375,,AH375)*(1-AF375)+INDEX(Models!$BJ375:$BT375,,AH375+1)*AF375-ERP_i)*AE375*Ramure*Pc/MaxiM</f>
        <v>2.4154274212356974E-4</v>
      </c>
      <c r="AE375" s="305">
        <f t="shared" si="136"/>
        <v>0.5</v>
      </c>
      <c r="AF375" s="177">
        <f t="shared" si="137"/>
        <v>0.49738907817389921</v>
      </c>
      <c r="AG375" s="811">
        <f t="shared" si="143"/>
        <v>-1</v>
      </c>
      <c r="AH375" s="176">
        <f t="shared" si="138"/>
        <v>5</v>
      </c>
      <c r="AI375" s="225">
        <f t="shared" si="139"/>
        <v>-0.50261092182610079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7">
        <v>6.2759999999999998</v>
      </c>
      <c r="C376" s="390"/>
      <c r="D376" s="393">
        <f t="shared" si="122"/>
        <v>6.4055714654834057</v>
      </c>
      <c r="E376" s="385">
        <f t="shared" si="144"/>
        <v>6.7428070187051032</v>
      </c>
      <c r="F376" s="385">
        <f t="shared" si="123"/>
        <v>6.7428070187051032</v>
      </c>
      <c r="G376" s="110">
        <f t="shared" si="145"/>
        <v>0.26803155908732157</v>
      </c>
      <c r="H376" s="414" t="b">
        <f>Wh_hp&gt;='2019'!Maxi_hp</f>
        <v>1</v>
      </c>
      <c r="I376" s="380">
        <f>IF(H376,Wh_hp,'2019'!Maxi_hp)</f>
        <v>6.7428070187051032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2.0227932227687262E-2</v>
      </c>
      <c r="M376" s="845"/>
      <c r="N376" s="845"/>
      <c r="O376" s="48">
        <f>IF(t&lt;Tnet,'2019'!Resal+('2019'!Salim-'2019'!Resal)*(1-EXP(('2019'!Tnet-t)/('2019'!Tau_j))),Resal+(Salim-Resal)*(1-EXP((Tnet-t)/(Tau_j))))*Salcycl</f>
        <v>5.0014119088115427E-2</v>
      </c>
      <c r="P376" s="169">
        <f>(INDEX(Models!$BJ376:$BT376,,T376)*(1-R376)+INDEX(Models!$BJ376:$BT376,,T376+1)*R376-ERP_i)*Q376*Ramure*Pc/MaxiM</f>
        <v>2.403987366028482E-4</v>
      </c>
      <c r="Q376" s="305">
        <f t="shared" si="125"/>
        <v>0.5</v>
      </c>
      <c r="R376" s="177">
        <f t="shared" si="126"/>
        <v>0.49738907817389921</v>
      </c>
      <c r="S376" s="811">
        <f t="shared" si="127"/>
        <v>-1</v>
      </c>
      <c r="T376" s="176">
        <f t="shared" si="128"/>
        <v>5</v>
      </c>
      <c r="U376" s="251">
        <f t="shared" si="129"/>
        <v>-0.50261092182610079</v>
      </c>
      <c r="V376" s="383">
        <f t="shared" si="130"/>
        <v>23.409524157880689</v>
      </c>
      <c r="W376" s="402"/>
      <c r="X376" s="157">
        <f t="shared" si="131"/>
        <v>44192</v>
      </c>
      <c r="Y376" s="385">
        <f t="shared" si="132"/>
        <v>6.2759999999999998</v>
      </c>
      <c r="Z376" s="385">
        <f t="shared" si="133"/>
        <v>6.4055714654834057</v>
      </c>
      <c r="AA376" s="386">
        <f t="shared" si="134"/>
        <v>6.7428070187051032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5.0014119088115427E-2</v>
      </c>
      <c r="AD376" s="231">
        <f>(INDEX(Models!$BJ376:$BT376,,AH376)*(1-AF376)+INDEX(Models!$BJ376:$BT376,,AH376+1)*AF376-ERP_i)*AE376*Ramure*Pc/MaxiM</f>
        <v>2.403987366028482E-4</v>
      </c>
      <c r="AE376" s="305">
        <f t="shared" si="136"/>
        <v>0.5</v>
      </c>
      <c r="AF376" s="177">
        <f t="shared" si="137"/>
        <v>0.49738907817389921</v>
      </c>
      <c r="AG376" s="811">
        <f t="shared" si="143"/>
        <v>-1</v>
      </c>
      <c r="AH376" s="176">
        <f t="shared" si="138"/>
        <v>5</v>
      </c>
      <c r="AI376" s="225">
        <f t="shared" si="139"/>
        <v>-0.50261092182610079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7">
        <v>7.2759999999999998</v>
      </c>
      <c r="C377" s="390"/>
      <c r="D377" s="393">
        <f t="shared" si="122"/>
        <v>7.4263796712510386</v>
      </c>
      <c r="E377" s="385">
        <f t="shared" si="144"/>
        <v>7.8178253724756797</v>
      </c>
      <c r="F377" s="385">
        <f t="shared" si="123"/>
        <v>7.8178497187377429</v>
      </c>
      <c r="G377" s="110">
        <f t="shared" si="145"/>
        <v>0.30903852574702301</v>
      </c>
      <c r="H377" s="414" t="b">
        <f>Wh_hp&gt;='2019'!Maxi_hp</f>
        <v>0</v>
      </c>
      <c r="I377" s="380">
        <f>IF(H377,Wh_hp,'2019'!Maxi_hp)</f>
        <v>24.70046719987749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2.0249391750490231E-2</v>
      </c>
      <c r="M377" s="845"/>
      <c r="N377" s="845"/>
      <c r="O377" s="48">
        <f>IF(t&lt;Tnet,'2019'!Resal+('2019'!Salim-'2019'!Resal)*(1-EXP(('2019'!Tnet-t)/('2019'!Tau_j))),Resal+(Salim-Resal)*(1-EXP((Tnet-t)/(Tau_j))))*Salcycl</f>
        <v>5.0070919031116927E-2</v>
      </c>
      <c r="P377" s="169">
        <f>(INDEX(Models!$BJ377:$BT377,,T377)*(1-R377)+INDEX(Models!$BJ377:$BT377,,T377+1)*R377-ERP_i)*Q377*Ramure*Pc/MaxiM</f>
        <v>2.3925017361720919E-4</v>
      </c>
      <c r="Q377" s="305">
        <f t="shared" si="125"/>
        <v>0.5</v>
      </c>
      <c r="R377" s="177">
        <f t="shared" si="126"/>
        <v>0.49738907817389921</v>
      </c>
      <c r="S377" s="811">
        <f t="shared" si="127"/>
        <v>-1</v>
      </c>
      <c r="T377" s="176">
        <f t="shared" si="128"/>
        <v>5</v>
      </c>
      <c r="U377" s="251">
        <f t="shared" si="129"/>
        <v>-0.50261092182610079</v>
      </c>
      <c r="V377" s="383">
        <f t="shared" si="130"/>
        <v>23.538430529468855</v>
      </c>
      <c r="W377" s="402"/>
      <c r="X377" s="157">
        <f t="shared" si="131"/>
        <v>44193</v>
      </c>
      <c r="Y377" s="385">
        <f t="shared" si="132"/>
        <v>7.2759999999999998</v>
      </c>
      <c r="Z377" s="385">
        <f t="shared" si="133"/>
        <v>7.4263796712510386</v>
      </c>
      <c r="AA377" s="386">
        <f t="shared" si="134"/>
        <v>7.8178253724756797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5.0070919031116927E-2</v>
      </c>
      <c r="AD377" s="231">
        <f>(INDEX(Models!$BJ377:$BT377,,AH377)*(1-AF377)+INDEX(Models!$BJ377:$BT377,,AH377+1)*AF377-ERP_i)*AE377*Ramure*Pc/MaxiM</f>
        <v>2.3925017361720919E-4</v>
      </c>
      <c r="AE377" s="305">
        <f t="shared" si="136"/>
        <v>0.5</v>
      </c>
      <c r="AF377" s="177">
        <f t="shared" si="137"/>
        <v>0.49738907817389921</v>
      </c>
      <c r="AG377" s="811">
        <f t="shared" si="143"/>
        <v>-1</v>
      </c>
      <c r="AH377" s="176">
        <f t="shared" si="138"/>
        <v>5</v>
      </c>
      <c r="AI377" s="225">
        <f t="shared" si="139"/>
        <v>-0.50261092182610079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7">
        <v>8.3019999999999996</v>
      </c>
      <c r="C378" s="390"/>
      <c r="D378" s="393">
        <f t="shared" si="122"/>
        <v>8.4737705383235387</v>
      </c>
      <c r="E378" s="385">
        <f t="shared" si="144"/>
        <v>8.920958883905957</v>
      </c>
      <c r="F378" s="385">
        <f t="shared" si="123"/>
        <v>8.9211124436433575</v>
      </c>
      <c r="G378" s="110">
        <f t="shared" si="145"/>
        <v>0.3505261339880486</v>
      </c>
      <c r="H378" s="414" t="b">
        <f>Wh_hp&gt;='2019'!Maxi_hp</f>
        <v>0</v>
      </c>
      <c r="I378" s="380">
        <f>IF(H378,Wh_hp,'2019'!Maxi_hp)</f>
        <v>26.021620495154139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2.0270850803274509E-2</v>
      </c>
      <c r="M378" s="845"/>
      <c r="N378" s="845"/>
      <c r="O378" s="48">
        <f>IF(t&lt;Tnet,'2019'!Resal+('2019'!Salim-'2019'!Resal)*(1-EXP(('2019'!Tnet-t)/('2019'!Tau_j))),Resal+(Salim-Resal)*(1-EXP((Tnet-t)/(Tau_j))))*Salcycl</f>
        <v>5.0127833947220264E-2</v>
      </c>
      <c r="P378" s="169">
        <f>(INDEX(Models!$BJ378:$BT378,,T378)*(1-R378)+INDEX(Models!$BJ378:$BT378,,T378+1)*R378-ERP_i)*Q378*Ramure*Pc/MaxiM</f>
        <v>2.3810862490591399E-4</v>
      </c>
      <c r="Q378" s="305">
        <f t="shared" si="125"/>
        <v>0.5</v>
      </c>
      <c r="R378" s="177">
        <f t="shared" si="126"/>
        <v>0.49738907817389921</v>
      </c>
      <c r="S378" s="811">
        <f t="shared" si="127"/>
        <v>-1</v>
      </c>
      <c r="T378" s="176">
        <f t="shared" si="128"/>
        <v>5</v>
      </c>
      <c r="U378" s="251">
        <f t="shared" si="129"/>
        <v>-0.50261092182610079</v>
      </c>
      <c r="V378" s="383">
        <f t="shared" si="130"/>
        <v>23.679164800371577</v>
      </c>
      <c r="W378" s="402"/>
      <c r="X378" s="157">
        <f t="shared" si="131"/>
        <v>44194</v>
      </c>
      <c r="Y378" s="385">
        <f t="shared" si="132"/>
        <v>8.3019999999999996</v>
      </c>
      <c r="Z378" s="385">
        <f t="shared" si="133"/>
        <v>8.4737705383235387</v>
      </c>
      <c r="AA378" s="386">
        <f t="shared" si="134"/>
        <v>8.920958883905957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5.0127833947220264E-2</v>
      </c>
      <c r="AD378" s="231">
        <f>(INDEX(Models!$BJ378:$BT378,,AH378)*(1-AF378)+INDEX(Models!$BJ378:$BT378,,AH378+1)*AF378-ERP_i)*AE378*Ramure*Pc/MaxiM</f>
        <v>2.3810862490591399E-4</v>
      </c>
      <c r="AE378" s="305">
        <f t="shared" si="136"/>
        <v>0.5</v>
      </c>
      <c r="AF378" s="177">
        <f t="shared" si="137"/>
        <v>0.49738907817389921</v>
      </c>
      <c r="AG378" s="811">
        <f t="shared" si="143"/>
        <v>-1</v>
      </c>
      <c r="AH378" s="176">
        <f t="shared" si="138"/>
        <v>5</v>
      </c>
      <c r="AI378" s="225">
        <f t="shared" si="139"/>
        <v>-0.50261092182610079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7">
        <v>11.332000000000001</v>
      </c>
      <c r="C379" s="390"/>
      <c r="D379" s="393">
        <f t="shared" si="122"/>
        <v>11.566715366803564</v>
      </c>
      <c r="E379" s="385">
        <f t="shared" si="144"/>
        <v>12.17785936964791</v>
      </c>
      <c r="F379" s="385">
        <f t="shared" si="123"/>
        <v>12.178583063833942</v>
      </c>
      <c r="G379" s="110">
        <f t="shared" si="145"/>
        <v>0.47543894406685927</v>
      </c>
      <c r="H379" s="414" t="b">
        <f>Wh_hp&gt;='2019'!Maxi_hp</f>
        <v>0</v>
      </c>
      <c r="I379" s="380">
        <f>IF(H379,Wh_hp,'2019'!Maxi_hp)</f>
        <v>17.944709126593889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2.0292309386050533E-2</v>
      </c>
      <c r="M379" s="845"/>
      <c r="N379" s="845"/>
      <c r="O379" s="48">
        <f>IF(t&lt;Tnet,'2019'!Resal+('2019'!Salim-'2019'!Resal)*(1-EXP(('2019'!Tnet-t)/('2019'!Tau_j))),Resal+(Salim-Resal)*(1-EXP((Tnet-t)/(Tau_j))))*Salcycl</f>
        <v>5.0184846473721172E-2</v>
      </c>
      <c r="P379" s="169">
        <f>(INDEX(Models!$BJ379:$BT379,,T379)*(1-R379)+INDEX(Models!$BJ379:$BT379,,T379+1)*R379-ERP_i)*Q379*Ramure*Pc/MaxiM</f>
        <v>2.3698528374981384E-4</v>
      </c>
      <c r="Q379" s="306">
        <f t="shared" si="125"/>
        <v>0.5</v>
      </c>
      <c r="R379" s="177">
        <f t="shared" si="126"/>
        <v>0.49738907817389921</v>
      </c>
      <c r="S379" s="811">
        <f t="shared" si="127"/>
        <v>-1</v>
      </c>
      <c r="T379" s="176">
        <f t="shared" si="128"/>
        <v>5</v>
      </c>
      <c r="U379" s="307">
        <f t="shared" si="129"/>
        <v>-0.50261092182610079</v>
      </c>
      <c r="V379" s="383">
        <f t="shared" si="130"/>
        <v>23.830584119846218</v>
      </c>
      <c r="W379" s="402"/>
      <c r="X379" s="157">
        <f t="shared" si="131"/>
        <v>44195</v>
      </c>
      <c r="Y379" s="385">
        <f t="shared" si="132"/>
        <v>11.332000000000001</v>
      </c>
      <c r="Z379" s="385">
        <f t="shared" si="133"/>
        <v>11.566715366803564</v>
      </c>
      <c r="AA379" s="386">
        <f t="shared" si="134"/>
        <v>12.17785936964791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5.0184846473721172E-2</v>
      </c>
      <c r="AD379" s="231">
        <f>(INDEX(Models!$BJ379:$BT379,,AH379)*(1-AF379)+INDEX(Models!$BJ379:$BT379,,AH379+1)*AF379-ERP_i)*AE379*Ramure*Pc/MaxiM</f>
        <v>2.3698528374981384E-4</v>
      </c>
      <c r="AE379" s="306">
        <f t="shared" si="136"/>
        <v>0.5</v>
      </c>
      <c r="AF379" s="177">
        <f t="shared" si="137"/>
        <v>0.49738907817389921</v>
      </c>
      <c r="AG379" s="811">
        <f t="shared" si="143"/>
        <v>-1</v>
      </c>
      <c r="AH379" s="176">
        <f t="shared" si="138"/>
        <v>5</v>
      </c>
      <c r="AI379" s="222">
        <f t="shared" si="139"/>
        <v>-0.50261092182610079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8">
        <v>14.01</v>
      </c>
      <c r="C380" s="390"/>
      <c r="D380" s="393">
        <f t="shared" si="122"/>
        <v>14.300496970578022</v>
      </c>
      <c r="E380" s="385">
        <f t="shared" si="144"/>
        <v>15.0569893366748</v>
      </c>
      <c r="F380" s="385">
        <f t="shared" si="123"/>
        <v>15.05843026866239</v>
      </c>
      <c r="G380" s="110">
        <f t="shared" si="145"/>
        <v>0.58387381950195683</v>
      </c>
      <c r="H380" s="414" t="b">
        <f>Wh_hp&gt;='2019'!Maxi_hp</f>
        <v>1</v>
      </c>
      <c r="I380" s="381">
        <f>IF(H380,Wh_hp,'2019'!Maxi_hp)</f>
        <v>15.05843026866239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2.0313767498828406E-2</v>
      </c>
      <c r="M380" s="845"/>
      <c r="N380" s="845"/>
      <c r="O380" s="324">
        <f>IF(t&lt;Tnet,'2019'!Resal+('2019'!Salim-'2019'!Resal)*(1-EXP(('2019'!Tnet-t)/('2019'!Tau_j))),Resal+(Salim-Resal)*(1-EXP((Tnet-t)/(Tau_j))))*Salcycl</f>
        <v>5.0241940748019569E-2</v>
      </c>
      <c r="P380" s="231">
        <f>(INDEX(Models!$BJ380:$BT380,,T380)*(1-R380)+INDEX(Models!$BJ380:$BT380,,T380+1)*R380-ERP_i)*Q380*Ramure*Pc/MaxiM</f>
        <v>2.3589092378278773E-4</v>
      </c>
      <c r="Q380" s="328">
        <f t="shared" si="125"/>
        <v>0.5</v>
      </c>
      <c r="R380" s="314">
        <f>(Hp_vg-S380)/(INDEX(Echel_vg,T380+1)-S380)</f>
        <v>0.49738907817389921</v>
      </c>
      <c r="S380" s="812">
        <f>INDEX(Echel_vg,T380)</f>
        <v>-1</v>
      </c>
      <c r="T380" s="233">
        <f t="shared" si="128"/>
        <v>5</v>
      </c>
      <c r="U380" s="301">
        <f t="shared" si="129"/>
        <v>-0.50261092182610079</v>
      </c>
      <c r="V380" s="383">
        <f t="shared" si="130"/>
        <v>23.991545982433934</v>
      </c>
      <c r="W380" s="402"/>
      <c r="X380" s="326">
        <f t="shared" si="131"/>
        <v>44196</v>
      </c>
      <c r="Y380" s="398">
        <f t="shared" si="132"/>
        <v>14.01</v>
      </c>
      <c r="Z380" s="398">
        <f t="shared" si="133"/>
        <v>14.300496970578022</v>
      </c>
      <c r="AA380" s="399">
        <f t="shared" si="134"/>
        <v>15.0569893366748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5.0241940748019569E-2</v>
      </c>
      <c r="AD380" s="813">
        <f>(INDEX(Models!$BJ380:$BT380,,AH380)*(1-AF380)+INDEX(Models!$BJ380:$BT380,,AH380+1)*AF380-ERP_i)*AE380*Ramure*Pc/MaxiM</f>
        <v>2.3589092378278773E-4</v>
      </c>
      <c r="AE380" s="328">
        <f t="shared" si="136"/>
        <v>0.5</v>
      </c>
      <c r="AF380" s="314">
        <f>(Hp_vg_s-AG380)/(INDEX(Echel_vg,AH380+1)-AG380)</f>
        <v>0.49738907817389921</v>
      </c>
      <c r="AG380" s="812">
        <f>INDEX(Echel_vg,AH380)</f>
        <v>-1</v>
      </c>
      <c r="AH380" s="233">
        <f t="shared" si="138"/>
        <v>5</v>
      </c>
      <c r="AI380" s="227">
        <f t="shared" si="139"/>
        <v>-0.50261092182610079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1.2470000000000001</v>
      </c>
      <c r="C381" s="375"/>
      <c r="D381" s="373">
        <f>MIN(D15:D380)</f>
        <v>1.2633021298980547</v>
      </c>
      <c r="E381" s="373">
        <f>MIN(E15:E380)</f>
        <v>1.301396901680248</v>
      </c>
      <c r="F381" s="374">
        <f>MIN(F15:F380)</f>
        <v>1.301396901680248</v>
      </c>
      <c r="G381" s="125">
        <f>+MIN(G15:G380)</f>
        <v>4.2205459470827288E-2</v>
      </c>
      <c r="H381" s="94"/>
      <c r="I381" s="374">
        <f>MIN(I15:I380)</f>
        <v>6.7428070187051032</v>
      </c>
      <c r="J381" s="57">
        <f>MIN(J15:J380)</f>
        <v>2018</v>
      </c>
      <c r="K381" s="200" t="s">
        <v>7</v>
      </c>
      <c r="L381" s="146">
        <f t="shared" ref="L381:T381" si="146">MIN(L15:L380)</f>
        <v>1.2450251454537375E-2</v>
      </c>
      <c r="M381" s="847"/>
      <c r="N381" s="847"/>
      <c r="O381" s="47">
        <f t="shared" si="146"/>
        <v>2.8498559746523384E-2</v>
      </c>
      <c r="P381" s="168">
        <f t="shared" si="146"/>
        <v>3.2284580539421484E-7</v>
      </c>
      <c r="Q381" s="310">
        <f t="shared" si="146"/>
        <v>0.5</v>
      </c>
      <c r="R381" s="311">
        <f t="shared" si="146"/>
        <v>1.3762138270778657E-4</v>
      </c>
      <c r="S381" s="811">
        <f t="shared" si="146"/>
        <v>-2</v>
      </c>
      <c r="T381" s="176">
        <f t="shared" si="146"/>
        <v>4</v>
      </c>
      <c r="U381" s="252">
        <f>+MIN(U15:U380)</f>
        <v>-1.0026096487899299</v>
      </c>
      <c r="V381" s="373">
        <f>MIN(V15:V380)</f>
        <v>22.884384265696234</v>
      </c>
      <c r="W381" s="804" t="s">
        <v>40</v>
      </c>
      <c r="X381" s="112" t="s">
        <v>7</v>
      </c>
      <c r="Y381" s="375">
        <f>MIN(Y15:Y380)</f>
        <v>1.2470000000000001</v>
      </c>
      <c r="Z381" s="375">
        <f>MIN(Z15:Z380)</f>
        <v>1.2633021298980547</v>
      </c>
      <c r="AA381" s="375">
        <f>MIN(AA15:AA380)</f>
        <v>1.301396901680248</v>
      </c>
      <c r="AB381" s="200" t="s">
        <v>7</v>
      </c>
      <c r="AC381" s="48">
        <f t="shared" ref="AC381:AH381" si="147">MIN(AC15:AC380)</f>
        <v>2.8498559746523384E-2</v>
      </c>
      <c r="AD381" s="169">
        <f t="shared" si="147"/>
        <v>3.2284580539421484E-7</v>
      </c>
      <c r="AE381" s="310">
        <f t="shared" si="147"/>
        <v>0.5</v>
      </c>
      <c r="AF381" s="311">
        <f t="shared" si="147"/>
        <v>1.3762138270778657E-4</v>
      </c>
      <c r="AG381" s="811">
        <f t="shared" si="147"/>
        <v>-2</v>
      </c>
      <c r="AH381" s="176">
        <f t="shared" si="147"/>
        <v>4</v>
      </c>
      <c r="AI381" s="225">
        <f>MIN(AI15:AI380)</f>
        <v>-1.0026096487899299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30.766352459016364</v>
      </c>
      <c r="C382" s="375"/>
      <c r="D382" s="375">
        <f>AVERAGE(D15:D380)</f>
        <v>31.273194827434402</v>
      </c>
      <c r="E382" s="375">
        <f>AVERAGE(E15:E380)</f>
        <v>32.544591318253254</v>
      </c>
      <c r="F382" s="376">
        <f>AVERAGE(F15:F380)</f>
        <v>32.545916167316804</v>
      </c>
      <c r="G382" s="126">
        <f>AVERAGE(G15:G380)</f>
        <v>0.66948699516123678</v>
      </c>
      <c r="H382" s="94"/>
      <c r="I382" s="376">
        <f>AVERAGE(I15:I380)</f>
        <v>40.692461227874709</v>
      </c>
      <c r="J382" s="59">
        <f>AVERAGE(J15:J380)</f>
        <v>2019.2377049180327</v>
      </c>
      <c r="K382" s="200" t="s">
        <v>8</v>
      </c>
      <c r="L382" s="147">
        <f t="shared" ref="L382:V382" si="148">AVERAGE(L15:L380)</f>
        <v>1.6387233874202663E-2</v>
      </c>
      <c r="M382" s="845"/>
      <c r="N382" s="845"/>
      <c r="O382" s="48">
        <f t="shared" si="148"/>
        <v>3.9486562195380506E-2</v>
      </c>
      <c r="P382" s="169">
        <f t="shared" si="148"/>
        <v>7.8287312443104637E-5</v>
      </c>
      <c r="Q382" s="312">
        <f t="shared" si="148"/>
        <v>0.5</v>
      </c>
      <c r="R382" s="177">
        <f t="shared" si="148"/>
        <v>0.38443273271731448</v>
      </c>
      <c r="S382" s="811">
        <f t="shared" si="148"/>
        <v>-1.1065573770491803</v>
      </c>
      <c r="T382" s="176">
        <f t="shared" si="148"/>
        <v>4.8934426229508201</v>
      </c>
      <c r="U382" s="251">
        <f t="shared" si="148"/>
        <v>-0.72212464433186618</v>
      </c>
      <c r="V382" s="375">
        <f t="shared" si="148"/>
        <v>44.405962646530106</v>
      </c>
      <c r="X382" s="112" t="s">
        <v>8</v>
      </c>
      <c r="Y382" s="375">
        <f>AVERAGE(Y15:Y380)</f>
        <v>30.766352459016364</v>
      </c>
      <c r="Z382" s="375">
        <f>AVERAGE(Z15:Z380)</f>
        <v>31.273194827434402</v>
      </c>
      <c r="AA382" s="375">
        <f>AVERAGE(AA15:AA380)</f>
        <v>32.544591318253254</v>
      </c>
      <c r="AB382" s="200" t="s">
        <v>8</v>
      </c>
      <c r="AC382" s="48">
        <f t="shared" ref="AC382:AH382" si="149">AVERAGE(AC15:AC380)</f>
        <v>3.9486562195380506E-2</v>
      </c>
      <c r="AD382" s="169">
        <f t="shared" si="149"/>
        <v>7.8287312443104637E-5</v>
      </c>
      <c r="AE382" s="312">
        <f t="shared" si="149"/>
        <v>0.5</v>
      </c>
      <c r="AF382" s="177">
        <f t="shared" si="149"/>
        <v>0.38443273271731448</v>
      </c>
      <c r="AG382" s="811">
        <f t="shared" si="149"/>
        <v>-1.1065573770491803</v>
      </c>
      <c r="AH382" s="176">
        <f t="shared" si="149"/>
        <v>4.8934426229508201</v>
      </c>
      <c r="AI382" s="225">
        <f>AVERAGE(AI15:AI380)</f>
        <v>-0.72212464433186618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60.713999999999999</v>
      </c>
      <c r="C383" s="377"/>
      <c r="D383" s="377">
        <f>MAX(D15:D380)</f>
        <v>61.664191862182065</v>
      </c>
      <c r="E383" s="377">
        <f>MAX(E15:E380)</f>
        <v>63.966870573397337</v>
      </c>
      <c r="F383" s="378">
        <f>MAX(F15:F380)</f>
        <v>63.972000087795209</v>
      </c>
      <c r="G383" s="127">
        <f>+MAX(G15:G380)</f>
        <v>1.0473273676681727</v>
      </c>
      <c r="H383" s="94"/>
      <c r="I383" s="378">
        <f>MAX(I15:I380)</f>
        <v>66.115436428019962</v>
      </c>
      <c r="J383" s="60">
        <f>MAX(J15:J380)</f>
        <v>2020</v>
      </c>
      <c r="K383" s="200" t="s">
        <v>9</v>
      </c>
      <c r="L383" s="148">
        <f t="shared" ref="L383:T383" si="150">MAX(L15:L380)</f>
        <v>2.0313767498828406E-2</v>
      </c>
      <c r="M383" s="848"/>
      <c r="N383" s="848"/>
      <c r="O383" s="49">
        <f t="shared" si="150"/>
        <v>5.0241940748019569E-2</v>
      </c>
      <c r="P383" s="170">
        <f t="shared" si="150"/>
        <v>2.4937568736181816E-4</v>
      </c>
      <c r="Q383" s="313">
        <f t="shared" si="150"/>
        <v>0.5</v>
      </c>
      <c r="R383" s="314">
        <f t="shared" si="150"/>
        <v>0.99999984492411675</v>
      </c>
      <c r="S383" s="812">
        <f t="shared" si="150"/>
        <v>-1</v>
      </c>
      <c r="T383" s="233">
        <f t="shared" si="150"/>
        <v>5</v>
      </c>
      <c r="U383" s="253">
        <f>+MAX(U15:U380)</f>
        <v>-0.50261092182610079</v>
      </c>
      <c r="V383" s="377">
        <f>MAX(V15:V380)</f>
        <v>60.42572137871764</v>
      </c>
      <c r="X383" s="112" t="s">
        <v>9</v>
      </c>
      <c r="Y383" s="377">
        <f>MAX(Y15:Y380)</f>
        <v>60.713999999999999</v>
      </c>
      <c r="Z383" s="377">
        <f>MAX(Z15:Z380)</f>
        <v>61.664191862182065</v>
      </c>
      <c r="AA383" s="377">
        <f>MAX(AA15:AA380)</f>
        <v>63.966870573397337</v>
      </c>
      <c r="AB383" s="200" t="s">
        <v>9</v>
      </c>
      <c r="AC383" s="49">
        <f t="shared" ref="AC383:AH383" si="151">MAX(AC15:AC380)</f>
        <v>5.0241940748019569E-2</v>
      </c>
      <c r="AD383" s="170">
        <f t="shared" si="151"/>
        <v>2.4937568736181816E-4</v>
      </c>
      <c r="AE383" s="313">
        <f t="shared" si="151"/>
        <v>0.5</v>
      </c>
      <c r="AF383" s="314">
        <f t="shared" si="151"/>
        <v>0.99999984492411675</v>
      </c>
      <c r="AG383" s="812">
        <f t="shared" si="151"/>
        <v>-1</v>
      </c>
      <c r="AH383" s="233">
        <f t="shared" si="151"/>
        <v>5</v>
      </c>
      <c r="AI383" s="227">
        <f>MAX(AI15:AI380)</f>
        <v>-0.50261092182610079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'2020'!An+1</f>
        <v>2021</v>
      </c>
      <c r="K1" s="1271"/>
      <c r="L1" s="113" t="str">
        <f>"Calcul pertes et enveloppes en "&amp;TEXT(An,0)</f>
        <v>Calcul pertes et enveloppes en 2021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2021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407.28757487148368</v>
      </c>
      <c r="AK4" s="834">
        <f>AM12-AK12</f>
        <v>-2.4040267854287145E-2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407.63927244838794</v>
      </c>
      <c r="AA5" s="237">
        <f>Wh_Pvg_s-Wh_Pvg</f>
        <v>-2.4040267854287145E-2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2845.0600000000013</v>
      </c>
      <c r="AK5" s="516">
        <f>SUMIF(AK15:AK380,"VRAI",Wh)</f>
        <v>0</v>
      </c>
      <c r="AL5" s="516">
        <f>SUMIF(AJ15:AJ380,"VRAI",Wh_s)</f>
        <v>2845.0600000000013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8275.0350000000017</v>
      </c>
      <c r="AK6" s="516">
        <f>SUMIF(AK15:AK380,"FAUX",Wh)</f>
        <v>11120.094999999999</v>
      </c>
      <c r="AL6" s="516">
        <f>SUMIF(AJ15:AJ380,"FAUX",Wh_s)</f>
        <v>7867.7141557833038</v>
      </c>
      <c r="AM6" s="516">
        <f>SUMIF(AK15:AK380,"FAUX",Wh_s)</f>
        <v>10712.774155783294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2908.5056729683934</v>
      </c>
      <c r="AK7" s="516">
        <f>SUMIF(AK15:AK380,"VRAI",Wh_sa)</f>
        <v>0</v>
      </c>
      <c r="AL7" s="516">
        <f>SUMIF(AJ15:AJ380,"VRAI",Wh_pvt_s)</f>
        <v>2908.5056729683934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AND(YEAR(Tnet)=An,Resal_2021&lt;&gt;"I")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8486.4575990041521</v>
      </c>
      <c r="AK8" s="516">
        <f>SUMIF(AK15:AK380,"FAUX",Wh_sa)</f>
        <v>11681.988281864275</v>
      </c>
      <c r="AL8" s="516">
        <f>SUMIF(AJ15:AJ380,"FAUX",Wh_pvt_s)</f>
        <v>8068.7619184948635</v>
      </c>
      <c r="AM8" s="516">
        <f>SUMIF(AK15:AK380,"FAUX",Wh_sa_s)</f>
        <v>11681.988281864275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11394.963271972534</v>
      </c>
      <c r="E9" s="184">
        <f>SUM(E$15:E$380)</f>
        <v>11681.988281864275</v>
      </c>
      <c r="F9" s="184">
        <f>SUM(F$15:F$380)</f>
        <v>11682.677758308591</v>
      </c>
      <c r="H9" s="1272">
        <f>+SUM(Wh)</f>
        <v>11120.094999999999</v>
      </c>
      <c r="I9" s="1273"/>
      <c r="J9" s="1274"/>
      <c r="K9" s="191" t="s">
        <v>10</v>
      </c>
      <c r="L9" s="232"/>
      <c r="M9" s="232"/>
      <c r="N9" s="232"/>
      <c r="O9" s="223">
        <f>Tnet_2021</f>
        <v>44307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10712.774155783294</v>
      </c>
      <c r="Y9" s="1267"/>
      <c r="Z9" s="516">
        <f>SUM(Wh_pvt_s)</f>
        <v>10977.267591463256</v>
      </c>
      <c r="AA9" s="516">
        <f>SUM(Wh_sa_s)</f>
        <v>11681.988281864275</v>
      </c>
      <c r="AB9" s="516">
        <f>F9</f>
        <v>11682.677758308591</v>
      </c>
      <c r="AC9" s="325">
        <f>IF(An_Tnet,Tnet,'2020'!Tnet_s)</f>
        <v>44307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3075.4833573360338</v>
      </c>
      <c r="AK9" s="516">
        <f>SUMIF(AK15:AK380,"VRAI",Wh_hp)</f>
        <v>0</v>
      </c>
      <c r="AL9" s="516">
        <f>SUMIF(AJ15:AJ380,"VRAI",Wh_sa_s)</f>
        <v>3075.4833573360338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5.0000000000000001E-3</v>
      </c>
      <c r="P10" s="421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IF(OR(Inflex,GainD),'2020'!Resal_s+('2020'!Salim-'2020'!Resal_s)*(1-EXP(('2020'!Tnet_s-Tnet)/('2020'!Tau_j))),IF(Acti_net,'2020'!Resal+('2020'!Salim-'2020'!Resal)*(1-EXP(('2020'!Tnet-Tnet)/'2020'!Tau_j)),'2020'!Resal_s))</f>
        <v>5.6458731582999952E-2</v>
      </c>
      <c r="AD10" s="428"/>
      <c r="AE10" s="428"/>
      <c r="AF10" s="260"/>
      <c r="AG10" s="261"/>
      <c r="AH10" s="262"/>
      <c r="AI10" s="473"/>
      <c r="AJ10" s="516">
        <f>SUMIF(AJ15:AJ380,"FAUX",Wh_sa)</f>
        <v>8606.5049245282516</v>
      </c>
      <c r="AK10" s="516">
        <f>SUMIF(AK15:AK380,"FAUX",Wh_hp)</f>
        <v>11682.677758308591</v>
      </c>
      <c r="AL10" s="516">
        <f>SUMIF(AJ15:AJ380,"FAUX",Wh_sa_s)</f>
        <v>8606.5049245282516</v>
      </c>
      <c r="AM10" s="516">
        <f>SUMIF(AK15:AK380,"FAUX",Wh_hp)</f>
        <v>11682.677758308591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274.86827197253479</v>
      </c>
      <c r="E11" s="51">
        <f>(E$9-D$9)*Prod_an/D$9</f>
        <v>280.10141859979717</v>
      </c>
      <c r="F11" s="186">
        <f>(F$9-E$9)*Prod_an/E$9</f>
        <v>0.65631323847225664</v>
      </c>
      <c r="G11" s="185" t="s">
        <v>6</v>
      </c>
      <c r="K11" s="194"/>
      <c r="L11" s="211">
        <f>Tvie_2021</f>
        <v>43259</v>
      </c>
      <c r="M11" s="844"/>
      <c r="N11" s="844"/>
      <c r="O11" s="202">
        <f>IF(An_Tnet,Salim_2021,'2020'!Salim)</f>
        <v>0.1</v>
      </c>
      <c r="P11" s="256">
        <f>Ttai_2021</f>
        <v>43101</v>
      </c>
      <c r="Q11" s="272">
        <f>Dens_2021</f>
        <v>0.5</v>
      </c>
      <c r="R11" s="277"/>
      <c r="S11" s="230"/>
      <c r="T11" s="230"/>
      <c r="U11" s="266">
        <f>Htf_2021</f>
        <v>-2.6109218261007872E-3</v>
      </c>
      <c r="V11" s="19"/>
      <c r="W11" s="836"/>
      <c r="X11" s="235" t="s">
        <v>43</v>
      </c>
      <c r="Y11" s="50">
        <f>Z$9-Prod_an_s</f>
        <v>264.4934356799622</v>
      </c>
      <c r="Z11" s="51">
        <f>(AA$9-Z$9)*Prod_an_s/Z$9</f>
        <v>687.74069104818511</v>
      </c>
      <c r="AA11" s="186">
        <f>(AB$9-AA$9)*Prod_an_s/AA$9</f>
        <v>0.6322729706179695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163.33526013107482</v>
      </c>
      <c r="AK11" s="834">
        <f>IF($AK7=0,0,($AK9-$AK7)*$AK5/$AK7)</f>
        <v>0</v>
      </c>
      <c r="AL11" s="833">
        <f>IF($AL7=0,0,($AL9-$AL7)*$AL5/$AL7)</f>
        <v>163.33526013107482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4.6574803264006315E-2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281">
        <f>INDEX(Croivg,MIN(MAX(Ttai-$A$15,0)+1,366))</f>
        <v>2.3909964587625958E-6</v>
      </c>
      <c r="Q12" s="280">
        <f>'2020'!Df</f>
        <v>0.5</v>
      </c>
      <c r="R12" s="278"/>
      <c r="S12" s="279"/>
      <c r="T12" s="279"/>
      <c r="U12" s="267">
        <f>'2020'!Hdf</f>
        <v>-0.50261092182610079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'2020'!Df_s</f>
        <v>0.5</v>
      </c>
      <c r="AF12" s="203"/>
      <c r="AG12" s="203"/>
      <c r="AH12" s="203"/>
      <c r="AI12" s="297">
        <f>'2020'!Hdf_s</f>
        <v>-0.50261092182610079</v>
      </c>
      <c r="AJ12" s="833">
        <f>IF($AJ8=0,0,($AJ10-$AJ8)*$AJ6/$AJ8)</f>
        <v>117.05659384722402</v>
      </c>
      <c r="AK12" s="834">
        <f>IF($AK8=0,0,($AK10-$AK8)*$AK6/$AK8)</f>
        <v>0.65631323847225664</v>
      </c>
      <c r="AL12" s="833">
        <f>IF($AL8=0,0,($AL10-$AL8)*$AL6/$AL8)</f>
        <v>524.34416871870769</v>
      </c>
      <c r="AM12" s="834">
        <f>IF($AM8=0,0,($AM10-$AM8)*$AM6/$AM8)</f>
        <v>0.6322729706179695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273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280.39185397829885</v>
      </c>
      <c r="AK13" s="73">
        <f>+AK11+AK12</f>
        <v>0.65631323847225664</v>
      </c>
      <c r="AL13" s="73">
        <f>+AL11+AL12</f>
        <v>687.67942884978254</v>
      </c>
      <c r="AM13" s="73">
        <f>+AM11+AM12</f>
        <v>0.6322729706179695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2021</v>
      </c>
      <c r="W14" s="838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6">
        <v>7.375</v>
      </c>
      <c r="C15" s="390"/>
      <c r="D15" s="393">
        <f t="shared" ref="D15:D78" si="0">Wh/(1-Ppv)</f>
        <v>7.5280853096571914</v>
      </c>
      <c r="E15" s="400">
        <f t="shared" ref="E15:E79" si="1">Wh_pvt/(1-Psa)</f>
        <v>7.9268128219618337</v>
      </c>
      <c r="F15" s="400">
        <f t="shared" ref="F15:F78" si="2">Wh_sa/(1-Pvg*MEDIAN((-Sdif+Wh/Env_an)/Csdif,0,1))</f>
        <v>7.9268326581697073</v>
      </c>
      <c r="G15" s="123">
        <f>+Wh_hp/MaxiM</f>
        <v>0.30735408525185709</v>
      </c>
      <c r="H15" s="414" t="b">
        <f>Wh_hp&gt;='2020'!Maxi_hp</f>
        <v>0</v>
      </c>
      <c r="I15" s="379">
        <f>IF(H15,Wh_hp,'2020'!Maxi_hp)</f>
        <v>15.303013547150806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2.0335225141618674E-2</v>
      </c>
      <c r="M15" s="845"/>
      <c r="N15" s="845"/>
      <c r="O15" s="48">
        <f>IF(t&lt;Tnet,'2020'!Resal+('2020'!Salim-'2020'!Resal)*(1-EXP(('2020'!Tnet-t)/('2020'!Tau_j))),Resal+(Salim-Resal)*(1-EXP((Tnet-t)/(Tau_j))))*Salcycl</f>
        <v>5.0301113607721076E-2</v>
      </c>
      <c r="P15" s="302">
        <f>(INDEX(Models!$BJ15:$BT15,,T15)*(1-R15)+INDEX(Models!$BJ15:$BT15,,T15+1)*R15-ERP_i)*Q15*Ramure*Pc/MaxiM</f>
        <v>2.35891176273984E-4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0.49739027367212862</v>
      </c>
      <c r="S15" s="810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-0.50260972632787138</v>
      </c>
      <c r="V15" s="382">
        <f t="shared" ref="V15:V78" si="9">MaxiM*(1-Ppv)*(1-Pvg)*(1-Psa)</f>
        <v>23.989525785936827</v>
      </c>
      <c r="W15" s="402"/>
      <c r="X15" s="156">
        <f t="shared" ref="X15:X78" si="10">t</f>
        <v>44197</v>
      </c>
      <c r="Y15" s="385">
        <f t="shared" ref="Y15:Y78" si="11">Wh_pvt_s*(1-Ppv)</f>
        <v>7.375</v>
      </c>
      <c r="Z15" s="385">
        <f t="shared" ref="Z15:Z78" si="12">Wh_sa_s*(1-Psa_s)</f>
        <v>7.5280853096571914</v>
      </c>
      <c r="AA15" s="386">
        <f t="shared" ref="AA15:AA78" si="13">Wh_hp*(1-Pvg_s*MEDIAN((-Sdif+Wh/Env_an)/Csdif,0,1))</f>
        <v>7.9268128219618337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5.0301113607721076E-2</v>
      </c>
      <c r="AD15" s="231">
        <f>(INDEX(Models!$BJ15:$BT15,,AH15)*(1-AF15)+INDEX(Models!$BJ15:$BT15,,AH15+1)*AF15-ERP_i)*AE15*Ramure*Pc/MaxiM</f>
        <v>2.35891176273984E-4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0.49739027367212862</v>
      </c>
      <c r="AG15" s="810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-0.50260972632787138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7">
        <v>4.149</v>
      </c>
      <c r="C16" s="390"/>
      <c r="D16" s="393">
        <f t="shared" si="0"/>
        <v>4.2352149247566091</v>
      </c>
      <c r="E16" s="385">
        <f t="shared" si="1"/>
        <v>4.4598026424843935</v>
      </c>
      <c r="F16" s="385">
        <f t="shared" si="2"/>
        <v>4.4598026424843935</v>
      </c>
      <c r="G16" s="110">
        <f t="shared" ref="G16:G79" si="21">+Wh_hp/MaxiM</f>
        <v>0.17169779832815238</v>
      </c>
      <c r="H16" s="414" t="b">
        <f>Wh_hp&gt;='2020'!Maxi_hp</f>
        <v>0</v>
      </c>
      <c r="I16" s="380">
        <f>IF(H16,Wh_hp,'2020'!Maxi_hp)</f>
        <v>24.297474136240545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2.035668231443144E-2</v>
      </c>
      <c r="M16" s="845"/>
      <c r="N16" s="845"/>
      <c r="O16" s="48">
        <f>IF(t&lt;Tnet,'2020'!Resal+('2020'!Salim-'2020'!Resal)*(1-EXP(('2020'!Tnet-t)/('2020'!Tau_j))),Resal+(Salim-Resal)*(1-EXP((Tnet-t)/(Tau_j))))*Salcycl</f>
        <v>5.0358218901515074E-2</v>
      </c>
      <c r="P16" s="169">
        <f>(INDEX(Models!$BJ16:$BT16,,T16)*(1-R16)+INDEX(Models!$BJ16:$BT16,,T16+1)*R16-ERP_i)*Q16*Ramure*Pc/MaxiM</f>
        <v>2.3458427543393434E-4</v>
      </c>
      <c r="Q16" s="305">
        <f t="shared" si="4"/>
        <v>0.5</v>
      </c>
      <c r="R16" s="177">
        <f t="shared" si="5"/>
        <v>0.49741948828612281</v>
      </c>
      <c r="S16" s="811">
        <f t="shared" si="6"/>
        <v>-1</v>
      </c>
      <c r="T16" s="176">
        <f t="shared" si="7"/>
        <v>5</v>
      </c>
      <c r="U16" s="251">
        <f t="shared" si="8"/>
        <v>-0.50258051171387719</v>
      </c>
      <c r="V16" s="383">
        <f t="shared" si="9"/>
        <v>24.158881186778128</v>
      </c>
      <c r="W16" s="402"/>
      <c r="X16" s="157">
        <f t="shared" si="10"/>
        <v>44198</v>
      </c>
      <c r="Y16" s="385">
        <f t="shared" si="11"/>
        <v>4.149</v>
      </c>
      <c r="Z16" s="385">
        <f t="shared" si="12"/>
        <v>4.2352149247566091</v>
      </c>
      <c r="AA16" s="386">
        <f t="shared" si="13"/>
        <v>4.4598026424843935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5.0358218901515074E-2</v>
      </c>
      <c r="AD16" s="231">
        <f>(INDEX(Models!$BJ16:$BT16,,AH16)*(1-AF16)+INDEX(Models!$BJ16:$BT16,,AH16+1)*AF16-ERP_i)*AE16*Ramure*Pc/MaxiM</f>
        <v>2.3458427543393434E-4</v>
      </c>
      <c r="AE16" s="305">
        <f t="shared" si="15"/>
        <v>0.5</v>
      </c>
      <c r="AF16" s="177">
        <f t="shared" ref="AF16:AF78" si="22">(Hp_vg_s-AG16)/(INDEX(Echel_vg,AH16+1)-AG16)</f>
        <v>0.49741948828612281</v>
      </c>
      <c r="AG16" s="811">
        <f t="shared" ref="AG16:AG79" si="23">INDEX(Echel_vg,AH16)</f>
        <v>-1</v>
      </c>
      <c r="AH16" s="176">
        <f t="shared" si="16"/>
        <v>5</v>
      </c>
      <c r="AI16" s="225">
        <f t="shared" si="17"/>
        <v>-0.50258051171387719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7">
        <v>24.178000000000001</v>
      </c>
      <c r="C17" s="390"/>
      <c r="D17" s="393">
        <f t="shared" si="0"/>
        <v>24.68095186824992</v>
      </c>
      <c r="E17" s="385">
        <f t="shared" si="1"/>
        <v>25.991313802774748</v>
      </c>
      <c r="F17" s="385">
        <f t="shared" si="2"/>
        <v>25.997317089524582</v>
      </c>
      <c r="G17" s="110">
        <f t="shared" si="21"/>
        <v>0.99352580130195089</v>
      </c>
      <c r="H17" s="414" t="b">
        <f>Wh_hp&gt;='2020'!Maxi_hp</f>
        <v>0</v>
      </c>
      <c r="I17" s="380">
        <f>IF(H17,Wh_hp,'2020'!Maxi_hp)</f>
        <v>27.383515682442006</v>
      </c>
      <c r="J17" s="85">
        <f>IF(H17,An,'2020'!An_max)</f>
        <v>2019</v>
      </c>
      <c r="K17" s="197">
        <f t="shared" si="3"/>
        <v>44199</v>
      </c>
      <c r="L17" s="147">
        <f>IF(t&lt;Tvie,1-EXP((T0-t)*PertePVj)+'2020'!Pspv,1-EXP((T0-t)*PertePVj)+Pspv)</f>
        <v>2.037813901727703E-2</v>
      </c>
      <c r="M17" s="845"/>
      <c r="N17" s="845"/>
      <c r="O17" s="48">
        <f>IF(t&lt;Tnet,'2020'!Resal+('2020'!Salim-'2020'!Resal)*(1-EXP(('2020'!Tnet-t)/('2020'!Tau_j))),Resal+(Salim-Resal)*(1-EXP((Tnet-t)/(Tau_j))))*Salcycl</f>
        <v>5.0415378940365005E-2</v>
      </c>
      <c r="P17" s="169">
        <f>(INDEX(Models!$BJ17:$BT17,,T17)*(1-R17)+INDEX(Models!$BJ17:$BT17,,T17+1)*R17-ERP_i)*Q17*Ramure*Pc/MaxiM</f>
        <v>2.3307443118336088E-4</v>
      </c>
      <c r="Q17" s="305">
        <f t="shared" si="4"/>
        <v>0.5</v>
      </c>
      <c r="R17" s="177">
        <f t="shared" si="5"/>
        <v>0.49744992488161244</v>
      </c>
      <c r="S17" s="811">
        <f t="shared" si="6"/>
        <v>-1</v>
      </c>
      <c r="T17" s="176">
        <f t="shared" si="7"/>
        <v>5</v>
      </c>
      <c r="U17" s="251">
        <f t="shared" si="8"/>
        <v>-0.50255007511838756</v>
      </c>
      <c r="V17" s="383">
        <f t="shared" si="9"/>
        <v>24.335500752664974</v>
      </c>
      <c r="W17" s="402"/>
      <c r="X17" s="157">
        <f t="shared" si="10"/>
        <v>44199</v>
      </c>
      <c r="Y17" s="385">
        <f t="shared" si="11"/>
        <v>24.178000000000001</v>
      </c>
      <c r="Z17" s="385">
        <f t="shared" si="12"/>
        <v>24.68095186824992</v>
      </c>
      <c r="AA17" s="386">
        <f t="shared" si="13"/>
        <v>25.991313802774748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5.0415378940365005E-2</v>
      </c>
      <c r="AD17" s="231">
        <f>(INDEX(Models!$BJ17:$BT17,,AH17)*(1-AF17)+INDEX(Models!$BJ17:$BT17,,AH17+1)*AF17-ERP_i)*AE17*Ramure*Pc/MaxiM</f>
        <v>2.3307443118336088E-4</v>
      </c>
      <c r="AE17" s="305">
        <f t="shared" si="15"/>
        <v>0.5</v>
      </c>
      <c r="AF17" s="177">
        <f>(Hp_vg_s-AG17)/(INDEX(Echel_vg,AH17+1)-AG17)</f>
        <v>0.49744992488161244</v>
      </c>
      <c r="AG17" s="811">
        <f>INDEX(Echel_vg,AH17)</f>
        <v>-1</v>
      </c>
      <c r="AH17" s="176">
        <f t="shared" si="16"/>
        <v>5</v>
      </c>
      <c r="AI17" s="225">
        <f t="shared" si="17"/>
        <v>-0.50255007511838756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7">
        <v>20.634</v>
      </c>
      <c r="C18" s="390"/>
      <c r="D18" s="393">
        <f t="shared" si="0"/>
        <v>21.063690766103157</v>
      </c>
      <c r="E18" s="385">
        <f t="shared" si="1"/>
        <v>22.183341286345634</v>
      </c>
      <c r="F18" s="385">
        <f t="shared" si="2"/>
        <v>22.187313085208729</v>
      </c>
      <c r="G18" s="110">
        <f t="shared" si="21"/>
        <v>0.84153335268951457</v>
      </c>
      <c r="H18" s="414" t="b">
        <f>Wh_hp&gt;='2020'!Maxi_hp</f>
        <v>0</v>
      </c>
      <c r="I18" s="380">
        <f>IF(H18,Wh_hp,'2020'!Maxi_hp)</f>
        <v>24.454097030053351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2.039959525016577E-2</v>
      </c>
      <c r="M18" s="845"/>
      <c r="N18" s="845"/>
      <c r="O18" s="48">
        <f>IF(t&lt;Tnet,'2020'!Resal+('2020'!Salim-'2020'!Resal)*(1-EXP(('2020'!Tnet-t)/('2020'!Tau_j))),Resal+(Salim-Resal)*(1-EXP((Tnet-t)/(Tau_j))))*Salcycl</f>
        <v>5.0472582366644959E-2</v>
      </c>
      <c r="P18" s="169">
        <f>(INDEX(Models!$BJ18:$BT18,,T18)*(1-R18)+INDEX(Models!$BJ18:$BT18,,T18+1)*R18-ERP_i)*Q18*Ramure*Pc/MaxiM</f>
        <v>2.3137691101435132E-4</v>
      </c>
      <c r="Q18" s="305">
        <f t="shared" si="4"/>
        <v>0.5</v>
      </c>
      <c r="R18" s="177">
        <f t="shared" si="5"/>
        <v>0.49748163441290749</v>
      </c>
      <c r="S18" s="811">
        <f t="shared" si="6"/>
        <v>-1</v>
      </c>
      <c r="T18" s="176">
        <f t="shared" si="7"/>
        <v>5</v>
      </c>
      <c r="U18" s="251">
        <f t="shared" si="8"/>
        <v>-0.50251836558709251</v>
      </c>
      <c r="V18" s="383">
        <f t="shared" si="9"/>
        <v>24.518243093218643</v>
      </c>
      <c r="W18" s="402"/>
      <c r="X18" s="157">
        <f t="shared" si="10"/>
        <v>44200</v>
      </c>
      <c r="Y18" s="385">
        <f t="shared" si="11"/>
        <v>20.634</v>
      </c>
      <c r="Z18" s="385">
        <f>Wh_sa_s*(1-Psa_s)</f>
        <v>21.063690766103157</v>
      </c>
      <c r="AA18" s="386">
        <f t="shared" si="13"/>
        <v>22.183341286345634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5.0472582366644959E-2</v>
      </c>
      <c r="AD18" s="231">
        <f>(INDEX(Models!$BJ18:$BT18,,AH18)*(1-AF18)+INDEX(Models!$BJ18:$BT18,,AH18+1)*AF18-ERP_i)*AE18*Ramure*Pc/MaxiM</f>
        <v>2.3137691101435132E-4</v>
      </c>
      <c r="AE18" s="305">
        <f t="shared" si="15"/>
        <v>0.5</v>
      </c>
      <c r="AF18" s="177">
        <f t="shared" si="22"/>
        <v>0.49748163441290749</v>
      </c>
      <c r="AG18" s="811">
        <f t="shared" si="23"/>
        <v>-1</v>
      </c>
      <c r="AH18" s="176">
        <f t="shared" si="16"/>
        <v>5</v>
      </c>
      <c r="AI18" s="225">
        <f t="shared" si="17"/>
        <v>-0.50251836558709251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7">
        <v>3.173</v>
      </c>
      <c r="C19" s="390"/>
      <c r="D19" s="393">
        <f t="shared" si="0"/>
        <v>3.2391467816673742</v>
      </c>
      <c r="E19" s="385">
        <f t="shared" si="1"/>
        <v>3.4115308173793029</v>
      </c>
      <c r="F19" s="385">
        <f t="shared" si="2"/>
        <v>3.4115308173793029</v>
      </c>
      <c r="G19" s="110">
        <f t="shared" si="21"/>
        <v>0.12840103590828195</v>
      </c>
      <c r="H19" s="414" t="b">
        <f>Wh_hp&gt;='2020'!Maxi_hp</f>
        <v>0</v>
      </c>
      <c r="I19" s="380">
        <f>IF(H19,Wh_hp,'2020'!Maxi_hp)</f>
        <v>27.046839831733369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2.0421051013107983E-2</v>
      </c>
      <c r="M19" s="845"/>
      <c r="N19" s="845"/>
      <c r="O19" s="48">
        <f>IF(t&lt;Tnet,'2020'!Resal+('2020'!Salim-'2020'!Resal)*(1-EXP(('2020'!Tnet-t)/('2020'!Tau_j))),Resal+(Salim-Resal)*(1-EXP((Tnet-t)/(Tau_j))))*Salcycl</f>
        <v>5.0529819292194425E-2</v>
      </c>
      <c r="P19" s="169">
        <f>(INDEX(Models!$BJ19:$BT19,,T19)*(1-R19)+INDEX(Models!$BJ19:$BT19,,T19+1)*R19-ERP_i)*Q19*Ramure*Pc/MaxiM</f>
        <v>2.2950657961593612E-4</v>
      </c>
      <c r="Q19" s="305">
        <f t="shared" si="4"/>
        <v>0.5</v>
      </c>
      <c r="R19" s="177">
        <f t="shared" si="5"/>
        <v>0.49751466994546922</v>
      </c>
      <c r="S19" s="811">
        <f t="shared" si="6"/>
        <v>-1</v>
      </c>
      <c r="T19" s="176">
        <f t="shared" si="7"/>
        <v>5</v>
      </c>
      <c r="U19" s="251">
        <f t="shared" si="8"/>
        <v>-0.50248533005453078</v>
      </c>
      <c r="V19" s="383">
        <f t="shared" si="9"/>
        <v>24.705967153480461</v>
      </c>
      <c r="W19" s="402"/>
      <c r="X19" s="157">
        <f t="shared" si="10"/>
        <v>44201</v>
      </c>
      <c r="Y19" s="385">
        <f t="shared" si="11"/>
        <v>3.173</v>
      </c>
      <c r="Z19" s="385">
        <f t="shared" si="12"/>
        <v>3.2391467816673742</v>
      </c>
      <c r="AA19" s="386">
        <f t="shared" si="13"/>
        <v>3.4115308173793029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5.0529819292194425E-2</v>
      </c>
      <c r="AD19" s="231">
        <f>(INDEX(Models!$BJ19:$BT19,,AH19)*(1-AF19)+INDEX(Models!$BJ19:$BT19,,AH19+1)*AF19-ERP_i)*AE19*Ramure*Pc/MaxiM</f>
        <v>2.2950657961593612E-4</v>
      </c>
      <c r="AE19" s="305">
        <f t="shared" si="15"/>
        <v>0.5</v>
      </c>
      <c r="AF19" s="177">
        <f t="shared" si="22"/>
        <v>0.49751466994546922</v>
      </c>
      <c r="AG19" s="811">
        <f t="shared" si="23"/>
        <v>-1</v>
      </c>
      <c r="AH19" s="176">
        <f t="shared" si="16"/>
        <v>5</v>
      </c>
      <c r="AI19" s="225">
        <f t="shared" si="17"/>
        <v>-0.50248533005453078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7">
        <v>6.9020000000000001</v>
      </c>
      <c r="C20" s="390"/>
      <c r="D20" s="393">
        <f t="shared" si="0"/>
        <v>7.0460386903608239</v>
      </c>
      <c r="E20" s="385">
        <f t="shared" si="1"/>
        <v>7.4214691534804871</v>
      </c>
      <c r="F20" s="385">
        <f t="shared" si="2"/>
        <v>7.4214691534804871</v>
      </c>
      <c r="G20" s="110">
        <f t="shared" si="21"/>
        <v>0.27715316867781475</v>
      </c>
      <c r="H20" s="414" t="b">
        <f>Wh_hp&gt;='2020'!Maxi_hp</f>
        <v>0</v>
      </c>
      <c r="I20" s="380">
        <f>IF(H20,Wh_hp,'2020'!Maxi_hp)</f>
        <v>26.739364860323523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2.0442506306113883E-2</v>
      </c>
      <c r="M20" s="845"/>
      <c r="N20" s="845"/>
      <c r="O20" s="48">
        <f>IF(t&lt;Tnet,'2020'!Resal+('2020'!Salim-'2020'!Resal)*(1-EXP(('2020'!Tnet-t)/('2020'!Tau_j))),Resal+(Salim-Resal)*(1-EXP((Tnet-t)/(Tau_j))))*Salcycl</f>
        <v>5.0587081257839082E-2</v>
      </c>
      <c r="P20" s="169">
        <f>(INDEX(Models!$BJ20:$BT20,,T20)*(1-R20)+INDEX(Models!$BJ20:$BT20,,T20+1)*R20-ERP_i)*Q20*Ramure*Pc/MaxiM</f>
        <v>2.2747780315709448E-4</v>
      </c>
      <c r="Q20" s="305">
        <f t="shared" si="4"/>
        <v>0.5</v>
      </c>
      <c r="R20" s="177">
        <f t="shared" si="5"/>
        <v>0.49754908674221987</v>
      </c>
      <c r="S20" s="811">
        <f t="shared" si="6"/>
        <v>-1</v>
      </c>
      <c r="T20" s="176">
        <f t="shared" si="7"/>
        <v>5</v>
      </c>
      <c r="U20" s="251">
        <f t="shared" si="8"/>
        <v>-0.50245091325778013</v>
      </c>
      <c r="V20" s="383">
        <f t="shared" si="9"/>
        <v>24.897532224227344</v>
      </c>
      <c r="W20" s="402"/>
      <c r="X20" s="157">
        <f t="shared" si="10"/>
        <v>44202</v>
      </c>
      <c r="Y20" s="385">
        <f t="shared" si="11"/>
        <v>6.9020000000000001</v>
      </c>
      <c r="Z20" s="385">
        <f t="shared" si="12"/>
        <v>7.0460386903608239</v>
      </c>
      <c r="AA20" s="386">
        <f t="shared" si="13"/>
        <v>7.4214691534804871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5.0587081257839082E-2</v>
      </c>
      <c r="AD20" s="231">
        <f>(INDEX(Models!$BJ20:$BT20,,AH20)*(1-AF20)+INDEX(Models!$BJ20:$BT20,,AH20+1)*AF20-ERP_i)*AE20*Ramure*Pc/MaxiM</f>
        <v>2.2747780315709448E-4</v>
      </c>
      <c r="AE20" s="305">
        <f t="shared" si="15"/>
        <v>0.5</v>
      </c>
      <c r="AF20" s="177">
        <f t="shared" si="22"/>
        <v>0.49754908674221987</v>
      </c>
      <c r="AG20" s="811">
        <f t="shared" si="23"/>
        <v>-1</v>
      </c>
      <c r="AH20" s="176">
        <f t="shared" si="16"/>
        <v>5</v>
      </c>
      <c r="AI20" s="225">
        <f t="shared" si="17"/>
        <v>-0.50245091325778013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7">
        <v>13.885</v>
      </c>
      <c r="C21" s="390"/>
      <c r="D21" s="393">
        <f t="shared" si="0"/>
        <v>14.175078250317783</v>
      </c>
      <c r="E21" s="385">
        <f t="shared" si="1"/>
        <v>14.93126250132941</v>
      </c>
      <c r="F21" s="385">
        <f t="shared" si="2"/>
        <v>14.932480243717823</v>
      </c>
      <c r="G21" s="110">
        <f t="shared" si="21"/>
        <v>0.55328852249080784</v>
      </c>
      <c r="H21" s="414" t="b">
        <f>Wh_hp&gt;='2020'!Maxi_hp</f>
        <v>1</v>
      </c>
      <c r="I21" s="380">
        <f>IF(H21,Wh_hp,'2020'!Maxi_hp)</f>
        <v>14.932480243717823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2.0463961129193797E-2</v>
      </c>
      <c r="M21" s="845"/>
      <c r="N21" s="845"/>
      <c r="O21" s="48">
        <f>IF(t&lt;Tnet,'2020'!Resal+('2020'!Salim-'2020'!Resal)*(1-EXP(('2020'!Tnet-t)/('2020'!Tau_j))),Resal+(Salim-Resal)*(1-EXP((Tnet-t)/(Tau_j))))*Salcycl</f>
        <v>5.0644361181400407E-2</v>
      </c>
      <c r="P21" s="169">
        <f>(INDEX(Models!$BJ21:$BT21,,T21)*(1-R21)+INDEX(Models!$BJ21:$BT21,,T21+1)*R21-ERP_i)*Q21*Ramure*Pc/MaxiM</f>
        <v>2.2530437120354998E-4</v>
      </c>
      <c r="Q21" s="305">
        <f t="shared" si="4"/>
        <v>0.5</v>
      </c>
      <c r="R21" s="177">
        <f t="shared" si="5"/>
        <v>0.4975849423532831</v>
      </c>
      <c r="S21" s="811">
        <f t="shared" si="6"/>
        <v>-1</v>
      </c>
      <c r="T21" s="176">
        <f t="shared" si="7"/>
        <v>5</v>
      </c>
      <c r="U21" s="251">
        <f t="shared" si="8"/>
        <v>-0.5024150576467169</v>
      </c>
      <c r="V21" s="383">
        <f t="shared" si="9"/>
        <v>25.091797935711043</v>
      </c>
      <c r="W21" s="402"/>
      <c r="X21" s="157">
        <f t="shared" si="10"/>
        <v>44203</v>
      </c>
      <c r="Y21" s="385">
        <f t="shared" si="11"/>
        <v>13.885</v>
      </c>
      <c r="Z21" s="385">
        <f t="shared" si="12"/>
        <v>14.175078250317783</v>
      </c>
      <c r="AA21" s="386">
        <f t="shared" si="13"/>
        <v>14.93126250132941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5.0644361181400407E-2</v>
      </c>
      <c r="AD21" s="231">
        <f>(INDEX(Models!$BJ21:$BT21,,AH21)*(1-AF21)+INDEX(Models!$BJ21:$BT21,,AH21+1)*AF21-ERP_i)*AE21*Ramure*Pc/MaxiM</f>
        <v>2.2530437120354998E-4</v>
      </c>
      <c r="AE21" s="305">
        <f t="shared" si="15"/>
        <v>0.5</v>
      </c>
      <c r="AF21" s="177">
        <f t="shared" si="22"/>
        <v>0.4975849423532831</v>
      </c>
      <c r="AG21" s="811">
        <f t="shared" si="23"/>
        <v>-1</v>
      </c>
      <c r="AH21" s="176">
        <f t="shared" si="16"/>
        <v>5</v>
      </c>
      <c r="AI21" s="225">
        <f t="shared" si="17"/>
        <v>-0.5024150576467169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7">
        <v>18.895</v>
      </c>
      <c r="C22" s="390"/>
      <c r="D22" s="393">
        <f t="shared" si="0"/>
        <v>19.290167087511787</v>
      </c>
      <c r="E22" s="385">
        <f t="shared" si="1"/>
        <v>20.320447364592134</v>
      </c>
      <c r="F22" s="385">
        <f t="shared" si="2"/>
        <v>20.323342747491672</v>
      </c>
      <c r="G22" s="110">
        <f t="shared" si="21"/>
        <v>0.7471432627584812</v>
      </c>
      <c r="H22" s="414" t="b">
        <f>Wh_hp&gt;='2020'!Maxi_hp</f>
        <v>1</v>
      </c>
      <c r="I22" s="380">
        <f>IF(H22,Wh_hp,'2020'!Maxi_hp)</f>
        <v>20.323342747491672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2.0485415482358049E-2</v>
      </c>
      <c r="M22" s="845"/>
      <c r="N22" s="845"/>
      <c r="O22" s="48">
        <f>IF(t&lt;Tnet,'2020'!Resal+('2020'!Salim-'2020'!Resal)*(1-EXP(('2020'!Tnet-t)/('2020'!Tau_j))),Resal+(Salim-Resal)*(1-EXP((Tnet-t)/(Tau_j))))*Salcycl</f>
        <v>5.0701653295073819E-2</v>
      </c>
      <c r="P22" s="169">
        <f>(INDEX(Models!$BJ22:$BT22,,T22)*(1-R22)+INDEX(Models!$BJ22:$BT22,,T22+1)*R22-ERP_i)*Q22*Ramure*Pc/MaxiM</f>
        <v>2.2299943459933708E-4</v>
      </c>
      <c r="Q22" s="305">
        <f t="shared" si="4"/>
        <v>0.5</v>
      </c>
      <c r="R22" s="177">
        <f t="shared" si="5"/>
        <v>0.49762229670928027</v>
      </c>
      <c r="S22" s="811">
        <f t="shared" si="6"/>
        <v>-1</v>
      </c>
      <c r="T22" s="176">
        <f t="shared" si="7"/>
        <v>5</v>
      </c>
      <c r="U22" s="251">
        <f t="shared" si="8"/>
        <v>-0.50237770329071973</v>
      </c>
      <c r="V22" s="383">
        <f t="shared" si="9"/>
        <v>25.287624266198915</v>
      </c>
      <c r="W22" s="402"/>
      <c r="X22" s="157">
        <f t="shared" si="10"/>
        <v>44204</v>
      </c>
      <c r="Y22" s="385">
        <f t="shared" si="11"/>
        <v>18.895</v>
      </c>
      <c r="Z22" s="385">
        <f t="shared" si="12"/>
        <v>19.290167087511787</v>
      </c>
      <c r="AA22" s="386">
        <f t="shared" si="13"/>
        <v>20.320447364592134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5.0701653295073819E-2</v>
      </c>
      <c r="AD22" s="231">
        <f>(INDEX(Models!$BJ22:$BT22,,AH22)*(1-AF22)+INDEX(Models!$BJ22:$BT22,,AH22+1)*AF22-ERP_i)*AE22*Ramure*Pc/MaxiM</f>
        <v>2.2299943459933708E-4</v>
      </c>
      <c r="AE22" s="305">
        <f t="shared" si="15"/>
        <v>0.5</v>
      </c>
      <c r="AF22" s="177">
        <f t="shared" si="22"/>
        <v>0.49762229670928027</v>
      </c>
      <c r="AG22" s="811">
        <f t="shared" si="23"/>
        <v>-1</v>
      </c>
      <c r="AH22" s="176">
        <f t="shared" si="16"/>
        <v>5</v>
      </c>
      <c r="AI22" s="225">
        <f t="shared" si="17"/>
        <v>-0.50237770329071973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7">
        <v>6.1150000000000002</v>
      </c>
      <c r="C23" s="390"/>
      <c r="D23" s="393">
        <f t="shared" si="0"/>
        <v>6.2430248959883263</v>
      </c>
      <c r="E23" s="385">
        <f t="shared" si="1"/>
        <v>6.5768593933015334</v>
      </c>
      <c r="F23" s="385">
        <f t="shared" si="2"/>
        <v>6.5768593933015334</v>
      </c>
      <c r="G23" s="110">
        <f t="shared" si="21"/>
        <v>0.23986970058724583</v>
      </c>
      <c r="H23" s="414" t="b">
        <f>Wh_hp&gt;='2020'!Maxi_hp</f>
        <v>0</v>
      </c>
      <c r="I23" s="380">
        <f>IF(H23,Wh_hp,'2020'!Maxi_hp)</f>
        <v>26.033603222307448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2.0506869365616853E-2</v>
      </c>
      <c r="M23" s="845"/>
      <c r="N23" s="845"/>
      <c r="O23" s="48">
        <f>IF(t&lt;Tnet,'2020'!Resal+('2020'!Salim-'2020'!Resal)*(1-EXP(('2020'!Tnet-t)/('2020'!Tau_j))),Resal+(Salim-Resal)*(1-EXP((Tnet-t)/(Tau_j))))*Salcycl</f>
        <v>5.0758953073136208E-2</v>
      </c>
      <c r="P23" s="169">
        <f>(INDEX(Models!$BJ23:$BT23,,T23)*(1-R23)+INDEX(Models!$BJ23:$BT23,,T23+1)*R23-ERP_i)*Q23*Ramure*Pc/MaxiM</f>
        <v>2.205450597202447E-4</v>
      </c>
      <c r="Q23" s="305">
        <f t="shared" si="4"/>
        <v>0.5</v>
      </c>
      <c r="R23" s="177">
        <f t="shared" si="5"/>
        <v>0.49766121221831539</v>
      </c>
      <c r="S23" s="811">
        <f t="shared" si="6"/>
        <v>-1</v>
      </c>
      <c r="T23" s="176">
        <f t="shared" si="7"/>
        <v>5</v>
      </c>
      <c r="U23" s="251">
        <f t="shared" si="8"/>
        <v>-0.50233878778168461</v>
      </c>
      <c r="V23" s="383">
        <f t="shared" si="9"/>
        <v>25.487384825980314</v>
      </c>
      <c r="W23" s="402"/>
      <c r="X23" s="157">
        <f t="shared" si="10"/>
        <v>44205</v>
      </c>
      <c r="Y23" s="385">
        <f t="shared" si="11"/>
        <v>6.1150000000000002</v>
      </c>
      <c r="Z23" s="385">
        <f t="shared" si="12"/>
        <v>6.2430248959883263</v>
      </c>
      <c r="AA23" s="386">
        <f t="shared" si="13"/>
        <v>6.5768593933015334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5.0758953073136208E-2</v>
      </c>
      <c r="AD23" s="231">
        <f>(INDEX(Models!$BJ23:$BT23,,AH23)*(1-AF23)+INDEX(Models!$BJ23:$BT23,,AH23+1)*AF23-ERP_i)*AE23*Ramure*Pc/MaxiM</f>
        <v>2.205450597202447E-4</v>
      </c>
      <c r="AE23" s="305">
        <f t="shared" si="15"/>
        <v>0.5</v>
      </c>
      <c r="AF23" s="177">
        <f t="shared" si="22"/>
        <v>0.49766121221831539</v>
      </c>
      <c r="AG23" s="811">
        <f t="shared" si="23"/>
        <v>-1</v>
      </c>
      <c r="AH23" s="176">
        <f t="shared" si="16"/>
        <v>5</v>
      </c>
      <c r="AI23" s="225">
        <f t="shared" si="17"/>
        <v>-0.50233878778168461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7">
        <v>5.4080000000000004</v>
      </c>
      <c r="C24" s="390"/>
      <c r="D24" s="393">
        <f t="shared" si="0"/>
        <v>5.5213439303765357</v>
      </c>
      <c r="E24" s="385">
        <f t="shared" si="1"/>
        <v>5.8169389983483706</v>
      </c>
      <c r="F24" s="385">
        <f t="shared" si="2"/>
        <v>5.8169389983483706</v>
      </c>
      <c r="G24" s="110">
        <f t="shared" si="21"/>
        <v>0.21043074751734622</v>
      </c>
      <c r="H24" s="414" t="b">
        <f>Wh_hp&gt;='2020'!Maxi_hp</f>
        <v>0</v>
      </c>
      <c r="I24" s="380">
        <f>IF(H24,Wh_hp,'2020'!Maxi_hp)</f>
        <v>13.230713123965954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2.0528322778980646E-2</v>
      </c>
      <c r="M24" s="845"/>
      <c r="N24" s="845"/>
      <c r="O24" s="48">
        <f>IF(t&lt;Tnet,'2020'!Resal+('2020'!Salim-'2020'!Resal)*(1-EXP(('2020'!Tnet-t)/('2020'!Tau_j))),Resal+(Salim-Resal)*(1-EXP((Tnet-t)/(Tau_j))))*Salcycl</f>
        <v>5.081625715101442E-2</v>
      </c>
      <c r="P24" s="169">
        <f>(INDEX(Models!$BJ24:$BT24,,T24)*(1-R24)+INDEX(Models!$BJ24:$BT24,,T24+1)*R24-ERP_i)*Q24*Ramure*Pc/MaxiM</f>
        <v>2.1762911321907428E-4</v>
      </c>
      <c r="Q24" s="305">
        <f t="shared" si="4"/>
        <v>0.5</v>
      </c>
      <c r="R24" s="177">
        <f t="shared" si="5"/>
        <v>0.49770175386678495</v>
      </c>
      <c r="S24" s="811">
        <f t="shared" si="6"/>
        <v>-1</v>
      </c>
      <c r="T24" s="176">
        <f t="shared" si="7"/>
        <v>5</v>
      </c>
      <c r="U24" s="251">
        <f t="shared" si="8"/>
        <v>-0.50229824613321505</v>
      </c>
      <c r="V24" s="383">
        <f t="shared" si="9"/>
        <v>25.694073349760902</v>
      </c>
      <c r="W24" s="402"/>
      <c r="X24" s="157">
        <f t="shared" si="10"/>
        <v>44206</v>
      </c>
      <c r="Y24" s="385">
        <f t="shared" si="11"/>
        <v>5.4080000000000004</v>
      </c>
      <c r="Z24" s="385">
        <f t="shared" si="12"/>
        <v>5.5213439303765357</v>
      </c>
      <c r="AA24" s="386">
        <f t="shared" si="13"/>
        <v>5.8169389983483706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5.081625715101442E-2</v>
      </c>
      <c r="AD24" s="231">
        <f>(INDEX(Models!$BJ24:$BT24,,AH24)*(1-AF24)+INDEX(Models!$BJ24:$BT24,,AH24+1)*AF24-ERP_i)*AE24*Ramure*Pc/MaxiM</f>
        <v>2.1762911321907428E-4</v>
      </c>
      <c r="AE24" s="305">
        <f t="shared" si="15"/>
        <v>0.5</v>
      </c>
      <c r="AF24" s="177">
        <f t="shared" si="22"/>
        <v>0.49770175386678495</v>
      </c>
      <c r="AG24" s="811">
        <f t="shared" si="23"/>
        <v>-1</v>
      </c>
      <c r="AH24" s="176">
        <f t="shared" si="16"/>
        <v>5</v>
      </c>
      <c r="AI24" s="225">
        <f t="shared" si="17"/>
        <v>-0.50229824613321505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7">
        <v>5.1980000000000004</v>
      </c>
      <c r="C25" s="390"/>
      <c r="D25" s="393">
        <f t="shared" si="0"/>
        <v>5.3070588695144121</v>
      </c>
      <c r="E25" s="385">
        <f t="shared" si="1"/>
        <v>5.5915193845122211</v>
      </c>
      <c r="F25" s="385">
        <f t="shared" si="2"/>
        <v>5.5915193845122211</v>
      </c>
      <c r="G25" s="110">
        <f t="shared" si="21"/>
        <v>0.20059413086720806</v>
      </c>
      <c r="H25" s="414" t="b">
        <f>Wh_hp&gt;='2020'!Maxi_hp</f>
        <v>0</v>
      </c>
      <c r="I25" s="380">
        <f>IF(H25,Wh_hp,'2020'!Maxi_hp)</f>
        <v>27.813177241518638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2.054977572245964E-2</v>
      </c>
      <c r="M25" s="845"/>
      <c r="N25" s="845"/>
      <c r="O25" s="48">
        <f>IF(t&lt;Tnet,'2020'!Resal+('2020'!Salim-'2020'!Resal)*(1-EXP(('2020'!Tnet-t)/('2020'!Tau_j))),Resal+(Salim-Resal)*(1-EXP((Tnet-t)/(Tau_j))))*Salcycl</f>
        <v>5.0873563236806085E-2</v>
      </c>
      <c r="P25" s="169">
        <f>(INDEX(Models!$BJ25:$BT25,,T25)*(1-R25)+INDEX(Models!$BJ25:$BT25,,T25+1)*R25-ERP_i)*Q25*Ramure*Pc/MaxiM</f>
        <v>2.1417084822291594E-4</v>
      </c>
      <c r="Q25" s="305">
        <f t="shared" si="4"/>
        <v>0.5</v>
      </c>
      <c r="R25" s="177">
        <f t="shared" si="5"/>
        <v>0.49774398932415098</v>
      </c>
      <c r="S25" s="811">
        <f t="shared" si="6"/>
        <v>-1</v>
      </c>
      <c r="T25" s="176">
        <f t="shared" si="7"/>
        <v>5</v>
      </c>
      <c r="U25" s="251">
        <f t="shared" si="8"/>
        <v>-0.50225601067584902</v>
      </c>
      <c r="V25" s="383">
        <f t="shared" si="9"/>
        <v>25.90747155693823</v>
      </c>
      <c r="W25" s="402"/>
      <c r="X25" s="157">
        <f t="shared" si="10"/>
        <v>44207</v>
      </c>
      <c r="Y25" s="385">
        <f t="shared" si="11"/>
        <v>5.1980000000000004</v>
      </c>
      <c r="Z25" s="385">
        <f t="shared" si="12"/>
        <v>5.3070588695144121</v>
      </c>
      <c r="AA25" s="386">
        <f t="shared" si="13"/>
        <v>5.5915193845122211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5.0873563236806085E-2</v>
      </c>
      <c r="AD25" s="231">
        <f>(INDEX(Models!$BJ25:$BT25,,AH25)*(1-AF25)+INDEX(Models!$BJ25:$BT25,,AH25+1)*AF25-ERP_i)*AE25*Ramure*Pc/MaxiM</f>
        <v>2.1417084822291594E-4</v>
      </c>
      <c r="AE25" s="305">
        <f t="shared" si="15"/>
        <v>0.5</v>
      </c>
      <c r="AF25" s="177">
        <f t="shared" si="22"/>
        <v>0.49774398932415098</v>
      </c>
      <c r="AG25" s="811">
        <f t="shared" si="23"/>
        <v>-1</v>
      </c>
      <c r="AH25" s="176">
        <f t="shared" si="16"/>
        <v>5</v>
      </c>
      <c r="AI25" s="225">
        <f t="shared" si="17"/>
        <v>-0.50225601067584902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7">
        <v>11.788</v>
      </c>
      <c r="C26" s="390"/>
      <c r="D26" s="393">
        <f t="shared" si="0"/>
        <v>12.035586802589608</v>
      </c>
      <c r="E26" s="385">
        <f t="shared" si="1"/>
        <v>12.681464839971653</v>
      </c>
      <c r="F26" s="385">
        <f t="shared" si="2"/>
        <v>12.682040513618668</v>
      </c>
      <c r="G26" s="110">
        <f t="shared" si="21"/>
        <v>0.45110022135821626</v>
      </c>
      <c r="H26" s="414" t="b">
        <f>Wh_hp&gt;='2020'!Maxi_hp</f>
        <v>0</v>
      </c>
      <c r="I26" s="380">
        <f>IF(H26,Wh_hp,'2020'!Maxi_hp)</f>
        <v>27.969146072299974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2.0571228196064051E-2</v>
      </c>
      <c r="M26" s="845"/>
      <c r="N26" s="845"/>
      <c r="O26" s="48">
        <f>IF(t&lt;Tnet,'2020'!Resal+('2020'!Salim-'2020'!Resal)*(1-EXP(('2020'!Tnet-t)/('2020'!Tau_j))),Resal+(Salim-Resal)*(1-EXP((Tnet-t)/(Tau_j))))*Salcycl</f>
        <v>5.0930870016392342E-2</v>
      </c>
      <c r="P26" s="169">
        <f>(INDEX(Models!$BJ26:$BT26,,T26)*(1-R26)+INDEX(Models!$BJ26:$BT26,,T26+1)*R26-ERP_i)*Q26*Ramure*Pc/MaxiM</f>
        <v>2.1018731094451574E-4</v>
      </c>
      <c r="Q26" s="305">
        <f t="shared" si="4"/>
        <v>0.5</v>
      </c>
      <c r="R26" s="177">
        <f t="shared" si="5"/>
        <v>0.49778798905182209</v>
      </c>
      <c r="S26" s="811">
        <f t="shared" si="6"/>
        <v>-1</v>
      </c>
      <c r="T26" s="176">
        <f t="shared" si="7"/>
        <v>5</v>
      </c>
      <c r="U26" s="251">
        <f t="shared" si="8"/>
        <v>-0.50221201094817791</v>
      </c>
      <c r="V26" s="383">
        <f t="shared" si="9"/>
        <v>26.127358747309721</v>
      </c>
      <c r="W26" s="402"/>
      <c r="X26" s="157">
        <f t="shared" si="10"/>
        <v>44208</v>
      </c>
      <c r="Y26" s="385">
        <f t="shared" si="11"/>
        <v>11.788</v>
      </c>
      <c r="Z26" s="385">
        <f t="shared" si="12"/>
        <v>12.035586802589608</v>
      </c>
      <c r="AA26" s="386">
        <f t="shared" si="13"/>
        <v>12.681464839971653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5.0930870016392342E-2</v>
      </c>
      <c r="AD26" s="231">
        <f>(INDEX(Models!$BJ26:$BT26,,AH26)*(1-AF26)+INDEX(Models!$BJ26:$BT26,,AH26+1)*AF26-ERP_i)*AE26*Ramure*Pc/MaxiM</f>
        <v>2.1018731094451574E-4</v>
      </c>
      <c r="AE26" s="305">
        <f t="shared" si="15"/>
        <v>0.5</v>
      </c>
      <c r="AF26" s="177">
        <f t="shared" si="22"/>
        <v>0.49778798905182209</v>
      </c>
      <c r="AG26" s="811">
        <f t="shared" si="23"/>
        <v>-1</v>
      </c>
      <c r="AH26" s="176">
        <f t="shared" si="16"/>
        <v>5</v>
      </c>
      <c r="AI26" s="225">
        <f t="shared" si="17"/>
        <v>-0.50221201094817791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7">
        <v>9.4710000000000001</v>
      </c>
      <c r="C27" s="390"/>
      <c r="D27" s="393">
        <f t="shared" si="0"/>
        <v>9.670133976466639</v>
      </c>
      <c r="E27" s="385">
        <f t="shared" si="1"/>
        <v>10.189687570425493</v>
      </c>
      <c r="F27" s="385">
        <f t="shared" si="2"/>
        <v>10.189865380507616</v>
      </c>
      <c r="G27" s="110">
        <f t="shared" si="21"/>
        <v>0.35931515609241987</v>
      </c>
      <c r="H27" s="414" t="b">
        <f>Wh_hp&gt;='2020'!Maxi_hp</f>
        <v>0</v>
      </c>
      <c r="I27" s="380">
        <f>IF(H27,Wh_hp,'2020'!Maxi_hp)</f>
        <v>16.029400800100351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2.0592680199804203E-2</v>
      </c>
      <c r="M27" s="845"/>
      <c r="N27" s="845"/>
      <c r="O27" s="48">
        <f>IF(t&lt;Tnet,'2020'!Resal+('2020'!Salim-'2020'!Resal)*(1-EXP(('2020'!Tnet-t)/('2020'!Tau_j))),Resal+(Salim-Resal)*(1-EXP((Tnet-t)/(Tau_j))))*Salcycl</f>
        <v>5.0988177053318526E-2</v>
      </c>
      <c r="P27" s="169">
        <f>(INDEX(Models!$BJ27:$BT27,,T27)*(1-R27)+INDEX(Models!$BJ27:$BT27,,T27+1)*R27-ERP_i)*Q27*Ramure*Pc/MaxiM</f>
        <v>2.0569570992392627E-4</v>
      </c>
      <c r="Q27" s="305">
        <f t="shared" si="4"/>
        <v>0.5</v>
      </c>
      <c r="R27" s="177">
        <f t="shared" si="5"/>
        <v>0.49783382641629115</v>
      </c>
      <c r="S27" s="811">
        <f t="shared" si="6"/>
        <v>-1</v>
      </c>
      <c r="T27" s="176">
        <f t="shared" si="7"/>
        <v>5</v>
      </c>
      <c r="U27" s="251">
        <f t="shared" si="8"/>
        <v>-0.50216617358370885</v>
      </c>
      <c r="V27" s="383">
        <f t="shared" si="9"/>
        <v>26.353514262788909</v>
      </c>
      <c r="W27" s="402"/>
      <c r="X27" s="157">
        <f t="shared" si="10"/>
        <v>44209</v>
      </c>
      <c r="Y27" s="385">
        <f t="shared" si="11"/>
        <v>9.4710000000000001</v>
      </c>
      <c r="Z27" s="385">
        <f t="shared" si="12"/>
        <v>9.670133976466639</v>
      </c>
      <c r="AA27" s="386">
        <f t="shared" si="13"/>
        <v>10.189687570425493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5.0988177053318526E-2</v>
      </c>
      <c r="AD27" s="231">
        <f>(INDEX(Models!$BJ27:$BT27,,AH27)*(1-AF27)+INDEX(Models!$BJ27:$BT27,,AH27+1)*AF27-ERP_i)*AE27*Ramure*Pc/MaxiM</f>
        <v>2.0569570992392627E-4</v>
      </c>
      <c r="AE27" s="305">
        <f t="shared" si="15"/>
        <v>0.5</v>
      </c>
      <c r="AF27" s="177">
        <f t="shared" si="22"/>
        <v>0.49783382641629115</v>
      </c>
      <c r="AG27" s="811">
        <f t="shared" si="23"/>
        <v>-1</v>
      </c>
      <c r="AH27" s="176">
        <f t="shared" si="16"/>
        <v>5</v>
      </c>
      <c r="AI27" s="225">
        <f t="shared" si="17"/>
        <v>-0.50216617358370885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7">
        <v>11.904</v>
      </c>
      <c r="C28" s="390"/>
      <c r="D28" s="393">
        <f t="shared" si="0"/>
        <v>12.154555610519719</v>
      </c>
      <c r="E28" s="385">
        <f t="shared" si="1"/>
        <v>12.808364799740183</v>
      </c>
      <c r="F28" s="385">
        <f t="shared" si="2"/>
        <v>12.808907481021809</v>
      </c>
      <c r="G28" s="110">
        <f t="shared" si="21"/>
        <v>0.44768831128363806</v>
      </c>
      <c r="H28" s="414" t="b">
        <f>Wh_hp&gt;='2020'!Maxi_hp</f>
        <v>0</v>
      </c>
      <c r="I28" s="380">
        <f>IF(H28,Wh_hp,'2020'!Maxi_hp)</f>
        <v>27.813666688911876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2.0614131733690422E-2</v>
      </c>
      <c r="M28" s="845"/>
      <c r="N28" s="845"/>
      <c r="O28" s="48">
        <f>IF(t&lt;Tnet,'2020'!Resal+('2020'!Salim-'2020'!Resal)*(1-EXP(('2020'!Tnet-t)/('2020'!Tau_j))),Resal+(Salim-Resal)*(1-EXP((Tnet-t)/(Tau_j))))*Salcycl</f>
        <v>5.1045484684643379E-2</v>
      </c>
      <c r="P28" s="169">
        <f>(INDEX(Models!$BJ28:$BT28,,T28)*(1-R28)+INDEX(Models!$BJ28:$BT28,,T28+1)*R28-ERP_i)*Q28*Ramure*Pc/MaxiM</f>
        <v>2.0071333069611181E-4</v>
      </c>
      <c r="Q28" s="305">
        <f t="shared" si="4"/>
        <v>0.5</v>
      </c>
      <c r="R28" s="177">
        <f t="shared" si="5"/>
        <v>0.49788157780668063</v>
      </c>
      <c r="S28" s="811">
        <f t="shared" si="6"/>
        <v>-1</v>
      </c>
      <c r="T28" s="176">
        <f t="shared" si="7"/>
        <v>5</v>
      </c>
      <c r="U28" s="251">
        <f t="shared" si="8"/>
        <v>-0.50211842219331937</v>
      </c>
      <c r="V28" s="383">
        <f t="shared" si="9"/>
        <v>26.585717498726808</v>
      </c>
      <c r="W28" s="402"/>
      <c r="X28" s="157">
        <f t="shared" si="10"/>
        <v>44210</v>
      </c>
      <c r="Y28" s="385">
        <f t="shared" si="11"/>
        <v>11.904</v>
      </c>
      <c r="Z28" s="385">
        <f t="shared" si="12"/>
        <v>12.154555610519719</v>
      </c>
      <c r="AA28" s="386">
        <f t="shared" si="13"/>
        <v>12.808364799740183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5.1045484684643379E-2</v>
      </c>
      <c r="AD28" s="231">
        <f>(INDEX(Models!$BJ28:$BT28,,AH28)*(1-AF28)+INDEX(Models!$BJ28:$BT28,,AH28+1)*AF28-ERP_i)*AE28*Ramure*Pc/MaxiM</f>
        <v>2.0071333069611181E-4</v>
      </c>
      <c r="AE28" s="305">
        <f t="shared" si="15"/>
        <v>0.5</v>
      </c>
      <c r="AF28" s="177">
        <f t="shared" si="22"/>
        <v>0.49788157780668063</v>
      </c>
      <c r="AG28" s="811">
        <f t="shared" si="23"/>
        <v>-1</v>
      </c>
      <c r="AH28" s="176">
        <f t="shared" si="16"/>
        <v>5</v>
      </c>
      <c r="AI28" s="225">
        <f t="shared" si="17"/>
        <v>-0.50211842219331937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7">
        <v>18.346</v>
      </c>
      <c r="C29" s="390"/>
      <c r="D29" s="393">
        <f t="shared" si="0"/>
        <v>18.732557235853733</v>
      </c>
      <c r="E29" s="385">
        <f t="shared" si="1"/>
        <v>19.741397820234887</v>
      </c>
      <c r="F29" s="385">
        <f t="shared" si="2"/>
        <v>19.743512304007012</v>
      </c>
      <c r="G29" s="110">
        <f t="shared" si="21"/>
        <v>0.68388588039517695</v>
      </c>
      <c r="H29" s="414" t="b">
        <f>Wh_hp&gt;='2020'!Maxi_hp</f>
        <v>0</v>
      </c>
      <c r="I29" s="380">
        <f>IF(H29,Wh_hp,'2020'!Maxi_hp)</f>
        <v>29.067033141157783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2.0635582797733032E-2</v>
      </c>
      <c r="M29" s="845"/>
      <c r="N29" s="845"/>
      <c r="O29" s="48">
        <f>IF(t&lt;Tnet,'2020'!Resal+('2020'!Salim-'2020'!Resal)*(1-EXP(('2020'!Tnet-t)/('2020'!Tau_j))),Resal+(Salim-Resal)*(1-EXP((Tnet-t)/(Tau_j))))*Salcycl</f>
        <v>5.1102793913969678E-2</v>
      </c>
      <c r="P29" s="169">
        <f>(INDEX(Models!$BJ29:$BT29,,T29)*(1-R29)+INDEX(Models!$BJ29:$BT29,,T29+1)*R29-ERP_i)*Q29*Ramure*Pc/MaxiM</f>
        <v>1.9525745611110383E-4</v>
      </c>
      <c r="Q29" s="305">
        <f t="shared" si="4"/>
        <v>0.5</v>
      </c>
      <c r="R29" s="177">
        <f t="shared" si="5"/>
        <v>0.49793132275685292</v>
      </c>
      <c r="S29" s="811">
        <f t="shared" si="6"/>
        <v>-1</v>
      </c>
      <c r="T29" s="176">
        <f t="shared" si="7"/>
        <v>5</v>
      </c>
      <c r="U29" s="251">
        <f t="shared" si="8"/>
        <v>-0.50206867724314708</v>
      </c>
      <c r="V29" s="383">
        <f t="shared" si="9"/>
        <v>26.823747898351602</v>
      </c>
      <c r="W29" s="402"/>
      <c r="X29" s="157">
        <f t="shared" si="10"/>
        <v>44211</v>
      </c>
      <c r="Y29" s="385">
        <f t="shared" si="11"/>
        <v>18.346</v>
      </c>
      <c r="Z29" s="385">
        <f t="shared" si="12"/>
        <v>18.732557235853733</v>
      </c>
      <c r="AA29" s="386">
        <f t="shared" si="13"/>
        <v>19.741397820234887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5.1102793913969678E-2</v>
      </c>
      <c r="AD29" s="231">
        <f>(INDEX(Models!$BJ29:$BT29,,AH29)*(1-AF29)+INDEX(Models!$BJ29:$BT29,,AH29+1)*AF29-ERP_i)*AE29*Ramure*Pc/MaxiM</f>
        <v>1.9525745611110383E-4</v>
      </c>
      <c r="AE29" s="305">
        <f t="shared" si="15"/>
        <v>0.5</v>
      </c>
      <c r="AF29" s="177">
        <f t="shared" si="22"/>
        <v>0.49793132275685292</v>
      </c>
      <c r="AG29" s="811">
        <f t="shared" si="23"/>
        <v>-1</v>
      </c>
      <c r="AH29" s="176">
        <f t="shared" si="16"/>
        <v>5</v>
      </c>
      <c r="AI29" s="225">
        <f t="shared" si="17"/>
        <v>-0.50206867724314708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7">
        <v>17.856999999999999</v>
      </c>
      <c r="C30" s="390"/>
      <c r="D30" s="393">
        <f t="shared" si="0"/>
        <v>18.233653182651118</v>
      </c>
      <c r="E30" s="385">
        <f t="shared" si="1"/>
        <v>19.216785997060217</v>
      </c>
      <c r="F30" s="385">
        <f t="shared" si="2"/>
        <v>19.218656665855761</v>
      </c>
      <c r="G30" s="110">
        <f t="shared" si="21"/>
        <v>0.65966316504967104</v>
      </c>
      <c r="H30" s="414" t="b">
        <f>Wh_hp&gt;='2020'!Maxi_hp</f>
        <v>0</v>
      </c>
      <c r="I30" s="380">
        <f>IF(H30,Wh_hp,'2020'!Maxi_hp)</f>
        <v>29.178076379468706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2.0657033391942248E-2</v>
      </c>
      <c r="M30" s="845"/>
      <c r="N30" s="845"/>
      <c r="O30" s="48">
        <f>IF(t&lt;Tnet,'2020'!Resal+('2020'!Salim-'2020'!Resal)*(1-EXP(('2020'!Tnet-t)/('2020'!Tau_j))),Resal+(Salim-Resal)*(1-EXP((Tnet-t)/(Tau_j))))*Salcycl</f>
        <v>5.1160106302869789E-2</v>
      </c>
      <c r="P30" s="169">
        <f>(INDEX(Models!$BJ30:$BT30,,T30)*(1-R30)+INDEX(Models!$BJ30:$BT30,,T30+1)*R30-ERP_i)*Q30*Ramure*Pc/MaxiM</f>
        <v>1.8940986874572103E-4</v>
      </c>
      <c r="Q30" s="305">
        <f t="shared" si="4"/>
        <v>0.5</v>
      </c>
      <c r="R30" s="177">
        <f t="shared" si="5"/>
        <v>0.4979831440722462</v>
      </c>
      <c r="S30" s="811">
        <f t="shared" si="6"/>
        <v>-1</v>
      </c>
      <c r="T30" s="176">
        <f t="shared" si="7"/>
        <v>5</v>
      </c>
      <c r="U30" s="251">
        <f t="shared" si="8"/>
        <v>-0.5020168559277538</v>
      </c>
      <c r="V30" s="383">
        <f t="shared" si="9"/>
        <v>27.067383210709242</v>
      </c>
      <c r="W30" s="402"/>
      <c r="X30" s="157">
        <f t="shared" si="10"/>
        <v>44212</v>
      </c>
      <c r="Y30" s="385">
        <f t="shared" si="11"/>
        <v>17.856999999999999</v>
      </c>
      <c r="Z30" s="385">
        <f t="shared" si="12"/>
        <v>18.233653182651118</v>
      </c>
      <c r="AA30" s="386">
        <f t="shared" si="13"/>
        <v>19.216785997060217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5.1160106302869789E-2</v>
      </c>
      <c r="AD30" s="231">
        <f>(INDEX(Models!$BJ30:$BT30,,AH30)*(1-AF30)+INDEX(Models!$BJ30:$BT30,,AH30+1)*AF30-ERP_i)*AE30*Ramure*Pc/MaxiM</f>
        <v>1.8940986874572103E-4</v>
      </c>
      <c r="AE30" s="305">
        <f t="shared" si="15"/>
        <v>0.5</v>
      </c>
      <c r="AF30" s="177">
        <f t="shared" si="22"/>
        <v>0.4979831440722462</v>
      </c>
      <c r="AG30" s="811">
        <f t="shared" si="23"/>
        <v>-1</v>
      </c>
      <c r="AH30" s="176">
        <f t="shared" si="16"/>
        <v>5</v>
      </c>
      <c r="AI30" s="225">
        <f t="shared" si="17"/>
        <v>-0.5020168559277538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7">
        <v>8.2430000000000003</v>
      </c>
      <c r="C31" s="390"/>
      <c r="D31" s="393">
        <f t="shared" si="0"/>
        <v>8.4170518683150348</v>
      </c>
      <c r="E31" s="385">
        <f t="shared" si="1"/>
        <v>8.8714233165786567</v>
      </c>
      <c r="F31" s="385">
        <f t="shared" si="2"/>
        <v>8.8714274081415194</v>
      </c>
      <c r="G31" s="110">
        <f t="shared" si="21"/>
        <v>0.30170494274568976</v>
      </c>
      <c r="H31" s="414" t="b">
        <f>Wh_hp&gt;='2020'!Maxi_hp</f>
        <v>0</v>
      </c>
      <c r="I31" s="380">
        <f>IF(H31,Wh_hp,'2020'!Maxi_hp)</f>
        <v>10.666947833504928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2.0678483516328505E-2</v>
      </c>
      <c r="M31" s="845"/>
      <c r="N31" s="845"/>
      <c r="O31" s="48">
        <f>IF(t&lt;Tnet,'2020'!Resal+('2020'!Salim-'2020'!Resal)*(1-EXP(('2020'!Tnet-t)/('2020'!Tau_j))),Resal+(Salim-Resal)*(1-EXP((Tnet-t)/(Tau_j))))*Salcycl</f>
        <v>5.1217423861907925E-2</v>
      </c>
      <c r="P31" s="169">
        <f>(INDEX(Models!$BJ31:$BT31,,T31)*(1-R31)+INDEX(Models!$BJ31:$BT31,,T31+1)*R31-ERP_i)*Q31*Ramure*Pc/MaxiM</f>
        <v>1.8341868670250792E-4</v>
      </c>
      <c r="Q31" s="305">
        <f t="shared" si="4"/>
        <v>0.5</v>
      </c>
      <c r="R31" s="177">
        <f t="shared" si="5"/>
        <v>0.49803712796160038</v>
      </c>
      <c r="S31" s="811">
        <f t="shared" si="6"/>
        <v>-1</v>
      </c>
      <c r="T31" s="176">
        <f t="shared" si="7"/>
        <v>5</v>
      </c>
      <c r="U31" s="251">
        <f t="shared" si="8"/>
        <v>-0.50196287203839962</v>
      </c>
      <c r="V31" s="383">
        <f t="shared" si="9"/>
        <v>27.31639662842597</v>
      </c>
      <c r="W31" s="402"/>
      <c r="X31" s="157">
        <f t="shared" si="10"/>
        <v>44213</v>
      </c>
      <c r="Y31" s="385">
        <f t="shared" si="11"/>
        <v>8.2430000000000003</v>
      </c>
      <c r="Z31" s="385">
        <f t="shared" si="12"/>
        <v>8.4170518683150348</v>
      </c>
      <c r="AA31" s="386">
        <f t="shared" si="13"/>
        <v>8.8714233165786567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5.1217423861907925E-2</v>
      </c>
      <c r="AD31" s="231">
        <f>(INDEX(Models!$BJ31:$BT31,,AH31)*(1-AF31)+INDEX(Models!$BJ31:$BT31,,AH31+1)*AF31-ERP_i)*AE31*Ramure*Pc/MaxiM</f>
        <v>1.8341868670250792E-4</v>
      </c>
      <c r="AE31" s="305">
        <f t="shared" si="15"/>
        <v>0.5</v>
      </c>
      <c r="AF31" s="177">
        <f t="shared" si="22"/>
        <v>0.49803712796160038</v>
      </c>
      <c r="AG31" s="811">
        <f t="shared" si="23"/>
        <v>-1</v>
      </c>
      <c r="AH31" s="176">
        <f t="shared" si="16"/>
        <v>5</v>
      </c>
      <c r="AI31" s="225">
        <f t="shared" si="17"/>
        <v>-0.50196287203839962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7">
        <v>26.446000000000002</v>
      </c>
      <c r="C32" s="390"/>
      <c r="D32" s="393">
        <f t="shared" si="0"/>
        <v>27.005001731114156</v>
      </c>
      <c r="E32" s="385">
        <f t="shared" si="1"/>
        <v>28.464512461338167</v>
      </c>
      <c r="F32" s="385">
        <f t="shared" si="2"/>
        <v>28.469265740450702</v>
      </c>
      <c r="G32" s="110">
        <f t="shared" si="21"/>
        <v>0.95920138375957564</v>
      </c>
      <c r="H32" s="414" t="b">
        <f>Wh_hp&gt;='2020'!Maxi_hp</f>
        <v>1</v>
      </c>
      <c r="I32" s="380">
        <f>IF(H32,Wh_hp,'2020'!Maxi_hp)</f>
        <v>28.469265740450702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2.0699933170901907E-2</v>
      </c>
      <c r="M32" s="845"/>
      <c r="N32" s="845"/>
      <c r="O32" s="48">
        <f>IF(t&lt;Tnet,'2020'!Resal+('2020'!Salim-'2020'!Resal)*(1-EXP(('2020'!Tnet-t)/('2020'!Tau_j))),Resal+(Salim-Resal)*(1-EXP((Tnet-t)/(Tau_j))))*Salcycl</f>
        <v>5.1274748942438032E-2</v>
      </c>
      <c r="P32" s="169">
        <f>(INDEX(Models!$BJ32:$BT32,,T32)*(1-R32)+INDEX(Models!$BJ32:$BT32,,T32+1)*R32-ERP_i)*Q32*Ramure*Pc/MaxiM</f>
        <v>1.7729253537240703E-4</v>
      </c>
      <c r="Q32" s="305">
        <f t="shared" si="4"/>
        <v>0.5</v>
      </c>
      <c r="R32" s="177">
        <f t="shared" si="5"/>
        <v>0.49809336417374206</v>
      </c>
      <c r="S32" s="811">
        <f t="shared" si="6"/>
        <v>-1</v>
      </c>
      <c r="T32" s="176">
        <f t="shared" si="7"/>
        <v>5</v>
      </c>
      <c r="U32" s="251">
        <f t="shared" si="8"/>
        <v>-0.50190663582625794</v>
      </c>
      <c r="V32" s="383">
        <f t="shared" si="9"/>
        <v>27.570567760659756</v>
      </c>
      <c r="W32" s="402"/>
      <c r="X32" s="157">
        <f t="shared" si="10"/>
        <v>44214</v>
      </c>
      <c r="Y32" s="385">
        <f t="shared" si="11"/>
        <v>26.446000000000002</v>
      </c>
      <c r="Z32" s="385">
        <f t="shared" si="12"/>
        <v>27.005001731114156</v>
      </c>
      <c r="AA32" s="386">
        <f t="shared" si="13"/>
        <v>28.464512461338167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5.1274748942438032E-2</v>
      </c>
      <c r="AD32" s="231">
        <f>(INDEX(Models!$BJ32:$BT32,,AH32)*(1-AF32)+INDEX(Models!$BJ32:$BT32,,AH32+1)*AF32-ERP_i)*AE32*Ramure*Pc/MaxiM</f>
        <v>1.7729253537240703E-4</v>
      </c>
      <c r="AE32" s="305">
        <f t="shared" si="15"/>
        <v>0.5</v>
      </c>
      <c r="AF32" s="177">
        <f t="shared" si="22"/>
        <v>0.49809336417374206</v>
      </c>
      <c r="AG32" s="811">
        <f t="shared" si="23"/>
        <v>-1</v>
      </c>
      <c r="AH32" s="176">
        <f t="shared" si="16"/>
        <v>5</v>
      </c>
      <c r="AI32" s="225">
        <f t="shared" si="17"/>
        <v>-0.50190663582625794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7">
        <v>28.306000000000001</v>
      </c>
      <c r="C33" s="390"/>
      <c r="D33" s="393">
        <f t="shared" si="0"/>
        <v>28.904950531944223</v>
      </c>
      <c r="E33" s="385">
        <f t="shared" si="1"/>
        <v>30.4689871433525</v>
      </c>
      <c r="F33" s="385">
        <f t="shared" si="2"/>
        <v>30.474199442688686</v>
      </c>
      <c r="G33" s="110">
        <f t="shared" si="21"/>
        <v>1.0171156758545088</v>
      </c>
      <c r="H33" s="414" t="b">
        <f>Wh_hp&gt;='2020'!Maxi_hp</f>
        <v>1</v>
      </c>
      <c r="I33" s="380">
        <f>IF(H33,Wh_hp,'2020'!Maxi_hp)</f>
        <v>30.474199442688686</v>
      </c>
      <c r="J33" s="85">
        <f>IF(H33,An,'2020'!An_max)</f>
        <v>2021</v>
      </c>
      <c r="K33" s="197">
        <f t="shared" si="3"/>
        <v>44215</v>
      </c>
      <c r="L33" s="147">
        <f>IF(t&lt;Tvie,1-EXP((T0-t)*PertePVj)+'2020'!Pspv,1-EXP((T0-t)*PertePVj)+Pspv)</f>
        <v>2.0721382355672779E-2</v>
      </c>
      <c r="M33" s="845"/>
      <c r="N33" s="845"/>
      <c r="O33" s="48">
        <f>IF(t&lt;Tnet,'2020'!Resal+('2020'!Salim-'2020'!Resal)*(1-EXP(('2020'!Tnet-t)/('2020'!Tau_j))),Resal+(Salim-Resal)*(1-EXP((Tnet-t)/(Tau_j))))*Salcycl</f>
        <v>5.1332084130322204E-2</v>
      </c>
      <c r="P33" s="169">
        <f>(INDEX(Models!$BJ33:$BT33,,T33)*(1-R33)+INDEX(Models!$BJ33:$BT33,,T33+1)*R33-ERP_i)*Q33*Ramure*Pc/MaxiM</f>
        <v>1.7103974612977716E-4</v>
      </c>
      <c r="Q33" s="305">
        <f t="shared" si="4"/>
        <v>0.5</v>
      </c>
      <c r="R33" s="177">
        <f t="shared" si="5"/>
        <v>0.4981519461396029</v>
      </c>
      <c r="S33" s="811">
        <f t="shared" si="6"/>
        <v>-1</v>
      </c>
      <c r="T33" s="176">
        <f t="shared" si="7"/>
        <v>5</v>
      </c>
      <c r="U33" s="251">
        <f t="shared" si="8"/>
        <v>-0.5018480538603971</v>
      </c>
      <c r="V33" s="383">
        <f t="shared" si="9"/>
        <v>27.829676281627748</v>
      </c>
      <c r="W33" s="402"/>
      <c r="X33" s="157">
        <f t="shared" si="10"/>
        <v>44215</v>
      </c>
      <c r="Y33" s="385">
        <f t="shared" si="11"/>
        <v>28.306000000000001</v>
      </c>
      <c r="Z33" s="385">
        <f t="shared" si="12"/>
        <v>28.904950531944223</v>
      </c>
      <c r="AA33" s="386">
        <f t="shared" si="13"/>
        <v>30.4689871433525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5.1332084130322204E-2</v>
      </c>
      <c r="AD33" s="231">
        <f>(INDEX(Models!$BJ33:$BT33,,AH33)*(1-AF33)+INDEX(Models!$BJ33:$BT33,,AH33+1)*AF33-ERP_i)*AE33*Ramure*Pc/MaxiM</f>
        <v>1.7103974612977716E-4</v>
      </c>
      <c r="AE33" s="305">
        <f t="shared" si="15"/>
        <v>0.5</v>
      </c>
      <c r="AF33" s="177">
        <f t="shared" si="22"/>
        <v>0.4981519461396029</v>
      </c>
      <c r="AG33" s="811">
        <f t="shared" si="23"/>
        <v>-1</v>
      </c>
      <c r="AH33" s="176">
        <f t="shared" si="16"/>
        <v>5</v>
      </c>
      <c r="AI33" s="225">
        <f t="shared" si="17"/>
        <v>-0.5018480538603971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7">
        <v>6.5120000000000005</v>
      </c>
      <c r="C34" s="390"/>
      <c r="D34" s="393">
        <f t="shared" si="0"/>
        <v>6.6499385520146532</v>
      </c>
      <c r="E34" s="385">
        <f t="shared" si="1"/>
        <v>7.0101881397285801</v>
      </c>
      <c r="F34" s="385">
        <f t="shared" si="2"/>
        <v>7.0101881397285801</v>
      </c>
      <c r="G34" s="110">
        <f t="shared" si="21"/>
        <v>0.23175920527910882</v>
      </c>
      <c r="H34" s="414" t="b">
        <f>Wh_hp&gt;='2020'!Maxi_hp</f>
        <v>0</v>
      </c>
      <c r="I34" s="380">
        <f>IF(H34,Wh_hp,'2020'!Maxi_hp)</f>
        <v>12.344744575403277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2.0742831070651557E-2</v>
      </c>
      <c r="M34" s="845"/>
      <c r="N34" s="845"/>
      <c r="O34" s="48">
        <f>IF(t&lt;Tnet,'2020'!Resal+('2020'!Salim-'2020'!Resal)*(1-EXP(('2020'!Tnet-t)/('2020'!Tau_j))),Resal+(Salim-Resal)*(1-EXP((Tnet-t)/(Tau_j))))*Salcycl</f>
        <v>5.1389432142669299E-2</v>
      </c>
      <c r="P34" s="169">
        <f>(INDEX(Models!$BJ34:$BT34,,T34)*(1-R34)+INDEX(Models!$BJ34:$BT34,,T34+1)*R34-ERP_i)*Q34*Ramure*Pc/MaxiM</f>
        <v>1.6466926085594575E-4</v>
      </c>
      <c r="Q34" s="305">
        <f t="shared" si="4"/>
        <v>0.5</v>
      </c>
      <c r="R34" s="177">
        <f t="shared" si="5"/>
        <v>0.49821297111964558</v>
      </c>
      <c r="S34" s="811">
        <f t="shared" si="6"/>
        <v>-1</v>
      </c>
      <c r="T34" s="176">
        <f t="shared" si="7"/>
        <v>5</v>
      </c>
      <c r="U34" s="251">
        <f t="shared" si="8"/>
        <v>-0.50178702888035442</v>
      </c>
      <c r="V34" s="383">
        <f t="shared" si="9"/>
        <v>28.09350189966419</v>
      </c>
      <c r="W34" s="402"/>
      <c r="X34" s="157">
        <f t="shared" si="10"/>
        <v>44216</v>
      </c>
      <c r="Y34" s="385">
        <f t="shared" si="11"/>
        <v>6.5120000000000005</v>
      </c>
      <c r="Z34" s="385">
        <f t="shared" si="12"/>
        <v>6.6499385520146532</v>
      </c>
      <c r="AA34" s="386">
        <f t="shared" si="13"/>
        <v>7.0101881397285801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5.1389432142669299E-2</v>
      </c>
      <c r="AD34" s="231">
        <f>(INDEX(Models!$BJ34:$BT34,,AH34)*(1-AF34)+INDEX(Models!$BJ34:$BT34,,AH34+1)*AF34-ERP_i)*AE34*Ramure*Pc/MaxiM</f>
        <v>1.6466926085594575E-4</v>
      </c>
      <c r="AE34" s="305">
        <f t="shared" si="15"/>
        <v>0.5</v>
      </c>
      <c r="AF34" s="177">
        <f t="shared" si="22"/>
        <v>0.49821297111964558</v>
      </c>
      <c r="AG34" s="811">
        <f t="shared" si="23"/>
        <v>-1</v>
      </c>
      <c r="AH34" s="176">
        <f t="shared" si="16"/>
        <v>5</v>
      </c>
      <c r="AI34" s="225">
        <f t="shared" si="17"/>
        <v>-0.50178702888035442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7">
        <v>12.609</v>
      </c>
      <c r="C35" s="390"/>
      <c r="D35" s="393">
        <f t="shared" si="0"/>
        <v>12.876368512364532</v>
      </c>
      <c r="E35" s="385">
        <f t="shared" si="1"/>
        <v>13.574745680455127</v>
      </c>
      <c r="F35" s="385">
        <f t="shared" si="2"/>
        <v>13.575189211885538</v>
      </c>
      <c r="G35" s="110">
        <f t="shared" si="21"/>
        <v>0.44452067418846458</v>
      </c>
      <c r="H35" s="414" t="b">
        <f>Wh_hp&gt;='2020'!Maxi_hp</f>
        <v>1</v>
      </c>
      <c r="I35" s="380">
        <f>IF(H35,Wh_hp,'2020'!Maxi_hp)</f>
        <v>13.575189211885538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2.0764279315848344E-2</v>
      </c>
      <c r="M35" s="845"/>
      <c r="N35" s="845"/>
      <c r="O35" s="48">
        <f>IF(t&lt;Tnet,'2020'!Resal+('2020'!Salim-'2020'!Resal)*(1-EXP(('2020'!Tnet-t)/('2020'!Tau_j))),Resal+(Salim-Resal)*(1-EXP((Tnet-t)/(Tau_j))))*Salcycl</f>
        <v>5.1446795728638688E-2</v>
      </c>
      <c r="P35" s="169">
        <f>(INDEX(Models!$BJ35:$BT35,,T35)*(1-R35)+INDEX(Models!$BJ35:$BT35,,T35+1)*R35-ERP_i)*Q35*Ramure*Pc/MaxiM</f>
        <v>1.5818995702388908E-4</v>
      </c>
      <c r="Q35" s="305">
        <f t="shared" si="4"/>
        <v>0.5</v>
      </c>
      <c r="R35" s="177">
        <f t="shared" si="5"/>
        <v>0.49827654035688174</v>
      </c>
      <c r="S35" s="811">
        <f t="shared" si="6"/>
        <v>-1</v>
      </c>
      <c r="T35" s="176">
        <f t="shared" si="7"/>
        <v>5</v>
      </c>
      <c r="U35" s="251">
        <f t="shared" si="8"/>
        <v>-0.50172345964311826</v>
      </c>
      <c r="V35" s="383">
        <f t="shared" si="9"/>
        <v>28.36182438090599</v>
      </c>
      <c r="W35" s="402"/>
      <c r="X35" s="157">
        <f t="shared" si="10"/>
        <v>44217</v>
      </c>
      <c r="Y35" s="385">
        <f t="shared" si="11"/>
        <v>12.609</v>
      </c>
      <c r="Z35" s="385">
        <f t="shared" si="12"/>
        <v>12.876368512364532</v>
      </c>
      <c r="AA35" s="386">
        <f t="shared" si="13"/>
        <v>13.574745680455127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5.1446795728638688E-2</v>
      </c>
      <c r="AD35" s="231">
        <f>(INDEX(Models!$BJ35:$BT35,,AH35)*(1-AF35)+INDEX(Models!$BJ35:$BT35,,AH35+1)*AF35-ERP_i)*AE35*Ramure*Pc/MaxiM</f>
        <v>1.5818995702388908E-4</v>
      </c>
      <c r="AE35" s="305">
        <f t="shared" si="15"/>
        <v>0.5</v>
      </c>
      <c r="AF35" s="177">
        <f t="shared" si="22"/>
        <v>0.49827654035688174</v>
      </c>
      <c r="AG35" s="811">
        <f t="shared" si="23"/>
        <v>-1</v>
      </c>
      <c r="AH35" s="176">
        <f t="shared" si="16"/>
        <v>5</v>
      </c>
      <c r="AI35" s="225">
        <f t="shared" si="17"/>
        <v>-0.50172345964311826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7">
        <v>6.01</v>
      </c>
      <c r="C36" s="390"/>
      <c r="D36" s="393">
        <f t="shared" si="0"/>
        <v>6.1375739368539595</v>
      </c>
      <c r="E36" s="385">
        <f t="shared" si="1"/>
        <v>6.4708497304332102</v>
      </c>
      <c r="F36" s="385">
        <f t="shared" si="2"/>
        <v>6.4708497304332102</v>
      </c>
      <c r="G36" s="110">
        <f t="shared" si="21"/>
        <v>0.20985541435284147</v>
      </c>
      <c r="H36" s="414" t="b">
        <f>Wh_hp&gt;='2020'!Maxi_hp</f>
        <v>0</v>
      </c>
      <c r="I36" s="380">
        <f>IF(H36,Wh_hp,'2020'!Maxi_hp)</f>
        <v>11.779971838094793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2.0785727091273576E-2</v>
      </c>
      <c r="M36" s="845"/>
      <c r="N36" s="845"/>
      <c r="O36" s="48">
        <f>IF(t&lt;Tnet,'2020'!Resal+('2020'!Salim-'2020'!Resal)*(1-EXP(('2020'!Tnet-t)/('2020'!Tau_j))),Resal+(Salim-Resal)*(1-EXP((Tnet-t)/(Tau_j))))*Salcycl</f>
        <v>5.1504177575290161E-2</v>
      </c>
      <c r="P36" s="169">
        <f>(INDEX(Models!$BJ36:$BT36,,T36)*(1-R36)+INDEX(Models!$BJ36:$BT36,,T36+1)*R36-ERP_i)*Q36*Ramure*Pc/MaxiM</f>
        <v>1.5160951552720174E-4</v>
      </c>
      <c r="Q36" s="305">
        <f t="shared" si="4"/>
        <v>0.5</v>
      </c>
      <c r="R36" s="177">
        <f t="shared" si="5"/>
        <v>0.49834275923566385</v>
      </c>
      <c r="S36" s="811">
        <f t="shared" si="6"/>
        <v>-1</v>
      </c>
      <c r="T36" s="176">
        <f t="shared" si="7"/>
        <v>5</v>
      </c>
      <c r="U36" s="251">
        <f t="shared" si="8"/>
        <v>-0.50165724076433615</v>
      </c>
      <c r="V36" s="383">
        <f t="shared" si="9"/>
        <v>28.634423587986486</v>
      </c>
      <c r="W36" s="402"/>
      <c r="X36" s="157">
        <f t="shared" si="10"/>
        <v>44218</v>
      </c>
      <c r="Y36" s="385">
        <f t="shared" si="11"/>
        <v>6.01</v>
      </c>
      <c r="Z36" s="385">
        <f t="shared" si="12"/>
        <v>6.1375739368539595</v>
      </c>
      <c r="AA36" s="386">
        <f t="shared" si="13"/>
        <v>6.4708497304332102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5.1504177575290161E-2</v>
      </c>
      <c r="AD36" s="231">
        <f>(INDEX(Models!$BJ36:$BT36,,AH36)*(1-AF36)+INDEX(Models!$BJ36:$BT36,,AH36+1)*AF36-ERP_i)*AE36*Ramure*Pc/MaxiM</f>
        <v>1.5160951552720174E-4</v>
      </c>
      <c r="AE36" s="305">
        <f t="shared" si="15"/>
        <v>0.5</v>
      </c>
      <c r="AF36" s="177">
        <f t="shared" si="22"/>
        <v>0.49834275923566385</v>
      </c>
      <c r="AG36" s="811">
        <f t="shared" si="23"/>
        <v>-1</v>
      </c>
      <c r="AH36" s="176">
        <f t="shared" si="16"/>
        <v>5</v>
      </c>
      <c r="AI36" s="225">
        <f t="shared" si="17"/>
        <v>-0.50165724076433615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7">
        <v>7.8609999999999998</v>
      </c>
      <c r="C37" s="390"/>
      <c r="D37" s="393">
        <f t="shared" si="0"/>
        <v>8.0280408459473644</v>
      </c>
      <c r="E37" s="385">
        <f t="shared" si="1"/>
        <v>8.4644829632738432</v>
      </c>
      <c r="F37" s="385">
        <f t="shared" si="2"/>
        <v>8.4644829632738432</v>
      </c>
      <c r="G37" s="110">
        <f t="shared" si="21"/>
        <v>0.27183781793986378</v>
      </c>
      <c r="H37" s="414" t="b">
        <f>Wh_hp&gt;='2020'!Maxi_hp</f>
        <v>0</v>
      </c>
      <c r="I37" s="380">
        <f>IF(H37,Wh_hp,'2020'!Maxi_hp)</f>
        <v>12.88967096243964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2.0807174396937467E-2</v>
      </c>
      <c r="M37" s="845"/>
      <c r="N37" s="845"/>
      <c r="O37" s="48">
        <f>IF(t&lt;Tnet,'2020'!Resal+('2020'!Salim-'2020'!Resal)*(1-EXP(('2020'!Tnet-t)/('2020'!Tau_j))),Resal+(Salim-Resal)*(1-EXP((Tnet-t)/(Tau_j))))*Salcycl</f>
        <v>5.1561580219387081E-2</v>
      </c>
      <c r="P37" s="169">
        <f>(INDEX(Models!$BJ37:$BT37,,T37)*(1-R37)+INDEX(Models!$BJ37:$BT37,,T37+1)*R37-ERP_i)*Q37*Ramure*Pc/MaxiM</f>
        <v>1.4492160980391361E-4</v>
      </c>
      <c r="Q37" s="305">
        <f t="shared" si="4"/>
        <v>0.5</v>
      </c>
      <c r="R37" s="177">
        <f t="shared" si="5"/>
        <v>0.49841173744644118</v>
      </c>
      <c r="S37" s="811">
        <f t="shared" si="6"/>
        <v>-1</v>
      </c>
      <c r="T37" s="176">
        <f t="shared" si="7"/>
        <v>5</v>
      </c>
      <c r="U37" s="251">
        <f t="shared" si="8"/>
        <v>-0.50158826255355882</v>
      </c>
      <c r="V37" s="383">
        <f t="shared" si="9"/>
        <v>28.913787017537409</v>
      </c>
      <c r="W37" s="402"/>
      <c r="X37" s="157">
        <f t="shared" si="10"/>
        <v>44219</v>
      </c>
      <c r="Y37" s="385">
        <f t="shared" si="11"/>
        <v>7.8610000000000007</v>
      </c>
      <c r="Z37" s="385">
        <f t="shared" si="12"/>
        <v>8.0280408459473644</v>
      </c>
      <c r="AA37" s="386">
        <f t="shared" si="13"/>
        <v>8.4644829632738432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5.1561580219387081E-2</v>
      </c>
      <c r="AD37" s="231">
        <f>(INDEX(Models!$BJ37:$BT37,,AH37)*(1-AF37)+INDEX(Models!$BJ37:$BT37,,AH37+1)*AF37-ERP_i)*AE37*Ramure*Pc/MaxiM</f>
        <v>1.4492160980391361E-4</v>
      </c>
      <c r="AE37" s="305">
        <f t="shared" si="15"/>
        <v>0.5</v>
      </c>
      <c r="AF37" s="177">
        <f t="shared" si="22"/>
        <v>0.49841173744644118</v>
      </c>
      <c r="AG37" s="811">
        <f t="shared" si="23"/>
        <v>-1</v>
      </c>
      <c r="AH37" s="176">
        <f t="shared" si="16"/>
        <v>5</v>
      </c>
      <c r="AI37" s="225">
        <f t="shared" si="17"/>
        <v>-0.50158826255355882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7">
        <v>14.950000000000001</v>
      </c>
      <c r="C38" s="390"/>
      <c r="D38" s="393">
        <f t="shared" si="0"/>
        <v>15.268011631245978</v>
      </c>
      <c r="E38" s="385">
        <f t="shared" si="1"/>
        <v>16.099027423886039</v>
      </c>
      <c r="F38" s="385">
        <f t="shared" si="2"/>
        <v>16.099701488096027</v>
      </c>
      <c r="G38" s="110">
        <f t="shared" si="21"/>
        <v>0.51190401311206102</v>
      </c>
      <c r="H38" s="414" t="b">
        <f>Wh_hp&gt;='2020'!Maxi_hp</f>
        <v>0</v>
      </c>
      <c r="I38" s="380">
        <f>IF(H38,Wh_hp,'2020'!Maxi_hp)</f>
        <v>16.462373506542814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2.0828621232850342E-2</v>
      </c>
      <c r="M38" s="845"/>
      <c r="N38" s="845"/>
      <c r="O38" s="48">
        <f>IF(t&lt;Tnet,'2020'!Resal+('2020'!Salim-'2020'!Resal)*(1-EXP(('2020'!Tnet-t)/('2020'!Tau_j))),Resal+(Salim-Resal)*(1-EXP((Tnet-t)/(Tau_j))))*Salcycl</f>
        <v>5.1619005965980784E-2</v>
      </c>
      <c r="P38" s="169">
        <f>(INDEX(Models!$BJ38:$BT38,,T38)*(1-R38)+INDEX(Models!$BJ38:$BT38,,T38+1)*R38-ERP_i)*Q38*Ramure*Pc/MaxiM</f>
        <v>1.3827420096747397E-4</v>
      </c>
      <c r="Q38" s="305">
        <f t="shared" si="4"/>
        <v>0.5</v>
      </c>
      <c r="R38" s="177">
        <f t="shared" si="5"/>
        <v>0.49848358915667068</v>
      </c>
      <c r="S38" s="811">
        <f t="shared" si="6"/>
        <v>-1</v>
      </c>
      <c r="T38" s="176">
        <f t="shared" si="7"/>
        <v>5</v>
      </c>
      <c r="U38" s="251">
        <f t="shared" si="8"/>
        <v>-0.50151641084332932</v>
      </c>
      <c r="V38" s="383">
        <f t="shared" si="9"/>
        <v>29.201878254174076</v>
      </c>
      <c r="W38" s="402"/>
      <c r="X38" s="157">
        <f t="shared" si="10"/>
        <v>44220</v>
      </c>
      <c r="Y38" s="385">
        <f t="shared" si="11"/>
        <v>14.950000000000001</v>
      </c>
      <c r="Z38" s="385">
        <f t="shared" si="12"/>
        <v>15.268011631245978</v>
      </c>
      <c r="AA38" s="386">
        <f t="shared" si="13"/>
        <v>16.099027423886039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5.1619005965980784E-2</v>
      </c>
      <c r="AD38" s="231">
        <f>(INDEX(Models!$BJ38:$BT38,,AH38)*(1-AF38)+INDEX(Models!$BJ38:$BT38,,AH38+1)*AF38-ERP_i)*AE38*Ramure*Pc/MaxiM</f>
        <v>1.3827420096747397E-4</v>
      </c>
      <c r="AE38" s="305">
        <f t="shared" si="15"/>
        <v>0.5</v>
      </c>
      <c r="AF38" s="177">
        <f t="shared" si="22"/>
        <v>0.49848358915667068</v>
      </c>
      <c r="AG38" s="811">
        <f t="shared" si="23"/>
        <v>-1</v>
      </c>
      <c r="AH38" s="176">
        <f t="shared" si="16"/>
        <v>5</v>
      </c>
      <c r="AI38" s="225">
        <f t="shared" si="17"/>
        <v>-0.50151641084332932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7">
        <v>7.7990000000000004</v>
      </c>
      <c r="C39" s="390"/>
      <c r="D39" s="393">
        <f t="shared" si="0"/>
        <v>7.9650722957984996</v>
      </c>
      <c r="E39" s="385">
        <f t="shared" si="1"/>
        <v>8.3991084614890692</v>
      </c>
      <c r="F39" s="385">
        <f t="shared" si="2"/>
        <v>8.3991084614890692</v>
      </c>
      <c r="G39" s="110">
        <f t="shared" si="21"/>
        <v>0.26435869735093437</v>
      </c>
      <c r="H39" s="414" t="b">
        <f>Wh_hp&gt;='2020'!Maxi_hp</f>
        <v>0</v>
      </c>
      <c r="I39" s="380">
        <f>IF(H39,Wh_hp,'2020'!Maxi_hp)</f>
        <v>16.646012067058376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2.0850067599022415E-2</v>
      </c>
      <c r="M39" s="845"/>
      <c r="N39" s="845"/>
      <c r="O39" s="48">
        <f>IF(t&lt;Tnet,'2020'!Resal+('2020'!Salim-'2020'!Resal)*(1-EXP(('2020'!Tnet-t)/('2020'!Tau_j))),Resal+(Salim-Resal)*(1-EXP((Tnet-t)/(Tau_j))))*Salcycl</f>
        <v>5.167645681451527E-2</v>
      </c>
      <c r="P39" s="169">
        <f>(INDEX(Models!$BJ39:$BT39,,T39)*(1-R39)+INDEX(Models!$BJ39:$BT39,,T39+1)*R39-ERP_i)*Q39*Ramure*Pc/MaxiM</f>
        <v>1.3192982891479618E-4</v>
      </c>
      <c r="Q39" s="305">
        <f t="shared" si="4"/>
        <v>0.5</v>
      </c>
      <c r="R39" s="177">
        <f t="shared" si="5"/>
        <v>0.49855843318807891</v>
      </c>
      <c r="S39" s="811">
        <f t="shared" si="6"/>
        <v>-1</v>
      </c>
      <c r="T39" s="176">
        <f t="shared" si="7"/>
        <v>5</v>
      </c>
      <c r="U39" s="251">
        <f t="shared" si="8"/>
        <v>-0.50144156681192109</v>
      </c>
      <c r="V39" s="383">
        <f t="shared" si="9"/>
        <v>29.497690665771973</v>
      </c>
      <c r="W39" s="402"/>
      <c r="X39" s="157">
        <f t="shared" si="10"/>
        <v>44221</v>
      </c>
      <c r="Y39" s="385">
        <f t="shared" si="11"/>
        <v>7.7990000000000004</v>
      </c>
      <c r="Z39" s="385">
        <f t="shared" si="12"/>
        <v>7.9650722957984996</v>
      </c>
      <c r="AA39" s="386">
        <f t="shared" si="13"/>
        <v>8.3991084614890692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5.167645681451527E-2</v>
      </c>
      <c r="AD39" s="231">
        <f>(INDEX(Models!$BJ39:$BT39,,AH39)*(1-AF39)+INDEX(Models!$BJ39:$BT39,,AH39+1)*AF39-ERP_i)*AE39*Ramure*Pc/MaxiM</f>
        <v>1.3192982891479618E-4</v>
      </c>
      <c r="AE39" s="305">
        <f t="shared" si="15"/>
        <v>0.5</v>
      </c>
      <c r="AF39" s="177">
        <f t="shared" si="22"/>
        <v>0.49855843318807891</v>
      </c>
      <c r="AG39" s="811">
        <f t="shared" si="23"/>
        <v>-1</v>
      </c>
      <c r="AH39" s="176">
        <f t="shared" si="16"/>
        <v>5</v>
      </c>
      <c r="AI39" s="225">
        <f t="shared" si="17"/>
        <v>-0.50144156681192109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7">
        <v>18.222000000000001</v>
      </c>
      <c r="C40" s="390"/>
      <c r="D40" s="393">
        <f t="shared" si="0"/>
        <v>18.61042779487714</v>
      </c>
      <c r="E40" s="385">
        <f t="shared" si="1"/>
        <v>19.625744788163708</v>
      </c>
      <c r="F40" s="385">
        <f t="shared" si="2"/>
        <v>19.626844194643734</v>
      </c>
      <c r="G40" s="110">
        <f t="shared" si="21"/>
        <v>0.61142915654870511</v>
      </c>
      <c r="H40" s="414" t="b">
        <f>Wh_hp&gt;='2020'!Maxi_hp</f>
        <v>1</v>
      </c>
      <c r="I40" s="380">
        <f>IF(H40,Wh_hp,'2020'!Maxi_hp)</f>
        <v>19.626844194643734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2.0871513495464011E-2</v>
      </c>
      <c r="M40" s="845"/>
      <c r="N40" s="845"/>
      <c r="O40" s="48">
        <f>IF(t&lt;Tnet,'2020'!Resal+('2020'!Salim-'2020'!Resal)*(1-EXP(('2020'!Tnet-t)/('2020'!Tau_j))),Resal+(Salim-Resal)*(1-EXP((Tnet-t)/(Tau_j))))*Salcycl</f>
        <v>5.1733934393099187E-2</v>
      </c>
      <c r="P40" s="169">
        <f>(INDEX(Models!$BJ40:$BT40,,T40)*(1-R40)+INDEX(Models!$BJ40:$BT40,,T40+1)*R40-ERP_i)*Q40*Ramure*Pc/MaxiM</f>
        <v>1.2588877485544006E-4</v>
      </c>
      <c r="Q40" s="305">
        <f t="shared" si="4"/>
        <v>0.5</v>
      </c>
      <c r="R40" s="177">
        <f t="shared" si="5"/>
        <v>0.49863639320047159</v>
      </c>
      <c r="S40" s="811">
        <f t="shared" si="6"/>
        <v>-1</v>
      </c>
      <c r="T40" s="176">
        <f t="shared" si="7"/>
        <v>5</v>
      </c>
      <c r="U40" s="251">
        <f t="shared" si="8"/>
        <v>-0.50136360679952841</v>
      </c>
      <c r="V40" s="383">
        <f t="shared" si="9"/>
        <v>29.800225425577857</v>
      </c>
      <c r="W40" s="402"/>
      <c r="X40" s="157">
        <f t="shared" si="10"/>
        <v>44222</v>
      </c>
      <c r="Y40" s="385">
        <f t="shared" si="11"/>
        <v>18.222000000000001</v>
      </c>
      <c r="Z40" s="385">
        <f t="shared" si="12"/>
        <v>18.61042779487714</v>
      </c>
      <c r="AA40" s="386">
        <f t="shared" si="13"/>
        <v>19.625744788163708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5.1733934393099187E-2</v>
      </c>
      <c r="AD40" s="231">
        <f>(INDEX(Models!$BJ40:$BT40,,AH40)*(1-AF40)+INDEX(Models!$BJ40:$BT40,,AH40+1)*AF40-ERP_i)*AE40*Ramure*Pc/MaxiM</f>
        <v>1.2588877485544006E-4</v>
      </c>
      <c r="AE40" s="305">
        <f t="shared" si="15"/>
        <v>0.5</v>
      </c>
      <c r="AF40" s="177">
        <f t="shared" si="22"/>
        <v>0.49863639320047159</v>
      </c>
      <c r="AG40" s="811">
        <f t="shared" si="23"/>
        <v>-1</v>
      </c>
      <c r="AH40" s="176">
        <f t="shared" si="16"/>
        <v>5</v>
      </c>
      <c r="AI40" s="225">
        <f t="shared" si="17"/>
        <v>-0.50136360679952841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7">
        <v>5.64</v>
      </c>
      <c r="C41" s="390"/>
      <c r="D41" s="393">
        <f t="shared" si="0"/>
        <v>5.7603507720579872</v>
      </c>
      <c r="E41" s="385">
        <f t="shared" si="1"/>
        <v>6.0749828829425061</v>
      </c>
      <c r="F41" s="385">
        <f t="shared" si="2"/>
        <v>6.0749828829425061</v>
      </c>
      <c r="G41" s="110">
        <f t="shared" si="21"/>
        <v>0.18730010929157728</v>
      </c>
      <c r="H41" s="414" t="b">
        <f>Wh_hp&gt;='2020'!Maxi_hp</f>
        <v>0</v>
      </c>
      <c r="I41" s="380">
        <f>IF(H41,Wh_hp,'2020'!Maxi_hp)</f>
        <v>14.984407964187147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2.0892958922185567E-2</v>
      </c>
      <c r="M41" s="845"/>
      <c r="N41" s="845"/>
      <c r="O41" s="48">
        <f>IF(t&lt;Tnet,'2020'!Resal+('2020'!Salim-'2020'!Resal)*(1-EXP(('2020'!Tnet-t)/('2020'!Tau_j))),Resal+(Salim-Resal)*(1-EXP((Tnet-t)/(Tau_j))))*Salcycl</f>
        <v>5.1791439901493645E-2</v>
      </c>
      <c r="P41" s="169">
        <f>(INDEX(Models!$BJ41:$BT41,,T41)*(1-R41)+INDEX(Models!$BJ41:$BT41,,T41+1)*R41-ERP_i)*Q41*Ramure*Pc/MaxiM</f>
        <v>1.2015003707762249E-4</v>
      </c>
      <c r="Q41" s="305">
        <f t="shared" si="4"/>
        <v>0.5</v>
      </c>
      <c r="R41" s="177">
        <f t="shared" si="5"/>
        <v>0.49871759788229331</v>
      </c>
      <c r="S41" s="811">
        <f t="shared" si="6"/>
        <v>-1</v>
      </c>
      <c r="T41" s="176">
        <f t="shared" si="7"/>
        <v>5</v>
      </c>
      <c r="U41" s="251">
        <f t="shared" si="8"/>
        <v>-0.50128240211770669</v>
      </c>
      <c r="V41" s="383">
        <f t="shared" si="9"/>
        <v>30.108484053321781</v>
      </c>
      <c r="W41" s="402"/>
      <c r="X41" s="157">
        <f t="shared" si="10"/>
        <v>44223</v>
      </c>
      <c r="Y41" s="385">
        <f t="shared" si="11"/>
        <v>5.64</v>
      </c>
      <c r="Z41" s="385">
        <f t="shared" si="12"/>
        <v>5.7603507720579872</v>
      </c>
      <c r="AA41" s="386">
        <f t="shared" si="13"/>
        <v>6.0749828829425061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5.1791439901493645E-2</v>
      </c>
      <c r="AD41" s="231">
        <f>(INDEX(Models!$BJ41:$BT41,,AH41)*(1-AF41)+INDEX(Models!$BJ41:$BT41,,AH41+1)*AF41-ERP_i)*AE41*Ramure*Pc/MaxiM</f>
        <v>1.2015003707762249E-4</v>
      </c>
      <c r="AE41" s="305">
        <f t="shared" si="15"/>
        <v>0.5</v>
      </c>
      <c r="AF41" s="177">
        <f t="shared" si="22"/>
        <v>0.49871759788229331</v>
      </c>
      <c r="AG41" s="811">
        <f t="shared" si="23"/>
        <v>-1</v>
      </c>
      <c r="AH41" s="176">
        <f t="shared" si="16"/>
        <v>5</v>
      </c>
      <c r="AI41" s="225">
        <f t="shared" si="17"/>
        <v>-0.50128240211770669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7">
        <v>17.189</v>
      </c>
      <c r="C42" s="390"/>
      <c r="D42" s="393">
        <f t="shared" si="0"/>
        <v>17.556176975847535</v>
      </c>
      <c r="E42" s="385">
        <f t="shared" si="1"/>
        <v>18.51622420436944</v>
      </c>
      <c r="F42" s="385">
        <f t="shared" si="2"/>
        <v>18.517028420857695</v>
      </c>
      <c r="G42" s="110">
        <f t="shared" si="21"/>
        <v>0.56498833260561576</v>
      </c>
      <c r="H42" s="414" t="b">
        <f>Wh_hp&gt;='2020'!Maxi_hp</f>
        <v>1</v>
      </c>
      <c r="I42" s="380">
        <f>IF(H42,Wh_hp,'2020'!Maxi_hp)</f>
        <v>18.517028420857695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2.0914403879197074E-2</v>
      </c>
      <c r="M42" s="845"/>
      <c r="N42" s="845"/>
      <c r="O42" s="48">
        <f>IF(t&lt;Tnet,'2020'!Resal+('2020'!Salim-'2020'!Resal)*(1-EXP(('2020'!Tnet-t)/('2020'!Tau_j))),Resal+(Salim-Resal)*(1-EXP((Tnet-t)/(Tau_j))))*Salcycl</f>
        <v>5.1848974063262568E-2</v>
      </c>
      <c r="P42" s="169">
        <f>(INDEX(Models!$BJ42:$BT42,,T42)*(1-R42)+INDEX(Models!$BJ42:$BT42,,T42+1)*R42-ERP_i)*Q42*Ramure*Pc/MaxiM</f>
        <v>1.1471150067018978E-4</v>
      </c>
      <c r="Q42" s="305">
        <f t="shared" si="4"/>
        <v>0.5</v>
      </c>
      <c r="R42" s="177">
        <f t="shared" si="5"/>
        <v>0.49880218114813923</v>
      </c>
      <c r="S42" s="811">
        <f t="shared" si="6"/>
        <v>-1</v>
      </c>
      <c r="T42" s="176">
        <f t="shared" si="7"/>
        <v>5</v>
      </c>
      <c r="U42" s="251">
        <f t="shared" si="8"/>
        <v>-0.50119781885186077</v>
      </c>
      <c r="V42" s="383">
        <f t="shared" si="9"/>
        <v>30.421468404794535</v>
      </c>
      <c r="W42" s="402"/>
      <c r="X42" s="157">
        <f t="shared" si="10"/>
        <v>44224</v>
      </c>
      <c r="Y42" s="385">
        <f t="shared" si="11"/>
        <v>17.189</v>
      </c>
      <c r="Z42" s="385">
        <f t="shared" si="12"/>
        <v>17.556176975847535</v>
      </c>
      <c r="AA42" s="386">
        <f t="shared" si="13"/>
        <v>18.51622420436944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5.1848974063262568E-2</v>
      </c>
      <c r="AD42" s="231">
        <f>(INDEX(Models!$BJ42:$BT42,,AH42)*(1-AF42)+INDEX(Models!$BJ42:$BT42,,AH42+1)*AF42-ERP_i)*AE42*Ramure*Pc/MaxiM</f>
        <v>1.1471150067018978E-4</v>
      </c>
      <c r="AE42" s="305">
        <f t="shared" si="15"/>
        <v>0.5</v>
      </c>
      <c r="AF42" s="177">
        <f t="shared" si="22"/>
        <v>0.49880218114813923</v>
      </c>
      <c r="AG42" s="811">
        <f t="shared" si="23"/>
        <v>-1</v>
      </c>
      <c r="AH42" s="176">
        <f t="shared" si="16"/>
        <v>5</v>
      </c>
      <c r="AI42" s="225">
        <f t="shared" si="17"/>
        <v>-0.50119781885186077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7">
        <v>14.926</v>
      </c>
      <c r="C43" s="390"/>
      <c r="D43" s="393">
        <f t="shared" si="0"/>
        <v>15.245170579575559</v>
      </c>
      <c r="E43" s="385">
        <f t="shared" si="1"/>
        <v>16.079818262581348</v>
      </c>
      <c r="F43" s="385">
        <f t="shared" si="2"/>
        <v>16.080285384965865</v>
      </c>
      <c r="G43" s="110">
        <f t="shared" si="21"/>
        <v>0.48554591649233619</v>
      </c>
      <c r="H43" s="414" t="b">
        <f>Wh_hp&gt;='2020'!Maxi_hp</f>
        <v>0</v>
      </c>
      <c r="I43" s="380">
        <f>IF(H43,Wh_hp,'2020'!Maxi_hp)</f>
        <v>20.355528257182332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2.093584836650908E-2</v>
      </c>
      <c r="M43" s="845"/>
      <c r="N43" s="845"/>
      <c r="O43" s="48">
        <f>IF(t&lt;Tnet,'2020'!Resal+('2020'!Salim-'2020'!Resal)*(1-EXP(('2020'!Tnet-t)/('2020'!Tau_j))),Resal+(Salim-Resal)*(1-EXP((Tnet-t)/(Tau_j))))*Salcycl</f>
        <v>5.1906537087428414E-2</v>
      </c>
      <c r="P43" s="169">
        <f>(INDEX(Models!$BJ43:$BT43,,T43)*(1-R43)+INDEX(Models!$BJ43:$BT43,,T43+1)*R43-ERP_i)*Q43*Ramure*Pc/MaxiM</f>
        <v>1.0957009934199879E-4</v>
      </c>
      <c r="Q43" s="305">
        <f t="shared" si="4"/>
        <v>0.5</v>
      </c>
      <c r="R43" s="177">
        <f t="shared" si="5"/>
        <v>0.49889028234342447</v>
      </c>
      <c r="S43" s="811">
        <f t="shared" si="6"/>
        <v>-1</v>
      </c>
      <c r="T43" s="176">
        <f t="shared" si="7"/>
        <v>5</v>
      </c>
      <c r="U43" s="251">
        <f t="shared" si="8"/>
        <v>-0.50110971765657553</v>
      </c>
      <c r="V43" s="383">
        <f t="shared" si="9"/>
        <v>30.73818068681846</v>
      </c>
      <c r="W43" s="402"/>
      <c r="X43" s="157">
        <f t="shared" si="10"/>
        <v>44225</v>
      </c>
      <c r="Y43" s="385">
        <f t="shared" si="11"/>
        <v>14.926000000000002</v>
      </c>
      <c r="Z43" s="385">
        <f t="shared" si="12"/>
        <v>15.245170579575561</v>
      </c>
      <c r="AA43" s="386">
        <f t="shared" si="13"/>
        <v>16.079818262581348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5.1906537087428414E-2</v>
      </c>
      <c r="AD43" s="231">
        <f>(INDEX(Models!$BJ43:$BT43,,AH43)*(1-AF43)+INDEX(Models!$BJ43:$BT43,,AH43+1)*AF43-ERP_i)*AE43*Ramure*Pc/MaxiM</f>
        <v>1.0957009934199879E-4</v>
      </c>
      <c r="AE43" s="305">
        <f t="shared" si="15"/>
        <v>0.5</v>
      </c>
      <c r="AF43" s="177">
        <f t="shared" si="22"/>
        <v>0.49889028234342447</v>
      </c>
      <c r="AG43" s="811">
        <f t="shared" si="23"/>
        <v>-1</v>
      </c>
      <c r="AH43" s="176">
        <f t="shared" si="16"/>
        <v>5</v>
      </c>
      <c r="AI43" s="225">
        <f t="shared" si="17"/>
        <v>-0.50110971765657553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7">
        <v>8.6739999999999995</v>
      </c>
      <c r="C44" s="390"/>
      <c r="D44" s="393">
        <f t="shared" si="0"/>
        <v>8.8596747951094308</v>
      </c>
      <c r="E44" s="385">
        <f t="shared" si="1"/>
        <v>9.3452949015511564</v>
      </c>
      <c r="F44" s="385">
        <f t="shared" si="2"/>
        <v>9.3452949015511564</v>
      </c>
      <c r="G44" s="110">
        <f t="shared" si="21"/>
        <v>0.27925805899691225</v>
      </c>
      <c r="H44" s="414" t="b">
        <f>Wh_hp&gt;='2020'!Maxi_hp</f>
        <v>0</v>
      </c>
      <c r="I44" s="380">
        <f>IF(H44,Wh_hp,'2020'!Maxi_hp)</f>
        <v>12.271638358981564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2.0957292384131798E-2</v>
      </c>
      <c r="M44" s="845"/>
      <c r="N44" s="845"/>
      <c r="O44" s="48">
        <f>IF(t&lt;Tnet,'2020'!Resal+('2020'!Salim-'2020'!Resal)*(1-EXP(('2020'!Tnet-t)/('2020'!Tau_j))),Resal+(Salim-Resal)*(1-EXP((Tnet-t)/(Tau_j))))*Salcycl</f>
        <v>5.1964128639869975E-2</v>
      </c>
      <c r="P44" s="169">
        <f>(INDEX(Models!$BJ44:$BT44,,T44)*(1-R44)+INDEX(Models!$BJ44:$BT44,,T44+1)*R44-ERP_i)*Q44*Ramure*Pc/MaxiM</f>
        <v>1.0489000147579723E-4</v>
      </c>
      <c r="Q44" s="305">
        <f t="shared" si="4"/>
        <v>0.5</v>
      </c>
      <c r="R44" s="177">
        <f t="shared" si="5"/>
        <v>0.49898204645641797</v>
      </c>
      <c r="S44" s="811">
        <f t="shared" si="6"/>
        <v>-1</v>
      </c>
      <c r="T44" s="176">
        <f t="shared" si="7"/>
        <v>5</v>
      </c>
      <c r="U44" s="251">
        <f t="shared" si="8"/>
        <v>-0.50101795354358203</v>
      </c>
      <c r="V44" s="383">
        <f t="shared" si="9"/>
        <v>31.057618230538139</v>
      </c>
      <c r="W44" s="402"/>
      <c r="X44" s="157">
        <f t="shared" si="10"/>
        <v>44226</v>
      </c>
      <c r="Y44" s="385">
        <f t="shared" si="11"/>
        <v>8.6739999999999995</v>
      </c>
      <c r="Z44" s="385">
        <f t="shared" si="12"/>
        <v>8.8596747951094308</v>
      </c>
      <c r="AA44" s="386">
        <f t="shared" si="13"/>
        <v>9.3452949015511564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5.1964128639869975E-2</v>
      </c>
      <c r="AD44" s="231">
        <f>(INDEX(Models!$BJ44:$BT44,,AH44)*(1-AF44)+INDEX(Models!$BJ44:$BT44,,AH44+1)*AF44-ERP_i)*AE44*Ramure*Pc/MaxiM</f>
        <v>1.0489000147579723E-4</v>
      </c>
      <c r="AE44" s="305">
        <f t="shared" si="15"/>
        <v>0.5</v>
      </c>
      <c r="AF44" s="177">
        <f t="shared" si="22"/>
        <v>0.49898204645641797</v>
      </c>
      <c r="AG44" s="811">
        <f t="shared" si="23"/>
        <v>-1</v>
      </c>
      <c r="AH44" s="176">
        <f t="shared" si="16"/>
        <v>5</v>
      </c>
      <c r="AI44" s="225">
        <f t="shared" si="17"/>
        <v>-0.50101795354358203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7">
        <v>8.3119999999999994</v>
      </c>
      <c r="C45" s="390"/>
      <c r="D45" s="393">
        <f t="shared" si="0"/>
        <v>8.4901118137749787</v>
      </c>
      <c r="E45" s="385">
        <f t="shared" si="1"/>
        <v>8.9560196072979412</v>
      </c>
      <c r="F45" s="385">
        <f t="shared" si="2"/>
        <v>8.9560196072979412</v>
      </c>
      <c r="G45" s="110">
        <f t="shared" si="21"/>
        <v>0.26486569137418714</v>
      </c>
      <c r="H45" s="414" t="b">
        <f>Wh_hp&gt;='2020'!Maxi_hp</f>
        <v>0</v>
      </c>
      <c r="I45" s="380">
        <f>IF(H45,Wh_hp,'2020'!Maxi_hp)</f>
        <v>23.585730416186674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2.0978735932075443E-2</v>
      </c>
      <c r="M45" s="845"/>
      <c r="N45" s="845"/>
      <c r="O45" s="48">
        <f>IF(t&lt;Tnet,'2020'!Resal+('2020'!Salim-'2020'!Resal)*(1-EXP(('2020'!Tnet-t)/('2020'!Tau_j))),Resal+(Salim-Resal)*(1-EXP((Tnet-t)/(Tau_j))))*Salcycl</f>
        <v>5.2021747824592769E-2</v>
      </c>
      <c r="P45" s="169">
        <f>(INDEX(Models!$BJ45:$BT45,,T45)*(1-R45)+INDEX(Models!$BJ45:$BT45,,T45+1)*R45-ERP_i)*Q45*Ramure*Pc/MaxiM</f>
        <v>1.0060587615473691E-4</v>
      </c>
      <c r="Q45" s="305">
        <f t="shared" si="4"/>
        <v>0.5</v>
      </c>
      <c r="R45" s="177">
        <f t="shared" si="5"/>
        <v>0.49907762433784808</v>
      </c>
      <c r="S45" s="811">
        <f t="shared" si="6"/>
        <v>-1</v>
      </c>
      <c r="T45" s="176">
        <f t="shared" si="7"/>
        <v>5</v>
      </c>
      <c r="U45" s="251">
        <f t="shared" si="8"/>
        <v>-0.50092237566215192</v>
      </c>
      <c r="V45" s="383">
        <f t="shared" si="9"/>
        <v>31.378785681290307</v>
      </c>
      <c r="W45" s="402"/>
      <c r="X45" s="157">
        <f t="shared" si="10"/>
        <v>44227</v>
      </c>
      <c r="Y45" s="385">
        <f t="shared" si="11"/>
        <v>8.3119999999999994</v>
      </c>
      <c r="Z45" s="385">
        <f t="shared" si="12"/>
        <v>8.4901118137749787</v>
      </c>
      <c r="AA45" s="386">
        <f t="shared" si="13"/>
        <v>8.9560196072979412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5.2021747824592769E-2</v>
      </c>
      <c r="AD45" s="231">
        <f>(INDEX(Models!$BJ45:$BT45,,AH45)*(1-AF45)+INDEX(Models!$BJ45:$BT45,,AH45+1)*AF45-ERP_i)*AE45*Ramure*Pc/MaxiM</f>
        <v>1.0060587615473691E-4</v>
      </c>
      <c r="AE45" s="305">
        <f t="shared" si="15"/>
        <v>0.5</v>
      </c>
      <c r="AF45" s="177">
        <f t="shared" si="22"/>
        <v>0.49907762433784808</v>
      </c>
      <c r="AG45" s="811">
        <f t="shared" si="23"/>
        <v>-1</v>
      </c>
      <c r="AH45" s="176">
        <f t="shared" si="16"/>
        <v>5</v>
      </c>
      <c r="AI45" s="225">
        <f t="shared" si="17"/>
        <v>-0.50092237566215192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7">
        <v>7.59</v>
      </c>
      <c r="C46" s="390"/>
      <c r="D46" s="393">
        <f t="shared" si="0"/>
        <v>7.752810406367014</v>
      </c>
      <c r="E46" s="385">
        <f t="shared" si="1"/>
        <v>8.178755003896077</v>
      </c>
      <c r="F46" s="385">
        <f t="shared" si="2"/>
        <v>8.178755003896077</v>
      </c>
      <c r="G46" s="110">
        <f t="shared" si="21"/>
        <v>0.2394038383281927</v>
      </c>
      <c r="H46" s="414" t="b">
        <f>Wh_hp&gt;='2020'!Maxi_hp</f>
        <v>0</v>
      </c>
      <c r="I46" s="380">
        <f>IF(H46,Wh_hp,'2020'!Maxi_hp)</f>
        <v>27.944973498874095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2.1000179010350339E-2</v>
      </c>
      <c r="M46" s="845"/>
      <c r="N46" s="845"/>
      <c r="O46" s="48">
        <f>IF(t&lt;Tnet,'2020'!Resal+('2020'!Salim-'2020'!Resal)*(1-EXP(('2020'!Tnet-t)/('2020'!Tau_j))),Resal+(Salim-Resal)*(1-EXP((Tnet-t)/(Tau_j))))*Salcycl</f>
        <v>5.2079393174897286E-2</v>
      </c>
      <c r="P46" s="169">
        <f>(INDEX(Models!$BJ46:$BT46,,T46)*(1-R46)+INDEX(Models!$BJ46:$BT46,,T46+1)*R46-ERP_i)*Q46*Ramure*Pc/MaxiM</f>
        <v>9.6709401908680814E-5</v>
      </c>
      <c r="Q46" s="305">
        <f t="shared" si="4"/>
        <v>0.5</v>
      </c>
      <c r="R46" s="177">
        <f t="shared" si="5"/>
        <v>0.49917717292828856</v>
      </c>
      <c r="S46" s="811">
        <f t="shared" si="6"/>
        <v>-1</v>
      </c>
      <c r="T46" s="176">
        <f t="shared" si="7"/>
        <v>5</v>
      </c>
      <c r="U46" s="251">
        <f t="shared" si="8"/>
        <v>-0.50082282707171144</v>
      </c>
      <c r="V46" s="383">
        <f t="shared" si="9"/>
        <v>31.700686290733479</v>
      </c>
      <c r="W46" s="402"/>
      <c r="X46" s="157">
        <f t="shared" si="10"/>
        <v>44228</v>
      </c>
      <c r="Y46" s="385">
        <f t="shared" si="11"/>
        <v>7.5900000000000007</v>
      </c>
      <c r="Z46" s="385">
        <f t="shared" si="12"/>
        <v>7.7528104063670149</v>
      </c>
      <c r="AA46" s="386">
        <f t="shared" si="13"/>
        <v>8.178755003896077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5.2079393174897286E-2</v>
      </c>
      <c r="AD46" s="231">
        <f>(INDEX(Models!$BJ46:$BT46,,AH46)*(1-AF46)+INDEX(Models!$BJ46:$BT46,,AH46+1)*AF46-ERP_i)*AE46*Ramure*Pc/MaxiM</f>
        <v>9.6709401908680814E-5</v>
      </c>
      <c r="AE46" s="305">
        <f t="shared" si="15"/>
        <v>0.5</v>
      </c>
      <c r="AF46" s="177">
        <f t="shared" si="22"/>
        <v>0.49917717292828856</v>
      </c>
      <c r="AG46" s="811">
        <f t="shared" si="23"/>
        <v>-1</v>
      </c>
      <c r="AH46" s="176">
        <f t="shared" si="16"/>
        <v>5</v>
      </c>
      <c r="AI46" s="225">
        <f t="shared" si="17"/>
        <v>-0.50082282707171144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7">
        <v>27.341000000000001</v>
      </c>
      <c r="C47" s="390"/>
      <c r="D47" s="393">
        <f t="shared" si="0"/>
        <v>27.928093820840719</v>
      </c>
      <c r="E47" s="385">
        <f t="shared" si="1"/>
        <v>29.464274549071082</v>
      </c>
      <c r="F47" s="385">
        <f t="shared" si="2"/>
        <v>29.466447098882323</v>
      </c>
      <c r="G47" s="110">
        <f t="shared" si="21"/>
        <v>0.85379400102113912</v>
      </c>
      <c r="H47" s="414" t="b">
        <f>Wh_hp&gt;='2020'!Maxi_hp</f>
        <v>0</v>
      </c>
      <c r="I47" s="380">
        <f>IF(H47,Wh_hp,'2020'!Maxi_hp)</f>
        <v>29.540538398179784</v>
      </c>
      <c r="J47" s="85">
        <f>IF(H47,An,'2020'!An_max)</f>
        <v>2020</v>
      </c>
      <c r="K47" s="197">
        <f t="shared" si="3"/>
        <v>44229</v>
      </c>
      <c r="L47" s="147">
        <f>IF(t&lt;Tvie,1-EXP((T0-t)*PertePVj)+'2020'!Pspv,1-EXP((T0-t)*PertePVj)+Pspv)</f>
        <v>2.1021621618966813E-2</v>
      </c>
      <c r="M47" s="845"/>
      <c r="N47" s="845"/>
      <c r="O47" s="48">
        <f>IF(t&lt;Tnet,'2020'!Resal+('2020'!Salim-'2020'!Resal)*(1-EXP(('2020'!Tnet-t)/('2020'!Tau_j))),Resal+(Salim-Resal)*(1-EXP((Tnet-t)/(Tau_j))))*Salcycl</f>
        <v>5.2137062654366163E-2</v>
      </c>
      <c r="P47" s="169">
        <f>(INDEX(Models!$BJ47:$BT47,,T47)*(1-R47)+INDEX(Models!$BJ47:$BT47,,T47+1)*R47-ERP_i)*Q47*Ramure*Pc/MaxiM</f>
        <v>9.319202079842033E-5</v>
      </c>
      <c r="Q47" s="305">
        <f t="shared" si="4"/>
        <v>0.5</v>
      </c>
      <c r="R47" s="177">
        <f t="shared" si="5"/>
        <v>0.4992808554935334</v>
      </c>
      <c r="S47" s="811">
        <f t="shared" si="6"/>
        <v>-1</v>
      </c>
      <c r="T47" s="176">
        <f t="shared" si="7"/>
        <v>5</v>
      </c>
      <c r="U47" s="251">
        <f t="shared" si="8"/>
        <v>-0.5007191445064666</v>
      </c>
      <c r="V47" s="383">
        <f t="shared" si="9"/>
        <v>32.02232365938179</v>
      </c>
      <c r="W47" s="402"/>
      <c r="X47" s="157">
        <f t="shared" si="10"/>
        <v>44229</v>
      </c>
      <c r="Y47" s="385">
        <f t="shared" si="11"/>
        <v>27.341000000000001</v>
      </c>
      <c r="Z47" s="385">
        <f t="shared" si="12"/>
        <v>27.928093820840719</v>
      </c>
      <c r="AA47" s="386">
        <f t="shared" si="13"/>
        <v>29.464274549071082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5.2137062654366163E-2</v>
      </c>
      <c r="AD47" s="231">
        <f>(INDEX(Models!$BJ47:$BT47,,AH47)*(1-AF47)+INDEX(Models!$BJ47:$BT47,,AH47+1)*AF47-ERP_i)*AE47*Ramure*Pc/MaxiM</f>
        <v>9.319202079842033E-5</v>
      </c>
      <c r="AE47" s="305">
        <f t="shared" si="15"/>
        <v>0.5</v>
      </c>
      <c r="AF47" s="177">
        <f t="shared" si="22"/>
        <v>0.4992808554935334</v>
      </c>
      <c r="AG47" s="811">
        <f t="shared" si="23"/>
        <v>-1</v>
      </c>
      <c r="AH47" s="176">
        <f t="shared" si="16"/>
        <v>5</v>
      </c>
      <c r="AI47" s="225">
        <f t="shared" si="17"/>
        <v>-0.5007191445064666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7">
        <v>21.579000000000001</v>
      </c>
      <c r="C48" s="390"/>
      <c r="D48" s="393">
        <f t="shared" si="0"/>
        <v>22.042849078566825</v>
      </c>
      <c r="E48" s="385">
        <f t="shared" si="1"/>
        <v>23.256728282377274</v>
      </c>
      <c r="F48" s="385">
        <f t="shared" si="2"/>
        <v>23.257826862843825</v>
      </c>
      <c r="G48" s="110">
        <f t="shared" si="21"/>
        <v>0.66716987122581539</v>
      </c>
      <c r="H48" s="414" t="b">
        <f>Wh_hp&gt;='2020'!Maxi_hp</f>
        <v>0</v>
      </c>
      <c r="I48" s="380">
        <f>IF(H48,Wh_hp,'2020'!Maxi_hp)</f>
        <v>27.40840746637317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2.1043063757935188E-2</v>
      </c>
      <c r="M48" s="845"/>
      <c r="N48" s="845"/>
      <c r="O48" s="48">
        <f>IF(t&lt;Tnet,'2020'!Resal+('2020'!Salim-'2020'!Resal)*(1-EXP(('2020'!Tnet-t)/('2020'!Tau_j))),Resal+(Salim-Resal)*(1-EXP((Tnet-t)/(Tau_j))))*Salcycl</f>
        <v>5.219475366749092E-2</v>
      </c>
      <c r="P48" s="169">
        <f>(INDEX(Models!$BJ48:$BT48,,T48)*(1-R48)+INDEX(Models!$BJ48:$BT48,,T48+1)*R48-ERP_i)*Q48*Ramure*Pc/MaxiM</f>
        <v>9.0045073604408263E-5</v>
      </c>
      <c r="Q48" s="305">
        <f t="shared" si="4"/>
        <v>0.5</v>
      </c>
      <c r="R48" s="177">
        <f t="shared" si="5"/>
        <v>0.49938884186816634</v>
      </c>
      <c r="S48" s="811">
        <f t="shared" si="6"/>
        <v>-1</v>
      </c>
      <c r="T48" s="176">
        <f t="shared" si="7"/>
        <v>5</v>
      </c>
      <c r="U48" s="251">
        <f t="shared" si="8"/>
        <v>-0.50061115813183366</v>
      </c>
      <c r="V48" s="383">
        <f t="shared" si="9"/>
        <v>32.34270174006506</v>
      </c>
      <c r="W48" s="402"/>
      <c r="X48" s="157">
        <f t="shared" si="10"/>
        <v>44230</v>
      </c>
      <c r="Y48" s="385">
        <f t="shared" si="11"/>
        <v>21.579000000000001</v>
      </c>
      <c r="Z48" s="385">
        <f t="shared" si="12"/>
        <v>22.042849078566825</v>
      </c>
      <c r="AA48" s="386">
        <f t="shared" si="13"/>
        <v>23.256728282377274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5.219475366749092E-2</v>
      </c>
      <c r="AD48" s="231">
        <f>(INDEX(Models!$BJ48:$BT48,,AH48)*(1-AF48)+INDEX(Models!$BJ48:$BT48,,AH48+1)*AF48-ERP_i)*AE48*Ramure*Pc/MaxiM</f>
        <v>9.0045073604408263E-5</v>
      </c>
      <c r="AE48" s="305">
        <f t="shared" si="15"/>
        <v>0.5</v>
      </c>
      <c r="AF48" s="177">
        <f t="shared" si="22"/>
        <v>0.49938884186816634</v>
      </c>
      <c r="AG48" s="811">
        <f t="shared" si="23"/>
        <v>-1</v>
      </c>
      <c r="AH48" s="176">
        <f t="shared" si="16"/>
        <v>5</v>
      </c>
      <c r="AI48" s="225">
        <f t="shared" si="17"/>
        <v>-0.50061115813183366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7">
        <v>15.777000000000001</v>
      </c>
      <c r="C49" s="390"/>
      <c r="D49" s="393">
        <f t="shared" si="0"/>
        <v>16.116485802658552</v>
      </c>
      <c r="E49" s="385">
        <f t="shared" si="1"/>
        <v>17.00504108407215</v>
      </c>
      <c r="F49" s="385">
        <f t="shared" si="2"/>
        <v>17.005429134175404</v>
      </c>
      <c r="G49" s="110">
        <f t="shared" si="21"/>
        <v>0.48302464417439533</v>
      </c>
      <c r="H49" s="414" t="b">
        <f>Wh_hp&gt;='2020'!Maxi_hp</f>
        <v>0</v>
      </c>
      <c r="I49" s="380">
        <f>IF(H49,Wh_hp,'2020'!Maxi_hp)</f>
        <v>27.911356460515268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2.1064505427265567E-2</v>
      </c>
      <c r="M49" s="845"/>
      <c r="N49" s="845"/>
      <c r="O49" s="48">
        <f>IF(t&lt;Tnet,'2020'!Resal+('2020'!Salim-'2020'!Resal)*(1-EXP(('2020'!Tnet-t)/('2020'!Tau_j))),Resal+(Salim-Resal)*(1-EXP((Tnet-t)/(Tau_j))))*Salcycl</f>
        <v>5.2252463079661055E-2</v>
      </c>
      <c r="P49" s="169">
        <f>(INDEX(Models!$BJ49:$BT49,,T49)*(1-R49)+INDEX(Models!$BJ49:$BT49,,T49+1)*R49-ERP_i)*Q49*Ramure*Pc/MaxiM</f>
        <v>8.7259921291436287E-5</v>
      </c>
      <c r="Q49" s="305">
        <f t="shared" si="4"/>
        <v>0.5</v>
      </c>
      <c r="R49" s="177">
        <f t="shared" si="5"/>
        <v>0.4995013087075324</v>
      </c>
      <c r="S49" s="811">
        <f t="shared" si="6"/>
        <v>-1</v>
      </c>
      <c r="T49" s="176">
        <f t="shared" si="7"/>
        <v>5</v>
      </c>
      <c r="U49" s="251">
        <f t="shared" si="8"/>
        <v>-0.5004986912924676</v>
      </c>
      <c r="V49" s="383">
        <f t="shared" si="9"/>
        <v>32.660824837069917</v>
      </c>
      <c r="W49" s="402"/>
      <c r="X49" s="157">
        <f t="shared" si="10"/>
        <v>44231</v>
      </c>
      <c r="Y49" s="385">
        <f t="shared" si="11"/>
        <v>15.777000000000003</v>
      </c>
      <c r="Z49" s="385">
        <f t="shared" si="12"/>
        <v>16.116485802658552</v>
      </c>
      <c r="AA49" s="386">
        <f t="shared" si="13"/>
        <v>17.00504108407215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5.2252463079661055E-2</v>
      </c>
      <c r="AD49" s="231">
        <f>(INDEX(Models!$BJ49:$BT49,,AH49)*(1-AF49)+INDEX(Models!$BJ49:$BT49,,AH49+1)*AF49-ERP_i)*AE49*Ramure*Pc/MaxiM</f>
        <v>8.7259921291436287E-5</v>
      </c>
      <c r="AE49" s="305">
        <f t="shared" si="15"/>
        <v>0.5</v>
      </c>
      <c r="AF49" s="177">
        <f t="shared" si="22"/>
        <v>0.4995013087075324</v>
      </c>
      <c r="AG49" s="811">
        <f t="shared" si="23"/>
        <v>-1</v>
      </c>
      <c r="AH49" s="176">
        <f t="shared" si="16"/>
        <v>5</v>
      </c>
      <c r="AI49" s="225">
        <f t="shared" si="17"/>
        <v>-0.5004986912924676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7">
        <v>13.525</v>
      </c>
      <c r="C50" s="390"/>
      <c r="D50" s="393">
        <f t="shared" si="0"/>
        <v>13.81633040551117</v>
      </c>
      <c r="E50" s="385">
        <f t="shared" si="1"/>
        <v>14.578958451988481</v>
      </c>
      <c r="F50" s="385">
        <f t="shared" si="2"/>
        <v>14.579153059843964</v>
      </c>
      <c r="G50" s="110">
        <f t="shared" si="21"/>
        <v>0.41012121670384977</v>
      </c>
      <c r="H50" s="414" t="b">
        <f>Wh_hp&gt;='2020'!Maxi_hp</f>
        <v>0</v>
      </c>
      <c r="I50" s="380">
        <f>IF(H50,Wh_hp,'2020'!Maxi_hp)</f>
        <v>35.533389786711119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2.1085946626968499E-2</v>
      </c>
      <c r="M50" s="845"/>
      <c r="N50" s="845"/>
      <c r="O50" s="48">
        <f>IF(t&lt;Tnet,'2020'!Resal+('2020'!Salim-'2020'!Resal)*(1-EXP(('2020'!Tnet-t)/('2020'!Tau_j))),Resal+(Salim-Resal)*(1-EXP((Tnet-t)/(Tau_j))))*Salcycl</f>
        <v>5.2310187246146667E-2</v>
      </c>
      <c r="P50" s="169">
        <f>(INDEX(Models!$BJ50:$BT50,,T50)*(1-R50)+INDEX(Models!$BJ50:$BT50,,T50+1)*R50-ERP_i)*Q50*Ramure*Pc/MaxiM</f>
        <v>8.482805366690864E-5</v>
      </c>
      <c r="Q50" s="305">
        <f t="shared" si="4"/>
        <v>0.5</v>
      </c>
      <c r="R50" s="177">
        <f t="shared" si="5"/>
        <v>0.49961843974831321</v>
      </c>
      <c r="S50" s="811">
        <f t="shared" si="6"/>
        <v>-1</v>
      </c>
      <c r="T50" s="176">
        <f t="shared" si="7"/>
        <v>5</v>
      </c>
      <c r="U50" s="251">
        <f t="shared" si="8"/>
        <v>-0.50038156025168679</v>
      </c>
      <c r="V50" s="383">
        <f t="shared" si="9"/>
        <v>32.975697607155951</v>
      </c>
      <c r="W50" s="402"/>
      <c r="X50" s="157">
        <f t="shared" si="10"/>
        <v>44232</v>
      </c>
      <c r="Y50" s="385">
        <f t="shared" si="11"/>
        <v>13.525</v>
      </c>
      <c r="Z50" s="385">
        <f t="shared" si="12"/>
        <v>13.81633040551117</v>
      </c>
      <c r="AA50" s="386">
        <f t="shared" si="13"/>
        <v>14.578958451988481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5.2310187246146667E-2</v>
      </c>
      <c r="AD50" s="231">
        <f>(INDEX(Models!$BJ50:$BT50,,AH50)*(1-AF50)+INDEX(Models!$BJ50:$BT50,,AH50+1)*AF50-ERP_i)*AE50*Ramure*Pc/MaxiM</f>
        <v>8.482805366690864E-5</v>
      </c>
      <c r="AE50" s="305">
        <f t="shared" si="15"/>
        <v>0.5</v>
      </c>
      <c r="AF50" s="177">
        <f t="shared" si="22"/>
        <v>0.49961843974831321</v>
      </c>
      <c r="AG50" s="811">
        <f t="shared" si="23"/>
        <v>-1</v>
      </c>
      <c r="AH50" s="176">
        <f t="shared" si="16"/>
        <v>5</v>
      </c>
      <c r="AI50" s="225">
        <f t="shared" si="17"/>
        <v>-0.50038156025168679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7">
        <v>9.7729999999999997</v>
      </c>
      <c r="C51" s="390"/>
      <c r="D51" s="393">
        <f t="shared" si="0"/>
        <v>9.9837304662189048</v>
      </c>
      <c r="E51" s="385">
        <f t="shared" si="1"/>
        <v>10.535450095581988</v>
      </c>
      <c r="F51" s="385">
        <f t="shared" si="2"/>
        <v>10.535450095581988</v>
      </c>
      <c r="G51" s="110">
        <f t="shared" si="21"/>
        <v>0.29356161084271681</v>
      </c>
      <c r="H51" s="414" t="b">
        <f>Wh_hp&gt;='2020'!Maxi_hp</f>
        <v>0</v>
      </c>
      <c r="I51" s="380">
        <f>IF(H51,Wh_hp,'2020'!Maxi_hp)</f>
        <v>37.103452774243969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2.1107387357054086E-2</v>
      </c>
      <c r="M51" s="845"/>
      <c r="N51" s="845"/>
      <c r="O51" s="48">
        <f>IF(t&lt;Tnet,'2020'!Resal+('2020'!Salim-'2020'!Resal)*(1-EXP(('2020'!Tnet-t)/('2020'!Tau_j))),Resal+(Salim-Resal)*(1-EXP((Tnet-t)/(Tau_j))))*Salcycl</f>
        <v>5.2367922049618348E-2</v>
      </c>
      <c r="P51" s="169">
        <f>(INDEX(Models!$BJ51:$BT51,,T51)*(1-R51)+INDEX(Models!$BJ51:$BT51,,T51+1)*R51-ERP_i)*Q51*Ramure*Pc/MaxiM</f>
        <v>8.2736070821908331E-5</v>
      </c>
      <c r="Q51" s="305">
        <f t="shared" si="4"/>
        <v>0.5</v>
      </c>
      <c r="R51" s="177">
        <f t="shared" si="5"/>
        <v>0.49974042607790736</v>
      </c>
      <c r="S51" s="811">
        <f t="shared" si="6"/>
        <v>-1</v>
      </c>
      <c r="T51" s="176">
        <f t="shared" si="7"/>
        <v>5</v>
      </c>
      <c r="U51" s="251">
        <f t="shared" si="8"/>
        <v>-0.50025957392209264</v>
      </c>
      <c r="V51" s="383">
        <f t="shared" si="9"/>
        <v>33.288383288016369</v>
      </c>
      <c r="W51" s="402"/>
      <c r="X51" s="157">
        <f t="shared" si="10"/>
        <v>44233</v>
      </c>
      <c r="Y51" s="385">
        <f t="shared" si="11"/>
        <v>9.7729999999999997</v>
      </c>
      <c r="Z51" s="385">
        <f t="shared" si="12"/>
        <v>9.9837304662189048</v>
      </c>
      <c r="AA51" s="386">
        <f t="shared" si="13"/>
        <v>10.535450095581988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5.2367922049618348E-2</v>
      </c>
      <c r="AD51" s="231">
        <f>(INDEX(Models!$BJ51:$BT51,,AH51)*(1-AF51)+INDEX(Models!$BJ51:$BT51,,AH51+1)*AF51-ERP_i)*AE51*Ramure*Pc/MaxiM</f>
        <v>8.2736070821908331E-5</v>
      </c>
      <c r="AE51" s="305">
        <f t="shared" si="15"/>
        <v>0.5</v>
      </c>
      <c r="AF51" s="177">
        <f t="shared" si="22"/>
        <v>0.49974042607790736</v>
      </c>
      <c r="AG51" s="811">
        <f t="shared" si="23"/>
        <v>-1</v>
      </c>
      <c r="AH51" s="176">
        <f t="shared" si="16"/>
        <v>5</v>
      </c>
      <c r="AI51" s="225">
        <f t="shared" si="17"/>
        <v>-0.50025957392209264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7">
        <v>18.451000000000001</v>
      </c>
      <c r="C52" s="390"/>
      <c r="D52" s="393">
        <f t="shared" si="0"/>
        <v>18.849262824945846</v>
      </c>
      <c r="E52" s="385">
        <f t="shared" si="1"/>
        <v>19.892120425655918</v>
      </c>
      <c r="F52" s="385">
        <f t="shared" si="2"/>
        <v>19.8926955538609</v>
      </c>
      <c r="G52" s="110">
        <f t="shared" si="21"/>
        <v>0.54909619998691073</v>
      </c>
      <c r="H52" s="414" t="b">
        <f>Wh_hp&gt;='2020'!Maxi_hp</f>
        <v>0</v>
      </c>
      <c r="I52" s="380">
        <f>IF(H52,Wh_hp,'2020'!Maxi_hp)</f>
        <v>25.358898167859724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2.1128827617532542E-2</v>
      </c>
      <c r="M52" s="845"/>
      <c r="N52" s="845"/>
      <c r="O52" s="48">
        <f>IF(t&lt;Tnet,'2020'!Resal+('2020'!Salim-'2020'!Resal)*(1-EXP(('2020'!Tnet-t)/('2020'!Tau_j))),Resal+(Salim-Resal)*(1-EXP((Tnet-t)/(Tau_j))))*Salcycl</f>
        <v>5.2425662945667792E-2</v>
      </c>
      <c r="P52" s="169">
        <f>(INDEX(Models!$BJ52:$BT52,,T52)*(1-R52)+INDEX(Models!$BJ52:$BT52,,T52+1)*R52-ERP_i)*Q52*Ramure*Pc/MaxiM</f>
        <v>8.1236625341655756E-5</v>
      </c>
      <c r="Q52" s="305">
        <f t="shared" si="4"/>
        <v>0.5</v>
      </c>
      <c r="R52" s="177">
        <f t="shared" si="5"/>
        <v>0.49986746641280877</v>
      </c>
      <c r="S52" s="811">
        <f t="shared" si="6"/>
        <v>-1</v>
      </c>
      <c r="T52" s="176">
        <f t="shared" si="7"/>
        <v>5</v>
      </c>
      <c r="U52" s="251">
        <f t="shared" si="8"/>
        <v>-0.50013253358719123</v>
      </c>
      <c r="V52" s="383">
        <f t="shared" si="9"/>
        <v>33.600732480277969</v>
      </c>
      <c r="W52" s="402"/>
      <c r="X52" s="157">
        <f t="shared" si="10"/>
        <v>44234</v>
      </c>
      <c r="Y52" s="385">
        <f t="shared" si="11"/>
        <v>18.451000000000001</v>
      </c>
      <c r="Z52" s="385">
        <f t="shared" si="12"/>
        <v>18.849262824945846</v>
      </c>
      <c r="AA52" s="386">
        <f t="shared" si="13"/>
        <v>19.892120425655918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5.2425662945667792E-2</v>
      </c>
      <c r="AD52" s="231">
        <f>(INDEX(Models!$BJ52:$BT52,,AH52)*(1-AF52)+INDEX(Models!$BJ52:$BT52,,AH52+1)*AF52-ERP_i)*AE52*Ramure*Pc/MaxiM</f>
        <v>8.1236625341655756E-5</v>
      </c>
      <c r="AE52" s="305">
        <f t="shared" si="15"/>
        <v>0.5</v>
      </c>
      <c r="AF52" s="177">
        <f t="shared" si="22"/>
        <v>0.49986746641280877</v>
      </c>
      <c r="AG52" s="811">
        <f t="shared" si="23"/>
        <v>-1</v>
      </c>
      <c r="AH52" s="176">
        <f t="shared" si="16"/>
        <v>5</v>
      </c>
      <c r="AI52" s="225">
        <f t="shared" si="17"/>
        <v>-0.50013253358719123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7">
        <v>4.6349999999999998</v>
      </c>
      <c r="C53" s="390"/>
      <c r="D53" s="393">
        <f t="shared" si="0"/>
        <v>4.735149681993021</v>
      </c>
      <c r="E53" s="385">
        <f t="shared" si="1"/>
        <v>4.9974319257928981</v>
      </c>
      <c r="F53" s="385">
        <f t="shared" si="2"/>
        <v>4.9974319257928981</v>
      </c>
      <c r="G53" s="110">
        <f t="shared" si="21"/>
        <v>0.13666249888676851</v>
      </c>
      <c r="H53" s="414" t="b">
        <f>Wh_hp&gt;='2020'!Maxi_hp</f>
        <v>0</v>
      </c>
      <c r="I53" s="380">
        <f>IF(H53,Wh_hp,'2020'!Maxi_hp)</f>
        <v>31.189855775222124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2.1150267408414414E-2</v>
      </c>
      <c r="M53" s="845"/>
      <c r="N53" s="845"/>
      <c r="O53" s="48">
        <f>IF(t&lt;Tnet,'2020'!Resal+('2020'!Salim-'2020'!Resal)*(1-EXP(('2020'!Tnet-t)/('2020'!Tau_j))),Resal+(Salim-Resal)*(1-EXP((Tnet-t)/(Tau_j))))*Salcycl</f>
        <v>5.2483405015719707E-2</v>
      </c>
      <c r="P53" s="169">
        <f>(INDEX(Models!$BJ53:$BT53,,T53)*(1-R53)+INDEX(Models!$BJ53:$BT53,,T53+1)*R53-ERP_i)*Q53*Ramure*Pc/MaxiM</f>
        <v>8.0184375094192689E-5</v>
      </c>
      <c r="Q53" s="305">
        <f t="shared" si="4"/>
        <v>0.5</v>
      </c>
      <c r="R53" s="177">
        <f t="shared" si="5"/>
        <v>0.49999976738617502</v>
      </c>
      <c r="S53" s="811">
        <f t="shared" si="6"/>
        <v>-1</v>
      </c>
      <c r="T53" s="176">
        <f t="shared" si="7"/>
        <v>5</v>
      </c>
      <c r="U53" s="251">
        <f t="shared" si="8"/>
        <v>-0.50000023261382498</v>
      </c>
      <c r="V53" s="383">
        <f t="shared" si="9"/>
        <v>33.912948930206909</v>
      </c>
      <c r="W53" s="402"/>
      <c r="X53" s="157">
        <f t="shared" si="10"/>
        <v>44235</v>
      </c>
      <c r="Y53" s="385">
        <f t="shared" si="11"/>
        <v>4.6349999999999998</v>
      </c>
      <c r="Z53" s="385">
        <f t="shared" si="12"/>
        <v>4.735149681993021</v>
      </c>
      <c r="AA53" s="386">
        <f t="shared" si="13"/>
        <v>4.9974319257928981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5.2483405015719707E-2</v>
      </c>
      <c r="AD53" s="231">
        <f>(INDEX(Models!$BJ53:$BT53,,AH53)*(1-AF53)+INDEX(Models!$BJ53:$BT53,,AH53+1)*AF53-ERP_i)*AE53*Ramure*Pc/MaxiM</f>
        <v>8.0184375094192689E-5</v>
      </c>
      <c r="AE53" s="305">
        <f t="shared" si="15"/>
        <v>0.5</v>
      </c>
      <c r="AF53" s="177">
        <f t="shared" si="22"/>
        <v>0.49999976738617502</v>
      </c>
      <c r="AG53" s="811">
        <f t="shared" si="23"/>
        <v>-1</v>
      </c>
      <c r="AH53" s="176">
        <f t="shared" si="16"/>
        <v>5</v>
      </c>
      <c r="AI53" s="225">
        <f t="shared" si="17"/>
        <v>-0.50000023261382498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7">
        <v>12.448</v>
      </c>
      <c r="C54" s="390"/>
      <c r="D54" s="393">
        <f t="shared" si="0"/>
        <v>12.717245798454513</v>
      </c>
      <c r="E54" s="385">
        <f t="shared" si="1"/>
        <v>13.422478142301381</v>
      </c>
      <c r="F54" s="385">
        <f t="shared" si="2"/>
        <v>13.422575341976998</v>
      </c>
      <c r="G54" s="110">
        <f t="shared" si="21"/>
        <v>0.3636819670983984</v>
      </c>
      <c r="H54" s="414" t="b">
        <f>Wh_hp&gt;='2020'!Maxi_hp</f>
        <v>0</v>
      </c>
      <c r="I54" s="380">
        <f>IF(H54,Wh_hp,'2020'!Maxi_hp)</f>
        <v>30.02186446236923</v>
      </c>
      <c r="J54" s="85">
        <f>IF(H54,An,'2020'!An_max)</f>
        <v>2020</v>
      </c>
      <c r="K54" s="197">
        <f t="shared" si="3"/>
        <v>44236</v>
      </c>
      <c r="L54" s="147">
        <f>IF(t&lt;Tvie,1-EXP((T0-t)*PertePVj)+'2020'!Pspv,1-EXP((T0-t)*PertePVj)+Pspv)</f>
        <v>2.1171706729709805E-2</v>
      </c>
      <c r="M54" s="845"/>
      <c r="N54" s="845"/>
      <c r="O54" s="48">
        <f>IF(t&lt;Tnet,'2020'!Resal+('2020'!Salim-'2020'!Resal)*(1-EXP(('2020'!Tnet-t)/('2020'!Tau_j))),Resal+(Salim-Resal)*(1-EXP((Tnet-t)/(Tau_j))))*Salcycl</f>
        <v>5.2541143026659423E-2</v>
      </c>
      <c r="P54" s="169">
        <f>(INDEX(Models!$BJ54:$BT54,,T54)*(1-R54)+INDEX(Models!$BJ54:$BT54,,T54+1)*R54-ERP_i)*Q54*Ramure*Pc/MaxiM</f>
        <v>7.9566668789048803E-5</v>
      </c>
      <c r="Q54" s="305">
        <f t="shared" si="4"/>
        <v>0.5</v>
      </c>
      <c r="R54" s="177">
        <f t="shared" si="5"/>
        <v>0.50013754384476616</v>
      </c>
      <c r="S54" s="811">
        <f t="shared" si="6"/>
        <v>-1</v>
      </c>
      <c r="T54" s="176">
        <f t="shared" si="7"/>
        <v>5</v>
      </c>
      <c r="U54" s="251">
        <f t="shared" si="8"/>
        <v>-0.49986245615523378</v>
      </c>
      <c r="V54" s="383">
        <f t="shared" si="9"/>
        <v>34.225231977204118</v>
      </c>
      <c r="W54" s="402"/>
      <c r="X54" s="157">
        <f t="shared" si="10"/>
        <v>44236</v>
      </c>
      <c r="Y54" s="385">
        <f t="shared" si="11"/>
        <v>12.448</v>
      </c>
      <c r="Z54" s="385">
        <f t="shared" si="12"/>
        <v>12.717245798454513</v>
      </c>
      <c r="AA54" s="386">
        <f t="shared" si="13"/>
        <v>13.422478142301381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5.2541143026659423E-2</v>
      </c>
      <c r="AD54" s="231">
        <f>(INDEX(Models!$BJ54:$BT54,,AH54)*(1-AF54)+INDEX(Models!$BJ54:$BT54,,AH54+1)*AF54-ERP_i)*AE54*Ramure*Pc/MaxiM</f>
        <v>7.9566668789048803E-5</v>
      </c>
      <c r="AE54" s="305">
        <f t="shared" si="15"/>
        <v>0.5</v>
      </c>
      <c r="AF54" s="177">
        <f t="shared" si="22"/>
        <v>0.50013754384476616</v>
      </c>
      <c r="AG54" s="811">
        <f t="shared" si="23"/>
        <v>-1</v>
      </c>
      <c r="AH54" s="176">
        <f t="shared" si="16"/>
        <v>5</v>
      </c>
      <c r="AI54" s="225">
        <f t="shared" si="17"/>
        <v>-0.49986245615523378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7">
        <v>14.445</v>
      </c>
      <c r="C55" s="390"/>
      <c r="D55" s="393">
        <f t="shared" si="0"/>
        <v>14.757763428802908</v>
      </c>
      <c r="E55" s="385">
        <f t="shared" si="1"/>
        <v>15.577101382719665</v>
      </c>
      <c r="F55" s="385">
        <f t="shared" si="2"/>
        <v>15.577310222856127</v>
      </c>
      <c r="G55" s="110">
        <f t="shared" si="21"/>
        <v>0.41821005134829847</v>
      </c>
      <c r="H55" s="414" t="b">
        <f>Wh_hp&gt;='2020'!Maxi_hp</f>
        <v>1</v>
      </c>
      <c r="I55" s="380">
        <f>IF(H55,Wh_hp,'2020'!Maxi_hp)</f>
        <v>15.577310222856127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2.1193145581428929E-2</v>
      </c>
      <c r="M55" s="845"/>
      <c r="N55" s="845"/>
      <c r="O55" s="48">
        <f>IF(t&lt;Tnet,'2020'!Resal+('2020'!Salim-'2020'!Resal)*(1-EXP(('2020'!Tnet-t)/('2020'!Tau_j))),Resal+(Salim-Resal)*(1-EXP((Tnet-t)/(Tau_j))))*Salcycl</f>
        <v>5.2598871496444315E-2</v>
      </c>
      <c r="P55" s="169">
        <f>(INDEX(Models!$BJ55:$BT55,,T55)*(1-R55)+INDEX(Models!$BJ55:$BT55,,T55+1)*R55-ERP_i)*Q55*Ramure*Pc/MaxiM</f>
        <v>7.9371353147239272E-5</v>
      </c>
      <c r="Q55" s="305">
        <f t="shared" si="4"/>
        <v>0.5</v>
      </c>
      <c r="R55" s="177">
        <f t="shared" si="5"/>
        <v>0.50028101915542877</v>
      </c>
      <c r="S55" s="811">
        <f t="shared" si="6"/>
        <v>-1</v>
      </c>
      <c r="T55" s="176">
        <f t="shared" si="7"/>
        <v>5</v>
      </c>
      <c r="U55" s="251">
        <f t="shared" si="8"/>
        <v>-0.49971898084457128</v>
      </c>
      <c r="V55" s="383">
        <f t="shared" si="9"/>
        <v>34.537780909541482</v>
      </c>
      <c r="W55" s="402"/>
      <c r="X55" s="157">
        <f t="shared" si="10"/>
        <v>44237</v>
      </c>
      <c r="Y55" s="385">
        <f t="shared" si="11"/>
        <v>14.445</v>
      </c>
      <c r="Z55" s="385">
        <f t="shared" si="12"/>
        <v>14.757763428802908</v>
      </c>
      <c r="AA55" s="386">
        <f t="shared" si="13"/>
        <v>15.577101382719665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5.2598871496444315E-2</v>
      </c>
      <c r="AD55" s="231">
        <f>(INDEX(Models!$BJ55:$BT55,,AH55)*(1-AF55)+INDEX(Models!$BJ55:$BT55,,AH55+1)*AF55-ERP_i)*AE55*Ramure*Pc/MaxiM</f>
        <v>7.9371353147239272E-5</v>
      </c>
      <c r="AE55" s="305">
        <f t="shared" si="15"/>
        <v>0.5</v>
      </c>
      <c r="AF55" s="177">
        <f t="shared" si="22"/>
        <v>0.50028101915542877</v>
      </c>
      <c r="AG55" s="811">
        <f t="shared" si="23"/>
        <v>-1</v>
      </c>
      <c r="AH55" s="176">
        <f t="shared" si="16"/>
        <v>5</v>
      </c>
      <c r="AI55" s="225">
        <f t="shared" si="17"/>
        <v>-0.49971898084457128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7">
        <v>28.396000000000001</v>
      </c>
      <c r="C56" s="390"/>
      <c r="D56" s="393">
        <f t="shared" si="0"/>
        <v>29.011466185294562</v>
      </c>
      <c r="E56" s="385">
        <f t="shared" si="1"/>
        <v>30.624022628684664</v>
      </c>
      <c r="F56" s="385">
        <f t="shared" si="2"/>
        <v>30.625815125737557</v>
      </c>
      <c r="G56" s="110">
        <f t="shared" si="21"/>
        <v>0.81477056804396286</v>
      </c>
      <c r="H56" s="414" t="b">
        <f>Wh_hp&gt;='2020'!Maxi_hp</f>
        <v>1</v>
      </c>
      <c r="I56" s="380">
        <f>IF(H56,Wh_hp,'2020'!Maxi_hp)</f>
        <v>30.625815125737557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2.1214583963582334E-2</v>
      </c>
      <c r="M56" s="845"/>
      <c r="N56" s="845"/>
      <c r="O56" s="48">
        <f>IF(t&lt;Tnet,'2020'!Resal+('2020'!Salim-'2020'!Resal)*(1-EXP(('2020'!Tnet-t)/('2020'!Tau_j))),Resal+(Salim-Resal)*(1-EXP((Tnet-t)/(Tau_j))))*Salcycl</f>
        <v>5.2656584764917969E-2</v>
      </c>
      <c r="P56" s="169">
        <f>(INDEX(Models!$BJ56:$BT56,,T56)*(1-R56)+INDEX(Models!$BJ56:$BT56,,T56+1)*R56-ERP_i)*Q56*Ramure*Pc/MaxiM</f>
        <v>7.9586727903759586E-5</v>
      </c>
      <c r="Q56" s="305">
        <f t="shared" si="4"/>
        <v>0.5</v>
      </c>
      <c r="R56" s="177">
        <f t="shared" si="5"/>
        <v>0.50043042552128991</v>
      </c>
      <c r="S56" s="811">
        <f t="shared" si="6"/>
        <v>-1</v>
      </c>
      <c r="T56" s="176">
        <f t="shared" si="7"/>
        <v>5</v>
      </c>
      <c r="U56" s="251">
        <f t="shared" si="8"/>
        <v>-0.49956957447871009</v>
      </c>
      <c r="V56" s="383">
        <f t="shared" si="9"/>
        <v>34.850794962734994</v>
      </c>
      <c r="W56" s="402"/>
      <c r="X56" s="157">
        <f t="shared" si="10"/>
        <v>44238</v>
      </c>
      <c r="Y56" s="385">
        <f t="shared" si="11"/>
        <v>28.396000000000001</v>
      </c>
      <c r="Z56" s="385">
        <f t="shared" si="12"/>
        <v>29.011466185294562</v>
      </c>
      <c r="AA56" s="386">
        <f t="shared" si="13"/>
        <v>30.624022628684664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5.2656584764917969E-2</v>
      </c>
      <c r="AD56" s="231">
        <f>(INDEX(Models!$BJ56:$BT56,,AH56)*(1-AF56)+INDEX(Models!$BJ56:$BT56,,AH56+1)*AF56-ERP_i)*AE56*Ramure*Pc/MaxiM</f>
        <v>7.9586727903759586E-5</v>
      </c>
      <c r="AE56" s="305">
        <f t="shared" si="15"/>
        <v>0.5</v>
      </c>
      <c r="AF56" s="177">
        <f t="shared" si="22"/>
        <v>0.50043042552128991</v>
      </c>
      <c r="AG56" s="811">
        <f t="shared" si="23"/>
        <v>-1</v>
      </c>
      <c r="AH56" s="176">
        <f t="shared" si="16"/>
        <v>5</v>
      </c>
      <c r="AI56" s="225">
        <f t="shared" si="17"/>
        <v>-0.49956957447871009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7">
        <v>5.2620000000000005</v>
      </c>
      <c r="C57" s="390"/>
      <c r="D57" s="393">
        <f t="shared" si="0"/>
        <v>5.3761684303979607</v>
      </c>
      <c r="E57" s="385">
        <f t="shared" si="1"/>
        <v>5.6753398686972503</v>
      </c>
      <c r="F57" s="385">
        <f t="shared" si="2"/>
        <v>5.6753398686972503</v>
      </c>
      <c r="G57" s="110">
        <f t="shared" si="21"/>
        <v>0.14962766347558676</v>
      </c>
      <c r="H57" s="414" t="b">
        <f>Wh_hp&gt;='2020'!Maxi_hp</f>
        <v>0</v>
      </c>
      <c r="I57" s="380">
        <f>IF(H57,Wh_hp,'2020'!Maxi_hp)</f>
        <v>38.463815462769276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2.1236021876180122E-2</v>
      </c>
      <c r="M57" s="845"/>
      <c r="N57" s="845"/>
      <c r="O57" s="48">
        <f>IF(t&lt;Tnet,'2020'!Resal+('2020'!Salim-'2020'!Resal)*(1-EXP(('2020'!Tnet-t)/('2020'!Tau_j))),Resal+(Salim-Resal)*(1-EXP((Tnet-t)/(Tau_j))))*Salcycl</f>
        <v>5.2714277069007213E-2</v>
      </c>
      <c r="P57" s="169">
        <f>(INDEX(Models!$BJ57:$BT57,,T57)*(1-R57)+INDEX(Models!$BJ57:$BT57,,T57+1)*R57-ERP_i)*Q57*Ramure*Pc/MaxiM</f>
        <v>8.0201504436019377E-5</v>
      </c>
      <c r="Q57" s="305">
        <f t="shared" si="4"/>
        <v>0.5</v>
      </c>
      <c r="R57" s="177">
        <f t="shared" si="5"/>
        <v>0.50058600430781275</v>
      </c>
      <c r="S57" s="811">
        <f t="shared" si="6"/>
        <v>-1</v>
      </c>
      <c r="T57" s="176">
        <f t="shared" si="7"/>
        <v>5</v>
      </c>
      <c r="U57" s="251">
        <f t="shared" si="8"/>
        <v>-0.49941399569218725</v>
      </c>
      <c r="V57" s="383">
        <f t="shared" si="9"/>
        <v>35.16447331640741</v>
      </c>
      <c r="W57" s="402"/>
      <c r="X57" s="157">
        <f t="shared" si="10"/>
        <v>44239</v>
      </c>
      <c r="Y57" s="385">
        <f t="shared" si="11"/>
        <v>5.2620000000000005</v>
      </c>
      <c r="Z57" s="385">
        <f t="shared" si="12"/>
        <v>5.3761684303979607</v>
      </c>
      <c r="AA57" s="386">
        <f t="shared" si="13"/>
        <v>5.6753398686972503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5.2714277069007213E-2</v>
      </c>
      <c r="AD57" s="231">
        <f>(INDEX(Models!$BJ57:$BT57,,AH57)*(1-AF57)+INDEX(Models!$BJ57:$BT57,,AH57+1)*AF57-ERP_i)*AE57*Ramure*Pc/MaxiM</f>
        <v>8.0201504436019377E-5</v>
      </c>
      <c r="AE57" s="305">
        <f t="shared" si="15"/>
        <v>0.5</v>
      </c>
      <c r="AF57" s="177">
        <f t="shared" si="22"/>
        <v>0.50058600430781275</v>
      </c>
      <c r="AG57" s="811">
        <f t="shared" si="23"/>
        <v>-1</v>
      </c>
      <c r="AH57" s="176">
        <f t="shared" si="16"/>
        <v>5</v>
      </c>
      <c r="AI57" s="225">
        <f t="shared" si="17"/>
        <v>-0.49941399569218725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7">
        <v>7.2910000000000004</v>
      </c>
      <c r="C58" s="390"/>
      <c r="D58" s="393">
        <f t="shared" si="0"/>
        <v>7.4493543469855945</v>
      </c>
      <c r="E58" s="385">
        <f t="shared" si="1"/>
        <v>7.8643725647249854</v>
      </c>
      <c r="F58" s="385">
        <f t="shared" si="2"/>
        <v>7.8643725647249854</v>
      </c>
      <c r="G58" s="110">
        <f t="shared" si="21"/>
        <v>0.20548507102310248</v>
      </c>
      <c r="H58" s="414" t="b">
        <f>Wh_hp&gt;='2020'!Maxi_hp</f>
        <v>0</v>
      </c>
      <c r="I58" s="380">
        <f>IF(H58,Wh_hp,'2020'!Maxi_hp)</f>
        <v>39.79279391744533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2.1257459319232508E-2</v>
      </c>
      <c r="M58" s="845"/>
      <c r="N58" s="845"/>
      <c r="O58" s="48">
        <f>IF(t&lt;Tnet,'2020'!Resal+('2020'!Salim-'2020'!Resal)*(1-EXP(('2020'!Tnet-t)/('2020'!Tau_j))),Resal+(Salim-Resal)*(1-EXP((Tnet-t)/(Tau_j))))*Salcycl</f>
        <v>5.277194262145235E-2</v>
      </c>
      <c r="P58" s="169">
        <f>(INDEX(Models!$BJ58:$BT58,,T58)*(1-R58)+INDEX(Models!$BJ58:$BT58,,T58+1)*R58-ERP_i)*Q58*Ramure*Pc/MaxiM</f>
        <v>8.1213801941187105E-5</v>
      </c>
      <c r="Q58" s="305">
        <f t="shared" si="4"/>
        <v>0.5</v>
      </c>
      <c r="R58" s="177">
        <f t="shared" si="5"/>
        <v>0.50074800637885186</v>
      </c>
      <c r="S58" s="811">
        <f t="shared" si="6"/>
        <v>-1</v>
      </c>
      <c r="T58" s="176">
        <f t="shared" si="7"/>
        <v>5</v>
      </c>
      <c r="U58" s="251">
        <f t="shared" si="8"/>
        <v>-0.49925199362114808</v>
      </c>
      <c r="V58" s="383">
        <f t="shared" si="9"/>
        <v>35.479014771590855</v>
      </c>
      <c r="W58" s="402"/>
      <c r="X58" s="157">
        <f t="shared" si="10"/>
        <v>44240</v>
      </c>
      <c r="Y58" s="385">
        <f t="shared" si="11"/>
        <v>7.2910000000000004</v>
      </c>
      <c r="Z58" s="385">
        <f t="shared" si="12"/>
        <v>7.4493543469855945</v>
      </c>
      <c r="AA58" s="386">
        <f t="shared" si="13"/>
        <v>7.8643725647249854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5.277194262145235E-2</v>
      </c>
      <c r="AD58" s="231">
        <f>(INDEX(Models!$BJ58:$BT58,,AH58)*(1-AF58)+INDEX(Models!$BJ58:$BT58,,AH58+1)*AF58-ERP_i)*AE58*Ramure*Pc/MaxiM</f>
        <v>8.1213801941187105E-5</v>
      </c>
      <c r="AE58" s="305">
        <f t="shared" si="15"/>
        <v>0.5</v>
      </c>
      <c r="AF58" s="177">
        <f t="shared" si="22"/>
        <v>0.50074800637885186</v>
      </c>
      <c r="AG58" s="811">
        <f t="shared" si="23"/>
        <v>-1</v>
      </c>
      <c r="AH58" s="176">
        <f t="shared" si="16"/>
        <v>5</v>
      </c>
      <c r="AI58" s="225">
        <f t="shared" si="17"/>
        <v>-0.49925199362114808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7">
        <v>33.611000000000004</v>
      </c>
      <c r="C59" s="390"/>
      <c r="D59" s="393">
        <f t="shared" si="0"/>
        <v>34.341754635397699</v>
      </c>
      <c r="E59" s="385">
        <f t="shared" si="1"/>
        <v>36.257207524712292</v>
      </c>
      <c r="F59" s="385">
        <f t="shared" si="2"/>
        <v>36.259937181277593</v>
      </c>
      <c r="G59" s="110">
        <f t="shared" si="21"/>
        <v>0.93898901677532365</v>
      </c>
      <c r="H59" s="414" t="b">
        <f>Wh_hp&gt;='2020'!Maxi_hp</f>
        <v>0</v>
      </c>
      <c r="I59" s="380">
        <f>IF(H59,Wh_hp,'2020'!Maxi_hp)</f>
        <v>40.073233720515397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2.1278896292749927E-2</v>
      </c>
      <c r="M59" s="845"/>
      <c r="N59" s="845"/>
      <c r="O59" s="48">
        <f>IF(t&lt;Tnet,'2020'!Resal+('2020'!Salim-'2020'!Resal)*(1-EXP(('2020'!Tnet-t)/('2020'!Tau_j))),Resal+(Salim-Resal)*(1-EXP((Tnet-t)/(Tau_j))))*Salcycl</f>
        <v>5.282957569220003E-2</v>
      </c>
      <c r="P59" s="169">
        <f>(INDEX(Models!$BJ59:$BT59,,T59)*(1-R59)+INDEX(Models!$BJ59:$BT59,,T59+1)*R59-ERP_i)*Q59*Ramure*Pc/MaxiM</f>
        <v>8.2467156756433241E-5</v>
      </c>
      <c r="Q59" s="305">
        <f t="shared" si="4"/>
        <v>0.5</v>
      </c>
      <c r="R59" s="177">
        <f t="shared" si="5"/>
        <v>0.50091669244283366</v>
      </c>
      <c r="S59" s="811">
        <f t="shared" si="6"/>
        <v>-1</v>
      </c>
      <c r="T59" s="176">
        <f t="shared" si="7"/>
        <v>5</v>
      </c>
      <c r="U59" s="251">
        <f t="shared" si="8"/>
        <v>-0.49908330755716634</v>
      </c>
      <c r="V59" s="383">
        <f t="shared" si="9"/>
        <v>35.794623602295218</v>
      </c>
      <c r="W59" s="402"/>
      <c r="X59" s="157">
        <f t="shared" si="10"/>
        <v>44241</v>
      </c>
      <c r="Y59" s="385">
        <f t="shared" si="11"/>
        <v>33.611000000000004</v>
      </c>
      <c r="Z59" s="385">
        <f t="shared" si="12"/>
        <v>34.341754635397699</v>
      </c>
      <c r="AA59" s="386">
        <f t="shared" si="13"/>
        <v>36.257207524712292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5.282957569220003E-2</v>
      </c>
      <c r="AD59" s="231">
        <f>(INDEX(Models!$BJ59:$BT59,,AH59)*(1-AF59)+INDEX(Models!$BJ59:$BT59,,AH59+1)*AF59-ERP_i)*AE59*Ramure*Pc/MaxiM</f>
        <v>8.2467156756433241E-5</v>
      </c>
      <c r="AE59" s="305">
        <f t="shared" si="15"/>
        <v>0.5</v>
      </c>
      <c r="AF59" s="177">
        <f t="shared" si="22"/>
        <v>0.50091669244283366</v>
      </c>
      <c r="AG59" s="811">
        <f t="shared" si="23"/>
        <v>-1</v>
      </c>
      <c r="AH59" s="176">
        <f t="shared" si="16"/>
        <v>5</v>
      </c>
      <c r="AI59" s="225">
        <f t="shared" si="17"/>
        <v>-0.49908330755716634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7">
        <v>32.603999999999999</v>
      </c>
      <c r="C60" s="390"/>
      <c r="D60" s="393">
        <f t="shared" si="0"/>
        <v>33.313590565703919</v>
      </c>
      <c r="E60" s="385">
        <f t="shared" si="1"/>
        <v>35.173835191346072</v>
      </c>
      <c r="F60" s="385">
        <f t="shared" si="2"/>
        <v>35.176378645932843</v>
      </c>
      <c r="G60" s="110">
        <f t="shared" si="21"/>
        <v>0.90285978824839375</v>
      </c>
      <c r="H60" s="414" t="b">
        <f>Wh_hp&gt;='2020'!Maxi_hp</f>
        <v>0</v>
      </c>
      <c r="I60" s="380">
        <f>IF(H60,Wh_hp,'2020'!Maxi_hp)</f>
        <v>40.326165520091415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2.1300332796742594E-2</v>
      </c>
      <c r="M60" s="845"/>
      <c r="N60" s="845"/>
      <c r="O60" s="48">
        <f>IF(t&lt;Tnet,'2020'!Resal+('2020'!Salim-'2020'!Resal)*(1-EXP(('2020'!Tnet-t)/('2020'!Tau_j))),Resal+(Salim-Resal)*(1-EXP((Tnet-t)/(Tau_j))))*Salcycl</f>
        <v>5.2887170691578035E-2</v>
      </c>
      <c r="P60" s="169">
        <f>(INDEX(Models!$BJ60:$BT60,,T60)*(1-R60)+INDEX(Models!$BJ60:$BT60,,T60+1)*R60-ERP_i)*Q60*Ramure*Pc/MaxiM</f>
        <v>8.3955085099751185E-5</v>
      </c>
      <c r="Q60" s="305">
        <f t="shared" si="4"/>
        <v>0.5</v>
      </c>
      <c r="R60" s="177">
        <f t="shared" si="5"/>
        <v>0.50109233340916415</v>
      </c>
      <c r="S60" s="811">
        <f t="shared" si="6"/>
        <v>-1</v>
      </c>
      <c r="T60" s="176">
        <f t="shared" si="7"/>
        <v>5</v>
      </c>
      <c r="U60" s="251">
        <f t="shared" si="8"/>
        <v>-0.49890766659083591</v>
      </c>
      <c r="V60" s="383">
        <f t="shared" si="9"/>
        <v>36.111498797617884</v>
      </c>
      <c r="W60" s="402"/>
      <c r="X60" s="157">
        <f t="shared" si="10"/>
        <v>44242</v>
      </c>
      <c r="Y60" s="385">
        <f t="shared" si="11"/>
        <v>32.603999999999999</v>
      </c>
      <c r="Z60" s="385">
        <f t="shared" si="12"/>
        <v>33.313590565703919</v>
      </c>
      <c r="AA60" s="386">
        <f t="shared" si="13"/>
        <v>35.173835191346072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5.2887170691578035E-2</v>
      </c>
      <c r="AD60" s="231">
        <f>(INDEX(Models!$BJ60:$BT60,,AH60)*(1-AF60)+INDEX(Models!$BJ60:$BT60,,AH60+1)*AF60-ERP_i)*AE60*Ramure*Pc/MaxiM</f>
        <v>8.3955085099751185E-5</v>
      </c>
      <c r="AE60" s="305">
        <f t="shared" si="15"/>
        <v>0.5</v>
      </c>
      <c r="AF60" s="177">
        <f t="shared" si="22"/>
        <v>0.50109233340916415</v>
      </c>
      <c r="AG60" s="811">
        <f t="shared" si="23"/>
        <v>-1</v>
      </c>
      <c r="AH60" s="176">
        <f t="shared" si="16"/>
        <v>5</v>
      </c>
      <c r="AI60" s="225">
        <f t="shared" si="17"/>
        <v>-0.49890766659083591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7">
        <v>29.586000000000002</v>
      </c>
      <c r="C61" s="390"/>
      <c r="D61" s="393">
        <f t="shared" si="0"/>
        <v>30.230569208295503</v>
      </c>
      <c r="E61" s="385">
        <f t="shared" si="1"/>
        <v>31.920596314352753</v>
      </c>
      <c r="F61" s="385">
        <f t="shared" si="2"/>
        <v>31.922597194983364</v>
      </c>
      <c r="G61" s="110">
        <f t="shared" si="21"/>
        <v>0.81211776657779966</v>
      </c>
      <c r="H61" s="414" t="b">
        <f>Wh_hp&gt;='2020'!Maxi_hp</f>
        <v>0</v>
      </c>
      <c r="I61" s="380">
        <f>IF(H61,Wh_hp,'2020'!Maxi_hp)</f>
        <v>40.772992464506032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2.1321768831220833E-2</v>
      </c>
      <c r="M61" s="845"/>
      <c r="N61" s="845"/>
      <c r="O61" s="48">
        <f>IF(t&lt;Tnet,'2020'!Resal+('2020'!Salim-'2020'!Resal)*(1-EXP(('2020'!Tnet-t)/('2020'!Tau_j))),Resal+(Salim-Resal)*(1-EXP((Tnet-t)/(Tau_j))))*Salcycl</f>
        <v>5.2944722254369352E-2</v>
      </c>
      <c r="P61" s="169">
        <f>(INDEX(Models!$BJ61:$BT61,,T61)*(1-R61)+INDEX(Models!$BJ61:$BT61,,T61+1)*R61-ERP_i)*Q61*Ramure*Pc/MaxiM</f>
        <v>8.5671293373479928E-5</v>
      </c>
      <c r="Q61" s="305">
        <f t="shared" si="4"/>
        <v>0.5</v>
      </c>
      <c r="R61" s="177">
        <f t="shared" si="5"/>
        <v>0.50127521075495218</v>
      </c>
      <c r="S61" s="811">
        <f t="shared" si="6"/>
        <v>-1</v>
      </c>
      <c r="T61" s="176">
        <f t="shared" si="7"/>
        <v>5</v>
      </c>
      <c r="U61" s="251">
        <f t="shared" si="8"/>
        <v>-0.49872478924504782</v>
      </c>
      <c r="V61" s="383">
        <f t="shared" si="9"/>
        <v>36.429839277984293</v>
      </c>
      <c r="W61" s="402"/>
      <c r="X61" s="157">
        <f t="shared" si="10"/>
        <v>44243</v>
      </c>
      <c r="Y61" s="385">
        <f t="shared" si="11"/>
        <v>29.586000000000002</v>
      </c>
      <c r="Z61" s="385">
        <f t="shared" si="12"/>
        <v>30.230569208295503</v>
      </c>
      <c r="AA61" s="386">
        <f t="shared" si="13"/>
        <v>31.920596314352753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5.2944722254369352E-2</v>
      </c>
      <c r="AD61" s="231">
        <f>(INDEX(Models!$BJ61:$BT61,,AH61)*(1-AF61)+INDEX(Models!$BJ61:$BT61,,AH61+1)*AF61-ERP_i)*AE61*Ramure*Pc/MaxiM</f>
        <v>8.5671293373479928E-5</v>
      </c>
      <c r="AE61" s="305">
        <f t="shared" si="15"/>
        <v>0.5</v>
      </c>
      <c r="AF61" s="177">
        <f t="shared" si="22"/>
        <v>0.50127521075495218</v>
      </c>
      <c r="AG61" s="811">
        <f t="shared" si="23"/>
        <v>-1</v>
      </c>
      <c r="AH61" s="176">
        <f t="shared" si="16"/>
        <v>5</v>
      </c>
      <c r="AI61" s="225">
        <f t="shared" si="17"/>
        <v>-0.49872478924504782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7">
        <v>33.11</v>
      </c>
      <c r="C62" s="390"/>
      <c r="D62" s="393">
        <f t="shared" si="0"/>
        <v>33.832085107600989</v>
      </c>
      <c r="E62" s="385">
        <f t="shared" si="1"/>
        <v>35.725622606846052</v>
      </c>
      <c r="F62" s="385">
        <f t="shared" si="2"/>
        <v>35.728309864274635</v>
      </c>
      <c r="G62" s="110">
        <f t="shared" si="21"/>
        <v>0.90094503896136513</v>
      </c>
      <c r="H62" s="414" t="b">
        <f>Wh_hp&gt;='2020'!Maxi_hp</f>
        <v>0</v>
      </c>
      <c r="I62" s="380">
        <f>IF(H62,Wh_hp,'2020'!Maxi_hp)</f>
        <v>41.216821259374889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2.134320439619497E-2</v>
      </c>
      <c r="M62" s="845"/>
      <c r="N62" s="845"/>
      <c r="O62" s="48">
        <f>IF(t&lt;Tnet,'2020'!Resal+('2020'!Salim-'2020'!Resal)*(1-EXP(('2020'!Tnet-t)/('2020'!Tau_j))),Resal+(Salim-Resal)*(1-EXP((Tnet-t)/(Tau_j))))*Salcycl</f>
        <v>5.300222532391112E-2</v>
      </c>
      <c r="P62" s="169">
        <f>(INDEX(Models!$BJ62:$BT62,,T62)*(1-R62)+INDEX(Models!$BJ62:$BT62,,T62+1)*R62-ERP_i)*Q62*Ramure*Pc/MaxiM</f>
        <v>8.7609663835251411E-5</v>
      </c>
      <c r="Q62" s="305">
        <f t="shared" si="4"/>
        <v>0.5</v>
      </c>
      <c r="R62" s="177">
        <f t="shared" si="5"/>
        <v>0.50146561690210856</v>
      </c>
      <c r="S62" s="811">
        <f t="shared" si="6"/>
        <v>-1</v>
      </c>
      <c r="T62" s="176">
        <f t="shared" si="7"/>
        <v>5</v>
      </c>
      <c r="U62" s="251">
        <f t="shared" si="8"/>
        <v>-0.4985343830978915</v>
      </c>
      <c r="V62" s="383">
        <f t="shared" si="9"/>
        <v>36.749843892867602</v>
      </c>
      <c r="W62" s="402"/>
      <c r="X62" s="157">
        <f t="shared" si="10"/>
        <v>44244</v>
      </c>
      <c r="Y62" s="385">
        <f t="shared" si="11"/>
        <v>33.11</v>
      </c>
      <c r="Z62" s="385">
        <f t="shared" si="12"/>
        <v>33.832085107600989</v>
      </c>
      <c r="AA62" s="386">
        <f t="shared" si="13"/>
        <v>35.725622606846052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5.300222532391112E-2</v>
      </c>
      <c r="AD62" s="231">
        <f>(INDEX(Models!$BJ62:$BT62,,AH62)*(1-AF62)+INDEX(Models!$BJ62:$BT62,,AH62+1)*AF62-ERP_i)*AE62*Ramure*Pc/MaxiM</f>
        <v>8.7609663835251411E-5</v>
      </c>
      <c r="AE62" s="305">
        <f t="shared" si="15"/>
        <v>0.5</v>
      </c>
      <c r="AF62" s="177">
        <f t="shared" si="22"/>
        <v>0.50146561690210856</v>
      </c>
      <c r="AG62" s="811">
        <f t="shared" si="23"/>
        <v>-1</v>
      </c>
      <c r="AH62" s="176">
        <f t="shared" si="16"/>
        <v>5</v>
      </c>
      <c r="AI62" s="225">
        <f t="shared" si="17"/>
        <v>-0.4985343830978915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7">
        <v>14.417</v>
      </c>
      <c r="C63" s="390"/>
      <c r="D63" s="393">
        <f t="shared" si="0"/>
        <v>14.731738277381977</v>
      </c>
      <c r="E63" s="385">
        <f t="shared" si="1"/>
        <v>15.557198159285839</v>
      </c>
      <c r="F63" s="385">
        <f t="shared" si="2"/>
        <v>15.557375504133063</v>
      </c>
      <c r="G63" s="110">
        <f t="shared" si="21"/>
        <v>0.3888644373519608</v>
      </c>
      <c r="H63" s="414" t="b">
        <f>Wh_hp&gt;='2020'!Maxi_hp</f>
        <v>0</v>
      </c>
      <c r="I63" s="380">
        <f>IF(H63,Wh_hp,'2020'!Maxi_hp)</f>
        <v>40.739227562492772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2.1364639491675108E-2</v>
      </c>
      <c r="M63" s="845"/>
      <c r="N63" s="845"/>
      <c r="O63" s="48">
        <f>IF(t&lt;Tnet,'2020'!Resal+('2020'!Salim-'2020'!Resal)*(1-EXP(('2020'!Tnet-t)/('2020'!Tau_j))),Resal+(Salim-Resal)*(1-EXP((Tnet-t)/(Tau_j))))*Salcycl</f>
        <v>5.3059675235361037E-2</v>
      </c>
      <c r="P63" s="169">
        <f>(INDEX(Models!$BJ63:$BT63,,T63)*(1-R63)+INDEX(Models!$BJ63:$BT63,,T63+1)*R63-ERP_i)*Q63*Ramure*Pc/MaxiM</f>
        <v>8.9764242251649028E-5</v>
      </c>
      <c r="Q63" s="305">
        <f t="shared" si="4"/>
        <v>0.5</v>
      </c>
      <c r="R63" s="177">
        <f t="shared" si="5"/>
        <v>0.50166385560485671</v>
      </c>
      <c r="S63" s="811">
        <f t="shared" si="6"/>
        <v>-1</v>
      </c>
      <c r="T63" s="176">
        <f t="shared" si="7"/>
        <v>5</v>
      </c>
      <c r="U63" s="251">
        <f t="shared" si="8"/>
        <v>-0.49833614439514323</v>
      </c>
      <c r="V63" s="383">
        <f t="shared" si="9"/>
        <v>37.071711415554155</v>
      </c>
      <c r="W63" s="402"/>
      <c r="X63" s="157">
        <f t="shared" si="10"/>
        <v>44245</v>
      </c>
      <c r="Y63" s="385">
        <f t="shared" si="11"/>
        <v>14.417</v>
      </c>
      <c r="Z63" s="385">
        <f t="shared" si="12"/>
        <v>14.731738277381977</v>
      </c>
      <c r="AA63" s="386">
        <f t="shared" si="13"/>
        <v>15.557198159285839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5.3059675235361037E-2</v>
      </c>
      <c r="AD63" s="231">
        <f>(INDEX(Models!$BJ63:$BT63,,AH63)*(1-AF63)+INDEX(Models!$BJ63:$BT63,,AH63+1)*AF63-ERP_i)*AE63*Ramure*Pc/MaxiM</f>
        <v>8.9764242251649028E-5</v>
      </c>
      <c r="AE63" s="305">
        <f t="shared" si="15"/>
        <v>0.5</v>
      </c>
      <c r="AF63" s="177">
        <f t="shared" si="22"/>
        <v>0.50166385560485671</v>
      </c>
      <c r="AG63" s="811">
        <f t="shared" si="23"/>
        <v>-1</v>
      </c>
      <c r="AH63" s="176">
        <f t="shared" si="16"/>
        <v>5</v>
      </c>
      <c r="AI63" s="225">
        <f t="shared" si="17"/>
        <v>-0.49833614439514323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7">
        <v>35.652999999999999</v>
      </c>
      <c r="C64" s="390"/>
      <c r="D64" s="393">
        <f t="shared" si="0"/>
        <v>36.432140456058697</v>
      </c>
      <c r="E64" s="385">
        <f t="shared" si="1"/>
        <v>38.475865618686228</v>
      </c>
      <c r="F64" s="385">
        <f t="shared" si="2"/>
        <v>38.479174675338513</v>
      </c>
      <c r="G64" s="110">
        <f t="shared" si="21"/>
        <v>0.95339405343241046</v>
      </c>
      <c r="H64" s="414" t="b">
        <f>Wh_hp&gt;='2020'!Maxi_hp</f>
        <v>1</v>
      </c>
      <c r="I64" s="380">
        <f>IF(H64,Wh_hp,'2020'!Maxi_hp)</f>
        <v>38.479174675338513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2.1386074117671683E-2</v>
      </c>
      <c r="M64" s="845"/>
      <c r="N64" s="845"/>
      <c r="O64" s="48">
        <f>IF(t&lt;Tnet,'2020'!Resal+('2020'!Salim-'2020'!Resal)*(1-EXP(('2020'!Tnet-t)/('2020'!Tau_j))),Resal+(Salim-Resal)*(1-EXP((Tnet-t)/(Tau_j))))*Salcycl</f>
        <v>5.3117067797299307E-2</v>
      </c>
      <c r="P64" s="169">
        <f>(INDEX(Models!$BJ64:$BT64,,T64)*(1-R64)+INDEX(Models!$BJ64:$BT64,,T64+1)*R64-ERP_i)*Q64*Ramure*Pc/MaxiM</f>
        <v>9.2129227475379379E-5</v>
      </c>
      <c r="Q64" s="305">
        <f t="shared" si="4"/>
        <v>0.5</v>
      </c>
      <c r="R64" s="177">
        <f t="shared" si="5"/>
        <v>0.50187024234766575</v>
      </c>
      <c r="S64" s="811">
        <f t="shared" si="6"/>
        <v>-1</v>
      </c>
      <c r="T64" s="176">
        <f t="shared" si="7"/>
        <v>5</v>
      </c>
      <c r="U64" s="251">
        <f t="shared" si="8"/>
        <v>-0.49812975765233425</v>
      </c>
      <c r="V64" s="383">
        <f t="shared" si="9"/>
        <v>37.39564053951338</v>
      </c>
      <c r="W64" s="402"/>
      <c r="X64" s="157">
        <f t="shared" si="10"/>
        <v>44246</v>
      </c>
      <c r="Y64" s="385">
        <f t="shared" si="11"/>
        <v>35.652999999999999</v>
      </c>
      <c r="Z64" s="385">
        <f t="shared" si="12"/>
        <v>36.432140456058697</v>
      </c>
      <c r="AA64" s="386">
        <f t="shared" si="13"/>
        <v>38.475865618686228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5.3117067797299307E-2</v>
      </c>
      <c r="AD64" s="231">
        <f>(INDEX(Models!$BJ64:$BT64,,AH64)*(1-AF64)+INDEX(Models!$BJ64:$BT64,,AH64+1)*AF64-ERP_i)*AE64*Ramure*Pc/MaxiM</f>
        <v>9.2129227475379379E-5</v>
      </c>
      <c r="AE64" s="305">
        <f t="shared" si="15"/>
        <v>0.5</v>
      </c>
      <c r="AF64" s="177">
        <f t="shared" si="22"/>
        <v>0.50187024234766575</v>
      </c>
      <c r="AG64" s="811">
        <f t="shared" si="23"/>
        <v>-1</v>
      </c>
      <c r="AH64" s="176">
        <f t="shared" si="16"/>
        <v>5</v>
      </c>
      <c r="AI64" s="225">
        <f t="shared" si="17"/>
        <v>-0.49812975765233425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7">
        <v>29.635999999999999</v>
      </c>
      <c r="C65" s="390"/>
      <c r="D65" s="393">
        <f t="shared" si="0"/>
        <v>30.284311652274361</v>
      </c>
      <c r="E65" s="385">
        <f t="shared" si="1"/>
        <v>31.985100141094108</v>
      </c>
      <c r="F65" s="385">
        <f t="shared" si="2"/>
        <v>31.987201685823088</v>
      </c>
      <c r="G65" s="110">
        <f t="shared" si="21"/>
        <v>0.78561998185006765</v>
      </c>
      <c r="H65" s="414" t="b">
        <f>Wh_hp&gt;='2020'!Maxi_hp</f>
        <v>0</v>
      </c>
      <c r="I65" s="380">
        <f>IF(H65,Wh_hp,'2020'!Maxi_hp)</f>
        <v>40.655100676030095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2.1407508274194909E-2</v>
      </c>
      <c r="M65" s="845"/>
      <c r="N65" s="845"/>
      <c r="O65" s="48">
        <f>IF(t&lt;Tnet,'2020'!Resal+('2020'!Salim-'2020'!Resal)*(1-EXP(('2020'!Tnet-t)/('2020'!Tau_j))),Resal+(Salim-Resal)*(1-EXP((Tnet-t)/(Tau_j))))*Salcycl</f>
        <v>5.3174399370868111E-2</v>
      </c>
      <c r="P65" s="169">
        <f>(INDEX(Models!$BJ65:$BT65,,T65)*(1-R65)+INDEX(Models!$BJ65:$BT65,,T65+1)*R65-ERP_i)*Q65*Ramure*Pc/MaxiM</f>
        <v>9.4698588335058779E-5</v>
      </c>
      <c r="Q65" s="305">
        <f t="shared" si="4"/>
        <v>0.5</v>
      </c>
      <c r="R65" s="177">
        <f t="shared" si="5"/>
        <v>0.50208510475357604</v>
      </c>
      <c r="S65" s="811">
        <f t="shared" si="6"/>
        <v>-1</v>
      </c>
      <c r="T65" s="176">
        <f t="shared" si="7"/>
        <v>5</v>
      </c>
      <c r="U65" s="251">
        <f t="shared" si="8"/>
        <v>-0.49791489524642396</v>
      </c>
      <c r="V65" s="383">
        <f t="shared" si="9"/>
        <v>37.721979089965672</v>
      </c>
      <c r="W65" s="402"/>
      <c r="X65" s="157">
        <f t="shared" si="10"/>
        <v>44247</v>
      </c>
      <c r="Y65" s="385">
        <f t="shared" si="11"/>
        <v>29.635999999999999</v>
      </c>
      <c r="Z65" s="385">
        <f t="shared" si="12"/>
        <v>30.284311652274361</v>
      </c>
      <c r="AA65" s="386">
        <f t="shared" si="13"/>
        <v>31.985100141094108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5.3174399370868111E-2</v>
      </c>
      <c r="AD65" s="231">
        <f>(INDEX(Models!$BJ65:$BT65,,AH65)*(1-AF65)+INDEX(Models!$BJ65:$BT65,,AH65+1)*AF65-ERP_i)*AE65*Ramure*Pc/MaxiM</f>
        <v>9.4698588335058779E-5</v>
      </c>
      <c r="AE65" s="305">
        <f t="shared" si="15"/>
        <v>0.5</v>
      </c>
      <c r="AF65" s="177">
        <f t="shared" si="22"/>
        <v>0.50208510475357604</v>
      </c>
      <c r="AG65" s="811">
        <f t="shared" si="23"/>
        <v>-1</v>
      </c>
      <c r="AH65" s="176">
        <f t="shared" si="16"/>
        <v>5</v>
      </c>
      <c r="AI65" s="225">
        <f t="shared" si="17"/>
        <v>-0.49791489524642396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7">
        <v>13.153</v>
      </c>
      <c r="C66" s="390"/>
      <c r="D66" s="393">
        <f t="shared" si="0"/>
        <v>13.441026987208556</v>
      </c>
      <c r="E66" s="385">
        <f t="shared" si="1"/>
        <v>14.196743298170242</v>
      </c>
      <c r="F66" s="385">
        <f t="shared" si="2"/>
        <v>14.196833122852317</v>
      </c>
      <c r="G66" s="110">
        <f t="shared" si="21"/>
        <v>0.34563848486809196</v>
      </c>
      <c r="H66" s="414" t="b">
        <f>Wh_hp&gt;='2020'!Maxi_hp</f>
        <v>0</v>
      </c>
      <c r="I66" s="380">
        <f>IF(H66,Wh_hp,'2020'!Maxi_hp)</f>
        <v>38.737384022485628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2.142894196125511E-2</v>
      </c>
      <c r="M66" s="845"/>
      <c r="N66" s="845"/>
      <c r="O66" s="48">
        <f>IF(t&lt;Tnet,'2020'!Resal+('2020'!Salim-'2020'!Resal)*(1-EXP(('2020'!Tnet-t)/('2020'!Tau_j))),Resal+(Salim-Resal)*(1-EXP((Tnet-t)/(Tau_j))))*Salcycl</f>
        <v>5.3231666945692306E-2</v>
      </c>
      <c r="P66" s="169">
        <f>(INDEX(Models!$BJ66:$BT66,,T66)*(1-R66)+INDEX(Models!$BJ66:$BT66,,T66+1)*R66-ERP_i)*Q66*Ramure*Pc/MaxiM</f>
        <v>9.6977938586702354E-5</v>
      </c>
      <c r="Q66" s="305">
        <f t="shared" si="4"/>
        <v>0.5</v>
      </c>
      <c r="R66" s="177">
        <f t="shared" si="5"/>
        <v>0.50230878300286264</v>
      </c>
      <c r="S66" s="811">
        <f t="shared" si="6"/>
        <v>-1</v>
      </c>
      <c r="T66" s="176">
        <f t="shared" si="7"/>
        <v>5</v>
      </c>
      <c r="U66" s="251">
        <f t="shared" si="8"/>
        <v>-0.49769121699713736</v>
      </c>
      <c r="V66" s="383">
        <f t="shared" si="9"/>
        <v>38.050761815200843</v>
      </c>
      <c r="W66" s="402"/>
      <c r="X66" s="157">
        <f t="shared" si="10"/>
        <v>44248</v>
      </c>
      <c r="Y66" s="385">
        <f t="shared" si="11"/>
        <v>13.153</v>
      </c>
      <c r="Z66" s="385">
        <f t="shared" si="12"/>
        <v>13.441026987208556</v>
      </c>
      <c r="AA66" s="386">
        <f t="shared" si="13"/>
        <v>14.196743298170242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5.3231666945692306E-2</v>
      </c>
      <c r="AD66" s="231">
        <f>(INDEX(Models!$BJ66:$BT66,,AH66)*(1-AF66)+INDEX(Models!$BJ66:$BT66,,AH66+1)*AF66-ERP_i)*AE66*Ramure*Pc/MaxiM</f>
        <v>9.6977938586702354E-5</v>
      </c>
      <c r="AE66" s="305">
        <f t="shared" si="15"/>
        <v>0.5</v>
      </c>
      <c r="AF66" s="177">
        <f t="shared" si="22"/>
        <v>0.50230878300286264</v>
      </c>
      <c r="AG66" s="811">
        <f t="shared" si="23"/>
        <v>-1</v>
      </c>
      <c r="AH66" s="176">
        <f t="shared" si="16"/>
        <v>5</v>
      </c>
      <c r="AI66" s="225">
        <f t="shared" si="17"/>
        <v>-0.49769121699713736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7">
        <v>8.3970000000000002</v>
      </c>
      <c r="C67" s="390"/>
      <c r="D67" s="393">
        <f t="shared" si="0"/>
        <v>8.5810671089213617</v>
      </c>
      <c r="E67" s="385">
        <f t="shared" si="1"/>
        <v>9.0640817677020795</v>
      </c>
      <c r="F67" s="385">
        <f t="shared" si="2"/>
        <v>9.0640817677020795</v>
      </c>
      <c r="G67" s="110">
        <f t="shared" si="21"/>
        <v>0.21875453977648843</v>
      </c>
      <c r="H67" s="414" t="b">
        <f>Wh_hp&gt;='2020'!Maxi_hp</f>
        <v>0</v>
      </c>
      <c r="I67" s="380">
        <f>IF(H67,Wh_hp,'2020'!Maxi_hp)</f>
        <v>40.196901311599696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2.1450375178862613E-2</v>
      </c>
      <c r="M67" s="845"/>
      <c r="N67" s="845"/>
      <c r="O67" s="48">
        <f>IF(t&lt;Tnet,'2020'!Resal+('2020'!Salim-'2020'!Resal)*(1-EXP(('2020'!Tnet-t)/('2020'!Tau_j))),Resal+(Salim-Resal)*(1-EXP((Tnet-t)/(Tau_j))))*Salcycl</f>
        <v>5.3288868211873189E-2</v>
      </c>
      <c r="P67" s="169">
        <f>(INDEX(Models!$BJ67:$BT67,,T67)*(1-R67)+INDEX(Models!$BJ67:$BT67,,T67+1)*R67-ERP_i)*Q67*Ramure*Pc/MaxiM</f>
        <v>9.8740537899843665E-5</v>
      </c>
      <c r="Q67" s="305">
        <f t="shared" si="4"/>
        <v>0.5</v>
      </c>
      <c r="R67" s="177">
        <f t="shared" si="5"/>
        <v>0.50254163026193188</v>
      </c>
      <c r="S67" s="811">
        <f t="shared" si="6"/>
        <v>-1</v>
      </c>
      <c r="T67" s="176">
        <f t="shared" si="7"/>
        <v>5</v>
      </c>
      <c r="U67" s="251">
        <f t="shared" si="8"/>
        <v>-0.49745836973806806</v>
      </c>
      <c r="V67" s="383">
        <f t="shared" si="9"/>
        <v>38.381698886258583</v>
      </c>
      <c r="W67" s="402"/>
      <c r="X67" s="157">
        <f t="shared" si="10"/>
        <v>44249</v>
      </c>
      <c r="Y67" s="385">
        <f t="shared" si="11"/>
        <v>8.3970000000000002</v>
      </c>
      <c r="Z67" s="385">
        <f t="shared" si="12"/>
        <v>8.5810671089213617</v>
      </c>
      <c r="AA67" s="386">
        <f t="shared" si="13"/>
        <v>9.0640817677020795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5.3288868211873189E-2</v>
      </c>
      <c r="AD67" s="231">
        <f>(INDEX(Models!$BJ67:$BT67,,AH67)*(1-AF67)+INDEX(Models!$BJ67:$BT67,,AH67+1)*AF67-ERP_i)*AE67*Ramure*Pc/MaxiM</f>
        <v>9.8740537899843665E-5</v>
      </c>
      <c r="AE67" s="305">
        <f t="shared" si="15"/>
        <v>0.5</v>
      </c>
      <c r="AF67" s="177">
        <f t="shared" si="22"/>
        <v>0.50254163026193188</v>
      </c>
      <c r="AG67" s="811">
        <f t="shared" si="23"/>
        <v>-1</v>
      </c>
      <c r="AH67" s="176">
        <f t="shared" si="16"/>
        <v>5</v>
      </c>
      <c r="AI67" s="225">
        <f t="shared" si="17"/>
        <v>-0.49745836973806806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7">
        <v>28.798999999999999</v>
      </c>
      <c r="C68" s="390"/>
      <c r="D68" s="393">
        <f t="shared" si="0"/>
        <v>29.430935391846486</v>
      </c>
      <c r="E68" s="385">
        <f t="shared" si="1"/>
        <v>31.089432297799952</v>
      </c>
      <c r="F68" s="385">
        <f t="shared" si="2"/>
        <v>31.091403848685196</v>
      </c>
      <c r="G68" s="110">
        <f t="shared" si="21"/>
        <v>0.74385443455552769</v>
      </c>
      <c r="H68" s="414" t="b">
        <f>Wh_hp&gt;='2020'!Maxi_hp</f>
        <v>0</v>
      </c>
      <c r="I68" s="380">
        <f>IF(H68,Wh_hp,'2020'!Maxi_hp)</f>
        <v>40.899659056750139</v>
      </c>
      <c r="J68" s="85">
        <f>IF(H68,An,'2020'!An_max)</f>
        <v>2020</v>
      </c>
      <c r="K68" s="197">
        <f t="shared" si="3"/>
        <v>44250</v>
      </c>
      <c r="L68" s="147">
        <f>IF(t&lt;Tvie,1-EXP((T0-t)*PertePVj)+'2020'!Pspv,1-EXP((T0-t)*PertePVj)+Pspv)</f>
        <v>2.1471807927027631E-2</v>
      </c>
      <c r="M68" s="845"/>
      <c r="N68" s="845"/>
      <c r="O68" s="48">
        <f>IF(t&lt;Tnet,'2020'!Resal+('2020'!Salim-'2020'!Resal)*(1-EXP(('2020'!Tnet-t)/('2020'!Tau_j))),Resal+(Salim-Resal)*(1-EXP((Tnet-t)/(Tau_j))))*Salcycl</f>
        <v>5.3346001627402911E-2</v>
      </c>
      <c r="P68" s="169">
        <f>(INDEX(Models!$BJ68:$BT68,,T68)*(1-R68)+INDEX(Models!$BJ68:$BT68,,T68+1)*R68-ERP_i)*Q68*Ramure*Pc/MaxiM</f>
        <v>9.9999655415781044E-5</v>
      </c>
      <c r="Q68" s="305">
        <f t="shared" si="4"/>
        <v>0.5</v>
      </c>
      <c r="R68" s="177">
        <f t="shared" si="5"/>
        <v>0.5027840131223098</v>
      </c>
      <c r="S68" s="811">
        <f t="shared" si="6"/>
        <v>-1</v>
      </c>
      <c r="T68" s="176">
        <f t="shared" si="7"/>
        <v>5</v>
      </c>
      <c r="U68" s="251">
        <f t="shared" si="8"/>
        <v>-0.4972159868776902</v>
      </c>
      <c r="V68" s="383">
        <f t="shared" si="9"/>
        <v>38.714491561177283</v>
      </c>
      <c r="W68" s="402"/>
      <c r="X68" s="157">
        <f t="shared" si="10"/>
        <v>44250</v>
      </c>
      <c r="Y68" s="385">
        <f t="shared" si="11"/>
        <v>28.798999999999999</v>
      </c>
      <c r="Z68" s="385">
        <f t="shared" si="12"/>
        <v>29.430935391846486</v>
      </c>
      <c r="AA68" s="386">
        <f t="shared" si="13"/>
        <v>31.089432297799952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5.3346001627402911E-2</v>
      </c>
      <c r="AD68" s="231">
        <f>(INDEX(Models!$BJ68:$BT68,,AH68)*(1-AF68)+INDEX(Models!$BJ68:$BT68,,AH68+1)*AF68-ERP_i)*AE68*Ramure*Pc/MaxiM</f>
        <v>9.9999655415781044E-5</v>
      </c>
      <c r="AE68" s="305">
        <f t="shared" si="15"/>
        <v>0.5</v>
      </c>
      <c r="AF68" s="177">
        <f t="shared" si="22"/>
        <v>0.5027840131223098</v>
      </c>
      <c r="AG68" s="811">
        <f t="shared" si="23"/>
        <v>-1</v>
      </c>
      <c r="AH68" s="176">
        <f t="shared" si="16"/>
        <v>5</v>
      </c>
      <c r="AI68" s="225">
        <f t="shared" si="17"/>
        <v>-0.4972159868776902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7">
        <v>36.563000000000002</v>
      </c>
      <c r="C69" s="390"/>
      <c r="D69" s="393">
        <f t="shared" si="0"/>
        <v>37.366118970591955</v>
      </c>
      <c r="E69" s="385">
        <f t="shared" si="1"/>
        <v>39.474160170431738</v>
      </c>
      <c r="F69" s="385">
        <f t="shared" si="2"/>
        <v>39.477776516756599</v>
      </c>
      <c r="G69" s="110">
        <f t="shared" si="21"/>
        <v>0.93633162538754855</v>
      </c>
      <c r="H69" s="414" t="b">
        <f>Wh_hp&gt;='2020'!Maxi_hp</f>
        <v>0</v>
      </c>
      <c r="I69" s="380">
        <f>IF(H69,Wh_hp,'2020'!Maxi_hp)</f>
        <v>41.03378848015074</v>
      </c>
      <c r="J69" s="85">
        <f>IF(H69,An,'2020'!An_max)</f>
        <v>2019</v>
      </c>
      <c r="K69" s="197">
        <f t="shared" si="3"/>
        <v>44251</v>
      </c>
      <c r="L69" s="147">
        <f>IF(t&lt;Tvie,1-EXP((T0-t)*PertePVj)+'2020'!Pspv,1-EXP((T0-t)*PertePVj)+Pspv)</f>
        <v>2.1493240205760378E-2</v>
      </c>
      <c r="M69" s="845"/>
      <c r="N69" s="845"/>
      <c r="O69" s="48">
        <f>IF(t&lt;Tnet,'2020'!Resal+('2020'!Salim-'2020'!Resal)*(1-EXP(('2020'!Tnet-t)/('2020'!Tau_j))),Resal+(Salim-Resal)*(1-EXP((Tnet-t)/(Tau_j))))*Salcycl</f>
        <v>5.3403066480406568E-2</v>
      </c>
      <c r="P69" s="169">
        <f>(INDEX(Models!$BJ69:$BT69,,T69)*(1-R69)+INDEX(Models!$BJ69:$BT69,,T69+1)*R69-ERP_i)*Q69*Ramure*Pc/MaxiM</f>
        <v>1.0076878116292133E-4</v>
      </c>
      <c r="Q69" s="305">
        <f t="shared" si="4"/>
        <v>0.5</v>
      </c>
      <c r="R69" s="177">
        <f t="shared" si="5"/>
        <v>0.50303631204952803</v>
      </c>
      <c r="S69" s="811">
        <f t="shared" si="6"/>
        <v>-1</v>
      </c>
      <c r="T69" s="176">
        <f t="shared" si="7"/>
        <v>5</v>
      </c>
      <c r="U69" s="251">
        <f t="shared" si="8"/>
        <v>-0.49696368795047191</v>
      </c>
      <c r="V69" s="383">
        <f t="shared" si="9"/>
        <v>39.048841145980568</v>
      </c>
      <c r="W69" s="402"/>
      <c r="X69" s="157">
        <f t="shared" si="10"/>
        <v>44251</v>
      </c>
      <c r="Y69" s="385">
        <f t="shared" si="11"/>
        <v>36.563000000000002</v>
      </c>
      <c r="Z69" s="385">
        <f t="shared" si="12"/>
        <v>37.366118970591955</v>
      </c>
      <c r="AA69" s="386">
        <f t="shared" si="13"/>
        <v>39.474160170431738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5.3403066480406568E-2</v>
      </c>
      <c r="AD69" s="231">
        <f>(INDEX(Models!$BJ69:$BT69,,AH69)*(1-AF69)+INDEX(Models!$BJ69:$BT69,,AH69+1)*AF69-ERP_i)*AE69*Ramure*Pc/MaxiM</f>
        <v>1.0076878116292133E-4</v>
      </c>
      <c r="AE69" s="305">
        <f t="shared" si="15"/>
        <v>0.5</v>
      </c>
      <c r="AF69" s="177">
        <f t="shared" si="22"/>
        <v>0.50303631204952803</v>
      </c>
      <c r="AG69" s="811">
        <f t="shared" si="23"/>
        <v>-1</v>
      </c>
      <c r="AH69" s="176">
        <f t="shared" si="16"/>
        <v>5</v>
      </c>
      <c r="AI69" s="225">
        <f t="shared" si="17"/>
        <v>-0.49696368795047191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7">
        <v>33.036000000000001</v>
      </c>
      <c r="C70" s="390"/>
      <c r="D70" s="393">
        <f t="shared" si="0"/>
        <v>33.762386675775318</v>
      </c>
      <c r="E70" s="385">
        <f t="shared" si="1"/>
        <v>35.669267987620017</v>
      </c>
      <c r="F70" s="385">
        <f t="shared" si="2"/>
        <v>35.672042893865544</v>
      </c>
      <c r="G70" s="110">
        <f t="shared" si="21"/>
        <v>0.83878870890003354</v>
      </c>
      <c r="H70" s="414" t="b">
        <f>Wh_hp&gt;='2020'!Maxi_hp</f>
        <v>0</v>
      </c>
      <c r="I70" s="380">
        <f>IF(H70,Wh_hp,'2020'!Maxi_hp)</f>
        <v>42.028165575806206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2.151467201507129E-2</v>
      </c>
      <c r="M70" s="845"/>
      <c r="N70" s="845"/>
      <c r="O70" s="48">
        <f>IF(t&lt;Tnet,'2020'!Resal+('2020'!Salim-'2020'!Resal)*(1-EXP(('2020'!Tnet-t)/('2020'!Tau_j))),Resal+(Salim-Resal)*(1-EXP((Tnet-t)/(Tau_j))))*Salcycl</f>
        <v>5.346006294568581E-2</v>
      </c>
      <c r="P70" s="169">
        <f>(INDEX(Models!$BJ70:$BT70,,T70)*(1-R70)+INDEX(Models!$BJ70:$BT70,,T70+1)*R70-ERP_i)*Q70*Ramure*Pc/MaxiM</f>
        <v>1.0106113033704927E-4</v>
      </c>
      <c r="Q70" s="305">
        <f t="shared" si="4"/>
        <v>0.5</v>
      </c>
      <c r="R70" s="177">
        <f t="shared" si="5"/>
        <v>0.50329892184166414</v>
      </c>
      <c r="S70" s="811">
        <f t="shared" si="6"/>
        <v>-1</v>
      </c>
      <c r="T70" s="176">
        <f t="shared" si="7"/>
        <v>5</v>
      </c>
      <c r="U70" s="251">
        <f t="shared" si="8"/>
        <v>-0.49670107815833586</v>
      </c>
      <c r="V70" s="383">
        <f t="shared" si="9"/>
        <v>39.384449008740958</v>
      </c>
      <c r="W70" s="402"/>
      <c r="X70" s="157">
        <f t="shared" si="10"/>
        <v>44252</v>
      </c>
      <c r="Y70" s="385">
        <f t="shared" si="11"/>
        <v>33.036000000000001</v>
      </c>
      <c r="Z70" s="385">
        <f t="shared" si="12"/>
        <v>33.762386675775318</v>
      </c>
      <c r="AA70" s="386">
        <f t="shared" si="13"/>
        <v>35.669267987620017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5.346006294568581E-2</v>
      </c>
      <c r="AD70" s="231">
        <f>(INDEX(Models!$BJ70:$BT70,,AH70)*(1-AF70)+INDEX(Models!$BJ70:$BT70,,AH70+1)*AF70-ERP_i)*AE70*Ramure*Pc/MaxiM</f>
        <v>1.0106113033704927E-4</v>
      </c>
      <c r="AE70" s="305">
        <f t="shared" si="15"/>
        <v>0.5</v>
      </c>
      <c r="AF70" s="177">
        <f t="shared" si="22"/>
        <v>0.50329892184166414</v>
      </c>
      <c r="AG70" s="811">
        <f t="shared" si="23"/>
        <v>-1</v>
      </c>
      <c r="AH70" s="176">
        <f t="shared" si="16"/>
        <v>5</v>
      </c>
      <c r="AI70" s="225">
        <f t="shared" si="17"/>
        <v>-0.49670107815833586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7">
        <v>8.0909999999999993</v>
      </c>
      <c r="C71" s="390"/>
      <c r="D71" s="393">
        <f t="shared" si="0"/>
        <v>8.2690838443222408</v>
      </c>
      <c r="E71" s="385">
        <f t="shared" si="1"/>
        <v>8.7366426820233141</v>
      </c>
      <c r="F71" s="385">
        <f t="shared" si="2"/>
        <v>8.7366426820233141</v>
      </c>
      <c r="G71" s="110">
        <f t="shared" si="21"/>
        <v>0.20367514227628247</v>
      </c>
      <c r="H71" s="414" t="b">
        <f>Wh_hp&gt;='2020'!Maxi_hp</f>
        <v>0</v>
      </c>
      <c r="I71" s="380">
        <f>IF(H71,Wh_hp,'2020'!Maxi_hp)</f>
        <v>38.261290092019415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2.1536103354970582E-2</v>
      </c>
      <c r="M71" s="845"/>
      <c r="N71" s="845"/>
      <c r="O71" s="48">
        <f>IF(t&lt;Tnet,'2020'!Resal+('2020'!Salim-'2020'!Resal)*(1-EXP(('2020'!Tnet-t)/('2020'!Tau_j))),Resal+(Salim-Resal)*(1-EXP((Tnet-t)/(Tau_j))))*Salcycl</f>
        <v>5.3516992135105974E-2</v>
      </c>
      <c r="P71" s="169">
        <f>(INDEX(Models!$BJ71:$BT71,,T71)*(1-R71)+INDEX(Models!$BJ71:$BT71,,T71+1)*R71-ERP_i)*Q71*Ramure*Pc/MaxiM</f>
        <v>1.0088961895177844E-4</v>
      </c>
      <c r="Q71" s="305">
        <f t="shared" si="4"/>
        <v>0.5</v>
      </c>
      <c r="R71" s="177">
        <f t="shared" si="5"/>
        <v>0.50357225209722944</v>
      </c>
      <c r="S71" s="811">
        <f t="shared" si="6"/>
        <v>-1</v>
      </c>
      <c r="T71" s="176">
        <f t="shared" si="7"/>
        <v>5</v>
      </c>
      <c r="U71" s="251">
        <f t="shared" si="8"/>
        <v>-0.49642774790277056</v>
      </c>
      <c r="V71" s="383">
        <f t="shared" si="9"/>
        <v>39.721016574122928</v>
      </c>
      <c r="W71" s="402"/>
      <c r="X71" s="157">
        <f t="shared" si="10"/>
        <v>44253</v>
      </c>
      <c r="Y71" s="385">
        <f t="shared" si="11"/>
        <v>8.0909999999999993</v>
      </c>
      <c r="Z71" s="385">
        <f t="shared" si="12"/>
        <v>8.2690838443222408</v>
      </c>
      <c r="AA71" s="386">
        <f t="shared" si="13"/>
        <v>8.7366426820233141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5.3516992135105974E-2</v>
      </c>
      <c r="AD71" s="231">
        <f>(INDEX(Models!$BJ71:$BT71,,AH71)*(1-AF71)+INDEX(Models!$BJ71:$BT71,,AH71+1)*AF71-ERP_i)*AE71*Ramure*Pc/MaxiM</f>
        <v>1.0088961895177844E-4</v>
      </c>
      <c r="AE71" s="305">
        <f t="shared" si="15"/>
        <v>0.5</v>
      </c>
      <c r="AF71" s="177">
        <f t="shared" si="22"/>
        <v>0.50357225209722944</v>
      </c>
      <c r="AG71" s="811">
        <f t="shared" si="23"/>
        <v>-1</v>
      </c>
      <c r="AH71" s="176">
        <f t="shared" si="16"/>
        <v>5</v>
      </c>
      <c r="AI71" s="225">
        <f t="shared" si="17"/>
        <v>-0.49642774790277056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7">
        <v>38.503999999999998</v>
      </c>
      <c r="C72" s="390"/>
      <c r="D72" s="393">
        <f t="shared" si="0"/>
        <v>39.35233940354415</v>
      </c>
      <c r="E72" s="385">
        <f t="shared" si="1"/>
        <v>41.579936964870342</v>
      </c>
      <c r="F72" s="385">
        <f t="shared" si="2"/>
        <v>41.583863806229679</v>
      </c>
      <c r="G72" s="110">
        <f t="shared" si="21"/>
        <v>0.96119475529804632</v>
      </c>
      <c r="H72" s="414" t="b">
        <f>Wh_hp&gt;='2020'!Maxi_hp</f>
        <v>0</v>
      </c>
      <c r="I72" s="380">
        <f>IF(H72,Wh_hp,'2020'!Maxi_hp)</f>
        <v>42.246597609719124</v>
      </c>
      <c r="J72" s="85">
        <f>IF(H72,An,'2020'!An_max)</f>
        <v>2019</v>
      </c>
      <c r="K72" s="197">
        <f t="shared" si="3"/>
        <v>44254</v>
      </c>
      <c r="L72" s="147">
        <f>IF(t&lt;Tvie,1-EXP((T0-t)*PertePVj)+'2020'!Pspv,1-EXP((T0-t)*PertePVj)+Pspv)</f>
        <v>2.1557534225468467E-2</v>
      </c>
      <c r="M72" s="845"/>
      <c r="N72" s="845"/>
      <c r="O72" s="48">
        <f>IF(t&lt;Tnet,'2020'!Resal+('2020'!Salim-'2020'!Resal)*(1-EXP(('2020'!Tnet-t)/('2020'!Tau_j))),Resal+(Salim-Resal)*(1-EXP((Tnet-t)/(Tau_j))))*Salcycl</f>
        <v>5.3573856141442049E-2</v>
      </c>
      <c r="P72" s="169">
        <f>(INDEX(Models!$BJ72:$BT72,,T72)*(1-R72)+INDEX(Models!$BJ72:$BT72,,T72+1)*R72-ERP_i)*Q72*Ramure*Pc/MaxiM</f>
        <v>9.997321483292715E-5</v>
      </c>
      <c r="Q72" s="305">
        <f t="shared" si="4"/>
        <v>0.5</v>
      </c>
      <c r="R72" s="177">
        <f t="shared" si="5"/>
        <v>0.5038567276920396</v>
      </c>
      <c r="S72" s="811">
        <f t="shared" si="6"/>
        <v>-1</v>
      </c>
      <c r="T72" s="176">
        <f t="shared" si="7"/>
        <v>5</v>
      </c>
      <c r="U72" s="251">
        <f t="shared" si="8"/>
        <v>-0.4961432723079604</v>
      </c>
      <c r="V72" s="383">
        <f t="shared" si="9"/>
        <v>40.058257083764801</v>
      </c>
      <c r="W72" s="402"/>
      <c r="X72" s="157">
        <f t="shared" si="10"/>
        <v>44254</v>
      </c>
      <c r="Y72" s="385">
        <f t="shared" si="11"/>
        <v>38.503999999999998</v>
      </c>
      <c r="Z72" s="385">
        <f t="shared" si="12"/>
        <v>39.35233940354415</v>
      </c>
      <c r="AA72" s="386">
        <f t="shared" si="13"/>
        <v>41.579936964870342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5.3573856141442049E-2</v>
      </c>
      <c r="AD72" s="231">
        <f>(INDEX(Models!$BJ72:$BT72,,AH72)*(1-AF72)+INDEX(Models!$BJ72:$BT72,,AH72+1)*AF72-ERP_i)*AE72*Ramure*Pc/MaxiM</f>
        <v>9.997321483292715E-5</v>
      </c>
      <c r="AE72" s="305">
        <f t="shared" si="15"/>
        <v>0.5</v>
      </c>
      <c r="AF72" s="177">
        <f t="shared" si="22"/>
        <v>0.5038567276920396</v>
      </c>
      <c r="AG72" s="811">
        <f t="shared" si="23"/>
        <v>-1</v>
      </c>
      <c r="AH72" s="176">
        <f t="shared" si="16"/>
        <v>5</v>
      </c>
      <c r="AI72" s="225">
        <f t="shared" si="17"/>
        <v>-0.4961432723079604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7">
        <v>31.478999999999999</v>
      </c>
      <c r="C73" s="390"/>
      <c r="D73" s="393">
        <f t="shared" si="0"/>
        <v>32.173265763839296</v>
      </c>
      <c r="E73" s="385">
        <f t="shared" si="1"/>
        <v>33.996521588927102</v>
      </c>
      <c r="F73" s="385">
        <f t="shared" si="2"/>
        <v>33.998810282973771</v>
      </c>
      <c r="G73" s="110">
        <f t="shared" si="21"/>
        <v>0.77923862053094783</v>
      </c>
      <c r="H73" s="414" t="b">
        <f>Wh_hp&gt;='2020'!Maxi_hp</f>
        <v>1</v>
      </c>
      <c r="I73" s="380">
        <f>IF(H73,Wh_hp,'2020'!Maxi_hp)</f>
        <v>33.998810282973771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2.1578964626575381E-2</v>
      </c>
      <c r="M73" s="845"/>
      <c r="N73" s="845"/>
      <c r="O73" s="48">
        <f>IF(t&lt;Tnet,'2020'!Resal+('2020'!Salim-'2020'!Resal)*(1-EXP(('2020'!Tnet-t)/('2020'!Tau_j))),Resal+(Salim-Resal)*(1-EXP((Tnet-t)/(Tau_j))))*Salcycl</f>
        <v>5.3630658075373622E-2</v>
      </c>
      <c r="P73" s="169">
        <f>(INDEX(Models!$BJ73:$BT73,,T73)*(1-R73)+INDEX(Models!$BJ73:$BT73,,T73+1)*R73-ERP_i)*Q73*Ramure*Pc/MaxiM</f>
        <v>9.8321468105720049E-5</v>
      </c>
      <c r="Q73" s="305">
        <f t="shared" si="4"/>
        <v>0.5</v>
      </c>
      <c r="R73" s="177">
        <f t="shared" si="5"/>
        <v>0.50415278926462725</v>
      </c>
      <c r="S73" s="811">
        <f t="shared" si="6"/>
        <v>-1</v>
      </c>
      <c r="T73" s="176">
        <f t="shared" si="7"/>
        <v>5</v>
      </c>
      <c r="U73" s="251">
        <f t="shared" si="8"/>
        <v>-0.49584721073537275</v>
      </c>
      <c r="V73" s="383">
        <f t="shared" si="9"/>
        <v>40.395872473076942</v>
      </c>
      <c r="W73" s="402"/>
      <c r="X73" s="157">
        <f t="shared" si="10"/>
        <v>44255</v>
      </c>
      <c r="Y73" s="385">
        <f t="shared" si="11"/>
        <v>31.478999999999999</v>
      </c>
      <c r="Z73" s="385">
        <f t="shared" si="12"/>
        <v>32.173265763839296</v>
      </c>
      <c r="AA73" s="386">
        <f t="shared" si="13"/>
        <v>33.996521588927102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5.3630658075373622E-2</v>
      </c>
      <c r="AD73" s="231">
        <f>(INDEX(Models!$BJ73:$BT73,,AH73)*(1-AF73)+INDEX(Models!$BJ73:$BT73,,AH73+1)*AF73-ERP_i)*AE73*Ramure*Pc/MaxiM</f>
        <v>9.8321468105720049E-5</v>
      </c>
      <c r="AE73" s="305">
        <f t="shared" si="15"/>
        <v>0.5</v>
      </c>
      <c r="AF73" s="177">
        <f t="shared" si="22"/>
        <v>0.50415278926462725</v>
      </c>
      <c r="AG73" s="811">
        <f t="shared" si="23"/>
        <v>-1</v>
      </c>
      <c r="AH73" s="176">
        <f t="shared" si="16"/>
        <v>5</v>
      </c>
      <c r="AI73" s="225">
        <f t="shared" si="17"/>
        <v>-0.49584721073537275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7">
        <v>35.913000000000004</v>
      </c>
      <c r="C74" s="390"/>
      <c r="D74" s="393">
        <f t="shared" si="0"/>
        <v>36.70586108197282</v>
      </c>
      <c r="E74" s="385">
        <f t="shared" si="1"/>
        <v>38.788304375583309</v>
      </c>
      <c r="F74" s="385">
        <f t="shared" si="2"/>
        <v>38.791397231289992</v>
      </c>
      <c r="G74" s="110">
        <f t="shared" si="21"/>
        <v>0.88164190718094981</v>
      </c>
      <c r="H74" s="414" t="b">
        <f>Wh_hp&gt;='2020'!Maxi_hp</f>
        <v>1</v>
      </c>
      <c r="I74" s="380">
        <f>IF(H74,Wh_hp,'2020'!Maxi_hp)</f>
        <v>38.791397231289992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2.1600394558301428E-2</v>
      </c>
      <c r="M74" s="845"/>
      <c r="N74" s="845"/>
      <c r="O74" s="48">
        <f>IF(t&lt;Tnet,'2020'!Resal+('2020'!Salim-'2020'!Resal)*(1-EXP(('2020'!Tnet-t)/('2020'!Tau_j))),Resal+(Salim-Resal)*(1-EXP((Tnet-t)/(Tau_j))))*Salcycl</f>
        <v>5.3687402095394403E-2</v>
      </c>
      <c r="P74" s="169">
        <f>(INDEX(Models!$BJ74:$BT74,,T74)*(1-R74)+INDEX(Models!$BJ74:$BT74,,T74+1)*R74-ERP_i)*Q74*Ramure*Pc/MaxiM</f>
        <v>9.5952414304822958E-5</v>
      </c>
      <c r="Q74" s="305">
        <f t="shared" si="4"/>
        <v>0.5</v>
      </c>
      <c r="R74" s="177">
        <f t="shared" si="5"/>
        <v>0.50446089370968594</v>
      </c>
      <c r="S74" s="811">
        <f t="shared" si="6"/>
        <v>-1</v>
      </c>
      <c r="T74" s="176">
        <f t="shared" si="7"/>
        <v>5</v>
      </c>
      <c r="U74" s="251">
        <f t="shared" si="8"/>
        <v>-0.495539106290314</v>
      </c>
      <c r="V74" s="383">
        <f t="shared" si="9"/>
        <v>40.733564366411649</v>
      </c>
      <c r="W74" s="402"/>
      <c r="X74" s="157">
        <f t="shared" si="10"/>
        <v>44256</v>
      </c>
      <c r="Y74" s="385">
        <f t="shared" si="11"/>
        <v>35.913000000000004</v>
      </c>
      <c r="Z74" s="385">
        <f t="shared" si="12"/>
        <v>36.70586108197282</v>
      </c>
      <c r="AA74" s="386">
        <f t="shared" si="13"/>
        <v>38.788304375583309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5.3687402095394403E-2</v>
      </c>
      <c r="AD74" s="231">
        <f>(INDEX(Models!$BJ74:$BT74,,AH74)*(1-AF74)+INDEX(Models!$BJ74:$BT74,,AH74+1)*AF74-ERP_i)*AE74*Ramure*Pc/MaxiM</f>
        <v>9.5952414304822958E-5</v>
      </c>
      <c r="AE74" s="305">
        <f t="shared" si="15"/>
        <v>0.5</v>
      </c>
      <c r="AF74" s="177">
        <f t="shared" si="22"/>
        <v>0.50446089370968594</v>
      </c>
      <c r="AG74" s="811">
        <f t="shared" si="23"/>
        <v>-1</v>
      </c>
      <c r="AH74" s="176">
        <f t="shared" si="16"/>
        <v>5</v>
      </c>
      <c r="AI74" s="225">
        <f t="shared" si="17"/>
        <v>-0.495539106290314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7">
        <v>16.882000000000001</v>
      </c>
      <c r="C75" s="390"/>
      <c r="D75" s="393">
        <f t="shared" si="0"/>
        <v>17.255086442521424</v>
      </c>
      <c r="E75" s="385">
        <f t="shared" si="1"/>
        <v>18.235116233067036</v>
      </c>
      <c r="F75" s="385">
        <f t="shared" si="2"/>
        <v>18.235384922042826</v>
      </c>
      <c r="G75" s="110">
        <f t="shared" si="21"/>
        <v>0.41101182141177844</v>
      </c>
      <c r="H75" s="414" t="b">
        <f>Wh_hp&gt;='2020'!Maxi_hp</f>
        <v>0</v>
      </c>
      <c r="I75" s="380">
        <f>IF(H75,Wh_hp,'2020'!Maxi_hp)</f>
        <v>29.154269715170336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2.1621824020657043E-2</v>
      </c>
      <c r="M75" s="845"/>
      <c r="N75" s="845"/>
      <c r="O75" s="48">
        <f>IF(t&lt;Tnet,'2020'!Resal+('2020'!Salim-'2020'!Resal)*(1-EXP(('2020'!Tnet-t)/('2020'!Tau_j))),Resal+(Salim-Resal)*(1-EXP((Tnet-t)/(Tau_j))))*Salcycl</f>
        <v>5.3744093430479582E-2</v>
      </c>
      <c r="P75" s="169">
        <f>(INDEX(Models!$BJ75:$BT75,,T75)*(1-R75)+INDEX(Models!$BJ75:$BT75,,T75+1)*R75-ERP_i)*Q75*Ramure*Pc/MaxiM</f>
        <v>9.2883393146722722E-5</v>
      </c>
      <c r="Q75" s="305">
        <f t="shared" si="4"/>
        <v>0.5</v>
      </c>
      <c r="R75" s="177">
        <f t="shared" si="5"/>
        <v>0.50478151467894761</v>
      </c>
      <c r="S75" s="811">
        <f t="shared" si="6"/>
        <v>-1</v>
      </c>
      <c r="T75" s="176">
        <f t="shared" si="7"/>
        <v>5</v>
      </c>
      <c r="U75" s="251">
        <f t="shared" si="8"/>
        <v>-0.49521848532105245</v>
      </c>
      <c r="V75" s="383">
        <f t="shared" si="9"/>
        <v>41.071034435657431</v>
      </c>
      <c r="W75" s="402"/>
      <c r="X75" s="157">
        <f t="shared" si="10"/>
        <v>44257</v>
      </c>
      <c r="Y75" s="385">
        <f t="shared" si="11"/>
        <v>16.882000000000001</v>
      </c>
      <c r="Z75" s="385">
        <f t="shared" si="12"/>
        <v>17.255086442521424</v>
      </c>
      <c r="AA75" s="386">
        <f t="shared" si="13"/>
        <v>18.235116233067036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5.3744093430479582E-2</v>
      </c>
      <c r="AD75" s="231">
        <f>(INDEX(Models!$BJ75:$BT75,,AH75)*(1-AF75)+INDEX(Models!$BJ75:$BT75,,AH75+1)*AF75-ERP_i)*AE75*Ramure*Pc/MaxiM</f>
        <v>9.2883393146722722E-5</v>
      </c>
      <c r="AE75" s="305">
        <f t="shared" si="15"/>
        <v>0.5</v>
      </c>
      <c r="AF75" s="177">
        <f t="shared" si="22"/>
        <v>0.50478151467894761</v>
      </c>
      <c r="AG75" s="811">
        <f t="shared" si="23"/>
        <v>-1</v>
      </c>
      <c r="AH75" s="176">
        <f t="shared" si="16"/>
        <v>5</v>
      </c>
      <c r="AI75" s="225">
        <f t="shared" si="17"/>
        <v>-0.49521848532105245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7">
        <v>14.919</v>
      </c>
      <c r="C76" s="390"/>
      <c r="D76" s="393">
        <f t="shared" si="0"/>
        <v>15.249038805073202</v>
      </c>
      <c r="E76" s="385">
        <f t="shared" si="1"/>
        <v>16.116096708016642</v>
      </c>
      <c r="F76" s="385">
        <f t="shared" si="2"/>
        <v>16.116220433651094</v>
      </c>
      <c r="G76" s="110">
        <f t="shared" si="21"/>
        <v>0.36026348532773672</v>
      </c>
      <c r="H76" s="414" t="b">
        <f>Wh_hp&gt;='2020'!Maxi_hp</f>
        <v>0</v>
      </c>
      <c r="I76" s="380">
        <f>IF(H76,Wh_hp,'2020'!Maxi_hp)</f>
        <v>39.010447727103518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2.164325301365233E-2</v>
      </c>
      <c r="M76" s="845"/>
      <c r="N76" s="845"/>
      <c r="O76" s="48">
        <f>IF(t&lt;Tnet,'2020'!Resal+('2020'!Salim-'2020'!Resal)*(1-EXP(('2020'!Tnet-t)/('2020'!Tau_j))),Resal+(Salim-Resal)*(1-EXP((Tnet-t)/(Tau_j))))*Salcycl</f>
        <v>5.3800738395429239E-2</v>
      </c>
      <c r="P76" s="169">
        <f>(INDEX(Models!$BJ76:$BT76,,T76)*(1-R76)+INDEX(Models!$BJ76:$BT76,,T76+1)*R76-ERP_i)*Q76*Ramure*Pc/MaxiM</f>
        <v>8.9131012747771518E-5</v>
      </c>
      <c r="Q76" s="305">
        <f t="shared" si="4"/>
        <v>0.5</v>
      </c>
      <c r="R76" s="177">
        <f t="shared" si="5"/>
        <v>0.50511514308880545</v>
      </c>
      <c r="S76" s="811">
        <f t="shared" si="6"/>
        <v>-1</v>
      </c>
      <c r="T76" s="176">
        <f t="shared" si="7"/>
        <v>5</v>
      </c>
      <c r="U76" s="251">
        <f t="shared" si="8"/>
        <v>-0.49488485691119455</v>
      </c>
      <c r="V76" s="383">
        <f t="shared" si="9"/>
        <v>41.407984397833069</v>
      </c>
      <c r="W76" s="402"/>
      <c r="X76" s="157">
        <f t="shared" si="10"/>
        <v>44258</v>
      </c>
      <c r="Y76" s="385">
        <f t="shared" si="11"/>
        <v>14.918999999999999</v>
      </c>
      <c r="Z76" s="385">
        <f t="shared" si="12"/>
        <v>15.2490388050732</v>
      </c>
      <c r="AA76" s="386">
        <f t="shared" si="13"/>
        <v>16.116096708016642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5.3800738395429239E-2</v>
      </c>
      <c r="AD76" s="231">
        <f>(INDEX(Models!$BJ76:$BT76,,AH76)*(1-AF76)+INDEX(Models!$BJ76:$BT76,,AH76+1)*AF76-ERP_i)*AE76*Ramure*Pc/MaxiM</f>
        <v>8.9131012747771518E-5</v>
      </c>
      <c r="AE76" s="305">
        <f t="shared" si="15"/>
        <v>0.5</v>
      </c>
      <c r="AF76" s="177">
        <f t="shared" si="22"/>
        <v>0.50511514308880545</v>
      </c>
      <c r="AG76" s="811">
        <f t="shared" si="23"/>
        <v>-1</v>
      </c>
      <c r="AH76" s="176">
        <f t="shared" si="16"/>
        <v>5</v>
      </c>
      <c r="AI76" s="225">
        <f t="shared" si="17"/>
        <v>-0.49488485691119455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7">
        <v>28.033000000000001</v>
      </c>
      <c r="C77" s="390"/>
      <c r="D77" s="393">
        <f t="shared" si="0"/>
        <v>28.653774908228176</v>
      </c>
      <c r="E77" s="385">
        <f t="shared" si="1"/>
        <v>30.284835736555415</v>
      </c>
      <c r="F77" s="385">
        <f t="shared" si="2"/>
        <v>30.286197485540761</v>
      </c>
      <c r="G77" s="110">
        <f t="shared" si="21"/>
        <v>0.67151705100945736</v>
      </c>
      <c r="H77" s="414" t="b">
        <f>Wh_hp&gt;='2020'!Maxi_hp</f>
        <v>1</v>
      </c>
      <c r="I77" s="380">
        <f>IF(H77,Wh_hp,'2020'!Maxi_hp)</f>
        <v>30.286197485540761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2.1664681537297725E-2</v>
      </c>
      <c r="M77" s="845"/>
      <c r="N77" s="845"/>
      <c r="O77" s="48">
        <f>IF(t&lt;Tnet,'2020'!Resal+('2020'!Salim-'2020'!Resal)*(1-EXP(('2020'!Tnet-t)/('2020'!Tau_j))),Resal+(Salim-Resal)*(1-EXP((Tnet-t)/(Tau_j))))*Salcycl</f>
        <v>5.3857344398882082E-2</v>
      </c>
      <c r="P77" s="169">
        <f>(INDEX(Models!$BJ77:$BT77,,T77)*(1-R77)+INDEX(Models!$BJ77:$BT77,,T77+1)*R77-ERP_i)*Q77*Ramure*Pc/MaxiM</f>
        <v>8.4711114616051509E-5</v>
      </c>
      <c r="Q77" s="305">
        <f t="shared" si="4"/>
        <v>0.5</v>
      </c>
      <c r="R77" s="177">
        <f t="shared" si="5"/>
        <v>0.50546228763390366</v>
      </c>
      <c r="S77" s="811">
        <f t="shared" si="6"/>
        <v>-1</v>
      </c>
      <c r="T77" s="176">
        <f t="shared" si="7"/>
        <v>5</v>
      </c>
      <c r="U77" s="251">
        <f t="shared" si="8"/>
        <v>-0.49453771236609628</v>
      </c>
      <c r="V77" s="383">
        <f t="shared" si="9"/>
        <v>41.744116013498015</v>
      </c>
      <c r="W77" s="402"/>
      <c r="X77" s="157">
        <f t="shared" si="10"/>
        <v>44259</v>
      </c>
      <c r="Y77" s="385">
        <f t="shared" si="11"/>
        <v>28.033000000000001</v>
      </c>
      <c r="Z77" s="385">
        <f t="shared" si="12"/>
        <v>28.653774908228176</v>
      </c>
      <c r="AA77" s="386">
        <f t="shared" si="13"/>
        <v>30.284835736555415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5.3857344398882082E-2</v>
      </c>
      <c r="AD77" s="231">
        <f>(INDEX(Models!$BJ77:$BT77,,AH77)*(1-AF77)+INDEX(Models!$BJ77:$BT77,,AH77+1)*AF77-ERP_i)*AE77*Ramure*Pc/MaxiM</f>
        <v>8.4711114616051509E-5</v>
      </c>
      <c r="AE77" s="305">
        <f t="shared" si="15"/>
        <v>0.5</v>
      </c>
      <c r="AF77" s="177">
        <f t="shared" si="22"/>
        <v>0.50546228763390366</v>
      </c>
      <c r="AG77" s="811">
        <f t="shared" si="23"/>
        <v>-1</v>
      </c>
      <c r="AH77" s="176">
        <f t="shared" si="16"/>
        <v>5</v>
      </c>
      <c r="AI77" s="225">
        <f t="shared" si="17"/>
        <v>-0.49453771236609628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7">
        <v>34.116999999999997</v>
      </c>
      <c r="C78" s="390"/>
      <c r="D78" s="393">
        <f t="shared" si="0"/>
        <v>34.873265456506886</v>
      </c>
      <c r="E78" s="385">
        <f t="shared" si="1"/>
        <v>36.860562893436814</v>
      </c>
      <c r="F78" s="385">
        <f t="shared" si="2"/>
        <v>36.862705039497953</v>
      </c>
      <c r="G78" s="110">
        <f t="shared" si="21"/>
        <v>0.81076449612453538</v>
      </c>
      <c r="H78" s="414" t="b">
        <f>Wh_hp&gt;='2020'!Maxi_hp</f>
        <v>0</v>
      </c>
      <c r="I78" s="380">
        <f>IF(H78,Wh_hp,'2020'!Maxi_hp)</f>
        <v>44.531611979407565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2.1686109591603442E-2</v>
      </c>
      <c r="M78" s="845"/>
      <c r="N78" s="845"/>
      <c r="O78" s="48">
        <f>IF(t&lt;Tnet,'2020'!Resal+('2020'!Salim-'2020'!Resal)*(1-EXP(('2020'!Tnet-t)/('2020'!Tau_j))),Resal+(Salim-Resal)*(1-EXP((Tnet-t)/(Tau_j))))*Salcycl</f>
        <v>5.3913919944065115E-2</v>
      </c>
      <c r="P78" s="169">
        <f>(INDEX(Models!$BJ78:$BT78,,T78)*(1-R78)+INDEX(Models!$BJ78:$BT78,,T78+1)*R78-ERP_i)*Q78*Ramure*Pc/MaxiM</f>
        <v>7.9638739180401471E-5</v>
      </c>
      <c r="Q78" s="305">
        <f t="shared" si="4"/>
        <v>0.5</v>
      </c>
      <c r="R78" s="177">
        <f t="shared" si="5"/>
        <v>0.5058234753057993</v>
      </c>
      <c r="S78" s="811">
        <f t="shared" si="6"/>
        <v>-1</v>
      </c>
      <c r="T78" s="176">
        <f t="shared" si="7"/>
        <v>5</v>
      </c>
      <c r="U78" s="251">
        <f t="shared" si="8"/>
        <v>-0.49417652469420065</v>
      </c>
      <c r="V78" s="383">
        <f t="shared" si="9"/>
        <v>42.079131085078679</v>
      </c>
      <c r="W78" s="402"/>
      <c r="X78" s="157">
        <f t="shared" si="10"/>
        <v>44260</v>
      </c>
      <c r="Y78" s="385">
        <f t="shared" si="11"/>
        <v>34.116999999999997</v>
      </c>
      <c r="Z78" s="385">
        <f t="shared" si="12"/>
        <v>34.873265456506886</v>
      </c>
      <c r="AA78" s="386">
        <f t="shared" si="13"/>
        <v>36.860562893436814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5.3913919944065115E-2</v>
      </c>
      <c r="AD78" s="231">
        <f>(INDEX(Models!$BJ78:$BT78,,AH78)*(1-AF78)+INDEX(Models!$BJ78:$BT78,,AH78+1)*AF78-ERP_i)*AE78*Ramure*Pc/MaxiM</f>
        <v>7.9638739180401471E-5</v>
      </c>
      <c r="AE78" s="305">
        <f t="shared" si="15"/>
        <v>0.5</v>
      </c>
      <c r="AF78" s="177">
        <f t="shared" si="22"/>
        <v>0.5058234753057993</v>
      </c>
      <c r="AG78" s="811">
        <f t="shared" si="23"/>
        <v>-1</v>
      </c>
      <c r="AH78" s="176">
        <f t="shared" si="16"/>
        <v>5</v>
      </c>
      <c r="AI78" s="225">
        <f t="shared" si="17"/>
        <v>-0.49417652469420065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7">
        <v>10.725</v>
      </c>
      <c r="C79" s="390"/>
      <c r="D79" s="393">
        <f t="shared" ref="D79:D142" si="24">Wh/(1-Ppv)</f>
        <v>10.962979280293036</v>
      </c>
      <c r="E79" s="385">
        <f t="shared" si="1"/>
        <v>11.588411340457304</v>
      </c>
      <c r="F79" s="385">
        <f t="shared" ref="F79:F142" si="25">Wh_sa/(1-Pvg*MEDIAN((-Sdif+Wh/Env_an)/Csdif,0,1))</f>
        <v>11.588411340457304</v>
      </c>
      <c r="G79" s="110">
        <f t="shared" si="21"/>
        <v>0.2528464798422157</v>
      </c>
      <c r="H79" s="414" t="b">
        <f>Wh_hp&gt;='2020'!Maxi_hp</f>
        <v>0</v>
      </c>
      <c r="I79" s="380">
        <f>IF(H79,Wh_hp,'2020'!Maxi_hp)</f>
        <v>23.382336400970807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2.1707537176579805E-2</v>
      </c>
      <c r="M79" s="845"/>
      <c r="N79" s="845"/>
      <c r="O79" s="48">
        <f>IF(t&lt;Tnet,'2020'!Resal+('2020'!Salim-'2020'!Resal)*(1-EXP(('2020'!Tnet-t)/('2020'!Tau_j))),Resal+(Salim-Resal)*(1-EXP((Tnet-t)/(Tau_j))))*Salcycl</f>
        <v>5.397047462241597E-2</v>
      </c>
      <c r="P79" s="169">
        <f>(INDEX(Models!$BJ79:$BT79,,T79)*(1-R79)+INDEX(Models!$BJ79:$BT79,,T79+1)*R79-ERP_i)*Q79*Ramure*Pc/MaxiM</f>
        <v>7.3926042384991089E-5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0.50619925191569748</v>
      </c>
      <c r="S79" s="811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-0.49380074808430252</v>
      </c>
      <c r="V79" s="383">
        <f t="shared" ref="V79:V142" si="32">MaxiM*(1-Ppv)*(1-Pvg)*(1-Psa)</f>
        <v>42.413907244774258</v>
      </c>
      <c r="W79" s="402"/>
      <c r="X79" s="157">
        <f t="shared" ref="X79:X142" si="33">t</f>
        <v>44261</v>
      </c>
      <c r="Y79" s="385">
        <f t="shared" ref="Y79:Y142" si="34">Wh_pvt_s*(1-Ppv)</f>
        <v>10.725</v>
      </c>
      <c r="Z79" s="385">
        <f t="shared" ref="Z79:Z142" si="35">Wh_sa_s*(1-Psa_s)</f>
        <v>10.962979280293036</v>
      </c>
      <c r="AA79" s="386">
        <f t="shared" ref="AA79:AA142" si="36">Wh_hp*(1-Pvg_s*MEDIAN((-Sdif+Wh/Env_an)/Csdif,0,1))</f>
        <v>11.588411340457304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5.397047462241597E-2</v>
      </c>
      <c r="AD79" s="231">
        <f>(INDEX(Models!$BJ79:$BT79,,AH79)*(1-AF79)+INDEX(Models!$BJ79:$BT79,,AH79+1)*AF79-ERP_i)*AE79*Ramure*Pc/MaxiM</f>
        <v>7.3926042384991089E-5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0.50619925191569748</v>
      </c>
      <c r="AG79" s="811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-0.49380074808430252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7">
        <v>10.541</v>
      </c>
      <c r="C80" s="390"/>
      <c r="D80" s="393">
        <f t="shared" si="24"/>
        <v>10.775132468655542</v>
      </c>
      <c r="E80" s="385">
        <f t="shared" ref="E80:E143" si="45">Wh_pvt/(1-Psa)</f>
        <v>11.390528784878452</v>
      </c>
      <c r="F80" s="385">
        <f t="shared" si="25"/>
        <v>11.390528784878452</v>
      </c>
      <c r="G80" s="110">
        <f t="shared" ref="G80:G143" si="46">+Wh_hp/MaxiM</f>
        <v>0.24655996437655556</v>
      </c>
      <c r="H80" s="414" t="b">
        <f>Wh_hp&gt;='2020'!Maxi_hp</f>
        <v>0</v>
      </c>
      <c r="I80" s="380">
        <f>IF(H80,Wh_hp,'2020'!Maxi_hp)</f>
        <v>42.685529835046331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2.1728964292237141E-2</v>
      </c>
      <c r="M80" s="845"/>
      <c r="N80" s="845"/>
      <c r="O80" s="48">
        <f>IF(t&lt;Tnet,'2020'!Resal+('2020'!Salim-'2020'!Resal)*(1-EXP(('2020'!Tnet-t)/('2020'!Tau_j))),Resal+(Salim-Resal)*(1-EXP((Tnet-t)/(Tau_j))))*Salcycl</f>
        <v>5.4027019100279426E-2</v>
      </c>
      <c r="P80" s="169">
        <f>(INDEX(Models!$BJ80:$BT80,,T80)*(1-R80)+INDEX(Models!$BJ80:$BT80,,T80+1)*R80-ERP_i)*Q80*Ramure*Pc/MaxiM</f>
        <v>6.7837047552285468E-5</v>
      </c>
      <c r="Q80" s="305">
        <f t="shared" si="27"/>
        <v>0.5</v>
      </c>
      <c r="R80" s="177">
        <f t="shared" si="28"/>
        <v>0.50659018262013311</v>
      </c>
      <c r="S80" s="811">
        <f t="shared" si="29"/>
        <v>-1</v>
      </c>
      <c r="T80" s="176">
        <f t="shared" si="30"/>
        <v>5</v>
      </c>
      <c r="U80" s="251">
        <f t="shared" si="31"/>
        <v>-0.49340981737986694</v>
      </c>
      <c r="V80" s="383">
        <f t="shared" si="32"/>
        <v>42.749377241084588</v>
      </c>
      <c r="W80" s="402"/>
      <c r="X80" s="157">
        <f t="shared" si="33"/>
        <v>44262</v>
      </c>
      <c r="Y80" s="385">
        <f t="shared" si="34"/>
        <v>10.541</v>
      </c>
      <c r="Z80" s="385">
        <f t="shared" si="35"/>
        <v>10.775132468655542</v>
      </c>
      <c r="AA80" s="386">
        <f t="shared" si="36"/>
        <v>11.390528784878452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5.4027019100279426E-2</v>
      </c>
      <c r="AD80" s="231">
        <f>(INDEX(Models!$BJ80:$BT80,,AH80)*(1-AF80)+INDEX(Models!$BJ80:$BT80,,AH80+1)*AF80-ERP_i)*AE80*Ramure*Pc/MaxiM</f>
        <v>6.7837047552285468E-5</v>
      </c>
      <c r="AE80" s="305">
        <f t="shared" si="38"/>
        <v>0.5</v>
      </c>
      <c r="AF80" s="177">
        <f t="shared" si="39"/>
        <v>0.50659018262013311</v>
      </c>
      <c r="AG80" s="811">
        <f t="shared" ref="AG80:AG143" si="47">INDEX(Echel_vg,AH80)</f>
        <v>-1</v>
      </c>
      <c r="AH80" s="176">
        <f t="shared" si="40"/>
        <v>5</v>
      </c>
      <c r="AI80" s="225">
        <f t="shared" si="41"/>
        <v>-0.49340981737986694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7">
        <v>23.202000000000002</v>
      </c>
      <c r="C81" s="390"/>
      <c r="D81" s="393">
        <f t="shared" si="24"/>
        <v>23.717873010203657</v>
      </c>
      <c r="E81" s="385">
        <f t="shared" si="45"/>
        <v>25.073962281546066</v>
      </c>
      <c r="F81" s="385">
        <f t="shared" si="25"/>
        <v>25.074490400698167</v>
      </c>
      <c r="G81" s="110">
        <f t="shared" si="46"/>
        <v>0.53849090178160441</v>
      </c>
      <c r="H81" s="414" t="b">
        <f>Wh_hp&gt;='2020'!Maxi_hp</f>
        <v>0</v>
      </c>
      <c r="I81" s="380">
        <f>IF(H81,Wh_hp,'2020'!Maxi_hp)</f>
        <v>29.682326061230128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2.1750390938585551E-2</v>
      </c>
      <c r="M81" s="845"/>
      <c r="N81" s="845"/>
      <c r="O81" s="48">
        <f>IF(t&lt;Tnet,'2020'!Resal+('2020'!Salim-'2020'!Resal)*(1-EXP(('2020'!Tnet-t)/('2020'!Tau_j))),Resal+(Salim-Resal)*(1-EXP((Tnet-t)/(Tau_j))))*Salcycl</f>
        <v>5.4083565098941855E-2</v>
      </c>
      <c r="P81" s="169">
        <f>(INDEX(Models!$BJ81:$BT81,,T81)*(1-R81)+INDEX(Models!$BJ81:$BT81,,T81+1)*R81-ERP_i)*Q81*Ramure*Pc/MaxiM</f>
        <v>6.1813888490061498E-5</v>
      </c>
      <c r="Q81" s="305">
        <f t="shared" si="27"/>
        <v>0.5</v>
      </c>
      <c r="R81" s="177">
        <f t="shared" si="28"/>
        <v>0.50699685244834314</v>
      </c>
      <c r="S81" s="811">
        <f t="shared" si="29"/>
        <v>-1</v>
      </c>
      <c r="T81" s="176">
        <f t="shared" si="30"/>
        <v>5</v>
      </c>
      <c r="U81" s="251">
        <f t="shared" si="31"/>
        <v>-0.49300314755165686</v>
      </c>
      <c r="V81" s="383">
        <f t="shared" si="32"/>
        <v>43.085323035588694</v>
      </c>
      <c r="W81" s="402"/>
      <c r="X81" s="157">
        <f t="shared" si="33"/>
        <v>44263</v>
      </c>
      <c r="Y81" s="385">
        <f t="shared" si="34"/>
        <v>23.202000000000002</v>
      </c>
      <c r="Z81" s="385">
        <f t="shared" si="35"/>
        <v>23.717873010203657</v>
      </c>
      <c r="AA81" s="386">
        <f t="shared" si="36"/>
        <v>25.073962281546066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5.4083565098941855E-2</v>
      </c>
      <c r="AD81" s="231">
        <f>(INDEX(Models!$BJ81:$BT81,,AH81)*(1-AF81)+INDEX(Models!$BJ81:$BT81,,AH81+1)*AF81-ERP_i)*AE81*Ramure*Pc/MaxiM</f>
        <v>6.1813888490061498E-5</v>
      </c>
      <c r="AE81" s="305">
        <f t="shared" si="38"/>
        <v>0.5</v>
      </c>
      <c r="AF81" s="177">
        <f t="shared" si="39"/>
        <v>0.50699685244834314</v>
      </c>
      <c r="AG81" s="811">
        <f t="shared" si="47"/>
        <v>-1</v>
      </c>
      <c r="AH81" s="176">
        <f t="shared" si="40"/>
        <v>5</v>
      </c>
      <c r="AI81" s="225">
        <f t="shared" si="41"/>
        <v>-0.49300314755165686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7">
        <v>40.719000000000001</v>
      </c>
      <c r="C82" s="390"/>
      <c r="D82" s="393">
        <f t="shared" si="24"/>
        <v>41.625257493540595</v>
      </c>
      <c r="E82" s="385">
        <f t="shared" si="45"/>
        <v>44.007847895809867</v>
      </c>
      <c r="F82" s="385">
        <f t="shared" si="25"/>
        <v>44.010087492548095</v>
      </c>
      <c r="G82" s="110">
        <f t="shared" si="46"/>
        <v>0.93775561199323143</v>
      </c>
      <c r="H82" s="414" t="b">
        <f>Wh_hp&gt;='2020'!Maxi_hp</f>
        <v>1</v>
      </c>
      <c r="I82" s="380">
        <f>IF(H82,Wh_hp,'2020'!Maxi_hp)</f>
        <v>44.010087492548095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2.1771817115635361E-2</v>
      </c>
      <c r="M82" s="845"/>
      <c r="N82" s="845"/>
      <c r="O82" s="48">
        <f>IF(t&lt;Tnet,'2020'!Resal+('2020'!Salim-'2020'!Resal)*(1-EXP(('2020'!Tnet-t)/('2020'!Tau_j))),Resal+(Salim-Resal)*(1-EXP((Tnet-t)/(Tau_j))))*Salcycl</f>
        <v>5.4140125368323827E-2</v>
      </c>
      <c r="P82" s="169">
        <f>(INDEX(Models!$BJ82:$BT82,,T82)*(1-R82)+INDEX(Models!$BJ82:$BT82,,T82+1)*R82-ERP_i)*Q82*Ramure*Pc/MaxiM</f>
        <v>5.585450070600463E-5</v>
      </c>
      <c r="Q82" s="305">
        <f t="shared" si="27"/>
        <v>0.5</v>
      </c>
      <c r="R82" s="177">
        <f t="shared" si="28"/>
        <v>0.50741986682993012</v>
      </c>
      <c r="S82" s="811">
        <f t="shared" si="29"/>
        <v>-1</v>
      </c>
      <c r="T82" s="176">
        <f t="shared" si="30"/>
        <v>5</v>
      </c>
      <c r="U82" s="251">
        <f t="shared" si="31"/>
        <v>-0.49258013317006993</v>
      </c>
      <c r="V82" s="383">
        <f t="shared" si="32"/>
        <v>43.421545281686313</v>
      </c>
      <c r="W82" s="402"/>
      <c r="X82" s="157">
        <f t="shared" si="33"/>
        <v>44264</v>
      </c>
      <c r="Y82" s="385">
        <f t="shared" si="34"/>
        <v>40.719000000000001</v>
      </c>
      <c r="Z82" s="385">
        <f t="shared" si="35"/>
        <v>41.625257493540595</v>
      </c>
      <c r="AA82" s="386">
        <f t="shared" si="36"/>
        <v>44.007847895809867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5.4140125368323827E-2</v>
      </c>
      <c r="AD82" s="231">
        <f>(INDEX(Models!$BJ82:$BT82,,AH82)*(1-AF82)+INDEX(Models!$BJ82:$BT82,,AH82+1)*AF82-ERP_i)*AE82*Ramure*Pc/MaxiM</f>
        <v>5.585450070600463E-5</v>
      </c>
      <c r="AE82" s="305">
        <f t="shared" si="38"/>
        <v>0.5</v>
      </c>
      <c r="AF82" s="177">
        <f t="shared" si="39"/>
        <v>0.50741986682993012</v>
      </c>
      <c r="AG82" s="811">
        <f t="shared" si="47"/>
        <v>-1</v>
      </c>
      <c r="AH82" s="176">
        <f t="shared" si="40"/>
        <v>5</v>
      </c>
      <c r="AI82" s="225">
        <f t="shared" si="41"/>
        <v>-0.49258013317006993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7">
        <v>40.215000000000003</v>
      </c>
      <c r="C83" s="390"/>
      <c r="D83" s="393">
        <f t="shared" si="24"/>
        <v>41.110940713671319</v>
      </c>
      <c r="E83" s="385">
        <f t="shared" si="45"/>
        <v>43.466692606376022</v>
      </c>
      <c r="F83" s="385">
        <f t="shared" si="25"/>
        <v>43.468612982947825</v>
      </c>
      <c r="G83" s="110">
        <f t="shared" si="46"/>
        <v>0.91902990086099068</v>
      </c>
      <c r="H83" s="414" t="b">
        <f>Wh_hp&gt;='2020'!Maxi_hp</f>
        <v>1</v>
      </c>
      <c r="I83" s="380">
        <f>IF(H83,Wh_hp,'2020'!Maxi_hp)</f>
        <v>43.468612982947825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2.1793242823397008E-2</v>
      </c>
      <c r="M83" s="845"/>
      <c r="N83" s="845"/>
      <c r="O83" s="48">
        <f>IF(t&lt;Tnet,'2020'!Resal+('2020'!Salim-'2020'!Resal)*(1-EXP(('2020'!Tnet-t)/('2020'!Tau_j))),Resal+(Salim-Resal)*(1-EXP((Tnet-t)/(Tau_j))))*Salcycl</f>
        <v>5.4196713654701807E-2</v>
      </c>
      <c r="P83" s="169">
        <f>(INDEX(Models!$BJ83:$BT83,,T83)*(1-R83)+INDEX(Models!$BJ83:$BT83,,T83+1)*R83-ERP_i)*Q83*Ramure*Pc/MaxiM</f>
        <v>4.9956649505333849E-5</v>
      </c>
      <c r="Q83" s="305">
        <f t="shared" si="27"/>
        <v>0.5</v>
      </c>
      <c r="R83" s="177">
        <f t="shared" si="28"/>
        <v>0.50785985212126683</v>
      </c>
      <c r="S83" s="811">
        <f t="shared" si="29"/>
        <v>-1</v>
      </c>
      <c r="T83" s="176">
        <f t="shared" si="30"/>
        <v>5</v>
      </c>
      <c r="U83" s="251">
        <f t="shared" si="31"/>
        <v>-0.49214014787873317</v>
      </c>
      <c r="V83" s="383">
        <f t="shared" si="32"/>
        <v>43.75784463850988</v>
      </c>
      <c r="W83" s="402"/>
      <c r="X83" s="157">
        <f t="shared" si="33"/>
        <v>44265</v>
      </c>
      <c r="Y83" s="385">
        <f t="shared" si="34"/>
        <v>40.215000000000003</v>
      </c>
      <c r="Z83" s="385">
        <f t="shared" si="35"/>
        <v>41.110940713671319</v>
      </c>
      <c r="AA83" s="386">
        <f t="shared" si="36"/>
        <v>43.466692606376022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5.4196713654701807E-2</v>
      </c>
      <c r="AD83" s="231">
        <f>(INDEX(Models!$BJ83:$BT83,,AH83)*(1-AF83)+INDEX(Models!$BJ83:$BT83,,AH83+1)*AF83-ERP_i)*AE83*Ramure*Pc/MaxiM</f>
        <v>4.9956649505333849E-5</v>
      </c>
      <c r="AE83" s="305">
        <f t="shared" si="38"/>
        <v>0.5</v>
      </c>
      <c r="AF83" s="177">
        <f t="shared" si="39"/>
        <v>0.50785985212126683</v>
      </c>
      <c r="AG83" s="811">
        <f t="shared" si="47"/>
        <v>-1</v>
      </c>
      <c r="AH83" s="176">
        <f t="shared" si="40"/>
        <v>5</v>
      </c>
      <c r="AI83" s="225">
        <f t="shared" si="41"/>
        <v>-0.49214014787873317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7">
        <v>31.580000000000002</v>
      </c>
      <c r="C84" s="390"/>
      <c r="D84" s="393">
        <f t="shared" si="24"/>
        <v>32.284270647801712</v>
      </c>
      <c r="E84" s="385">
        <f t="shared" si="45"/>
        <v>34.136277898115871</v>
      </c>
      <c r="F84" s="385">
        <f t="shared" si="25"/>
        <v>34.137173352401021</v>
      </c>
      <c r="G84" s="110">
        <f t="shared" si="46"/>
        <v>0.71618405056088164</v>
      </c>
      <c r="H84" s="414" t="b">
        <f>Wh_hp&gt;='2020'!Maxi_hp</f>
        <v>1</v>
      </c>
      <c r="I84" s="380">
        <f>IF(H84,Wh_hp,'2020'!Maxi_hp)</f>
        <v>34.137173352401021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2.1814668061880704E-2</v>
      </c>
      <c r="M84" s="845"/>
      <c r="N84" s="845"/>
      <c r="O84" s="48">
        <f>IF(t&lt;Tnet,'2020'!Resal+('2020'!Salim-'2020'!Resal)*(1-EXP(('2020'!Tnet-t)/('2020'!Tau_j))),Resal+(Salim-Resal)*(1-EXP((Tnet-t)/(Tau_j))))*Salcycl</f>
        <v>5.4253344662874854E-2</v>
      </c>
      <c r="P84" s="169">
        <f>(INDEX(Models!$BJ84:$BT84,,T84)*(1-R84)+INDEX(Models!$BJ84:$BT84,,T84+1)*R84-ERP_i)*Q84*Ramure*Pc/MaxiM</f>
        <v>4.4117927303352856E-5</v>
      </c>
      <c r="Q84" s="305">
        <f t="shared" si="27"/>
        <v>0.5</v>
      </c>
      <c r="R84" s="177">
        <f t="shared" si="28"/>
        <v>0.50831745612893164</v>
      </c>
      <c r="S84" s="811">
        <f t="shared" si="29"/>
        <v>-1</v>
      </c>
      <c r="T84" s="176">
        <f t="shared" si="30"/>
        <v>5</v>
      </c>
      <c r="U84" s="251">
        <f t="shared" si="31"/>
        <v>-0.4916825438710683</v>
      </c>
      <c r="V84" s="383">
        <f t="shared" si="32"/>
        <v>44.09402177166762</v>
      </c>
      <c r="W84" s="402"/>
      <c r="X84" s="157">
        <f t="shared" si="33"/>
        <v>44266</v>
      </c>
      <c r="Y84" s="385">
        <f t="shared" si="34"/>
        <v>31.58</v>
      </c>
      <c r="Z84" s="385">
        <f t="shared" si="35"/>
        <v>32.284270647801712</v>
      </c>
      <c r="AA84" s="386">
        <f t="shared" si="36"/>
        <v>34.136277898115871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5.4253344662874854E-2</v>
      </c>
      <c r="AD84" s="231">
        <f>(INDEX(Models!$BJ84:$BT84,,AH84)*(1-AF84)+INDEX(Models!$BJ84:$BT84,,AH84+1)*AF84-ERP_i)*AE84*Ramure*Pc/MaxiM</f>
        <v>4.4117927303352856E-5</v>
      </c>
      <c r="AE84" s="305">
        <f t="shared" si="38"/>
        <v>0.5</v>
      </c>
      <c r="AF84" s="177">
        <f t="shared" si="39"/>
        <v>0.50831745612893164</v>
      </c>
      <c r="AG84" s="811">
        <f t="shared" si="47"/>
        <v>-1</v>
      </c>
      <c r="AH84" s="176">
        <f t="shared" si="40"/>
        <v>5</v>
      </c>
      <c r="AI84" s="225">
        <f t="shared" si="41"/>
        <v>-0.4916825438710683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7">
        <v>30.57</v>
      </c>
      <c r="C85" s="390"/>
      <c r="D85" s="393">
        <f t="shared" si="24"/>
        <v>31.252430984167724</v>
      </c>
      <c r="E85" s="385">
        <f t="shared" si="45"/>
        <v>33.0472270069586</v>
      </c>
      <c r="F85" s="385">
        <f t="shared" si="25"/>
        <v>33.047929332480102</v>
      </c>
      <c r="G85" s="110">
        <f t="shared" si="46"/>
        <v>0.68803876019193699</v>
      </c>
      <c r="H85" s="414" t="b">
        <f>Wh_hp&gt;='2020'!Maxi_hp</f>
        <v>0</v>
      </c>
      <c r="I85" s="380">
        <f>IF(H85,Wh_hp,'2020'!Maxi_hp)</f>
        <v>42.294025676295831</v>
      </c>
      <c r="J85" s="85">
        <f>IF(H85,An,'2020'!An_max)</f>
        <v>2019</v>
      </c>
      <c r="K85" s="197">
        <f t="shared" si="26"/>
        <v>44267</v>
      </c>
      <c r="L85" s="147">
        <f>IF(t&lt;Tvie,1-EXP((T0-t)*PertePVj)+'2020'!Pspv,1-EXP((T0-t)*PertePVj)+Pspv)</f>
        <v>2.1836092831096554E-2</v>
      </c>
      <c r="M85" s="845"/>
      <c r="N85" s="845"/>
      <c r="O85" s="48">
        <f>IF(t&lt;Tnet,'2020'!Resal+('2020'!Salim-'2020'!Resal)*(1-EXP(('2020'!Tnet-t)/('2020'!Tau_j))),Resal+(Salim-Resal)*(1-EXP((Tnet-t)/(Tau_j))))*Salcycl</f>
        <v>5.4310034013230757E-2</v>
      </c>
      <c r="P85" s="169">
        <f>(INDEX(Models!$BJ85:$BT85,,T85)*(1-R85)+INDEX(Models!$BJ85:$BT85,,T85+1)*R85-ERP_i)*Q85*Ramure*Pc/MaxiM</f>
        <v>3.8335750756968344E-5</v>
      </c>
      <c r="Q85" s="305">
        <f t="shared" si="27"/>
        <v>0.5</v>
      </c>
      <c r="R85" s="177">
        <f t="shared" si="28"/>
        <v>0.50879334862828696</v>
      </c>
      <c r="S85" s="811">
        <f t="shared" si="29"/>
        <v>-1</v>
      </c>
      <c r="T85" s="176">
        <f t="shared" si="30"/>
        <v>5</v>
      </c>
      <c r="U85" s="251">
        <f t="shared" si="31"/>
        <v>-0.4912066513717131</v>
      </c>
      <c r="V85" s="383">
        <f t="shared" si="32"/>
        <v>44.42987735417708</v>
      </c>
      <c r="W85" s="402"/>
      <c r="X85" s="157">
        <f t="shared" si="33"/>
        <v>44267</v>
      </c>
      <c r="Y85" s="385">
        <f t="shared" si="34"/>
        <v>30.569999999999997</v>
      </c>
      <c r="Z85" s="385">
        <f t="shared" si="35"/>
        <v>31.25243098416772</v>
      </c>
      <c r="AA85" s="386">
        <f t="shared" si="36"/>
        <v>33.0472270069586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5.4310034013230757E-2</v>
      </c>
      <c r="AD85" s="231">
        <f>(INDEX(Models!$BJ85:$BT85,,AH85)*(1-AF85)+INDEX(Models!$BJ85:$BT85,,AH85+1)*AF85-ERP_i)*AE85*Ramure*Pc/MaxiM</f>
        <v>3.8335750756968344E-5</v>
      </c>
      <c r="AE85" s="305">
        <f t="shared" si="38"/>
        <v>0.5</v>
      </c>
      <c r="AF85" s="177">
        <f t="shared" si="39"/>
        <v>0.50879334862828696</v>
      </c>
      <c r="AG85" s="811">
        <f t="shared" si="47"/>
        <v>-1</v>
      </c>
      <c r="AH85" s="176">
        <f t="shared" si="40"/>
        <v>5</v>
      </c>
      <c r="AI85" s="225">
        <f t="shared" si="41"/>
        <v>-0.4912066513717131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7">
        <v>38.521000000000001</v>
      </c>
      <c r="C86" s="390"/>
      <c r="D86" s="393">
        <f t="shared" si="24"/>
        <v>39.381788108227155</v>
      </c>
      <c r="E86" s="385">
        <f t="shared" si="45"/>
        <v>41.645944783900134</v>
      </c>
      <c r="F86" s="385">
        <f t="shared" si="25"/>
        <v>41.647039184319176</v>
      </c>
      <c r="G86" s="110">
        <f t="shared" si="46"/>
        <v>0.86050650495890102</v>
      </c>
      <c r="H86" s="414" t="b">
        <f>Wh_hp&gt;='2020'!Maxi_hp</f>
        <v>1</v>
      </c>
      <c r="I86" s="380">
        <f>IF(H86,Wh_hp,'2020'!Maxi_hp)</f>
        <v>41.647039184319176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2.1857517131055104E-2</v>
      </c>
      <c r="M86" s="845"/>
      <c r="N86" s="845"/>
      <c r="O86" s="48">
        <f>IF(t&lt;Tnet,'2020'!Resal+('2020'!Salim-'2020'!Resal)*(1-EXP(('2020'!Tnet-t)/('2020'!Tau_j))),Resal+(Salim-Resal)*(1-EXP((Tnet-t)/(Tau_j))))*Salcycl</f>
        <v>5.4366798194197173E-2</v>
      </c>
      <c r="P86" s="169">
        <f>(INDEX(Models!$BJ86:$BT86,,T86)*(1-R86)+INDEX(Models!$BJ86:$BT86,,T86+1)*R86-ERP_i)*Q86*Ramure*Pc/MaxiM</f>
        <v>3.2817473387111453E-5</v>
      </c>
      <c r="Q86" s="305">
        <f t="shared" si="27"/>
        <v>0.5</v>
      </c>
      <c r="R86" s="177">
        <f t="shared" si="28"/>
        <v>0.50928822187513267</v>
      </c>
      <c r="S86" s="811">
        <f t="shared" si="29"/>
        <v>-1</v>
      </c>
      <c r="T86" s="176">
        <f t="shared" si="30"/>
        <v>5</v>
      </c>
      <c r="U86" s="251">
        <f t="shared" si="31"/>
        <v>-0.49071177812486727</v>
      </c>
      <c r="V86" s="383">
        <f t="shared" si="32"/>
        <v>44.765202661338151</v>
      </c>
      <c r="W86" s="402"/>
      <c r="X86" s="157">
        <f t="shared" si="33"/>
        <v>44268</v>
      </c>
      <c r="Y86" s="385">
        <f t="shared" si="34"/>
        <v>38.521000000000001</v>
      </c>
      <c r="Z86" s="385">
        <f t="shared" si="35"/>
        <v>39.381788108227155</v>
      </c>
      <c r="AA86" s="386">
        <f t="shared" si="36"/>
        <v>41.645944783900134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5.4366798194197173E-2</v>
      </c>
      <c r="AD86" s="231">
        <f>(INDEX(Models!$BJ86:$BT86,,AH86)*(1-AF86)+INDEX(Models!$BJ86:$BT86,,AH86+1)*AF86-ERP_i)*AE86*Ramure*Pc/MaxiM</f>
        <v>3.2817473387111453E-5</v>
      </c>
      <c r="AE86" s="305">
        <f t="shared" si="38"/>
        <v>0.5</v>
      </c>
      <c r="AF86" s="177">
        <f t="shared" si="39"/>
        <v>0.50928822187513267</v>
      </c>
      <c r="AG86" s="811">
        <f t="shared" si="47"/>
        <v>-1</v>
      </c>
      <c r="AH86" s="176">
        <f t="shared" si="40"/>
        <v>5</v>
      </c>
      <c r="AI86" s="225">
        <f t="shared" si="41"/>
        <v>-0.49071177812486727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7">
        <v>25.875</v>
      </c>
      <c r="C87" s="390"/>
      <c r="D87" s="393">
        <f t="shared" si="24"/>
        <v>26.453780706288399</v>
      </c>
      <c r="E87" s="385">
        <f t="shared" si="45"/>
        <v>27.97635625349367</v>
      </c>
      <c r="F87" s="385">
        <f t="shared" si="25"/>
        <v>27.97666062642325</v>
      </c>
      <c r="G87" s="110">
        <f t="shared" si="46"/>
        <v>0.57371805267008202</v>
      </c>
      <c r="H87" s="414" t="b">
        <f>Wh_hp&gt;='2020'!Maxi_hp</f>
        <v>0</v>
      </c>
      <c r="I87" s="380">
        <f>IF(H87,Wh_hp,'2020'!Maxi_hp)</f>
        <v>41.178376020580401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2.1878940961766347E-2</v>
      </c>
      <c r="M87" s="845"/>
      <c r="N87" s="845"/>
      <c r="O87" s="48">
        <f>IF(t&lt;Tnet,'2020'!Resal+('2020'!Salim-'2020'!Resal)*(1-EXP(('2020'!Tnet-t)/('2020'!Tau_j))),Resal+(Salim-Resal)*(1-EXP((Tnet-t)/(Tau_j))))*Salcycl</f>
        <v>5.4423654510588185E-2</v>
      </c>
      <c r="P87" s="169">
        <f>(INDEX(Models!$BJ87:$BT87,,T87)*(1-R87)+INDEX(Models!$BJ87:$BT87,,T87+1)*R87-ERP_i)*Q87*Ramure*Pc/MaxiM</f>
        <v>2.7822062725896995E-5</v>
      </c>
      <c r="Q87" s="305">
        <f t="shared" si="27"/>
        <v>0.5</v>
      </c>
      <c r="R87" s="177">
        <f t="shared" si="28"/>
        <v>0.50980279110817039</v>
      </c>
      <c r="S87" s="811">
        <f t="shared" si="29"/>
        <v>-1</v>
      </c>
      <c r="T87" s="176">
        <f t="shared" si="30"/>
        <v>5</v>
      </c>
      <c r="U87" s="251">
        <f t="shared" si="31"/>
        <v>-0.49019720889182966</v>
      </c>
      <c r="V87" s="383">
        <f t="shared" si="32"/>
        <v>45.099786361586936</v>
      </c>
      <c r="W87" s="402"/>
      <c r="X87" s="157">
        <f t="shared" si="33"/>
        <v>44269</v>
      </c>
      <c r="Y87" s="385">
        <f t="shared" si="34"/>
        <v>25.875</v>
      </c>
      <c r="Z87" s="385">
        <f t="shared" si="35"/>
        <v>26.453780706288399</v>
      </c>
      <c r="AA87" s="386">
        <f t="shared" si="36"/>
        <v>27.97635625349367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5.4423654510588185E-2</v>
      </c>
      <c r="AD87" s="231">
        <f>(INDEX(Models!$BJ87:$BT87,,AH87)*(1-AF87)+INDEX(Models!$BJ87:$BT87,,AH87+1)*AF87-ERP_i)*AE87*Ramure*Pc/MaxiM</f>
        <v>2.7822062725896995E-5</v>
      </c>
      <c r="AE87" s="305">
        <f t="shared" si="38"/>
        <v>0.5</v>
      </c>
      <c r="AF87" s="177">
        <f t="shared" si="39"/>
        <v>0.50980279110817039</v>
      </c>
      <c r="AG87" s="811">
        <f t="shared" si="47"/>
        <v>-1</v>
      </c>
      <c r="AH87" s="176">
        <f t="shared" si="40"/>
        <v>5</v>
      </c>
      <c r="AI87" s="225">
        <f t="shared" si="41"/>
        <v>-0.49019720889182966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7">
        <v>18.036999999999999</v>
      </c>
      <c r="C88" s="390"/>
      <c r="D88" s="393">
        <f t="shared" si="24"/>
        <v>18.440861587194004</v>
      </c>
      <c r="E88" s="385">
        <f t="shared" si="45"/>
        <v>19.503420022179565</v>
      </c>
      <c r="F88" s="385">
        <f t="shared" si="25"/>
        <v>19.503483095881144</v>
      </c>
      <c r="G88" s="110">
        <f t="shared" si="46"/>
        <v>0.3969904484902419</v>
      </c>
      <c r="H88" s="414" t="b">
        <f>Wh_hp&gt;='2020'!Maxi_hp</f>
        <v>0</v>
      </c>
      <c r="I88" s="380">
        <f>IF(H88,Wh_hp,'2020'!Maxi_hp)</f>
        <v>31.428093358036886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2.1900364323240828E-2</v>
      </c>
      <c r="M88" s="845"/>
      <c r="N88" s="845"/>
      <c r="O88" s="48">
        <f>IF(t&lt;Tnet,'2020'!Resal+('2020'!Salim-'2020'!Resal)*(1-EXP(('2020'!Tnet-t)/('2020'!Tau_j))),Resal+(Salim-Resal)*(1-EXP((Tnet-t)/(Tau_j))))*Salcycl</f>
        <v>5.4480621028373762E-2</v>
      </c>
      <c r="P88" s="169">
        <f>(INDEX(Models!$BJ88:$BT88,,T88)*(1-R88)+INDEX(Models!$BJ88:$BT88,,T88+1)*R88-ERP_i)*Q88*Ramure*Pc/MaxiM</f>
        <v>2.3338313871890215E-5</v>
      </c>
      <c r="Q88" s="305">
        <f t="shared" si="27"/>
        <v>0.5</v>
      </c>
      <c r="R88" s="177">
        <f t="shared" si="28"/>
        <v>0.51033779503980192</v>
      </c>
      <c r="S88" s="811">
        <f t="shared" si="29"/>
        <v>-1</v>
      </c>
      <c r="T88" s="176">
        <f t="shared" si="30"/>
        <v>5</v>
      </c>
      <c r="U88" s="251">
        <f t="shared" si="31"/>
        <v>-0.48966220496019808</v>
      </c>
      <c r="V88" s="383">
        <f t="shared" si="32"/>
        <v>45.433429054505019</v>
      </c>
      <c r="W88" s="402"/>
      <c r="X88" s="157">
        <f t="shared" si="33"/>
        <v>44270</v>
      </c>
      <c r="Y88" s="385">
        <f t="shared" si="34"/>
        <v>18.036999999999999</v>
      </c>
      <c r="Z88" s="385">
        <f t="shared" si="35"/>
        <v>18.440861587194004</v>
      </c>
      <c r="AA88" s="386">
        <f t="shared" si="36"/>
        <v>19.503420022179565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5.4480621028373762E-2</v>
      </c>
      <c r="AD88" s="231">
        <f>(INDEX(Models!$BJ88:$BT88,,AH88)*(1-AF88)+INDEX(Models!$BJ88:$BT88,,AH88+1)*AF88-ERP_i)*AE88*Ramure*Pc/MaxiM</f>
        <v>2.3338313871890215E-5</v>
      </c>
      <c r="AE88" s="305">
        <f t="shared" si="38"/>
        <v>0.5</v>
      </c>
      <c r="AF88" s="177">
        <f t="shared" si="39"/>
        <v>0.51033779503980192</v>
      </c>
      <c r="AG88" s="811">
        <f t="shared" si="47"/>
        <v>-1</v>
      </c>
      <c r="AH88" s="176">
        <f t="shared" si="40"/>
        <v>5</v>
      </c>
      <c r="AI88" s="225">
        <f t="shared" si="41"/>
        <v>-0.48966220496019808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7">
        <v>30.634</v>
      </c>
      <c r="C89" s="390"/>
      <c r="D89" s="393">
        <f t="shared" si="24"/>
        <v>31.32060360774976</v>
      </c>
      <c r="E89" s="385">
        <f t="shared" si="45"/>
        <v>33.127290379419328</v>
      </c>
      <c r="F89" s="385">
        <f t="shared" si="25"/>
        <v>33.127628714712131</v>
      </c>
      <c r="G89" s="110">
        <f t="shared" si="46"/>
        <v>0.66935641934766599</v>
      </c>
      <c r="H89" s="414" t="b">
        <f>Wh_hp&gt;='2020'!Maxi_hp</f>
        <v>0</v>
      </c>
      <c r="I89" s="380">
        <f>IF(H89,Wh_hp,'2020'!Maxi_hp)</f>
        <v>50.491533478793343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2.1921787215488764E-2</v>
      </c>
      <c r="M89" s="845"/>
      <c r="N89" s="845"/>
      <c r="O89" s="48">
        <f>IF(t&lt;Tnet,'2020'!Resal+('2020'!Salim-'2020'!Resal)*(1-EXP(('2020'!Tnet-t)/('2020'!Tau_j))),Resal+(Salim-Resal)*(1-EXP((Tnet-t)/(Tau_j))))*Salcycl</f>
        <v>5.4537716516410061E-2</v>
      </c>
      <c r="P89" s="169">
        <f>(INDEX(Models!$BJ89:$BT89,,T89)*(1-R89)+INDEX(Models!$BJ89:$BT89,,T89+1)*R89-ERP_i)*Q89*Ramure*Pc/MaxiM</f>
        <v>1.9355399776043924E-5</v>
      </c>
      <c r="Q89" s="305">
        <f t="shared" si="27"/>
        <v>0.5</v>
      </c>
      <c r="R89" s="177">
        <f t="shared" si="28"/>
        <v>0.51089399633257382</v>
      </c>
      <c r="S89" s="811">
        <f t="shared" si="29"/>
        <v>-1</v>
      </c>
      <c r="T89" s="176">
        <f t="shared" si="30"/>
        <v>5</v>
      </c>
      <c r="U89" s="251">
        <f t="shared" si="31"/>
        <v>-0.48910600366742613</v>
      </c>
      <c r="V89" s="383">
        <f t="shared" si="32"/>
        <v>45.765931342419911</v>
      </c>
      <c r="W89" s="402"/>
      <c r="X89" s="157">
        <f t="shared" si="33"/>
        <v>44271</v>
      </c>
      <c r="Y89" s="385">
        <f t="shared" si="34"/>
        <v>30.634</v>
      </c>
      <c r="Z89" s="385">
        <f t="shared" si="35"/>
        <v>31.32060360774976</v>
      </c>
      <c r="AA89" s="386">
        <f t="shared" si="36"/>
        <v>33.127290379419328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5.4537716516410061E-2</v>
      </c>
      <c r="AD89" s="231">
        <f>(INDEX(Models!$BJ89:$BT89,,AH89)*(1-AF89)+INDEX(Models!$BJ89:$BT89,,AH89+1)*AF89-ERP_i)*AE89*Ramure*Pc/MaxiM</f>
        <v>1.9355399776043924E-5</v>
      </c>
      <c r="AE89" s="305">
        <f t="shared" si="38"/>
        <v>0.5</v>
      </c>
      <c r="AF89" s="177">
        <f t="shared" si="39"/>
        <v>0.51089399633257382</v>
      </c>
      <c r="AG89" s="811">
        <f t="shared" si="47"/>
        <v>-1</v>
      </c>
      <c r="AH89" s="176">
        <f t="shared" si="40"/>
        <v>5</v>
      </c>
      <c r="AI89" s="225">
        <f t="shared" si="41"/>
        <v>-0.48910600366742613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7">
        <v>25.091999999999999</v>
      </c>
      <c r="C90" s="390"/>
      <c r="D90" s="393">
        <f t="shared" si="24"/>
        <v>25.654951989777867</v>
      </c>
      <c r="E90" s="385">
        <f t="shared" si="45"/>
        <v>27.136466291996502</v>
      </c>
      <c r="F90" s="385">
        <f t="shared" si="25"/>
        <v>27.136616542417517</v>
      </c>
      <c r="G90" s="110">
        <f t="shared" si="46"/>
        <v>0.54432370483986015</v>
      </c>
      <c r="H90" s="414" t="b">
        <f>Wh_hp&gt;='2020'!Maxi_hp</f>
        <v>1</v>
      </c>
      <c r="I90" s="380">
        <f>IF(H90,Wh_hp,'2020'!Maxi_hp)</f>
        <v>27.136616542417517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2.1943209638520256E-2</v>
      </c>
      <c r="M90" s="845"/>
      <c r="N90" s="845"/>
      <c r="O90" s="48">
        <f>IF(t&lt;Tnet,'2020'!Resal+('2020'!Salim-'2020'!Resal)*(1-EXP(('2020'!Tnet-t)/('2020'!Tau_j))),Resal+(Salim-Resal)*(1-EXP((Tnet-t)/(Tau_j))))*Salcycl</f>
        <v>5.4594960385670591E-2</v>
      </c>
      <c r="P90" s="169">
        <f>(INDEX(Models!$BJ90:$BT90,,T90)*(1-R90)+INDEX(Models!$BJ90:$BT90,,T90+1)*R90-ERP_i)*Q90*Ramure*Pc/MaxiM</f>
        <v>1.5862894776457766E-5</v>
      </c>
      <c r="Q90" s="305">
        <f t="shared" si="27"/>
        <v>0.5</v>
      </c>
      <c r="R90" s="177">
        <f t="shared" si="28"/>
        <v>0.51147218205833811</v>
      </c>
      <c r="S90" s="811">
        <f t="shared" si="29"/>
        <v>-1</v>
      </c>
      <c r="T90" s="176">
        <f t="shared" si="30"/>
        <v>5</v>
      </c>
      <c r="U90" s="251">
        <f t="shared" si="31"/>
        <v>-0.48852781794166189</v>
      </c>
      <c r="V90" s="383">
        <f t="shared" si="32"/>
        <v>46.097093831233117</v>
      </c>
      <c r="W90" s="402"/>
      <c r="X90" s="157">
        <f t="shared" si="33"/>
        <v>44272</v>
      </c>
      <c r="Y90" s="385">
        <f t="shared" si="34"/>
        <v>25.091999999999999</v>
      </c>
      <c r="Z90" s="385">
        <f t="shared" si="35"/>
        <v>25.654951989777867</v>
      </c>
      <c r="AA90" s="386">
        <f t="shared" si="36"/>
        <v>27.136466291996502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5.4594960385670591E-2</v>
      </c>
      <c r="AD90" s="231">
        <f>(INDEX(Models!$BJ90:$BT90,,AH90)*(1-AF90)+INDEX(Models!$BJ90:$BT90,,AH90+1)*AF90-ERP_i)*AE90*Ramure*Pc/MaxiM</f>
        <v>1.5862894776457766E-5</v>
      </c>
      <c r="AE90" s="305">
        <f t="shared" si="38"/>
        <v>0.5</v>
      </c>
      <c r="AF90" s="177">
        <f t="shared" si="39"/>
        <v>0.51147218205833811</v>
      </c>
      <c r="AG90" s="811">
        <f t="shared" si="47"/>
        <v>-1</v>
      </c>
      <c r="AH90" s="176">
        <f t="shared" si="40"/>
        <v>5</v>
      </c>
      <c r="AI90" s="225">
        <f t="shared" si="41"/>
        <v>-0.48852781794166189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7">
        <v>22.963000000000001</v>
      </c>
      <c r="C91" s="390"/>
      <c r="D91" s="393">
        <f t="shared" si="24"/>
        <v>23.47870101813006</v>
      </c>
      <c r="E91" s="385">
        <f t="shared" si="45"/>
        <v>24.836050081769741</v>
      </c>
      <c r="F91" s="385">
        <f t="shared" si="25"/>
        <v>24.836138812812258</v>
      </c>
      <c r="G91" s="110">
        <f t="shared" si="46"/>
        <v>0.49460285721784353</v>
      </c>
      <c r="H91" s="414" t="b">
        <f>Wh_hp&gt;='2020'!Maxi_hp</f>
        <v>0</v>
      </c>
      <c r="I91" s="380">
        <f>IF(H91,Wh_hp,'2020'!Maxi_hp)</f>
        <v>35.441978382349127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2.196463159234574E-2</v>
      </c>
      <c r="M91" s="845"/>
      <c r="N91" s="845"/>
      <c r="O91" s="48">
        <f>IF(t&lt;Tnet,'2020'!Resal+('2020'!Salim-'2020'!Resal)*(1-EXP(('2020'!Tnet-t)/('2020'!Tau_j))),Resal+(Salim-Resal)*(1-EXP((Tnet-t)/(Tau_j))))*Salcycl</f>
        <v>5.4652372626515414E-2</v>
      </c>
      <c r="P91" s="169">
        <f>(INDEX(Models!$BJ91:$BT91,,T91)*(1-R91)+INDEX(Models!$BJ91:$BT91,,T91+1)*R91-ERP_i)*Q91*Ramure*Pc/MaxiM</f>
        <v>1.2850797850570596E-5</v>
      </c>
      <c r="Q91" s="305">
        <f t="shared" si="27"/>
        <v>0.5</v>
      </c>
      <c r="R91" s="177">
        <f t="shared" si="28"/>
        <v>0.51207316413696358</v>
      </c>
      <c r="S91" s="811">
        <f t="shared" si="29"/>
        <v>-1</v>
      </c>
      <c r="T91" s="176">
        <f t="shared" si="30"/>
        <v>5</v>
      </c>
      <c r="U91" s="251">
        <f t="shared" si="31"/>
        <v>-0.48792683586303648</v>
      </c>
      <c r="V91" s="383">
        <f t="shared" si="32"/>
        <v>46.426717133199325</v>
      </c>
      <c r="W91" s="402"/>
      <c r="X91" s="157">
        <f t="shared" si="33"/>
        <v>44273</v>
      </c>
      <c r="Y91" s="385">
        <f t="shared" si="34"/>
        <v>22.963000000000001</v>
      </c>
      <c r="Z91" s="385">
        <f t="shared" si="35"/>
        <v>23.47870101813006</v>
      </c>
      <c r="AA91" s="386">
        <f t="shared" si="36"/>
        <v>24.836050081769741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5.4652372626515414E-2</v>
      </c>
      <c r="AD91" s="231">
        <f>(INDEX(Models!$BJ91:$BT91,,AH91)*(1-AF91)+INDEX(Models!$BJ91:$BT91,,AH91+1)*AF91-ERP_i)*AE91*Ramure*Pc/MaxiM</f>
        <v>1.2850797850570596E-5</v>
      </c>
      <c r="AE91" s="305">
        <f t="shared" si="38"/>
        <v>0.5</v>
      </c>
      <c r="AF91" s="177">
        <f t="shared" si="39"/>
        <v>0.51207316413696358</v>
      </c>
      <c r="AG91" s="811">
        <f t="shared" si="47"/>
        <v>-1</v>
      </c>
      <c r="AH91" s="176">
        <f t="shared" si="40"/>
        <v>5</v>
      </c>
      <c r="AI91" s="225">
        <f t="shared" si="41"/>
        <v>-0.48792683586303648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7">
        <v>9.016</v>
      </c>
      <c r="C92" s="390"/>
      <c r="D92" s="393">
        <f t="shared" si="24"/>
        <v>9.2186824414576716</v>
      </c>
      <c r="E92" s="385">
        <f t="shared" si="45"/>
        <v>9.7522264970626082</v>
      </c>
      <c r="F92" s="385">
        <f t="shared" si="25"/>
        <v>9.7522264970626082</v>
      </c>
      <c r="G92" s="110">
        <f t="shared" si="46"/>
        <v>0.19283464491182695</v>
      </c>
      <c r="H92" s="414" t="b">
        <f>Wh_hp&gt;='2020'!Maxi_hp</f>
        <v>0</v>
      </c>
      <c r="I92" s="380">
        <f>IF(H92,Wh_hp,'2020'!Maxi_hp)</f>
        <v>46.110957889709681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2.1986053076975542E-2</v>
      </c>
      <c r="M92" s="845"/>
      <c r="N92" s="845"/>
      <c r="O92" s="48">
        <f>IF(t&lt;Tnet,'2020'!Resal+('2020'!Salim-'2020'!Resal)*(1-EXP(('2020'!Tnet-t)/('2020'!Tau_j))),Resal+(Salim-Resal)*(1-EXP((Tnet-t)/(Tau_j))))*Salcycl</f>
        <v>5.4709973744522869E-2</v>
      </c>
      <c r="P92" s="169">
        <f>(INDEX(Models!$BJ92:$BT92,,T92)*(1-R92)+INDEX(Models!$BJ92:$BT92,,T92+1)*R92-ERP_i)*Q92*Ramure*Pc/MaxiM</f>
        <v>1.0309555560275429E-5</v>
      </c>
      <c r="Q92" s="305">
        <f t="shared" si="27"/>
        <v>0.5</v>
      </c>
      <c r="R92" s="177">
        <f t="shared" si="28"/>
        <v>0.51269777975117015</v>
      </c>
      <c r="S92" s="811">
        <f t="shared" si="29"/>
        <v>-1</v>
      </c>
      <c r="T92" s="176">
        <f t="shared" si="30"/>
        <v>5</v>
      </c>
      <c r="U92" s="251">
        <f t="shared" si="31"/>
        <v>-0.48730222024882985</v>
      </c>
      <c r="V92" s="383">
        <f t="shared" si="32"/>
        <v>46.754601867157049</v>
      </c>
      <c r="W92" s="402"/>
      <c r="X92" s="157">
        <f t="shared" si="33"/>
        <v>44274</v>
      </c>
      <c r="Y92" s="385">
        <f t="shared" si="34"/>
        <v>9.016</v>
      </c>
      <c r="Z92" s="385">
        <f t="shared" si="35"/>
        <v>9.2186824414576716</v>
      </c>
      <c r="AA92" s="386">
        <f t="shared" si="36"/>
        <v>9.7522264970626082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5.4709973744522869E-2</v>
      </c>
      <c r="AD92" s="231">
        <f>(INDEX(Models!$BJ92:$BT92,,AH92)*(1-AF92)+INDEX(Models!$BJ92:$BT92,,AH92+1)*AF92-ERP_i)*AE92*Ramure*Pc/MaxiM</f>
        <v>1.0309555560275429E-5</v>
      </c>
      <c r="AE92" s="305">
        <f t="shared" si="38"/>
        <v>0.5</v>
      </c>
      <c r="AF92" s="177">
        <f t="shared" si="39"/>
        <v>0.51269777975117015</v>
      </c>
      <c r="AG92" s="811">
        <f t="shared" si="47"/>
        <v>-1</v>
      </c>
      <c r="AH92" s="176">
        <f t="shared" si="40"/>
        <v>5</v>
      </c>
      <c r="AI92" s="225">
        <f t="shared" si="41"/>
        <v>-0.48730222024882985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7">
        <v>43.27</v>
      </c>
      <c r="C93" s="390"/>
      <c r="D93" s="393">
        <f t="shared" si="24"/>
        <v>44.243691903315217</v>
      </c>
      <c r="E93" s="385">
        <f t="shared" si="45"/>
        <v>46.807219630212657</v>
      </c>
      <c r="F93" s="385">
        <f t="shared" si="25"/>
        <v>46.807560270976452</v>
      </c>
      <c r="G93" s="110">
        <f t="shared" si="46"/>
        <v>0.91901066910850049</v>
      </c>
      <c r="H93" s="414" t="b">
        <f>Wh_hp&gt;='2020'!Maxi_hp</f>
        <v>0</v>
      </c>
      <c r="I93" s="380">
        <f>IF(H93,Wh_hp,'2020'!Maxi_hp)</f>
        <v>51.145293953169229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2.2007474092419765E-2</v>
      </c>
      <c r="M93" s="845"/>
      <c r="N93" s="845"/>
      <c r="O93" s="48">
        <f>IF(t&lt;Tnet,'2020'!Resal+('2020'!Salim-'2020'!Resal)*(1-EXP(('2020'!Tnet-t)/('2020'!Tau_j))),Resal+(Salim-Resal)*(1-EXP((Tnet-t)/(Tau_j))))*Salcycl</f>
        <v>5.4767784695392611E-2</v>
      </c>
      <c r="P93" s="169">
        <f>(INDEX(Models!$BJ93:$BT93,,T93)*(1-R93)+INDEX(Models!$BJ93:$BT93,,T93+1)*R93-ERP_i)*Q93*Ramure*Pc/MaxiM</f>
        <v>8.2296223126976083E-6</v>
      </c>
      <c r="Q93" s="305">
        <f t="shared" si="27"/>
        <v>0.5</v>
      </c>
      <c r="R93" s="177">
        <f t="shared" si="28"/>
        <v>0.51334689173379155</v>
      </c>
      <c r="S93" s="811">
        <f t="shared" si="29"/>
        <v>-1</v>
      </c>
      <c r="T93" s="176">
        <f t="shared" si="30"/>
        <v>5</v>
      </c>
      <c r="U93" s="251">
        <f t="shared" si="31"/>
        <v>-0.48665310826620839</v>
      </c>
      <c r="V93" s="383">
        <f t="shared" si="32"/>
        <v>47.083195282358588</v>
      </c>
      <c r="W93" s="402"/>
      <c r="X93" s="157">
        <f t="shared" si="33"/>
        <v>44275</v>
      </c>
      <c r="Y93" s="385">
        <f t="shared" si="34"/>
        <v>43.27</v>
      </c>
      <c r="Z93" s="385">
        <f t="shared" si="35"/>
        <v>44.243691903315217</v>
      </c>
      <c r="AA93" s="386">
        <f t="shared" si="36"/>
        <v>46.807219630212657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5.4767784695392611E-2</v>
      </c>
      <c r="AD93" s="231">
        <f>(INDEX(Models!$BJ93:$BT93,,AH93)*(1-AF93)+INDEX(Models!$BJ93:$BT93,,AH93+1)*AF93-ERP_i)*AE93*Ramure*Pc/MaxiM</f>
        <v>8.2296223126976083E-6</v>
      </c>
      <c r="AE93" s="305">
        <f t="shared" si="38"/>
        <v>0.5</v>
      </c>
      <c r="AF93" s="177">
        <f t="shared" si="39"/>
        <v>0.51334689173379155</v>
      </c>
      <c r="AG93" s="811">
        <f t="shared" si="47"/>
        <v>-1</v>
      </c>
      <c r="AH93" s="176">
        <f t="shared" si="40"/>
        <v>5</v>
      </c>
      <c r="AI93" s="225">
        <f t="shared" si="41"/>
        <v>-0.48665310826620839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7">
        <v>39.664999999999999</v>
      </c>
      <c r="C94" s="390"/>
      <c r="D94" s="393">
        <f t="shared" si="24"/>
        <v>40.558457997944402</v>
      </c>
      <c r="E94" s="385">
        <f t="shared" si="45"/>
        <v>42.911094218181525</v>
      </c>
      <c r="F94" s="385">
        <f t="shared" si="25"/>
        <v>42.911311876188876</v>
      </c>
      <c r="G94" s="110">
        <f t="shared" si="46"/>
        <v>0.83655866566462744</v>
      </c>
      <c r="H94" s="414" t="b">
        <f>Wh_hp&gt;='2020'!Maxi_hp</f>
        <v>0</v>
      </c>
      <c r="I94" s="380">
        <f>IF(H94,Wh_hp,'2020'!Maxi_hp)</f>
        <v>51.378117175877115</v>
      </c>
      <c r="J94" s="85">
        <f>IF(H94,An,'2020'!An_max)</f>
        <v>2019</v>
      </c>
      <c r="K94" s="197">
        <f t="shared" si="26"/>
        <v>44276</v>
      </c>
      <c r="L94" s="147">
        <f>IF(t&lt;Tvie,1-EXP((T0-t)*PertePVj)+'2020'!Pspv,1-EXP((T0-t)*PertePVj)+Pspv)</f>
        <v>2.2028894638688734E-2</v>
      </c>
      <c r="M94" s="845"/>
      <c r="N94" s="845"/>
      <c r="O94" s="48">
        <f>IF(t&lt;Tnet,'2020'!Resal+('2020'!Salim-'2020'!Resal)*(1-EXP(('2020'!Tnet-t)/('2020'!Tau_j))),Resal+(Salim-Resal)*(1-EXP((Tnet-t)/(Tau_j))))*Salcycl</f>
        <v>5.4825826819403393E-2</v>
      </c>
      <c r="P94" s="169">
        <f>(INDEX(Models!$BJ94:$BT94,,T94)*(1-R94)+INDEX(Models!$BJ94:$BT94,,T94+1)*R94-ERP_i)*Q94*Ramure*Pc/MaxiM</f>
        <v>6.6173276302719041E-6</v>
      </c>
      <c r="Q94" s="305">
        <f t="shared" si="27"/>
        <v>0.5</v>
      </c>
      <c r="R94" s="177">
        <f t="shared" si="28"/>
        <v>0.51402138892349181</v>
      </c>
      <c r="S94" s="811">
        <f t="shared" si="29"/>
        <v>-1</v>
      </c>
      <c r="T94" s="176">
        <f t="shared" si="30"/>
        <v>5</v>
      </c>
      <c r="U94" s="251">
        <f t="shared" si="31"/>
        <v>-0.48597861107650819</v>
      </c>
      <c r="V94" s="383">
        <f t="shared" si="32"/>
        <v>47.414413768213208</v>
      </c>
      <c r="W94" s="402"/>
      <c r="X94" s="157">
        <f t="shared" si="33"/>
        <v>44276</v>
      </c>
      <c r="Y94" s="385">
        <f t="shared" si="34"/>
        <v>39.664999999999999</v>
      </c>
      <c r="Z94" s="385">
        <f t="shared" si="35"/>
        <v>40.558457997944402</v>
      </c>
      <c r="AA94" s="386">
        <f t="shared" si="36"/>
        <v>42.911094218181525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5.4825826819403393E-2</v>
      </c>
      <c r="AD94" s="231">
        <f>(INDEX(Models!$BJ94:$BT94,,AH94)*(1-AF94)+INDEX(Models!$BJ94:$BT94,,AH94+1)*AF94-ERP_i)*AE94*Ramure*Pc/MaxiM</f>
        <v>6.6173276302719041E-6</v>
      </c>
      <c r="AE94" s="305">
        <f t="shared" si="38"/>
        <v>0.5</v>
      </c>
      <c r="AF94" s="177">
        <f t="shared" si="39"/>
        <v>0.51402138892349181</v>
      </c>
      <c r="AG94" s="811">
        <f t="shared" si="47"/>
        <v>-1</v>
      </c>
      <c r="AH94" s="176">
        <f t="shared" si="40"/>
        <v>5</v>
      </c>
      <c r="AI94" s="225">
        <f t="shared" si="41"/>
        <v>-0.48597861107650819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7">
        <v>37.989000000000004</v>
      </c>
      <c r="C95" s="390"/>
      <c r="D95" s="393">
        <f t="shared" si="24"/>
        <v>38.845556751684846</v>
      </c>
      <c r="E95" s="385">
        <f t="shared" si="45"/>
        <v>41.101369310053265</v>
      </c>
      <c r="F95" s="385">
        <f t="shared" si="25"/>
        <v>41.101521709385246</v>
      </c>
      <c r="G95" s="110">
        <f t="shared" si="46"/>
        <v>0.7956253600662373</v>
      </c>
      <c r="H95" s="414" t="b">
        <f>Wh_hp&gt;='2020'!Maxi_hp</f>
        <v>0</v>
      </c>
      <c r="I95" s="380">
        <f>IF(H95,Wh_hp,'2020'!Maxi_hp)</f>
        <v>50.23936086110939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2.2050314715792885E-2</v>
      </c>
      <c r="M95" s="845"/>
      <c r="N95" s="845"/>
      <c r="O95" s="48">
        <f>IF(t&lt;Tnet,'2020'!Resal+('2020'!Salim-'2020'!Resal)*(1-EXP(('2020'!Tnet-t)/('2020'!Tau_j))),Resal+(Salim-Resal)*(1-EXP((Tnet-t)/(Tau_j))))*Salcycl</f>
        <v>5.4884121775880923E-2</v>
      </c>
      <c r="P95" s="169">
        <f>(INDEX(Models!$BJ95:$BT95,,T95)*(1-R95)+INDEX(Models!$BJ95:$BT95,,T95+1)*R95-ERP_i)*Q95*Ramure*Pc/MaxiM</f>
        <v>5.2368316906875214E-6</v>
      </c>
      <c r="Q95" s="305">
        <f t="shared" si="27"/>
        <v>0.5</v>
      </c>
      <c r="R95" s="177">
        <f t="shared" si="28"/>
        <v>0.5147221864846665</v>
      </c>
      <c r="S95" s="811">
        <f t="shared" si="29"/>
        <v>-1</v>
      </c>
      <c r="T95" s="176">
        <f t="shared" si="30"/>
        <v>5</v>
      </c>
      <c r="U95" s="251">
        <f t="shared" si="31"/>
        <v>-0.4852778135153335</v>
      </c>
      <c r="V95" s="383">
        <f t="shared" si="32"/>
        <v>47.747273808757647</v>
      </c>
      <c r="W95" s="402"/>
      <c r="X95" s="157">
        <f t="shared" si="33"/>
        <v>44277</v>
      </c>
      <c r="Y95" s="385">
        <f t="shared" si="34"/>
        <v>37.989000000000004</v>
      </c>
      <c r="Z95" s="385">
        <f t="shared" si="35"/>
        <v>38.845556751684846</v>
      </c>
      <c r="AA95" s="386">
        <f t="shared" si="36"/>
        <v>41.101369310053265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5.4884121775880923E-2</v>
      </c>
      <c r="AD95" s="231">
        <f>(INDEX(Models!$BJ95:$BT95,,AH95)*(1-AF95)+INDEX(Models!$BJ95:$BT95,,AH95+1)*AF95-ERP_i)*AE95*Ramure*Pc/MaxiM</f>
        <v>5.2368316906875214E-6</v>
      </c>
      <c r="AE95" s="305">
        <f t="shared" si="38"/>
        <v>0.5</v>
      </c>
      <c r="AF95" s="177">
        <f t="shared" si="39"/>
        <v>0.5147221864846665</v>
      </c>
      <c r="AG95" s="811">
        <f t="shared" si="47"/>
        <v>-1</v>
      </c>
      <c r="AH95" s="176">
        <f t="shared" si="40"/>
        <v>5</v>
      </c>
      <c r="AI95" s="225">
        <f t="shared" si="41"/>
        <v>-0.4852778135153335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7">
        <v>47.634999999999998</v>
      </c>
      <c r="C96" s="390"/>
      <c r="D96" s="393">
        <f t="shared" si="24"/>
        <v>48.710116755915024</v>
      </c>
      <c r="E96" s="385">
        <f t="shared" si="45"/>
        <v>51.541971388062173</v>
      </c>
      <c r="F96" s="385">
        <f t="shared" si="25"/>
        <v>51.542179117528008</v>
      </c>
      <c r="G96" s="110">
        <f t="shared" si="46"/>
        <v>0.99072843904429142</v>
      </c>
      <c r="H96" s="414" t="b">
        <f>Wh_hp&gt;='2020'!Maxi_hp</f>
        <v>1</v>
      </c>
      <c r="I96" s="380">
        <f>IF(H96,Wh_hp,'2020'!Maxi_hp)</f>
        <v>51.542179117528008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2.207173432374232E-2</v>
      </c>
      <c r="M96" s="845"/>
      <c r="N96" s="845"/>
      <c r="O96" s="48">
        <f>IF(t&lt;Tnet,'2020'!Resal+('2020'!Salim-'2020'!Resal)*(1-EXP(('2020'!Tnet-t)/('2020'!Tau_j))),Resal+(Salim-Resal)*(1-EXP((Tnet-t)/(Tau_j))))*Salcycl</f>
        <v>5.4942691478095891E-2</v>
      </c>
      <c r="P96" s="169">
        <f>(INDEX(Models!$BJ96:$BT96,,T96)*(1-R96)+INDEX(Models!$BJ96:$BT96,,T96+1)*R96-ERP_i)*Q96*Ramure*Pc/MaxiM</f>
        <v>4.0843786505774118E-6</v>
      </c>
      <c r="Q96" s="305">
        <f t="shared" si="27"/>
        <v>0.5</v>
      </c>
      <c r="R96" s="177">
        <f t="shared" si="28"/>
        <v>0.51545022618696112</v>
      </c>
      <c r="S96" s="811">
        <f t="shared" si="29"/>
        <v>-1</v>
      </c>
      <c r="T96" s="176">
        <f t="shared" si="30"/>
        <v>5</v>
      </c>
      <c r="U96" s="251">
        <f t="shared" si="31"/>
        <v>-0.48454977381303882</v>
      </c>
      <c r="V96" s="383">
        <f t="shared" si="32"/>
        <v>48.080781317835019</v>
      </c>
      <c r="W96" s="402"/>
      <c r="X96" s="157">
        <f t="shared" si="33"/>
        <v>44278</v>
      </c>
      <c r="Y96" s="385">
        <f t="shared" si="34"/>
        <v>47.634999999999998</v>
      </c>
      <c r="Z96" s="385">
        <f t="shared" si="35"/>
        <v>48.710116755915024</v>
      </c>
      <c r="AA96" s="386">
        <f t="shared" si="36"/>
        <v>51.541971388062173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5.4942691478095891E-2</v>
      </c>
      <c r="AD96" s="231">
        <f>(INDEX(Models!$BJ96:$BT96,,AH96)*(1-AF96)+INDEX(Models!$BJ96:$BT96,,AH96+1)*AF96-ERP_i)*AE96*Ramure*Pc/MaxiM</f>
        <v>4.0843786505774118E-6</v>
      </c>
      <c r="AE96" s="305">
        <f t="shared" si="38"/>
        <v>0.5</v>
      </c>
      <c r="AF96" s="177">
        <f t="shared" si="39"/>
        <v>0.51545022618696112</v>
      </c>
      <c r="AG96" s="811">
        <f t="shared" si="47"/>
        <v>-1</v>
      </c>
      <c r="AH96" s="176">
        <f t="shared" si="40"/>
        <v>5</v>
      </c>
      <c r="AI96" s="225">
        <f t="shared" si="41"/>
        <v>-0.48454977381303882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7">
        <v>46.719000000000001</v>
      </c>
      <c r="C97" s="390"/>
      <c r="D97" s="393">
        <f t="shared" si="24"/>
        <v>47.774489119716705</v>
      </c>
      <c r="E97" s="385">
        <f t="shared" si="45"/>
        <v>50.555098292089518</v>
      </c>
      <c r="F97" s="385">
        <f t="shared" si="25"/>
        <v>50.55524988036008</v>
      </c>
      <c r="G97" s="110">
        <f t="shared" si="46"/>
        <v>0.96499045972890629</v>
      </c>
      <c r="H97" s="414" t="b">
        <f>Wh_hp&gt;='2020'!Maxi_hp</f>
        <v>0</v>
      </c>
      <c r="I97" s="380">
        <f>IF(H97,Wh_hp,'2020'!Maxi_hp)</f>
        <v>51.495753799818651</v>
      </c>
      <c r="J97" s="85">
        <f>IF(H97,An,'2020'!An_max)</f>
        <v>2019</v>
      </c>
      <c r="K97" s="197">
        <f t="shared" si="26"/>
        <v>44279</v>
      </c>
      <c r="L97" s="147">
        <f>IF(t&lt;Tvie,1-EXP((T0-t)*PertePVj)+'2020'!Pspv,1-EXP((T0-t)*PertePVj)+Pspv)</f>
        <v>2.2093153462547366E-2</v>
      </c>
      <c r="M97" s="845"/>
      <c r="N97" s="845"/>
      <c r="O97" s="48">
        <f>IF(t&lt;Tnet,'2020'!Resal+('2020'!Salim-'2020'!Resal)*(1-EXP(('2020'!Tnet-t)/('2020'!Tau_j))),Resal+(Salim-Resal)*(1-EXP((Tnet-t)/(Tau_j))))*Salcycl</f>
        <v>5.5001558028973316E-2</v>
      </c>
      <c r="P97" s="169">
        <f>(INDEX(Models!$BJ97:$BT97,,T97)*(1-R97)+INDEX(Models!$BJ97:$BT97,,T97+1)*R97-ERP_i)*Q97*Ramure*Pc/MaxiM</f>
        <v>3.1563260715682765E-6</v>
      </c>
      <c r="Q97" s="305">
        <f t="shared" si="27"/>
        <v>0.5</v>
      </c>
      <c r="R97" s="177">
        <f t="shared" si="28"/>
        <v>0.51620647663952091</v>
      </c>
      <c r="S97" s="811">
        <f t="shared" si="29"/>
        <v>-1</v>
      </c>
      <c r="T97" s="176">
        <f t="shared" si="30"/>
        <v>5</v>
      </c>
      <c r="U97" s="251">
        <f t="shared" si="31"/>
        <v>-0.48379352336047904</v>
      </c>
      <c r="V97" s="383">
        <f t="shared" si="32"/>
        <v>48.413942494421214</v>
      </c>
      <c r="W97" s="402"/>
      <c r="X97" s="157">
        <f t="shared" si="33"/>
        <v>44279</v>
      </c>
      <c r="Y97" s="385">
        <f t="shared" si="34"/>
        <v>46.719000000000001</v>
      </c>
      <c r="Z97" s="385">
        <f t="shared" si="35"/>
        <v>47.774489119716705</v>
      </c>
      <c r="AA97" s="386">
        <f t="shared" si="36"/>
        <v>50.555098292089518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5.5001558028973316E-2</v>
      </c>
      <c r="AD97" s="231">
        <f>(INDEX(Models!$BJ97:$BT97,,AH97)*(1-AF97)+INDEX(Models!$BJ97:$BT97,,AH97+1)*AF97-ERP_i)*AE97*Ramure*Pc/MaxiM</f>
        <v>3.1563260715682765E-6</v>
      </c>
      <c r="AE97" s="305">
        <f t="shared" si="38"/>
        <v>0.5</v>
      </c>
      <c r="AF97" s="177">
        <f t="shared" si="39"/>
        <v>0.51620647663952091</v>
      </c>
      <c r="AG97" s="811">
        <f t="shared" si="47"/>
        <v>-1</v>
      </c>
      <c r="AH97" s="176">
        <f t="shared" si="40"/>
        <v>5</v>
      </c>
      <c r="AI97" s="225">
        <f t="shared" si="41"/>
        <v>-0.48379352336047904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7">
        <v>33.268000000000001</v>
      </c>
      <c r="C98" s="390"/>
      <c r="D98" s="393">
        <f t="shared" si="24"/>
        <v>34.020345381911255</v>
      </c>
      <c r="E98" s="385">
        <f t="shared" si="45"/>
        <v>36.002679699864849</v>
      </c>
      <c r="F98" s="385">
        <f t="shared" si="25"/>
        <v>36.002727880263052</v>
      </c>
      <c r="G98" s="110">
        <f t="shared" si="46"/>
        <v>0.68247905930818442</v>
      </c>
      <c r="H98" s="414" t="b">
        <f>Wh_hp&gt;='2020'!Maxi_hp</f>
        <v>0</v>
      </c>
      <c r="I98" s="380">
        <f>IF(H98,Wh_hp,'2020'!Maxi_hp)</f>
        <v>48.049790210842104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2.2114572132218235E-2</v>
      </c>
      <c r="M98" s="845"/>
      <c r="N98" s="845"/>
      <c r="O98" s="48">
        <f>IF(t&lt;Tnet,'2020'!Resal+('2020'!Salim-'2020'!Resal)*(1-EXP(('2020'!Tnet-t)/('2020'!Tau_j))),Resal+(Salim-Resal)*(1-EXP((Tnet-t)/(Tau_j))))*Salcycl</f>
        <v>5.5060743657951605E-2</v>
      </c>
      <c r="P98" s="169">
        <f>(INDEX(Models!$BJ98:$BT98,,T98)*(1-R98)+INDEX(Models!$BJ98:$BT98,,T98+1)*R98-ERP_i)*Q98*Ramure*Pc/MaxiM</f>
        <v>2.4492013695106524E-6</v>
      </c>
      <c r="Q98" s="305">
        <f t="shared" si="27"/>
        <v>0.5</v>
      </c>
      <c r="R98" s="177">
        <f t="shared" si="28"/>
        <v>0.51699193347476824</v>
      </c>
      <c r="S98" s="811">
        <f t="shared" si="29"/>
        <v>-1</v>
      </c>
      <c r="T98" s="176">
        <f t="shared" si="30"/>
        <v>5</v>
      </c>
      <c r="U98" s="251">
        <f t="shared" si="31"/>
        <v>-0.48300806652523176</v>
      </c>
      <c r="V98" s="383">
        <f t="shared" si="32"/>
        <v>48.745763825061886</v>
      </c>
      <c r="W98" s="402"/>
      <c r="X98" s="157">
        <f t="shared" si="33"/>
        <v>44280</v>
      </c>
      <c r="Y98" s="385">
        <f t="shared" si="34"/>
        <v>33.268000000000001</v>
      </c>
      <c r="Z98" s="385">
        <f t="shared" si="35"/>
        <v>34.020345381911255</v>
      </c>
      <c r="AA98" s="386">
        <f t="shared" si="36"/>
        <v>36.002679699864849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5.5060743657951605E-2</v>
      </c>
      <c r="AD98" s="231">
        <f>(INDEX(Models!$BJ98:$BT98,,AH98)*(1-AF98)+INDEX(Models!$BJ98:$BT98,,AH98+1)*AF98-ERP_i)*AE98*Ramure*Pc/MaxiM</f>
        <v>2.4492013695106524E-6</v>
      </c>
      <c r="AE98" s="305">
        <f t="shared" si="38"/>
        <v>0.5</v>
      </c>
      <c r="AF98" s="177">
        <f t="shared" si="39"/>
        <v>0.51699193347476824</v>
      </c>
      <c r="AG98" s="811">
        <f t="shared" si="47"/>
        <v>-1</v>
      </c>
      <c r="AH98" s="176">
        <f t="shared" si="40"/>
        <v>5</v>
      </c>
      <c r="AI98" s="225">
        <f t="shared" si="41"/>
        <v>-0.48300806652523176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7">
        <v>38.213000000000001</v>
      </c>
      <c r="C99" s="390"/>
      <c r="D99" s="393">
        <f t="shared" si="24"/>
        <v>39.078030914547938</v>
      </c>
      <c r="E99" s="385">
        <f t="shared" si="45"/>
        <v>41.357677280064365</v>
      </c>
      <c r="F99" s="385">
        <f t="shared" si="25"/>
        <v>41.357732702904727</v>
      </c>
      <c r="G99" s="110">
        <f t="shared" si="46"/>
        <v>0.77866082580785578</v>
      </c>
      <c r="H99" s="414" t="b">
        <f>Wh_hp&gt;='2020'!Maxi_hp</f>
        <v>0</v>
      </c>
      <c r="I99" s="380">
        <f>IF(H99,Wh_hp,'2020'!Maxi_hp)</f>
        <v>54.932815887950575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2.2135990332765365E-2</v>
      </c>
      <c r="M99" s="845"/>
      <c r="N99" s="845"/>
      <c r="O99" s="48">
        <f>IF(t&lt;Tnet,'2020'!Resal+('2020'!Salim-'2020'!Resal)*(1-EXP(('2020'!Tnet-t)/('2020'!Tau_j))),Resal+(Salim-Resal)*(1-EXP((Tnet-t)/(Tau_j))))*Salcycl</f>
        <v>5.5120270659282961E-2</v>
      </c>
      <c r="P99" s="169">
        <f>(INDEX(Models!$BJ99:$BT99,,T99)*(1-R99)+INDEX(Models!$BJ99:$BT99,,T99+1)*R99-ERP_i)*Q99*Ramure*Pc/MaxiM</f>
        <v>1.9597549659401103E-6</v>
      </c>
      <c r="Q99" s="305">
        <f t="shared" si="27"/>
        <v>0.5</v>
      </c>
      <c r="R99" s="177">
        <f t="shared" si="28"/>
        <v>0.51780761947617182</v>
      </c>
      <c r="S99" s="811">
        <f t="shared" si="29"/>
        <v>-1</v>
      </c>
      <c r="T99" s="176">
        <f t="shared" si="30"/>
        <v>5</v>
      </c>
      <c r="U99" s="251">
        <f t="shared" si="31"/>
        <v>-0.48219238052382818</v>
      </c>
      <c r="V99" s="383">
        <f t="shared" si="32"/>
        <v>49.075252091743621</v>
      </c>
      <c r="W99" s="402"/>
      <c r="X99" s="157">
        <f t="shared" si="33"/>
        <v>44281</v>
      </c>
      <c r="Y99" s="385">
        <f t="shared" si="34"/>
        <v>38.213000000000001</v>
      </c>
      <c r="Z99" s="385">
        <f t="shared" si="35"/>
        <v>39.078030914547938</v>
      </c>
      <c r="AA99" s="386">
        <f t="shared" si="36"/>
        <v>41.357677280064365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5.5120270659282961E-2</v>
      </c>
      <c r="AD99" s="231">
        <f>(INDEX(Models!$BJ99:$BT99,,AH99)*(1-AF99)+INDEX(Models!$BJ99:$BT99,,AH99+1)*AF99-ERP_i)*AE99*Ramure*Pc/MaxiM</f>
        <v>1.9597549659401103E-6</v>
      </c>
      <c r="AE99" s="305">
        <f t="shared" si="38"/>
        <v>0.5</v>
      </c>
      <c r="AF99" s="177">
        <f t="shared" si="39"/>
        <v>0.51780761947617182</v>
      </c>
      <c r="AG99" s="811">
        <f t="shared" si="47"/>
        <v>-1</v>
      </c>
      <c r="AH99" s="176">
        <f t="shared" si="40"/>
        <v>5</v>
      </c>
      <c r="AI99" s="225">
        <f t="shared" si="41"/>
        <v>-0.48219238052382818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7">
        <v>43.256999999999998</v>
      </c>
      <c r="C100" s="390"/>
      <c r="D100" s="393">
        <f t="shared" si="24"/>
        <v>44.237181277168148</v>
      </c>
      <c r="E100" s="385">
        <f t="shared" si="45"/>
        <v>46.820758272322323</v>
      </c>
      <c r="F100" s="385">
        <f t="shared" si="25"/>
        <v>46.820823681497913</v>
      </c>
      <c r="G100" s="110">
        <f t="shared" si="46"/>
        <v>0.87562245103390401</v>
      </c>
      <c r="H100" s="414" t="b">
        <f>Wh_hp&gt;='2020'!Maxi_hp</f>
        <v>0</v>
      </c>
      <c r="I100" s="380">
        <f>IF(H100,Wh_hp,'2020'!Maxi_hp)</f>
        <v>54.175577399192605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2.2157408064198858E-2</v>
      </c>
      <c r="M100" s="845"/>
      <c r="N100" s="845"/>
      <c r="O100" s="48">
        <f>IF(t&lt;Tnet,'2020'!Resal+('2020'!Salim-'2020'!Resal)*(1-EXP(('2020'!Tnet-t)/('2020'!Tau_j))),Resal+(Salim-Resal)*(1-EXP((Tnet-t)/(Tau_j))))*Salcycl</f>
        <v>5.5180161332018279E-2</v>
      </c>
      <c r="P100" s="169">
        <f>(INDEX(Models!$BJ100:$BT100,,T100)*(1-R100)+INDEX(Models!$BJ100:$BT100,,T100+1)*R100-ERP_i)*Q100*Ramure*Pc/MaxiM</f>
        <v>1.6988684142454614E-6</v>
      </c>
      <c r="Q100" s="305">
        <f t="shared" si="27"/>
        <v>0.5</v>
      </c>
      <c r="R100" s="177">
        <f t="shared" si="28"/>
        <v>0.51865458464413638</v>
      </c>
      <c r="S100" s="811">
        <f t="shared" si="29"/>
        <v>-1</v>
      </c>
      <c r="T100" s="176">
        <f t="shared" si="30"/>
        <v>5</v>
      </c>
      <c r="U100" s="251">
        <f t="shared" si="31"/>
        <v>-0.48134541535586356</v>
      </c>
      <c r="V100" s="383">
        <f t="shared" si="32"/>
        <v>49.401413693117888</v>
      </c>
      <c r="W100" s="402"/>
      <c r="X100" s="157">
        <f t="shared" si="33"/>
        <v>44282</v>
      </c>
      <c r="Y100" s="385">
        <f t="shared" si="34"/>
        <v>43.256999999999998</v>
      </c>
      <c r="Z100" s="385">
        <f t="shared" si="35"/>
        <v>44.237181277168148</v>
      </c>
      <c r="AA100" s="386">
        <f t="shared" si="36"/>
        <v>46.820758272322323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5.5180161332018279E-2</v>
      </c>
      <c r="AD100" s="231">
        <f>(INDEX(Models!$BJ100:$BT100,,AH100)*(1-AF100)+INDEX(Models!$BJ100:$BT100,,AH100+1)*AF100-ERP_i)*AE100*Ramure*Pc/MaxiM</f>
        <v>1.6988684142454614E-6</v>
      </c>
      <c r="AE100" s="305">
        <f t="shared" si="38"/>
        <v>0.5</v>
      </c>
      <c r="AF100" s="177">
        <f t="shared" si="39"/>
        <v>0.51865458464413638</v>
      </c>
      <c r="AG100" s="811">
        <f t="shared" si="47"/>
        <v>-1</v>
      </c>
      <c r="AH100" s="176">
        <f t="shared" si="40"/>
        <v>5</v>
      </c>
      <c r="AI100" s="225">
        <f t="shared" si="41"/>
        <v>-0.48134541535586356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7">
        <v>47.786999999999999</v>
      </c>
      <c r="C101" s="390"/>
      <c r="D101" s="393">
        <f t="shared" si="24"/>
        <v>48.870899135476151</v>
      </c>
      <c r="E101" s="385">
        <f t="shared" si="45"/>
        <v>51.72839852287683</v>
      </c>
      <c r="F101" s="385">
        <f t="shared" si="25"/>
        <v>51.728470275376466</v>
      </c>
      <c r="G101" s="110">
        <f t="shared" si="46"/>
        <v>0.96105908205079571</v>
      </c>
      <c r="H101" s="414" t="b">
        <f>Wh_hp&gt;='2020'!Maxi_hp</f>
        <v>0</v>
      </c>
      <c r="I101" s="380">
        <f>IF(H101,Wh_hp,'2020'!Maxi_hp)</f>
        <v>52.923988977147388</v>
      </c>
      <c r="J101" s="85">
        <f>IF(H101,An,'2020'!An_max)</f>
        <v>2019</v>
      </c>
      <c r="K101" s="197">
        <f t="shared" si="26"/>
        <v>44283</v>
      </c>
      <c r="L101" s="147">
        <f>IF(t&lt;Tvie,1-EXP((T0-t)*PertePVj)+'2020'!Pspv,1-EXP((T0-t)*PertePVj)+Pspv)</f>
        <v>2.217882532652915E-2</v>
      </c>
      <c r="M101" s="845"/>
      <c r="N101" s="845"/>
      <c r="O101" s="48">
        <f>IF(t&lt;Tnet,'2020'!Resal+('2020'!Salim-'2020'!Resal)*(1-EXP(('2020'!Tnet-t)/('2020'!Tau_j))),Resal+(Salim-Resal)*(1-EXP((Tnet-t)/(Tau_j))))*Salcycl</f>
        <v>5.5240437921869029E-2</v>
      </c>
      <c r="P101" s="169">
        <f>(INDEX(Models!$BJ101:$BT101,,T101)*(1-R101)+INDEX(Models!$BJ101:$BT101,,T101+1)*R101-ERP_i)*Q101*Ramure*Pc/MaxiM</f>
        <v>1.4688082790839394E-6</v>
      </c>
      <c r="Q101" s="305">
        <f t="shared" si="27"/>
        <v>0.5</v>
      </c>
      <c r="R101" s="177">
        <f t="shared" si="28"/>
        <v>0.51953390619380069</v>
      </c>
      <c r="S101" s="811">
        <f t="shared" si="29"/>
        <v>-1</v>
      </c>
      <c r="T101" s="176">
        <f t="shared" si="30"/>
        <v>5</v>
      </c>
      <c r="U101" s="251">
        <f t="shared" si="31"/>
        <v>-0.48046609380619937</v>
      </c>
      <c r="V101" s="383">
        <f t="shared" si="32"/>
        <v>49.723265705342477</v>
      </c>
      <c r="W101" s="402"/>
      <c r="X101" s="157">
        <f t="shared" si="33"/>
        <v>44283</v>
      </c>
      <c r="Y101" s="385">
        <f t="shared" si="34"/>
        <v>47.786999999999999</v>
      </c>
      <c r="Z101" s="385">
        <f t="shared" si="35"/>
        <v>48.870899135476151</v>
      </c>
      <c r="AA101" s="386">
        <f t="shared" si="36"/>
        <v>51.72839852287683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5.5240437921869029E-2</v>
      </c>
      <c r="AD101" s="231">
        <f>(INDEX(Models!$BJ101:$BT101,,AH101)*(1-AF101)+INDEX(Models!$BJ101:$BT101,,AH101+1)*AF101-ERP_i)*AE101*Ramure*Pc/MaxiM</f>
        <v>1.4688082790839394E-6</v>
      </c>
      <c r="AE101" s="305">
        <f t="shared" si="38"/>
        <v>0.5</v>
      </c>
      <c r="AF101" s="177">
        <f t="shared" si="39"/>
        <v>0.51953390619380069</v>
      </c>
      <c r="AG101" s="811">
        <f t="shared" si="47"/>
        <v>-1</v>
      </c>
      <c r="AH101" s="176">
        <f t="shared" si="40"/>
        <v>5</v>
      </c>
      <c r="AI101" s="225">
        <f t="shared" si="41"/>
        <v>-0.48046609380619937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7">
        <v>50.268000000000001</v>
      </c>
      <c r="C102" s="390"/>
      <c r="D102" s="393">
        <f t="shared" si="24"/>
        <v>51.409298882396641</v>
      </c>
      <c r="E102" s="385">
        <f t="shared" si="45"/>
        <v>54.418714905203835</v>
      </c>
      <c r="F102" s="385">
        <f t="shared" si="25"/>
        <v>54.418783965233558</v>
      </c>
      <c r="G102" s="110">
        <f t="shared" si="46"/>
        <v>1.0045600504075045</v>
      </c>
      <c r="H102" s="414" t="b">
        <f>Wh_hp&gt;='2020'!Maxi_hp</f>
        <v>1</v>
      </c>
      <c r="I102" s="380">
        <f>IF(H102,Wh_hp,'2020'!Maxi_hp)</f>
        <v>54.418783965233558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2.2200242119766345E-2</v>
      </c>
      <c r="M102" s="845"/>
      <c r="N102" s="845"/>
      <c r="O102" s="48">
        <f>IF(t&lt;Tnet,'2020'!Resal+('2020'!Salim-'2020'!Resal)*(1-EXP(('2020'!Tnet-t)/('2020'!Tau_j))),Resal+(Salim-Resal)*(1-EXP((Tnet-t)/(Tau_j))))*Salcycl</f>
        <v>5.5301122565086847E-2</v>
      </c>
      <c r="P102" s="169">
        <f>(INDEX(Models!$BJ102:$BT102,,T102)*(1-R102)+INDEX(Models!$BJ102:$BT102,,T102+1)*R102-ERP_i)*Q102*Ramure*Pc/MaxiM</f>
        <v>1.2690476466502364E-6</v>
      </c>
      <c r="Q102" s="305">
        <f t="shared" si="27"/>
        <v>0.5</v>
      </c>
      <c r="R102" s="177">
        <f t="shared" si="28"/>
        <v>0.52044668847818709</v>
      </c>
      <c r="S102" s="811">
        <f t="shared" si="29"/>
        <v>-1</v>
      </c>
      <c r="T102" s="176">
        <f t="shared" si="30"/>
        <v>5</v>
      </c>
      <c r="U102" s="251">
        <f t="shared" si="31"/>
        <v>-0.47955331152181296</v>
      </c>
      <c r="V102" s="383">
        <f t="shared" si="32"/>
        <v>50.039815917036073</v>
      </c>
      <c r="W102" s="402"/>
      <c r="X102" s="157">
        <f t="shared" si="33"/>
        <v>44284</v>
      </c>
      <c r="Y102" s="385">
        <f t="shared" si="34"/>
        <v>50.268000000000001</v>
      </c>
      <c r="Z102" s="385">
        <f t="shared" si="35"/>
        <v>51.409298882396641</v>
      </c>
      <c r="AA102" s="386">
        <f t="shared" si="36"/>
        <v>54.418714905203835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5.5301122565086847E-2</v>
      </c>
      <c r="AD102" s="231">
        <f>(INDEX(Models!$BJ102:$BT102,,AH102)*(1-AF102)+INDEX(Models!$BJ102:$BT102,,AH102+1)*AF102-ERP_i)*AE102*Ramure*Pc/MaxiM</f>
        <v>1.2690476466502364E-6</v>
      </c>
      <c r="AE102" s="305">
        <f t="shared" si="38"/>
        <v>0.5</v>
      </c>
      <c r="AF102" s="177">
        <f t="shared" si="39"/>
        <v>0.52044668847818709</v>
      </c>
      <c r="AG102" s="811">
        <f t="shared" si="47"/>
        <v>-1</v>
      </c>
      <c r="AH102" s="176">
        <f t="shared" si="40"/>
        <v>5</v>
      </c>
      <c r="AI102" s="225">
        <f t="shared" si="41"/>
        <v>-0.47955331152181296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7">
        <v>46.975000000000001</v>
      </c>
      <c r="C103" s="390"/>
      <c r="D103" s="393">
        <f t="shared" si="24"/>
        <v>48.042585935419616</v>
      </c>
      <c r="E103" s="385">
        <f t="shared" si="45"/>
        <v>50.858210235814305</v>
      </c>
      <c r="F103" s="385">
        <f t="shared" si="25"/>
        <v>50.858260781036748</v>
      </c>
      <c r="G103" s="110">
        <f t="shared" si="46"/>
        <v>0.93296777481809634</v>
      </c>
      <c r="H103" s="414" t="b">
        <f>Wh_hp&gt;='2020'!Maxi_hp</f>
        <v>0</v>
      </c>
      <c r="I103" s="380">
        <f>IF(H103,Wh_hp,'2020'!Maxi_hp)</f>
        <v>55.483183570295765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2.2221658443920878E-2</v>
      </c>
      <c r="M103" s="845"/>
      <c r="N103" s="845"/>
      <c r="O103" s="48">
        <f>IF(t&lt;Tnet,'2020'!Resal+('2020'!Salim-'2020'!Resal)*(1-EXP(('2020'!Tnet-t)/('2020'!Tau_j))),Resal+(Salim-Resal)*(1-EXP((Tnet-t)/(Tau_j))))*Salcycl</f>
        <v>5.5362237234450128E-2</v>
      </c>
      <c r="P103" s="169">
        <f>(INDEX(Models!$BJ103:$BT103,,T103)*(1-R103)+INDEX(Models!$BJ103:$BT103,,T103+1)*R103-ERP_i)*Q103*Ramure*Pc/MaxiM</f>
        <v>1.0990943625468448E-6</v>
      </c>
      <c r="Q103" s="305">
        <f t="shared" si="27"/>
        <v>0.5</v>
      </c>
      <c r="R103" s="177">
        <f t="shared" si="28"/>
        <v>0.52139406282980538</v>
      </c>
      <c r="S103" s="811">
        <f t="shared" si="29"/>
        <v>-1</v>
      </c>
      <c r="T103" s="176">
        <f t="shared" si="30"/>
        <v>5</v>
      </c>
      <c r="U103" s="251">
        <f t="shared" si="31"/>
        <v>-0.47860593717019462</v>
      </c>
      <c r="V103" s="383">
        <f t="shared" si="32"/>
        <v>50.350072450315707</v>
      </c>
      <c r="W103" s="402"/>
      <c r="X103" s="157">
        <f t="shared" si="33"/>
        <v>44285</v>
      </c>
      <c r="Y103" s="385">
        <f t="shared" si="34"/>
        <v>46.975000000000001</v>
      </c>
      <c r="Z103" s="385">
        <f t="shared" si="35"/>
        <v>48.042585935419616</v>
      </c>
      <c r="AA103" s="386">
        <f t="shared" si="36"/>
        <v>50.858210235814305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5.5362237234450128E-2</v>
      </c>
      <c r="AD103" s="231">
        <f>(INDEX(Models!$BJ103:$BT103,,AH103)*(1-AF103)+INDEX(Models!$BJ103:$BT103,,AH103+1)*AF103-ERP_i)*AE103*Ramure*Pc/MaxiM</f>
        <v>1.0990943625468448E-6</v>
      </c>
      <c r="AE103" s="305">
        <f t="shared" si="38"/>
        <v>0.5</v>
      </c>
      <c r="AF103" s="177">
        <f t="shared" si="39"/>
        <v>0.52139406282980538</v>
      </c>
      <c r="AG103" s="811">
        <f t="shared" si="47"/>
        <v>-1</v>
      </c>
      <c r="AH103" s="176">
        <f t="shared" si="40"/>
        <v>5</v>
      </c>
      <c r="AI103" s="225">
        <f t="shared" si="41"/>
        <v>-0.47860593717019462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7">
        <v>45.486000000000004</v>
      </c>
      <c r="C104" s="390"/>
      <c r="D104" s="393">
        <f t="shared" si="24"/>
        <v>46.520764828527383</v>
      </c>
      <c r="E104" s="385">
        <f t="shared" si="45"/>
        <v>49.250409877078305</v>
      </c>
      <c r="F104" s="385">
        <f t="shared" si="25"/>
        <v>49.250450204262727</v>
      </c>
      <c r="G104" s="110">
        <f t="shared" si="46"/>
        <v>0.8979913202778379</v>
      </c>
      <c r="H104" s="414" t="b">
        <f>Wh_hp&gt;='2020'!Maxi_hp</f>
        <v>1</v>
      </c>
      <c r="I104" s="380">
        <f>IF(H104,Wh_hp,'2020'!Maxi_hp)</f>
        <v>49.250450204262727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2.2243074299002963E-2</v>
      </c>
      <c r="M104" s="845"/>
      <c r="N104" s="845"/>
      <c r="O104" s="48">
        <f>IF(t&lt;Tnet,'2020'!Resal+('2020'!Salim-'2020'!Resal)*(1-EXP(('2020'!Tnet-t)/('2020'!Tau_j))),Resal+(Salim-Resal)*(1-EXP((Tnet-t)/(Tau_j))))*Salcycl</f>
        <v>5.5423803687394885E-2</v>
      </c>
      <c r="P104" s="169">
        <f>(INDEX(Models!$BJ104:$BT104,,T104)*(1-R104)+INDEX(Models!$BJ104:$BT104,,T104+1)*R104-ERP_i)*Q104*Ramure*Pc/MaxiM</f>
        <v>9.5849701601450352E-7</v>
      </c>
      <c r="Q104" s="305">
        <f t="shared" si="27"/>
        <v>0.5</v>
      </c>
      <c r="R104" s="177">
        <f t="shared" si="28"/>
        <v>0.52237718731346972</v>
      </c>
      <c r="S104" s="811">
        <f t="shared" si="29"/>
        <v>-1</v>
      </c>
      <c r="T104" s="176">
        <f t="shared" si="30"/>
        <v>5</v>
      </c>
      <c r="U104" s="251">
        <f t="shared" si="31"/>
        <v>-0.47762281268653034</v>
      </c>
      <c r="V104" s="383">
        <f t="shared" si="32"/>
        <v>50.653043764953971</v>
      </c>
      <c r="W104" s="402"/>
      <c r="X104" s="157">
        <f t="shared" si="33"/>
        <v>44286</v>
      </c>
      <c r="Y104" s="385">
        <f t="shared" si="34"/>
        <v>45.486000000000004</v>
      </c>
      <c r="Z104" s="385">
        <f t="shared" si="35"/>
        <v>46.520764828527383</v>
      </c>
      <c r="AA104" s="386">
        <f t="shared" si="36"/>
        <v>49.250409877078305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5.5423803687394885E-2</v>
      </c>
      <c r="AD104" s="231">
        <f>(INDEX(Models!$BJ104:$BT104,,AH104)*(1-AF104)+INDEX(Models!$BJ104:$BT104,,AH104+1)*AF104-ERP_i)*AE104*Ramure*Pc/MaxiM</f>
        <v>9.5849701601450352E-7</v>
      </c>
      <c r="AE104" s="305">
        <f t="shared" si="38"/>
        <v>0.5</v>
      </c>
      <c r="AF104" s="177">
        <f t="shared" si="39"/>
        <v>0.52237718731346972</v>
      </c>
      <c r="AG104" s="811">
        <f t="shared" si="47"/>
        <v>-1</v>
      </c>
      <c r="AH104" s="176">
        <f t="shared" si="40"/>
        <v>5</v>
      </c>
      <c r="AI104" s="225">
        <f t="shared" si="41"/>
        <v>-0.47762281268653034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7">
        <v>46.548999999999999</v>
      </c>
      <c r="C105" s="390"/>
      <c r="D105" s="393">
        <f t="shared" si="24"/>
        <v>47.608989863735495</v>
      </c>
      <c r="E105" s="385">
        <f t="shared" si="45"/>
        <v>50.405798083467289</v>
      </c>
      <c r="F105" s="385">
        <f t="shared" si="25"/>
        <v>50.405835504746996</v>
      </c>
      <c r="G105" s="110">
        <f t="shared" si="46"/>
        <v>0.91366165314729808</v>
      </c>
      <c r="H105" s="414" t="b">
        <f>Wh_hp&gt;='2020'!Maxi_hp</f>
        <v>1</v>
      </c>
      <c r="I105" s="380">
        <f>IF(H105,Wh_hp,'2020'!Maxi_hp)</f>
        <v>50.405835504746996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2.2264489685022815E-2</v>
      </c>
      <c r="M105" s="845"/>
      <c r="N105" s="845"/>
      <c r="O105" s="48">
        <f>IF(t&lt;Tnet,'2020'!Resal+('2020'!Salim-'2020'!Resal)*(1-EXP(('2020'!Tnet-t)/('2020'!Tau_j))),Resal+(Salim-Resal)*(1-EXP((Tnet-t)/(Tau_j))))*Salcycl</f>
        <v>5.548584341627804E-2</v>
      </c>
      <c r="P105" s="169">
        <f>(INDEX(Models!$BJ105:$BT105,,T105)*(1-R105)+INDEX(Models!$BJ105:$BT105,,T105+1)*R105-ERP_i)*Q105*Ramure*Pc/MaxiM</f>
        <v>8.4685060882633387E-7</v>
      </c>
      <c r="Q105" s="305">
        <f t="shared" si="27"/>
        <v>0.5</v>
      </c>
      <c r="R105" s="177">
        <f t="shared" si="28"/>
        <v>0.52339724638275487</v>
      </c>
      <c r="S105" s="811">
        <f t="shared" si="29"/>
        <v>-1</v>
      </c>
      <c r="T105" s="176">
        <f t="shared" si="30"/>
        <v>5</v>
      </c>
      <c r="U105" s="251">
        <f t="shared" si="31"/>
        <v>-0.47660275361724513</v>
      </c>
      <c r="V105" s="383">
        <f t="shared" si="32"/>
        <v>50.94773867061803</v>
      </c>
      <c r="W105" s="402"/>
      <c r="X105" s="157">
        <f t="shared" si="33"/>
        <v>44287</v>
      </c>
      <c r="Y105" s="385">
        <f t="shared" si="34"/>
        <v>46.548999999999999</v>
      </c>
      <c r="Z105" s="385">
        <f t="shared" si="35"/>
        <v>47.608989863735495</v>
      </c>
      <c r="AA105" s="386">
        <f t="shared" si="36"/>
        <v>50.405798083467289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5.548584341627804E-2</v>
      </c>
      <c r="AD105" s="231">
        <f>(INDEX(Models!$BJ105:$BT105,,AH105)*(1-AF105)+INDEX(Models!$BJ105:$BT105,,AH105+1)*AF105-ERP_i)*AE105*Ramure*Pc/MaxiM</f>
        <v>8.4685060882633387E-7</v>
      </c>
      <c r="AE105" s="305">
        <f t="shared" si="38"/>
        <v>0.5</v>
      </c>
      <c r="AF105" s="177">
        <f t="shared" si="39"/>
        <v>0.52339724638275487</v>
      </c>
      <c r="AG105" s="811">
        <f t="shared" si="47"/>
        <v>-1</v>
      </c>
      <c r="AH105" s="176">
        <f t="shared" si="40"/>
        <v>5</v>
      </c>
      <c r="AI105" s="225">
        <f t="shared" si="41"/>
        <v>-0.47660275361724513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7">
        <v>42.253999999999998</v>
      </c>
      <c r="C106" s="390"/>
      <c r="D106" s="393">
        <f t="shared" si="24"/>
        <v>43.217132901003311</v>
      </c>
      <c r="E106" s="385">
        <f t="shared" si="45"/>
        <v>45.75896941255116</v>
      </c>
      <c r="F106" s="385">
        <f t="shared" si="25"/>
        <v>45.758995612636852</v>
      </c>
      <c r="G106" s="110">
        <f t="shared" si="46"/>
        <v>0.82473903017033856</v>
      </c>
      <c r="H106" s="414" t="b">
        <f>Wh_hp&gt;='2020'!Maxi_hp</f>
        <v>1</v>
      </c>
      <c r="I106" s="380">
        <f>IF(H106,Wh_hp,'2020'!Maxi_hp)</f>
        <v>45.758995612636852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2.2285904601990758E-2</v>
      </c>
      <c r="M106" s="845"/>
      <c r="N106" s="845"/>
      <c r="O106" s="48">
        <f>IF(t&lt;Tnet,'2020'!Resal+('2020'!Salim-'2020'!Resal)*(1-EXP(('2020'!Tnet-t)/('2020'!Tau_j))),Resal+(Salim-Resal)*(1-EXP((Tnet-t)/(Tau_j))))*Salcycl</f>
        <v>5.5548377600712552E-2</v>
      </c>
      <c r="P106" s="169">
        <f>(INDEX(Models!$BJ106:$BT106,,T106)*(1-R106)+INDEX(Models!$BJ106:$BT106,,T106+1)*R106-ERP_i)*Q106*Ramure*Pc/MaxiM</f>
        <v>7.6380196198709717E-7</v>
      </c>
      <c r="Q106" s="305">
        <f t="shared" si="27"/>
        <v>0.5</v>
      </c>
      <c r="R106" s="177">
        <f t="shared" si="28"/>
        <v>0.52445545043219421</v>
      </c>
      <c r="S106" s="811">
        <f t="shared" si="29"/>
        <v>-1</v>
      </c>
      <c r="T106" s="176">
        <f t="shared" si="30"/>
        <v>5</v>
      </c>
      <c r="U106" s="251">
        <f t="shared" si="31"/>
        <v>-0.47554454956780579</v>
      </c>
      <c r="V106" s="383">
        <f t="shared" si="32"/>
        <v>51.233166339686328</v>
      </c>
      <c r="W106" s="402"/>
      <c r="X106" s="157">
        <f t="shared" si="33"/>
        <v>44288</v>
      </c>
      <c r="Y106" s="385">
        <f t="shared" si="34"/>
        <v>42.253999999999998</v>
      </c>
      <c r="Z106" s="385">
        <f t="shared" si="35"/>
        <v>43.217132901003311</v>
      </c>
      <c r="AA106" s="386">
        <f t="shared" si="36"/>
        <v>45.75896941255116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5.5548377600712552E-2</v>
      </c>
      <c r="AD106" s="231">
        <f>(INDEX(Models!$BJ106:$BT106,,AH106)*(1-AF106)+INDEX(Models!$BJ106:$BT106,,AH106+1)*AF106-ERP_i)*AE106*Ramure*Pc/MaxiM</f>
        <v>7.6380196198709717E-7</v>
      </c>
      <c r="AE106" s="305">
        <f t="shared" si="38"/>
        <v>0.5</v>
      </c>
      <c r="AF106" s="177">
        <f t="shared" si="39"/>
        <v>0.52445545043219421</v>
      </c>
      <c r="AG106" s="811">
        <f t="shared" si="47"/>
        <v>-1</v>
      </c>
      <c r="AH106" s="176">
        <f t="shared" si="40"/>
        <v>5</v>
      </c>
      <c r="AI106" s="225">
        <f t="shared" si="41"/>
        <v>-0.47554454956780579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7">
        <v>49.268000000000001</v>
      </c>
      <c r="C107" s="390"/>
      <c r="D107" s="393">
        <f t="shared" si="24"/>
        <v>50.392112940973753</v>
      </c>
      <c r="E107" s="385">
        <f t="shared" si="45"/>
        <v>53.359511524156339</v>
      </c>
      <c r="F107" s="385">
        <f t="shared" si="25"/>
        <v>53.35954700357199</v>
      </c>
      <c r="G107" s="110">
        <f t="shared" si="46"/>
        <v>0.9564553160175816</v>
      </c>
      <c r="H107" s="414" t="b">
        <f>Wh_hp&gt;='2020'!Maxi_hp</f>
        <v>1</v>
      </c>
      <c r="I107" s="380">
        <f>IF(H107,Wh_hp,'2020'!Maxi_hp)</f>
        <v>53.35954700357199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2.2307319049917007E-2</v>
      </c>
      <c r="M107" s="845"/>
      <c r="N107" s="845"/>
      <c r="O107" s="48">
        <f>IF(t&lt;Tnet,'2020'!Resal+('2020'!Salim-'2020'!Resal)*(1-EXP(('2020'!Tnet-t)/('2020'!Tau_j))),Resal+(Salim-Resal)*(1-EXP((Tnet-t)/(Tau_j))))*Salcycl</f>
        <v>5.5611427061869168E-2</v>
      </c>
      <c r="P107" s="169">
        <f>(INDEX(Models!$BJ107:$BT107,,T107)*(1-R107)+INDEX(Models!$BJ107:$BT107,,T107+1)*R107-ERP_i)*Q107*Ramure*Pc/MaxiM</f>
        <v>7.0901784644126335E-7</v>
      </c>
      <c r="Q107" s="305">
        <f t="shared" si="27"/>
        <v>0.5</v>
      </c>
      <c r="R107" s="177">
        <f t="shared" si="28"/>
        <v>0.5255530352370078</v>
      </c>
      <c r="S107" s="811">
        <f t="shared" si="29"/>
        <v>-1</v>
      </c>
      <c r="T107" s="176">
        <f t="shared" si="30"/>
        <v>5</v>
      </c>
      <c r="U107" s="251">
        <f t="shared" si="31"/>
        <v>-0.4744469647629922</v>
      </c>
      <c r="V107" s="383">
        <f t="shared" si="32"/>
        <v>51.51102932036779</v>
      </c>
      <c r="W107" s="402"/>
      <c r="X107" s="157">
        <f t="shared" si="33"/>
        <v>44289</v>
      </c>
      <c r="Y107" s="385">
        <f t="shared" si="34"/>
        <v>49.268000000000001</v>
      </c>
      <c r="Z107" s="385">
        <f t="shared" si="35"/>
        <v>50.392112940973753</v>
      </c>
      <c r="AA107" s="386">
        <f t="shared" si="36"/>
        <v>53.359511524156339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5.5611427061869168E-2</v>
      </c>
      <c r="AD107" s="231">
        <f>(INDEX(Models!$BJ107:$BT107,,AH107)*(1-AF107)+INDEX(Models!$BJ107:$BT107,,AH107+1)*AF107-ERP_i)*AE107*Ramure*Pc/MaxiM</f>
        <v>7.0901784644126335E-7</v>
      </c>
      <c r="AE107" s="305">
        <f t="shared" si="38"/>
        <v>0.5</v>
      </c>
      <c r="AF107" s="177">
        <f t="shared" si="39"/>
        <v>0.5255530352370078</v>
      </c>
      <c r="AG107" s="811">
        <f t="shared" si="47"/>
        <v>-1</v>
      </c>
      <c r="AH107" s="176">
        <f t="shared" si="40"/>
        <v>5</v>
      </c>
      <c r="AI107" s="225">
        <f t="shared" si="41"/>
        <v>-0.4744469647629922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7">
        <v>49.407000000000004</v>
      </c>
      <c r="C108" s="390"/>
      <c r="D108" s="393">
        <f t="shared" si="24"/>
        <v>50.535391259949989</v>
      </c>
      <c r="E108" s="385">
        <f t="shared" si="45"/>
        <v>53.514830078443495</v>
      </c>
      <c r="F108" s="385">
        <f t="shared" si="25"/>
        <v>53.514865118940129</v>
      </c>
      <c r="G108" s="110">
        <f t="shared" si="46"/>
        <v>0.95410468673874793</v>
      </c>
      <c r="H108" s="414" t="b">
        <f>Wh_hp&gt;='2020'!Maxi_hp</f>
        <v>0</v>
      </c>
      <c r="I108" s="380">
        <f>IF(H108,Wh_hp,'2020'!Maxi_hp)</f>
        <v>56.536713073450201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2.2328733028811998E-2</v>
      </c>
      <c r="M108" s="845"/>
      <c r="N108" s="845"/>
      <c r="O108" s="48">
        <f>IF(t&lt;Tnet,'2020'!Resal+('2020'!Salim-'2020'!Resal)*(1-EXP(('2020'!Tnet-t)/('2020'!Tau_j))),Resal+(Salim-Resal)*(1-EXP((Tnet-t)/(Tau_j))))*Salcycl</f>
        <v>5.5675012218597338E-2</v>
      </c>
      <c r="P108" s="169">
        <f>(INDEX(Models!$BJ108:$BT108,,T108)*(1-R108)+INDEX(Models!$BJ108:$BT108,,T108+1)*R108-ERP_i)*Q108*Ramure*Pc/MaxiM</f>
        <v>7.0072331474034671E-7</v>
      </c>
      <c r="Q108" s="305">
        <f t="shared" si="27"/>
        <v>0.5</v>
      </c>
      <c r="R108" s="177">
        <f t="shared" si="28"/>
        <v>0.5266912612718605</v>
      </c>
      <c r="S108" s="811">
        <f t="shared" si="29"/>
        <v>-1</v>
      </c>
      <c r="T108" s="176">
        <f t="shared" si="30"/>
        <v>5</v>
      </c>
      <c r="U108" s="251">
        <f t="shared" si="31"/>
        <v>-0.4733087387281395</v>
      </c>
      <c r="V108" s="383">
        <f t="shared" si="32"/>
        <v>51.783623345345177</v>
      </c>
      <c r="W108" s="402"/>
      <c r="X108" s="157">
        <f t="shared" si="33"/>
        <v>44290</v>
      </c>
      <c r="Y108" s="385">
        <f t="shared" si="34"/>
        <v>49.407000000000004</v>
      </c>
      <c r="Z108" s="385">
        <f t="shared" si="35"/>
        <v>50.535391259949989</v>
      </c>
      <c r="AA108" s="386">
        <f t="shared" si="36"/>
        <v>53.514830078443495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5.5675012218597338E-2</v>
      </c>
      <c r="AD108" s="231">
        <f>(INDEX(Models!$BJ108:$BT108,,AH108)*(1-AF108)+INDEX(Models!$BJ108:$BT108,,AH108+1)*AF108-ERP_i)*AE108*Ramure*Pc/MaxiM</f>
        <v>7.0072331474034671E-7</v>
      </c>
      <c r="AE108" s="305">
        <f t="shared" si="38"/>
        <v>0.5</v>
      </c>
      <c r="AF108" s="177">
        <f t="shared" si="39"/>
        <v>0.5266912612718605</v>
      </c>
      <c r="AG108" s="811">
        <f t="shared" si="47"/>
        <v>-1</v>
      </c>
      <c r="AH108" s="176">
        <f t="shared" si="40"/>
        <v>5</v>
      </c>
      <c r="AI108" s="225">
        <f t="shared" si="41"/>
        <v>-0.4733087387281395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7">
        <v>47.556000000000004</v>
      </c>
      <c r="C109" s="390"/>
      <c r="D109" s="393">
        <f t="shared" si="24"/>
        <v>48.643182251427412</v>
      </c>
      <c r="E109" s="385">
        <f t="shared" si="45"/>
        <v>51.514560206852323</v>
      </c>
      <c r="F109" s="385">
        <f t="shared" si="25"/>
        <v>51.51459292491252</v>
      </c>
      <c r="G109" s="110">
        <f t="shared" si="46"/>
        <v>0.91364494332677071</v>
      </c>
      <c r="H109" s="414" t="b">
        <f>Wh_hp&gt;='2020'!Maxi_hp</f>
        <v>0</v>
      </c>
      <c r="I109" s="380">
        <f>IF(H109,Wh_hp,'2020'!Maxi_hp)</f>
        <v>58.623693621493487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2.2350146538685833E-2</v>
      </c>
      <c r="M109" s="845"/>
      <c r="N109" s="845"/>
      <c r="O109" s="48">
        <f>IF(t&lt;Tnet,'2020'!Resal+('2020'!Salim-'2020'!Resal)*(1-EXP(('2020'!Tnet-t)/('2020'!Tau_j))),Resal+(Salim-Resal)*(1-EXP((Tnet-t)/(Tau_j))))*Salcycl</f>
        <v>5.5739153045180602E-2</v>
      </c>
      <c r="P109" s="169">
        <f>(INDEX(Models!$BJ109:$BT109,,T109)*(1-R109)+INDEX(Models!$BJ109:$BT109,,T109+1)*R109-ERP_i)*Q109*Ramure*Pc/MaxiM</f>
        <v>7.2449951189354187E-7</v>
      </c>
      <c r="Q109" s="305">
        <f t="shared" si="27"/>
        <v>0.5</v>
      </c>
      <c r="R109" s="177">
        <f t="shared" si="28"/>
        <v>0.52787141289987916</v>
      </c>
      <c r="S109" s="811">
        <f t="shared" si="29"/>
        <v>-1</v>
      </c>
      <c r="T109" s="176">
        <f t="shared" si="30"/>
        <v>5</v>
      </c>
      <c r="U109" s="251">
        <f t="shared" si="31"/>
        <v>-0.47212858710012079</v>
      </c>
      <c r="V109" s="383">
        <f t="shared" si="32"/>
        <v>52.050849837144973</v>
      </c>
      <c r="W109" s="402"/>
      <c r="X109" s="157">
        <f t="shared" si="33"/>
        <v>44291</v>
      </c>
      <c r="Y109" s="385">
        <f t="shared" si="34"/>
        <v>47.556000000000004</v>
      </c>
      <c r="Z109" s="385">
        <f t="shared" si="35"/>
        <v>48.643182251427412</v>
      </c>
      <c r="AA109" s="386">
        <f t="shared" si="36"/>
        <v>51.514560206852323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5.5739153045180602E-2</v>
      </c>
      <c r="AD109" s="231">
        <f>(INDEX(Models!$BJ109:$BT109,,AH109)*(1-AF109)+INDEX(Models!$BJ109:$BT109,,AH109+1)*AF109-ERP_i)*AE109*Ramure*Pc/MaxiM</f>
        <v>7.2449951189354187E-7</v>
      </c>
      <c r="AE109" s="305">
        <f t="shared" si="38"/>
        <v>0.5</v>
      </c>
      <c r="AF109" s="177">
        <f t="shared" si="39"/>
        <v>0.52787141289987916</v>
      </c>
      <c r="AG109" s="811">
        <f t="shared" si="47"/>
        <v>-1</v>
      </c>
      <c r="AH109" s="176">
        <f t="shared" si="40"/>
        <v>5</v>
      </c>
      <c r="AI109" s="225">
        <f t="shared" si="41"/>
        <v>-0.47212858710012079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7">
        <v>31.48</v>
      </c>
      <c r="C110" s="390"/>
      <c r="D110" s="393">
        <f t="shared" si="24"/>
        <v>32.200372553054322</v>
      </c>
      <c r="E110" s="385">
        <f t="shared" si="45"/>
        <v>34.103478606707782</v>
      </c>
      <c r="F110" s="385">
        <f t="shared" si="25"/>
        <v>34.103490076780197</v>
      </c>
      <c r="G110" s="110">
        <f t="shared" si="46"/>
        <v>0.60176669259078885</v>
      </c>
      <c r="H110" s="414" t="b">
        <f>Wh_hp&gt;='2020'!Maxi_hp</f>
        <v>0</v>
      </c>
      <c r="I110" s="380">
        <f>IF(H110,Wh_hp,'2020'!Maxi_hp)</f>
        <v>59.354429100482541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2.2371559579548839E-2</v>
      </c>
      <c r="M110" s="845"/>
      <c r="N110" s="845"/>
      <c r="O110" s="48">
        <f>IF(t&lt;Tnet,'2020'!Resal+('2020'!Salim-'2020'!Resal)*(1-EXP(('2020'!Tnet-t)/('2020'!Tau_j))),Resal+(Salim-Resal)*(1-EXP((Tnet-t)/(Tau_j))))*Salcycl</f>
        <v>5.5803869030508151E-2</v>
      </c>
      <c r="P110" s="169">
        <f>(INDEX(Models!$BJ110:$BT110,,T110)*(1-R110)+INDEX(Models!$BJ110:$BT110,,T110+1)*R110-ERP_i)*Q110*Ramure*Pc/MaxiM</f>
        <v>7.8017797614455888E-7</v>
      </c>
      <c r="Q110" s="305">
        <f t="shared" si="27"/>
        <v>0.5</v>
      </c>
      <c r="R110" s="177">
        <f t="shared" si="28"/>
        <v>0.52909479742291943</v>
      </c>
      <c r="S110" s="811">
        <f t="shared" si="29"/>
        <v>-1</v>
      </c>
      <c r="T110" s="176">
        <f t="shared" si="30"/>
        <v>5</v>
      </c>
      <c r="U110" s="251">
        <f t="shared" si="31"/>
        <v>-0.47090520257708057</v>
      </c>
      <c r="V110" s="383">
        <f t="shared" si="32"/>
        <v>52.312609546686893</v>
      </c>
      <c r="W110" s="402"/>
      <c r="X110" s="157">
        <f t="shared" si="33"/>
        <v>44292</v>
      </c>
      <c r="Y110" s="385">
        <f t="shared" si="34"/>
        <v>31.479999999999997</v>
      </c>
      <c r="Z110" s="385">
        <f t="shared" si="35"/>
        <v>32.200372553054322</v>
      </c>
      <c r="AA110" s="386">
        <f t="shared" si="36"/>
        <v>34.103478606707782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5.5803869030508151E-2</v>
      </c>
      <c r="AD110" s="231">
        <f>(INDEX(Models!$BJ110:$BT110,,AH110)*(1-AF110)+INDEX(Models!$BJ110:$BT110,,AH110+1)*AF110-ERP_i)*AE110*Ramure*Pc/MaxiM</f>
        <v>7.8017797614455888E-7</v>
      </c>
      <c r="AE110" s="305">
        <f t="shared" si="38"/>
        <v>0.5</v>
      </c>
      <c r="AF110" s="177">
        <f t="shared" si="39"/>
        <v>0.52909479742291943</v>
      </c>
      <c r="AG110" s="811">
        <f t="shared" si="47"/>
        <v>-1</v>
      </c>
      <c r="AH110" s="176">
        <f t="shared" si="40"/>
        <v>5</v>
      </c>
      <c r="AI110" s="225">
        <f t="shared" si="41"/>
        <v>-0.47090520257708057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7">
        <v>52.012</v>
      </c>
      <c r="C111" s="390"/>
      <c r="D111" s="393">
        <f t="shared" si="24"/>
        <v>53.203381848085066</v>
      </c>
      <c r="E111" s="385">
        <f t="shared" si="45"/>
        <v>56.351705370166158</v>
      </c>
      <c r="F111" s="385">
        <f t="shared" si="25"/>
        <v>56.351753523847592</v>
      </c>
      <c r="G111" s="110">
        <f t="shared" si="46"/>
        <v>0.98940809127295182</v>
      </c>
      <c r="H111" s="414" t="b">
        <f>Wh_hp&gt;='2020'!Maxi_hp</f>
        <v>1</v>
      </c>
      <c r="I111" s="380">
        <f>IF(H111,Wh_hp,'2020'!Maxi_hp)</f>
        <v>56.351753523847592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2.2392972151411228E-2</v>
      </c>
      <c r="M111" s="845"/>
      <c r="N111" s="845"/>
      <c r="O111" s="48">
        <f>IF(t&lt;Tnet,'2020'!Resal+('2020'!Salim-'2020'!Resal)*(1-EXP(('2020'!Tnet-t)/('2020'!Tau_j))),Resal+(Salim-Resal)*(1-EXP((Tnet-t)/(Tau_j))))*Salcycl</f>
        <v>5.5869179138416665E-2</v>
      </c>
      <c r="P111" s="169">
        <f>(INDEX(Models!$BJ111:$BT111,,T111)*(1-R111)+INDEX(Models!$BJ111:$BT111,,T111+1)*R111-ERP_i)*Q111*Ramure*Pc/MaxiM</f>
        <v>8.676482919172593E-7</v>
      </c>
      <c r="Q111" s="305">
        <f t="shared" si="27"/>
        <v>0.5</v>
      </c>
      <c r="R111" s="177">
        <f t="shared" si="28"/>
        <v>0.5303627439838684</v>
      </c>
      <c r="S111" s="811">
        <f t="shared" si="29"/>
        <v>-1</v>
      </c>
      <c r="T111" s="176">
        <f t="shared" si="30"/>
        <v>5</v>
      </c>
      <c r="U111" s="251">
        <f t="shared" si="31"/>
        <v>-0.4696372560161316</v>
      </c>
      <c r="V111" s="383">
        <f t="shared" si="32"/>
        <v>52.568803283421325</v>
      </c>
      <c r="W111" s="402"/>
      <c r="X111" s="157">
        <f t="shared" si="33"/>
        <v>44293</v>
      </c>
      <c r="Y111" s="385">
        <f t="shared" si="34"/>
        <v>52.012</v>
      </c>
      <c r="Z111" s="385">
        <f t="shared" si="35"/>
        <v>53.203381848085066</v>
      </c>
      <c r="AA111" s="386">
        <f t="shared" si="36"/>
        <v>56.351705370166158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5.5869179138416665E-2</v>
      </c>
      <c r="AD111" s="231">
        <f>(INDEX(Models!$BJ111:$BT111,,AH111)*(1-AF111)+INDEX(Models!$BJ111:$BT111,,AH111+1)*AF111-ERP_i)*AE111*Ramure*Pc/MaxiM</f>
        <v>8.676482919172593E-7</v>
      </c>
      <c r="AE111" s="305">
        <f t="shared" si="38"/>
        <v>0.5</v>
      </c>
      <c r="AF111" s="177">
        <f t="shared" si="39"/>
        <v>0.5303627439838684</v>
      </c>
      <c r="AG111" s="811">
        <f t="shared" si="47"/>
        <v>-1</v>
      </c>
      <c r="AH111" s="176">
        <f t="shared" si="40"/>
        <v>5</v>
      </c>
      <c r="AI111" s="225">
        <f t="shared" si="41"/>
        <v>-0.4696372560161316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7">
        <v>51.492000000000004</v>
      </c>
      <c r="C112" s="390"/>
      <c r="D112" s="393">
        <f t="shared" si="24"/>
        <v>52.672624443968679</v>
      </c>
      <c r="E112" s="385">
        <f t="shared" si="45"/>
        <v>55.793435962573739</v>
      </c>
      <c r="F112" s="385">
        <f t="shared" si="25"/>
        <v>55.793489046232402</v>
      </c>
      <c r="G112" s="110">
        <f t="shared" si="46"/>
        <v>0.97487030407730002</v>
      </c>
      <c r="H112" s="414" t="b">
        <f>Wh_hp&gt;='2020'!Maxi_hp</f>
        <v>1</v>
      </c>
      <c r="I112" s="380">
        <f>IF(H112,Wh_hp,'2020'!Maxi_hp)</f>
        <v>55.793489046232402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2.2414384254283437E-2</v>
      </c>
      <c r="M112" s="845"/>
      <c r="N112" s="845"/>
      <c r="O112" s="48">
        <f>IF(t&lt;Tnet,'2020'!Resal+('2020'!Salim-'2020'!Resal)*(1-EXP(('2020'!Tnet-t)/('2020'!Tau_j))),Resal+(Salim-Resal)*(1-EXP((Tnet-t)/(Tau_j))))*Salcycl</f>
        <v>5.5935101768933855E-2</v>
      </c>
      <c r="P112" s="169">
        <f>(INDEX(Models!$BJ112:$BT112,,T112)*(1-R112)+INDEX(Models!$BJ112:$BT112,,T112+1)*R112-ERP_i)*Q112*Ramure*Pc/MaxiM</f>
        <v>9.8685881847423229E-7</v>
      </c>
      <c r="Q112" s="305">
        <f t="shared" si="27"/>
        <v>0.5</v>
      </c>
      <c r="R112" s="177">
        <f t="shared" si="28"/>
        <v>0.53167660231161196</v>
      </c>
      <c r="S112" s="811">
        <f t="shared" si="29"/>
        <v>-1</v>
      </c>
      <c r="T112" s="176">
        <f t="shared" si="30"/>
        <v>5</v>
      </c>
      <c r="U112" s="251">
        <f t="shared" si="31"/>
        <v>-0.46832339768838799</v>
      </c>
      <c r="V112" s="383">
        <f t="shared" si="32"/>
        <v>52.819331925890133</v>
      </c>
      <c r="W112" s="402"/>
      <c r="X112" s="157">
        <f t="shared" si="33"/>
        <v>44294</v>
      </c>
      <c r="Y112" s="385">
        <f t="shared" si="34"/>
        <v>51.492000000000004</v>
      </c>
      <c r="Z112" s="385">
        <f t="shared" si="35"/>
        <v>52.672624443968679</v>
      </c>
      <c r="AA112" s="386">
        <f t="shared" si="36"/>
        <v>55.793435962573739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5.5935101768933855E-2</v>
      </c>
      <c r="AD112" s="231">
        <f>(INDEX(Models!$BJ112:$BT112,,AH112)*(1-AF112)+INDEX(Models!$BJ112:$BT112,,AH112+1)*AF112-ERP_i)*AE112*Ramure*Pc/MaxiM</f>
        <v>9.8685881847423229E-7</v>
      </c>
      <c r="AE112" s="305">
        <f t="shared" si="38"/>
        <v>0.5</v>
      </c>
      <c r="AF112" s="177">
        <f t="shared" si="39"/>
        <v>0.53167660231161196</v>
      </c>
      <c r="AG112" s="811">
        <f t="shared" si="47"/>
        <v>-1</v>
      </c>
      <c r="AH112" s="176">
        <f t="shared" si="40"/>
        <v>5</v>
      </c>
      <c r="AI112" s="225">
        <f t="shared" si="41"/>
        <v>-0.46832339768838799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7">
        <v>31.905000000000001</v>
      </c>
      <c r="C113" s="390"/>
      <c r="D113" s="393">
        <f t="shared" si="24"/>
        <v>32.637242511337249</v>
      </c>
      <c r="E113" s="385">
        <f t="shared" si="45"/>
        <v>34.573410721034151</v>
      </c>
      <c r="F113" s="385">
        <f t="shared" si="25"/>
        <v>34.573427650755228</v>
      </c>
      <c r="G113" s="110">
        <f t="shared" si="46"/>
        <v>0.60125360601150013</v>
      </c>
      <c r="H113" s="414" t="b">
        <f>Wh_hp&gt;='2020'!Maxi_hp</f>
        <v>0</v>
      </c>
      <c r="I113" s="380">
        <f>IF(H113,Wh_hp,'2020'!Maxi_hp)</f>
        <v>41.648731192226585</v>
      </c>
      <c r="J113" s="85">
        <f>IF(H113,An,'2020'!An_max)</f>
        <v>2019</v>
      </c>
      <c r="K113" s="197">
        <f t="shared" si="26"/>
        <v>44295</v>
      </c>
      <c r="L113" s="147">
        <f>IF(t&lt;Tvie,1-EXP((T0-t)*PertePVj)+'2020'!Pspv,1-EXP((T0-t)*PertePVj)+Pspv)</f>
        <v>2.2435795888175569E-2</v>
      </c>
      <c r="M113" s="845"/>
      <c r="N113" s="845"/>
      <c r="O113" s="48">
        <f>IF(t&lt;Tnet,'2020'!Resal+('2020'!Salim-'2020'!Resal)*(1-EXP(('2020'!Tnet-t)/('2020'!Tau_j))),Resal+(Salim-Resal)*(1-EXP((Tnet-t)/(Tau_j))))*Salcycl</f>
        <v>5.6001654720138891E-2</v>
      </c>
      <c r="P113" s="169">
        <f>(INDEX(Models!$BJ113:$BT113,,T113)*(1-R113)+INDEX(Models!$BJ113:$BT113,,T113+1)*R113-ERP_i)*Q113*Ramure*Pc/MaxiM</f>
        <v>1.1378174475343423E-6</v>
      </c>
      <c r="Q113" s="305">
        <f t="shared" si="27"/>
        <v>0.5</v>
      </c>
      <c r="R113" s="177">
        <f t="shared" si="28"/>
        <v>0.53303774129917803</v>
      </c>
      <c r="S113" s="811">
        <f t="shared" si="29"/>
        <v>-1</v>
      </c>
      <c r="T113" s="176">
        <f t="shared" si="30"/>
        <v>5</v>
      </c>
      <c r="U113" s="251">
        <f t="shared" si="31"/>
        <v>-0.46696225870082197</v>
      </c>
      <c r="V113" s="383">
        <f t="shared" si="32"/>
        <v>53.064096417867368</v>
      </c>
      <c r="W113" s="402"/>
      <c r="X113" s="157">
        <f t="shared" si="33"/>
        <v>44295</v>
      </c>
      <c r="Y113" s="385">
        <f t="shared" si="34"/>
        <v>31.905000000000001</v>
      </c>
      <c r="Z113" s="385">
        <f t="shared" si="35"/>
        <v>32.637242511337249</v>
      </c>
      <c r="AA113" s="386">
        <f t="shared" si="36"/>
        <v>34.573410721034151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5.6001654720138891E-2</v>
      </c>
      <c r="AD113" s="231">
        <f>(INDEX(Models!$BJ113:$BT113,,AH113)*(1-AF113)+INDEX(Models!$BJ113:$BT113,,AH113+1)*AF113-ERP_i)*AE113*Ramure*Pc/MaxiM</f>
        <v>1.1378174475343423E-6</v>
      </c>
      <c r="AE113" s="305">
        <f t="shared" si="38"/>
        <v>0.5</v>
      </c>
      <c r="AF113" s="177">
        <f t="shared" si="39"/>
        <v>0.53303774129917803</v>
      </c>
      <c r="AG113" s="811">
        <f t="shared" si="47"/>
        <v>-1</v>
      </c>
      <c r="AH113" s="176">
        <f t="shared" si="40"/>
        <v>5</v>
      </c>
      <c r="AI113" s="225">
        <f t="shared" si="41"/>
        <v>-0.46696225870082197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7">
        <v>33.112000000000002</v>
      </c>
      <c r="C114" s="390"/>
      <c r="D114" s="393">
        <f t="shared" si="24"/>
        <v>33.872685921176419</v>
      </c>
      <c r="E114" s="385">
        <f t="shared" si="45"/>
        <v>35.884699965664851</v>
      </c>
      <c r="F114" s="385">
        <f t="shared" si="25"/>
        <v>35.884722555039602</v>
      </c>
      <c r="G114" s="110">
        <f t="shared" si="46"/>
        <v>0.62120290592197935</v>
      </c>
      <c r="H114" s="414" t="b">
        <f>Wh_hp&gt;='2020'!Maxi_hp</f>
        <v>0</v>
      </c>
      <c r="I114" s="380">
        <f>IF(H114,Wh_hp,'2020'!Maxi_hp)</f>
        <v>58.06042842516851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2.2457207053098061E-2</v>
      </c>
      <c r="M114" s="845"/>
      <c r="N114" s="845"/>
      <c r="O114" s="48">
        <f>IF(t&lt;Tnet,'2020'!Resal+('2020'!Salim-'2020'!Resal)*(1-EXP(('2020'!Tnet-t)/('2020'!Tau_j))),Resal+(Salim-Resal)*(1-EXP((Tnet-t)/(Tau_j))))*Salcycl</f>
        <v>5.6068855150344377E-2</v>
      </c>
      <c r="P114" s="169">
        <f>(INDEX(Models!$BJ114:$BT114,,T114)*(1-R114)+INDEX(Models!$BJ114:$BT114,,T114+1)*R114-ERP_i)*Q114*Ramure*Pc/MaxiM</f>
        <v>1.3718687654387985E-6</v>
      </c>
      <c r="Q114" s="305">
        <f t="shared" si="27"/>
        <v>0.5</v>
      </c>
      <c r="R114" s="177">
        <f t="shared" si="28"/>
        <v>0.53444754740552058</v>
      </c>
      <c r="S114" s="811">
        <f t="shared" si="29"/>
        <v>-1</v>
      </c>
      <c r="T114" s="176">
        <f t="shared" si="30"/>
        <v>5</v>
      </c>
      <c r="U114" s="251">
        <f t="shared" si="31"/>
        <v>-0.46555245259447942</v>
      </c>
      <c r="V114" s="383">
        <f t="shared" si="32"/>
        <v>53.302995048730658</v>
      </c>
      <c r="W114" s="402"/>
      <c r="X114" s="157">
        <f t="shared" si="33"/>
        <v>44296</v>
      </c>
      <c r="Y114" s="385">
        <f t="shared" si="34"/>
        <v>33.112000000000002</v>
      </c>
      <c r="Z114" s="385">
        <f t="shared" si="35"/>
        <v>33.872685921176419</v>
      </c>
      <c r="AA114" s="386">
        <f t="shared" si="36"/>
        <v>35.884699965664851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5.6068855150344377E-2</v>
      </c>
      <c r="AD114" s="231">
        <f>(INDEX(Models!$BJ114:$BT114,,AH114)*(1-AF114)+INDEX(Models!$BJ114:$BT114,,AH114+1)*AF114-ERP_i)*AE114*Ramure*Pc/MaxiM</f>
        <v>1.3718687654387985E-6</v>
      </c>
      <c r="AE114" s="305">
        <f t="shared" si="38"/>
        <v>0.5</v>
      </c>
      <c r="AF114" s="177">
        <f t="shared" si="39"/>
        <v>0.53444754740552058</v>
      </c>
      <c r="AG114" s="811">
        <f t="shared" si="47"/>
        <v>-1</v>
      </c>
      <c r="AH114" s="176">
        <f t="shared" si="40"/>
        <v>5</v>
      </c>
      <c r="AI114" s="225">
        <f t="shared" si="41"/>
        <v>-0.46555245259447942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7">
        <v>8.1579999999999995</v>
      </c>
      <c r="C115" s="390"/>
      <c r="D115" s="393">
        <f t="shared" si="24"/>
        <v>8.3455974960001065</v>
      </c>
      <c r="E115" s="385">
        <f t="shared" si="45"/>
        <v>8.8419558942217407</v>
      </c>
      <c r="F115" s="385">
        <f t="shared" si="25"/>
        <v>8.8419558942217407</v>
      </c>
      <c r="G115" s="110">
        <f t="shared" si="46"/>
        <v>0.15238338795105238</v>
      </c>
      <c r="H115" s="414" t="b">
        <f>Wh_hp&gt;='2020'!Maxi_hp</f>
        <v>0</v>
      </c>
      <c r="I115" s="380">
        <f>IF(H115,Wh_hp,'2020'!Maxi_hp)</f>
        <v>59.123099904366789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2.2478617749061014E-2</v>
      </c>
      <c r="M115" s="845"/>
      <c r="N115" s="845"/>
      <c r="O115" s="48">
        <f>IF(t&lt;Tnet,'2020'!Resal+('2020'!Salim-'2020'!Resal)*(1-EXP(('2020'!Tnet-t)/('2020'!Tau_j))),Resal+(Salim-Resal)*(1-EXP((Tnet-t)/(Tau_j))))*Salcycl</f>
        <v>5.6136719540300632E-2</v>
      </c>
      <c r="P115" s="169">
        <f>(INDEX(Models!$BJ115:$BT115,,T115)*(1-R115)+INDEX(Models!$BJ115:$BT115,,T115+1)*R115-ERP_i)*Q115*Ramure*Pc/MaxiM</f>
        <v>1.6756323433961281E-6</v>
      </c>
      <c r="Q115" s="305">
        <f t="shared" si="27"/>
        <v>0.5</v>
      </c>
      <c r="R115" s="177">
        <f t="shared" si="28"/>
        <v>0.53590742287141768</v>
      </c>
      <c r="S115" s="811">
        <f t="shared" si="29"/>
        <v>-1</v>
      </c>
      <c r="T115" s="176">
        <f t="shared" si="30"/>
        <v>5</v>
      </c>
      <c r="U115" s="251">
        <f t="shared" si="31"/>
        <v>-0.46409257712858232</v>
      </c>
      <c r="V115" s="383">
        <f t="shared" si="32"/>
        <v>53.535929604162618</v>
      </c>
      <c r="W115" s="402"/>
      <c r="X115" s="157">
        <f t="shared" si="33"/>
        <v>44297</v>
      </c>
      <c r="Y115" s="385">
        <f t="shared" si="34"/>
        <v>8.1579999999999995</v>
      </c>
      <c r="Z115" s="385">
        <f t="shared" si="35"/>
        <v>8.3455974960001065</v>
      </c>
      <c r="AA115" s="386">
        <f t="shared" si="36"/>
        <v>8.8419558942217407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5.6136719540300632E-2</v>
      </c>
      <c r="AD115" s="231">
        <f>(INDEX(Models!$BJ115:$BT115,,AH115)*(1-AF115)+INDEX(Models!$BJ115:$BT115,,AH115+1)*AF115-ERP_i)*AE115*Ramure*Pc/MaxiM</f>
        <v>1.6756323433961281E-6</v>
      </c>
      <c r="AE115" s="305">
        <f t="shared" si="38"/>
        <v>0.5</v>
      </c>
      <c r="AF115" s="177">
        <f t="shared" si="39"/>
        <v>0.53590742287141768</v>
      </c>
      <c r="AG115" s="811">
        <f t="shared" si="47"/>
        <v>-1</v>
      </c>
      <c r="AH115" s="176">
        <f t="shared" si="40"/>
        <v>5</v>
      </c>
      <c r="AI115" s="225">
        <f t="shared" si="41"/>
        <v>-0.46409257712858232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7">
        <v>41.771999999999998</v>
      </c>
      <c r="C116" s="390"/>
      <c r="D116" s="393">
        <f t="shared" si="24"/>
        <v>42.733505059351138</v>
      </c>
      <c r="E116" s="385">
        <f t="shared" si="45"/>
        <v>45.278388842100732</v>
      </c>
      <c r="F116" s="385">
        <f t="shared" si="25"/>
        <v>45.278452066968754</v>
      </c>
      <c r="G116" s="110">
        <f t="shared" si="46"/>
        <v>0.77696793618721172</v>
      </c>
      <c r="H116" s="414" t="b">
        <f>Wh_hp&gt;='2020'!Maxi_hp</f>
        <v>0</v>
      </c>
      <c r="I116" s="380">
        <f>IF(H116,Wh_hp,'2020'!Maxi_hp)</f>
        <v>58.323508945597986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2.2500027976074866E-2</v>
      </c>
      <c r="M116" s="845"/>
      <c r="N116" s="845"/>
      <c r="O116" s="48">
        <f>IF(t&lt;Tnet,'2020'!Resal+('2020'!Salim-'2020'!Resal)*(1-EXP(('2020'!Tnet-t)/('2020'!Tau_j))),Resal+(Salim-Resal)*(1-EXP((Tnet-t)/(Tau_j))))*Salcycl</f>
        <v>5.6205263655126098E-2</v>
      </c>
      <c r="P116" s="169">
        <f>(INDEX(Models!$BJ116:$BT116,,T116)*(1-R116)+INDEX(Models!$BJ116:$BT116,,T116+1)*R116-ERP_i)*Q116*Ramure*Pc/MaxiM</f>
        <v>2.0492962881224993E-6</v>
      </c>
      <c r="Q116" s="305">
        <f t="shared" si="27"/>
        <v>0.5</v>
      </c>
      <c r="R116" s="177">
        <f t="shared" si="28"/>
        <v>0.53741878374004592</v>
      </c>
      <c r="S116" s="811">
        <f t="shared" si="29"/>
        <v>-1</v>
      </c>
      <c r="T116" s="176">
        <f t="shared" si="30"/>
        <v>5</v>
      </c>
      <c r="U116" s="251">
        <f t="shared" si="31"/>
        <v>-0.46258121625995402</v>
      </c>
      <c r="V116" s="383">
        <f t="shared" si="32"/>
        <v>53.762801242936582</v>
      </c>
      <c r="W116" s="402"/>
      <c r="X116" s="157">
        <f t="shared" si="33"/>
        <v>44298</v>
      </c>
      <c r="Y116" s="385">
        <f t="shared" si="34"/>
        <v>41.771999999999998</v>
      </c>
      <c r="Z116" s="385">
        <f t="shared" si="35"/>
        <v>42.733505059351138</v>
      </c>
      <c r="AA116" s="386">
        <f t="shared" si="36"/>
        <v>45.278388842100732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5.6205263655126098E-2</v>
      </c>
      <c r="AD116" s="231">
        <f>(INDEX(Models!$BJ116:$BT116,,AH116)*(1-AF116)+INDEX(Models!$BJ116:$BT116,,AH116+1)*AF116-ERP_i)*AE116*Ramure*Pc/MaxiM</f>
        <v>2.0492962881224993E-6</v>
      </c>
      <c r="AE116" s="305">
        <f t="shared" si="38"/>
        <v>0.5</v>
      </c>
      <c r="AF116" s="177">
        <f t="shared" si="39"/>
        <v>0.53741878374004592</v>
      </c>
      <c r="AG116" s="811">
        <f t="shared" si="47"/>
        <v>-1</v>
      </c>
      <c r="AH116" s="176">
        <f t="shared" si="40"/>
        <v>5</v>
      </c>
      <c r="AI116" s="225">
        <f t="shared" si="41"/>
        <v>-0.46258121625995402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7">
        <v>48.021000000000001</v>
      </c>
      <c r="C117" s="390"/>
      <c r="D117" s="393">
        <f t="shared" si="24"/>
        <v>49.127420133577786</v>
      </c>
      <c r="E117" s="385">
        <f t="shared" si="45"/>
        <v>52.056896061424112</v>
      </c>
      <c r="F117" s="385">
        <f t="shared" si="25"/>
        <v>52.057005370187099</v>
      </c>
      <c r="G117" s="110">
        <f t="shared" si="46"/>
        <v>0.88954904994929129</v>
      </c>
      <c r="H117" s="414" t="b">
        <f>Wh_hp&gt;='2020'!Maxi_hp</f>
        <v>0</v>
      </c>
      <c r="I117" s="380">
        <f>IF(H117,Wh_hp,'2020'!Maxi_hp)</f>
        <v>59.034851740298983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2.2521437734149719E-2</v>
      </c>
      <c r="M117" s="845"/>
      <c r="N117" s="845"/>
      <c r="O117" s="48">
        <f>IF(t&lt;Tnet,'2020'!Resal+('2020'!Salim-'2020'!Resal)*(1-EXP(('2020'!Tnet-t)/('2020'!Tau_j))),Resal+(Salim-Resal)*(1-EXP((Tnet-t)/(Tau_j))))*Salcycl</f>
        <v>5.6274502505676033E-2</v>
      </c>
      <c r="P117" s="169">
        <f>(INDEX(Models!$BJ117:$BT117,,T117)*(1-R117)+INDEX(Models!$BJ117:$BT117,,T117+1)*R117-ERP_i)*Q117*Ramure*Pc/MaxiM</f>
        <v>2.4931800132113143E-6</v>
      </c>
      <c r="Q117" s="305">
        <f t="shared" si="27"/>
        <v>0.5</v>
      </c>
      <c r="R117" s="177">
        <f t="shared" si="28"/>
        <v>0.5389830576729675</v>
      </c>
      <c r="S117" s="811">
        <f t="shared" si="29"/>
        <v>-1</v>
      </c>
      <c r="T117" s="176">
        <f t="shared" si="30"/>
        <v>5</v>
      </c>
      <c r="U117" s="251">
        <f t="shared" si="31"/>
        <v>-0.46101694232703244</v>
      </c>
      <c r="V117" s="383">
        <f t="shared" si="32"/>
        <v>53.983511209079346</v>
      </c>
      <c r="W117" s="402"/>
      <c r="X117" s="157">
        <f t="shared" si="33"/>
        <v>44299</v>
      </c>
      <c r="Y117" s="385">
        <f t="shared" si="34"/>
        <v>48.021000000000001</v>
      </c>
      <c r="Z117" s="385">
        <f t="shared" si="35"/>
        <v>49.127420133577786</v>
      </c>
      <c r="AA117" s="386">
        <f t="shared" si="36"/>
        <v>52.056896061424112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5.6274502505676033E-2</v>
      </c>
      <c r="AD117" s="231">
        <f>(INDEX(Models!$BJ117:$BT117,,AH117)*(1-AF117)+INDEX(Models!$BJ117:$BT117,,AH117+1)*AF117-ERP_i)*AE117*Ramure*Pc/MaxiM</f>
        <v>2.4931800132113143E-6</v>
      </c>
      <c r="AE117" s="305">
        <f t="shared" si="38"/>
        <v>0.5</v>
      </c>
      <c r="AF117" s="177">
        <f t="shared" si="39"/>
        <v>0.5389830576729675</v>
      </c>
      <c r="AG117" s="811">
        <f t="shared" si="47"/>
        <v>-1</v>
      </c>
      <c r="AH117" s="176">
        <f t="shared" si="40"/>
        <v>5</v>
      </c>
      <c r="AI117" s="225">
        <f t="shared" si="41"/>
        <v>-0.46101694232703244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7">
        <v>53.050000000000004</v>
      </c>
      <c r="C118" s="390"/>
      <c r="D118" s="393">
        <f t="shared" si="24"/>
        <v>54.273478728396348</v>
      </c>
      <c r="E118" s="385">
        <f t="shared" si="45"/>
        <v>57.514077828687284</v>
      </c>
      <c r="F118" s="385">
        <f t="shared" si="25"/>
        <v>57.514245582008527</v>
      </c>
      <c r="G118" s="110">
        <f t="shared" si="46"/>
        <v>0.97881902478863814</v>
      </c>
      <c r="H118" s="414" t="b">
        <f>Wh_hp&gt;='2020'!Maxi_hp</f>
        <v>1</v>
      </c>
      <c r="I118" s="380">
        <f>IF(H118,Wh_hp,'2020'!Maxi_hp)</f>
        <v>57.514245582008527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2.2542847023295898E-2</v>
      </c>
      <c r="M118" s="845"/>
      <c r="N118" s="845"/>
      <c r="O118" s="48">
        <f>IF(t&lt;Tnet,'2020'!Resal+('2020'!Salim-'2020'!Resal)*(1-EXP(('2020'!Tnet-t)/('2020'!Tau_j))),Resal+(Salim-Resal)*(1-EXP((Tnet-t)/(Tau_j))))*Salcycl</f>
        <v>5.6344450309078344E-2</v>
      </c>
      <c r="P118" s="169">
        <f>(INDEX(Models!$BJ118:$BT118,,T118)*(1-R118)+INDEX(Models!$BJ118:$BT118,,T118+1)*R118-ERP_i)*Q118*Ramure*Pc/MaxiM</f>
        <v>3.0077357459171677E-6</v>
      </c>
      <c r="Q118" s="305">
        <f t="shared" si="27"/>
        <v>0.5</v>
      </c>
      <c r="R118" s="177">
        <f t="shared" si="28"/>
        <v>0.54060168155253119</v>
      </c>
      <c r="S118" s="811">
        <f t="shared" si="29"/>
        <v>-1</v>
      </c>
      <c r="T118" s="176">
        <f t="shared" si="30"/>
        <v>5</v>
      </c>
      <c r="U118" s="251">
        <f t="shared" si="31"/>
        <v>-0.45939831844746887</v>
      </c>
      <c r="V118" s="383">
        <f t="shared" si="32"/>
        <v>54.19796083693619</v>
      </c>
      <c r="W118" s="402"/>
      <c r="X118" s="157">
        <f t="shared" si="33"/>
        <v>44300</v>
      </c>
      <c r="Y118" s="385">
        <f t="shared" si="34"/>
        <v>53.050000000000004</v>
      </c>
      <c r="Z118" s="385">
        <f t="shared" si="35"/>
        <v>54.273478728396348</v>
      </c>
      <c r="AA118" s="386">
        <f t="shared" si="36"/>
        <v>57.514077828687284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5.6344450309078344E-2</v>
      </c>
      <c r="AD118" s="231">
        <f>(INDEX(Models!$BJ118:$BT118,,AH118)*(1-AF118)+INDEX(Models!$BJ118:$BT118,,AH118+1)*AF118-ERP_i)*AE118*Ramure*Pc/MaxiM</f>
        <v>3.0077357459171677E-6</v>
      </c>
      <c r="AE118" s="305">
        <f t="shared" si="38"/>
        <v>0.5</v>
      </c>
      <c r="AF118" s="177">
        <f t="shared" si="39"/>
        <v>0.54060168155253119</v>
      </c>
      <c r="AG118" s="811">
        <f t="shared" si="47"/>
        <v>-1</v>
      </c>
      <c r="AH118" s="176">
        <f t="shared" si="40"/>
        <v>5</v>
      </c>
      <c r="AI118" s="225">
        <f t="shared" si="41"/>
        <v>-0.45939831844746887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7">
        <v>53.493000000000002</v>
      </c>
      <c r="C119" s="390"/>
      <c r="D119" s="393">
        <f t="shared" si="24"/>
        <v>54.727894206656295</v>
      </c>
      <c r="E119" s="385">
        <f t="shared" si="45"/>
        <v>57.999969470315257</v>
      </c>
      <c r="F119" s="385">
        <f t="shared" si="25"/>
        <v>58.00017289991299</v>
      </c>
      <c r="G119" s="110">
        <f t="shared" si="46"/>
        <v>0.98321774619540236</v>
      </c>
      <c r="H119" s="414" t="b">
        <f>Wh_hp&gt;='2020'!Maxi_hp</f>
        <v>1</v>
      </c>
      <c r="I119" s="380">
        <f>IF(H119,Wh_hp,'2020'!Maxi_hp)</f>
        <v>58.00017289991299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2.2564255843523728E-2</v>
      </c>
      <c r="M119" s="845"/>
      <c r="N119" s="845"/>
      <c r="O119" s="48">
        <f>IF(t&lt;Tnet,'2020'!Resal+('2020'!Salim-'2020'!Resal)*(1-EXP(('2020'!Tnet-t)/('2020'!Tau_j))),Resal+(Salim-Resal)*(1-EXP((Tnet-t)/(Tau_j))))*Salcycl</f>
        <v>5.6415120448186293E-2</v>
      </c>
      <c r="P119" s="169">
        <f>(INDEX(Models!$BJ119:$BT119,,T119)*(1-R119)+INDEX(Models!$BJ119:$BT119,,T119+1)*R119-ERP_i)*Q119*Ramure*Pc/MaxiM</f>
        <v>3.5935500658422817E-6</v>
      </c>
      <c r="Q119" s="305">
        <f t="shared" si="27"/>
        <v>0.5</v>
      </c>
      <c r="R119" s="177">
        <f t="shared" si="28"/>
        <v>0.54227609886206263</v>
      </c>
      <c r="S119" s="811">
        <f t="shared" si="29"/>
        <v>-1</v>
      </c>
      <c r="T119" s="176">
        <f t="shared" si="30"/>
        <v>5</v>
      </c>
      <c r="U119" s="251">
        <f t="shared" si="31"/>
        <v>-0.45772390113793737</v>
      </c>
      <c r="V119" s="383">
        <f t="shared" si="32"/>
        <v>54.406051557103211</v>
      </c>
      <c r="W119" s="402"/>
      <c r="X119" s="157">
        <f t="shared" si="33"/>
        <v>44301</v>
      </c>
      <c r="Y119" s="385">
        <f t="shared" si="34"/>
        <v>53.493000000000002</v>
      </c>
      <c r="Z119" s="385">
        <f t="shared" si="35"/>
        <v>54.727894206656295</v>
      </c>
      <c r="AA119" s="386">
        <f t="shared" si="36"/>
        <v>57.999969470315257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5.6415120448186293E-2</v>
      </c>
      <c r="AD119" s="231">
        <f>(INDEX(Models!$BJ119:$BT119,,AH119)*(1-AF119)+INDEX(Models!$BJ119:$BT119,,AH119+1)*AF119-ERP_i)*AE119*Ramure*Pc/MaxiM</f>
        <v>3.5935500658422817E-6</v>
      </c>
      <c r="AE119" s="305">
        <f t="shared" si="38"/>
        <v>0.5</v>
      </c>
      <c r="AF119" s="177">
        <f t="shared" si="39"/>
        <v>0.54227609886206263</v>
      </c>
      <c r="AG119" s="811">
        <f t="shared" si="47"/>
        <v>-1</v>
      </c>
      <c r="AH119" s="176">
        <f t="shared" si="40"/>
        <v>5</v>
      </c>
      <c r="AI119" s="225">
        <f t="shared" si="41"/>
        <v>-0.45772390113793737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7">
        <v>47.536999999999999</v>
      </c>
      <c r="C120" s="390"/>
      <c r="D120" s="393">
        <f t="shared" si="24"/>
        <v>48.635464263823017</v>
      </c>
      <c r="E120" s="385">
        <f t="shared" si="45"/>
        <v>51.547185678481398</v>
      </c>
      <c r="F120" s="385">
        <f t="shared" si="25"/>
        <v>51.547364287981196</v>
      </c>
      <c r="G120" s="110">
        <f t="shared" si="46"/>
        <v>0.87051781637408954</v>
      </c>
      <c r="H120" s="414" t="b">
        <f>Wh_hp&gt;='2020'!Maxi_hp</f>
        <v>0</v>
      </c>
      <c r="I120" s="380">
        <f>IF(H120,Wh_hp,'2020'!Maxi_hp)</f>
        <v>52.848516926149152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2.2585664194843535E-2</v>
      </c>
      <c r="M120" s="845"/>
      <c r="N120" s="845"/>
      <c r="O120" s="48">
        <f>IF(t&lt;Tnet,'2020'!Resal+('2020'!Salim-'2020'!Resal)*(1-EXP(('2020'!Tnet-t)/('2020'!Tau_j))),Resal+(Salim-Resal)*(1-EXP((Tnet-t)/(Tau_j))))*Salcycl</f>
        <v>5.648652542972666E-2</v>
      </c>
      <c r="P120" s="169">
        <f>(INDEX(Models!$BJ120:$BT120,,T120)*(1-R120)+INDEX(Models!$BJ120:$BT120,,T120+1)*R120-ERP_i)*Q120*Ramure*Pc/MaxiM</f>
        <v>4.2513454716020013E-6</v>
      </c>
      <c r="Q120" s="305">
        <f t="shared" si="27"/>
        <v>0.5</v>
      </c>
      <c r="R120" s="177">
        <f t="shared" si="28"/>
        <v>0.54400775683570501</v>
      </c>
      <c r="S120" s="811">
        <f t="shared" si="29"/>
        <v>-1</v>
      </c>
      <c r="T120" s="176">
        <f t="shared" si="30"/>
        <v>5</v>
      </c>
      <c r="U120" s="251">
        <f t="shared" si="31"/>
        <v>-0.45599224316429499</v>
      </c>
      <c r="V120" s="383">
        <f t="shared" si="32"/>
        <v>54.607684901172547</v>
      </c>
      <c r="W120" s="402"/>
      <c r="X120" s="157">
        <f t="shared" si="33"/>
        <v>44302</v>
      </c>
      <c r="Y120" s="385">
        <f t="shared" si="34"/>
        <v>47.536999999999999</v>
      </c>
      <c r="Z120" s="385">
        <f t="shared" si="35"/>
        <v>48.635464263823017</v>
      </c>
      <c r="AA120" s="386">
        <f t="shared" si="36"/>
        <v>51.547185678481398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5.648652542972666E-2</v>
      </c>
      <c r="AD120" s="231">
        <f>(INDEX(Models!$BJ120:$BT120,,AH120)*(1-AF120)+INDEX(Models!$BJ120:$BT120,,AH120+1)*AF120-ERP_i)*AE120*Ramure*Pc/MaxiM</f>
        <v>4.2513454716020013E-6</v>
      </c>
      <c r="AE120" s="305">
        <f t="shared" si="38"/>
        <v>0.5</v>
      </c>
      <c r="AF120" s="177">
        <f t="shared" si="39"/>
        <v>0.54400775683570501</v>
      </c>
      <c r="AG120" s="811">
        <f t="shared" si="47"/>
        <v>-1</v>
      </c>
      <c r="AH120" s="176">
        <f t="shared" si="40"/>
        <v>5</v>
      </c>
      <c r="AI120" s="225">
        <f t="shared" si="41"/>
        <v>-0.45599224316429499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7">
        <v>48.442999999999998</v>
      </c>
      <c r="C121" s="390"/>
      <c r="D121" s="393">
        <f t="shared" si="24"/>
        <v>49.56348528422086</v>
      </c>
      <c r="E121" s="385">
        <f t="shared" si="45"/>
        <v>52.534783104752222</v>
      </c>
      <c r="F121" s="385">
        <f t="shared" si="25"/>
        <v>52.535001446982648</v>
      </c>
      <c r="G121" s="110">
        <f t="shared" si="46"/>
        <v>0.88395744705780865</v>
      </c>
      <c r="H121" s="414" t="b">
        <f>Wh_hp&gt;='2020'!Maxi_hp</f>
        <v>1</v>
      </c>
      <c r="I121" s="380">
        <f>IF(H121,Wh_hp,'2020'!Maxi_hp)</f>
        <v>52.535001446982648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2.2607072077265422E-2</v>
      </c>
      <c r="M121" s="845"/>
      <c r="N121" s="845"/>
      <c r="O121" s="48">
        <f>IF(t&lt;Tnet,'2020'!Resal+('2020'!Salim-'2020'!Resal)*(1-EXP(('2020'!Tnet-t)/('2020'!Tau_j))),Resal+(Salim-Resal)*(1-EXP((Tnet-t)/(Tau_j))))*Salcycl</f>
        <v>5.6558676840955342E-2</v>
      </c>
      <c r="P121" s="169">
        <f>(INDEX(Models!$BJ121:$BT121,,T121)*(1-R121)+INDEX(Models!$BJ121:$BT121,,T121+1)*R121-ERP_i)*Q121*Ramure*Pc/MaxiM</f>
        <v>4.982017969967316E-6</v>
      </c>
      <c r="Q121" s="305">
        <f t="shared" si="27"/>
        <v>0.5</v>
      </c>
      <c r="R121" s="177">
        <f t="shared" si="28"/>
        <v>0.54579810337038182</v>
      </c>
      <c r="S121" s="811">
        <f t="shared" si="29"/>
        <v>-1</v>
      </c>
      <c r="T121" s="176">
        <f t="shared" si="30"/>
        <v>5</v>
      </c>
      <c r="U121" s="251">
        <f t="shared" si="31"/>
        <v>-0.45420189662961818</v>
      </c>
      <c r="V121" s="383">
        <f t="shared" si="32"/>
        <v>54.802366508163679</v>
      </c>
      <c r="W121" s="402"/>
      <c r="X121" s="157">
        <f t="shared" si="33"/>
        <v>44303</v>
      </c>
      <c r="Y121" s="385">
        <f t="shared" si="34"/>
        <v>48.442999999999998</v>
      </c>
      <c r="Z121" s="385">
        <f t="shared" si="35"/>
        <v>49.56348528422086</v>
      </c>
      <c r="AA121" s="386">
        <f t="shared" si="36"/>
        <v>52.534783104752222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5.6558676840955342E-2</v>
      </c>
      <c r="AD121" s="231">
        <f>(INDEX(Models!$BJ121:$BT121,,AH121)*(1-AF121)+INDEX(Models!$BJ121:$BT121,,AH121+1)*AF121-ERP_i)*AE121*Ramure*Pc/MaxiM</f>
        <v>4.982017969967316E-6</v>
      </c>
      <c r="AE121" s="305">
        <f t="shared" si="38"/>
        <v>0.5</v>
      </c>
      <c r="AF121" s="177">
        <f t="shared" si="39"/>
        <v>0.54579810337038182</v>
      </c>
      <c r="AG121" s="811">
        <f t="shared" si="47"/>
        <v>-1</v>
      </c>
      <c r="AH121" s="176">
        <f t="shared" si="40"/>
        <v>5</v>
      </c>
      <c r="AI121" s="225">
        <f t="shared" si="41"/>
        <v>-0.45420189662961818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7">
        <v>39.246000000000002</v>
      </c>
      <c r="C122" s="390"/>
      <c r="D122" s="393">
        <f t="shared" si="24"/>
        <v>40.154638411761013</v>
      </c>
      <c r="E122" s="385">
        <f t="shared" si="45"/>
        <v>42.565171555727154</v>
      </c>
      <c r="F122" s="385">
        <f t="shared" si="25"/>
        <v>42.565319321773202</v>
      </c>
      <c r="G122" s="110">
        <f t="shared" si="46"/>
        <v>0.71369348234729924</v>
      </c>
      <c r="H122" s="414" t="b">
        <f>Wh_hp&gt;='2020'!Maxi_hp</f>
        <v>1</v>
      </c>
      <c r="I122" s="380">
        <f>IF(H122,Wh_hp,'2020'!Maxi_hp)</f>
        <v>42.565319321773202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2.2628479490799713E-2</v>
      </c>
      <c r="M122" s="845"/>
      <c r="N122" s="845"/>
      <c r="O122" s="48">
        <f>IF(t&lt;Tnet,'2020'!Resal+('2020'!Salim-'2020'!Resal)*(1-EXP(('2020'!Tnet-t)/('2020'!Tau_j))),Resal+(Salim-Resal)*(1-EXP((Tnet-t)/(Tau_j))))*Salcycl</f>
        <v>5.6631585304671515E-2</v>
      </c>
      <c r="P122" s="169">
        <f>(INDEX(Models!$BJ122:$BT122,,T122)*(1-R122)+INDEX(Models!$BJ122:$BT122,,T122+1)*R122-ERP_i)*Q122*Ramure*Pc/MaxiM</f>
        <v>5.8740321336216116E-6</v>
      </c>
      <c r="Q122" s="305">
        <f t="shared" si="27"/>
        <v>0.5</v>
      </c>
      <c r="R122" s="177">
        <f t="shared" si="28"/>
        <v>0.54764858369310465</v>
      </c>
      <c r="S122" s="811">
        <f t="shared" si="29"/>
        <v>-1</v>
      </c>
      <c r="T122" s="176">
        <f t="shared" si="30"/>
        <v>5</v>
      </c>
      <c r="U122" s="251">
        <f t="shared" si="31"/>
        <v>-0.45235141630689529</v>
      </c>
      <c r="V122" s="383">
        <f t="shared" si="32"/>
        <v>54.989861447685932</v>
      </c>
      <c r="W122" s="402"/>
      <c r="X122" s="157">
        <f t="shared" si="33"/>
        <v>44304</v>
      </c>
      <c r="Y122" s="385">
        <f t="shared" si="34"/>
        <v>39.246000000000002</v>
      </c>
      <c r="Z122" s="385">
        <f t="shared" si="35"/>
        <v>40.154638411761013</v>
      </c>
      <c r="AA122" s="386">
        <f t="shared" si="36"/>
        <v>42.565171555727154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5.6631585304671515E-2</v>
      </c>
      <c r="AD122" s="231">
        <f>(INDEX(Models!$BJ122:$BT122,,AH122)*(1-AF122)+INDEX(Models!$BJ122:$BT122,,AH122+1)*AF122-ERP_i)*AE122*Ramure*Pc/MaxiM</f>
        <v>5.8740321336216116E-6</v>
      </c>
      <c r="AE122" s="305">
        <f t="shared" si="38"/>
        <v>0.5</v>
      </c>
      <c r="AF122" s="177">
        <f t="shared" si="39"/>
        <v>0.54764858369310465</v>
      </c>
      <c r="AG122" s="811">
        <f t="shared" si="47"/>
        <v>-1</v>
      </c>
      <c r="AH122" s="176">
        <f t="shared" si="40"/>
        <v>5</v>
      </c>
      <c r="AI122" s="225">
        <f t="shared" si="41"/>
        <v>-0.45235141630689529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7">
        <v>53.222999999999999</v>
      </c>
      <c r="C123" s="390"/>
      <c r="D123" s="393">
        <f t="shared" si="24"/>
        <v>54.456432000491297</v>
      </c>
      <c r="E123" s="385">
        <f t="shared" si="45"/>
        <v>57.730028289417476</v>
      </c>
      <c r="F123" s="385">
        <f t="shared" si="25"/>
        <v>57.730407119667383</v>
      </c>
      <c r="G123" s="110">
        <f t="shared" si="46"/>
        <v>0.96470055083801076</v>
      </c>
      <c r="H123" s="414" t="b">
        <f>Wh_hp&gt;='2020'!Maxi_hp</f>
        <v>1</v>
      </c>
      <c r="I123" s="380">
        <f>IF(H123,Wh_hp,'2020'!Maxi_hp)</f>
        <v>57.730407119667383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2.2649886435456734E-2</v>
      </c>
      <c r="M123" s="845"/>
      <c r="N123" s="845"/>
      <c r="O123" s="48">
        <f>IF(t&lt;Tnet,'2020'!Resal+('2020'!Salim-'2020'!Resal)*(1-EXP(('2020'!Tnet-t)/('2020'!Tau_j))),Resal+(Salim-Resal)*(1-EXP((Tnet-t)/(Tau_j))))*Salcycl</f>
        <v>5.6705260432485548E-2</v>
      </c>
      <c r="P123" s="169">
        <f>(INDEX(Models!$BJ123:$BT123,,T123)*(1-R123)+INDEX(Models!$BJ123:$BT123,,T123+1)*R123-ERP_i)*Q123*Ramure*Pc/MaxiM</f>
        <v>6.9105372450046465E-6</v>
      </c>
      <c r="Q123" s="305">
        <f t="shared" si="27"/>
        <v>0.5</v>
      </c>
      <c r="R123" s="177">
        <f t="shared" si="28"/>
        <v>0.54956063677774158</v>
      </c>
      <c r="S123" s="811">
        <f t="shared" si="29"/>
        <v>-1</v>
      </c>
      <c r="T123" s="176">
        <f t="shared" si="30"/>
        <v>5</v>
      </c>
      <c r="U123" s="251">
        <f t="shared" si="31"/>
        <v>-0.45043936322225842</v>
      </c>
      <c r="V123" s="383">
        <f t="shared" si="32"/>
        <v>55.17046860448702</v>
      </c>
      <c r="W123" s="402"/>
      <c r="X123" s="157">
        <f t="shared" si="33"/>
        <v>44305</v>
      </c>
      <c r="Y123" s="385">
        <f t="shared" si="34"/>
        <v>53.222999999999999</v>
      </c>
      <c r="Z123" s="385">
        <f t="shared" si="35"/>
        <v>54.456432000491297</v>
      </c>
      <c r="AA123" s="386">
        <f t="shared" si="36"/>
        <v>57.730028289417476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5.6705260432485548E-2</v>
      </c>
      <c r="AD123" s="231">
        <f>(INDEX(Models!$BJ123:$BT123,,AH123)*(1-AF123)+INDEX(Models!$BJ123:$BT123,,AH123+1)*AF123-ERP_i)*AE123*Ramure*Pc/MaxiM</f>
        <v>6.9105372450046465E-6</v>
      </c>
      <c r="AE123" s="305">
        <f t="shared" si="38"/>
        <v>0.5</v>
      </c>
      <c r="AF123" s="177">
        <f t="shared" si="39"/>
        <v>0.54956063677774158</v>
      </c>
      <c r="AG123" s="811">
        <f t="shared" si="47"/>
        <v>-1</v>
      </c>
      <c r="AH123" s="176">
        <f t="shared" si="40"/>
        <v>5</v>
      </c>
      <c r="AI123" s="225">
        <f t="shared" si="41"/>
        <v>-0.45043936322225842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7">
        <v>38.866999999999997</v>
      </c>
      <c r="C124" s="390"/>
      <c r="D124" s="393">
        <f t="shared" si="24"/>
        <v>39.768605708693677</v>
      </c>
      <c r="E124" s="385">
        <f t="shared" si="45"/>
        <v>42.162585096026532</v>
      </c>
      <c r="F124" s="385">
        <f t="shared" si="25"/>
        <v>42.162781197417829</v>
      </c>
      <c r="G124" s="110">
        <f t="shared" si="46"/>
        <v>0.70227170123163429</v>
      </c>
      <c r="H124" s="414" t="b">
        <f>Wh_hp&gt;='2020'!Maxi_hp</f>
        <v>0</v>
      </c>
      <c r="I124" s="380">
        <f>IF(H124,Wh_hp,'2020'!Maxi_hp)</f>
        <v>54.953153725787914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2.267129291124681E-2</v>
      </c>
      <c r="M124" s="845"/>
      <c r="N124" s="845"/>
      <c r="O124" s="48">
        <f>IF(t&lt;Tnet,'2020'!Resal+('2020'!Salim-'2020'!Resal)*(1-EXP(('2020'!Tnet-t)/('2020'!Tau_j))),Resal+(Salim-Resal)*(1-EXP((Tnet-t)/(Tau_j))))*Salcycl</f>
        <v>5.6779710776284194E-2</v>
      </c>
      <c r="P124" s="169">
        <f>(INDEX(Models!$BJ124:$BT124,,T124)*(1-R124)+INDEX(Models!$BJ124:$BT124,,T124+1)*R124-ERP_i)*Q124*Ramure*Pc/MaxiM</f>
        <v>8.0933322999183595E-6</v>
      </c>
      <c r="Q124" s="305">
        <f t="shared" si="27"/>
        <v>0.5</v>
      </c>
      <c r="R124" s="177">
        <f t="shared" si="28"/>
        <v>0.5515356915064108</v>
      </c>
      <c r="S124" s="811">
        <f t="shared" si="29"/>
        <v>-1</v>
      </c>
      <c r="T124" s="176">
        <f t="shared" si="30"/>
        <v>5</v>
      </c>
      <c r="U124" s="251">
        <f t="shared" si="31"/>
        <v>-0.4484643084935892</v>
      </c>
      <c r="V124" s="383">
        <f t="shared" si="32"/>
        <v>55.344485816814974</v>
      </c>
      <c r="W124" s="402"/>
      <c r="X124" s="157">
        <f t="shared" si="33"/>
        <v>44306</v>
      </c>
      <c r="Y124" s="385">
        <f t="shared" si="34"/>
        <v>38.866999999999997</v>
      </c>
      <c r="Z124" s="385">
        <f t="shared" si="35"/>
        <v>39.768605708693677</v>
      </c>
      <c r="AA124" s="386">
        <f t="shared" si="36"/>
        <v>42.162585096026532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5.6779710776284194E-2</v>
      </c>
      <c r="AD124" s="231">
        <f>(INDEX(Models!$BJ124:$BT124,,AH124)*(1-AF124)+INDEX(Models!$BJ124:$BT124,,AH124+1)*AF124-ERP_i)*AE124*Ramure*Pc/MaxiM</f>
        <v>8.0933322999183595E-6</v>
      </c>
      <c r="AE124" s="305">
        <f t="shared" si="38"/>
        <v>0.5</v>
      </c>
      <c r="AF124" s="177">
        <f t="shared" si="39"/>
        <v>0.5515356915064108</v>
      </c>
      <c r="AG124" s="811">
        <f t="shared" si="47"/>
        <v>-1</v>
      </c>
      <c r="AH124" s="176">
        <f t="shared" si="40"/>
        <v>5</v>
      </c>
      <c r="AI124" s="225">
        <f t="shared" si="41"/>
        <v>-0.4484643084935892</v>
      </c>
      <c r="AJ124" s="265" t="b">
        <f t="shared" si="42"/>
        <v>1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7">
        <v>54.122</v>
      </c>
      <c r="C125" s="390"/>
      <c r="D125" s="393">
        <f t="shared" si="24"/>
        <v>55.378691983668006</v>
      </c>
      <c r="E125" s="385">
        <f t="shared" si="45"/>
        <v>55.658939679417074</v>
      </c>
      <c r="F125" s="385">
        <f t="shared" si="25"/>
        <v>55.659407422413302</v>
      </c>
      <c r="G125" s="110">
        <f t="shared" si="46"/>
        <v>0.92417793797781023</v>
      </c>
      <c r="H125" s="414" t="b">
        <f>Wh_hp&gt;='2020'!Maxi_hp</f>
        <v>1</v>
      </c>
      <c r="I125" s="380">
        <f>IF(H125,Wh_hp,'2020'!Maxi_hp)</f>
        <v>55.659407422413302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2.2692698918180043E-2</v>
      </c>
      <c r="M125" s="845"/>
      <c r="N125" s="845"/>
      <c r="O125" s="48">
        <f>IF(t&lt;Tnet,'2020'!Resal+('2020'!Salim-'2020'!Resal)*(1-EXP(('2020'!Tnet-t)/('2020'!Tau_j))),Resal+(Salim-Resal)*(1-EXP((Tnet-t)/(Tau_j))))*Salcycl</f>
        <v>5.0350886553575799E-3</v>
      </c>
      <c r="P125" s="169">
        <f>(INDEX(Models!$BJ125:$BT125,,T125)*(1-R125)+INDEX(Models!$BJ125:$BT125,,T125+1)*R125-ERP_i)*Q125*Ramure*Pc/MaxiM</f>
        <v>9.4244862342606761E-6</v>
      </c>
      <c r="Q125" s="305">
        <f t="shared" si="27"/>
        <v>0.5</v>
      </c>
      <c r="R125" s="177">
        <f t="shared" si="28"/>
        <v>0.55357516257188388</v>
      </c>
      <c r="S125" s="811">
        <f t="shared" si="29"/>
        <v>-1</v>
      </c>
      <c r="T125" s="176">
        <f t="shared" si="30"/>
        <v>5</v>
      </c>
      <c r="U125" s="251">
        <f t="shared" si="31"/>
        <v>-0.44642483742811617</v>
      </c>
      <c r="V125" s="383">
        <f t="shared" si="32"/>
        <v>58.56225573730476</v>
      </c>
      <c r="W125" s="402"/>
      <c r="X125" s="157">
        <f t="shared" si="33"/>
        <v>44307</v>
      </c>
      <c r="Y125" s="385">
        <f t="shared" si="34"/>
        <v>51.303212958403378</v>
      </c>
      <c r="Z125" s="385">
        <f t="shared" si="35"/>
        <v>52.494453793206937</v>
      </c>
      <c r="AA125" s="386">
        <f t="shared" si="36"/>
        <v>55.658939679417074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5.6854943777888356E-2</v>
      </c>
      <c r="AD125" s="231">
        <f>(INDEX(Models!$BJ125:$BT125,,AH125)*(1-AF125)+INDEX(Models!$BJ125:$BT125,,AH125+1)*AF125-ERP_i)*AE125*Ramure*Pc/MaxiM</f>
        <v>9.4244862342606761E-6</v>
      </c>
      <c r="AE125" s="305">
        <f t="shared" si="38"/>
        <v>0.5</v>
      </c>
      <c r="AF125" s="177">
        <f t="shared" si="39"/>
        <v>0.55357516257188388</v>
      </c>
      <c r="AG125" s="811">
        <f t="shared" si="47"/>
        <v>-1</v>
      </c>
      <c r="AH125" s="176">
        <f t="shared" si="40"/>
        <v>5</v>
      </c>
      <c r="AI125" s="225">
        <f t="shared" si="41"/>
        <v>-0.44642483742811617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7">
        <v>59.911000000000001</v>
      </c>
      <c r="C126" s="390"/>
      <c r="D126" s="393">
        <f t="shared" si="24"/>
        <v>61.303453035784656</v>
      </c>
      <c r="E126" s="385">
        <f t="shared" si="45"/>
        <v>61.619215446919867</v>
      </c>
      <c r="F126" s="385">
        <f t="shared" si="25"/>
        <v>61.619887493232405</v>
      </c>
      <c r="G126" s="110">
        <f t="shared" si="46"/>
        <v>1.0200684401257454</v>
      </c>
      <c r="H126" s="414" t="b">
        <f>Wh_hp&gt;='2020'!Maxi_hp</f>
        <v>1</v>
      </c>
      <c r="I126" s="380">
        <f>IF(H126,Wh_hp,'2020'!Maxi_hp)</f>
        <v>61.619887493232405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2.2714104456266759E-2</v>
      </c>
      <c r="M126" s="845"/>
      <c r="N126" s="845"/>
      <c r="O126" s="48">
        <f>IF(t&lt;Tnet,'2020'!Resal+('2020'!Salim-'2020'!Resal)*(1-EXP(('2020'!Tnet-t)/('2020'!Tau_j))),Resal+(Salim-Resal)*(1-EXP((Tnet-t)/(Tau_j))))*Salcycl</f>
        <v>5.124414662617904E-3</v>
      </c>
      <c r="P126" s="169">
        <f>(INDEX(Models!$BJ126:$BT126,,T126)*(1-R126)+INDEX(Models!$BJ126:$BT126,,T126+1)*R126-ERP_i)*Q126*Ramure*Pc/MaxiM</f>
        <v>1.0906321641881156E-5</v>
      </c>
      <c r="Q126" s="305">
        <f t="shared" si="27"/>
        <v>0.5</v>
      </c>
      <c r="R126" s="177">
        <f t="shared" si="28"/>
        <v>0.55568044611876632</v>
      </c>
      <c r="S126" s="811">
        <f t="shared" si="29"/>
        <v>-1</v>
      </c>
      <c r="T126" s="176">
        <f t="shared" si="30"/>
        <v>5</v>
      </c>
      <c r="U126" s="251">
        <f t="shared" si="31"/>
        <v>-0.44431955388123368</v>
      </c>
      <c r="V126" s="383">
        <f t="shared" si="32"/>
        <v>58.732333678135042</v>
      </c>
      <c r="W126" s="402"/>
      <c r="X126" s="157">
        <f t="shared" si="33"/>
        <v>44308</v>
      </c>
      <c r="Y126" s="385">
        <f t="shared" si="34"/>
        <v>56.792061388221839</v>
      </c>
      <c r="Z126" s="385">
        <f t="shared" si="35"/>
        <v>58.112023970861053</v>
      </c>
      <c r="AA126" s="386">
        <f t="shared" si="36"/>
        <v>61.619215446919867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5.6917171869544272E-2</v>
      </c>
      <c r="AD126" s="231">
        <f>(INDEX(Models!$BJ126:$BT126,,AH126)*(1-AF126)+INDEX(Models!$BJ126:$BT126,,AH126+1)*AF126-ERP_i)*AE126*Ramure*Pc/MaxiM</f>
        <v>1.0906321641881156E-5</v>
      </c>
      <c r="AE126" s="305">
        <f t="shared" si="38"/>
        <v>0.5</v>
      </c>
      <c r="AF126" s="177">
        <f t="shared" si="39"/>
        <v>0.55568044611876632</v>
      </c>
      <c r="AG126" s="811">
        <f t="shared" si="47"/>
        <v>-1</v>
      </c>
      <c r="AH126" s="176">
        <f t="shared" si="40"/>
        <v>5</v>
      </c>
      <c r="AI126" s="225">
        <f t="shared" si="41"/>
        <v>-0.44431955388123368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7">
        <v>60.234999999999999</v>
      </c>
      <c r="C127" s="390"/>
      <c r="D127" s="393">
        <f t="shared" si="24"/>
        <v>61.63633344618367</v>
      </c>
      <c r="E127" s="385">
        <f t="shared" si="45"/>
        <v>61.959377392111584</v>
      </c>
      <c r="F127" s="385">
        <f t="shared" si="25"/>
        <v>61.960154457717145</v>
      </c>
      <c r="G127" s="110">
        <f t="shared" si="46"/>
        <v>1.022727266599557</v>
      </c>
      <c r="H127" s="414" t="b">
        <f>Wh_hp&gt;='2020'!Maxi_hp</f>
        <v>1</v>
      </c>
      <c r="I127" s="380">
        <f>IF(H127,Wh_hp,'2020'!Maxi_hp)</f>
        <v>61.960154457717145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2.2735509525517283E-2</v>
      </c>
      <c r="M127" s="845"/>
      <c r="N127" s="845"/>
      <c r="O127" s="48">
        <f>IF(t&lt;Tnet,'2020'!Resal+('2020'!Salim-'2020'!Resal)*(1-EXP(('2020'!Tnet-t)/('2020'!Tau_j))),Resal+(Salim-Resal)*(1-EXP((Tnet-t)/(Tau_j))))*Salcycl</f>
        <v>5.2138023254094555E-3</v>
      </c>
      <c r="P127" s="169">
        <f>(INDEX(Models!$BJ127:$BT127,,T127)*(1-R127)+INDEX(Models!$BJ127:$BT127,,T127+1)*R127-ERP_i)*Q127*Ramure*Pc/MaxiM</f>
        <v>1.2541376185457978E-5</v>
      </c>
      <c r="Q127" s="305">
        <f t="shared" si="27"/>
        <v>0.5</v>
      </c>
      <c r="R127" s="177">
        <f t="shared" si="28"/>
        <v>0.55785291512279966</v>
      </c>
      <c r="S127" s="811">
        <f t="shared" si="29"/>
        <v>-1</v>
      </c>
      <c r="T127" s="176">
        <f t="shared" si="30"/>
        <v>5</v>
      </c>
      <c r="U127" s="251">
        <f t="shared" si="31"/>
        <v>-0.44214708487720034</v>
      </c>
      <c r="V127" s="383">
        <f t="shared" si="32"/>
        <v>58.896444797325096</v>
      </c>
      <c r="W127" s="402"/>
      <c r="X127" s="157">
        <f t="shared" si="33"/>
        <v>44309</v>
      </c>
      <c r="Y127" s="385">
        <f t="shared" si="34"/>
        <v>57.100508694556311</v>
      </c>
      <c r="Z127" s="385">
        <f t="shared" si="35"/>
        <v>58.428919960892877</v>
      </c>
      <c r="AA127" s="386">
        <f t="shared" si="36"/>
        <v>61.959377392111584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5.6980195408938873E-2</v>
      </c>
      <c r="AD127" s="231">
        <f>(INDEX(Models!$BJ127:$BT127,,AH127)*(1-AF127)+INDEX(Models!$BJ127:$BT127,,AH127+1)*AF127-ERP_i)*AE127*Ramure*Pc/MaxiM</f>
        <v>1.2541376185457978E-5</v>
      </c>
      <c r="AE127" s="305">
        <f t="shared" si="38"/>
        <v>0.5</v>
      </c>
      <c r="AF127" s="177">
        <f t="shared" si="39"/>
        <v>0.55785291512279966</v>
      </c>
      <c r="AG127" s="811">
        <f t="shared" si="47"/>
        <v>-1</v>
      </c>
      <c r="AH127" s="176">
        <f t="shared" si="40"/>
        <v>5</v>
      </c>
      <c r="AI127" s="225">
        <f t="shared" si="41"/>
        <v>-0.44214708487720034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7">
        <v>57.785000000000004</v>
      </c>
      <c r="C128" s="390"/>
      <c r="D128" s="393">
        <f t="shared" si="24"/>
        <v>59.130630684704613</v>
      </c>
      <c r="E128" s="385">
        <f t="shared" si="45"/>
        <v>59.445887410748696</v>
      </c>
      <c r="F128" s="385">
        <f t="shared" si="25"/>
        <v>59.446721075347604</v>
      </c>
      <c r="G128" s="110">
        <f t="shared" si="46"/>
        <v>0.97849591726534979</v>
      </c>
      <c r="H128" s="414" t="b">
        <f>Wh_hp&gt;='2020'!Maxi_hp</f>
        <v>1</v>
      </c>
      <c r="I128" s="380">
        <f>IF(H128,Wh_hp,'2020'!Maxi_hp)</f>
        <v>59.446721075347604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2.2756914125941941E-2</v>
      </c>
      <c r="M128" s="845"/>
      <c r="N128" s="845"/>
      <c r="O128" s="48">
        <f>IF(t&lt;Tnet,'2020'!Resal+('2020'!Salim-'2020'!Resal)*(1-EXP(('2020'!Tnet-t)/('2020'!Tau_j))),Resal+(Salim-Resal)*(1-EXP((Tnet-t)/(Tau_j))))*Salcycl</f>
        <v>5.3032554441618234E-3</v>
      </c>
      <c r="P128" s="169">
        <f>(INDEX(Models!$BJ128:$BT128,,T128)*(1-R128)+INDEX(Models!$BJ128:$BT128,,T128+1)*R128-ERP_i)*Q128*Ramure*Pc/MaxiM</f>
        <v>1.4468182480368453E-5</v>
      </c>
      <c r="Q128" s="305">
        <f t="shared" si="27"/>
        <v>0.5</v>
      </c>
      <c r="R128" s="177">
        <f t="shared" si="28"/>
        <v>0.56009391450938117</v>
      </c>
      <c r="S128" s="811">
        <f t="shared" si="29"/>
        <v>-1</v>
      </c>
      <c r="T128" s="176">
        <f t="shared" si="30"/>
        <v>5</v>
      </c>
      <c r="U128" s="251">
        <f t="shared" si="31"/>
        <v>-0.43990608549061883</v>
      </c>
      <c r="V128" s="383">
        <f t="shared" si="32"/>
        <v>59.054895679366311</v>
      </c>
      <c r="W128" s="402"/>
      <c r="X128" s="157">
        <f t="shared" si="33"/>
        <v>44310</v>
      </c>
      <c r="Y128" s="385">
        <f t="shared" si="34"/>
        <v>54.779219637170534</v>
      </c>
      <c r="Z128" s="385">
        <f t="shared" si="35"/>
        <v>56.054855162444397</v>
      </c>
      <c r="AA128" s="386">
        <f t="shared" si="36"/>
        <v>59.445887410748696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5.7044017610058367E-2</v>
      </c>
      <c r="AD128" s="231">
        <f>(INDEX(Models!$BJ128:$BT128,,AH128)*(1-AF128)+INDEX(Models!$BJ128:$BT128,,AH128+1)*AF128-ERP_i)*AE128*Ramure*Pc/MaxiM</f>
        <v>1.4468182480368453E-5</v>
      </c>
      <c r="AE128" s="305">
        <f t="shared" si="38"/>
        <v>0.5</v>
      </c>
      <c r="AF128" s="177">
        <f t="shared" si="39"/>
        <v>0.56009391450938117</v>
      </c>
      <c r="AG128" s="811">
        <f t="shared" si="47"/>
        <v>-1</v>
      </c>
      <c r="AH128" s="176">
        <f t="shared" si="40"/>
        <v>5</v>
      </c>
      <c r="AI128" s="225">
        <f t="shared" si="41"/>
        <v>-0.43990608549061883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7">
        <v>27.974</v>
      </c>
      <c r="C129" s="390"/>
      <c r="D129" s="393">
        <f t="shared" si="24"/>
        <v>28.626053353749334</v>
      </c>
      <c r="E129" s="385">
        <f t="shared" si="45"/>
        <v>28.781264314022867</v>
      </c>
      <c r="F129" s="385">
        <f t="shared" si="25"/>
        <v>28.781382304387119</v>
      </c>
      <c r="G129" s="110">
        <f t="shared" si="46"/>
        <v>0.47246398228604819</v>
      </c>
      <c r="H129" s="414" t="b">
        <f>Wh_hp&gt;='2020'!Maxi_hp</f>
        <v>0</v>
      </c>
      <c r="I129" s="380">
        <f>IF(H129,Wh_hp,'2020'!Maxi_hp)</f>
        <v>54.184367462537033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2.2778318257550834E-2</v>
      </c>
      <c r="M129" s="845"/>
      <c r="N129" s="845"/>
      <c r="O129" s="48">
        <f>IF(t&lt;Tnet,'2020'!Resal+('2020'!Salim-'2020'!Resal)*(1-EXP(('2020'!Tnet-t)/('2020'!Tau_j))),Resal+(Salim-Resal)*(1-EXP((Tnet-t)/(Tau_j))))*Salcycl</f>
        <v>5.3927776966319384E-3</v>
      </c>
      <c r="P129" s="169">
        <f>(INDEX(Models!$BJ129:$BT129,,T129)*(1-R129)+INDEX(Models!$BJ129:$BT129,,T129+1)*R129-ERP_i)*Q129*Ramure*Pc/MaxiM</f>
        <v>1.663870819188852E-5</v>
      </c>
      <c r="Q129" s="305">
        <f t="shared" si="27"/>
        <v>0.5</v>
      </c>
      <c r="R129" s="177">
        <f t="shared" si="28"/>
        <v>0.56240475601434703</v>
      </c>
      <c r="S129" s="811">
        <f t="shared" si="29"/>
        <v>-1</v>
      </c>
      <c r="T129" s="176">
        <f t="shared" si="30"/>
        <v>5</v>
      </c>
      <c r="U129" s="251">
        <f t="shared" si="31"/>
        <v>-0.43759524398565297</v>
      </c>
      <c r="V129" s="383">
        <f t="shared" si="32"/>
        <v>59.208003734923196</v>
      </c>
      <c r="W129" s="402"/>
      <c r="X129" s="157">
        <f t="shared" si="33"/>
        <v>44311</v>
      </c>
      <c r="Y129" s="385">
        <f t="shared" si="34"/>
        <v>26.519456427716545</v>
      </c>
      <c r="Z129" s="385">
        <f t="shared" si="35"/>
        <v>27.137605441204137</v>
      </c>
      <c r="AA129" s="386">
        <f t="shared" si="36"/>
        <v>28.781264314022867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5.7108640360107508E-2</v>
      </c>
      <c r="AD129" s="231">
        <f>(INDEX(Models!$BJ129:$BT129,,AH129)*(1-AF129)+INDEX(Models!$BJ129:$BT129,,AH129+1)*AF129-ERP_i)*AE129*Ramure*Pc/MaxiM</f>
        <v>1.663870819188852E-5</v>
      </c>
      <c r="AE129" s="305">
        <f t="shared" si="38"/>
        <v>0.5</v>
      </c>
      <c r="AF129" s="177">
        <f t="shared" si="39"/>
        <v>0.56240475601434703</v>
      </c>
      <c r="AG129" s="811">
        <f t="shared" si="47"/>
        <v>-1</v>
      </c>
      <c r="AH129" s="176">
        <f t="shared" si="40"/>
        <v>5</v>
      </c>
      <c r="AI129" s="225">
        <f t="shared" si="41"/>
        <v>-0.43759524398565297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7">
        <v>7.9630000000000001</v>
      </c>
      <c r="C130" s="390"/>
      <c r="D130" s="393">
        <f t="shared" si="24"/>
        <v>8.1487901493934949</v>
      </c>
      <c r="E130" s="385">
        <f t="shared" si="45"/>
        <v>8.193711126955499</v>
      </c>
      <c r="F130" s="385">
        <f t="shared" si="25"/>
        <v>8.193711126955499</v>
      </c>
      <c r="G130" s="110">
        <f t="shared" si="46"/>
        <v>0.13415386968225393</v>
      </c>
      <c r="H130" s="414" t="b">
        <f>Wh_hp&gt;='2020'!Maxi_hp</f>
        <v>0</v>
      </c>
      <c r="I130" s="380">
        <f>IF(H130,Wh_hp,'2020'!Maxi_hp)</f>
        <v>48.826282134758507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2.2799721920354288E-2</v>
      </c>
      <c r="M130" s="845"/>
      <c r="N130" s="845"/>
      <c r="O130" s="48">
        <f>IF(t&lt;Tnet,'2020'!Resal+('2020'!Salim-'2020'!Resal)*(1-EXP(('2020'!Tnet-t)/('2020'!Tau_j))),Resal+(Salim-Resal)*(1-EXP((Tnet-t)/(Tau_j))))*Salcycl</f>
        <v>5.4823726228550194E-3</v>
      </c>
      <c r="P130" s="169">
        <f>(INDEX(Models!$BJ130:$BT130,,T130)*(1-R130)+INDEX(Models!$BJ130:$BT130,,T130+1)*R130-ERP_i)*Q130*Ramure*Pc/MaxiM</f>
        <v>1.9057301747388676E-5</v>
      </c>
      <c r="Q130" s="305">
        <f t="shared" si="27"/>
        <v>0.5</v>
      </c>
      <c r="R130" s="177">
        <f t="shared" si="28"/>
        <v>0.56478671279220594</v>
      </c>
      <c r="S130" s="811">
        <f t="shared" si="29"/>
        <v>-1</v>
      </c>
      <c r="T130" s="176">
        <f t="shared" si="30"/>
        <v>5</v>
      </c>
      <c r="U130" s="251">
        <f t="shared" si="31"/>
        <v>-0.43521328720779401</v>
      </c>
      <c r="V130" s="383">
        <f t="shared" si="32"/>
        <v>59.356083172005022</v>
      </c>
      <c r="W130" s="402"/>
      <c r="X130" s="157">
        <f t="shared" si="33"/>
        <v>44312</v>
      </c>
      <c r="Y130" s="385">
        <f t="shared" si="34"/>
        <v>7.5491099608405863</v>
      </c>
      <c r="Z130" s="385">
        <f t="shared" si="35"/>
        <v>7.7252433612440132</v>
      </c>
      <c r="AA130" s="386">
        <f t="shared" si="36"/>
        <v>8.193711126955499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5.7174064163713394E-2</v>
      </c>
      <c r="AD130" s="231">
        <f>(INDEX(Models!$BJ130:$BT130,,AH130)*(1-AF130)+INDEX(Models!$BJ130:$BT130,,AH130+1)*AF130-ERP_i)*AE130*Ramure*Pc/MaxiM</f>
        <v>1.9057301747388676E-5</v>
      </c>
      <c r="AE130" s="305">
        <f t="shared" si="38"/>
        <v>0.5</v>
      </c>
      <c r="AF130" s="177">
        <f t="shared" si="39"/>
        <v>0.56478671279220594</v>
      </c>
      <c r="AG130" s="811">
        <f t="shared" si="47"/>
        <v>-1</v>
      </c>
      <c r="AH130" s="176">
        <f t="shared" si="40"/>
        <v>5</v>
      </c>
      <c r="AI130" s="225">
        <f t="shared" si="41"/>
        <v>-0.43521328720779401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7">
        <v>20.779</v>
      </c>
      <c r="C131" s="390"/>
      <c r="D131" s="393">
        <f t="shared" si="24"/>
        <v>21.264274672773539</v>
      </c>
      <c r="E131" s="385">
        <f t="shared" si="45"/>
        <v>21.383424044070118</v>
      </c>
      <c r="F131" s="385">
        <f t="shared" si="25"/>
        <v>21.383456721181108</v>
      </c>
      <c r="G131" s="110">
        <f t="shared" si="46"/>
        <v>0.34922307575727807</v>
      </c>
      <c r="H131" s="414" t="b">
        <f>Wh_hp&gt;='2020'!Maxi_hp</f>
        <v>0</v>
      </c>
      <c r="I131" s="380">
        <f>IF(H131,Wh_hp,'2020'!Maxi_hp)</f>
        <v>30.433144925485259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2.2821125114362628E-2</v>
      </c>
      <c r="M131" s="845"/>
      <c r="N131" s="845"/>
      <c r="O131" s="48">
        <f>IF(t&lt;Tnet,'2020'!Resal+('2020'!Salim-'2020'!Resal)*(1-EXP(('2020'!Tnet-t)/('2020'!Tau_j))),Resal+(Salim-Resal)*(1-EXP((Tnet-t)/(Tau_j))))*Salcycl</f>
        <v>5.5720436096210043E-3</v>
      </c>
      <c r="P131" s="169">
        <f>(INDEX(Models!$BJ131:$BT131,,T131)*(1-R131)+INDEX(Models!$BJ131:$BT131,,T131+1)*R131-ERP_i)*Q131*Ramure*Pc/MaxiM</f>
        <v>2.17286525394095E-5</v>
      </c>
      <c r="Q131" s="305">
        <f t="shared" si="27"/>
        <v>0.5</v>
      </c>
      <c r="R131" s="177">
        <f t="shared" si="28"/>
        <v>0.56724101377934089</v>
      </c>
      <c r="S131" s="811">
        <f t="shared" si="29"/>
        <v>-1</v>
      </c>
      <c r="T131" s="176">
        <f t="shared" si="30"/>
        <v>5</v>
      </c>
      <c r="U131" s="251">
        <f t="shared" si="31"/>
        <v>-0.43275898622065906</v>
      </c>
      <c r="V131" s="383">
        <f t="shared" si="32"/>
        <v>59.499448047758008</v>
      </c>
      <c r="W131" s="402"/>
      <c r="X131" s="157">
        <f t="shared" si="33"/>
        <v>44313</v>
      </c>
      <c r="Y131" s="385">
        <f t="shared" si="34"/>
        <v>19.69936980146495</v>
      </c>
      <c r="Z131" s="385">
        <f t="shared" si="35"/>
        <v>20.159430691510227</v>
      </c>
      <c r="AA131" s="386">
        <f t="shared" si="36"/>
        <v>21.383424044070118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5.7240288086571417E-2</v>
      </c>
      <c r="AD131" s="231">
        <f>(INDEX(Models!$BJ131:$BT131,,AH131)*(1-AF131)+INDEX(Models!$BJ131:$BT131,,AH131+1)*AF131-ERP_i)*AE131*Ramure*Pc/MaxiM</f>
        <v>2.17286525394095E-5</v>
      </c>
      <c r="AE131" s="305">
        <f t="shared" si="38"/>
        <v>0.5</v>
      </c>
      <c r="AF131" s="177">
        <f t="shared" si="39"/>
        <v>0.56724101377934089</v>
      </c>
      <c r="AG131" s="811">
        <f t="shared" si="47"/>
        <v>-1</v>
      </c>
      <c r="AH131" s="176">
        <f t="shared" si="40"/>
        <v>5</v>
      </c>
      <c r="AI131" s="225">
        <f t="shared" si="41"/>
        <v>-0.43275898622065906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7">
        <v>18.234999999999999</v>
      </c>
      <c r="C132" s="390"/>
      <c r="D132" s="393">
        <f t="shared" si="24"/>
        <v>18.66127059304365</v>
      </c>
      <c r="E132" s="385">
        <f t="shared" si="45"/>
        <v>18.767528470779272</v>
      </c>
      <c r="F132" s="385">
        <f t="shared" si="25"/>
        <v>18.767532278225413</v>
      </c>
      <c r="G132" s="110">
        <f t="shared" si="46"/>
        <v>0.30575183627881741</v>
      </c>
      <c r="H132" s="414" t="b">
        <f>Wh_hp&gt;='2020'!Maxi_hp</f>
        <v>0</v>
      </c>
      <c r="I132" s="380">
        <f>IF(H132,Wh_hp,'2020'!Maxi_hp)</f>
        <v>46.870510731346037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2.284252783958618E-2</v>
      </c>
      <c r="M132" s="845"/>
      <c r="N132" s="845"/>
      <c r="O132" s="48">
        <f>IF(t&lt;Tnet,'2020'!Resal+('2020'!Salim-'2020'!Resal)*(1-EXP(('2020'!Tnet-t)/('2020'!Tau_j))),Resal+(Salim-Resal)*(1-EXP((Tnet-t)/(Tau_j))))*Salcycl</f>
        <v>5.6617938745138633E-3</v>
      </c>
      <c r="P132" s="169">
        <f>(INDEX(Models!$BJ132:$BT132,,T132)*(1-R132)+INDEX(Models!$BJ132:$BT132,,T132+1)*R132-ERP_i)*Q132*Ramure*Pc/MaxiM</f>
        <v>2.4657776439456753E-5</v>
      </c>
      <c r="Q132" s="305">
        <f t="shared" si="27"/>
        <v>0.5</v>
      </c>
      <c r="R132" s="177">
        <f t="shared" si="28"/>
        <v>0.56976883782221832</v>
      </c>
      <c r="S132" s="811">
        <f t="shared" si="29"/>
        <v>-1</v>
      </c>
      <c r="T132" s="176">
        <f t="shared" si="30"/>
        <v>5</v>
      </c>
      <c r="U132" s="251">
        <f t="shared" si="31"/>
        <v>-0.43023116217778173</v>
      </c>
      <c r="V132" s="383">
        <f t="shared" si="32"/>
        <v>59.638412271503306</v>
      </c>
      <c r="W132" s="402"/>
      <c r="X132" s="157">
        <f t="shared" si="33"/>
        <v>44314</v>
      </c>
      <c r="Y132" s="385">
        <f t="shared" si="34"/>
        <v>17.287881629955752</v>
      </c>
      <c r="Z132" s="385">
        <f t="shared" si="35"/>
        <v>17.692011904420774</v>
      </c>
      <c r="AA132" s="386">
        <f t="shared" si="36"/>
        <v>18.767528470779272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5.7307309698933398E-2</v>
      </c>
      <c r="AD132" s="231">
        <f>(INDEX(Models!$BJ132:$BT132,,AH132)*(1-AF132)+INDEX(Models!$BJ132:$BT132,,AH132+1)*AF132-ERP_i)*AE132*Ramure*Pc/MaxiM</f>
        <v>2.4657776439456753E-5</v>
      </c>
      <c r="AE132" s="305">
        <f t="shared" si="38"/>
        <v>0.5</v>
      </c>
      <c r="AF132" s="177">
        <f t="shared" si="39"/>
        <v>0.56976883782221832</v>
      </c>
      <c r="AG132" s="811">
        <f t="shared" si="47"/>
        <v>-1</v>
      </c>
      <c r="AH132" s="176">
        <f t="shared" si="40"/>
        <v>5</v>
      </c>
      <c r="AI132" s="225">
        <f t="shared" si="41"/>
        <v>-0.43023116217778173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7">
        <v>27.175000000000001</v>
      </c>
      <c r="C133" s="390"/>
      <c r="D133" s="393">
        <f t="shared" si="24"/>
        <v>27.810865689024066</v>
      </c>
      <c r="E133" s="385">
        <f t="shared" si="45"/>
        <v>27.971748738911259</v>
      </c>
      <c r="F133" s="385">
        <f t="shared" si="25"/>
        <v>27.971920829002009</v>
      </c>
      <c r="G133" s="110">
        <f t="shared" si="46"/>
        <v>0.45462464152595206</v>
      </c>
      <c r="H133" s="414" t="b">
        <f>Wh_hp&gt;='2020'!Maxi_hp</f>
        <v>0</v>
      </c>
      <c r="I133" s="380">
        <f>IF(H133,Wh_hp,'2020'!Maxi_hp)</f>
        <v>52.731591737433121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2.2863930096035046E-2</v>
      </c>
      <c r="M133" s="845"/>
      <c r="N133" s="845"/>
      <c r="O133" s="48">
        <f>IF(t&lt;Tnet,'2020'!Resal+('2020'!Salim-'2020'!Resal)*(1-EXP(('2020'!Tnet-t)/('2020'!Tau_j))),Resal+(Salim-Resal)*(1-EXP((Tnet-t)/(Tau_j))))*Salcycl</f>
        <v>5.7516264495608036E-3</v>
      </c>
      <c r="P133" s="169">
        <f>(INDEX(Models!$BJ133:$BT133,,T133)*(1-R133)+INDEX(Models!$BJ133:$BT133,,T133+1)*R133-ERP_i)*Q133*Ramure*Pc/MaxiM</f>
        <v>2.7850000135259187E-5</v>
      </c>
      <c r="Q133" s="305">
        <f t="shared" si="27"/>
        <v>0.5</v>
      </c>
      <c r="R133" s="177">
        <f t="shared" si="28"/>
        <v>0.57237130758335031</v>
      </c>
      <c r="S133" s="811">
        <f t="shared" si="29"/>
        <v>-1</v>
      </c>
      <c r="T133" s="176">
        <f t="shared" si="30"/>
        <v>5</v>
      </c>
      <c r="U133" s="251">
        <f t="shared" si="31"/>
        <v>-0.42762869241664969</v>
      </c>
      <c r="V133" s="383">
        <f t="shared" si="32"/>
        <v>59.773289605786999</v>
      </c>
      <c r="W133" s="402"/>
      <c r="X133" s="157">
        <f t="shared" si="33"/>
        <v>44315</v>
      </c>
      <c r="Y133" s="385">
        <f t="shared" si="34"/>
        <v>25.76401597331709</v>
      </c>
      <c r="Z133" s="385">
        <f t="shared" si="35"/>
        <v>26.366866158005234</v>
      </c>
      <c r="AA133" s="386">
        <f t="shared" si="36"/>
        <v>27.971748738911259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5.7375125019390974E-2</v>
      </c>
      <c r="AD133" s="231">
        <f>(INDEX(Models!$BJ133:$BT133,,AH133)*(1-AF133)+INDEX(Models!$BJ133:$BT133,,AH133+1)*AF133-ERP_i)*AE133*Ramure*Pc/MaxiM</f>
        <v>2.7850000135259187E-5</v>
      </c>
      <c r="AE133" s="305">
        <f t="shared" si="38"/>
        <v>0.5</v>
      </c>
      <c r="AF133" s="177">
        <f t="shared" si="39"/>
        <v>0.57237130758335031</v>
      </c>
      <c r="AG133" s="811">
        <f t="shared" si="47"/>
        <v>-1</v>
      </c>
      <c r="AH133" s="176">
        <f t="shared" si="40"/>
        <v>5</v>
      </c>
      <c r="AI133" s="225">
        <f t="shared" si="41"/>
        <v>-0.42762869241664969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7">
        <v>16.522000000000002</v>
      </c>
      <c r="C134" s="390"/>
      <c r="D134" s="393">
        <f t="shared" si="24"/>
        <v>16.908967329138303</v>
      </c>
      <c r="E134" s="385">
        <f t="shared" si="45"/>
        <v>17.008322194401785</v>
      </c>
      <c r="F134" s="385">
        <f t="shared" si="25"/>
        <v>17.008322194401785</v>
      </c>
      <c r="G134" s="110">
        <f t="shared" si="46"/>
        <v>0.27579751115836959</v>
      </c>
      <c r="H134" s="414" t="b">
        <f>Wh_hp&gt;='2020'!Maxi_hp</f>
        <v>0</v>
      </c>
      <c r="I134" s="380">
        <f>IF(H134,Wh_hp,'2020'!Maxi_hp)</f>
        <v>62.081683557920357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2.2885331883719551E-2</v>
      </c>
      <c r="M134" s="845"/>
      <c r="N134" s="845"/>
      <c r="O134" s="48">
        <f>IF(t&lt;Tnet,'2020'!Resal+('2020'!Salim-'2020'!Resal)*(1-EXP(('2020'!Tnet-t)/('2020'!Tau_j))),Resal+(Salim-Resal)*(1-EXP((Tnet-t)/(Tau_j))))*Salcycl</f>
        <v>5.8415441645492975E-3</v>
      </c>
      <c r="P134" s="169">
        <f>(INDEX(Models!$BJ134:$BT134,,T134)*(1-R134)+INDEX(Models!$BJ134:$BT134,,T134+1)*R134-ERP_i)*Q134*Ramure*Pc/MaxiM</f>
        <v>3.1310944139307063E-5</v>
      </c>
      <c r="Q134" s="305">
        <f t="shared" si="27"/>
        <v>0.5</v>
      </c>
      <c r="R134" s="177">
        <f t="shared" si="28"/>
        <v>0.57504948324062943</v>
      </c>
      <c r="S134" s="811">
        <f t="shared" si="29"/>
        <v>-1</v>
      </c>
      <c r="T134" s="176">
        <f t="shared" si="30"/>
        <v>5</v>
      </c>
      <c r="U134" s="251">
        <f t="shared" si="31"/>
        <v>-0.42495051675937057</v>
      </c>
      <c r="V134" s="383">
        <f t="shared" si="32"/>
        <v>59.904393666170179</v>
      </c>
      <c r="W134" s="402"/>
      <c r="X134" s="157">
        <f t="shared" si="33"/>
        <v>44316</v>
      </c>
      <c r="Y134" s="385">
        <f t="shared" si="34"/>
        <v>15.664419114461985</v>
      </c>
      <c r="Z134" s="385">
        <f t="shared" si="35"/>
        <v>16.031300752715605</v>
      </c>
      <c r="AA134" s="386">
        <f t="shared" si="36"/>
        <v>17.008322194401785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5.7443728459457472E-2</v>
      </c>
      <c r="AD134" s="231">
        <f>(INDEX(Models!$BJ134:$BT134,,AH134)*(1-AF134)+INDEX(Models!$BJ134:$BT134,,AH134+1)*AF134-ERP_i)*AE134*Ramure*Pc/MaxiM</f>
        <v>3.1310944139307063E-5</v>
      </c>
      <c r="AE134" s="305">
        <f t="shared" si="38"/>
        <v>0.5</v>
      </c>
      <c r="AF134" s="177">
        <f t="shared" si="39"/>
        <v>0.57504948324062943</v>
      </c>
      <c r="AG134" s="811">
        <f t="shared" si="47"/>
        <v>-1</v>
      </c>
      <c r="AH134" s="176">
        <f t="shared" si="40"/>
        <v>5</v>
      </c>
      <c r="AI134" s="225">
        <f t="shared" si="41"/>
        <v>-0.42495051675937057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7">
        <v>19.568000000000001</v>
      </c>
      <c r="C135" s="390"/>
      <c r="D135" s="393">
        <f t="shared" si="24"/>
        <v>20.026747358661741</v>
      </c>
      <c r="E135" s="385">
        <f t="shared" si="45"/>
        <v>20.146245815576613</v>
      </c>
      <c r="F135" s="385">
        <f t="shared" si="25"/>
        <v>20.14627200541964</v>
      </c>
      <c r="G135" s="110">
        <f t="shared" si="46"/>
        <v>0.32595375548872063</v>
      </c>
      <c r="H135" s="414" t="b">
        <f>Wh_hp&gt;='2020'!Maxi_hp</f>
        <v>0</v>
      </c>
      <c r="I135" s="380">
        <f>IF(H135,Wh_hp,'2020'!Maxi_hp)</f>
        <v>57.93362071879104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2.2906733202649909E-2</v>
      </c>
      <c r="M135" s="845"/>
      <c r="N135" s="845"/>
      <c r="O135" s="48">
        <f>IF(t&lt;Tnet,'2020'!Resal+('2020'!Salim-'2020'!Resal)*(1-EXP(('2020'!Tnet-t)/('2020'!Tau_j))),Resal+(Salim-Resal)*(1-EXP((Tnet-t)/(Tau_j))))*Salcycl</f>
        <v>5.93154963007941E-3</v>
      </c>
      <c r="P135" s="169">
        <f>(INDEX(Models!$BJ135:$BT135,,T135)*(1-R135)+INDEX(Models!$BJ135:$BT135,,T135+1)*R135-ERP_i)*Q135*Ramure*Pc/MaxiM</f>
        <v>3.5047092799545336E-5</v>
      </c>
      <c r="Q135" s="305">
        <f t="shared" si="27"/>
        <v>0.5</v>
      </c>
      <c r="R135" s="177">
        <f t="shared" si="28"/>
        <v>0.5778043559986894</v>
      </c>
      <c r="S135" s="811">
        <f t="shared" si="29"/>
        <v>-1</v>
      </c>
      <c r="T135" s="176">
        <f t="shared" si="30"/>
        <v>5</v>
      </c>
      <c r="U135" s="251">
        <f t="shared" si="31"/>
        <v>-0.42219564400131054</v>
      </c>
      <c r="V135" s="383">
        <f t="shared" si="32"/>
        <v>60.031029881492138</v>
      </c>
      <c r="W135" s="402"/>
      <c r="X135" s="157">
        <f t="shared" si="33"/>
        <v>44317</v>
      </c>
      <c r="Y135" s="385">
        <f t="shared" si="34"/>
        <v>18.552629250494274</v>
      </c>
      <c r="Z135" s="385">
        <f t="shared" si="35"/>
        <v>18.987572508103369</v>
      </c>
      <c r="AA135" s="386">
        <f t="shared" si="36"/>
        <v>20.146245815576613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5.7513112769495979E-2</v>
      </c>
      <c r="AD135" s="231">
        <f>(INDEX(Models!$BJ135:$BT135,,AH135)*(1-AF135)+INDEX(Models!$BJ135:$BT135,,AH135+1)*AF135-ERP_i)*AE135*Ramure*Pc/MaxiM</f>
        <v>3.5047092799545336E-5</v>
      </c>
      <c r="AE135" s="305">
        <f t="shared" si="38"/>
        <v>0.5</v>
      </c>
      <c r="AF135" s="177">
        <f t="shared" si="39"/>
        <v>0.5778043559986894</v>
      </c>
      <c r="AG135" s="811">
        <f t="shared" si="47"/>
        <v>-1</v>
      </c>
      <c r="AH135" s="176">
        <f t="shared" si="40"/>
        <v>5</v>
      </c>
      <c r="AI135" s="225">
        <f t="shared" si="41"/>
        <v>-0.42219564400131054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7">
        <v>49.381</v>
      </c>
      <c r="C136" s="390"/>
      <c r="D136" s="393">
        <f t="shared" si="24"/>
        <v>50.539782917739181</v>
      </c>
      <c r="E136" s="385">
        <f t="shared" si="45"/>
        <v>50.845959245206267</v>
      </c>
      <c r="F136" s="385">
        <f t="shared" si="25"/>
        <v>50.847443819946974</v>
      </c>
      <c r="G136" s="110">
        <f t="shared" si="46"/>
        <v>0.82092387679037815</v>
      </c>
      <c r="H136" s="414" t="b">
        <f>Wh_hp&gt;='2020'!Maxi_hp</f>
        <v>1</v>
      </c>
      <c r="I136" s="380">
        <f>IF(H136,Wh_hp,'2020'!Maxi_hp)</f>
        <v>50.847443819946974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2.2928134052836557E-2</v>
      </c>
      <c r="M136" s="845"/>
      <c r="N136" s="845"/>
      <c r="O136" s="48">
        <f>IF(t&lt;Tnet,'2020'!Resal+('2020'!Salim-'2020'!Resal)*(1-EXP(('2020'!Tnet-t)/('2020'!Tau_j))),Resal+(Salim-Resal)*(1-EXP((Tnet-t)/(Tau_j))))*Salcycl</f>
        <v>6.0216452204302322E-3</v>
      </c>
      <c r="P136" s="169">
        <f>(INDEX(Models!$BJ136:$BT136,,T136)*(1-R136)+INDEX(Models!$BJ136:$BT136,,T136+1)*R136-ERP_i)*Q136*Ramure*Pc/MaxiM</f>
        <v>3.9232849187347434E-5</v>
      </c>
      <c r="Q136" s="305">
        <f t="shared" si="27"/>
        <v>0.5</v>
      </c>
      <c r="R136" s="177">
        <f t="shared" si="28"/>
        <v>0.58063684143412453</v>
      </c>
      <c r="S136" s="811">
        <f t="shared" si="29"/>
        <v>-1</v>
      </c>
      <c r="T136" s="176">
        <f t="shared" si="30"/>
        <v>5</v>
      </c>
      <c r="U136" s="251">
        <f t="shared" si="31"/>
        <v>-0.41936315856587547</v>
      </c>
      <c r="V136" s="383">
        <f t="shared" si="32"/>
        <v>60.15235490624562</v>
      </c>
      <c r="W136" s="402"/>
      <c r="X136" s="157">
        <f t="shared" si="33"/>
        <v>44318</v>
      </c>
      <c r="Y136" s="385">
        <f t="shared" si="34"/>
        <v>46.819410473474541</v>
      </c>
      <c r="Z136" s="385">
        <f t="shared" si="35"/>
        <v>47.918082697108758</v>
      </c>
      <c r="AA136" s="386">
        <f t="shared" si="36"/>
        <v>50.845959245206267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5.7583268986582191E-2</v>
      </c>
      <c r="AD136" s="231">
        <f>(INDEX(Models!$BJ136:$BT136,,AH136)*(1-AF136)+INDEX(Models!$BJ136:$BT136,,AH136+1)*AF136-ERP_i)*AE136*Ramure*Pc/MaxiM</f>
        <v>3.9232849187347434E-5</v>
      </c>
      <c r="AE136" s="305">
        <f t="shared" si="38"/>
        <v>0.5</v>
      </c>
      <c r="AF136" s="177">
        <f t="shared" si="39"/>
        <v>0.58063684143412453</v>
      </c>
      <c r="AG136" s="811">
        <f t="shared" si="47"/>
        <v>-1</v>
      </c>
      <c r="AH136" s="176">
        <f t="shared" si="40"/>
        <v>5</v>
      </c>
      <c r="AI136" s="225">
        <f t="shared" si="41"/>
        <v>-0.41936315856587547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7">
        <v>58.762</v>
      </c>
      <c r="C137" s="390"/>
      <c r="D137" s="393">
        <f t="shared" si="24"/>
        <v>60.142236323460445</v>
      </c>
      <c r="E137" s="385">
        <f t="shared" si="45"/>
        <v>60.512076030047965</v>
      </c>
      <c r="F137" s="385">
        <f t="shared" si="25"/>
        <v>60.514631083164147</v>
      </c>
      <c r="G137" s="110">
        <f t="shared" si="46"/>
        <v>0.97500233327622288</v>
      </c>
      <c r="H137" s="414" t="b">
        <f>Wh_hp&gt;='2020'!Maxi_hp</f>
        <v>1</v>
      </c>
      <c r="I137" s="380">
        <f>IF(H137,Wh_hp,'2020'!Maxi_hp)</f>
        <v>60.514631083164147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2.2949534434289709E-2</v>
      </c>
      <c r="M137" s="845"/>
      <c r="N137" s="845"/>
      <c r="O137" s="48">
        <f>IF(t&lt;Tnet,'2020'!Resal+('2020'!Salim-'2020'!Resal)*(1-EXP(('2020'!Tnet-t)/('2020'!Tau_j))),Resal+(Salim-Resal)*(1-EXP((Tnet-t)/(Tau_j))))*Salcycl</f>
        <v>6.1118330563287235E-3</v>
      </c>
      <c r="P137" s="169">
        <f>(INDEX(Models!$BJ137:$BT137,,T137)*(1-R137)+INDEX(Models!$BJ137:$BT137,,T137+1)*R137-ERP_i)*Q137*Ramure*Pc/MaxiM</f>
        <v>4.3785602294003423E-5</v>
      </c>
      <c r="Q137" s="305">
        <f t="shared" si="27"/>
        <v>0.5</v>
      </c>
      <c r="R137" s="177">
        <f t="shared" si="28"/>
        <v>0.58354777269968827</v>
      </c>
      <c r="S137" s="811">
        <f t="shared" si="29"/>
        <v>-1</v>
      </c>
      <c r="T137" s="176">
        <f t="shared" si="30"/>
        <v>5</v>
      </c>
      <c r="U137" s="251">
        <f t="shared" si="31"/>
        <v>-0.41645222730031167</v>
      </c>
      <c r="V137" s="383">
        <f t="shared" si="32"/>
        <v>60.268479484049955</v>
      </c>
      <c r="W137" s="402"/>
      <c r="X137" s="157">
        <f t="shared" si="33"/>
        <v>44319</v>
      </c>
      <c r="Y137" s="385">
        <f t="shared" si="34"/>
        <v>55.714643298281032</v>
      </c>
      <c r="Z137" s="385">
        <f t="shared" si="35"/>
        <v>57.023301520072827</v>
      </c>
      <c r="AA137" s="386">
        <f t="shared" si="36"/>
        <v>60.512076030047965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5.7654186384925046E-2</v>
      </c>
      <c r="AD137" s="231">
        <f>(INDEX(Models!$BJ137:$BT137,,AH137)*(1-AF137)+INDEX(Models!$BJ137:$BT137,,AH137+1)*AF137-ERP_i)*AE137*Ramure*Pc/MaxiM</f>
        <v>4.3785602294003423E-5</v>
      </c>
      <c r="AE137" s="305">
        <f t="shared" si="38"/>
        <v>0.5</v>
      </c>
      <c r="AF137" s="177">
        <f t="shared" si="39"/>
        <v>0.58354777269968827</v>
      </c>
      <c r="AG137" s="811">
        <f t="shared" si="47"/>
        <v>-1</v>
      </c>
      <c r="AH137" s="176">
        <f t="shared" si="40"/>
        <v>5</v>
      </c>
      <c r="AI137" s="225">
        <f t="shared" si="41"/>
        <v>-0.41645222730031167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7">
        <v>52.176000000000002</v>
      </c>
      <c r="C138" s="390"/>
      <c r="D138" s="393">
        <f t="shared" si="24"/>
        <v>53.40271014878055</v>
      </c>
      <c r="E138" s="385">
        <f t="shared" si="45"/>
        <v>53.735986918628484</v>
      </c>
      <c r="F138" s="385">
        <f t="shared" si="25"/>
        <v>53.738096642258157</v>
      </c>
      <c r="G138" s="110">
        <f t="shared" si="46"/>
        <v>0.86412605292034184</v>
      </c>
      <c r="H138" s="414" t="b">
        <f>Wh_hp&gt;='2020'!Maxi_hp</f>
        <v>0</v>
      </c>
      <c r="I138" s="380">
        <f>IF(H138,Wh_hp,'2020'!Maxi_hp)</f>
        <v>57.253924122877009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2.2970934347019467E-2</v>
      </c>
      <c r="M138" s="845"/>
      <c r="N138" s="845"/>
      <c r="O138" s="48">
        <f>IF(t&lt;Tnet,'2020'!Resal+('2020'!Salim-'2020'!Resal)*(1-EXP(('2020'!Tnet-t)/('2020'!Tau_j))),Resal+(Salim-Resal)*(1-EXP((Tnet-t)/(Tau_j))))*Salcycl</f>
        <v>6.202114987719741E-3</v>
      </c>
      <c r="P138" s="169">
        <f>(INDEX(Models!$BJ138:$BT138,,T138)*(1-R138)+INDEX(Models!$BJ138:$BT138,,T138+1)*R138-ERP_i)*Q138*Ramure*Pc/MaxiM</f>
        <v>4.8714570702891068E-5</v>
      </c>
      <c r="Q138" s="305">
        <f t="shared" si="27"/>
        <v>0.5</v>
      </c>
      <c r="R138" s="177">
        <f t="shared" si="28"/>
        <v>0.58653789361597874</v>
      </c>
      <c r="S138" s="811">
        <f t="shared" si="29"/>
        <v>-1</v>
      </c>
      <c r="T138" s="176">
        <f t="shared" si="30"/>
        <v>5</v>
      </c>
      <c r="U138" s="251">
        <f t="shared" si="31"/>
        <v>-0.41346210638402126</v>
      </c>
      <c r="V138" s="383">
        <f t="shared" si="32"/>
        <v>60.379508833886625</v>
      </c>
      <c r="W138" s="402"/>
      <c r="X138" s="157">
        <f t="shared" si="33"/>
        <v>44320</v>
      </c>
      <c r="Y138" s="385">
        <f t="shared" si="34"/>
        <v>49.470920259637197</v>
      </c>
      <c r="Z138" s="385">
        <f t="shared" si="35"/>
        <v>50.634031267610403</v>
      </c>
      <c r="AA138" s="386">
        <f t="shared" si="36"/>
        <v>53.735986918628484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5.7725852429496155E-2</v>
      </c>
      <c r="AD138" s="231">
        <f>(INDEX(Models!$BJ138:$BT138,,AH138)*(1-AF138)+INDEX(Models!$BJ138:$BT138,,AH138+1)*AF138-ERP_i)*AE138*Ramure*Pc/MaxiM</f>
        <v>4.8714570702891068E-5</v>
      </c>
      <c r="AE138" s="305">
        <f t="shared" si="38"/>
        <v>0.5</v>
      </c>
      <c r="AF138" s="177">
        <f t="shared" si="39"/>
        <v>0.58653789361597874</v>
      </c>
      <c r="AG138" s="811">
        <f t="shared" si="47"/>
        <v>-1</v>
      </c>
      <c r="AH138" s="176">
        <f t="shared" si="40"/>
        <v>5</v>
      </c>
      <c r="AI138" s="225">
        <f t="shared" si="41"/>
        <v>-0.41346210638402126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7">
        <v>35.033999999999999</v>
      </c>
      <c r="C139" s="390"/>
      <c r="D139" s="393">
        <f t="shared" si="24"/>
        <v>35.858469909392582</v>
      </c>
      <c r="E139" s="385">
        <f t="shared" si="45"/>
        <v>36.085537888681365</v>
      </c>
      <c r="F139" s="385">
        <f t="shared" si="25"/>
        <v>36.086315585239817</v>
      </c>
      <c r="G139" s="110">
        <f t="shared" si="46"/>
        <v>0.57919392669537872</v>
      </c>
      <c r="H139" s="414" t="b">
        <f>Wh_hp&gt;='2020'!Maxi_hp</f>
        <v>0</v>
      </c>
      <c r="I139" s="380">
        <f>IF(H139,Wh_hp,'2020'!Maxi_hp)</f>
        <v>60.369568048217943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2.2992333791036268E-2</v>
      </c>
      <c r="M139" s="845"/>
      <c r="N139" s="845"/>
      <c r="O139" s="48">
        <f>IF(t&lt;Tnet,'2020'!Resal+('2020'!Salim-'2020'!Resal)*(1-EXP(('2020'!Tnet-t)/('2020'!Tau_j))),Resal+(Salim-Resal)*(1-EXP((Tnet-t)/(Tau_j))))*Salcycl</f>
        <v>6.2924925766453185E-3</v>
      </c>
      <c r="P139" s="169">
        <f>(INDEX(Models!$BJ139:$BT139,,T139)*(1-R139)+INDEX(Models!$BJ139:$BT139,,T139+1)*R139-ERP_i)*Q139*Ramure*Pc/MaxiM</f>
        <v>5.4029437391996693E-5</v>
      </c>
      <c r="Q139" s="305">
        <f t="shared" si="27"/>
        <v>0.5</v>
      </c>
      <c r="R139" s="177">
        <f t="shared" si="28"/>
        <v>0.58960785168255514</v>
      </c>
      <c r="S139" s="811">
        <f t="shared" si="29"/>
        <v>-1</v>
      </c>
      <c r="T139" s="176">
        <f t="shared" si="30"/>
        <v>5</v>
      </c>
      <c r="U139" s="251">
        <f t="shared" si="31"/>
        <v>-0.41039214831744486</v>
      </c>
      <c r="V139" s="383">
        <f t="shared" si="32"/>
        <v>60.485548124001163</v>
      </c>
      <c r="W139" s="402"/>
      <c r="X139" s="157">
        <f t="shared" si="33"/>
        <v>44321</v>
      </c>
      <c r="Y139" s="385">
        <f t="shared" si="34"/>
        <v>33.218120792228348</v>
      </c>
      <c r="Z139" s="385">
        <f t="shared" si="35"/>
        <v>33.999856849765607</v>
      </c>
      <c r="AA139" s="386">
        <f t="shared" si="36"/>
        <v>36.085537888681365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5.7798252733540528E-2</v>
      </c>
      <c r="AD139" s="231">
        <f>(INDEX(Models!$BJ139:$BT139,,AH139)*(1-AF139)+INDEX(Models!$BJ139:$BT139,,AH139+1)*AF139-ERP_i)*AE139*Ramure*Pc/MaxiM</f>
        <v>5.4029437391996693E-5</v>
      </c>
      <c r="AE139" s="305">
        <f t="shared" si="38"/>
        <v>0.5</v>
      </c>
      <c r="AF139" s="177">
        <f t="shared" si="39"/>
        <v>0.58960785168255514</v>
      </c>
      <c r="AG139" s="811">
        <f t="shared" si="47"/>
        <v>-1</v>
      </c>
      <c r="AH139" s="176">
        <f t="shared" si="40"/>
        <v>5</v>
      </c>
      <c r="AI139" s="225">
        <f t="shared" si="41"/>
        <v>-0.41039214831744486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7">
        <v>36.173000000000002</v>
      </c>
      <c r="C140" s="390"/>
      <c r="D140" s="393">
        <f t="shared" si="24"/>
        <v>37.025085421542677</v>
      </c>
      <c r="E140" s="385">
        <f t="shared" si="45"/>
        <v>37.262933499386534</v>
      </c>
      <c r="F140" s="385">
        <f t="shared" si="25"/>
        <v>37.263878169533271</v>
      </c>
      <c r="G140" s="110">
        <f t="shared" si="46"/>
        <v>0.59702466909085317</v>
      </c>
      <c r="H140" s="414" t="b">
        <f>Wh_hp&gt;='2020'!Maxi_hp</f>
        <v>0</v>
      </c>
      <c r="I140" s="380">
        <f>IF(H140,Wh_hp,'2020'!Maxi_hp)</f>
        <v>64.189889106761925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2.3013732766350325E-2</v>
      </c>
      <c r="M140" s="845"/>
      <c r="N140" s="845"/>
      <c r="O140" s="48">
        <f>IF(t&lt;Tnet,'2020'!Resal+('2020'!Salim-'2020'!Resal)*(1-EXP(('2020'!Tnet-t)/('2020'!Tau_j))),Resal+(Salim-Resal)*(1-EXP((Tnet-t)/(Tau_j))))*Salcycl</f>
        <v>6.3829670803500858E-3</v>
      </c>
      <c r="P140" s="169">
        <f>(INDEX(Models!$BJ140:$BT140,,T140)*(1-R140)+INDEX(Models!$BJ140:$BT140,,T140+1)*R140-ERP_i)*Q140*Ramure*Pc/MaxiM</f>
        <v>5.9740332901715038E-5</v>
      </c>
      <c r="Q140" s="305">
        <f t="shared" si="27"/>
        <v>0.5</v>
      </c>
      <c r="R140" s="177">
        <f t="shared" si="28"/>
        <v>0.59275819104389649</v>
      </c>
      <c r="S140" s="811">
        <f t="shared" si="29"/>
        <v>-1</v>
      </c>
      <c r="T140" s="176">
        <f t="shared" si="30"/>
        <v>5</v>
      </c>
      <c r="U140" s="251">
        <f t="shared" si="31"/>
        <v>-0.40724180895610351</v>
      </c>
      <c r="V140" s="383">
        <f t="shared" si="32"/>
        <v>60.586702475738747</v>
      </c>
      <c r="W140" s="402"/>
      <c r="X140" s="157">
        <f t="shared" si="33"/>
        <v>44322</v>
      </c>
      <c r="Y140" s="385">
        <f t="shared" si="34"/>
        <v>34.298545382147999</v>
      </c>
      <c r="Z140" s="385">
        <f t="shared" si="35"/>
        <v>35.106476449525552</v>
      </c>
      <c r="AA140" s="386">
        <f t="shared" si="36"/>
        <v>37.262933499386534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5.7871371020654643E-2</v>
      </c>
      <c r="AD140" s="231">
        <f>(INDEX(Models!$BJ140:$BT140,,AH140)*(1-AF140)+INDEX(Models!$BJ140:$BT140,,AH140+1)*AF140-ERP_i)*AE140*Ramure*Pc/MaxiM</f>
        <v>5.9740332901715038E-5</v>
      </c>
      <c r="AE140" s="305">
        <f t="shared" si="38"/>
        <v>0.5</v>
      </c>
      <c r="AF140" s="177">
        <f t="shared" si="39"/>
        <v>0.59275819104389649</v>
      </c>
      <c r="AG140" s="811">
        <f t="shared" si="47"/>
        <v>-1</v>
      </c>
      <c r="AH140" s="176">
        <f t="shared" si="40"/>
        <v>5</v>
      </c>
      <c r="AI140" s="225">
        <f t="shared" si="41"/>
        <v>-0.40724180895610351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7">
        <v>27.507999999999999</v>
      </c>
      <c r="C141" s="390"/>
      <c r="D141" s="393">
        <f t="shared" si="24"/>
        <v>28.156590764458652</v>
      </c>
      <c r="E141" s="385">
        <f t="shared" si="45"/>
        <v>28.340051203507052</v>
      </c>
      <c r="F141" s="385">
        <f t="shared" si="25"/>
        <v>28.340459969915717</v>
      </c>
      <c r="G141" s="110">
        <f t="shared" si="46"/>
        <v>0.45328263660295509</v>
      </c>
      <c r="H141" s="414" t="b">
        <f>Wh_hp&gt;='2020'!Maxi_hp</f>
        <v>0</v>
      </c>
      <c r="I141" s="380">
        <f>IF(H141,Wh_hp,'2020'!Maxi_hp)</f>
        <v>60.114108347336412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2.3035131272971854E-2</v>
      </c>
      <c r="M141" s="845"/>
      <c r="N141" s="845"/>
      <c r="O141" s="48">
        <f>IF(t&lt;Tnet,'2020'!Resal+('2020'!Salim-'2020'!Resal)*(1-EXP(('2020'!Tnet-t)/('2020'!Tau_j))),Resal+(Salim-Resal)*(1-EXP((Tnet-t)/(Tau_j))))*Salcycl</f>
        <v>6.4735394347380133E-3</v>
      </c>
      <c r="P141" s="169">
        <f>(INDEX(Models!$BJ141:$BT141,,T141)*(1-R141)+INDEX(Models!$BJ141:$BT141,,T141+1)*R141-ERP_i)*Q141*Ramure*Pc/MaxiM</f>
        <v>6.5857816418148326E-5</v>
      </c>
      <c r="Q141" s="305">
        <f t="shared" si="27"/>
        <v>0.5</v>
      </c>
      <c r="R141" s="177">
        <f t="shared" si="28"/>
        <v>0.5959893454490488</v>
      </c>
      <c r="S141" s="811">
        <f t="shared" si="29"/>
        <v>-1</v>
      </c>
      <c r="T141" s="176">
        <f t="shared" si="30"/>
        <v>5</v>
      </c>
      <c r="U141" s="251">
        <f t="shared" si="31"/>
        <v>-0.4040106545509512</v>
      </c>
      <c r="V141" s="383">
        <f t="shared" si="32"/>
        <v>60.683076961449714</v>
      </c>
      <c r="W141" s="402"/>
      <c r="X141" s="157">
        <f t="shared" si="33"/>
        <v>44323</v>
      </c>
      <c r="Y141" s="385">
        <f t="shared" si="34"/>
        <v>26.082892370788169</v>
      </c>
      <c r="Z141" s="385">
        <f t="shared" si="35"/>
        <v>26.697881577639347</v>
      </c>
      <c r="AA141" s="386">
        <f t="shared" si="36"/>
        <v>28.340051203507052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5.794518909212442E-2</v>
      </c>
      <c r="AD141" s="231">
        <f>(INDEX(Models!$BJ141:$BT141,,AH141)*(1-AF141)+INDEX(Models!$BJ141:$BT141,,AH141+1)*AF141-ERP_i)*AE141*Ramure*Pc/MaxiM</f>
        <v>6.5857816418148326E-5</v>
      </c>
      <c r="AE141" s="305">
        <f t="shared" si="38"/>
        <v>0.5</v>
      </c>
      <c r="AF141" s="177">
        <f t="shared" si="39"/>
        <v>0.5959893454490488</v>
      </c>
      <c r="AG141" s="811">
        <f t="shared" si="47"/>
        <v>-1</v>
      </c>
      <c r="AH141" s="176">
        <f t="shared" si="40"/>
        <v>5</v>
      </c>
      <c r="AI141" s="225">
        <f t="shared" si="41"/>
        <v>-0.4040106545509512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7">
        <v>58.951000000000001</v>
      </c>
      <c r="C142" s="390"/>
      <c r="D142" s="393">
        <f t="shared" si="24"/>
        <v>60.342283631230799</v>
      </c>
      <c r="E142" s="385">
        <f t="shared" si="45"/>
        <v>60.741000327465706</v>
      </c>
      <c r="F142" s="385">
        <f t="shared" si="25"/>
        <v>60.745186891784464</v>
      </c>
      <c r="G142" s="110">
        <f t="shared" si="46"/>
        <v>0.96998785601043636</v>
      </c>
      <c r="H142" s="414" t="b">
        <f>Wh_hp&gt;='2020'!Maxi_hp</f>
        <v>1</v>
      </c>
      <c r="I142" s="380">
        <f>IF(H142,Wh_hp,'2020'!Maxi_hp)</f>
        <v>60.745186891784464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2.3056529310911289E-2</v>
      </c>
      <c r="M142" s="845"/>
      <c r="N142" s="845"/>
      <c r="O142" s="48">
        <f>IF(t&lt;Tnet,'2020'!Resal+('2020'!Salim-'2020'!Resal)*(1-EXP(('2020'!Tnet-t)/('2020'!Tau_j))),Resal+(Salim-Resal)*(1-EXP((Tnet-t)/(Tau_j))))*Salcycl</f>
        <v>6.5642102383126448E-3</v>
      </c>
      <c r="P142" s="169">
        <f>(INDEX(Models!$BJ142:$BT142,,T142)*(1-R142)+INDEX(Models!$BJ142:$BT142,,T142+1)*R142-ERP_i)*Q142*Ramure*Pc/MaxiM</f>
        <v>7.2007057323988442E-5</v>
      </c>
      <c r="Q142" s="305">
        <f t="shared" si="27"/>
        <v>0.5</v>
      </c>
      <c r="R142" s="177">
        <f t="shared" si="28"/>
        <v>0.59930163124718172</v>
      </c>
      <c r="S142" s="811">
        <f t="shared" si="29"/>
        <v>-1</v>
      </c>
      <c r="T142" s="176">
        <f t="shared" si="30"/>
        <v>5</v>
      </c>
      <c r="U142" s="251">
        <f t="shared" si="31"/>
        <v>-0.40069836875281822</v>
      </c>
      <c r="V142" s="383">
        <f t="shared" si="32"/>
        <v>60.774800058493078</v>
      </c>
      <c r="W142" s="402"/>
      <c r="X142" s="157">
        <f t="shared" si="33"/>
        <v>44324</v>
      </c>
      <c r="Y142" s="385">
        <f t="shared" si="34"/>
        <v>55.897605074970933</v>
      </c>
      <c r="Z142" s="385">
        <f t="shared" si="35"/>
        <v>57.21682651253451</v>
      </c>
      <c r="AA142" s="386">
        <f t="shared" si="36"/>
        <v>60.741000327465706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5.8019686800212911E-2</v>
      </c>
      <c r="AD142" s="231">
        <f>(INDEX(Models!$BJ142:$BT142,,AH142)*(1-AF142)+INDEX(Models!$BJ142:$BT142,,AH142+1)*AF142-ERP_i)*AE142*Ramure*Pc/MaxiM</f>
        <v>7.2007057323988442E-5</v>
      </c>
      <c r="AE142" s="305">
        <f t="shared" si="38"/>
        <v>0.5</v>
      </c>
      <c r="AF142" s="177">
        <f t="shared" si="39"/>
        <v>0.59930163124718172</v>
      </c>
      <c r="AG142" s="811">
        <f t="shared" si="47"/>
        <v>-1</v>
      </c>
      <c r="AH142" s="176">
        <f t="shared" si="40"/>
        <v>5</v>
      </c>
      <c r="AI142" s="225">
        <f t="shared" si="41"/>
        <v>-0.40069836875281822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7">
        <v>21.608000000000001</v>
      </c>
      <c r="C143" s="390"/>
      <c r="D143" s="393">
        <f t="shared" ref="D143:D206" si="48">Wh/(1-Ppv)</f>
        <v>22.118447923890585</v>
      </c>
      <c r="E143" s="385">
        <f t="shared" si="45"/>
        <v>22.266631908044051</v>
      </c>
      <c r="F143" s="385">
        <f t="shared" ref="F143:F206" si="49">Wh_sa/(1-Pvg*MEDIAN((-Sdif+Wh/Env_an)/Csdif,0,1))</f>
        <v>22.266768529512007</v>
      </c>
      <c r="G143" s="110">
        <f t="shared" si="46"/>
        <v>0.3550072467717596</v>
      </c>
      <c r="H143" s="414" t="b">
        <f>Wh_hp&gt;='2020'!Maxi_hp</f>
        <v>0</v>
      </c>
      <c r="I143" s="380">
        <f>IF(H143,Wh_hp,'2020'!Maxi_hp)</f>
        <v>55.215923921937936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2.3077926880178623E-2</v>
      </c>
      <c r="M143" s="845"/>
      <c r="N143" s="845"/>
      <c r="O143" s="48">
        <f>IF(t&lt;Tnet,'2020'!Resal+('2020'!Salim-'2020'!Resal)*(1-EXP(('2020'!Tnet-t)/('2020'!Tau_j))),Resal+(Salim-Resal)*(1-EXP((Tnet-t)/(Tau_j))))*Salcycl</f>
        <v>6.6549797367393337E-3</v>
      </c>
      <c r="P143" s="169">
        <f>(INDEX(Models!$BJ143:$BT143,,T143)*(1-R143)+INDEX(Models!$BJ143:$BT143,,T143+1)*R143-ERP_i)*Q143*Ramure*Pc/MaxiM</f>
        <v>7.804379280482923E-5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0.60269524046452716</v>
      </c>
      <c r="S143" s="811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-0.39730475953547284</v>
      </c>
      <c r="V143" s="383">
        <f t="shared" ref="V143:V206" si="56">MaxiM*(1-Ppv)*(1-Pvg)*(1-Psa)</f>
        <v>60.861986328877748</v>
      </c>
      <c r="W143" s="402"/>
      <c r="X143" s="157">
        <f t="shared" ref="X143:X206" si="57">t</f>
        <v>44325</v>
      </c>
      <c r="Y143" s="385">
        <f t="shared" ref="Y143:Y206" si="58">Wh_pvt_s*(1-Ppv)</f>
        <v>20.489040804838726</v>
      </c>
      <c r="Z143" s="385">
        <f t="shared" ref="Z143:Z206" si="59">Wh_sa_s*(1-Psa_s)</f>
        <v>20.973055444848882</v>
      </c>
      <c r="AA143" s="386">
        <f t="shared" ref="AA143:AA206" si="60">Wh_hp*(1-Pvg_s*MEDIAN((-Sdif+Wh/Env_an)/Csdif,0,1))</f>
        <v>22.266631908044051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5.8094842028077576E-2</v>
      </c>
      <c r="AD143" s="231">
        <f>(INDEX(Models!$BJ143:$BT143,,AH143)*(1-AF143)+INDEX(Models!$BJ143:$BT143,,AH143+1)*AF143-ERP_i)*AE143*Ramure*Pc/MaxiM</f>
        <v>7.804379280482923E-5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0.60269524046452716</v>
      </c>
      <c r="AG143" s="811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-0.39730475953547284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7">
        <v>43.303000000000004</v>
      </c>
      <c r="C144" s="390"/>
      <c r="D144" s="393">
        <f t="shared" si="48"/>
        <v>44.326921930749322</v>
      </c>
      <c r="E144" s="385">
        <f t="shared" ref="E144:E169" si="69">Wh_pvt/(1-Psa)</f>
        <v>44.627975461197423</v>
      </c>
      <c r="F144" s="385">
        <f t="shared" si="49"/>
        <v>44.630173257752162</v>
      </c>
      <c r="G144" s="110">
        <f t="shared" ref="G144:G169" si="70">+Wh_hp/MaxiM</f>
        <v>0.71050422376027467</v>
      </c>
      <c r="H144" s="414" t="b">
        <f>Wh_hp&gt;='2020'!Maxi_hp</f>
        <v>0</v>
      </c>
      <c r="I144" s="380">
        <f>IF(H144,Wh_hp,'2020'!Maxi_hp)</f>
        <v>51.205898275626573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2.3099323980784403E-2</v>
      </c>
      <c r="M144" s="845"/>
      <c r="N144" s="845"/>
      <c r="O144" s="48">
        <f>IF(t&lt;Tnet,'2020'!Resal+('2020'!Salim-'2020'!Resal)*(1-EXP(('2020'!Tnet-t)/('2020'!Tau_j))),Resal+(Salim-Resal)*(1-EXP((Tnet-t)/(Tau_j))))*Salcycl</f>
        <v>6.7458478081726244E-3</v>
      </c>
      <c r="P144" s="169">
        <f>(INDEX(Models!$BJ144:$BT144,,T144)*(1-R144)+INDEX(Models!$BJ144:$BT144,,T144+1)*R144-ERP_i)*Q144*Ramure*Pc/MaxiM</f>
        <v>8.3967886740932273E-5</v>
      </c>
      <c r="Q144" s="305">
        <f t="shared" si="51"/>
        <v>0.5</v>
      </c>
      <c r="R144" s="177">
        <f t="shared" si="52"/>
        <v>0.60617023401124537</v>
      </c>
      <c r="S144" s="811">
        <f t="shared" si="53"/>
        <v>-1</v>
      </c>
      <c r="T144" s="176">
        <f t="shared" si="54"/>
        <v>5</v>
      </c>
      <c r="U144" s="251">
        <f t="shared" si="55"/>
        <v>-0.39382976598875463</v>
      </c>
      <c r="V144" s="383">
        <f t="shared" si="56"/>
        <v>60.94474157489983</v>
      </c>
      <c r="W144" s="402"/>
      <c r="X144" s="157">
        <f t="shared" si="57"/>
        <v>44326</v>
      </c>
      <c r="Y144" s="385">
        <f t="shared" si="58"/>
        <v>41.061028629778342</v>
      </c>
      <c r="Z144" s="385">
        <f t="shared" si="59"/>
        <v>42.031937982782878</v>
      </c>
      <c r="AA144" s="386">
        <f t="shared" si="60"/>
        <v>44.627975461197423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5.8170630676977801E-2</v>
      </c>
      <c r="AD144" s="231">
        <f>(INDEX(Models!$BJ144:$BT144,,AH144)*(1-AF144)+INDEX(Models!$BJ144:$BT144,,AH144+1)*AF144-ERP_i)*AE144*Ramure*Pc/MaxiM</f>
        <v>8.3967886740932273E-5</v>
      </c>
      <c r="AE144" s="305">
        <f t="shared" si="62"/>
        <v>0.5</v>
      </c>
      <c r="AF144" s="177">
        <f t="shared" si="63"/>
        <v>0.60617023401124537</v>
      </c>
      <c r="AG144" s="811">
        <f t="shared" ref="AG144:AG207" si="71">INDEX(Echel_vg,AH144)</f>
        <v>-1</v>
      </c>
      <c r="AH144" s="176">
        <f t="shared" si="64"/>
        <v>5</v>
      </c>
      <c r="AI144" s="225">
        <f t="shared" si="65"/>
        <v>-0.39382976598875463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7">
        <v>36.262999999999998</v>
      </c>
      <c r="C145" s="390"/>
      <c r="D145" s="393">
        <f t="shared" si="48"/>
        <v>37.121270524588908</v>
      </c>
      <c r="E145" s="385">
        <f t="shared" si="69"/>
        <v>37.376808812465612</v>
      </c>
      <c r="F145" s="385">
        <f t="shared" si="49"/>
        <v>37.378219433644453</v>
      </c>
      <c r="G145" s="110">
        <f t="shared" si="70"/>
        <v>0.59421875114314204</v>
      </c>
      <c r="H145" s="414" t="b">
        <f>Wh_hp&gt;='2020'!Maxi_hp</f>
        <v>0</v>
      </c>
      <c r="I145" s="380">
        <f>IF(H145,Wh_hp,'2020'!Maxi_hp)</f>
        <v>38.866308209024936</v>
      </c>
      <c r="J145" s="85">
        <f>IF(H145,An,'2020'!An_max)</f>
        <v>2019</v>
      </c>
      <c r="K145" s="197">
        <f t="shared" si="50"/>
        <v>44327</v>
      </c>
      <c r="L145" s="147">
        <f>IF(t&lt;Tvie,1-EXP((T0-t)*PertePVj)+'2020'!Pspv,1-EXP((T0-t)*PertePVj)+Pspv)</f>
        <v>2.3120720612738732E-2</v>
      </c>
      <c r="M145" s="845"/>
      <c r="N145" s="845"/>
      <c r="O145" s="48">
        <f>IF(t&lt;Tnet,'2020'!Resal+('2020'!Salim-'2020'!Resal)*(1-EXP(('2020'!Tnet-t)/('2020'!Tau_j))),Resal+(Salim-Resal)*(1-EXP((Tnet-t)/(Tau_j))))*Salcycl</f>
        <v>6.8368139494958584E-3</v>
      </c>
      <c r="P145" s="169">
        <f>(INDEX(Models!$BJ145:$BT145,,T145)*(1-R145)+INDEX(Models!$BJ145:$BT145,,T145+1)*R145-ERP_i)*Q145*Ramure*Pc/MaxiM</f>
        <v>8.9778808241983629E-5</v>
      </c>
      <c r="Q145" s="305">
        <f t="shared" si="51"/>
        <v>0.5</v>
      </c>
      <c r="R145" s="177">
        <f t="shared" si="52"/>
        <v>0.60972653506960972</v>
      </c>
      <c r="S145" s="811">
        <f t="shared" si="53"/>
        <v>-1</v>
      </c>
      <c r="T145" s="176">
        <f t="shared" si="54"/>
        <v>5</v>
      </c>
      <c r="U145" s="251">
        <f t="shared" si="55"/>
        <v>-0.39027346493039033</v>
      </c>
      <c r="V145" s="383">
        <f t="shared" si="56"/>
        <v>61.023171591058883</v>
      </c>
      <c r="W145" s="402"/>
      <c r="X145" s="157">
        <f t="shared" si="57"/>
        <v>44327</v>
      </c>
      <c r="Y145" s="385">
        <f t="shared" si="58"/>
        <v>34.385877922020377</v>
      </c>
      <c r="Z145" s="385">
        <f t="shared" si="59"/>
        <v>35.199720833047671</v>
      </c>
      <c r="AA145" s="386">
        <f t="shared" si="60"/>
        <v>37.376808812465612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5.8247026661405479E-2</v>
      </c>
      <c r="AD145" s="231">
        <f>(INDEX(Models!$BJ145:$BT145,,AH145)*(1-AF145)+INDEX(Models!$BJ145:$BT145,,AH145+1)*AF145-ERP_i)*AE145*Ramure*Pc/MaxiM</f>
        <v>8.9778808241983629E-5</v>
      </c>
      <c r="AE145" s="305">
        <f t="shared" si="62"/>
        <v>0.5</v>
      </c>
      <c r="AF145" s="177">
        <f t="shared" si="63"/>
        <v>0.60972653506960972</v>
      </c>
      <c r="AG145" s="811">
        <f t="shared" si="71"/>
        <v>-1</v>
      </c>
      <c r="AH145" s="176">
        <f t="shared" si="64"/>
        <v>5</v>
      </c>
      <c r="AI145" s="225">
        <f t="shared" si="65"/>
        <v>-0.39027346493039033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7">
        <v>43.480000000000004</v>
      </c>
      <c r="C146" s="390"/>
      <c r="D146" s="393">
        <f t="shared" si="48"/>
        <v>44.510056935305563</v>
      </c>
      <c r="E146" s="385">
        <f t="shared" si="69"/>
        <v>44.820568331592618</v>
      </c>
      <c r="F146" s="385">
        <f t="shared" si="49"/>
        <v>44.823084995351344</v>
      </c>
      <c r="G146" s="110">
        <f t="shared" si="70"/>
        <v>0.71162279509687398</v>
      </c>
      <c r="H146" s="414" t="b">
        <f>Wh_hp&gt;='2020'!Maxi_hp</f>
        <v>0</v>
      </c>
      <c r="I146" s="380">
        <f>IF(H146,Wh_hp,'2020'!Maxi_hp)</f>
        <v>59.238727729135654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2.3142116776051824E-2</v>
      </c>
      <c r="M146" s="845"/>
      <c r="N146" s="845"/>
      <c r="O146" s="48">
        <f>IF(t&lt;Tnet,'2020'!Resal+('2020'!Salim-'2020'!Resal)*(1-EXP(('2020'!Tnet-t)/('2020'!Tau_j))),Resal+(Salim-Resal)*(1-EXP((Tnet-t)/(Tau_j))))*Salcycl</f>
        <v>6.9278772636219895E-3</v>
      </c>
      <c r="P146" s="169">
        <f>(INDEX(Models!$BJ146:$BT146,,T146)*(1-R146)+INDEX(Models!$BJ146:$BT146,,T146+1)*R146-ERP_i)*Q146*Ramure*Pc/MaxiM</f>
        <v>9.547563224254173E-5</v>
      </c>
      <c r="Q146" s="305">
        <f t="shared" si="51"/>
        <v>0.5</v>
      </c>
      <c r="R146" s="177">
        <f t="shared" si="52"/>
        <v>0.61336392271743834</v>
      </c>
      <c r="S146" s="811">
        <f t="shared" si="53"/>
        <v>-1</v>
      </c>
      <c r="T146" s="176">
        <f t="shared" si="54"/>
        <v>5</v>
      </c>
      <c r="U146" s="251">
        <f t="shared" si="55"/>
        <v>-0.38663607728256161</v>
      </c>
      <c r="V146" s="383">
        <f t="shared" si="56"/>
        <v>61.097382176576403</v>
      </c>
      <c r="W146" s="402"/>
      <c r="X146" s="157">
        <f t="shared" si="57"/>
        <v>44328</v>
      </c>
      <c r="Y146" s="385">
        <f t="shared" si="58"/>
        <v>41.229706744777189</v>
      </c>
      <c r="Z146" s="385">
        <f t="shared" si="59"/>
        <v>42.206453418490895</v>
      </c>
      <c r="AA146" s="386">
        <f t="shared" si="60"/>
        <v>44.820568331592618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5.8324001912736019E-2</v>
      </c>
      <c r="AD146" s="231">
        <f>(INDEX(Models!$BJ146:$BT146,,AH146)*(1-AF146)+INDEX(Models!$BJ146:$BT146,,AH146+1)*AF146-ERP_i)*AE146*Ramure*Pc/MaxiM</f>
        <v>9.547563224254173E-5</v>
      </c>
      <c r="AE146" s="305">
        <f t="shared" si="62"/>
        <v>0.5</v>
      </c>
      <c r="AF146" s="177">
        <f t="shared" si="63"/>
        <v>0.61336392271743834</v>
      </c>
      <c r="AG146" s="811">
        <f t="shared" si="71"/>
        <v>-1</v>
      </c>
      <c r="AH146" s="176">
        <f t="shared" si="64"/>
        <v>5</v>
      </c>
      <c r="AI146" s="225">
        <f t="shared" si="65"/>
        <v>-0.38663607728256161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7">
        <v>47.378</v>
      </c>
      <c r="C147" s="390"/>
      <c r="D147" s="393">
        <f t="shared" si="48"/>
        <v>48.50146427252551</v>
      </c>
      <c r="E147" s="385">
        <f t="shared" si="69"/>
        <v>48.844304224152303</v>
      </c>
      <c r="F147" s="385">
        <f t="shared" si="49"/>
        <v>48.847650834155864</v>
      </c>
      <c r="G147" s="110">
        <f t="shared" si="70"/>
        <v>0.77453670829174415</v>
      </c>
      <c r="H147" s="414" t="b">
        <f>Wh_hp&gt;='2020'!Maxi_hp</f>
        <v>0</v>
      </c>
      <c r="I147" s="380">
        <f>IF(H147,Wh_hp,'2020'!Maxi_hp)</f>
        <v>65.408960512497771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2.3163512470734116E-2</v>
      </c>
      <c r="M147" s="845"/>
      <c r="N147" s="845"/>
      <c r="O147" s="48">
        <f>IF(t&lt;Tnet,'2020'!Resal+('2020'!Salim-'2020'!Resal)*(1-EXP(('2020'!Tnet-t)/('2020'!Tau_j))),Resal+(Salim-Resal)*(1-EXP((Tnet-t)/(Tau_j))))*Salcycl</f>
        <v>7.0190364480054645E-3</v>
      </c>
      <c r="P147" s="169">
        <f>(INDEX(Models!$BJ147:$BT147,,T147)*(1-R147)+INDEX(Models!$BJ147:$BT147,,T147+1)*R147-ERP_i)*Q147*Ramure*Pc/MaxiM</f>
        <v>1.0105704082145485E-4</v>
      </c>
      <c r="Q147" s="305">
        <f t="shared" si="51"/>
        <v>0.5</v>
      </c>
      <c r="R147" s="177">
        <f t="shared" si="52"/>
        <v>0.61708202584289051</v>
      </c>
      <c r="S147" s="811">
        <f t="shared" si="53"/>
        <v>-1</v>
      </c>
      <c r="T147" s="176">
        <f t="shared" si="54"/>
        <v>5</v>
      </c>
      <c r="U147" s="251">
        <f t="shared" si="55"/>
        <v>-0.38291797415710949</v>
      </c>
      <c r="V147" s="383">
        <f t="shared" si="56"/>
        <v>61.167479125499</v>
      </c>
      <c r="W147" s="402"/>
      <c r="X147" s="157">
        <f t="shared" si="57"/>
        <v>44329</v>
      </c>
      <c r="Y147" s="385">
        <f t="shared" si="58"/>
        <v>44.926392468818136</v>
      </c>
      <c r="Z147" s="385">
        <f t="shared" si="59"/>
        <v>45.991722301908943</v>
      </c>
      <c r="AA147" s="386">
        <f t="shared" si="60"/>
        <v>48.844304224152303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5.8401526391952008E-2</v>
      </c>
      <c r="AD147" s="231">
        <f>(INDEX(Models!$BJ147:$BT147,,AH147)*(1-AF147)+INDEX(Models!$BJ147:$BT147,,AH147+1)*AF147-ERP_i)*AE147*Ramure*Pc/MaxiM</f>
        <v>1.0105704082145485E-4</v>
      </c>
      <c r="AE147" s="305">
        <f t="shared" si="62"/>
        <v>0.5</v>
      </c>
      <c r="AF147" s="177">
        <f t="shared" si="63"/>
        <v>0.61708202584289051</v>
      </c>
      <c r="AG147" s="811">
        <f t="shared" si="71"/>
        <v>-1</v>
      </c>
      <c r="AH147" s="176">
        <f t="shared" si="64"/>
        <v>5</v>
      </c>
      <c r="AI147" s="225">
        <f t="shared" si="65"/>
        <v>-0.38291797415710949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7">
        <v>44.363</v>
      </c>
      <c r="C148" s="390"/>
      <c r="D148" s="393">
        <f t="shared" si="48"/>
        <v>45.415964955453092</v>
      </c>
      <c r="E148" s="385">
        <f t="shared" si="69"/>
        <v>45.741198129242875</v>
      </c>
      <c r="F148" s="385">
        <f t="shared" si="49"/>
        <v>45.74415300873239</v>
      </c>
      <c r="G148" s="110">
        <f t="shared" si="70"/>
        <v>0.72445786217643415</v>
      </c>
      <c r="H148" s="414" t="b">
        <f>Wh_hp&gt;='2020'!Maxi_hp</f>
        <v>0</v>
      </c>
      <c r="I148" s="380">
        <f>IF(H148,Wh_hp,'2020'!Maxi_hp)</f>
        <v>63.832836981428784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2.318490769679582E-2</v>
      </c>
      <c r="M148" s="845"/>
      <c r="N148" s="845"/>
      <c r="O148" s="48">
        <f>IF(t&lt;Tnet,'2020'!Resal+('2020'!Salim-'2020'!Resal)*(1-EXP(('2020'!Tnet-t)/('2020'!Tau_j))),Resal+(Salim-Resal)*(1-EXP((Tnet-t)/(Tau_j))))*Salcycl</f>
        <v>7.1102897845138477E-3</v>
      </c>
      <c r="P148" s="169">
        <f>(INDEX(Models!$BJ148:$BT148,,T148)*(1-R148)+INDEX(Models!$BJ148:$BT148,,T148+1)*R148-ERP_i)*Q148*Ramure*Pc/MaxiM</f>
        <v>1.0652132529037133E-4</v>
      </c>
      <c r="Q148" s="305">
        <f t="shared" si="51"/>
        <v>0.5</v>
      </c>
      <c r="R148" s="177">
        <f t="shared" si="52"/>
        <v>0.62088031740849292</v>
      </c>
      <c r="S148" s="811">
        <f t="shared" si="53"/>
        <v>-1</v>
      </c>
      <c r="T148" s="176">
        <f t="shared" si="54"/>
        <v>5</v>
      </c>
      <c r="U148" s="251">
        <f t="shared" si="55"/>
        <v>-0.37911968259150713</v>
      </c>
      <c r="V148" s="383">
        <f t="shared" si="56"/>
        <v>61.233568235217007</v>
      </c>
      <c r="W148" s="402"/>
      <c r="X148" s="157">
        <f t="shared" si="57"/>
        <v>44330</v>
      </c>
      <c r="Y148" s="385">
        <f t="shared" si="58"/>
        <v>42.067785062235139</v>
      </c>
      <c r="Z148" s="385">
        <f t="shared" si="59"/>
        <v>43.06627261772207</v>
      </c>
      <c r="AA148" s="386">
        <f t="shared" si="60"/>
        <v>45.741198129242875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5.8479568111939953E-2</v>
      </c>
      <c r="AD148" s="231">
        <f>(INDEX(Models!$BJ148:$BT148,,AH148)*(1-AF148)+INDEX(Models!$BJ148:$BT148,,AH148+1)*AF148-ERP_i)*AE148*Ramure*Pc/MaxiM</f>
        <v>1.0652132529037133E-4</v>
      </c>
      <c r="AE148" s="305">
        <f t="shared" si="62"/>
        <v>0.5</v>
      </c>
      <c r="AF148" s="177">
        <f t="shared" si="63"/>
        <v>0.62088031740849292</v>
      </c>
      <c r="AG148" s="811">
        <f t="shared" si="71"/>
        <v>-1</v>
      </c>
      <c r="AH148" s="176">
        <f t="shared" si="64"/>
        <v>5</v>
      </c>
      <c r="AI148" s="225">
        <f t="shared" si="65"/>
        <v>-0.37911968259150713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7">
        <v>21.309000000000001</v>
      </c>
      <c r="C149" s="390"/>
      <c r="D149" s="393">
        <f t="shared" si="48"/>
        <v>21.815251320253211</v>
      </c>
      <c r="E149" s="385">
        <f t="shared" si="69"/>
        <v>21.973496424047259</v>
      </c>
      <c r="F149" s="385">
        <f t="shared" si="49"/>
        <v>21.973663740631228</v>
      </c>
      <c r="G149" s="110">
        <f t="shared" si="70"/>
        <v>0.34761013472946956</v>
      </c>
      <c r="H149" s="414" t="b">
        <f>Wh_hp&gt;='2020'!Maxi_hp</f>
        <v>0</v>
      </c>
      <c r="I149" s="380">
        <f>IF(H149,Wh_hp,'2020'!Maxi_hp)</f>
        <v>64.337487236928794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2.3206302454247041E-2</v>
      </c>
      <c r="M149" s="845"/>
      <c r="N149" s="845"/>
      <c r="O149" s="48">
        <f>IF(t&lt;Tnet,'2020'!Resal+('2020'!Salim-'2020'!Resal)*(1-EXP(('2020'!Tnet-t)/('2020'!Tau_j))),Resal+(Salim-Resal)*(1-EXP((Tnet-t)/(Tau_j))))*Salcycl</f>
        <v>7.2016351308054798E-3</v>
      </c>
      <c r="P149" s="169">
        <f>(INDEX(Models!$BJ149:$BT149,,T149)*(1-R149)+INDEX(Models!$BJ149:$BT149,,T149+1)*R149-ERP_i)*Q149*Ramure*Pc/MaxiM</f>
        <v>1.1186768748893185E-4</v>
      </c>
      <c r="Q149" s="305">
        <f t="shared" si="51"/>
        <v>0.5</v>
      </c>
      <c r="R149" s="177">
        <f t="shared" si="52"/>
        <v>0.62475810912353247</v>
      </c>
      <c r="S149" s="811">
        <f t="shared" si="53"/>
        <v>-1</v>
      </c>
      <c r="T149" s="176">
        <f t="shared" si="54"/>
        <v>5</v>
      </c>
      <c r="U149" s="251">
        <f t="shared" si="55"/>
        <v>-0.37524189087646753</v>
      </c>
      <c r="V149" s="383">
        <f t="shared" si="56"/>
        <v>61.295043847534579</v>
      </c>
      <c r="W149" s="402"/>
      <c r="X149" s="157">
        <f t="shared" si="57"/>
        <v>44331</v>
      </c>
      <c r="Y149" s="385">
        <f t="shared" si="58"/>
        <v>20.206706923100029</v>
      </c>
      <c r="Z149" s="385">
        <f t="shared" si="59"/>
        <v>20.686770373181638</v>
      </c>
      <c r="AA149" s="386">
        <f t="shared" si="60"/>
        <v>21.973496424047259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5.8558093169799728E-2</v>
      </c>
      <c r="AD149" s="231">
        <f>(INDEX(Models!$BJ149:$BT149,,AH149)*(1-AF149)+INDEX(Models!$BJ149:$BT149,,AH149+1)*AF149-ERP_i)*AE149*Ramure*Pc/MaxiM</f>
        <v>1.1186768748893185E-4</v>
      </c>
      <c r="AE149" s="305">
        <f t="shared" si="62"/>
        <v>0.5</v>
      </c>
      <c r="AF149" s="177">
        <f t="shared" si="63"/>
        <v>0.62475810912353247</v>
      </c>
      <c r="AG149" s="811">
        <f t="shared" si="71"/>
        <v>-1</v>
      </c>
      <c r="AH149" s="176">
        <f t="shared" si="64"/>
        <v>5</v>
      </c>
      <c r="AI149" s="225">
        <f t="shared" si="65"/>
        <v>-0.37524189087646753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7">
        <v>13.769</v>
      </c>
      <c r="C150" s="390"/>
      <c r="D150" s="393">
        <f t="shared" si="48"/>
        <v>14.096427544156731</v>
      </c>
      <c r="E150" s="385">
        <f t="shared" si="69"/>
        <v>14.199989057119177</v>
      </c>
      <c r="F150" s="385">
        <f t="shared" si="49"/>
        <v>14.199989057119177</v>
      </c>
      <c r="G150" s="110">
        <f t="shared" si="70"/>
        <v>0.22440228652848745</v>
      </c>
      <c r="H150" s="414" t="b">
        <f>Wh_hp&gt;='2020'!Maxi_hp</f>
        <v>0</v>
      </c>
      <c r="I150" s="380">
        <f>IF(H150,Wh_hp,'2020'!Maxi_hp)</f>
        <v>55.759884023555387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2.3227696743098325E-2</v>
      </c>
      <c r="M150" s="845"/>
      <c r="N150" s="845"/>
      <c r="O150" s="48">
        <f>IF(t&lt;Tnet,'2020'!Resal+('2020'!Salim-'2020'!Resal)*(1-EXP(('2020'!Tnet-t)/('2020'!Tau_j))),Resal+(Salim-Resal)*(1-EXP((Tnet-t)/(Tau_j))))*Salcycl</f>
        <v>7.2930699133549829E-3</v>
      </c>
      <c r="P150" s="169">
        <f>(INDEX(Models!$BJ150:$BT150,,T150)*(1-R150)+INDEX(Models!$BJ150:$BT150,,T150+1)*R150-ERP_i)*Q150*Ramure*Pc/MaxiM</f>
        <v>1.1642794535592595E-4</v>
      </c>
      <c r="Q150" s="305">
        <f t="shared" si="51"/>
        <v>0.5</v>
      </c>
      <c r="R150" s="177">
        <f t="shared" si="52"/>
        <v>0.62871454658465864</v>
      </c>
      <c r="S150" s="811">
        <f t="shared" si="53"/>
        <v>-1</v>
      </c>
      <c r="T150" s="176">
        <f t="shared" si="54"/>
        <v>5</v>
      </c>
      <c r="U150" s="251">
        <f t="shared" si="55"/>
        <v>-0.37128545341534136</v>
      </c>
      <c r="V150" s="383">
        <f t="shared" si="56"/>
        <v>61.351410970906699</v>
      </c>
      <c r="W150" s="402"/>
      <c r="X150" s="157">
        <f t="shared" si="57"/>
        <v>44332</v>
      </c>
      <c r="Y150" s="385">
        <f t="shared" si="58"/>
        <v>13.056850766633133</v>
      </c>
      <c r="Z150" s="385">
        <f t="shared" si="59"/>
        <v>13.367343364566143</v>
      </c>
      <c r="AA150" s="386">
        <f t="shared" si="60"/>
        <v>14.199989057119177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5.8637065789539304E-2</v>
      </c>
      <c r="AD150" s="231">
        <f>(INDEX(Models!$BJ150:$BT150,,AH150)*(1-AF150)+INDEX(Models!$BJ150:$BT150,,AH150+1)*AF150-ERP_i)*AE150*Ramure*Pc/MaxiM</f>
        <v>1.1642794535592595E-4</v>
      </c>
      <c r="AE150" s="305">
        <f t="shared" si="62"/>
        <v>0.5</v>
      </c>
      <c r="AF150" s="177">
        <f t="shared" si="63"/>
        <v>0.62871454658465864</v>
      </c>
      <c r="AG150" s="811">
        <f t="shared" si="71"/>
        <v>-1</v>
      </c>
      <c r="AH150" s="176">
        <f t="shared" si="64"/>
        <v>5</v>
      </c>
      <c r="AI150" s="225">
        <f t="shared" si="65"/>
        <v>-0.37128545341534136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7">
        <v>57.335999999999999</v>
      </c>
      <c r="C151" s="390"/>
      <c r="D151" s="393">
        <f t="shared" si="48"/>
        <v>58.700738792318738</v>
      </c>
      <c r="E151" s="385">
        <f t="shared" si="69"/>
        <v>59.13744464100801</v>
      </c>
      <c r="F151" s="385">
        <f t="shared" si="49"/>
        <v>59.143869986274652</v>
      </c>
      <c r="G151" s="110">
        <f t="shared" si="70"/>
        <v>0.93375647951269281</v>
      </c>
      <c r="H151" s="414" t="b">
        <f>Wh_hp&gt;='2020'!Maxi_hp</f>
        <v>1</v>
      </c>
      <c r="I151" s="380">
        <f>IF(H151,Wh_hp,'2020'!Maxi_hp)</f>
        <v>59.143869986274652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2.3249090563359665E-2</v>
      </c>
      <c r="M151" s="845"/>
      <c r="N151" s="845"/>
      <c r="O151" s="48">
        <f>IF(t&lt;Tnet,'2020'!Resal+('2020'!Salim-'2020'!Resal)*(1-EXP(('2020'!Tnet-t)/('2020'!Tau_j))),Resal+(Salim-Resal)*(1-EXP((Tnet-t)/(Tau_j))))*Salcycl</f>
        <v>7.3845911222624079E-3</v>
      </c>
      <c r="P151" s="169">
        <f>(INDEX(Models!$BJ151:$BT151,,T151)*(1-R151)+INDEX(Models!$BJ151:$BT151,,T151+1)*R151-ERP_i)*Q151*Ramure*Pc/MaxiM</f>
        <v>1.1999277379983661E-4</v>
      </c>
      <c r="Q151" s="305">
        <f t="shared" si="51"/>
        <v>0.5</v>
      </c>
      <c r="R151" s="177">
        <f t="shared" si="52"/>
        <v>0.63274860494463248</v>
      </c>
      <c r="S151" s="811">
        <f t="shared" si="53"/>
        <v>-1</v>
      </c>
      <c r="T151" s="176">
        <f t="shared" si="54"/>
        <v>5</v>
      </c>
      <c r="U151" s="251">
        <f t="shared" si="55"/>
        <v>-0.36725139505536758</v>
      </c>
      <c r="V151" s="383">
        <f t="shared" si="56"/>
        <v>61.402892746891709</v>
      </c>
      <c r="W151" s="402"/>
      <c r="X151" s="157">
        <f t="shared" si="57"/>
        <v>44333</v>
      </c>
      <c r="Y151" s="385">
        <f t="shared" si="58"/>
        <v>54.370940883300911</v>
      </c>
      <c r="Z151" s="385">
        <f t="shared" si="59"/>
        <v>55.665103925688058</v>
      </c>
      <c r="AA151" s="386">
        <f t="shared" si="60"/>
        <v>59.13744464100801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5.8716448375452847E-2</v>
      </c>
      <c r="AD151" s="231">
        <f>(INDEX(Models!$BJ151:$BT151,,AH151)*(1-AF151)+INDEX(Models!$BJ151:$BT151,,AH151+1)*AF151-ERP_i)*AE151*Ramure*Pc/MaxiM</f>
        <v>1.1999277379983661E-4</v>
      </c>
      <c r="AE151" s="305">
        <f t="shared" si="62"/>
        <v>0.5</v>
      </c>
      <c r="AF151" s="177">
        <f t="shared" si="63"/>
        <v>0.63274860494463248</v>
      </c>
      <c r="AG151" s="811">
        <f t="shared" si="71"/>
        <v>-1</v>
      </c>
      <c r="AH151" s="176">
        <f t="shared" si="64"/>
        <v>5</v>
      </c>
      <c r="AI151" s="225">
        <f t="shared" si="65"/>
        <v>-0.36725139505536758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7">
        <v>36.573</v>
      </c>
      <c r="C152" s="390"/>
      <c r="D152" s="393">
        <f t="shared" si="48"/>
        <v>37.444348100174317</v>
      </c>
      <c r="E152" s="385">
        <f t="shared" si="69"/>
        <v>37.726398020038488</v>
      </c>
      <c r="F152" s="385">
        <f t="shared" si="49"/>
        <v>37.728347422697652</v>
      </c>
      <c r="G152" s="110">
        <f t="shared" si="70"/>
        <v>0.59512751833417332</v>
      </c>
      <c r="H152" s="414" t="b">
        <f>Wh_hp&gt;='2020'!Maxi_hp</f>
        <v>0</v>
      </c>
      <c r="I152" s="380">
        <f>IF(H152,Wh_hp,'2020'!Maxi_hp)</f>
        <v>63.972000087795209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2.3270483915041384E-2</v>
      </c>
      <c r="M152" s="845"/>
      <c r="N152" s="845"/>
      <c r="O152" s="48">
        <f>IF(t&lt;Tnet,'2020'!Resal+('2020'!Salim-'2020'!Resal)*(1-EXP(('2020'!Tnet-t)/('2020'!Tau_j))),Resal+(Salim-Resal)*(1-EXP((Tnet-t)/(Tau_j))))*Salcycl</f>
        <v>7.4761953079740999E-3</v>
      </c>
      <c r="P152" s="169">
        <f>(INDEX(Models!$BJ152:$BT152,,T152)*(1-R152)+INDEX(Models!$BJ152:$BT152,,T152+1)*R152-ERP_i)*Q152*Ramure*Pc/MaxiM</f>
        <v>1.225349678768613E-4</v>
      </c>
      <c r="Q152" s="305">
        <f t="shared" si="51"/>
        <v>0.5</v>
      </c>
      <c r="R152" s="177">
        <f t="shared" si="52"/>
        <v>0.63685908516858958</v>
      </c>
      <c r="S152" s="811">
        <f t="shared" si="53"/>
        <v>-1</v>
      </c>
      <c r="T152" s="176">
        <f t="shared" si="54"/>
        <v>5</v>
      </c>
      <c r="U152" s="251">
        <f t="shared" si="55"/>
        <v>-0.36314091483141048</v>
      </c>
      <c r="V152" s="383">
        <f t="shared" si="56"/>
        <v>61.449701071738261</v>
      </c>
      <c r="W152" s="402"/>
      <c r="X152" s="157">
        <f t="shared" si="57"/>
        <v>44334</v>
      </c>
      <c r="Y152" s="385">
        <f t="shared" si="58"/>
        <v>34.68193544277505</v>
      </c>
      <c r="Z152" s="385">
        <f t="shared" si="59"/>
        <v>35.5082291173008</v>
      </c>
      <c r="AA152" s="386">
        <f t="shared" si="60"/>
        <v>37.726398020038488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5.8796201576400177E-2</v>
      </c>
      <c r="AD152" s="231">
        <f>(INDEX(Models!$BJ152:$BT152,,AH152)*(1-AF152)+INDEX(Models!$BJ152:$BT152,,AH152+1)*AF152-ERP_i)*AE152*Ramure*Pc/MaxiM</f>
        <v>1.225349678768613E-4</v>
      </c>
      <c r="AE152" s="305">
        <f t="shared" si="62"/>
        <v>0.5</v>
      </c>
      <c r="AF152" s="177">
        <f t="shared" si="63"/>
        <v>0.63685908516858958</v>
      </c>
      <c r="AG152" s="811">
        <f t="shared" si="71"/>
        <v>-1</v>
      </c>
      <c r="AH152" s="176">
        <f t="shared" si="64"/>
        <v>5</v>
      </c>
      <c r="AI152" s="225">
        <f t="shared" si="65"/>
        <v>-0.36314091483141048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7">
        <v>44.811</v>
      </c>
      <c r="C153" s="390"/>
      <c r="D153" s="393">
        <f t="shared" si="48"/>
        <v>45.879622515169125</v>
      </c>
      <c r="E153" s="385">
        <f t="shared" si="69"/>
        <v>46.229481618878701</v>
      </c>
      <c r="F153" s="385">
        <f t="shared" si="49"/>
        <v>46.232993570924918</v>
      </c>
      <c r="G153" s="110">
        <f t="shared" si="70"/>
        <v>0.72869334521771734</v>
      </c>
      <c r="H153" s="414" t="b">
        <f>Wh_hp&gt;='2020'!Maxi_hp</f>
        <v>0</v>
      </c>
      <c r="I153" s="380">
        <f>IF(H153,Wh_hp,'2020'!Maxi_hp)</f>
        <v>63.050548226982031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2.3291876798153921E-2</v>
      </c>
      <c r="M153" s="845"/>
      <c r="N153" s="845"/>
      <c r="O153" s="48">
        <f>IF(t&lt;Tnet,'2020'!Resal+('2020'!Salim-'2020'!Resal)*(1-EXP(('2020'!Tnet-t)/('2020'!Tau_j))),Resal+(Salim-Resal)*(1-EXP((Tnet-t)/(Tau_j))))*Salcycl</f>
        <v>7.5678785800336696E-3</v>
      </c>
      <c r="P153" s="169">
        <f>(INDEX(Models!$BJ153:$BT153,,T153)*(1-R153)+INDEX(Models!$BJ153:$BT153,,T153+1)*R153-ERP_i)*Q153*Ramure*Pc/MaxiM</f>
        <v>1.240258968741139E-4</v>
      </c>
      <c r="Q153" s="305">
        <f t="shared" si="51"/>
        <v>0.5</v>
      </c>
      <c r="R153" s="177">
        <f t="shared" si="52"/>
        <v>0.64104461093588605</v>
      </c>
      <c r="S153" s="811">
        <f t="shared" si="53"/>
        <v>-1</v>
      </c>
      <c r="T153" s="176">
        <f t="shared" si="54"/>
        <v>5</v>
      </c>
      <c r="U153" s="251">
        <f t="shared" si="55"/>
        <v>-0.35895538906411401</v>
      </c>
      <c r="V153" s="383">
        <f t="shared" si="56"/>
        <v>61.492047842232559</v>
      </c>
      <c r="W153" s="402"/>
      <c r="X153" s="157">
        <f t="shared" si="57"/>
        <v>44335</v>
      </c>
      <c r="Y153" s="385">
        <f t="shared" si="58"/>
        <v>42.494286421476779</v>
      </c>
      <c r="Z153" s="385">
        <f t="shared" si="59"/>
        <v>43.507661513218444</v>
      </c>
      <c r="AA153" s="386">
        <f t="shared" si="60"/>
        <v>46.229481618878701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5.8876284361119552E-2</v>
      </c>
      <c r="AD153" s="231">
        <f>(INDEX(Models!$BJ153:$BT153,,AH153)*(1-AF153)+INDEX(Models!$BJ153:$BT153,,AH153+1)*AF153-ERP_i)*AE153*Ramure*Pc/MaxiM</f>
        <v>1.240258968741139E-4</v>
      </c>
      <c r="AE153" s="305">
        <f t="shared" si="62"/>
        <v>0.5</v>
      </c>
      <c r="AF153" s="177">
        <f t="shared" si="63"/>
        <v>0.64104461093588605</v>
      </c>
      <c r="AG153" s="811">
        <f t="shared" si="71"/>
        <v>-1</v>
      </c>
      <c r="AH153" s="176">
        <f t="shared" si="64"/>
        <v>5</v>
      </c>
      <c r="AI153" s="225">
        <f t="shared" si="65"/>
        <v>-0.35895538906411401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7">
        <v>60.862000000000002</v>
      </c>
      <c r="C154" s="390"/>
      <c r="D154" s="393">
        <f t="shared" si="48"/>
        <v>62.314760794323526</v>
      </c>
      <c r="E154" s="385">
        <f t="shared" si="69"/>
        <v>62.795753446245477</v>
      </c>
      <c r="F154" s="385">
        <f t="shared" si="49"/>
        <v>62.803447200223168</v>
      </c>
      <c r="G154" s="110">
        <f t="shared" si="70"/>
        <v>0.98913926756968695</v>
      </c>
      <c r="H154" s="414" t="b">
        <f>Wh_hp&gt;='2020'!Maxi_hp</f>
        <v>1</v>
      </c>
      <c r="I154" s="380">
        <f>IF(H154,Wh_hp,'2020'!Maxi_hp)</f>
        <v>62.803447200223168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2.3313269212707377E-2</v>
      </c>
      <c r="M154" s="845"/>
      <c r="N154" s="845"/>
      <c r="O154" s="48">
        <f>IF(t&lt;Tnet,'2020'!Resal+('2020'!Salim-'2020'!Resal)*(1-EXP(('2020'!Tnet-t)/('2020'!Tau_j))),Resal+(Salim-Resal)*(1-EXP((Tnet-t)/(Tau_j))))*Salcycl</f>
        <v>7.6596366079705351E-3</v>
      </c>
      <c r="P154" s="169">
        <f>(INDEX(Models!$BJ154:$BT154,,T154)*(1-R154)+INDEX(Models!$BJ154:$BT154,,T154+1)*R154-ERP_i)*Q154*Ramure*Pc/MaxiM</f>
        <v>1.2443560170757517E-4</v>
      </c>
      <c r="Q154" s="305">
        <f t="shared" si="51"/>
        <v>0.5</v>
      </c>
      <c r="R154" s="177">
        <f t="shared" si="52"/>
        <v>0.64530362624354665</v>
      </c>
      <c r="S154" s="811">
        <f t="shared" si="53"/>
        <v>-1</v>
      </c>
      <c r="T154" s="176">
        <f t="shared" si="54"/>
        <v>5</v>
      </c>
      <c r="U154" s="251">
        <f t="shared" si="55"/>
        <v>-0.35469637375645335</v>
      </c>
      <c r="V154" s="383">
        <f t="shared" si="56"/>
        <v>61.530144943081929</v>
      </c>
      <c r="W154" s="402"/>
      <c r="X154" s="157">
        <f t="shared" si="57"/>
        <v>44336</v>
      </c>
      <c r="Y154" s="385">
        <f t="shared" si="58"/>
        <v>57.715862652317156</v>
      </c>
      <c r="Z154" s="385">
        <f t="shared" si="59"/>
        <v>59.093525931076442</v>
      </c>
      <c r="AA154" s="386">
        <f t="shared" si="60"/>
        <v>62.795753446245477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5.8956654104615966E-2</v>
      </c>
      <c r="AD154" s="231">
        <f>(INDEX(Models!$BJ154:$BT154,,AH154)*(1-AF154)+INDEX(Models!$BJ154:$BT154,,AH154+1)*AF154-ERP_i)*AE154*Ramure*Pc/MaxiM</f>
        <v>1.2443560170757517E-4</v>
      </c>
      <c r="AE154" s="305">
        <f t="shared" si="62"/>
        <v>0.5</v>
      </c>
      <c r="AF154" s="177">
        <f t="shared" si="63"/>
        <v>0.64530362624354665</v>
      </c>
      <c r="AG154" s="811">
        <f t="shared" si="71"/>
        <v>-1</v>
      </c>
      <c r="AH154" s="176">
        <f t="shared" si="64"/>
        <v>5</v>
      </c>
      <c r="AI154" s="225">
        <f t="shared" si="65"/>
        <v>-0.35469637375645335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7">
        <v>39.972000000000001</v>
      </c>
      <c r="C155" s="390"/>
      <c r="D155" s="393">
        <f t="shared" si="48"/>
        <v>40.927018099590413</v>
      </c>
      <c r="E155" s="385">
        <f t="shared" si="69"/>
        <v>41.24674075139751</v>
      </c>
      <c r="F155" s="385">
        <f t="shared" si="49"/>
        <v>41.249287400520053</v>
      </c>
      <c r="G155" s="110">
        <f t="shared" si="70"/>
        <v>0.64923314247650399</v>
      </c>
      <c r="H155" s="414" t="b">
        <f>Wh_hp&gt;='2020'!Maxi_hp</f>
        <v>0</v>
      </c>
      <c r="I155" s="380">
        <f>IF(H155,Wh_hp,'2020'!Maxi_hp)</f>
        <v>61.178268574854386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2.3334661158711967E-2</v>
      </c>
      <c r="M155" s="845"/>
      <c r="N155" s="845"/>
      <c r="O155" s="48">
        <f>IF(t&lt;Tnet,'2020'!Resal+('2020'!Salim-'2020'!Resal)*(1-EXP(('2020'!Tnet-t)/('2020'!Tau_j))),Resal+(Salim-Resal)*(1-EXP((Tnet-t)/(Tau_j))))*Salcycl</f>
        <v>7.7514646244203553E-3</v>
      </c>
      <c r="P155" s="169">
        <f>(INDEX(Models!$BJ155:$BT155,,T155)*(1-R155)+INDEX(Models!$BJ155:$BT155,,T155+1)*R155-ERP_i)*Q155*Ramure*Pc/MaxiM</f>
        <v>1.2373290062287653E-4</v>
      </c>
      <c r="Q155" s="305">
        <f t="shared" si="51"/>
        <v>0.5</v>
      </c>
      <c r="R155" s="177">
        <f t="shared" si="52"/>
        <v>0.6496343937644895</v>
      </c>
      <c r="S155" s="811">
        <f t="shared" si="53"/>
        <v>-1</v>
      </c>
      <c r="T155" s="176">
        <f t="shared" si="54"/>
        <v>5</v>
      </c>
      <c r="U155" s="251">
        <f t="shared" si="55"/>
        <v>-0.3503656062355105</v>
      </c>
      <c r="V155" s="383">
        <f t="shared" si="56"/>
        <v>61.564204247131137</v>
      </c>
      <c r="W155" s="402"/>
      <c r="X155" s="157">
        <f t="shared" si="57"/>
        <v>44337</v>
      </c>
      <c r="Y155" s="385">
        <f t="shared" si="58"/>
        <v>37.905989311244063</v>
      </c>
      <c r="Z155" s="385">
        <f t="shared" si="59"/>
        <v>38.811645917746588</v>
      </c>
      <c r="AA155" s="386">
        <f t="shared" si="60"/>
        <v>41.24674075139751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5.9037266685572409E-2</v>
      </c>
      <c r="AD155" s="231">
        <f>(INDEX(Models!$BJ155:$BT155,,AH155)*(1-AF155)+INDEX(Models!$BJ155:$BT155,,AH155+1)*AF155-ERP_i)*AE155*Ramure*Pc/MaxiM</f>
        <v>1.2373290062287653E-4</v>
      </c>
      <c r="AE155" s="305">
        <f t="shared" si="62"/>
        <v>0.5</v>
      </c>
      <c r="AF155" s="177">
        <f t="shared" si="63"/>
        <v>0.6496343937644895</v>
      </c>
      <c r="AG155" s="811">
        <f t="shared" si="71"/>
        <v>-1</v>
      </c>
      <c r="AH155" s="176">
        <f t="shared" si="64"/>
        <v>5</v>
      </c>
      <c r="AI155" s="225">
        <f t="shared" si="65"/>
        <v>-0.3503656062355105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7">
        <v>30.442</v>
      </c>
      <c r="C156" s="390"/>
      <c r="D156" s="393">
        <f t="shared" si="48"/>
        <v>31.170008355828852</v>
      </c>
      <c r="E156" s="385">
        <f t="shared" si="69"/>
        <v>31.416418555749601</v>
      </c>
      <c r="F156" s="385">
        <f t="shared" si="49"/>
        <v>31.417482441762949</v>
      </c>
      <c r="G156" s="110">
        <f t="shared" si="70"/>
        <v>0.49418943507296242</v>
      </c>
      <c r="H156" s="414" t="b">
        <f>Wh_hp&gt;='2020'!Maxi_hp</f>
        <v>0</v>
      </c>
      <c r="I156" s="380">
        <f>IF(H156,Wh_hp,'2020'!Maxi_hp)</f>
        <v>62.875998222350205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2.3356052636178126E-2</v>
      </c>
      <c r="M156" s="845"/>
      <c r="N156" s="845"/>
      <c r="O156" s="48">
        <f>IF(t&lt;Tnet,'2020'!Resal+('2020'!Salim-'2020'!Resal)*(1-EXP(('2020'!Tnet-t)/('2020'!Tau_j))),Resal+(Salim-Resal)*(1-EXP((Tnet-t)/(Tau_j))))*Salcycl</f>
        <v>7.8433574305576455E-3</v>
      </c>
      <c r="P156" s="169">
        <f>(INDEX(Models!$BJ156:$BT156,,T156)*(1-R156)+INDEX(Models!$BJ156:$BT156,,T156+1)*R156-ERP_i)*Q156*Ramure*Pc/MaxiM</f>
        <v>1.2203901796207573E-4</v>
      </c>
      <c r="Q156" s="305">
        <f t="shared" si="51"/>
        <v>0.5</v>
      </c>
      <c r="R156" s="177">
        <f t="shared" si="52"/>
        <v>0.65403499401004517</v>
      </c>
      <c r="S156" s="811">
        <f t="shared" si="53"/>
        <v>-1</v>
      </c>
      <c r="T156" s="176">
        <f t="shared" si="54"/>
        <v>5</v>
      </c>
      <c r="U156" s="251">
        <f t="shared" si="55"/>
        <v>-0.34596500598995489</v>
      </c>
      <c r="V156" s="383">
        <f t="shared" si="56"/>
        <v>61.594428149203594</v>
      </c>
      <c r="W156" s="402"/>
      <c r="X156" s="157">
        <f t="shared" si="57"/>
        <v>44338</v>
      </c>
      <c r="Y156" s="385">
        <f t="shared" si="58"/>
        <v>28.868755480112004</v>
      </c>
      <c r="Z156" s="385">
        <f t="shared" si="59"/>
        <v>29.559140317241674</v>
      </c>
      <c r="AA156" s="386">
        <f t="shared" si="60"/>
        <v>31.416418555749601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5.9118076594635305E-2</v>
      </c>
      <c r="AD156" s="231">
        <f>(INDEX(Models!$BJ156:$BT156,,AH156)*(1-AF156)+INDEX(Models!$BJ156:$BT156,,AH156+1)*AF156-ERP_i)*AE156*Ramure*Pc/MaxiM</f>
        <v>1.2203901796207573E-4</v>
      </c>
      <c r="AE156" s="305">
        <f t="shared" si="62"/>
        <v>0.5</v>
      </c>
      <c r="AF156" s="177">
        <f t="shared" si="63"/>
        <v>0.65403499401004517</v>
      </c>
      <c r="AG156" s="811">
        <f t="shared" si="71"/>
        <v>-1</v>
      </c>
      <c r="AH156" s="176">
        <f t="shared" si="64"/>
        <v>5</v>
      </c>
      <c r="AI156" s="225">
        <f t="shared" si="65"/>
        <v>-0.34596500598995489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7">
        <v>39.006999999999998</v>
      </c>
      <c r="C157" s="390"/>
      <c r="D157" s="393">
        <f t="shared" si="48"/>
        <v>39.940711737796157</v>
      </c>
      <c r="E157" s="385">
        <f t="shared" si="69"/>
        <v>40.26018879252446</v>
      </c>
      <c r="F157" s="385">
        <f t="shared" si="49"/>
        <v>40.262482676266991</v>
      </c>
      <c r="G157" s="110">
        <f t="shared" si="70"/>
        <v>0.6329749575555208</v>
      </c>
      <c r="H157" s="414" t="b">
        <f>Wh_hp&gt;='2020'!Maxi_hp</f>
        <v>0</v>
      </c>
      <c r="I157" s="380">
        <f>IF(H157,Wh_hp,'2020'!Maxi_hp)</f>
        <v>58.76828057791041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2.3377443645116069E-2</v>
      </c>
      <c r="M157" s="845"/>
      <c r="N157" s="845"/>
      <c r="O157" s="48">
        <f>IF(t&lt;Tnet,'2020'!Resal+('2020'!Salim-'2020'!Resal)*(1-EXP(('2020'!Tnet-t)/('2020'!Tau_j))),Resal+(Salim-Resal)*(1-EXP((Tnet-t)/(Tau_j))))*Salcycl</f>
        <v>7.9353094039048989E-3</v>
      </c>
      <c r="P157" s="169">
        <f>(INDEX(Models!$BJ157:$BT157,,T157)*(1-R157)+INDEX(Models!$BJ157:$BT157,,T157+1)*R157-ERP_i)*Q157*Ramure*Pc/MaxiM</f>
        <v>1.1975826155914202E-4</v>
      </c>
      <c r="Q157" s="305">
        <f t="shared" si="51"/>
        <v>0.5</v>
      </c>
      <c r="R157" s="177">
        <f t="shared" si="52"/>
        <v>0.65850332534181744</v>
      </c>
      <c r="S157" s="811">
        <f t="shared" si="53"/>
        <v>-1</v>
      </c>
      <c r="T157" s="176">
        <f t="shared" si="54"/>
        <v>5</v>
      </c>
      <c r="U157" s="251">
        <f t="shared" si="55"/>
        <v>-0.34149667465818256</v>
      </c>
      <c r="V157" s="383">
        <f t="shared" si="56"/>
        <v>61.621001493363245</v>
      </c>
      <c r="W157" s="402"/>
      <c r="X157" s="157">
        <f t="shared" si="57"/>
        <v>44339</v>
      </c>
      <c r="Y157" s="385">
        <f t="shared" si="58"/>
        <v>36.991361056919118</v>
      </c>
      <c r="Z157" s="385">
        <f t="shared" si="59"/>
        <v>37.876824384421901</v>
      </c>
      <c r="AA157" s="386">
        <f t="shared" si="60"/>
        <v>40.26018879252446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5.9199037053326097E-2</v>
      </c>
      <c r="AD157" s="231">
        <f>(INDEX(Models!$BJ157:$BT157,,AH157)*(1-AF157)+INDEX(Models!$BJ157:$BT157,,AH157+1)*AF157-ERP_i)*AE157*Ramure*Pc/MaxiM</f>
        <v>1.1975826155914202E-4</v>
      </c>
      <c r="AE157" s="305">
        <f t="shared" si="62"/>
        <v>0.5</v>
      </c>
      <c r="AF157" s="177">
        <f t="shared" si="63"/>
        <v>0.65850332534181744</v>
      </c>
      <c r="AG157" s="811">
        <f t="shared" si="71"/>
        <v>-1</v>
      </c>
      <c r="AH157" s="176">
        <f t="shared" si="64"/>
        <v>5</v>
      </c>
      <c r="AI157" s="225">
        <f t="shared" si="65"/>
        <v>-0.34149667465818256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7">
        <v>29.599</v>
      </c>
      <c r="C158" s="390"/>
      <c r="D158" s="393">
        <f t="shared" si="48"/>
        <v>30.308175984323221</v>
      </c>
      <c r="E158" s="385">
        <f t="shared" si="69"/>
        <v>30.553438040794649</v>
      </c>
      <c r="F158" s="385">
        <f t="shared" si="49"/>
        <v>30.554357090064354</v>
      </c>
      <c r="G158" s="110">
        <f t="shared" si="70"/>
        <v>0.48011754736454892</v>
      </c>
      <c r="H158" s="414" t="b">
        <f>Wh_hp&gt;='2020'!Maxi_hp</f>
        <v>1</v>
      </c>
      <c r="I158" s="380">
        <f>IF(H158,Wh_hp,'2020'!Maxi_hp)</f>
        <v>30.554357090064354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2.3398834185535899E-2</v>
      </c>
      <c r="M158" s="845"/>
      <c r="N158" s="845"/>
      <c r="O158" s="48">
        <f>IF(t&lt;Tnet,'2020'!Resal+('2020'!Salim-'2020'!Resal)*(1-EXP(('2020'!Tnet-t)/('2020'!Tau_j))),Resal+(Salim-Resal)*(1-EXP((Tnet-t)/(Tau_j))))*Salcycl</f>
        <v>8.027314508565515E-3</v>
      </c>
      <c r="P158" s="169">
        <f>(INDEX(Models!$BJ158:$BT158,,T158)*(1-R158)+INDEX(Models!$BJ158:$BT158,,T158+1)*R158-ERP_i)*Q158*Ramure*Pc/MaxiM</f>
        <v>1.1687111441917331E-4</v>
      </c>
      <c r="Q158" s="305">
        <f t="shared" si="51"/>
        <v>0.5</v>
      </c>
      <c r="R158" s="177">
        <f t="shared" si="52"/>
        <v>0.663037104872647</v>
      </c>
      <c r="S158" s="811">
        <f t="shared" si="53"/>
        <v>-1</v>
      </c>
      <c r="T158" s="176">
        <f t="shared" si="54"/>
        <v>5</v>
      </c>
      <c r="U158" s="251">
        <f t="shared" si="55"/>
        <v>-0.336962895127353</v>
      </c>
      <c r="V158" s="383">
        <f t="shared" si="56"/>
        <v>61.644135129001121</v>
      </c>
      <c r="W158" s="402"/>
      <c r="X158" s="157">
        <f t="shared" si="57"/>
        <v>44340</v>
      </c>
      <c r="Y158" s="385">
        <f t="shared" si="58"/>
        <v>28.069692566248513</v>
      </c>
      <c r="Z158" s="385">
        <f t="shared" si="59"/>
        <v>28.742227174016325</v>
      </c>
      <c r="AA158" s="386">
        <f t="shared" si="60"/>
        <v>30.553438040794649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5.9280100143231491E-2</v>
      </c>
      <c r="AD158" s="231">
        <f>(INDEX(Models!$BJ158:$BT158,,AH158)*(1-AF158)+INDEX(Models!$BJ158:$BT158,,AH158+1)*AF158-ERP_i)*AE158*Ramure*Pc/MaxiM</f>
        <v>1.1687111441917331E-4</v>
      </c>
      <c r="AE158" s="305">
        <f t="shared" si="62"/>
        <v>0.5</v>
      </c>
      <c r="AF158" s="177">
        <f t="shared" si="63"/>
        <v>0.663037104872647</v>
      </c>
      <c r="AG158" s="811">
        <f t="shared" si="71"/>
        <v>-1</v>
      </c>
      <c r="AH158" s="176">
        <f t="shared" si="64"/>
        <v>5</v>
      </c>
      <c r="AI158" s="225">
        <f t="shared" si="65"/>
        <v>-0.336962895127353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7">
        <v>50.2</v>
      </c>
      <c r="C159" s="390"/>
      <c r="D159" s="393">
        <f t="shared" si="48"/>
        <v>51.403890646649877</v>
      </c>
      <c r="E159" s="385">
        <f t="shared" si="69"/>
        <v>51.824674159942496</v>
      </c>
      <c r="F159" s="385">
        <f t="shared" si="49"/>
        <v>51.828989019491935</v>
      </c>
      <c r="G159" s="110">
        <f t="shared" si="70"/>
        <v>0.8140642209583826</v>
      </c>
      <c r="H159" s="414" t="b">
        <f>Wh_hp&gt;='2020'!Maxi_hp</f>
        <v>0</v>
      </c>
      <c r="I159" s="380">
        <f>IF(H159,Wh_hp,'2020'!Maxi_hp)</f>
        <v>59.691953884707942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2.3420224257448052E-2</v>
      </c>
      <c r="M159" s="845"/>
      <c r="N159" s="845"/>
      <c r="O159" s="48">
        <f>IF(t&lt;Tnet,'2020'!Resal+('2020'!Salim-'2020'!Resal)*(1-EXP(('2020'!Tnet-t)/('2020'!Tau_j))),Resal+(Salim-Resal)*(1-EXP((Tnet-t)/(Tau_j))))*Salcycl</f>
        <v>8.119366307909456E-3</v>
      </c>
      <c r="P159" s="169">
        <f>(INDEX(Models!$BJ159:$BT159,,T159)*(1-R159)+INDEX(Models!$BJ159:$BT159,,T159+1)*R159-ERP_i)*Q159*Ramure*Pc/MaxiM</f>
        <v>1.1335844530220659E-4</v>
      </c>
      <c r="Q159" s="305">
        <f t="shared" si="51"/>
        <v>0.5</v>
      </c>
      <c r="R159" s="177">
        <f t="shared" si="52"/>
        <v>0.66763387029036403</v>
      </c>
      <c r="S159" s="811">
        <f t="shared" si="53"/>
        <v>-1</v>
      </c>
      <c r="T159" s="176">
        <f t="shared" si="54"/>
        <v>5</v>
      </c>
      <c r="U159" s="251">
        <f t="shared" si="55"/>
        <v>-0.33236612970963597</v>
      </c>
      <c r="V159" s="383">
        <f t="shared" si="56"/>
        <v>61.664039803032267</v>
      </c>
      <c r="W159" s="402"/>
      <c r="X159" s="157">
        <f t="shared" si="57"/>
        <v>44341</v>
      </c>
      <c r="Y159" s="385">
        <f t="shared" si="58"/>
        <v>47.606602352534949</v>
      </c>
      <c r="Z159" s="385">
        <f t="shared" si="59"/>
        <v>48.748298434028911</v>
      </c>
      <c r="AA159" s="386">
        <f t="shared" si="60"/>
        <v>51.824674159942496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5.9361216945025212E-2</v>
      </c>
      <c r="AD159" s="231">
        <f>(INDEX(Models!$BJ159:$BT159,,AH159)*(1-AF159)+INDEX(Models!$BJ159:$BT159,,AH159+1)*AF159-ERP_i)*AE159*Ramure*Pc/MaxiM</f>
        <v>1.1335844530220659E-4</v>
      </c>
      <c r="AE159" s="305">
        <f t="shared" si="62"/>
        <v>0.5</v>
      </c>
      <c r="AF159" s="177">
        <f t="shared" si="63"/>
        <v>0.66763387029036403</v>
      </c>
      <c r="AG159" s="811">
        <f t="shared" si="71"/>
        <v>-1</v>
      </c>
      <c r="AH159" s="176">
        <f t="shared" si="64"/>
        <v>5</v>
      </c>
      <c r="AI159" s="225">
        <f t="shared" si="65"/>
        <v>-0.33236612970963597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7">
        <v>54.006</v>
      </c>
      <c r="C160" s="390"/>
      <c r="D160" s="393">
        <f t="shared" si="48"/>
        <v>55.302376966435041</v>
      </c>
      <c r="E160" s="385">
        <f t="shared" si="69"/>
        <v>55.760249915555399</v>
      </c>
      <c r="F160" s="385">
        <f t="shared" si="49"/>
        <v>55.765257060350365</v>
      </c>
      <c r="G160" s="110">
        <f t="shared" si="70"/>
        <v>0.87555351242356394</v>
      </c>
      <c r="H160" s="414" t="b">
        <f>Wh_hp&gt;='2020'!Maxi_hp</f>
        <v>0</v>
      </c>
      <c r="I160" s="380">
        <f>IF(H160,Wh_hp,'2020'!Maxi_hp)</f>
        <v>61.991403277896538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2.3441613860862742E-2</v>
      </c>
      <c r="M160" s="845"/>
      <c r="N160" s="845"/>
      <c r="O160" s="48">
        <f>IF(t&lt;Tnet,'2020'!Resal+('2020'!Salim-'2020'!Resal)*(1-EXP(('2020'!Tnet-t)/('2020'!Tau_j))),Resal+(Salim-Resal)*(1-EXP((Tnet-t)/(Tau_j))))*Salcycl</f>
        <v>8.2114579797215488E-3</v>
      </c>
      <c r="P160" s="169">
        <f>(INDEX(Models!$BJ160:$BT160,,T160)*(1-R160)+INDEX(Models!$BJ160:$BT160,,T160+1)*R160-ERP_i)*Q160*Ramure*Pc/MaxiM</f>
        <v>1.0920083212754395E-4</v>
      </c>
      <c r="Q160" s="305">
        <f t="shared" si="51"/>
        <v>0.5</v>
      </c>
      <c r="R160" s="177">
        <f t="shared" si="52"/>
        <v>0.67229098263119635</v>
      </c>
      <c r="S160" s="811">
        <f t="shared" si="53"/>
        <v>-1</v>
      </c>
      <c r="T160" s="176">
        <f t="shared" si="54"/>
        <v>5</v>
      </c>
      <c r="U160" s="251">
        <f t="shared" si="55"/>
        <v>-0.32770901736880365</v>
      </c>
      <c r="V160" s="383">
        <f t="shared" si="56"/>
        <v>61.680926203922965</v>
      </c>
      <c r="W160" s="402"/>
      <c r="X160" s="157">
        <f t="shared" si="57"/>
        <v>44342</v>
      </c>
      <c r="Y160" s="385">
        <f t="shared" si="58"/>
        <v>51.216317751984477</v>
      </c>
      <c r="Z160" s="385">
        <f t="shared" si="59"/>
        <v>52.445730310575939</v>
      </c>
      <c r="AA160" s="386">
        <f t="shared" si="60"/>
        <v>55.760249915555399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5.9442337686775877E-2</v>
      </c>
      <c r="AD160" s="231">
        <f>(INDEX(Models!$BJ160:$BT160,,AH160)*(1-AF160)+INDEX(Models!$BJ160:$BT160,,AH160+1)*AF160-ERP_i)*AE160*Ramure*Pc/MaxiM</f>
        <v>1.0920083212754395E-4</v>
      </c>
      <c r="AE160" s="305">
        <f t="shared" si="62"/>
        <v>0.5</v>
      </c>
      <c r="AF160" s="177">
        <f t="shared" si="63"/>
        <v>0.67229098263119635</v>
      </c>
      <c r="AG160" s="811">
        <f t="shared" si="71"/>
        <v>-1</v>
      </c>
      <c r="AH160" s="176">
        <f t="shared" si="64"/>
        <v>5</v>
      </c>
      <c r="AI160" s="225">
        <f t="shared" si="65"/>
        <v>-0.32770901736880365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7">
        <v>60.13</v>
      </c>
      <c r="C161" s="390"/>
      <c r="D161" s="393">
        <f t="shared" si="48"/>
        <v>61.574728028190407</v>
      </c>
      <c r="E161" s="385">
        <f t="shared" si="69"/>
        <v>62.090299945921828</v>
      </c>
      <c r="F161" s="385">
        <f t="shared" si="49"/>
        <v>62.096546618278133</v>
      </c>
      <c r="G161" s="110">
        <f t="shared" si="70"/>
        <v>0.9746295114056136</v>
      </c>
      <c r="H161" s="414" t="b">
        <f>Wh_hp&gt;='2020'!Maxi_hp</f>
        <v>1</v>
      </c>
      <c r="I161" s="380">
        <f>IF(H161,Wh_hp,'2020'!Maxi_hp)</f>
        <v>62.096546618278133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2.3463002995790294E-2</v>
      </c>
      <c r="M161" s="845"/>
      <c r="N161" s="845"/>
      <c r="O161" s="48">
        <f>IF(t&lt;Tnet,'2020'!Resal+('2020'!Salim-'2020'!Resal)*(1-EXP(('2020'!Tnet-t)/('2020'!Tau_j))),Resal+(Salim-Resal)*(1-EXP((Tnet-t)/(Tau_j))))*Salcycl</f>
        <v>8.303582333801884E-3</v>
      </c>
      <c r="P161" s="169">
        <f>(INDEX(Models!$BJ161:$BT161,,T161)*(1-R161)+INDEX(Models!$BJ161:$BT161,,T161+1)*R161-ERP_i)*Q161*Ramure*Pc/MaxiM</f>
        <v>1.0437863431227319E-4</v>
      </c>
      <c r="Q161" s="305">
        <f t="shared" si="51"/>
        <v>0.5</v>
      </c>
      <c r="R161" s="177">
        <f t="shared" si="52"/>
        <v>0.67700563002217229</v>
      </c>
      <c r="S161" s="811">
        <f t="shared" si="53"/>
        <v>-1</v>
      </c>
      <c r="T161" s="176">
        <f t="shared" si="54"/>
        <v>5</v>
      </c>
      <c r="U161" s="251">
        <f t="shared" si="55"/>
        <v>-0.32299436997782777</v>
      </c>
      <c r="V161" s="383">
        <f t="shared" si="56"/>
        <v>61.695004954746246</v>
      </c>
      <c r="W161" s="402"/>
      <c r="X161" s="157">
        <f t="shared" si="57"/>
        <v>44343</v>
      </c>
      <c r="Y161" s="385">
        <f t="shared" si="58"/>
        <v>57.02436374176132</v>
      </c>
      <c r="Z161" s="385">
        <f t="shared" si="59"/>
        <v>58.394473447190343</v>
      </c>
      <c r="AA161" s="386">
        <f t="shared" si="60"/>
        <v>62.090299945921828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5.9523411900899152E-2</v>
      </c>
      <c r="AD161" s="231">
        <f>(INDEX(Models!$BJ161:$BT161,,AH161)*(1-AF161)+INDEX(Models!$BJ161:$BT161,,AH161+1)*AF161-ERP_i)*AE161*Ramure*Pc/MaxiM</f>
        <v>1.0437863431227319E-4</v>
      </c>
      <c r="AE161" s="305">
        <f t="shared" si="62"/>
        <v>0.5</v>
      </c>
      <c r="AF161" s="177">
        <f t="shared" si="63"/>
        <v>0.67700563002217229</v>
      </c>
      <c r="AG161" s="811">
        <f t="shared" si="71"/>
        <v>-1</v>
      </c>
      <c r="AH161" s="176">
        <f t="shared" si="64"/>
        <v>5</v>
      </c>
      <c r="AI161" s="225">
        <f t="shared" si="65"/>
        <v>-0.32299436997782777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7">
        <v>54.009</v>
      </c>
      <c r="C162" s="390"/>
      <c r="D162" s="393">
        <f t="shared" si="48"/>
        <v>55.307871721512981</v>
      </c>
      <c r="E162" s="385">
        <f t="shared" si="69"/>
        <v>55.776153347639564</v>
      </c>
      <c r="F162" s="385">
        <f t="shared" si="49"/>
        <v>55.780685671357716</v>
      </c>
      <c r="G162" s="110">
        <f t="shared" si="70"/>
        <v>0.87524102051660746</v>
      </c>
      <c r="H162" s="414" t="b">
        <f>Wh_hp&gt;='2020'!Maxi_hp</f>
        <v>0</v>
      </c>
      <c r="I162" s="380">
        <f>IF(H162,Wh_hp,'2020'!Maxi_hp)</f>
        <v>61.293375317013549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2.3484391662240811E-2</v>
      </c>
      <c r="M162" s="845"/>
      <c r="N162" s="845"/>
      <c r="O162" s="48">
        <f>IF(t&lt;Tnet,'2020'!Resal+('2020'!Salim-'2020'!Resal)*(1-EXP(('2020'!Tnet-t)/('2020'!Tau_j))),Resal+(Salim-Resal)*(1-EXP((Tnet-t)/(Tau_j))))*Salcycl</f>
        <v>8.3957318319872309E-3</v>
      </c>
      <c r="P162" s="169">
        <f>(INDEX(Models!$BJ162:$BT162,,T162)*(1-R162)+INDEX(Models!$BJ162:$BT162,,T162+1)*R162-ERP_i)*Q162*Ramure*Pc/MaxiM</f>
        <v>9.8872068756907636E-5</v>
      </c>
      <c r="Q162" s="305">
        <f t="shared" si="51"/>
        <v>0.5</v>
      </c>
      <c r="R162" s="177">
        <f t="shared" si="52"/>
        <v>0.68177483240371461</v>
      </c>
      <c r="S162" s="811">
        <f t="shared" si="53"/>
        <v>-1</v>
      </c>
      <c r="T162" s="176">
        <f t="shared" si="54"/>
        <v>5</v>
      </c>
      <c r="U162" s="251">
        <f t="shared" si="55"/>
        <v>-0.31822516759628539</v>
      </c>
      <c r="V162" s="383">
        <f t="shared" si="56"/>
        <v>61.706486607481558</v>
      </c>
      <c r="W162" s="402"/>
      <c r="X162" s="157">
        <f t="shared" si="57"/>
        <v>44344</v>
      </c>
      <c r="Y162" s="385">
        <f t="shared" si="58"/>
        <v>51.219854741579269</v>
      </c>
      <c r="Z162" s="385">
        <f t="shared" si="59"/>
        <v>52.451649829506096</v>
      </c>
      <c r="AA162" s="386">
        <f t="shared" si="60"/>
        <v>55.776153347639564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5.9604388589019841E-2</v>
      </c>
      <c r="AD162" s="231">
        <f>(INDEX(Models!$BJ162:$BT162,,AH162)*(1-AF162)+INDEX(Models!$BJ162:$BT162,,AH162+1)*AF162-ERP_i)*AE162*Ramure*Pc/MaxiM</f>
        <v>9.8872068756907636E-5</v>
      </c>
      <c r="AE162" s="305">
        <f t="shared" si="62"/>
        <v>0.5</v>
      </c>
      <c r="AF162" s="177">
        <f t="shared" si="63"/>
        <v>0.68177483240371461</v>
      </c>
      <c r="AG162" s="811">
        <f t="shared" si="71"/>
        <v>-1</v>
      </c>
      <c r="AH162" s="176">
        <f t="shared" si="64"/>
        <v>5</v>
      </c>
      <c r="AI162" s="225">
        <f t="shared" si="65"/>
        <v>-0.31822516759628539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7">
        <v>36.794000000000004</v>
      </c>
      <c r="C163" s="390"/>
      <c r="D163" s="393">
        <f t="shared" si="48"/>
        <v>37.679690510337387</v>
      </c>
      <c r="E163" s="385">
        <f t="shared" si="69"/>
        <v>38.002249753215139</v>
      </c>
      <c r="F163" s="385">
        <f t="shared" si="49"/>
        <v>38.003739794213942</v>
      </c>
      <c r="G163" s="110">
        <f t="shared" si="70"/>
        <v>0.59615753006728878</v>
      </c>
      <c r="H163" s="414" t="b">
        <f>Wh_hp&gt;='2020'!Maxi_hp</f>
        <v>0</v>
      </c>
      <c r="I163" s="380">
        <f>IF(H163,Wh_hp,'2020'!Maxi_hp)</f>
        <v>61.369433048161632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2.3505779860224618E-2</v>
      </c>
      <c r="M163" s="845"/>
      <c r="N163" s="845"/>
      <c r="O163" s="48">
        <f>IF(t&lt;Tnet,'2020'!Resal+('2020'!Salim-'2020'!Resal)*(1-EXP(('2020'!Tnet-t)/('2020'!Tau_j))),Resal+(Salim-Resal)*(1-EXP((Tnet-t)/(Tau_j))))*Salcycl</f>
        <v>8.4878986105410871E-3</v>
      </c>
      <c r="P163" s="169">
        <f>(INDEX(Models!$BJ163:$BT163,,T163)*(1-R163)+INDEX(Models!$BJ163:$BT163,,T163+1)*R163-ERP_i)*Q163*Ramure*Pc/MaxiM</f>
        <v>9.2661731317640397E-5</v>
      </c>
      <c r="Q163" s="305">
        <f t="shared" si="51"/>
        <v>0.5</v>
      </c>
      <c r="R163" s="177">
        <f t="shared" si="52"/>
        <v>0.6865954472349366</v>
      </c>
      <c r="S163" s="811">
        <f t="shared" si="53"/>
        <v>-1</v>
      </c>
      <c r="T163" s="176">
        <f t="shared" si="54"/>
        <v>5</v>
      </c>
      <c r="U163" s="251">
        <f t="shared" si="55"/>
        <v>-0.3134045527650634</v>
      </c>
      <c r="V163" s="383">
        <f t="shared" si="56"/>
        <v>61.715287120195264</v>
      </c>
      <c r="W163" s="402"/>
      <c r="X163" s="157">
        <f t="shared" si="57"/>
        <v>44345</v>
      </c>
      <c r="Y163" s="385">
        <f t="shared" si="58"/>
        <v>34.894119899815792</v>
      </c>
      <c r="Z163" s="385">
        <f t="shared" si="59"/>
        <v>35.734077253238681</v>
      </c>
      <c r="AA163" s="386">
        <f t="shared" si="60"/>
        <v>38.002249753215139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5.9685216393920465E-2</v>
      </c>
      <c r="AD163" s="231">
        <f>(INDEX(Models!$BJ163:$BT163,,AH163)*(1-AF163)+INDEX(Models!$BJ163:$BT163,,AH163+1)*AF163-ERP_i)*AE163*Ramure*Pc/MaxiM</f>
        <v>9.2661731317640397E-5</v>
      </c>
      <c r="AE163" s="305">
        <f t="shared" si="62"/>
        <v>0.5</v>
      </c>
      <c r="AF163" s="177">
        <f t="shared" si="63"/>
        <v>0.6865954472349366</v>
      </c>
      <c r="AG163" s="811">
        <f t="shared" si="71"/>
        <v>-1</v>
      </c>
      <c r="AH163" s="176">
        <f t="shared" si="64"/>
        <v>5</v>
      </c>
      <c r="AI163" s="225">
        <f t="shared" si="65"/>
        <v>-0.3134045527650634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7">
        <v>54.913000000000004</v>
      </c>
      <c r="C164" s="390"/>
      <c r="D164" s="393">
        <f t="shared" si="48"/>
        <v>56.236075574634391</v>
      </c>
      <c r="E164" s="385">
        <f t="shared" si="69"/>
        <v>56.722761090914602</v>
      </c>
      <c r="F164" s="385">
        <f t="shared" si="49"/>
        <v>56.726877012035118</v>
      </c>
      <c r="G164" s="110">
        <f t="shared" si="70"/>
        <v>0.88968381378900729</v>
      </c>
      <c r="H164" s="414" t="b">
        <f>Wh_hp&gt;='2020'!Maxi_hp</f>
        <v>0</v>
      </c>
      <c r="I164" s="380">
        <f>IF(H164,Wh_hp,'2020'!Maxi_hp)</f>
        <v>57.223999787813696</v>
      </c>
      <c r="J164" s="85">
        <f>IF(H164,An,'2020'!An_max)</f>
        <v>2019</v>
      </c>
      <c r="K164" s="197">
        <f t="shared" si="50"/>
        <v>44346</v>
      </c>
      <c r="L164" s="147">
        <f>IF(t&lt;Tvie,1-EXP((T0-t)*PertePVj)+'2020'!Pspv,1-EXP((T0-t)*PertePVj)+Pspv)</f>
        <v>2.352716758975204E-2</v>
      </c>
      <c r="M164" s="845"/>
      <c r="N164" s="845"/>
      <c r="O164" s="48">
        <f>IF(t&lt;Tnet,'2020'!Resal+('2020'!Salim-'2020'!Resal)*(1-EXP(('2020'!Tnet-t)/('2020'!Tau_j))),Resal+(Salim-Resal)*(1-EXP((Tnet-t)/(Tau_j))))*Salcycl</f>
        <v>8.5800745048386483E-3</v>
      </c>
      <c r="P164" s="169">
        <f>(INDEX(Models!$BJ164:$BT164,,T164)*(1-R164)+INDEX(Models!$BJ164:$BT164,,T164+1)*R164-ERP_i)*Q164*Ramure*Pc/MaxiM</f>
        <v>8.6128742727634399E-5</v>
      </c>
      <c r="Q164" s="305">
        <f t="shared" si="51"/>
        <v>0.5</v>
      </c>
      <c r="R164" s="177">
        <f t="shared" si="52"/>
        <v>0.6914641761750242</v>
      </c>
      <c r="S164" s="811">
        <f t="shared" si="53"/>
        <v>-1</v>
      </c>
      <c r="T164" s="176">
        <f t="shared" si="54"/>
        <v>5</v>
      </c>
      <c r="U164" s="251">
        <f t="shared" si="55"/>
        <v>-0.30853582382497585</v>
      </c>
      <c r="V164" s="383">
        <f t="shared" si="56"/>
        <v>61.721089918905825</v>
      </c>
      <c r="W164" s="402"/>
      <c r="X164" s="157">
        <f t="shared" si="57"/>
        <v>44346</v>
      </c>
      <c r="Y164" s="385">
        <f t="shared" si="58"/>
        <v>52.077910573413035</v>
      </c>
      <c r="Z164" s="385">
        <f t="shared" si="59"/>
        <v>53.332677412916915</v>
      </c>
      <c r="AA164" s="386">
        <f t="shared" si="60"/>
        <v>56.722761090914602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5.9765843777669823E-2</v>
      </c>
      <c r="AD164" s="231">
        <f>(INDEX(Models!$BJ164:$BT164,,AH164)*(1-AF164)+INDEX(Models!$BJ164:$BT164,,AH164+1)*AF164-ERP_i)*AE164*Ramure*Pc/MaxiM</f>
        <v>8.6128742727634399E-5</v>
      </c>
      <c r="AE164" s="305">
        <f t="shared" si="62"/>
        <v>0.5</v>
      </c>
      <c r="AF164" s="177">
        <f t="shared" si="63"/>
        <v>0.6914641761750242</v>
      </c>
      <c r="AG164" s="811">
        <f t="shared" si="71"/>
        <v>-1</v>
      </c>
      <c r="AH164" s="176">
        <f t="shared" si="64"/>
        <v>5</v>
      </c>
      <c r="AI164" s="225">
        <f t="shared" si="65"/>
        <v>-0.30853582382497585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7">
        <v>59.878</v>
      </c>
      <c r="C165" s="390"/>
      <c r="D165" s="393">
        <f t="shared" si="48"/>
        <v>61.322045553276631</v>
      </c>
      <c r="E165" s="385">
        <f t="shared" si="69"/>
        <v>61.858497978949863</v>
      </c>
      <c r="F165" s="385">
        <f t="shared" si="49"/>
        <v>61.863237524738935</v>
      </c>
      <c r="G165" s="110">
        <f t="shared" si="70"/>
        <v>0.97009334979556072</v>
      </c>
      <c r="H165" s="414" t="b">
        <f>Wh_hp&gt;='2020'!Maxi_hp</f>
        <v>0</v>
      </c>
      <c r="I165" s="380">
        <f>IF(H165,Wh_hp,'2020'!Maxi_hp)</f>
        <v>63.126585406149495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2.3548554850833292E-2</v>
      </c>
      <c r="M165" s="845"/>
      <c r="N165" s="845"/>
      <c r="O165" s="48">
        <f>IF(t&lt;Tnet,'2020'!Resal+('2020'!Salim-'2020'!Resal)*(1-EXP(('2020'!Tnet-t)/('2020'!Tau_j))),Resal+(Salim-Resal)*(1-EXP((Tnet-t)/(Tau_j))))*Salcycl</f>
        <v>8.6722510762512837E-3</v>
      </c>
      <c r="P165" s="169">
        <f>(INDEX(Models!$BJ165:$BT165,,T165)*(1-R165)+INDEX(Models!$BJ165:$BT165,,T165+1)*R165-ERP_i)*Q165*Ramure*Pc/MaxiM</f>
        <v>8.0032182672905647E-5</v>
      </c>
      <c r="Q165" s="305">
        <f t="shared" si="51"/>
        <v>0.5</v>
      </c>
      <c r="R165" s="177">
        <f t="shared" si="52"/>
        <v>0.69637757272465084</v>
      </c>
      <c r="S165" s="811">
        <f t="shared" si="53"/>
        <v>-1</v>
      </c>
      <c r="T165" s="176">
        <f t="shared" si="54"/>
        <v>5</v>
      </c>
      <c r="U165" s="251">
        <f t="shared" si="55"/>
        <v>-0.30362242727534916</v>
      </c>
      <c r="V165" s="383">
        <f t="shared" si="56"/>
        <v>61.723745740677536</v>
      </c>
      <c r="W165" s="402"/>
      <c r="X165" s="157">
        <f t="shared" si="57"/>
        <v>44347</v>
      </c>
      <c r="Y165" s="385">
        <f t="shared" si="58"/>
        <v>56.786999201387445</v>
      </c>
      <c r="Z165" s="385">
        <f t="shared" si="59"/>
        <v>58.15650074921281</v>
      </c>
      <c r="AA165" s="386">
        <f t="shared" si="60"/>
        <v>61.858497978949863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5.9846219204947759E-2</v>
      </c>
      <c r="AD165" s="231">
        <f>(INDEX(Models!$BJ165:$BT165,,AH165)*(1-AF165)+INDEX(Models!$BJ165:$BT165,,AH165+1)*AF165-ERP_i)*AE165*Ramure*Pc/MaxiM</f>
        <v>8.0032182672905647E-5</v>
      </c>
      <c r="AE165" s="305">
        <f t="shared" si="62"/>
        <v>0.5</v>
      </c>
      <c r="AF165" s="177">
        <f t="shared" si="63"/>
        <v>0.69637757272465084</v>
      </c>
      <c r="AG165" s="811">
        <f t="shared" si="71"/>
        <v>-1</v>
      </c>
      <c r="AH165" s="176">
        <f t="shared" si="64"/>
        <v>5</v>
      </c>
      <c r="AI165" s="225">
        <f t="shared" si="65"/>
        <v>-0.30362242727534916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7">
        <v>38.319000000000003</v>
      </c>
      <c r="C166" s="390"/>
      <c r="D166" s="393">
        <f t="shared" si="48"/>
        <v>39.243978277867278</v>
      </c>
      <c r="E166" s="385">
        <f t="shared" si="69"/>
        <v>39.590970154298368</v>
      </c>
      <c r="F166" s="385">
        <f t="shared" si="49"/>
        <v>39.59231993440973</v>
      </c>
      <c r="G166" s="110">
        <f t="shared" si="70"/>
        <v>0.62079552107577585</v>
      </c>
      <c r="H166" s="414" t="b">
        <f>Wh_hp&gt;='2020'!Maxi_hp</f>
        <v>0</v>
      </c>
      <c r="I166" s="380">
        <f>IF(H166,Wh_hp,'2020'!Maxi_hp)</f>
        <v>64.729267905613341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2.3569941643478587E-2</v>
      </c>
      <c r="M166" s="845"/>
      <c r="N166" s="845"/>
      <c r="O166" s="48">
        <f>IF(t&lt;Tnet,'2020'!Resal+('2020'!Salim-'2020'!Resal)*(1-EXP(('2020'!Tnet-t)/('2020'!Tau_j))),Resal+(Salim-Resal)*(1-EXP((Tnet-t)/(Tau_j))))*Salcycl</f>
        <v>8.7644196411140185E-3</v>
      </c>
      <c r="P166" s="169">
        <f>(INDEX(Models!$BJ166:$BT166,,T166)*(1-R166)+INDEX(Models!$BJ166:$BT166,,T166+1)*R166-ERP_i)*Q166*Ramure*Pc/MaxiM</f>
        <v>7.4385442880427698E-5</v>
      </c>
      <c r="Q166" s="305">
        <f t="shared" si="51"/>
        <v>0.5</v>
      </c>
      <c r="R166" s="177">
        <f t="shared" si="52"/>
        <v>0.70133205080173311</v>
      </c>
      <c r="S166" s="811">
        <f t="shared" si="53"/>
        <v>-1</v>
      </c>
      <c r="T166" s="176">
        <f t="shared" si="54"/>
        <v>5</v>
      </c>
      <c r="U166" s="251">
        <f t="shared" si="55"/>
        <v>-0.29866794919826684</v>
      </c>
      <c r="V166" s="383">
        <f t="shared" si="56"/>
        <v>61.723151409505469</v>
      </c>
      <c r="W166" s="402"/>
      <c r="X166" s="157">
        <f t="shared" si="57"/>
        <v>44348</v>
      </c>
      <c r="Y166" s="385">
        <f t="shared" si="58"/>
        <v>36.3411939162472</v>
      </c>
      <c r="Z166" s="385">
        <f t="shared" si="59"/>
        <v>37.218430142774274</v>
      </c>
      <c r="AA166" s="386">
        <f t="shared" si="60"/>
        <v>39.590970154298368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5.992629133051209E-2</v>
      </c>
      <c r="AD166" s="231">
        <f>(INDEX(Models!$BJ166:$BT166,,AH166)*(1-AF166)+INDEX(Models!$BJ166:$BT166,,AH166+1)*AF166-ERP_i)*AE166*Ramure*Pc/MaxiM</f>
        <v>7.4385442880427698E-5</v>
      </c>
      <c r="AE166" s="305">
        <f t="shared" si="62"/>
        <v>0.5</v>
      </c>
      <c r="AF166" s="177">
        <f t="shared" si="63"/>
        <v>0.70133205080173311</v>
      </c>
      <c r="AG166" s="811">
        <f t="shared" si="71"/>
        <v>-1</v>
      </c>
      <c r="AH166" s="176">
        <f t="shared" si="64"/>
        <v>5</v>
      </c>
      <c r="AI166" s="225">
        <f t="shared" si="65"/>
        <v>-0.29866794919826684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7">
        <v>48.304000000000002</v>
      </c>
      <c r="C167" s="390"/>
      <c r="D167" s="393">
        <f t="shared" si="48"/>
        <v>49.471088677919901</v>
      </c>
      <c r="E167" s="385">
        <f t="shared" si="69"/>
        <v>49.913148032357725</v>
      </c>
      <c r="F167" s="385">
        <f t="shared" si="49"/>
        <v>49.915529705656311</v>
      </c>
      <c r="G167" s="110">
        <f t="shared" si="70"/>
        <v>0.78262451578151737</v>
      </c>
      <c r="H167" s="414" t="b">
        <f>Wh_hp&gt;='2020'!Maxi_hp</f>
        <v>0</v>
      </c>
      <c r="I167" s="380">
        <f>IF(H167,Wh_hp,'2020'!Maxi_hp)</f>
        <v>63.739845271535835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2.3591327967698361E-2</v>
      </c>
      <c r="M167" s="845"/>
      <c r="N167" s="845"/>
      <c r="O167" s="48">
        <f>IF(t&lt;Tnet,'2020'!Resal+('2020'!Salim-'2020'!Resal)*(1-EXP(('2020'!Tnet-t)/('2020'!Tau_j))),Resal+(Salim-Resal)*(1-EXP((Tnet-t)/(Tau_j))))*Salcycl</f>
        <v>8.8565713016388013E-3</v>
      </c>
      <c r="P167" s="169">
        <f>(INDEX(Models!$BJ167:$BT167,,T167)*(1-R167)+INDEX(Models!$BJ167:$BT167,,T167+1)*R167-ERP_i)*Q167*Ramure*Pc/MaxiM</f>
        <v>6.9202220629456686E-5</v>
      </c>
      <c r="Q167" s="305">
        <f t="shared" si="51"/>
        <v>0.5</v>
      </c>
      <c r="R167" s="177">
        <f t="shared" si="52"/>
        <v>0.70632389421614572</v>
      </c>
      <c r="S167" s="811">
        <f t="shared" si="53"/>
        <v>-1</v>
      </c>
      <c r="T167" s="176">
        <f t="shared" si="54"/>
        <v>5</v>
      </c>
      <c r="U167" s="251">
        <f t="shared" si="55"/>
        <v>-0.29367610578385428</v>
      </c>
      <c r="V167" s="383">
        <f t="shared" si="56"/>
        <v>61.719203798289598</v>
      </c>
      <c r="W167" s="402"/>
      <c r="X167" s="157">
        <f t="shared" si="57"/>
        <v>44349</v>
      </c>
      <c r="Y167" s="385">
        <f t="shared" si="58"/>
        <v>45.811199890343566</v>
      </c>
      <c r="Z167" s="385">
        <f t="shared" si="59"/>
        <v>46.918059212841605</v>
      </c>
      <c r="AA167" s="386">
        <f t="shared" si="60"/>
        <v>49.913148032357725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6.0006009189692087E-2</v>
      </c>
      <c r="AD167" s="231">
        <f>(INDEX(Models!$BJ167:$BT167,,AH167)*(1-AF167)+INDEX(Models!$BJ167:$BT167,,AH167+1)*AF167-ERP_i)*AE167*Ramure*Pc/MaxiM</f>
        <v>6.9202220629456686E-5</v>
      </c>
      <c r="AE167" s="305">
        <f t="shared" si="62"/>
        <v>0.5</v>
      </c>
      <c r="AF167" s="177">
        <f t="shared" si="63"/>
        <v>0.70632389421614572</v>
      </c>
      <c r="AG167" s="811">
        <f t="shared" si="71"/>
        <v>-1</v>
      </c>
      <c r="AH167" s="176">
        <f t="shared" si="64"/>
        <v>5</v>
      </c>
      <c r="AI167" s="225">
        <f t="shared" si="65"/>
        <v>-0.29367610578385428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7">
        <v>54.484000000000002</v>
      </c>
      <c r="C168" s="390"/>
      <c r="D168" s="393">
        <f t="shared" si="48"/>
        <v>55.801627869774578</v>
      </c>
      <c r="E168" s="385">
        <f t="shared" si="69"/>
        <v>56.305488625719043</v>
      </c>
      <c r="F168" s="385">
        <f t="shared" si="49"/>
        <v>56.308512681881169</v>
      </c>
      <c r="G168" s="110">
        <f t="shared" si="70"/>
        <v>0.88286862746085781</v>
      </c>
      <c r="H168" s="414" t="b">
        <f>Wh_hp&gt;='2020'!Maxi_hp</f>
        <v>1</v>
      </c>
      <c r="I168" s="380">
        <f>IF(H168,Wh_hp,'2020'!Maxi_hp)</f>
        <v>56.308512681881169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2.3612713823502607E-2</v>
      </c>
      <c r="M168" s="845"/>
      <c r="N168" s="845"/>
      <c r="O168" s="48">
        <f>IF(t&lt;Tnet,'2020'!Resal+('2020'!Salim-'2020'!Resal)*(1-EXP(('2020'!Tnet-t)/('2020'!Tau_j))),Resal+(Salim-Resal)*(1-EXP((Tnet-t)/(Tau_j))))*Salcycl</f>
        <v>8.9486969786159373E-3</v>
      </c>
      <c r="P168" s="169">
        <f>(INDEX(Models!$BJ168:$BT168,,T168)*(1-R168)+INDEX(Models!$BJ168:$BT168,,T168+1)*R168-ERP_i)*Q168*Ramure*Pc/MaxiM</f>
        <v>6.4496486519907153E-5</v>
      </c>
      <c r="Q168" s="305">
        <f t="shared" si="51"/>
        <v>0.5</v>
      </c>
      <c r="R168" s="177">
        <f t="shared" si="52"/>
        <v>0.71134926699841761</v>
      </c>
      <c r="S168" s="811">
        <f t="shared" si="53"/>
        <v>-1</v>
      </c>
      <c r="T168" s="176">
        <f t="shared" si="54"/>
        <v>5</v>
      </c>
      <c r="U168" s="251">
        <f t="shared" si="55"/>
        <v>-0.28865073300158239</v>
      </c>
      <c r="V168" s="383">
        <f t="shared" si="56"/>
        <v>61.71179982803492</v>
      </c>
      <c r="W168" s="402"/>
      <c r="X168" s="157">
        <f t="shared" si="57"/>
        <v>44350</v>
      </c>
      <c r="Y168" s="385">
        <f t="shared" si="58"/>
        <v>51.672714761324542</v>
      </c>
      <c r="Z168" s="385">
        <f t="shared" si="59"/>
        <v>52.92235518927464</v>
      </c>
      <c r="AA168" s="386">
        <f t="shared" si="60"/>
        <v>56.305488625719043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6.0085322390738841E-2</v>
      </c>
      <c r="AD168" s="231">
        <f>(INDEX(Models!$BJ168:$BT168,,AH168)*(1-AF168)+INDEX(Models!$BJ168:$BT168,,AH168+1)*AF168-ERP_i)*AE168*Ramure*Pc/MaxiM</f>
        <v>6.4496486519907153E-5</v>
      </c>
      <c r="AE168" s="305">
        <f t="shared" si="62"/>
        <v>0.5</v>
      </c>
      <c r="AF168" s="177">
        <f t="shared" si="63"/>
        <v>0.71134926699841761</v>
      </c>
      <c r="AG168" s="811">
        <f t="shared" si="71"/>
        <v>-1</v>
      </c>
      <c r="AH168" s="176">
        <f t="shared" si="64"/>
        <v>5</v>
      </c>
      <c r="AI168" s="225">
        <f t="shared" si="65"/>
        <v>-0.28865073300158239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7">
        <v>8.5410000000000004</v>
      </c>
      <c r="C169" s="390"/>
      <c r="D169" s="393">
        <f t="shared" si="48"/>
        <v>8.7477450749736043</v>
      </c>
      <c r="E169" s="385">
        <f t="shared" si="69"/>
        <v>8.8275531062732888</v>
      </c>
      <c r="F169" s="385">
        <f t="shared" si="49"/>
        <v>8.8275531062732888</v>
      </c>
      <c r="G169" s="110">
        <f t="shared" si="70"/>
        <v>0.13841765551398169</v>
      </c>
      <c r="H169" s="414" t="b">
        <f>Wh_hp&gt;='2020'!Maxi_hp</f>
        <v>0</v>
      </c>
      <c r="I169" s="380">
        <f>IF(H169,Wh_hp,'2020'!Maxi_hp)</f>
        <v>59.953702782585943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2.363409921090176E-2</v>
      </c>
      <c r="M169" s="845"/>
      <c r="N169" s="845"/>
      <c r="O169" s="48">
        <f>IF(t&lt;Tnet,'2020'!Resal+('2020'!Salim-'2020'!Resal)*(1-EXP(('2020'!Tnet-t)/('2020'!Tau_j))),Resal+(Salim-Resal)*(1-EXP((Tnet-t)/(Tau_j))))*Salcycl</f>
        <v>9.0407874457269881E-3</v>
      </c>
      <c r="P169" s="169">
        <f>(INDEX(Models!$BJ169:$BT169,,T169)*(1-R169)+INDEX(Models!$BJ169:$BT169,,T169+1)*R169-ERP_i)*Q169*Ramure*Pc/MaxiM</f>
        <v>6.0282451274479194E-5</v>
      </c>
      <c r="Q169" s="305">
        <f t="shared" si="51"/>
        <v>0.5</v>
      </c>
      <c r="R169" s="177">
        <f t="shared" si="52"/>
        <v>0.71640422452807739</v>
      </c>
      <c r="S169" s="811">
        <f t="shared" si="53"/>
        <v>-1</v>
      </c>
      <c r="T169" s="176">
        <f t="shared" si="54"/>
        <v>5</v>
      </c>
      <c r="U169" s="251">
        <f t="shared" si="55"/>
        <v>-0.28359577547192261</v>
      </c>
      <c r="V169" s="383">
        <f t="shared" si="56"/>
        <v>61.70083647111754</v>
      </c>
      <c r="W169" s="402"/>
      <c r="X169" s="157">
        <f t="shared" si="57"/>
        <v>44351</v>
      </c>
      <c r="Y169" s="385">
        <f t="shared" si="58"/>
        <v>8.1003714640881661</v>
      </c>
      <c r="Z169" s="385">
        <f t="shared" si="59"/>
        <v>8.2964506006830554</v>
      </c>
      <c r="AA169" s="386">
        <f t="shared" si="60"/>
        <v>8.8275531062732888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6.0164181307819607E-2</v>
      </c>
      <c r="AD169" s="231">
        <f>(INDEX(Models!$BJ169:$BT169,,AH169)*(1-AF169)+INDEX(Models!$BJ169:$BT169,,AH169+1)*AF169-ERP_i)*AE169*Ramure*Pc/MaxiM</f>
        <v>6.0282451274479194E-5</v>
      </c>
      <c r="AE169" s="305">
        <f t="shared" si="62"/>
        <v>0.5</v>
      </c>
      <c r="AF169" s="177">
        <f t="shared" si="63"/>
        <v>0.71640422452807739</v>
      </c>
      <c r="AG169" s="811">
        <f t="shared" si="71"/>
        <v>-1</v>
      </c>
      <c r="AH169" s="176">
        <f t="shared" si="64"/>
        <v>5</v>
      </c>
      <c r="AI169" s="225">
        <f t="shared" si="65"/>
        <v>-0.28359577547192261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7">
        <v>41.773000000000003</v>
      </c>
      <c r="C170" s="390"/>
      <c r="D170" s="393">
        <f t="shared" si="48"/>
        <v>42.785102308658892</v>
      </c>
      <c r="E170" s="385">
        <f t="shared" ref="E170:E232" si="72">Wh_pvt/(1-Psa)</f>
        <v>43.17945305824351</v>
      </c>
      <c r="F170" s="385">
        <f t="shared" si="49"/>
        <v>43.180770881481472</v>
      </c>
      <c r="G170" s="110">
        <f t="shared" ref="G170:G232" si="73">+Wh_hp/MaxiM</f>
        <v>0.67716773379744655</v>
      </c>
      <c r="H170" s="414" t="b">
        <f>Wh_hp&gt;='2020'!Maxi_hp</f>
        <v>1</v>
      </c>
      <c r="I170" s="380">
        <f>IF(H170,Wh_hp,'2020'!Maxi_hp)</f>
        <v>43.180770881481472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2.3655484129906146E-2</v>
      </c>
      <c r="M170" s="845"/>
      <c r="N170" s="845"/>
      <c r="O170" s="48">
        <f>IF(t&lt;Tnet,'2020'!Resal+('2020'!Salim-'2020'!Resal)*(1-EXP(('2020'!Tnet-t)/('2020'!Tau_j))),Resal+(Salim-Resal)*(1-EXP((Tnet-t)/(Tau_j))))*Salcycl</f>
        <v>9.1328333652742691E-3</v>
      </c>
      <c r="P170" s="169">
        <f>(INDEX(Models!$BJ170:$BT170,,T170)*(1-R170)+INDEX(Models!$BJ170:$BT170,,T170+1)*R170-ERP_i)*Q170*Ramure*Pc/MaxiM</f>
        <v>5.6638261059766112E-5</v>
      </c>
      <c r="Q170" s="305">
        <f t="shared" si="51"/>
        <v>0.5</v>
      </c>
      <c r="R170" s="177">
        <f t="shared" si="52"/>
        <v>0.7214847253983494</v>
      </c>
      <c r="S170" s="811">
        <f t="shared" si="53"/>
        <v>-1</v>
      </c>
      <c r="T170" s="176">
        <f t="shared" si="54"/>
        <v>5</v>
      </c>
      <c r="U170" s="251">
        <f t="shared" si="55"/>
        <v>-0.2785152746016506</v>
      </c>
      <c r="V170" s="383">
        <f t="shared" si="56"/>
        <v>61.686206816438954</v>
      </c>
      <c r="W170" s="402"/>
      <c r="X170" s="157">
        <f t="shared" si="57"/>
        <v>44352</v>
      </c>
      <c r="Y170" s="385">
        <f t="shared" si="58"/>
        <v>39.618315968430352</v>
      </c>
      <c r="Z170" s="385">
        <f t="shared" si="59"/>
        <v>40.578213247936873</v>
      </c>
      <c r="AA170" s="386">
        <f t="shared" si="60"/>
        <v>43.17945305824351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6.0242537273408656E-2</v>
      </c>
      <c r="AD170" s="231">
        <f>(INDEX(Models!$BJ170:$BT170,,AH170)*(1-AF170)+INDEX(Models!$BJ170:$BT170,,AH170+1)*AF170-ERP_i)*AE170*Ramure*Pc/MaxiM</f>
        <v>5.6638261059766112E-5</v>
      </c>
      <c r="AE170" s="305">
        <f t="shared" si="62"/>
        <v>0.5</v>
      </c>
      <c r="AF170" s="177">
        <f t="shared" si="63"/>
        <v>0.7214847253983494</v>
      </c>
      <c r="AG170" s="811">
        <f t="shared" si="71"/>
        <v>-1</v>
      </c>
      <c r="AH170" s="176">
        <f t="shared" si="64"/>
        <v>5</v>
      </c>
      <c r="AI170" s="225">
        <f t="shared" si="65"/>
        <v>-0.2785152746016506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7">
        <v>46.800000000000004</v>
      </c>
      <c r="C171" s="390"/>
      <c r="D171" s="393">
        <f t="shared" si="48"/>
        <v>47.934949499718996</v>
      </c>
      <c r="E171" s="385">
        <f t="shared" si="72"/>
        <v>48.381258155210119</v>
      </c>
      <c r="F171" s="385">
        <f t="shared" si="49"/>
        <v>48.382952201282023</v>
      </c>
      <c r="G171" s="110">
        <f t="shared" si="73"/>
        <v>0.75889078404739418</v>
      </c>
      <c r="H171" s="414" t="b">
        <f>Wh_hp&gt;='2020'!Maxi_hp</f>
        <v>0</v>
      </c>
      <c r="I171" s="380">
        <f>IF(H171,Wh_hp,'2020'!Maxi_hp)</f>
        <v>62.343880742671914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2.3676868580525867E-2</v>
      </c>
      <c r="M171" s="845"/>
      <c r="N171" s="845"/>
      <c r="O171" s="48">
        <f>IF(t&lt;Tnet,'2020'!Resal+('2020'!Salim-'2020'!Resal)*(1-EXP(('2020'!Tnet-t)/('2020'!Tau_j))),Resal+(Salim-Resal)*(1-EXP((Tnet-t)/(Tau_j))))*Salcycl</f>
        <v>9.2248253251153087E-3</v>
      </c>
      <c r="P171" s="169">
        <f>(INDEX(Models!$BJ171:$BT171,,T171)*(1-R171)+INDEX(Models!$BJ171:$BT171,,T171+1)*R171-ERP_i)*Q171*Ramure*Pc/MaxiM</f>
        <v>5.340824966954242E-5</v>
      </c>
      <c r="Q171" s="305">
        <f t="shared" si="51"/>
        <v>0.5</v>
      </c>
      <c r="R171" s="177">
        <f t="shared" si="52"/>
        <v>0.72658664394548933</v>
      </c>
      <c r="S171" s="811">
        <f t="shared" si="53"/>
        <v>-1</v>
      </c>
      <c r="T171" s="176">
        <f t="shared" si="54"/>
        <v>5</v>
      </c>
      <c r="U171" s="251">
        <f t="shared" si="55"/>
        <v>-0.27341335605451067</v>
      </c>
      <c r="V171" s="383">
        <f t="shared" si="56"/>
        <v>61.667818438766822</v>
      </c>
      <c r="W171" s="402"/>
      <c r="X171" s="157">
        <f t="shared" si="57"/>
        <v>44353</v>
      </c>
      <c r="Y171" s="385">
        <f t="shared" si="58"/>
        <v>44.386465348055047</v>
      </c>
      <c r="Z171" s="385">
        <f t="shared" si="59"/>
        <v>45.46288407970183</v>
      </c>
      <c r="AA171" s="386">
        <f t="shared" si="60"/>
        <v>48.381258155210119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6.0320342768804429E-2</v>
      </c>
      <c r="AD171" s="231">
        <f>(INDEX(Models!$BJ171:$BT171,,AH171)*(1-AF171)+INDEX(Models!$BJ171:$BT171,,AH171+1)*AF171-ERP_i)*AE171*Ramure*Pc/MaxiM</f>
        <v>5.340824966954242E-5</v>
      </c>
      <c r="AE171" s="305">
        <f t="shared" si="62"/>
        <v>0.5</v>
      </c>
      <c r="AF171" s="177">
        <f t="shared" si="63"/>
        <v>0.72658664394548933</v>
      </c>
      <c r="AG171" s="811">
        <f t="shared" si="71"/>
        <v>-1</v>
      </c>
      <c r="AH171" s="176">
        <f t="shared" si="64"/>
        <v>5</v>
      </c>
      <c r="AI171" s="225">
        <f t="shared" si="65"/>
        <v>-0.27341335605451067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7">
        <v>53.014000000000003</v>
      </c>
      <c r="C172" s="390"/>
      <c r="D172" s="393">
        <f t="shared" si="48"/>
        <v>54.300834899825404</v>
      </c>
      <c r="E172" s="385">
        <f t="shared" si="72"/>
        <v>54.811500156388348</v>
      </c>
      <c r="F172" s="385">
        <f t="shared" si="49"/>
        <v>54.813719171232592</v>
      </c>
      <c r="G172" s="110">
        <f t="shared" si="73"/>
        <v>0.85997200734440338</v>
      </c>
      <c r="H172" s="414" t="b">
        <f>Wh_hp&gt;='2020'!Maxi_hp</f>
        <v>1</v>
      </c>
      <c r="I172" s="380">
        <f>IF(H172,Wh_hp,'2020'!Maxi_hp)</f>
        <v>54.813719171232592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2.3698252562771138E-2</v>
      </c>
      <c r="M172" s="845"/>
      <c r="N172" s="845"/>
      <c r="O172" s="48">
        <f>IF(t&lt;Tnet,'2020'!Resal+('2020'!Salim-'2020'!Resal)*(1-EXP(('2020'!Tnet-t)/('2020'!Tau_j))),Resal+(Salim-Resal)*(1-EXP((Tnet-t)/(Tau_j))))*Salcycl</f>
        <v>9.3167538765753458E-3</v>
      </c>
      <c r="P172" s="169">
        <f>(INDEX(Models!$BJ172:$BT172,,T172)*(1-R172)+INDEX(Models!$BJ172:$BT172,,T172+1)*R172-ERP_i)*Q172*Ramure*Pc/MaxiM</f>
        <v>5.0605288840658254E-5</v>
      </c>
      <c r="Q172" s="305">
        <f t="shared" si="51"/>
        <v>0.5</v>
      </c>
      <c r="R172" s="177">
        <f t="shared" si="52"/>
        <v>0.73170578336331538</v>
      </c>
      <c r="S172" s="811">
        <f t="shared" si="53"/>
        <v>-1</v>
      </c>
      <c r="T172" s="176">
        <f t="shared" si="54"/>
        <v>5</v>
      </c>
      <c r="U172" s="251">
        <f t="shared" si="55"/>
        <v>-0.26829421663668468</v>
      </c>
      <c r="V172" s="383">
        <f t="shared" si="56"/>
        <v>61.645568569498877</v>
      </c>
      <c r="W172" s="402"/>
      <c r="X172" s="157">
        <f t="shared" si="57"/>
        <v>44354</v>
      </c>
      <c r="Y172" s="385">
        <f t="shared" si="58"/>
        <v>50.280535573590015</v>
      </c>
      <c r="Z172" s="385">
        <f t="shared" si="59"/>
        <v>51.501019746789702</v>
      </c>
      <c r="AA172" s="386">
        <f t="shared" si="60"/>
        <v>54.811500156388348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6.0397551611489741E-2</v>
      </c>
      <c r="AD172" s="231">
        <f>(INDEX(Models!$BJ172:$BT172,,AH172)*(1-AF172)+INDEX(Models!$BJ172:$BT172,,AH172+1)*AF172-ERP_i)*AE172*Ramure*Pc/MaxiM</f>
        <v>5.0605288840658254E-5</v>
      </c>
      <c r="AE172" s="305">
        <f t="shared" si="62"/>
        <v>0.5</v>
      </c>
      <c r="AF172" s="177">
        <f t="shared" si="63"/>
        <v>0.73170578336331538</v>
      </c>
      <c r="AG172" s="811">
        <f t="shared" si="71"/>
        <v>-1</v>
      </c>
      <c r="AH172" s="176">
        <f t="shared" si="64"/>
        <v>5</v>
      </c>
      <c r="AI172" s="225">
        <f t="shared" si="65"/>
        <v>-0.26829421663668468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7">
        <v>60.515999999999998</v>
      </c>
      <c r="C173" s="390"/>
      <c r="D173" s="393">
        <f t="shared" si="48"/>
        <v>61.986292294977879</v>
      </c>
      <c r="E173" s="385">
        <f t="shared" si="72"/>
        <v>62.57503638131201</v>
      </c>
      <c r="F173" s="385">
        <f t="shared" si="49"/>
        <v>62.577978068226969</v>
      </c>
      <c r="G173" s="110">
        <f t="shared" si="73"/>
        <v>0.98209281517943525</v>
      </c>
      <c r="H173" s="414" t="b">
        <f>Wh_hp&gt;='2020'!Maxi_hp</f>
        <v>0</v>
      </c>
      <c r="I173" s="380">
        <f>IF(H173,Wh_hp,'2020'!Maxi_hp)</f>
        <v>64.469263284236831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2.3719636076652395E-2</v>
      </c>
      <c r="M173" s="845"/>
      <c r="N173" s="845"/>
      <c r="O173" s="48">
        <f>IF(t&lt;Tnet,'2020'!Resal+('2020'!Salim-'2020'!Resal)*(1-EXP(('2020'!Tnet-t)/('2020'!Tau_j))),Resal+(Salim-Resal)*(1-EXP((Tnet-t)/(Tau_j))))*Salcycl</f>
        <v>9.408609573097429E-3</v>
      </c>
      <c r="P173" s="169">
        <f>(INDEX(Models!$BJ173:$BT173,,T173)*(1-R173)+INDEX(Models!$BJ173:$BT173,,T173+1)*R173-ERP_i)*Q173*Ramure*Pc/MaxiM</f>
        <v>4.8242378905083053E-5</v>
      </c>
      <c r="Q173" s="305">
        <f t="shared" si="51"/>
        <v>0.5</v>
      </c>
      <c r="R173" s="177">
        <f t="shared" si="52"/>
        <v>0.73683788931658178</v>
      </c>
      <c r="S173" s="811">
        <f t="shared" si="53"/>
        <v>-1</v>
      </c>
      <c r="T173" s="176">
        <f t="shared" si="54"/>
        <v>5</v>
      </c>
      <c r="U173" s="251">
        <f t="shared" si="55"/>
        <v>-0.26316211068341822</v>
      </c>
      <c r="V173" s="383">
        <f t="shared" si="56"/>
        <v>61.619354486753018</v>
      </c>
      <c r="W173" s="402"/>
      <c r="X173" s="157">
        <f t="shared" si="57"/>
        <v>44355</v>
      </c>
      <c r="Y173" s="385">
        <f t="shared" si="58"/>
        <v>57.396368225791903</v>
      </c>
      <c r="Z173" s="385">
        <f t="shared" si="59"/>
        <v>58.790866176120659</v>
      </c>
      <c r="AA173" s="386">
        <f t="shared" si="60"/>
        <v>62.57503638131201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6.0474119138051258E-2</v>
      </c>
      <c r="AD173" s="231">
        <f>(INDEX(Models!$BJ173:$BT173,,AH173)*(1-AF173)+INDEX(Models!$BJ173:$BT173,,AH173+1)*AF173-ERP_i)*AE173*Ramure*Pc/MaxiM</f>
        <v>4.8242378905083053E-5</v>
      </c>
      <c r="AE173" s="305">
        <f t="shared" si="62"/>
        <v>0.5</v>
      </c>
      <c r="AF173" s="177">
        <f t="shared" si="63"/>
        <v>0.73683788931658178</v>
      </c>
      <c r="AG173" s="811">
        <f t="shared" si="71"/>
        <v>-1</v>
      </c>
      <c r="AH173" s="176">
        <f t="shared" si="64"/>
        <v>5</v>
      </c>
      <c r="AI173" s="225">
        <f t="shared" si="65"/>
        <v>-0.26316211068341822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7">
        <v>58.597999999999999</v>
      </c>
      <c r="C174" s="390"/>
      <c r="D174" s="393">
        <f t="shared" si="48"/>
        <v>60.023007365638364</v>
      </c>
      <c r="E174" s="385">
        <f t="shared" si="72"/>
        <v>60.598718400318837</v>
      </c>
      <c r="F174" s="385">
        <f t="shared" si="49"/>
        <v>60.601331416290115</v>
      </c>
      <c r="G174" s="110">
        <f t="shared" si="73"/>
        <v>0.95143193890002964</v>
      </c>
      <c r="H174" s="414" t="b">
        <f>Wh_hp&gt;='2020'!Maxi_hp</f>
        <v>1</v>
      </c>
      <c r="I174" s="380">
        <f>IF(H174,Wh_hp,'2020'!Maxi_hp)</f>
        <v>60.601331416290115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2.3741019122179852E-2</v>
      </c>
      <c r="M174" s="845"/>
      <c r="N174" s="845"/>
      <c r="O174" s="48">
        <f>IF(t&lt;Tnet,'2020'!Resal+('2020'!Salim-'2020'!Resal)*(1-EXP(('2020'!Tnet-t)/('2020'!Tau_j))),Resal+(Salim-Resal)*(1-EXP((Tnet-t)/(Tau_j))))*Salcycl</f>
        <v>9.5003830093780568E-3</v>
      </c>
      <c r="P174" s="169">
        <f>(INDEX(Models!$BJ174:$BT174,,T174)*(1-R174)+INDEX(Models!$BJ174:$BT174,,T174+1)*R174-ERP_i)*Q174*Ramure*Pc/MaxiM</f>
        <v>4.6332619206399062E-5</v>
      </c>
      <c r="Q174" s="305">
        <f t="shared" si="51"/>
        <v>0.5</v>
      </c>
      <c r="R174" s="177">
        <f t="shared" si="52"/>
        <v>0.74197866396088763</v>
      </c>
      <c r="S174" s="811">
        <f t="shared" si="53"/>
        <v>-1</v>
      </c>
      <c r="T174" s="176">
        <f t="shared" si="54"/>
        <v>5</v>
      </c>
      <c r="U174" s="251">
        <f t="shared" si="55"/>
        <v>-0.25802133603911231</v>
      </c>
      <c r="V174" s="383">
        <f t="shared" si="56"/>
        <v>61.589073514679711</v>
      </c>
      <c r="W174" s="402"/>
      <c r="X174" s="157">
        <f t="shared" si="57"/>
        <v>44356</v>
      </c>
      <c r="Y174" s="385">
        <f t="shared" si="58"/>
        <v>55.577902319347267</v>
      </c>
      <c r="Z174" s="385">
        <f t="shared" si="59"/>
        <v>56.929465856870721</v>
      </c>
      <c r="AA174" s="386">
        <f t="shared" si="60"/>
        <v>60.598718400318837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6.0550002381383895E-2</v>
      </c>
      <c r="AD174" s="231">
        <f>(INDEX(Models!$BJ174:$BT174,,AH174)*(1-AF174)+INDEX(Models!$BJ174:$BT174,,AH174+1)*AF174-ERP_i)*AE174*Ramure*Pc/MaxiM</f>
        <v>4.6332619206399062E-5</v>
      </c>
      <c r="AE174" s="305">
        <f t="shared" si="62"/>
        <v>0.5</v>
      </c>
      <c r="AF174" s="177">
        <f t="shared" si="63"/>
        <v>0.74197866396088763</v>
      </c>
      <c r="AG174" s="811">
        <f t="shared" si="71"/>
        <v>-1</v>
      </c>
      <c r="AH174" s="176">
        <f t="shared" si="64"/>
        <v>5</v>
      </c>
      <c r="AI174" s="225">
        <f t="shared" si="65"/>
        <v>-0.25802133603911231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7">
        <v>59.17</v>
      </c>
      <c r="C175" s="390"/>
      <c r="D175" s="393">
        <f t="shared" si="48"/>
        <v>60.610244988513919</v>
      </c>
      <c r="E175" s="385">
        <f t="shared" si="72"/>
        <v>61.197253008671403</v>
      </c>
      <c r="F175" s="385">
        <f t="shared" si="49"/>
        <v>61.199848181326935</v>
      </c>
      <c r="G175" s="110">
        <f t="shared" si="73"/>
        <v>0.96125766176102612</v>
      </c>
      <c r="H175" s="414" t="b">
        <f>Wh_hp&gt;='2020'!Maxi_hp</f>
        <v>1</v>
      </c>
      <c r="I175" s="380">
        <f>IF(H175,Wh_hp,'2020'!Maxi_hp)</f>
        <v>61.199848181326935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2.3762401699363722E-2</v>
      </c>
      <c r="M175" s="845"/>
      <c r="N175" s="845"/>
      <c r="O175" s="48">
        <f>IF(t&lt;Tnet,'2020'!Resal+('2020'!Salim-'2020'!Resal)*(1-EXP(('2020'!Tnet-t)/('2020'!Tau_j))),Resal+(Salim-Resal)*(1-EXP((Tnet-t)/(Tau_j))))*Salcycl</f>
        <v>9.5920648607268344E-3</v>
      </c>
      <c r="P175" s="169">
        <f>(INDEX(Models!$BJ175:$BT175,,T175)*(1-R175)+INDEX(Models!$BJ175:$BT175,,T175+1)*R175-ERP_i)*Q175*Ramure*Pc/MaxiM</f>
        <v>4.4889179388165025E-5</v>
      </c>
      <c r="Q175" s="305">
        <f t="shared" si="51"/>
        <v>0.5</v>
      </c>
      <c r="R175" s="177">
        <f t="shared" si="52"/>
        <v>0.74712378027189918</v>
      </c>
      <c r="S175" s="811">
        <f t="shared" si="53"/>
        <v>-1</v>
      </c>
      <c r="T175" s="176">
        <f t="shared" si="54"/>
        <v>5</v>
      </c>
      <c r="U175" s="251">
        <f t="shared" si="55"/>
        <v>-0.25287621972810082</v>
      </c>
      <c r="V175" s="383">
        <f t="shared" si="56"/>
        <v>61.554623023545204</v>
      </c>
      <c r="W175" s="402"/>
      <c r="X175" s="157">
        <f t="shared" si="57"/>
        <v>44357</v>
      </c>
      <c r="Y175" s="385">
        <f t="shared" si="58"/>
        <v>56.1211267564492</v>
      </c>
      <c r="Z175" s="385">
        <f t="shared" si="59"/>
        <v>57.487159738716059</v>
      </c>
      <c r="AA175" s="386">
        <f t="shared" si="60"/>
        <v>61.197253008671403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6.06251602409284E-2</v>
      </c>
      <c r="AD175" s="231">
        <f>(INDEX(Models!$BJ175:$BT175,,AH175)*(1-AF175)+INDEX(Models!$BJ175:$BT175,,AH175+1)*AF175-ERP_i)*AE175*Ramure*Pc/MaxiM</f>
        <v>4.4889179388165025E-5</v>
      </c>
      <c r="AE175" s="305">
        <f t="shared" si="62"/>
        <v>0.5</v>
      </c>
      <c r="AF175" s="177">
        <f t="shared" si="63"/>
        <v>0.74712378027189918</v>
      </c>
      <c r="AG175" s="811">
        <f t="shared" si="71"/>
        <v>-1</v>
      </c>
      <c r="AH175" s="176">
        <f t="shared" si="64"/>
        <v>5</v>
      </c>
      <c r="AI175" s="225">
        <f t="shared" si="65"/>
        <v>-0.25287621972810082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7">
        <v>52.573999999999998</v>
      </c>
      <c r="C176" s="390"/>
      <c r="D176" s="393">
        <f t="shared" si="48"/>
        <v>53.854872648080864</v>
      </c>
      <c r="E176" s="385">
        <f t="shared" si="72"/>
        <v>54.381483680779283</v>
      </c>
      <c r="F176" s="385">
        <f t="shared" si="49"/>
        <v>54.383376435861258</v>
      </c>
      <c r="G176" s="110">
        <f t="shared" si="73"/>
        <v>0.8546330309083825</v>
      </c>
      <c r="H176" s="414" t="b">
        <f>Wh_hp&gt;='2020'!Maxi_hp</f>
        <v>1</v>
      </c>
      <c r="I176" s="380">
        <f>IF(H176,Wh_hp,'2020'!Maxi_hp)</f>
        <v>54.383376435861258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2.3783783808214221E-2</v>
      </c>
      <c r="M176" s="845"/>
      <c r="N176" s="845"/>
      <c r="O176" s="48">
        <f>IF(t&lt;Tnet,'2020'!Resal+('2020'!Salim-'2020'!Resal)*(1-EXP(('2020'!Tnet-t)/('2020'!Tau_j))),Resal+(Salim-Resal)*(1-EXP((Tnet-t)/(Tau_j))))*Salcycl</f>
        <v>9.6836459223812593E-3</v>
      </c>
      <c r="P176" s="169">
        <f>(INDEX(Models!$BJ176:$BT176,,T176)*(1-R176)+INDEX(Models!$BJ176:$BT176,,T176+1)*R176-ERP_i)*Q176*Ramure*Pc/MaxiM</f>
        <v>4.3925271936652528E-5</v>
      </c>
      <c r="Q176" s="305">
        <f t="shared" si="51"/>
        <v>0.5</v>
      </c>
      <c r="R176" s="177">
        <f t="shared" si="52"/>
        <v>0.75226889658291074</v>
      </c>
      <c r="S176" s="811">
        <f t="shared" si="53"/>
        <v>-1</v>
      </c>
      <c r="T176" s="176">
        <f t="shared" si="54"/>
        <v>5</v>
      </c>
      <c r="U176" s="251">
        <f t="shared" si="55"/>
        <v>-0.24773110341708926</v>
      </c>
      <c r="V176" s="383">
        <f t="shared" si="56"/>
        <v>61.515900434901923</v>
      </c>
      <c r="W176" s="402"/>
      <c r="X176" s="157">
        <f t="shared" si="57"/>
        <v>44358</v>
      </c>
      <c r="Y176" s="385">
        <f t="shared" si="58"/>
        <v>49.865663091747571</v>
      </c>
      <c r="Z176" s="385">
        <f t="shared" si="59"/>
        <v>51.080551894818193</v>
      </c>
      <c r="AA176" s="386">
        <f t="shared" si="60"/>
        <v>54.381483680779283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6.0699553644723014E-2</v>
      </c>
      <c r="AD176" s="231">
        <f>(INDEX(Models!$BJ176:$BT176,,AH176)*(1-AF176)+INDEX(Models!$BJ176:$BT176,,AH176+1)*AF176-ERP_i)*AE176*Ramure*Pc/MaxiM</f>
        <v>4.3925271936652528E-5</v>
      </c>
      <c r="AE176" s="305">
        <f t="shared" si="62"/>
        <v>0.5</v>
      </c>
      <c r="AF176" s="177">
        <f t="shared" si="63"/>
        <v>0.75226889658291074</v>
      </c>
      <c r="AG176" s="811">
        <f t="shared" si="71"/>
        <v>-1</v>
      </c>
      <c r="AH176" s="176">
        <f t="shared" si="64"/>
        <v>5</v>
      </c>
      <c r="AI176" s="225">
        <f t="shared" si="65"/>
        <v>-0.24773110341708926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7">
        <v>46.997999999999998</v>
      </c>
      <c r="C177" s="390"/>
      <c r="D177" s="393">
        <f t="shared" si="48"/>
        <v>48.144077735879691</v>
      </c>
      <c r="E177" s="385">
        <f t="shared" si="72"/>
        <v>48.619337455186724</v>
      </c>
      <c r="F177" s="385">
        <f t="shared" si="49"/>
        <v>48.62073956904068</v>
      </c>
      <c r="G177" s="110">
        <f t="shared" si="73"/>
        <v>0.76453000110005587</v>
      </c>
      <c r="H177" s="414" t="b">
        <f>Wh_hp&gt;='2020'!Maxi_hp</f>
        <v>0</v>
      </c>
      <c r="I177" s="380">
        <f>IF(H177,Wh_hp,'2020'!Maxi_hp)</f>
        <v>58.244062693126686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2.3805165448741672E-2</v>
      </c>
      <c r="M177" s="845"/>
      <c r="N177" s="845"/>
      <c r="O177" s="48">
        <f>IF(t&lt;Tnet,'2020'!Resal+('2020'!Salim-'2020'!Resal)*(1-EXP(('2020'!Tnet-t)/('2020'!Tau_j))),Resal+(Salim-Resal)*(1-EXP((Tnet-t)/(Tau_j))))*Salcycl</f>
        <v>9.7751171485026944E-3</v>
      </c>
      <c r="P177" s="169">
        <f>(INDEX(Models!$BJ177:$BT177,,T177)*(1-R177)+INDEX(Models!$BJ177:$BT177,,T177+1)*R177-ERP_i)*Q177*Ramure*Pc/MaxiM</f>
        <v>4.345457876212594E-5</v>
      </c>
      <c r="Q177" s="305">
        <f t="shared" si="51"/>
        <v>0.5</v>
      </c>
      <c r="R177" s="177">
        <f t="shared" si="52"/>
        <v>0.7574096712272167</v>
      </c>
      <c r="S177" s="811">
        <f t="shared" si="53"/>
        <v>-1</v>
      </c>
      <c r="T177" s="176">
        <f t="shared" si="54"/>
        <v>5</v>
      </c>
      <c r="U177" s="251">
        <f t="shared" si="55"/>
        <v>-0.24259032877278336</v>
      </c>
      <c r="V177" s="383">
        <f t="shared" si="56"/>
        <v>61.47216322699181</v>
      </c>
      <c r="W177" s="402"/>
      <c r="X177" s="157">
        <f t="shared" si="57"/>
        <v>44359</v>
      </c>
      <c r="Y177" s="385">
        <f t="shared" si="58"/>
        <v>44.577534318447171</v>
      </c>
      <c r="Z177" s="385">
        <f t="shared" si="59"/>
        <v>45.664587376083354</v>
      </c>
      <c r="AA177" s="386">
        <f t="shared" si="60"/>
        <v>48.619337455186724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6.0773145702094702E-2</v>
      </c>
      <c r="AD177" s="231">
        <f>(INDEX(Models!$BJ177:$BT177,,AH177)*(1-AF177)+INDEX(Models!$BJ177:$BT177,,AH177+1)*AF177-ERP_i)*AE177*Ramure*Pc/MaxiM</f>
        <v>4.345457876212594E-5</v>
      </c>
      <c r="AE177" s="305">
        <f t="shared" si="62"/>
        <v>0.5</v>
      </c>
      <c r="AF177" s="177">
        <f t="shared" si="63"/>
        <v>0.7574096712272167</v>
      </c>
      <c r="AG177" s="811">
        <f t="shared" si="71"/>
        <v>-1</v>
      </c>
      <c r="AH177" s="176">
        <f t="shared" si="64"/>
        <v>5</v>
      </c>
      <c r="AI177" s="225">
        <f t="shared" si="65"/>
        <v>-0.24259032877278336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7">
        <v>58.410000000000004</v>
      </c>
      <c r="C178" s="390"/>
      <c r="D178" s="393">
        <f t="shared" si="48"/>
        <v>59.835677561003777</v>
      </c>
      <c r="E178" s="385">
        <f t="shared" si="72"/>
        <v>60.431927340451509</v>
      </c>
      <c r="F178" s="385">
        <f t="shared" si="49"/>
        <v>60.43437117025622</v>
      </c>
      <c r="G178" s="110">
        <f t="shared" si="73"/>
        <v>0.95094357659745399</v>
      </c>
      <c r="H178" s="414" t="b">
        <f>Wh_hp&gt;='2020'!Maxi_hp</f>
        <v>0</v>
      </c>
      <c r="I178" s="380">
        <f>IF(H178,Wh_hp,'2020'!Maxi_hp)</f>
        <v>66.115436428019962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2.3826546620956401E-2</v>
      </c>
      <c r="M178" s="845"/>
      <c r="N178" s="845"/>
      <c r="O178" s="48">
        <f>IF(t&lt;Tnet,'2020'!Resal+('2020'!Salim-'2020'!Resal)*(1-EXP(('2020'!Tnet-t)/('2020'!Tau_j))),Resal+(Salim-Resal)*(1-EXP((Tnet-t)/(Tau_j))))*Salcycl</f>
        <v>9.8664696905772561E-3</v>
      </c>
      <c r="P178" s="169">
        <f>(INDEX(Models!$BJ178:$BT178,,T178)*(1-R178)+INDEX(Models!$BJ178:$BT178,,T178+1)*R178-ERP_i)*Q178*Ramure*Pc/MaxiM</f>
        <v>4.3485023623076437E-5</v>
      </c>
      <c r="Q178" s="305">
        <f t="shared" si="51"/>
        <v>0.5</v>
      </c>
      <c r="R178" s="177">
        <f t="shared" si="52"/>
        <v>0.76254177718048322</v>
      </c>
      <c r="S178" s="811">
        <f t="shared" si="53"/>
        <v>-1</v>
      </c>
      <c r="T178" s="176">
        <f t="shared" si="54"/>
        <v>5</v>
      </c>
      <c r="U178" s="251">
        <f t="shared" si="55"/>
        <v>-0.23745822281951684</v>
      </c>
      <c r="V178" s="383">
        <f t="shared" si="56"/>
        <v>61.423015454147844</v>
      </c>
      <c r="W178" s="402"/>
      <c r="X178" s="157">
        <f t="shared" si="57"/>
        <v>44360</v>
      </c>
      <c r="Y178" s="385">
        <f t="shared" si="58"/>
        <v>55.402619135663286</v>
      </c>
      <c r="Z178" s="385">
        <f t="shared" si="59"/>
        <v>56.754892221137574</v>
      </c>
      <c r="AA178" s="386">
        <f t="shared" si="60"/>
        <v>60.431927340451509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6.0845901845871221E-2</v>
      </c>
      <c r="AD178" s="231">
        <f>(INDEX(Models!$BJ178:$BT178,,AH178)*(1-AF178)+INDEX(Models!$BJ178:$BT178,,AH178+1)*AF178-ERP_i)*AE178*Ramure*Pc/MaxiM</f>
        <v>4.3485023623076437E-5</v>
      </c>
      <c r="AE178" s="305">
        <f t="shared" si="62"/>
        <v>0.5</v>
      </c>
      <c r="AF178" s="177">
        <f t="shared" si="63"/>
        <v>0.76254177718048322</v>
      </c>
      <c r="AG178" s="811">
        <f t="shared" si="71"/>
        <v>-1</v>
      </c>
      <c r="AH178" s="176">
        <f t="shared" si="64"/>
        <v>5</v>
      </c>
      <c r="AI178" s="225">
        <f t="shared" si="65"/>
        <v>-0.23745822281951684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7">
        <v>55.582000000000001</v>
      </c>
      <c r="C179" s="390"/>
      <c r="D179" s="393">
        <f t="shared" si="48"/>
        <v>56.939898562811308</v>
      </c>
      <c r="E179" s="385">
        <f t="shared" si="72"/>
        <v>57.512591402919725</v>
      </c>
      <c r="F179" s="385">
        <f t="shared" si="49"/>
        <v>57.514759839675243</v>
      </c>
      <c r="G179" s="110">
        <f t="shared" si="73"/>
        <v>0.9056977077084275</v>
      </c>
      <c r="H179" s="414" t="b">
        <f>Wh_hp&gt;='2020'!Maxi_hp</f>
        <v>1</v>
      </c>
      <c r="I179" s="380">
        <f>IF(H179,Wh_hp,'2020'!Maxi_hp)</f>
        <v>57.514759839675243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2.3847927324868512E-2</v>
      </c>
      <c r="M179" s="845"/>
      <c r="N179" s="845"/>
      <c r="O179" s="48">
        <f>IF(t&lt;Tnet,'2020'!Resal+('2020'!Salim-'2020'!Resal)*(1-EXP(('2020'!Tnet-t)/('2020'!Tau_j))),Resal+(Salim-Resal)*(1-EXP((Tnet-t)/(Tau_j))))*Salcycl</f>
        <v>9.9576949349449839E-3</v>
      </c>
      <c r="P179" s="169">
        <f>(INDEX(Models!$BJ179:$BT179,,T179)*(1-R179)+INDEX(Models!$BJ179:$BT179,,T179+1)*R179-ERP_i)*Q179*Ramure*Pc/MaxiM</f>
        <v>4.3571824681454399E-5</v>
      </c>
      <c r="Q179" s="305">
        <f t="shared" si="51"/>
        <v>0.5</v>
      </c>
      <c r="R179" s="177">
        <f t="shared" si="52"/>
        <v>0.76766091659830904</v>
      </c>
      <c r="S179" s="811">
        <f t="shared" si="53"/>
        <v>-1</v>
      </c>
      <c r="T179" s="176">
        <f t="shared" si="54"/>
        <v>5</v>
      </c>
      <c r="U179" s="251">
        <f t="shared" si="55"/>
        <v>-0.2323390834016909</v>
      </c>
      <c r="V179" s="383">
        <f t="shared" si="56"/>
        <v>61.368901867381204</v>
      </c>
      <c r="W179" s="402"/>
      <c r="X179" s="157">
        <f t="shared" si="57"/>
        <v>44361</v>
      </c>
      <c r="Y179" s="385">
        <f t="shared" si="58"/>
        <v>52.721047505988508</v>
      </c>
      <c r="Z179" s="385">
        <f t="shared" si="59"/>
        <v>54.009051439605301</v>
      </c>
      <c r="AA179" s="386">
        <f t="shared" si="60"/>
        <v>57.512591402919725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6.0917789963061166E-2</v>
      </c>
      <c r="AD179" s="231">
        <f>(INDEX(Models!$BJ179:$BT179,,AH179)*(1-AF179)+INDEX(Models!$BJ179:$BT179,,AH179+1)*AF179-ERP_i)*AE179*Ramure*Pc/MaxiM</f>
        <v>4.3571824681454399E-5</v>
      </c>
      <c r="AE179" s="305">
        <f t="shared" si="62"/>
        <v>0.5</v>
      </c>
      <c r="AF179" s="177">
        <f t="shared" si="63"/>
        <v>0.76766091659830904</v>
      </c>
      <c r="AG179" s="811">
        <f t="shared" si="71"/>
        <v>-1</v>
      </c>
      <c r="AH179" s="176">
        <f t="shared" si="64"/>
        <v>5</v>
      </c>
      <c r="AI179" s="225">
        <f t="shared" si="65"/>
        <v>-0.2323390834016909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7">
        <v>53.889000000000003</v>
      </c>
      <c r="C180" s="390"/>
      <c r="D180" s="393">
        <f t="shared" si="48"/>
        <v>55.206746819242511</v>
      </c>
      <c r="E180" s="385">
        <f t="shared" si="72"/>
        <v>55.767138781221753</v>
      </c>
      <c r="F180" s="385">
        <f t="shared" si="49"/>
        <v>55.769155220285732</v>
      </c>
      <c r="G180" s="110">
        <f t="shared" si="73"/>
        <v>0.87894930767787327</v>
      </c>
      <c r="H180" s="414" t="b">
        <f>Wh_hp&gt;='2020'!Maxi_hp</f>
        <v>0</v>
      </c>
      <c r="I180" s="380">
        <f>IF(H180,Wh_hp,'2020'!Maxi_hp)</f>
        <v>55.946579571912302</v>
      </c>
      <c r="J180" s="85">
        <f>IF(H180,An,'2020'!An_max)</f>
        <v>2020</v>
      </c>
      <c r="K180" s="197">
        <f t="shared" si="50"/>
        <v>44362</v>
      </c>
      <c r="L180" s="147">
        <f>IF(t&lt;Tvie,1-EXP((T0-t)*PertePVj)+'2020'!Pspv,1-EXP((T0-t)*PertePVj)+Pspv)</f>
        <v>2.3869307560488329E-2</v>
      </c>
      <c r="M180" s="845"/>
      <c r="N180" s="845"/>
      <c r="O180" s="48">
        <f>IF(t&lt;Tnet,'2020'!Resal+('2020'!Salim-'2020'!Resal)*(1-EXP(('2020'!Tnet-t)/('2020'!Tau_j))),Resal+(Salim-Resal)*(1-EXP((Tnet-t)/(Tau_j))))*Salcycl</f>
        <v>1.0048784539183489E-2</v>
      </c>
      <c r="P180" s="169">
        <f>(INDEX(Models!$BJ180:$BT180,,T180)*(1-R180)+INDEX(Models!$BJ180:$BT180,,T180+1)*R180-ERP_i)*Q180*Ramure*Pc/MaxiM</f>
        <v>4.3716315648815631E-5</v>
      </c>
      <c r="Q180" s="305">
        <f t="shared" si="51"/>
        <v>0.5</v>
      </c>
      <c r="R180" s="177">
        <f t="shared" si="52"/>
        <v>0.77276283514544919</v>
      </c>
      <c r="S180" s="811">
        <f t="shared" si="53"/>
        <v>-1</v>
      </c>
      <c r="T180" s="176">
        <f t="shared" si="54"/>
        <v>5</v>
      </c>
      <c r="U180" s="251">
        <f t="shared" si="55"/>
        <v>-0.22723716485455087</v>
      </c>
      <c r="V180" s="383">
        <f t="shared" si="56"/>
        <v>61.310239560470016</v>
      </c>
      <c r="W180" s="402"/>
      <c r="X180" s="157">
        <f t="shared" si="57"/>
        <v>44362</v>
      </c>
      <c r="Y180" s="385">
        <f t="shared" si="58"/>
        <v>51.116029574627525</v>
      </c>
      <c r="Z180" s="385">
        <f t="shared" si="59"/>
        <v>52.365968994254381</v>
      </c>
      <c r="AA180" s="386">
        <f t="shared" si="60"/>
        <v>55.767138781221753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6.0988780513025552E-2</v>
      </c>
      <c r="AD180" s="231">
        <f>(INDEX(Models!$BJ180:$BT180,,AH180)*(1-AF180)+INDEX(Models!$BJ180:$BT180,,AH180+1)*AF180-ERP_i)*AE180*Ramure*Pc/MaxiM</f>
        <v>4.3716315648815631E-5</v>
      </c>
      <c r="AE180" s="305">
        <f t="shared" si="62"/>
        <v>0.5</v>
      </c>
      <c r="AF180" s="177">
        <f t="shared" si="63"/>
        <v>0.77276283514544919</v>
      </c>
      <c r="AG180" s="811">
        <f t="shared" si="71"/>
        <v>-1</v>
      </c>
      <c r="AH180" s="176">
        <f t="shared" si="64"/>
        <v>5</v>
      </c>
      <c r="AI180" s="225">
        <f t="shared" si="65"/>
        <v>-0.22723716485455087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7">
        <v>50.783000000000001</v>
      </c>
      <c r="C181" s="390"/>
      <c r="D181" s="393">
        <f t="shared" si="48"/>
        <v>52.025935354491864</v>
      </c>
      <c r="E181" s="385">
        <f t="shared" si="72"/>
        <v>52.558868110789923</v>
      </c>
      <c r="F181" s="385">
        <f t="shared" si="49"/>
        <v>52.560613119795072</v>
      </c>
      <c r="G181" s="110">
        <f t="shared" si="73"/>
        <v>0.82913589699319157</v>
      </c>
      <c r="H181" s="414" t="b">
        <f>Wh_hp&gt;='2020'!Maxi_hp</f>
        <v>0</v>
      </c>
      <c r="I181" s="380">
        <f>IF(H181,Wh_hp,'2020'!Maxi_hp)</f>
        <v>64.761857489550721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2.3890687327826177E-2</v>
      </c>
      <c r="M181" s="845"/>
      <c r="N181" s="845"/>
      <c r="O181" s="48">
        <f>IF(t&lt;Tnet,'2020'!Resal+('2020'!Salim-'2020'!Resal)*(1-EXP(('2020'!Tnet-t)/('2020'!Tau_j))),Resal+(Salim-Resal)*(1-EXP((Tnet-t)/(Tau_j))))*Salcycl</f>
        <v>1.0139730467077097E-2</v>
      </c>
      <c r="P181" s="169">
        <f>(INDEX(Models!$BJ181:$BT181,,T181)*(1-R181)+INDEX(Models!$BJ181:$BT181,,T181+1)*R181-ERP_i)*Q181*Ramure*Pc/MaxiM</f>
        <v>4.3919841997345948E-5</v>
      </c>
      <c r="Q181" s="305">
        <f t="shared" si="51"/>
        <v>0.5</v>
      </c>
      <c r="R181" s="177">
        <f t="shared" si="52"/>
        <v>0.77784333601572109</v>
      </c>
      <c r="S181" s="811">
        <f t="shared" si="53"/>
        <v>-1</v>
      </c>
      <c r="T181" s="176">
        <f t="shared" si="54"/>
        <v>5</v>
      </c>
      <c r="U181" s="251">
        <f t="shared" si="55"/>
        <v>-0.22215666398427897</v>
      </c>
      <c r="V181" s="383">
        <f t="shared" si="56"/>
        <v>61.24744541529536</v>
      </c>
      <c r="W181" s="402"/>
      <c r="X181" s="157">
        <f t="shared" si="57"/>
        <v>44363</v>
      </c>
      <c r="Y181" s="385">
        <f t="shared" si="58"/>
        <v>48.170686367656572</v>
      </c>
      <c r="Z181" s="385">
        <f t="shared" si="59"/>
        <v>49.349684243648525</v>
      </c>
      <c r="AA181" s="386">
        <f t="shared" si="60"/>
        <v>52.558868110789923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6.1058846632250342E-2</v>
      </c>
      <c r="AD181" s="231">
        <f>(INDEX(Models!$BJ181:$BT181,,AH181)*(1-AF181)+INDEX(Models!$BJ181:$BT181,,AH181+1)*AF181-ERP_i)*AE181*Ramure*Pc/MaxiM</f>
        <v>4.3919841997345948E-5</v>
      </c>
      <c r="AE181" s="305">
        <f t="shared" si="62"/>
        <v>0.5</v>
      </c>
      <c r="AF181" s="177">
        <f t="shared" si="63"/>
        <v>0.77784333601572109</v>
      </c>
      <c r="AG181" s="811">
        <f t="shared" si="71"/>
        <v>-1</v>
      </c>
      <c r="AH181" s="176">
        <f t="shared" si="64"/>
        <v>5</v>
      </c>
      <c r="AI181" s="225">
        <f t="shared" si="65"/>
        <v>-0.22215666398427897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7">
        <v>15.753</v>
      </c>
      <c r="C182" s="390"/>
      <c r="D182" s="393">
        <f t="shared" si="48"/>
        <v>16.138914806129915</v>
      </c>
      <c r="E182" s="385">
        <f t="shared" si="72"/>
        <v>16.305730995075574</v>
      </c>
      <c r="F182" s="385">
        <f t="shared" si="49"/>
        <v>16.305730995075574</v>
      </c>
      <c r="G182" s="110">
        <f t="shared" si="73"/>
        <v>0.25747079037325221</v>
      </c>
      <c r="H182" s="414" t="b">
        <f>Wh_hp&gt;='2020'!Maxi_hp</f>
        <v>0</v>
      </c>
      <c r="I182" s="380">
        <f>IF(H182,Wh_hp,'2020'!Maxi_hp)</f>
        <v>62.682408537874828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2.3912066626892159E-2</v>
      </c>
      <c r="M182" s="845"/>
      <c r="N182" s="845"/>
      <c r="O182" s="48">
        <f>IF(t&lt;Tnet,'2020'!Resal+('2020'!Salim-'2020'!Resal)*(1-EXP(('2020'!Tnet-t)/('2020'!Tau_j))),Resal+(Salim-Resal)*(1-EXP((Tnet-t)/(Tau_j))))*Salcycl</f>
        <v>1.0230525021910341E-2</v>
      </c>
      <c r="P182" s="169">
        <f>(INDEX(Models!$BJ182:$BT182,,T182)*(1-R182)+INDEX(Models!$BJ182:$BT182,,T182+1)*R182-ERP_i)*Q182*Ramure*Pc/MaxiM</f>
        <v>4.4183753881055503E-5</v>
      </c>
      <c r="Q182" s="305">
        <f t="shared" si="51"/>
        <v>0.5</v>
      </c>
      <c r="R182" s="177">
        <f t="shared" si="52"/>
        <v>0.78289829354538076</v>
      </c>
      <c r="S182" s="811">
        <f t="shared" si="53"/>
        <v>-1</v>
      </c>
      <c r="T182" s="176">
        <f t="shared" si="54"/>
        <v>5</v>
      </c>
      <c r="U182" s="251">
        <f t="shared" si="55"/>
        <v>-0.21710170645461918</v>
      </c>
      <c r="V182" s="383">
        <f t="shared" si="56"/>
        <v>61.180936099544311</v>
      </c>
      <c r="W182" s="402"/>
      <c r="X182" s="157">
        <f t="shared" si="57"/>
        <v>44364</v>
      </c>
      <c r="Y182" s="385">
        <f t="shared" si="58"/>
        <v>14.942925149204244</v>
      </c>
      <c r="Z182" s="385">
        <f t="shared" si="59"/>
        <v>15.308994854147365</v>
      </c>
      <c r="AA182" s="386">
        <f t="shared" si="60"/>
        <v>16.305730995075574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6.112796422492376E-2</v>
      </c>
      <c r="AD182" s="231">
        <f>(INDEX(Models!$BJ182:$BT182,,AH182)*(1-AF182)+INDEX(Models!$BJ182:$BT182,,AH182+1)*AF182-ERP_i)*AE182*Ramure*Pc/MaxiM</f>
        <v>4.4183753881055503E-5</v>
      </c>
      <c r="AE182" s="305">
        <f t="shared" si="62"/>
        <v>0.5</v>
      </c>
      <c r="AF182" s="177">
        <f t="shared" si="63"/>
        <v>0.78289829354538076</v>
      </c>
      <c r="AG182" s="811">
        <f t="shared" si="71"/>
        <v>-1</v>
      </c>
      <c r="AH182" s="176">
        <f t="shared" si="64"/>
        <v>5</v>
      </c>
      <c r="AI182" s="225">
        <f t="shared" si="65"/>
        <v>-0.21710170645461918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7">
        <v>46.02</v>
      </c>
      <c r="C183" s="390"/>
      <c r="D183" s="393">
        <f t="shared" si="48"/>
        <v>47.148424239963518</v>
      </c>
      <c r="E183" s="385">
        <f t="shared" si="72"/>
        <v>47.640125640943964</v>
      </c>
      <c r="F183" s="385">
        <f t="shared" si="49"/>
        <v>47.641498068382333</v>
      </c>
      <c r="G183" s="110">
        <f t="shared" si="73"/>
        <v>0.75304251171267067</v>
      </c>
      <c r="H183" s="414" t="b">
        <f>Wh_hp&gt;='2020'!Maxi_hp</f>
        <v>0</v>
      </c>
      <c r="I183" s="380">
        <f>IF(H183,Wh_hp,'2020'!Maxi_hp)</f>
        <v>60.904385564297691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2.3933445457696712E-2</v>
      </c>
      <c r="M183" s="845"/>
      <c r="N183" s="845"/>
      <c r="O183" s="48">
        <f>IF(t&lt;Tnet,'2020'!Resal+('2020'!Salim-'2020'!Resal)*(1-EXP(('2020'!Tnet-t)/('2020'!Tau_j))),Resal+(Salim-Resal)*(1-EXP((Tnet-t)/(Tau_j))))*Salcycl</f>
        <v>1.0321160877834752E-2</v>
      </c>
      <c r="P183" s="169">
        <f>(INDEX(Models!$BJ183:$BT183,,T183)*(1-R183)+INDEX(Models!$BJ183:$BT183,,T183+1)*R183-ERP_i)*Q183*Ramure*Pc/MaxiM</f>
        <v>4.4509399107499792E-5</v>
      </c>
      <c r="Q183" s="305">
        <f t="shared" si="51"/>
        <v>0.5</v>
      </c>
      <c r="R183" s="177">
        <f t="shared" si="52"/>
        <v>0.78792366632765276</v>
      </c>
      <c r="S183" s="811">
        <f t="shared" si="53"/>
        <v>-1</v>
      </c>
      <c r="T183" s="176">
        <f t="shared" si="54"/>
        <v>5</v>
      </c>
      <c r="U183" s="251">
        <f t="shared" si="55"/>
        <v>-0.21207633367234724</v>
      </c>
      <c r="V183" s="383">
        <f t="shared" si="56"/>
        <v>61.111128066696217</v>
      </c>
      <c r="W183" s="402"/>
      <c r="X183" s="157">
        <f t="shared" si="57"/>
        <v>44365</v>
      </c>
      <c r="Y183" s="385">
        <f t="shared" si="58"/>
        <v>43.654318164773301</v>
      </c>
      <c r="Z183" s="385">
        <f t="shared" si="59"/>
        <v>44.724735174686593</v>
      </c>
      <c r="AA183" s="386">
        <f t="shared" si="60"/>
        <v>47.640125640943964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6.1196112038624906E-2</v>
      </c>
      <c r="AD183" s="231">
        <f>(INDEX(Models!$BJ183:$BT183,,AH183)*(1-AF183)+INDEX(Models!$BJ183:$BT183,,AH183+1)*AF183-ERP_i)*AE183*Ramure*Pc/MaxiM</f>
        <v>4.4509399107499792E-5</v>
      </c>
      <c r="AE183" s="305">
        <f t="shared" si="62"/>
        <v>0.5</v>
      </c>
      <c r="AF183" s="177">
        <f t="shared" si="63"/>
        <v>0.78792366632765276</v>
      </c>
      <c r="AG183" s="811">
        <f t="shared" si="71"/>
        <v>-1</v>
      </c>
      <c r="AH183" s="176">
        <f t="shared" si="64"/>
        <v>5</v>
      </c>
      <c r="AI183" s="225">
        <f t="shared" si="65"/>
        <v>-0.21207633367234724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7">
        <v>34.194000000000003</v>
      </c>
      <c r="C184" s="390"/>
      <c r="D184" s="393">
        <f t="shared" si="48"/>
        <v>35.033214480743233</v>
      </c>
      <c r="E184" s="385">
        <f t="shared" si="72"/>
        <v>35.401805015156278</v>
      </c>
      <c r="F184" s="385">
        <f t="shared" si="49"/>
        <v>35.402395790657998</v>
      </c>
      <c r="G184" s="110">
        <f t="shared" si="73"/>
        <v>0.56018857492858987</v>
      </c>
      <c r="H184" s="414" t="b">
        <f>Wh_hp&gt;='2020'!Maxi_hp</f>
        <v>0</v>
      </c>
      <c r="I184" s="380">
        <f>IF(H184,Wh_hp,'2020'!Maxi_hp)</f>
        <v>51.67282048424785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2.3954823820249938E-2</v>
      </c>
      <c r="M184" s="845"/>
      <c r="N184" s="845"/>
      <c r="O184" s="48">
        <f>IF(t&lt;Tnet,'2020'!Resal+('2020'!Salim-'2020'!Resal)*(1-EXP(('2020'!Tnet-t)/('2020'!Tau_j))),Resal+(Salim-Resal)*(1-EXP((Tnet-t)/(Tau_j))))*Salcycl</f>
        <v>1.0411631109070426E-2</v>
      </c>
      <c r="P184" s="169">
        <f>(INDEX(Models!$BJ184:$BT184,,T184)*(1-R184)+INDEX(Models!$BJ184:$BT184,,T184+1)*R184-ERP_i)*Q184*Ramure*Pc/MaxiM</f>
        <v>4.4892446004547723E-5</v>
      </c>
      <c r="Q184" s="305">
        <f t="shared" si="51"/>
        <v>0.5</v>
      </c>
      <c r="R184" s="177">
        <f t="shared" si="52"/>
        <v>0.79291550974206526</v>
      </c>
      <c r="S184" s="811">
        <f t="shared" si="53"/>
        <v>-1</v>
      </c>
      <c r="T184" s="176">
        <f t="shared" si="54"/>
        <v>5</v>
      </c>
      <c r="U184" s="251">
        <f t="shared" si="55"/>
        <v>-0.20708449025793474</v>
      </c>
      <c r="V184" s="383">
        <f t="shared" si="56"/>
        <v>61.038437898220657</v>
      </c>
      <c r="W184" s="402"/>
      <c r="X184" s="157">
        <f t="shared" si="57"/>
        <v>44366</v>
      </c>
      <c r="Y184" s="385">
        <f t="shared" si="58"/>
        <v>32.436884563049041</v>
      </c>
      <c r="Z184" s="385">
        <f t="shared" si="59"/>
        <v>33.232974614973571</v>
      </c>
      <c r="AA184" s="386">
        <f t="shared" si="60"/>
        <v>35.401805015156278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6.1263271724540116E-2</v>
      </c>
      <c r="AD184" s="231">
        <f>(INDEX(Models!$BJ184:$BT184,,AH184)*(1-AF184)+INDEX(Models!$BJ184:$BT184,,AH184+1)*AF184-ERP_i)*AE184*Ramure*Pc/MaxiM</f>
        <v>4.4892446004547723E-5</v>
      </c>
      <c r="AE184" s="305">
        <f t="shared" si="62"/>
        <v>0.5</v>
      </c>
      <c r="AF184" s="177">
        <f t="shared" si="63"/>
        <v>0.79291550974206526</v>
      </c>
      <c r="AG184" s="811">
        <f t="shared" si="71"/>
        <v>-1</v>
      </c>
      <c r="AH184" s="176">
        <f t="shared" si="64"/>
        <v>5</v>
      </c>
      <c r="AI184" s="225">
        <f t="shared" si="65"/>
        <v>-0.20708449025793474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7">
        <v>35.020000000000003</v>
      </c>
      <c r="C185" s="390"/>
      <c r="D185" s="393">
        <f t="shared" si="48"/>
        <v>35.880272654743628</v>
      </c>
      <c r="E185" s="385">
        <f t="shared" si="72"/>
        <v>36.261083992150702</v>
      </c>
      <c r="F185" s="385">
        <f t="shared" si="49"/>
        <v>36.261727461384126</v>
      </c>
      <c r="G185" s="110">
        <f t="shared" si="73"/>
        <v>0.57442829336476964</v>
      </c>
      <c r="H185" s="414" t="b">
        <f>Wh_hp&gt;='2020'!Maxi_hp</f>
        <v>0</v>
      </c>
      <c r="I185" s="380">
        <f>IF(H185,Wh_hp,'2020'!Maxi_hp)</f>
        <v>58.208712843769881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2.3976201714562162E-2</v>
      </c>
      <c r="M185" s="845"/>
      <c r="N185" s="845"/>
      <c r="O185" s="48">
        <f>IF(t&lt;Tnet,'2020'!Resal+('2020'!Salim-'2020'!Resal)*(1-EXP(('2020'!Tnet-t)/('2020'!Tau_j))),Resal+(Salim-Resal)*(1-EXP((Tnet-t)/(Tau_j))))*Salcycl</f>
        <v>1.0501929216719271E-2</v>
      </c>
      <c r="P185" s="169">
        <f>(INDEX(Models!$BJ185:$BT185,,T185)*(1-R185)+INDEX(Models!$BJ185:$BT185,,T185+1)*R185-ERP_i)*Q185*Ramure*Pc/MaxiM</f>
        <v>4.5260926359599073E-5</v>
      </c>
      <c r="Q185" s="305">
        <f t="shared" si="51"/>
        <v>0.5</v>
      </c>
      <c r="R185" s="177">
        <f t="shared" si="52"/>
        <v>0.79786998781914753</v>
      </c>
      <c r="S185" s="811">
        <f t="shared" si="53"/>
        <v>-1</v>
      </c>
      <c r="T185" s="176">
        <f t="shared" si="54"/>
        <v>5</v>
      </c>
      <c r="U185" s="251">
        <f t="shared" si="55"/>
        <v>-0.20213001218085241</v>
      </c>
      <c r="V185" s="383">
        <f t="shared" si="56"/>
        <v>60.963286078310027</v>
      </c>
      <c r="W185" s="402"/>
      <c r="X185" s="157">
        <f t="shared" si="57"/>
        <v>44367</v>
      </c>
      <c r="Y185" s="385">
        <f t="shared" si="58"/>
        <v>33.22112938488101</v>
      </c>
      <c r="Z185" s="385">
        <f t="shared" si="59"/>
        <v>34.037212456540431</v>
      </c>
      <c r="AA185" s="386">
        <f t="shared" si="60"/>
        <v>36.261083992150702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6.1329427881738598E-2</v>
      </c>
      <c r="AD185" s="231">
        <f>(INDEX(Models!$BJ185:$BT185,,AH185)*(1-AF185)+INDEX(Models!$BJ185:$BT185,,AH185+1)*AF185-ERP_i)*AE185*Ramure*Pc/MaxiM</f>
        <v>4.5260926359599073E-5</v>
      </c>
      <c r="AE185" s="305">
        <f t="shared" si="62"/>
        <v>0.5</v>
      </c>
      <c r="AF185" s="177">
        <f t="shared" si="63"/>
        <v>0.79786998781914753</v>
      </c>
      <c r="AG185" s="811">
        <f t="shared" si="71"/>
        <v>-1</v>
      </c>
      <c r="AH185" s="176">
        <f t="shared" si="64"/>
        <v>5</v>
      </c>
      <c r="AI185" s="225">
        <f t="shared" si="65"/>
        <v>-0.20213001218085241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7">
        <v>36.430999999999997</v>
      </c>
      <c r="C186" s="390"/>
      <c r="D186" s="393">
        <f t="shared" si="48"/>
        <v>37.32675167744258</v>
      </c>
      <c r="E186" s="385">
        <f t="shared" si="72"/>
        <v>37.726351042042609</v>
      </c>
      <c r="F186" s="385">
        <f t="shared" si="49"/>
        <v>37.727084503208403</v>
      </c>
      <c r="G186" s="110">
        <f t="shared" si="73"/>
        <v>0.59833120121373606</v>
      </c>
      <c r="H186" s="414" t="b">
        <f>Wh_hp&gt;='2020'!Maxi_hp</f>
        <v>0</v>
      </c>
      <c r="I186" s="380">
        <f>IF(H186,Wh_hp,'2020'!Maxi_hp)</f>
        <v>54.428674381419142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2.399757914064371E-2</v>
      </c>
      <c r="M186" s="845"/>
      <c r="N186" s="845"/>
      <c r="O186" s="48">
        <f>IF(t&lt;Tnet,'2020'!Resal+('2020'!Salim-'2020'!Resal)*(1-EXP(('2020'!Tnet-t)/('2020'!Tau_j))),Resal+(Salim-Resal)*(1-EXP((Tnet-t)/(Tau_j))))*Salcycl</f>
        <v>1.0592049152983457E-2</v>
      </c>
      <c r="P186" s="169">
        <f>(INDEX(Models!$BJ186:$BT186,,T186)*(1-R186)+INDEX(Models!$BJ186:$BT186,,T186+1)*R186-ERP_i)*Q186*Ramure*Pc/MaxiM</f>
        <v>4.5614240203278052E-5</v>
      </c>
      <c r="Q186" s="305">
        <f t="shared" si="51"/>
        <v>0.5</v>
      </c>
      <c r="R186" s="177">
        <f t="shared" si="52"/>
        <v>0.80278338436877428</v>
      </c>
      <c r="S186" s="811">
        <f t="shared" si="53"/>
        <v>-1</v>
      </c>
      <c r="T186" s="176">
        <f t="shared" si="54"/>
        <v>5</v>
      </c>
      <c r="U186" s="251">
        <f t="shared" si="55"/>
        <v>-0.19721661563122572</v>
      </c>
      <c r="V186" s="383">
        <f t="shared" si="56"/>
        <v>60.88608850559428</v>
      </c>
      <c r="W186" s="402"/>
      <c r="X186" s="157">
        <f t="shared" si="57"/>
        <v>44368</v>
      </c>
      <c r="Y186" s="385">
        <f t="shared" si="58"/>
        <v>34.560399945054293</v>
      </c>
      <c r="Z186" s="385">
        <f t="shared" si="59"/>
        <v>35.41015801438725</v>
      </c>
      <c r="AA186" s="386">
        <f t="shared" si="60"/>
        <v>37.726351042042609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6.1394568085160625E-2</v>
      </c>
      <c r="AD186" s="231">
        <f>(INDEX(Models!$BJ186:$BT186,,AH186)*(1-AF186)+INDEX(Models!$BJ186:$BT186,,AH186+1)*AF186-ERP_i)*AE186*Ramure*Pc/MaxiM</f>
        <v>4.5614240203278052E-5</v>
      </c>
      <c r="AE186" s="305">
        <f t="shared" si="62"/>
        <v>0.5</v>
      </c>
      <c r="AF186" s="177">
        <f t="shared" si="63"/>
        <v>0.80278338436877428</v>
      </c>
      <c r="AG186" s="811">
        <f t="shared" si="71"/>
        <v>-1</v>
      </c>
      <c r="AH186" s="176">
        <f t="shared" si="64"/>
        <v>5</v>
      </c>
      <c r="AI186" s="225">
        <f t="shared" si="65"/>
        <v>-0.19721661563122572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7">
        <v>40.643999999999998</v>
      </c>
      <c r="C187" s="390"/>
      <c r="D187" s="393">
        <f t="shared" si="48"/>
        <v>41.644251447266996</v>
      </c>
      <c r="E187" s="385">
        <f t="shared" si="72"/>
        <v>42.093897847082552</v>
      </c>
      <c r="F187" s="385">
        <f t="shared" si="49"/>
        <v>42.094915880594208</v>
      </c>
      <c r="G187" s="110">
        <f t="shared" si="73"/>
        <v>0.6683924696792074</v>
      </c>
      <c r="H187" s="414" t="b">
        <f>Wh_hp&gt;='2020'!Maxi_hp</f>
        <v>0</v>
      </c>
      <c r="I187" s="380">
        <f>IF(H187,Wh_hp,'2020'!Maxi_hp)</f>
        <v>63.004166310746122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2.4018956098504685E-2</v>
      </c>
      <c r="M187" s="845"/>
      <c r="N187" s="845"/>
      <c r="O187" s="48">
        <f>IF(t&lt;Tnet,'2020'!Resal+('2020'!Salim-'2020'!Resal)*(1-EXP(('2020'!Tnet-t)/('2020'!Tau_j))),Resal+(Salim-Resal)*(1-EXP((Tnet-t)/(Tau_j))))*Salcycl</f>
        <v>1.0681985342602849E-2</v>
      </c>
      <c r="P187" s="169">
        <f>(INDEX(Models!$BJ187:$BT187,,T187)*(1-R187)+INDEX(Models!$BJ187:$BT187,,T187+1)*R187-ERP_i)*Q187*Ramure*Pc/MaxiM</f>
        <v>4.5951804625346502E-5</v>
      </c>
      <c r="Q187" s="305">
        <f t="shared" si="51"/>
        <v>0.5</v>
      </c>
      <c r="R187" s="177">
        <f t="shared" si="52"/>
        <v>0.80765211330886189</v>
      </c>
      <c r="S187" s="811">
        <f t="shared" si="53"/>
        <v>-1</v>
      </c>
      <c r="T187" s="176">
        <f t="shared" si="54"/>
        <v>5</v>
      </c>
      <c r="U187" s="251">
        <f t="shared" si="55"/>
        <v>-0.19234788669113811</v>
      </c>
      <c r="V187" s="383">
        <f t="shared" si="56"/>
        <v>60.807260855553253</v>
      </c>
      <c r="W187" s="402"/>
      <c r="X187" s="157">
        <f t="shared" si="57"/>
        <v>44369</v>
      </c>
      <c r="Y187" s="385">
        <f t="shared" si="58"/>
        <v>38.557948735564572</v>
      </c>
      <c r="Z187" s="385">
        <f t="shared" si="59"/>
        <v>39.506862327395964</v>
      </c>
      <c r="AA187" s="386">
        <f t="shared" si="60"/>
        <v>42.093897847082552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6.1458682897095655E-2</v>
      </c>
      <c r="AD187" s="231">
        <f>(INDEX(Models!$BJ187:$BT187,,AH187)*(1-AF187)+INDEX(Models!$BJ187:$BT187,,AH187+1)*AF187-ERP_i)*AE187*Ramure*Pc/MaxiM</f>
        <v>4.5951804625346502E-5</v>
      </c>
      <c r="AE187" s="305">
        <f t="shared" si="62"/>
        <v>0.5</v>
      </c>
      <c r="AF187" s="177">
        <f t="shared" si="63"/>
        <v>0.80765211330886189</v>
      </c>
      <c r="AG187" s="811">
        <f t="shared" si="71"/>
        <v>-1</v>
      </c>
      <c r="AH187" s="176">
        <f t="shared" si="64"/>
        <v>5</v>
      </c>
      <c r="AI187" s="225">
        <f t="shared" si="65"/>
        <v>-0.19234788669113811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7">
        <v>23.205000000000002</v>
      </c>
      <c r="C188" s="390"/>
      <c r="D188" s="393">
        <f t="shared" si="48"/>
        <v>23.77659730707677</v>
      </c>
      <c r="E188" s="385">
        <f t="shared" si="72"/>
        <v>24.035501302449603</v>
      </c>
      <c r="F188" s="385">
        <f t="shared" si="49"/>
        <v>24.03563177609421</v>
      </c>
      <c r="G188" s="110">
        <f t="shared" si="73"/>
        <v>0.38210299658702268</v>
      </c>
      <c r="H188" s="414" t="b">
        <f>Wh_hp&gt;='2020'!Maxi_hp</f>
        <v>0</v>
      </c>
      <c r="I188" s="380">
        <f>IF(H188,Wh_hp,'2020'!Maxi_hp)</f>
        <v>55.386626209177535</v>
      </c>
      <c r="J188" s="85">
        <f>IF(H188,An,'2020'!An_max)</f>
        <v>2019</v>
      </c>
      <c r="K188" s="197">
        <f t="shared" si="50"/>
        <v>44370</v>
      </c>
      <c r="L188" s="147">
        <f>IF(t&lt;Tvie,1-EXP((T0-t)*PertePVj)+'2020'!Pspv,1-EXP((T0-t)*PertePVj)+Pspv)</f>
        <v>2.4040332588155522E-2</v>
      </c>
      <c r="M188" s="845"/>
      <c r="N188" s="845"/>
      <c r="O188" s="48">
        <f>IF(t&lt;Tnet,'2020'!Resal+('2020'!Salim-'2020'!Resal)*(1-EXP(('2020'!Tnet-t)/('2020'!Tau_j))),Resal+(Salim-Resal)*(1-EXP((Tnet-t)/(Tau_j))))*Salcycl</f>
        <v>1.0771732701345649E-2</v>
      </c>
      <c r="P188" s="169">
        <f>(INDEX(Models!$BJ188:$BT188,,T188)*(1-R188)+INDEX(Models!$BJ188:$BT188,,T188+1)*R188-ERP_i)*Q188*Ramure*Pc/MaxiM</f>
        <v>4.6272582034947487E-5</v>
      </c>
      <c r="Q188" s="305">
        <f t="shared" si="51"/>
        <v>0.5</v>
      </c>
      <c r="R188" s="177">
        <f t="shared" si="52"/>
        <v>0.81247272814008387</v>
      </c>
      <c r="S188" s="811">
        <f t="shared" si="53"/>
        <v>-1</v>
      </c>
      <c r="T188" s="176">
        <f t="shared" si="54"/>
        <v>5</v>
      </c>
      <c r="U188" s="251">
        <f t="shared" si="55"/>
        <v>-0.18752727185991619</v>
      </c>
      <c r="V188" s="383">
        <f t="shared" si="56"/>
        <v>60.727218607391904</v>
      </c>
      <c r="W188" s="402"/>
      <c r="X188" s="157">
        <f t="shared" si="57"/>
        <v>44370</v>
      </c>
      <c r="Y188" s="385">
        <f t="shared" si="58"/>
        <v>22.014521969372982</v>
      </c>
      <c r="Z188" s="385">
        <f t="shared" si="59"/>
        <v>22.55679481894316</v>
      </c>
      <c r="AA188" s="386">
        <f t="shared" si="60"/>
        <v>24.035501302449603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6.1521765862055815E-2</v>
      </c>
      <c r="AD188" s="231">
        <f>(INDEX(Models!$BJ188:$BT188,,AH188)*(1-AF188)+INDEX(Models!$BJ188:$BT188,,AH188+1)*AF188-ERP_i)*AE188*Ramure*Pc/MaxiM</f>
        <v>4.6272582034947487E-5</v>
      </c>
      <c r="AE188" s="305">
        <f t="shared" si="62"/>
        <v>0.5</v>
      </c>
      <c r="AF188" s="177">
        <f t="shared" si="63"/>
        <v>0.81247272814008387</v>
      </c>
      <c r="AG188" s="811">
        <f t="shared" si="71"/>
        <v>-1</v>
      </c>
      <c r="AH188" s="176">
        <f t="shared" si="64"/>
        <v>5</v>
      </c>
      <c r="AI188" s="225">
        <f t="shared" si="65"/>
        <v>-0.18752727185991619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7">
        <v>37.544000000000004</v>
      </c>
      <c r="C189" s="390"/>
      <c r="D189" s="393">
        <f t="shared" si="48"/>
        <v>38.469645397878637</v>
      </c>
      <c r="E189" s="385">
        <f t="shared" si="72"/>
        <v>38.892063245250078</v>
      </c>
      <c r="F189" s="385">
        <f t="shared" si="49"/>
        <v>38.892888917912941</v>
      </c>
      <c r="G189" s="110">
        <f t="shared" si="73"/>
        <v>0.61904849438383558</v>
      </c>
      <c r="H189" s="414" t="b">
        <f>Wh_hp&gt;='2020'!Maxi_hp</f>
        <v>0</v>
      </c>
      <c r="I189" s="380">
        <f>IF(H189,Wh_hp,'2020'!Maxi_hp)</f>
        <v>62.031075143124923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2.4061708609606214E-2</v>
      </c>
      <c r="M189" s="845"/>
      <c r="N189" s="845"/>
      <c r="O189" s="48">
        <f>IF(t&lt;Tnet,'2020'!Resal+('2020'!Salim-'2020'!Resal)*(1-EXP(('2020'!Tnet-t)/('2020'!Tau_j))),Resal+(Salim-Resal)*(1-EXP((Tnet-t)/(Tau_j))))*Salcycl</f>
        <v>1.0861286651410425E-2</v>
      </c>
      <c r="P189" s="169">
        <f>(INDEX(Models!$BJ189:$BT189,,T189)*(1-R189)+INDEX(Models!$BJ189:$BT189,,T189+1)*R189-ERP_i)*Q189*Ramure*Pc/MaxiM</f>
        <v>4.6575517011335843E-5</v>
      </c>
      <c r="Q189" s="305">
        <f t="shared" si="51"/>
        <v>0.5</v>
      </c>
      <c r="R189" s="177">
        <f t="shared" si="52"/>
        <v>0.81724193052162619</v>
      </c>
      <c r="S189" s="811">
        <f t="shared" si="53"/>
        <v>-1</v>
      </c>
      <c r="T189" s="176">
        <f t="shared" si="54"/>
        <v>5</v>
      </c>
      <c r="U189" s="251">
        <f t="shared" si="55"/>
        <v>-0.18275806947837381</v>
      </c>
      <c r="V189" s="383">
        <f t="shared" si="56"/>
        <v>60.64637702174992</v>
      </c>
      <c r="W189" s="402"/>
      <c r="X189" s="157">
        <f t="shared" si="57"/>
        <v>44371</v>
      </c>
      <c r="Y189" s="385">
        <f t="shared" si="58"/>
        <v>35.618762900547665</v>
      </c>
      <c r="Z189" s="385">
        <f t="shared" si="59"/>
        <v>36.496941676304701</v>
      </c>
      <c r="AA189" s="386">
        <f t="shared" si="60"/>
        <v>38.892063245250078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6.1583813485079006E-2</v>
      </c>
      <c r="AD189" s="231">
        <f>(INDEX(Models!$BJ189:$BT189,,AH189)*(1-AF189)+INDEX(Models!$BJ189:$BT189,,AH189+1)*AF189-ERP_i)*AE189*Ramure*Pc/MaxiM</f>
        <v>4.6575517011335843E-5</v>
      </c>
      <c r="AE189" s="305">
        <f t="shared" si="62"/>
        <v>0.5</v>
      </c>
      <c r="AF189" s="177">
        <f t="shared" si="63"/>
        <v>0.81724193052162619</v>
      </c>
      <c r="AG189" s="811">
        <f t="shared" si="71"/>
        <v>-1</v>
      </c>
      <c r="AH189" s="176">
        <f t="shared" si="64"/>
        <v>5</v>
      </c>
      <c r="AI189" s="225">
        <f t="shared" si="65"/>
        <v>-0.18275806947837381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7">
        <v>57.445999999999998</v>
      </c>
      <c r="C190" s="390"/>
      <c r="D190" s="393">
        <f t="shared" si="48"/>
        <v>58.863617453257625</v>
      </c>
      <c r="E190" s="385">
        <f t="shared" si="72"/>
        <v>59.515348798927711</v>
      </c>
      <c r="F190" s="385">
        <f t="shared" si="49"/>
        <v>59.517932616441065</v>
      </c>
      <c r="G190" s="110">
        <f t="shared" si="73"/>
        <v>0.94849597316366752</v>
      </c>
      <c r="H190" s="414" t="b">
        <f>Wh_hp&gt;='2020'!Maxi_hp</f>
        <v>1</v>
      </c>
      <c r="I190" s="380">
        <f>IF(H190,Wh_hp,'2020'!Maxi_hp)</f>
        <v>59.517932616441065</v>
      </c>
      <c r="J190" s="85">
        <f>IF(H190,An,'2020'!An_max)</f>
        <v>2021</v>
      </c>
      <c r="K190" s="197">
        <f t="shared" si="50"/>
        <v>44372</v>
      </c>
      <c r="L190" s="147">
        <f>IF(t&lt;Tvie,1-EXP((T0-t)*PertePVj)+'2020'!Pspv,1-EXP((T0-t)*PertePVj)+Pspv)</f>
        <v>2.4083084162867308E-2</v>
      </c>
      <c r="M190" s="845"/>
      <c r="N190" s="845"/>
      <c r="O190" s="48">
        <f>IF(t&lt;Tnet,'2020'!Resal+('2020'!Salim-'2020'!Resal)*(1-EXP(('2020'!Tnet-t)/('2020'!Tau_j))),Resal+(Salim-Resal)*(1-EXP((Tnet-t)/(Tau_j))))*Salcycl</f>
        <v>1.095064313362179E-2</v>
      </c>
      <c r="P190" s="169">
        <f>(INDEX(Models!$BJ190:$BT190,,T190)*(1-R190)+INDEX(Models!$BJ190:$BT190,,T190+1)*R190-ERP_i)*Q190*Ramure*Pc/MaxiM</f>
        <v>4.6860030456562675E-5</v>
      </c>
      <c r="Q190" s="305">
        <f t="shared" si="51"/>
        <v>0.5</v>
      </c>
      <c r="R190" s="177">
        <f t="shared" si="52"/>
        <v>0.82195657791260213</v>
      </c>
      <c r="S190" s="811">
        <f t="shared" si="53"/>
        <v>-1</v>
      </c>
      <c r="T190" s="176">
        <f t="shared" si="54"/>
        <v>5</v>
      </c>
      <c r="U190" s="251">
        <f t="shared" si="55"/>
        <v>-0.17804342208739793</v>
      </c>
      <c r="V190" s="383">
        <f t="shared" si="56"/>
        <v>60.56515110800909</v>
      </c>
      <c r="W190" s="402"/>
      <c r="X190" s="157">
        <f t="shared" si="57"/>
        <v>44372</v>
      </c>
      <c r="Y190" s="385">
        <f t="shared" si="58"/>
        <v>54.501578710605806</v>
      </c>
      <c r="Z190" s="385">
        <f t="shared" si="59"/>
        <v>55.846535525880135</v>
      </c>
      <c r="AA190" s="386">
        <f t="shared" si="60"/>
        <v>59.515348798927711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6.1644825193626032E-2</v>
      </c>
      <c r="AD190" s="231">
        <f>(INDEX(Models!$BJ190:$BT190,,AH190)*(1-AF190)+INDEX(Models!$BJ190:$BT190,,AH190+1)*AF190-ERP_i)*AE190*Ramure*Pc/MaxiM</f>
        <v>4.6860030456562675E-5</v>
      </c>
      <c r="AE190" s="305">
        <f t="shared" si="62"/>
        <v>0.5</v>
      </c>
      <c r="AF190" s="177">
        <f t="shared" si="63"/>
        <v>0.82195657791260213</v>
      </c>
      <c r="AG190" s="811">
        <f t="shared" si="71"/>
        <v>-1</v>
      </c>
      <c r="AH190" s="176">
        <f t="shared" si="64"/>
        <v>5</v>
      </c>
      <c r="AI190" s="225">
        <f t="shared" si="65"/>
        <v>-0.17804342208739793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7">
        <v>58.489000000000004</v>
      </c>
      <c r="C191" s="390"/>
      <c r="D191" s="393">
        <f t="shared" si="48"/>
        <v>59.933668674135781</v>
      </c>
      <c r="E191" s="385">
        <f t="shared" si="72"/>
        <v>60.602710392472339</v>
      </c>
      <c r="F191" s="385">
        <f t="shared" si="49"/>
        <v>60.605431997404388</v>
      </c>
      <c r="G191" s="110">
        <f t="shared" si="73"/>
        <v>0.96703119956588346</v>
      </c>
      <c r="H191" s="414" t="b">
        <f>Wh_hp&gt;='2020'!Maxi_hp</f>
        <v>0</v>
      </c>
      <c r="I191" s="380">
        <f>IF(H191,Wh_hp,'2020'!Maxi_hp)</f>
        <v>61.557220620707511</v>
      </c>
      <c r="J191" s="85">
        <f>IF(H191,An,'2020'!An_max)</f>
        <v>2019</v>
      </c>
      <c r="K191" s="197">
        <f t="shared" si="50"/>
        <v>44373</v>
      </c>
      <c r="L191" s="147">
        <f>IF(t&lt;Tvie,1-EXP((T0-t)*PertePVj)+'2020'!Pspv,1-EXP((T0-t)*PertePVj)+Pspv)</f>
        <v>2.4104459247948906E-2</v>
      </c>
      <c r="M191" s="845"/>
      <c r="N191" s="845"/>
      <c r="O191" s="48">
        <f>IF(t&lt;Tnet,'2020'!Resal+('2020'!Salim-'2020'!Resal)*(1-EXP(('2020'!Tnet-t)/('2020'!Tau_j))),Resal+(Salim-Resal)*(1-EXP((Tnet-t)/(Tau_j))))*Salcycl</f>
        <v>1.1039798616328287E-2</v>
      </c>
      <c r="P191" s="169">
        <f>(INDEX(Models!$BJ191:$BT191,,T191)*(1-R191)+INDEX(Models!$BJ191:$BT191,,T191+1)*R191-ERP_i)*Q191*Ramure*Pc/MaxiM</f>
        <v>4.7126374117703243E-5</v>
      </c>
      <c r="Q191" s="305">
        <f t="shared" si="51"/>
        <v>0.5</v>
      </c>
      <c r="R191" s="177">
        <f t="shared" si="52"/>
        <v>0.82661369025343434</v>
      </c>
      <c r="S191" s="811">
        <f t="shared" si="53"/>
        <v>-1</v>
      </c>
      <c r="T191" s="176">
        <f t="shared" si="54"/>
        <v>5</v>
      </c>
      <c r="U191" s="251">
        <f t="shared" si="55"/>
        <v>-0.17338630974656566</v>
      </c>
      <c r="V191" s="383">
        <f t="shared" si="56"/>
        <v>60.482919484255859</v>
      </c>
      <c r="W191" s="402"/>
      <c r="X191" s="157">
        <f t="shared" si="57"/>
        <v>44373</v>
      </c>
      <c r="Y191" s="385">
        <f t="shared" si="58"/>
        <v>55.492574609145848</v>
      </c>
      <c r="Z191" s="385">
        <f t="shared" si="59"/>
        <v>56.863232069266132</v>
      </c>
      <c r="AA191" s="386">
        <f t="shared" si="60"/>
        <v>60.602710392472339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6.1704803283364362E-2</v>
      </c>
      <c r="AD191" s="231">
        <f>(INDEX(Models!$BJ191:$BT191,,AH191)*(1-AF191)+INDEX(Models!$BJ191:$BT191,,AH191+1)*AF191-ERP_i)*AE191*Ramure*Pc/MaxiM</f>
        <v>4.7126374117703243E-5</v>
      </c>
      <c r="AE191" s="305">
        <f t="shared" si="62"/>
        <v>0.5</v>
      </c>
      <c r="AF191" s="177">
        <f t="shared" si="63"/>
        <v>0.82661369025343434</v>
      </c>
      <c r="AG191" s="811">
        <f t="shared" si="71"/>
        <v>-1</v>
      </c>
      <c r="AH191" s="176">
        <f t="shared" si="64"/>
        <v>5</v>
      </c>
      <c r="AI191" s="225">
        <f t="shared" si="65"/>
        <v>-0.17338630974656566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7">
        <v>9.2089999999999996</v>
      </c>
      <c r="C192" s="390"/>
      <c r="D192" s="393">
        <f t="shared" si="48"/>
        <v>9.4366674716591898</v>
      </c>
      <c r="E192" s="385">
        <f t="shared" si="72"/>
        <v>9.5428676611059604</v>
      </c>
      <c r="F192" s="385">
        <f t="shared" si="49"/>
        <v>9.5428676611059604</v>
      </c>
      <c r="G192" s="110">
        <f t="shared" si="73"/>
        <v>0.15246273190129417</v>
      </c>
      <c r="H192" s="414" t="b">
        <f>Wh_hp&gt;='2020'!Maxi_hp</f>
        <v>0</v>
      </c>
      <c r="I192" s="380">
        <f>IF(H192,Wh_hp,'2020'!Maxi_hp)</f>
        <v>61.321800192772599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2.4125833864861224E-2</v>
      </c>
      <c r="M192" s="845"/>
      <c r="N192" s="845"/>
      <c r="O192" s="48">
        <f>IF(t&lt;Tnet,'2020'!Resal+('2020'!Salim-'2020'!Resal)*(1-EXP(('2020'!Tnet-t)/('2020'!Tau_j))),Resal+(Salim-Resal)*(1-EXP((Tnet-t)/(Tau_j))))*Salcycl</f>
        <v>1.1128750100937954E-2</v>
      </c>
      <c r="P192" s="169">
        <f>(INDEX(Models!$BJ192:$BT192,,T192)*(1-R192)+INDEX(Models!$BJ192:$BT192,,T192+1)*R192-ERP_i)*Q192*Ramure*Pc/MaxiM</f>
        <v>4.7452346975382243E-5</v>
      </c>
      <c r="Q192" s="305">
        <f t="shared" si="51"/>
        <v>0.5</v>
      </c>
      <c r="R192" s="177">
        <f t="shared" si="52"/>
        <v>0.83121045567115148</v>
      </c>
      <c r="S192" s="811">
        <f t="shared" si="53"/>
        <v>-1</v>
      </c>
      <c r="T192" s="176">
        <f t="shared" si="54"/>
        <v>5</v>
      </c>
      <c r="U192" s="251">
        <f t="shared" si="55"/>
        <v>-0.16878954432884852</v>
      </c>
      <c r="V192" s="383">
        <f t="shared" si="56"/>
        <v>60.39878005923714</v>
      </c>
      <c r="W192" s="402"/>
      <c r="X192" s="157">
        <f t="shared" si="57"/>
        <v>44374</v>
      </c>
      <c r="Y192" s="385">
        <f t="shared" si="58"/>
        <v>8.737454548205676</v>
      </c>
      <c r="Z192" s="385">
        <f t="shared" si="59"/>
        <v>8.9534643414217765</v>
      </c>
      <c r="AA192" s="386">
        <f t="shared" si="60"/>
        <v>9.5428676611059604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6.176375284825824E-2</v>
      </c>
      <c r="AD192" s="231">
        <f>(INDEX(Models!$BJ192:$BT192,,AH192)*(1-AF192)+INDEX(Models!$BJ192:$BT192,,AH192+1)*AF192-ERP_i)*AE192*Ramure*Pc/MaxiM</f>
        <v>4.7452346975382243E-5</v>
      </c>
      <c r="AE192" s="305">
        <f t="shared" si="62"/>
        <v>0.5</v>
      </c>
      <c r="AF192" s="177">
        <f t="shared" si="63"/>
        <v>0.83121045567115148</v>
      </c>
      <c r="AG192" s="811">
        <f t="shared" si="71"/>
        <v>-1</v>
      </c>
      <c r="AH192" s="176">
        <f t="shared" si="64"/>
        <v>5</v>
      </c>
      <c r="AI192" s="225">
        <f t="shared" si="65"/>
        <v>-0.16878954432884852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7">
        <v>36.768000000000001</v>
      </c>
      <c r="C193" s="390"/>
      <c r="D193" s="393">
        <f t="shared" si="48"/>
        <v>37.677814012457084</v>
      </c>
      <c r="E193" s="385">
        <f t="shared" si="72"/>
        <v>38.105259575951166</v>
      </c>
      <c r="F193" s="385">
        <f t="shared" si="49"/>
        <v>38.106066008307714</v>
      </c>
      <c r="G193" s="110">
        <f t="shared" si="73"/>
        <v>0.60960624719421619</v>
      </c>
      <c r="H193" s="414" t="b">
        <f>Wh_hp&gt;='2020'!Maxi_hp</f>
        <v>0</v>
      </c>
      <c r="I193" s="380">
        <f>IF(H193,Wh_hp,'2020'!Maxi_hp)</f>
        <v>58.28331019002183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2.4147208013614585E-2</v>
      </c>
      <c r="M193" s="845"/>
      <c r="N193" s="845"/>
      <c r="O193" s="48">
        <f>IF(t&lt;Tnet,'2020'!Resal+('2020'!Salim-'2020'!Resal)*(1-EXP(('2020'!Tnet-t)/('2020'!Tau_j))),Resal+(Salim-Resal)*(1-EXP((Tnet-t)/(Tau_j))))*Salcycl</f>
        <v>1.1217495124055052E-2</v>
      </c>
      <c r="P193" s="169">
        <f>(INDEX(Models!$BJ193:$BT193,,T193)*(1-R193)+INDEX(Models!$BJ193:$BT193,,T193+1)*R193-ERP_i)*Q193*Ramure*Pc/MaxiM</f>
        <v>4.7845306053864279E-5</v>
      </c>
      <c r="Q193" s="305">
        <f t="shared" si="51"/>
        <v>0.5</v>
      </c>
      <c r="R193" s="177">
        <f t="shared" si="52"/>
        <v>0.83574423520198104</v>
      </c>
      <c r="S193" s="811">
        <f t="shared" si="53"/>
        <v>-1</v>
      </c>
      <c r="T193" s="176">
        <f t="shared" si="54"/>
        <v>5</v>
      </c>
      <c r="U193" s="251">
        <f t="shared" si="55"/>
        <v>-0.16425576479801901</v>
      </c>
      <c r="V193" s="383">
        <f t="shared" si="56"/>
        <v>60.312733157405304</v>
      </c>
      <c r="W193" s="402"/>
      <c r="X193" s="157">
        <f t="shared" si="57"/>
        <v>44375</v>
      </c>
      <c r="Y193" s="385">
        <f t="shared" si="58"/>
        <v>34.886277050125777</v>
      </c>
      <c r="Z193" s="385">
        <f t="shared" si="59"/>
        <v>35.749528347522002</v>
      </c>
      <c r="AA193" s="386">
        <f t="shared" si="60"/>
        <v>38.105259575951166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6.1821681695508182E-2</v>
      </c>
      <c r="AD193" s="231">
        <f>(INDEX(Models!$BJ193:$BT193,,AH193)*(1-AF193)+INDEX(Models!$BJ193:$BT193,,AH193+1)*AF193-ERP_i)*AE193*Ramure*Pc/MaxiM</f>
        <v>4.7845306053864279E-5</v>
      </c>
      <c r="AE193" s="305">
        <f t="shared" si="62"/>
        <v>0.5</v>
      </c>
      <c r="AF193" s="177">
        <f t="shared" si="63"/>
        <v>0.83574423520198104</v>
      </c>
      <c r="AG193" s="811">
        <f t="shared" si="71"/>
        <v>-1</v>
      </c>
      <c r="AH193" s="176">
        <f t="shared" si="64"/>
        <v>5</v>
      </c>
      <c r="AI193" s="225">
        <f t="shared" si="65"/>
        <v>-0.16425576479801901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7">
        <v>42.7</v>
      </c>
      <c r="C194" s="390"/>
      <c r="D194" s="393">
        <f t="shared" si="48"/>
        <v>43.757558118117267</v>
      </c>
      <c r="E194" s="385">
        <f t="shared" si="72"/>
        <v>44.257939790857115</v>
      </c>
      <c r="F194" s="385">
        <f t="shared" si="49"/>
        <v>44.259189036328237</v>
      </c>
      <c r="G194" s="110">
        <f t="shared" si="73"/>
        <v>0.70899624581198384</v>
      </c>
      <c r="H194" s="414" t="b">
        <f>Wh_hp&gt;='2020'!Maxi_hp</f>
        <v>0</v>
      </c>
      <c r="I194" s="380">
        <f>IF(H194,Wh_hp,'2020'!Maxi_hp)</f>
        <v>58.263031779023748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2.4168581694219315E-2</v>
      </c>
      <c r="M194" s="845"/>
      <c r="N194" s="845"/>
      <c r="O194" s="48">
        <f>IF(t&lt;Tnet,'2020'!Resal+('2020'!Salim-'2020'!Resal)*(1-EXP(('2020'!Tnet-t)/('2020'!Tau_j))),Resal+(Salim-Resal)*(1-EXP((Tnet-t)/(Tau_j))))*Salcycl</f>
        <v>1.1306031756209683E-2</v>
      </c>
      <c r="P194" s="169">
        <f>(INDEX(Models!$BJ194:$BT194,,T194)*(1-R194)+INDEX(Models!$BJ194:$BT194,,T194+1)*R194-ERP_i)*Q194*Ramure*Pc/MaxiM</f>
        <v>4.8306762417003982E-5</v>
      </c>
      <c r="Q194" s="305">
        <f t="shared" si="51"/>
        <v>0.5</v>
      </c>
      <c r="R194" s="177">
        <f t="shared" si="52"/>
        <v>0.84021256653375331</v>
      </c>
      <c r="S194" s="811">
        <f t="shared" si="53"/>
        <v>-1</v>
      </c>
      <c r="T194" s="176">
        <f t="shared" si="54"/>
        <v>5</v>
      </c>
      <c r="U194" s="251">
        <f t="shared" si="55"/>
        <v>-0.15978743346624669</v>
      </c>
      <c r="V194" s="383">
        <f t="shared" si="56"/>
        <v>60.224779419598661</v>
      </c>
      <c r="W194" s="402"/>
      <c r="X194" s="157">
        <f t="shared" si="57"/>
        <v>44376</v>
      </c>
      <c r="Y194" s="385">
        <f t="shared" si="58"/>
        <v>40.51585733920281</v>
      </c>
      <c r="Z194" s="385">
        <f t="shared" si="59"/>
        <v>41.519320426827051</v>
      </c>
      <c r="AA194" s="386">
        <f t="shared" si="60"/>
        <v>44.257939790857115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6.1878600246001732E-2</v>
      </c>
      <c r="AD194" s="231">
        <f>(INDEX(Models!$BJ194:$BT194,,AH194)*(1-AF194)+INDEX(Models!$BJ194:$BT194,,AH194+1)*AF194-ERP_i)*AE194*Ramure*Pc/MaxiM</f>
        <v>4.8306762417003982E-5</v>
      </c>
      <c r="AE194" s="305">
        <f t="shared" si="62"/>
        <v>0.5</v>
      </c>
      <c r="AF194" s="177">
        <f t="shared" si="63"/>
        <v>0.84021256653375331</v>
      </c>
      <c r="AG194" s="811">
        <f t="shared" si="71"/>
        <v>-1</v>
      </c>
      <c r="AH194" s="176">
        <f t="shared" si="64"/>
        <v>5</v>
      </c>
      <c r="AI194" s="225">
        <f t="shared" si="65"/>
        <v>-0.15978743346624669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7">
        <v>49.454000000000001</v>
      </c>
      <c r="C195" s="390"/>
      <c r="D195" s="393">
        <f t="shared" si="48"/>
        <v>50.67994559870597</v>
      </c>
      <c r="E195" s="385">
        <f t="shared" si="72"/>
        <v>51.264066758503191</v>
      </c>
      <c r="F195" s="385">
        <f t="shared" si="49"/>
        <v>51.265935203713077</v>
      </c>
      <c r="G195" s="110">
        <f t="shared" si="73"/>
        <v>0.82237388173585169</v>
      </c>
      <c r="H195" s="414" t="b">
        <f>Wh_hp&gt;='2020'!Maxi_hp</f>
        <v>0</v>
      </c>
      <c r="I195" s="380">
        <f>IF(H195,Wh_hp,'2020'!Maxi_hp)</f>
        <v>52.467807817786799</v>
      </c>
      <c r="J195" s="85">
        <f>IF(H195,An,'2020'!An_max)</f>
        <v>2019</v>
      </c>
      <c r="K195" s="197">
        <f t="shared" si="50"/>
        <v>44377</v>
      </c>
      <c r="L195" s="147">
        <f>IF(t&lt;Tvie,1-EXP((T0-t)*PertePVj)+'2020'!Pspv,1-EXP((T0-t)*PertePVj)+Pspv)</f>
        <v>2.4189954906685518E-2</v>
      </c>
      <c r="M195" s="845"/>
      <c r="N195" s="845"/>
      <c r="O195" s="48">
        <f>IF(t&lt;Tnet,'2020'!Resal+('2020'!Salim-'2020'!Resal)*(1-EXP(('2020'!Tnet-t)/('2020'!Tau_j))),Resal+(Salim-Resal)*(1-EXP((Tnet-t)/(Tau_j))))*Salcycl</f>
        <v>1.1394358597200739E-2</v>
      </c>
      <c r="P195" s="169">
        <f>(INDEX(Models!$BJ195:$BT195,,T195)*(1-R195)+INDEX(Models!$BJ195:$BT195,,T195+1)*R195-ERP_i)*Q195*Ramure*Pc/MaxiM</f>
        <v>4.883819398511555E-5</v>
      </c>
      <c r="Q195" s="305">
        <f t="shared" si="51"/>
        <v>0.5</v>
      </c>
      <c r="R195" s="177">
        <f t="shared" si="52"/>
        <v>0.84461316677930887</v>
      </c>
      <c r="S195" s="811">
        <f t="shared" si="53"/>
        <v>-1</v>
      </c>
      <c r="T195" s="176">
        <f t="shared" si="54"/>
        <v>5</v>
      </c>
      <c r="U195" s="251">
        <f t="shared" si="55"/>
        <v>-0.15538683322069108</v>
      </c>
      <c r="V195" s="383">
        <f t="shared" si="56"/>
        <v>60.13491945586518</v>
      </c>
      <c r="W195" s="402"/>
      <c r="X195" s="157">
        <f t="shared" si="57"/>
        <v>44377</v>
      </c>
      <c r="Y195" s="385">
        <f t="shared" si="58"/>
        <v>46.9257793348376</v>
      </c>
      <c r="Z195" s="385">
        <f t="shared" si="59"/>
        <v>48.089051317718493</v>
      </c>
      <c r="AA195" s="386">
        <f t="shared" si="60"/>
        <v>51.264066758503191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6.1934521421050819E-2</v>
      </c>
      <c r="AD195" s="231">
        <f>(INDEX(Models!$BJ195:$BT195,,AH195)*(1-AF195)+INDEX(Models!$BJ195:$BT195,,AH195+1)*AF195-ERP_i)*AE195*Ramure*Pc/MaxiM</f>
        <v>4.883819398511555E-5</v>
      </c>
      <c r="AE195" s="305">
        <f t="shared" si="62"/>
        <v>0.5</v>
      </c>
      <c r="AF195" s="177">
        <f t="shared" si="63"/>
        <v>0.84461316677930887</v>
      </c>
      <c r="AG195" s="811">
        <f t="shared" si="71"/>
        <v>-1</v>
      </c>
      <c r="AH195" s="176">
        <f t="shared" si="64"/>
        <v>5</v>
      </c>
      <c r="AI195" s="225">
        <f t="shared" si="65"/>
        <v>-0.15538683322069108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7">
        <v>54.103000000000002</v>
      </c>
      <c r="C196" s="390"/>
      <c r="D196" s="393">
        <f t="shared" si="48"/>
        <v>55.445406913527748</v>
      </c>
      <c r="E196" s="385">
        <f t="shared" si="72"/>
        <v>56.089452638202523</v>
      </c>
      <c r="F196" s="385">
        <f t="shared" si="49"/>
        <v>56.091833933614964</v>
      </c>
      <c r="G196" s="110">
        <f t="shared" si="73"/>
        <v>0.90106229389494918</v>
      </c>
      <c r="H196" s="414" t="b">
        <f>Wh_hp&gt;='2020'!Maxi_hp</f>
        <v>0</v>
      </c>
      <c r="I196" s="380">
        <f>IF(H196,Wh_hp,'2020'!Maxi_hp)</f>
        <v>60.470455322225597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2.4211327651023518E-2</v>
      </c>
      <c r="M196" s="845"/>
      <c r="N196" s="845"/>
      <c r="O196" s="48">
        <f>IF(t&lt;Tnet,'2020'!Resal+('2020'!Salim-'2020'!Resal)*(1-EXP(('2020'!Tnet-t)/('2020'!Tau_j))),Resal+(Salim-Resal)*(1-EXP((Tnet-t)/(Tau_j))))*Salcycl</f>
        <v>1.1482474768101408E-2</v>
      </c>
      <c r="P196" s="169">
        <f>(INDEX(Models!$BJ196:$BT196,,T196)*(1-R196)+INDEX(Models!$BJ196:$BT196,,T196+1)*R196-ERP_i)*Q196*Ramure*Pc/MaxiM</f>
        <v>4.9441045025226619E-5</v>
      </c>
      <c r="Q196" s="305">
        <f t="shared" si="51"/>
        <v>0.5</v>
      </c>
      <c r="R196" s="177">
        <f t="shared" si="52"/>
        <v>0.84894393430025183</v>
      </c>
      <c r="S196" s="811">
        <f t="shared" si="53"/>
        <v>-1</v>
      </c>
      <c r="T196" s="176">
        <f t="shared" si="54"/>
        <v>5</v>
      </c>
      <c r="U196" s="251">
        <f t="shared" si="55"/>
        <v>-0.15105606569974822</v>
      </c>
      <c r="V196" s="383">
        <f t="shared" si="56"/>
        <v>60.043153846390204</v>
      </c>
      <c r="W196" s="402"/>
      <c r="X196" s="157">
        <f t="shared" si="57"/>
        <v>44378</v>
      </c>
      <c r="Y196" s="385">
        <f t="shared" si="58"/>
        <v>51.338679307462328</v>
      </c>
      <c r="Z196" s="385">
        <f t="shared" si="59"/>
        <v>52.612497728505915</v>
      </c>
      <c r="AA196" s="386">
        <f t="shared" si="60"/>
        <v>56.089452638202523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6.1989460516297688E-2</v>
      </c>
      <c r="AD196" s="231">
        <f>(INDEX(Models!$BJ196:$BT196,,AH196)*(1-AF196)+INDEX(Models!$BJ196:$BT196,,AH196+1)*AF196-ERP_i)*AE196*Ramure*Pc/MaxiM</f>
        <v>4.9441045025226619E-5</v>
      </c>
      <c r="AE196" s="305">
        <f t="shared" si="62"/>
        <v>0.5</v>
      </c>
      <c r="AF196" s="177">
        <f t="shared" si="63"/>
        <v>0.84894393430025183</v>
      </c>
      <c r="AG196" s="811">
        <f t="shared" si="71"/>
        <v>-1</v>
      </c>
      <c r="AH196" s="176">
        <f t="shared" si="64"/>
        <v>5</v>
      </c>
      <c r="AI196" s="225">
        <f t="shared" si="65"/>
        <v>-0.15105606569974822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7">
        <v>54.433</v>
      </c>
      <c r="C197" s="390"/>
      <c r="D197" s="393">
        <f t="shared" si="48"/>
        <v>55.784816724173162</v>
      </c>
      <c r="E197" s="385">
        <f t="shared" si="72"/>
        <v>56.437823786107934</v>
      </c>
      <c r="F197" s="385">
        <f t="shared" si="49"/>
        <v>56.44028055284398</v>
      </c>
      <c r="G197" s="110">
        <f t="shared" si="73"/>
        <v>0.90797515713793797</v>
      </c>
      <c r="H197" s="414" t="b">
        <f>Wh_hp&gt;='2020'!Maxi_hp</f>
        <v>1</v>
      </c>
      <c r="I197" s="380">
        <f>IF(H197,Wh_hp,'2020'!Maxi_hp)</f>
        <v>56.44028055284398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2.4232699927243528E-2</v>
      </c>
      <c r="M197" s="845"/>
      <c r="N197" s="845"/>
      <c r="O197" s="48">
        <f>IF(t&lt;Tnet,'2020'!Resal+('2020'!Salim-'2020'!Resal)*(1-EXP(('2020'!Tnet-t)/('2020'!Tau_j))),Resal+(Salim-Resal)*(1-EXP((Tnet-t)/(Tau_j))))*Salcycl</f>
        <v>1.1570379900004368E-2</v>
      </c>
      <c r="P197" s="169">
        <f>(INDEX(Models!$BJ197:$BT197,,T197)*(1-R197)+INDEX(Models!$BJ197:$BT197,,T197+1)*R197-ERP_i)*Q197*Ramure*Pc/MaxiM</f>
        <v>5.0116726075248623E-5</v>
      </c>
      <c r="Q197" s="305">
        <f t="shared" si="51"/>
        <v>0.5</v>
      </c>
      <c r="R197" s="177">
        <f t="shared" si="52"/>
        <v>0.85320294960791243</v>
      </c>
      <c r="S197" s="811">
        <f t="shared" si="53"/>
        <v>-1</v>
      </c>
      <c r="T197" s="176">
        <f t="shared" si="54"/>
        <v>5</v>
      </c>
      <c r="U197" s="251">
        <f t="shared" si="55"/>
        <v>-0.14679705039208757</v>
      </c>
      <c r="V197" s="383">
        <f t="shared" si="56"/>
        <v>59.949483138756612</v>
      </c>
      <c r="W197" s="402"/>
      <c r="X197" s="157">
        <f t="shared" si="57"/>
        <v>44379</v>
      </c>
      <c r="Y197" s="385">
        <f t="shared" si="58"/>
        <v>51.653439618704155</v>
      </c>
      <c r="Z197" s="385">
        <f t="shared" si="59"/>
        <v>52.936227330894056</v>
      </c>
      <c r="AA197" s="386">
        <f t="shared" si="60"/>
        <v>56.437823786107934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6.2043435063769962E-2</v>
      </c>
      <c r="AD197" s="231">
        <f>(INDEX(Models!$BJ197:$BT197,,AH197)*(1-AF197)+INDEX(Models!$BJ197:$BT197,,AH197+1)*AF197-ERP_i)*AE197*Ramure*Pc/MaxiM</f>
        <v>5.0116726075248623E-5</v>
      </c>
      <c r="AE197" s="305">
        <f t="shared" si="62"/>
        <v>0.5</v>
      </c>
      <c r="AF197" s="177">
        <f t="shared" si="63"/>
        <v>0.85320294960791243</v>
      </c>
      <c r="AG197" s="811">
        <f t="shared" si="71"/>
        <v>-1</v>
      </c>
      <c r="AH197" s="176">
        <f t="shared" si="64"/>
        <v>5</v>
      </c>
      <c r="AI197" s="225">
        <f t="shared" si="65"/>
        <v>-0.14679705039208757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7">
        <v>34.125999999999998</v>
      </c>
      <c r="C198" s="390"/>
      <c r="D198" s="393">
        <f t="shared" si="48"/>
        <v>34.974268415029719</v>
      </c>
      <c r="E198" s="385">
        <f t="shared" si="72"/>
        <v>35.386810474396896</v>
      </c>
      <c r="F198" s="385">
        <f t="shared" si="49"/>
        <v>35.387512311110406</v>
      </c>
      <c r="G198" s="110">
        <f t="shared" si="73"/>
        <v>0.57013722489808683</v>
      </c>
      <c r="H198" s="414" t="b">
        <f>Wh_hp&gt;='2020'!Maxi_hp</f>
        <v>0</v>
      </c>
      <c r="I198" s="380">
        <f>IF(H198,Wh_hp,'2020'!Maxi_hp)</f>
        <v>53.763656051916264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2.4254071735355875E-2</v>
      </c>
      <c r="M198" s="845"/>
      <c r="N198" s="845"/>
      <c r="O198" s="48">
        <f>IF(t&lt;Tnet,'2020'!Resal+('2020'!Salim-'2020'!Resal)*(1-EXP(('2020'!Tnet-t)/('2020'!Tau_j))),Resal+(Salim-Resal)*(1-EXP((Tnet-t)/(Tau_j))))*Salcycl</f>
        <v>1.165807411961187E-2</v>
      </c>
      <c r="P198" s="169">
        <f>(INDEX(Models!$BJ198:$BT198,,T198)*(1-R198)+INDEX(Models!$BJ198:$BT198,,T198+1)*R198-ERP_i)*Q198*Ramure*Pc/MaxiM</f>
        <v>5.1389066694480443E-5</v>
      </c>
      <c r="Q198" s="305">
        <f t="shared" si="51"/>
        <v>0.5</v>
      </c>
      <c r="R198" s="177">
        <f t="shared" si="52"/>
        <v>0.8573884753752089</v>
      </c>
      <c r="S198" s="811">
        <f t="shared" si="53"/>
        <v>-1</v>
      </c>
      <c r="T198" s="176">
        <f t="shared" si="54"/>
        <v>5</v>
      </c>
      <c r="U198" s="251">
        <f t="shared" si="55"/>
        <v>-0.1426115246247911</v>
      </c>
      <c r="V198" s="383">
        <f t="shared" si="56"/>
        <v>59.853876579849093</v>
      </c>
      <c r="W198" s="402"/>
      <c r="X198" s="157">
        <f t="shared" si="57"/>
        <v>44380</v>
      </c>
      <c r="Y198" s="385">
        <f t="shared" si="58"/>
        <v>32.384436203808463</v>
      </c>
      <c r="Z198" s="385">
        <f t="shared" si="59"/>
        <v>33.189414647523982</v>
      </c>
      <c r="AA198" s="386">
        <f t="shared" si="60"/>
        <v>35.386810474396896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6.2096464683155786E-2</v>
      </c>
      <c r="AD198" s="231">
        <f>(INDEX(Models!$BJ198:$BT198,,AH198)*(1-AF198)+INDEX(Models!$BJ198:$BT198,,AH198+1)*AF198-ERP_i)*AE198*Ramure*Pc/MaxiM</f>
        <v>5.1389066694480443E-5</v>
      </c>
      <c r="AE198" s="305">
        <f t="shared" si="62"/>
        <v>0.5</v>
      </c>
      <c r="AF198" s="177">
        <f t="shared" si="63"/>
        <v>0.8573884753752089</v>
      </c>
      <c r="AG198" s="811">
        <f t="shared" si="71"/>
        <v>-1</v>
      </c>
      <c r="AH198" s="176">
        <f t="shared" si="64"/>
        <v>5</v>
      </c>
      <c r="AI198" s="225">
        <f t="shared" si="65"/>
        <v>-0.1426115246247911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7">
        <v>37.585999999999999</v>
      </c>
      <c r="C199" s="390"/>
      <c r="D199" s="393">
        <f t="shared" si="48"/>
        <v>38.521117187484464</v>
      </c>
      <c r="E199" s="385">
        <f t="shared" si="72"/>
        <v>38.978946667587138</v>
      </c>
      <c r="F199" s="385">
        <f t="shared" si="49"/>
        <v>38.979922639210997</v>
      </c>
      <c r="G199" s="110">
        <f t="shared" si="73"/>
        <v>0.62896995529101041</v>
      </c>
      <c r="H199" s="414" t="b">
        <f>Wh_hp&gt;='2020'!Maxi_hp</f>
        <v>0</v>
      </c>
      <c r="I199" s="380">
        <f>IF(H199,Wh_hp,'2020'!Maxi_hp)</f>
        <v>58.995697367701958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2.4275443075370773E-2</v>
      </c>
      <c r="M199" s="845"/>
      <c r="N199" s="845"/>
      <c r="O199" s="48">
        <f>IF(t&lt;Tnet,'2020'!Resal+('2020'!Salim-'2020'!Resal)*(1-EXP(('2020'!Tnet-t)/('2020'!Tau_j))),Resal+(Salim-Resal)*(1-EXP((Tnet-t)/(Tau_j))))*Salcycl</f>
        <v>1.1745558031802387E-2</v>
      </c>
      <c r="P199" s="169">
        <f>(INDEX(Models!$BJ199:$BT199,,T199)*(1-R199)+INDEX(Models!$BJ199:$BT199,,T199+1)*R199-ERP_i)*Q199*Ramure*Pc/MaxiM</f>
        <v>5.3273910393783041E-5</v>
      </c>
      <c r="Q199" s="305">
        <f t="shared" si="51"/>
        <v>0.5</v>
      </c>
      <c r="R199" s="177">
        <f t="shared" si="52"/>
        <v>0.86149895559916601</v>
      </c>
      <c r="S199" s="811">
        <f t="shared" si="53"/>
        <v>-1</v>
      </c>
      <c r="T199" s="176">
        <f t="shared" si="54"/>
        <v>5</v>
      </c>
      <c r="U199" s="251">
        <f t="shared" si="55"/>
        <v>-0.13850104440083399</v>
      </c>
      <c r="V199" s="383">
        <f t="shared" si="56"/>
        <v>59.756333947151425</v>
      </c>
      <c r="W199" s="402"/>
      <c r="X199" s="157">
        <f t="shared" si="57"/>
        <v>44381</v>
      </c>
      <c r="Y199" s="385">
        <f t="shared" si="58"/>
        <v>35.669036552031564</v>
      </c>
      <c r="Z199" s="385">
        <f t="shared" si="59"/>
        <v>36.556460836095212</v>
      </c>
      <c r="AA199" s="386">
        <f t="shared" si="60"/>
        <v>38.978946667587138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6.2148570923450344E-2</v>
      </c>
      <c r="AD199" s="231">
        <f>(INDEX(Models!$BJ199:$BT199,,AH199)*(1-AF199)+INDEX(Models!$BJ199:$BT199,,AH199+1)*AF199-ERP_i)*AE199*Ramure*Pc/MaxiM</f>
        <v>5.3273910393783041E-5</v>
      </c>
      <c r="AE199" s="305">
        <f t="shared" si="62"/>
        <v>0.5</v>
      </c>
      <c r="AF199" s="177">
        <f t="shared" si="63"/>
        <v>0.86149895559916601</v>
      </c>
      <c r="AG199" s="811">
        <f t="shared" si="71"/>
        <v>-1</v>
      </c>
      <c r="AH199" s="176">
        <f t="shared" si="64"/>
        <v>5</v>
      </c>
      <c r="AI199" s="225">
        <f t="shared" si="65"/>
        <v>-0.13850104440083399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7">
        <v>58.768999999999998</v>
      </c>
      <c r="C200" s="390"/>
      <c r="D200" s="393">
        <f t="shared" si="48"/>
        <v>60.232456796370101</v>
      </c>
      <c r="E200" s="385">
        <f t="shared" si="72"/>
        <v>60.953711871346989</v>
      </c>
      <c r="F200" s="385">
        <f t="shared" si="49"/>
        <v>60.957039810806549</v>
      </c>
      <c r="G200" s="110">
        <f t="shared" si="73"/>
        <v>0.98511612666483628</v>
      </c>
      <c r="H200" s="414" t="b">
        <f>Wh_hp&gt;='2020'!Maxi_hp</f>
        <v>0</v>
      </c>
      <c r="I200" s="380">
        <f>IF(H200,Wh_hp,'2020'!Maxi_hp)</f>
        <v>61.322232788721351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2.4296813947298546E-2</v>
      </c>
      <c r="M200" s="845"/>
      <c r="N200" s="845"/>
      <c r="O200" s="48">
        <f>IF(t&lt;Tnet,'2020'!Resal+('2020'!Salim-'2020'!Resal)*(1-EXP(('2020'!Tnet-t)/('2020'!Tau_j))),Resal+(Salim-Resal)*(1-EXP((Tnet-t)/(Tau_j))))*Salcycl</f>
        <v>1.1832832699331214E-2</v>
      </c>
      <c r="P200" s="169">
        <f>(INDEX(Models!$BJ200:$BT200,,T200)*(1-R200)+INDEX(Models!$BJ200:$BT200,,T200+1)*R200-ERP_i)*Q200*Ramure*Pc/MaxiM</f>
        <v>5.5780789598660949E-5</v>
      </c>
      <c r="Q200" s="305">
        <f t="shared" si="51"/>
        <v>0.5</v>
      </c>
      <c r="R200" s="177">
        <f t="shared" si="52"/>
        <v>0.86553301395913984</v>
      </c>
      <c r="S200" s="811">
        <f t="shared" si="53"/>
        <v>-1</v>
      </c>
      <c r="T200" s="176">
        <f t="shared" si="54"/>
        <v>5</v>
      </c>
      <c r="U200" s="251">
        <f t="shared" si="55"/>
        <v>-0.13446698604086016</v>
      </c>
      <c r="V200" s="383">
        <f t="shared" si="56"/>
        <v>59.65685537777744</v>
      </c>
      <c r="W200" s="402"/>
      <c r="X200" s="157">
        <f t="shared" si="57"/>
        <v>44382</v>
      </c>
      <c r="Y200" s="385">
        <f t="shared" si="58"/>
        <v>55.773540270908796</v>
      </c>
      <c r="Z200" s="385">
        <f t="shared" si="59"/>
        <v>57.162404579763518</v>
      </c>
      <c r="AA200" s="386">
        <f t="shared" si="60"/>
        <v>60.953711871346989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6.2199777096194939E-2</v>
      </c>
      <c r="AD200" s="231">
        <f>(INDEX(Models!$BJ200:$BT200,,AH200)*(1-AF200)+INDEX(Models!$BJ200:$BT200,,AH200+1)*AF200-ERP_i)*AE200*Ramure*Pc/MaxiM</f>
        <v>5.5780789598660949E-5</v>
      </c>
      <c r="AE200" s="305">
        <f t="shared" si="62"/>
        <v>0.5</v>
      </c>
      <c r="AF200" s="177">
        <f t="shared" si="63"/>
        <v>0.86553301395913984</v>
      </c>
      <c r="AG200" s="811">
        <f t="shared" si="71"/>
        <v>-1</v>
      </c>
      <c r="AH200" s="176">
        <f t="shared" si="64"/>
        <v>5</v>
      </c>
      <c r="AI200" s="225">
        <f t="shared" si="65"/>
        <v>-0.13446698604086016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7">
        <v>21.312999999999999</v>
      </c>
      <c r="C201" s="390"/>
      <c r="D201" s="393">
        <f t="shared" si="48"/>
        <v>21.844211563814344</v>
      </c>
      <c r="E201" s="385">
        <f t="shared" si="72"/>
        <v>22.10773352829392</v>
      </c>
      <c r="F201" s="385">
        <f t="shared" si="49"/>
        <v>22.107841210243976</v>
      </c>
      <c r="G201" s="110">
        <f t="shared" si="73"/>
        <v>0.35784888339790871</v>
      </c>
      <c r="H201" s="414" t="b">
        <f>Wh_hp&gt;='2020'!Maxi_hp</f>
        <v>0</v>
      </c>
      <c r="I201" s="380">
        <f>IF(H201,Wh_hp,'2020'!Maxi_hp)</f>
        <v>60.73746121896113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2.4318184351149297E-2</v>
      </c>
      <c r="M201" s="845"/>
      <c r="N201" s="845"/>
      <c r="O201" s="48">
        <f>IF(t&lt;Tnet,'2020'!Resal+('2020'!Salim-'2020'!Resal)*(1-EXP(('2020'!Tnet-t)/('2020'!Tau_j))),Resal+(Salim-Resal)*(1-EXP((Tnet-t)/(Tau_j))))*Salcycl</f>
        <v>1.1919899619846453E-2</v>
      </c>
      <c r="P201" s="169">
        <f>(INDEX(Models!$BJ201:$BT201,,T201)*(1-R201)+INDEX(Models!$BJ201:$BT201,,T201+1)*R201-ERP_i)*Q201*Ramure*Pc/MaxiM</f>
        <v>5.8918875476328972E-5</v>
      </c>
      <c r="Q201" s="305">
        <f t="shared" si="51"/>
        <v>0.5</v>
      </c>
      <c r="R201" s="177">
        <f t="shared" si="52"/>
        <v>0.86948945142026601</v>
      </c>
      <c r="S201" s="811">
        <f t="shared" si="53"/>
        <v>-1</v>
      </c>
      <c r="T201" s="176">
        <f t="shared" si="54"/>
        <v>5</v>
      </c>
      <c r="U201" s="251">
        <f t="shared" si="55"/>
        <v>-0.13051054857973404</v>
      </c>
      <c r="V201" s="383">
        <f t="shared" si="56"/>
        <v>59.555441013264875</v>
      </c>
      <c r="W201" s="402"/>
      <c r="X201" s="157">
        <f t="shared" si="57"/>
        <v>44383</v>
      </c>
      <c r="Y201" s="385">
        <f t="shared" si="58"/>
        <v>20.227371686102494</v>
      </c>
      <c r="Z201" s="385">
        <f t="shared" si="59"/>
        <v>20.731524726276497</v>
      </c>
      <c r="AA201" s="386">
        <f t="shared" si="60"/>
        <v>22.10773352829392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6.2250108101589173E-2</v>
      </c>
      <c r="AD201" s="231">
        <f>(INDEX(Models!$BJ201:$BT201,,AH201)*(1-AF201)+INDEX(Models!$BJ201:$BT201,,AH201+1)*AF201-ERP_i)*AE201*Ramure*Pc/MaxiM</f>
        <v>5.8918875476328972E-5</v>
      </c>
      <c r="AE201" s="305">
        <f t="shared" si="62"/>
        <v>0.5</v>
      </c>
      <c r="AF201" s="177">
        <f t="shared" si="63"/>
        <v>0.86948945142026601</v>
      </c>
      <c r="AG201" s="811">
        <f t="shared" si="71"/>
        <v>-1</v>
      </c>
      <c r="AH201" s="176">
        <f t="shared" si="64"/>
        <v>5</v>
      </c>
      <c r="AI201" s="225">
        <f t="shared" si="65"/>
        <v>-0.13051054857973404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7">
        <v>42.344000000000001</v>
      </c>
      <c r="C202" s="390"/>
      <c r="D202" s="393">
        <f t="shared" si="48"/>
        <v>43.400345054526284</v>
      </c>
      <c r="E202" s="385">
        <f t="shared" si="72"/>
        <v>43.927775341149463</v>
      </c>
      <c r="F202" s="385">
        <f t="shared" si="49"/>
        <v>43.929397342777669</v>
      </c>
      <c r="G202" s="110">
        <f t="shared" si="73"/>
        <v>0.7122189963600235</v>
      </c>
      <c r="H202" s="414" t="b">
        <f>Wh_hp&gt;='2020'!Maxi_hp</f>
        <v>0</v>
      </c>
      <c r="I202" s="380">
        <f>IF(H202,Wh_hp,'2020'!Maxi_hp)</f>
        <v>54.208935934270478</v>
      </c>
      <c r="J202" s="85">
        <f>IF(H202,An,'2020'!An_max)</f>
        <v>2019</v>
      </c>
      <c r="K202" s="197">
        <f t="shared" si="50"/>
        <v>44384</v>
      </c>
      <c r="L202" s="147">
        <f>IF(t&lt;Tvie,1-EXP((T0-t)*PertePVj)+'2020'!Pspv,1-EXP((T0-t)*PertePVj)+Pspv)</f>
        <v>2.4339554286933351E-2</v>
      </c>
      <c r="M202" s="845"/>
      <c r="N202" s="845"/>
      <c r="O202" s="48">
        <f>IF(t&lt;Tnet,'2020'!Resal+('2020'!Salim-'2020'!Resal)*(1-EXP(('2020'!Tnet-t)/('2020'!Tau_j))),Resal+(Salim-Resal)*(1-EXP((Tnet-t)/(Tau_j))))*Salcycl</f>
        <v>1.200676070042426E-2</v>
      </c>
      <c r="P202" s="169">
        <f>(INDEX(Models!$BJ202:$BT202,,T202)*(1-R202)+INDEX(Models!$BJ202:$BT202,,T202+1)*R202-ERP_i)*Q202*Ramure*Pc/MaxiM</f>
        <v>6.2696996770752266E-5</v>
      </c>
      <c r="Q202" s="305">
        <f t="shared" si="51"/>
        <v>0.5</v>
      </c>
      <c r="R202" s="177">
        <f t="shared" si="52"/>
        <v>0.87336724313530556</v>
      </c>
      <c r="S202" s="811">
        <f t="shared" si="53"/>
        <v>-1</v>
      </c>
      <c r="T202" s="176">
        <f t="shared" si="54"/>
        <v>5</v>
      </c>
      <c r="U202" s="251">
        <f t="shared" si="55"/>
        <v>-0.12663275686469444</v>
      </c>
      <c r="V202" s="383">
        <f t="shared" si="56"/>
        <v>59.452090998138793</v>
      </c>
      <c r="W202" s="402"/>
      <c r="X202" s="157">
        <f t="shared" si="57"/>
        <v>44384</v>
      </c>
      <c r="Y202" s="385">
        <f t="shared" si="58"/>
        <v>40.188520094179665</v>
      </c>
      <c r="Z202" s="385">
        <f t="shared" si="59"/>
        <v>41.191092936854346</v>
      </c>
      <c r="AA202" s="386">
        <f t="shared" si="60"/>
        <v>43.927775341149463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6.2299590248803688E-2</v>
      </c>
      <c r="AD202" s="231">
        <f>(INDEX(Models!$BJ202:$BT202,,AH202)*(1-AF202)+INDEX(Models!$BJ202:$BT202,,AH202+1)*AF202-ERP_i)*AE202*Ramure*Pc/MaxiM</f>
        <v>6.2696996770752266E-5</v>
      </c>
      <c r="AE202" s="305">
        <f t="shared" si="62"/>
        <v>0.5</v>
      </c>
      <c r="AF202" s="177">
        <f t="shared" si="63"/>
        <v>0.87336724313530556</v>
      </c>
      <c r="AG202" s="811">
        <f t="shared" si="71"/>
        <v>-1</v>
      </c>
      <c r="AH202" s="176">
        <f t="shared" si="64"/>
        <v>5</v>
      </c>
      <c r="AI202" s="225">
        <f t="shared" si="65"/>
        <v>-0.12663275686469444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7">
        <v>49.887</v>
      </c>
      <c r="C203" s="390"/>
      <c r="D203" s="393">
        <f t="shared" si="48"/>
        <v>51.132638303075893</v>
      </c>
      <c r="E203" s="385">
        <f t="shared" si="72"/>
        <v>51.758576414639656</v>
      </c>
      <c r="F203" s="385">
        <f t="shared" si="49"/>
        <v>51.761259654494161</v>
      </c>
      <c r="G203" s="110">
        <f t="shared" si="73"/>
        <v>0.84058841980160903</v>
      </c>
      <c r="H203" s="414" t="b">
        <f>Wh_hp&gt;='2020'!Maxi_hp</f>
        <v>0</v>
      </c>
      <c r="I203" s="380">
        <f>IF(H203,Wh_hp,'2020'!Maxi_hp)</f>
        <v>63.132463716134929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2.4360923754661035E-2</v>
      </c>
      <c r="M203" s="845"/>
      <c r="N203" s="845"/>
      <c r="O203" s="48">
        <f>IF(t&lt;Tnet,'2020'!Resal+('2020'!Salim-'2020'!Resal)*(1-EXP(('2020'!Tnet-t)/('2020'!Tau_j))),Resal+(Salim-Resal)*(1-EXP((Tnet-t)/(Tau_j))))*Salcycl</f>
        <v>1.2093418229847535E-2</v>
      </c>
      <c r="P203" s="169">
        <f>(INDEX(Models!$BJ203:$BT203,,T203)*(1-R203)+INDEX(Models!$BJ203:$BT203,,T203+1)*R203-ERP_i)*Q203*Ramure*Pc/MaxiM</f>
        <v>6.7123661473974513E-5</v>
      </c>
      <c r="Q203" s="305">
        <f t="shared" si="51"/>
        <v>0.5</v>
      </c>
      <c r="R203" s="177">
        <f t="shared" si="52"/>
        <v>0.87716553470090797</v>
      </c>
      <c r="S203" s="811">
        <f t="shared" si="53"/>
        <v>-1</v>
      </c>
      <c r="T203" s="176">
        <f t="shared" si="54"/>
        <v>5</v>
      </c>
      <c r="U203" s="251">
        <f t="shared" si="55"/>
        <v>-0.12283446529909203</v>
      </c>
      <c r="V203" s="383">
        <f t="shared" si="56"/>
        <v>59.346805485007465</v>
      </c>
      <c r="W203" s="402"/>
      <c r="X203" s="157">
        <f t="shared" si="57"/>
        <v>44385</v>
      </c>
      <c r="Y203" s="385">
        <f t="shared" si="58"/>
        <v>47.349247046176089</v>
      </c>
      <c r="Z203" s="385">
        <f t="shared" si="59"/>
        <v>48.531519697217846</v>
      </c>
      <c r="AA203" s="386">
        <f t="shared" si="60"/>
        <v>51.758576414639656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6.2348251071856216E-2</v>
      </c>
      <c r="AD203" s="231">
        <f>(INDEX(Models!$BJ203:$BT203,,AH203)*(1-AF203)+INDEX(Models!$BJ203:$BT203,,AH203+1)*AF203-ERP_i)*AE203*Ramure*Pc/MaxiM</f>
        <v>6.7123661473974513E-5</v>
      </c>
      <c r="AE203" s="305">
        <f t="shared" si="62"/>
        <v>0.5</v>
      </c>
      <c r="AF203" s="177">
        <f t="shared" si="63"/>
        <v>0.87716553470090797</v>
      </c>
      <c r="AG203" s="811">
        <f t="shared" si="71"/>
        <v>-1</v>
      </c>
      <c r="AH203" s="176">
        <f t="shared" si="64"/>
        <v>5</v>
      </c>
      <c r="AI203" s="225">
        <f t="shared" si="65"/>
        <v>-0.12283446529909203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7">
        <v>58.228000000000002</v>
      </c>
      <c r="C204" s="390"/>
      <c r="D204" s="393">
        <f t="shared" si="48"/>
        <v>59.683213586178148</v>
      </c>
      <c r="E204" s="385">
        <f t="shared" si="72"/>
        <v>60.41911079413071</v>
      </c>
      <c r="F204" s="385">
        <f t="shared" si="49"/>
        <v>60.423367355969177</v>
      </c>
      <c r="G204" s="110">
        <f t="shared" si="73"/>
        <v>0.98292210843520722</v>
      </c>
      <c r="H204" s="414" t="b">
        <f>Wh_hp&gt;='2020'!Maxi_hp</f>
        <v>0</v>
      </c>
      <c r="I204" s="380">
        <f>IF(H204,Wh_hp,'2020'!Maxi_hp)</f>
        <v>60.536567302517156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2.4382292754342449E-2</v>
      </c>
      <c r="M204" s="845"/>
      <c r="N204" s="845"/>
      <c r="O204" s="48">
        <f>IF(t&lt;Tnet,'2020'!Resal+('2020'!Salim-'2020'!Resal)*(1-EXP(('2020'!Tnet-t)/('2020'!Tau_j))),Resal+(Salim-Resal)*(1-EXP((Tnet-t)/(Tau_j))))*Salcycl</f>
        <v>1.217987484887067E-2</v>
      </c>
      <c r="P204" s="169">
        <f>(INDEX(Models!$BJ204:$BT204,,T204)*(1-R204)+INDEX(Models!$BJ204:$BT204,,T204+1)*R204-ERP_i)*Q204*Ramure*Pc/MaxiM</f>
        <v>7.2207081022034007E-5</v>
      </c>
      <c r="Q204" s="305">
        <f t="shared" si="51"/>
        <v>0.5</v>
      </c>
      <c r="R204" s="177">
        <f t="shared" si="52"/>
        <v>0.88088363782636003</v>
      </c>
      <c r="S204" s="811">
        <f t="shared" si="53"/>
        <v>-1</v>
      </c>
      <c r="T204" s="176">
        <f t="shared" si="54"/>
        <v>5</v>
      </c>
      <c r="U204" s="251">
        <f t="shared" si="55"/>
        <v>-0.11911636217363997</v>
      </c>
      <c r="V204" s="383">
        <f t="shared" si="56"/>
        <v>59.239584629317676</v>
      </c>
      <c r="W204" s="402"/>
      <c r="X204" s="157">
        <f t="shared" si="57"/>
        <v>44386</v>
      </c>
      <c r="Y204" s="385">
        <f t="shared" si="58"/>
        <v>55.267955556404168</v>
      </c>
      <c r="Z204" s="385">
        <f t="shared" si="59"/>
        <v>56.649192758540067</v>
      </c>
      <c r="AA204" s="386">
        <f t="shared" si="60"/>
        <v>60.41911079413071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6.2396119142436354E-2</v>
      </c>
      <c r="AD204" s="231">
        <f>(INDEX(Models!$BJ204:$BT204,,AH204)*(1-AF204)+INDEX(Models!$BJ204:$BT204,,AH204+1)*AF204-ERP_i)*AE204*Ramure*Pc/MaxiM</f>
        <v>7.2207081022034007E-5</v>
      </c>
      <c r="AE204" s="305">
        <f t="shared" si="62"/>
        <v>0.5</v>
      </c>
      <c r="AF204" s="177">
        <f t="shared" si="63"/>
        <v>0.88088363782636003</v>
      </c>
      <c r="AG204" s="811">
        <f t="shared" si="71"/>
        <v>-1</v>
      </c>
      <c r="AH204" s="176">
        <f t="shared" si="64"/>
        <v>5</v>
      </c>
      <c r="AI204" s="225">
        <f t="shared" si="65"/>
        <v>-0.11911636217363997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7">
        <v>53.105000000000004</v>
      </c>
      <c r="C205" s="390"/>
      <c r="D205" s="393">
        <f t="shared" si="48"/>
        <v>54.433373612287916</v>
      </c>
      <c r="E205" s="385">
        <f t="shared" si="72"/>
        <v>55.109352285553172</v>
      </c>
      <c r="F205" s="385">
        <f t="shared" si="49"/>
        <v>55.113023237685802</v>
      </c>
      <c r="G205" s="110">
        <f t="shared" si="73"/>
        <v>0.89809257111791729</v>
      </c>
      <c r="H205" s="414" t="b">
        <f>Wh_hp&gt;='2020'!Maxi_hp</f>
        <v>0</v>
      </c>
      <c r="I205" s="380">
        <f>IF(H205,Wh_hp,'2020'!Maxi_hp)</f>
        <v>59.982897259607313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2.4403661285988032E-2</v>
      </c>
      <c r="M205" s="845"/>
      <c r="N205" s="845"/>
      <c r="O205" s="48">
        <f>IF(t&lt;Tnet,'2020'!Resal+('2020'!Salim-'2020'!Resal)*(1-EXP(('2020'!Tnet-t)/('2020'!Tau_j))),Resal+(Salim-Resal)*(1-EXP((Tnet-t)/(Tau_j))))*Salcycl</f>
        <v>1.2266133518728772E-2</v>
      </c>
      <c r="P205" s="169">
        <f>(INDEX(Models!$BJ205:$BT205,,T205)*(1-R205)+INDEX(Models!$BJ205:$BT205,,T205+1)*R205-ERP_i)*Q205*Ramure*Pc/MaxiM</f>
        <v>7.7955492150370636E-5</v>
      </c>
      <c r="Q205" s="305">
        <f t="shared" si="51"/>
        <v>0.5</v>
      </c>
      <c r="R205" s="177">
        <f t="shared" si="52"/>
        <v>0.88452102547418876</v>
      </c>
      <c r="S205" s="811">
        <f t="shared" si="53"/>
        <v>-1</v>
      </c>
      <c r="T205" s="176">
        <f t="shared" si="54"/>
        <v>5</v>
      </c>
      <c r="U205" s="251">
        <f t="shared" si="55"/>
        <v>-0.11547897452581124</v>
      </c>
      <c r="V205" s="383">
        <f t="shared" si="56"/>
        <v>59.130204439451838</v>
      </c>
      <c r="W205" s="402"/>
      <c r="X205" s="157">
        <f t="shared" si="57"/>
        <v>44387</v>
      </c>
      <c r="Y205" s="385">
        <f t="shared" si="58"/>
        <v>50.407254712410541</v>
      </c>
      <c r="Z205" s="385">
        <f t="shared" si="59"/>
        <v>51.668146662845373</v>
      </c>
      <c r="AA205" s="386">
        <f t="shared" si="60"/>
        <v>55.109352285553172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6.2443223881074449E-2</v>
      </c>
      <c r="AD205" s="231">
        <f>(INDEX(Models!$BJ205:$BT205,,AH205)*(1-AF205)+INDEX(Models!$BJ205:$BT205,,AH205+1)*AF205-ERP_i)*AE205*Ramure*Pc/MaxiM</f>
        <v>7.7955492150370636E-5</v>
      </c>
      <c r="AE205" s="305">
        <f t="shared" si="62"/>
        <v>0.5</v>
      </c>
      <c r="AF205" s="177">
        <f t="shared" si="63"/>
        <v>0.88452102547418876</v>
      </c>
      <c r="AG205" s="811">
        <f t="shared" si="71"/>
        <v>-1</v>
      </c>
      <c r="AH205" s="176">
        <f t="shared" si="64"/>
        <v>5</v>
      </c>
      <c r="AI205" s="225">
        <f t="shared" si="65"/>
        <v>-0.11547897452581124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7">
        <v>53.292999999999999</v>
      </c>
      <c r="C206" s="390"/>
      <c r="D206" s="393">
        <f t="shared" si="48"/>
        <v>54.627272739962621</v>
      </c>
      <c r="E206" s="385">
        <f t="shared" si="72"/>
        <v>55.310478695980201</v>
      </c>
      <c r="F206" s="385">
        <f t="shared" si="49"/>
        <v>55.3145090795797</v>
      </c>
      <c r="G206" s="110">
        <f t="shared" si="73"/>
        <v>0.90297749565480934</v>
      </c>
      <c r="H206" s="414" t="b">
        <f>Wh_hp&gt;='2020'!Maxi_hp</f>
        <v>0</v>
      </c>
      <c r="I206" s="380">
        <f>IF(H206,Wh_hp,'2020'!Maxi_hp)</f>
        <v>61.452728703103304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2.4425029349607885E-2</v>
      </c>
      <c r="M206" s="845"/>
      <c r="N206" s="845"/>
      <c r="O206" s="48">
        <f>IF(t&lt;Tnet,'2020'!Resal+('2020'!Salim-'2020'!Resal)*(1-EXP(('2020'!Tnet-t)/('2020'!Tau_j))),Resal+(Salim-Resal)*(1-EXP((Tnet-t)/(Tau_j))))*Salcycl</f>
        <v>1.2352197488163063E-2</v>
      </c>
      <c r="P206" s="169">
        <f>(INDEX(Models!$BJ206:$BT206,,T206)*(1-R206)+INDEX(Models!$BJ206:$BT206,,T206+1)*R206-ERP_i)*Q206*Ramure*Pc/MaxiM</f>
        <v>8.4585638567298977E-5</v>
      </c>
      <c r="Q206" s="305">
        <f t="shared" si="51"/>
        <v>0.5</v>
      </c>
      <c r="R206" s="177">
        <f t="shared" si="52"/>
        <v>0.888077326532553</v>
      </c>
      <c r="S206" s="811">
        <f t="shared" si="53"/>
        <v>-1</v>
      </c>
      <c r="T206" s="176">
        <f t="shared" si="54"/>
        <v>5</v>
      </c>
      <c r="U206" s="251">
        <f t="shared" si="55"/>
        <v>-0.11192267346744694</v>
      </c>
      <c r="V206" s="383">
        <f t="shared" si="56"/>
        <v>59.018497668854906</v>
      </c>
      <c r="W206" s="402"/>
      <c r="X206" s="157">
        <f t="shared" si="57"/>
        <v>44388</v>
      </c>
      <c r="Y206" s="385">
        <f t="shared" si="58"/>
        <v>50.587610145016107</v>
      </c>
      <c r="Z206" s="385">
        <f t="shared" si="59"/>
        <v>51.854149262655412</v>
      </c>
      <c r="AA206" s="386">
        <f t="shared" si="60"/>
        <v>55.310478695980201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6.2489595368047095E-2</v>
      </c>
      <c r="AD206" s="231">
        <f>(INDEX(Models!$BJ206:$BT206,,AH206)*(1-AF206)+INDEX(Models!$BJ206:$BT206,,AH206+1)*AF206-ERP_i)*AE206*Ramure*Pc/MaxiM</f>
        <v>8.4585638567298977E-5</v>
      </c>
      <c r="AE206" s="305">
        <f t="shared" si="62"/>
        <v>0.5</v>
      </c>
      <c r="AF206" s="177">
        <f t="shared" si="63"/>
        <v>0.888077326532553</v>
      </c>
      <c r="AG206" s="811">
        <f t="shared" si="71"/>
        <v>-1</v>
      </c>
      <c r="AH206" s="176">
        <f t="shared" si="64"/>
        <v>5</v>
      </c>
      <c r="AI206" s="225">
        <f t="shared" si="65"/>
        <v>-0.11192267346744694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7">
        <v>13.843</v>
      </c>
      <c r="C207" s="390"/>
      <c r="D207" s="393">
        <f t="shared" ref="D207:D270" si="74">Wh/(1-Ppv)</f>
        <v>14.189891725736947</v>
      </c>
      <c r="E207" s="385">
        <f t="shared" si="72"/>
        <v>14.368609500228439</v>
      </c>
      <c r="F207" s="385">
        <f t="shared" ref="F207:F270" si="75">Wh_sa/(1-Pvg*MEDIAN((-Sdif+Wh/Env_an)/Csdif,0,1))</f>
        <v>14.368609500228439</v>
      </c>
      <c r="G207" s="110">
        <f t="shared" si="73"/>
        <v>0.23498559502420863</v>
      </c>
      <c r="H207" s="414" t="b">
        <f>Wh_hp&gt;='2020'!Maxi_hp</f>
        <v>0</v>
      </c>
      <c r="I207" s="380">
        <f>IF(H207,Wh_hp,'2020'!Maxi_hp)</f>
        <v>61.87528776158792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2.4446396945212223E-2</v>
      </c>
      <c r="M207" s="845"/>
      <c r="N207" s="845"/>
      <c r="O207" s="48">
        <f>IF(t&lt;Tnet,'2020'!Resal+('2020'!Salim-'2020'!Resal)*(1-EXP(('2020'!Tnet-t)/('2020'!Tau_j))),Resal+(Salim-Resal)*(1-EXP((Tnet-t)/(Tau_j))))*Salcycl</f>
        <v>1.2438070259244731E-2</v>
      </c>
      <c r="P207" s="169">
        <f>(INDEX(Models!$BJ207:$BT207,,T207)*(1-R207)+INDEX(Models!$BJ207:$BT207,,T207+1)*R207-ERP_i)*Q207*Ramure*Pc/MaxiM</f>
        <v>9.2022765980931604E-5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0.89155232007927121</v>
      </c>
      <c r="S207" s="811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-0.10844767992072873</v>
      </c>
      <c r="V207" s="383">
        <f t="shared" ref="V207:V270" si="82">MaxiM*(1-Ppv)*(1-Pvg)*(1-Psa)</f>
        <v>58.904572969353822</v>
      </c>
      <c r="W207" s="402"/>
      <c r="X207" s="157">
        <f t="shared" ref="X207:X270" si="83">t</f>
        <v>44389</v>
      </c>
      <c r="Y207" s="385">
        <f t="shared" ref="Y207:Y270" si="84">Wh_pvt_s*(1-Ppv)</f>
        <v>13.14077016081769</v>
      </c>
      <c r="Z207" s="385">
        <f t="shared" ref="Z207:Z270" si="85">Wh_sa_s*(1-Psa_s)</f>
        <v>13.470064709585921</v>
      </c>
      <c r="AA207" s="386">
        <f t="shared" ref="AA207:AA270" si="86">Wh_hp*(1-Pvg_s*MEDIAN((-Sdif+Wh/Env_an)/Csdif,0,1))</f>
        <v>14.368609500228439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6.2535264155395995E-2</v>
      </c>
      <c r="AD207" s="231">
        <f>(INDEX(Models!$BJ207:$BT207,,AH207)*(1-AF207)+INDEX(Models!$BJ207:$BT207,,AH207+1)*AF207-ERP_i)*AE207*Ramure*Pc/MaxiM</f>
        <v>9.2022765980931604E-5</v>
      </c>
      <c r="AE207" s="305">
        <f t="shared" ref="AE207:AE270" si="88">IF(OR(t&lt;Ttai,Notai),Dd_s+PousD*Croivg,Dens_s+PousD*(Croivg-Croi_tai))</f>
        <v>0.5</v>
      </c>
      <c r="AF207" s="177">
        <f t="shared" ref="AF207:AF270" si="89">(Hp_vg_s-AG207)/(INDEX(Echel_vg,AH207+1)-AG207)</f>
        <v>0.89155232007927121</v>
      </c>
      <c r="AG207" s="811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-0.10844767992072873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7">
        <v>25.238</v>
      </c>
      <c r="C208" s="390"/>
      <c r="D208" s="393">
        <f t="shared" si="74"/>
        <v>25.87100566288586</v>
      </c>
      <c r="E208" s="385">
        <f t="shared" si="72"/>
        <v>26.199116999878118</v>
      </c>
      <c r="F208" s="385">
        <f t="shared" si="75"/>
        <v>26.19960228025182</v>
      </c>
      <c r="G208" s="110">
        <f t="shared" si="73"/>
        <v>0.42926630346242595</v>
      </c>
      <c r="H208" s="414" t="b">
        <f>Wh_hp&gt;='2020'!Maxi_hp</f>
        <v>0</v>
      </c>
      <c r="I208" s="380">
        <f>IF(H208,Wh_hp,'2020'!Maxi_hp)</f>
        <v>52.848178882001989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2.4467764072811482E-2</v>
      </c>
      <c r="M208" s="845"/>
      <c r="N208" s="845"/>
      <c r="O208" s="48">
        <f>IF(t&lt;Tnet,'2020'!Resal+('2020'!Salim-'2020'!Resal)*(1-EXP(('2020'!Tnet-t)/('2020'!Tau_j))),Resal+(Salim-Resal)*(1-EXP((Tnet-t)/(Tau_j))))*Salcycl</f>
        <v>1.2523755552287645E-2</v>
      </c>
      <c r="P208" s="169">
        <f>(INDEX(Models!$BJ208:$BT208,,T208)*(1-R208)+INDEX(Models!$BJ208:$BT208,,T208+1)*R208-ERP_i)*Q208*Ramure*Pc/MaxiM</f>
        <v>1.0027503899082363E-4</v>
      </c>
      <c r="Q208" s="305">
        <f t="shared" si="77"/>
        <v>0.5</v>
      </c>
      <c r="R208" s="177">
        <f t="shared" si="78"/>
        <v>0.89494592929661665</v>
      </c>
      <c r="S208" s="811">
        <f t="shared" si="79"/>
        <v>-1</v>
      </c>
      <c r="T208" s="176">
        <f t="shared" si="80"/>
        <v>5</v>
      </c>
      <c r="U208" s="251">
        <f t="shared" si="81"/>
        <v>-0.1050540707033833</v>
      </c>
      <c r="V208" s="383">
        <f t="shared" si="82"/>
        <v>58.788534031107311</v>
      </c>
      <c r="W208" s="402"/>
      <c r="X208" s="157">
        <f t="shared" si="83"/>
        <v>44390</v>
      </c>
      <c r="Y208" s="385">
        <f t="shared" si="84"/>
        <v>23.958651667675774</v>
      </c>
      <c r="Z208" s="385">
        <f t="shared" si="85"/>
        <v>24.55956941792336</v>
      </c>
      <c r="AA208" s="386">
        <f t="shared" si="86"/>
        <v>26.199116999878118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6.2580261081409252E-2</v>
      </c>
      <c r="AD208" s="231">
        <f>(INDEX(Models!$BJ208:$BT208,,AH208)*(1-AF208)+INDEX(Models!$BJ208:$BT208,,AH208+1)*AF208-ERP_i)*AE208*Ramure*Pc/MaxiM</f>
        <v>1.0027503899082363E-4</v>
      </c>
      <c r="AE208" s="305">
        <f t="shared" si="88"/>
        <v>0.5</v>
      </c>
      <c r="AF208" s="177">
        <f t="shared" si="89"/>
        <v>0.89494592929661665</v>
      </c>
      <c r="AG208" s="811">
        <f t="shared" ref="AG208:AG271" si="95">INDEX(Echel_vg,AH208)</f>
        <v>-1</v>
      </c>
      <c r="AH208" s="176">
        <f t="shared" si="90"/>
        <v>5</v>
      </c>
      <c r="AI208" s="225">
        <f t="shared" si="91"/>
        <v>-0.1050540707033833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7">
        <v>28.137</v>
      </c>
      <c r="C209" s="390"/>
      <c r="D209" s="393">
        <f t="shared" si="74"/>
        <v>28.843348532984901</v>
      </c>
      <c r="E209" s="385">
        <f t="shared" si="72"/>
        <v>29.211686199570014</v>
      </c>
      <c r="F209" s="385">
        <f t="shared" si="75"/>
        <v>29.21250568508362</v>
      </c>
      <c r="G209" s="110">
        <f t="shared" si="73"/>
        <v>0.47953775553446742</v>
      </c>
      <c r="H209" s="414" t="b">
        <f>Wh_hp&gt;='2020'!Maxi_hp</f>
        <v>0</v>
      </c>
      <c r="I209" s="380">
        <f>IF(H209,Wh_hp,'2020'!Maxi_hp)</f>
        <v>61.910407700916835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2.4489130732415765E-2</v>
      </c>
      <c r="M209" s="845"/>
      <c r="N209" s="845"/>
      <c r="O209" s="48">
        <f>IF(t&lt;Tnet,'2020'!Resal+('2020'!Salim-'2020'!Resal)*(1-EXP(('2020'!Tnet-t)/('2020'!Tau_j))),Resal+(Salim-Resal)*(1-EXP((Tnet-t)/(Tau_j))))*Salcycl</f>
        <v>1.2609257270144732E-2</v>
      </c>
      <c r="P209" s="169">
        <f>(INDEX(Models!$BJ209:$BT209,,T209)*(1-R209)+INDEX(Models!$BJ209:$BT209,,T209+1)*R209-ERP_i)*Q209*Ramure*Pc/MaxiM</f>
        <v>1.093504098464231E-4</v>
      </c>
      <c r="Q209" s="305">
        <f t="shared" si="77"/>
        <v>0.5</v>
      </c>
      <c r="R209" s="177">
        <f t="shared" si="78"/>
        <v>0.89825821509474957</v>
      </c>
      <c r="S209" s="811">
        <f t="shared" si="79"/>
        <v>-1</v>
      </c>
      <c r="T209" s="176">
        <f t="shared" si="80"/>
        <v>5</v>
      </c>
      <c r="U209" s="251">
        <f t="shared" si="81"/>
        <v>-0.10174178490525038</v>
      </c>
      <c r="V209" s="383">
        <f t="shared" si="82"/>
        <v>58.670484510270001</v>
      </c>
      <c r="W209" s="402"/>
      <c r="X209" s="157">
        <f t="shared" si="83"/>
        <v>44391</v>
      </c>
      <c r="Y209" s="385">
        <f t="shared" si="84"/>
        <v>26.711746431864629</v>
      </c>
      <c r="Z209" s="385">
        <f t="shared" si="85"/>
        <v>27.382315536801624</v>
      </c>
      <c r="AA209" s="386">
        <f t="shared" si="86"/>
        <v>29.211686199570014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6.2624617088873152E-2</v>
      </c>
      <c r="AD209" s="231">
        <f>(INDEX(Models!$BJ209:$BT209,,AH209)*(1-AF209)+INDEX(Models!$BJ209:$BT209,,AH209+1)*AF209-ERP_i)*AE209*Ramure*Pc/MaxiM</f>
        <v>1.093504098464231E-4</v>
      </c>
      <c r="AE209" s="305">
        <f t="shared" si="88"/>
        <v>0.5</v>
      </c>
      <c r="AF209" s="177">
        <f t="shared" si="89"/>
        <v>0.89825821509474957</v>
      </c>
      <c r="AG209" s="811">
        <f t="shared" si="95"/>
        <v>-1</v>
      </c>
      <c r="AH209" s="176">
        <f t="shared" si="90"/>
        <v>5</v>
      </c>
      <c r="AI209" s="225">
        <f t="shared" si="91"/>
        <v>-0.10174178490525038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7">
        <v>36.529000000000003</v>
      </c>
      <c r="C210" s="390"/>
      <c r="D210" s="393">
        <f t="shared" si="74"/>
        <v>37.446840673133693</v>
      </c>
      <c r="E210" s="385">
        <f t="shared" si="72"/>
        <v>37.928324806254253</v>
      </c>
      <c r="F210" s="385">
        <f t="shared" si="75"/>
        <v>37.930417798723113</v>
      </c>
      <c r="G210" s="110">
        <f t="shared" si="73"/>
        <v>0.62384850206438391</v>
      </c>
      <c r="H210" s="414" t="b">
        <f>Wh_hp&gt;='2020'!Maxi_hp</f>
        <v>0</v>
      </c>
      <c r="I210" s="380">
        <f>IF(H210,Wh_hp,'2020'!Maxi_hp)</f>
        <v>63.341573131215071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2.4510496924035396E-2</v>
      </c>
      <c r="M210" s="845"/>
      <c r="N210" s="845"/>
      <c r="O210" s="48">
        <f>IF(t&lt;Tnet,'2020'!Resal+('2020'!Salim-'2020'!Resal)*(1-EXP(('2020'!Tnet-t)/('2020'!Tau_j))),Resal+(Salim-Resal)*(1-EXP((Tnet-t)/(Tau_j))))*Salcycl</f>
        <v>1.2694579462185033E-2</v>
      </c>
      <c r="P210" s="169">
        <f>(INDEX(Models!$BJ210:$BT210,,T210)*(1-R210)+INDEX(Models!$BJ210:$BT210,,T210+1)*R210-ERP_i)*Q210*Ramure*Pc/MaxiM</f>
        <v>1.1925664199042257E-4</v>
      </c>
      <c r="Q210" s="305">
        <f t="shared" si="77"/>
        <v>0.5</v>
      </c>
      <c r="R210" s="177">
        <f t="shared" si="78"/>
        <v>0.90148936949990199</v>
      </c>
      <c r="S210" s="811">
        <f t="shared" si="79"/>
        <v>-1</v>
      </c>
      <c r="T210" s="176">
        <f t="shared" si="80"/>
        <v>5</v>
      </c>
      <c r="U210" s="251">
        <f t="shared" si="81"/>
        <v>-9.8510630500098006E-2</v>
      </c>
      <c r="V210" s="383">
        <f t="shared" si="82"/>
        <v>58.550528031435995</v>
      </c>
      <c r="W210" s="402"/>
      <c r="X210" s="157">
        <f t="shared" si="83"/>
        <v>44392</v>
      </c>
      <c r="Y210" s="385">
        <f t="shared" si="84"/>
        <v>34.680035836889637</v>
      </c>
      <c r="Z210" s="385">
        <f t="shared" si="85"/>
        <v>35.551418777480158</v>
      </c>
      <c r="AA210" s="386">
        <f t="shared" si="86"/>
        <v>37.928324806254253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6.2668363048350356E-2</v>
      </c>
      <c r="AD210" s="231">
        <f>(INDEX(Models!$BJ210:$BT210,,AH210)*(1-AF210)+INDEX(Models!$BJ210:$BT210,,AH210+1)*AF210-ERP_i)*AE210*Ramure*Pc/MaxiM</f>
        <v>1.1925664199042257E-4</v>
      </c>
      <c r="AE210" s="305">
        <f t="shared" si="88"/>
        <v>0.5</v>
      </c>
      <c r="AF210" s="177">
        <f t="shared" si="89"/>
        <v>0.90148936949990199</v>
      </c>
      <c r="AG210" s="811">
        <f t="shared" si="95"/>
        <v>-1</v>
      </c>
      <c r="AH210" s="176">
        <f t="shared" si="90"/>
        <v>5</v>
      </c>
      <c r="AI210" s="225">
        <f t="shared" si="91"/>
        <v>-9.8510630500098006E-2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7">
        <v>41.581000000000003</v>
      </c>
      <c r="C211" s="390"/>
      <c r="D211" s="393">
        <f t="shared" si="74"/>
        <v>42.62671266009972</v>
      </c>
      <c r="E211" s="385">
        <f t="shared" si="72"/>
        <v>43.178522357357728</v>
      </c>
      <c r="F211" s="385">
        <f t="shared" si="75"/>
        <v>43.181823633721997</v>
      </c>
      <c r="G211" s="110">
        <f t="shared" si="73"/>
        <v>0.71161474781001921</v>
      </c>
      <c r="H211" s="414" t="b">
        <f>Wh_hp&gt;='2020'!Maxi_hp</f>
        <v>0</v>
      </c>
      <c r="I211" s="380">
        <f>IF(H211,Wh_hp,'2020'!Maxi_hp)</f>
        <v>61.340662594559738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2.4531862647680591E-2</v>
      </c>
      <c r="M211" s="845"/>
      <c r="N211" s="845"/>
      <c r="O211" s="48">
        <f>IF(t&lt;Tnet,'2020'!Resal+('2020'!Salim-'2020'!Resal)*(1-EXP(('2020'!Tnet-t)/('2020'!Tau_j))),Resal+(Salim-Resal)*(1-EXP((Tnet-t)/(Tau_j))))*Salcycl</f>
        <v>1.2779726288247487E-2</v>
      </c>
      <c r="P211" s="169">
        <f>(INDEX(Models!$BJ211:$BT211,,T211)*(1-R211)+INDEX(Models!$BJ211:$BT211,,T211+1)*R211-ERP_i)*Q211*Ramure*Pc/MaxiM</f>
        <v>1.3000133313499613E-4</v>
      </c>
      <c r="Q211" s="305">
        <f t="shared" si="77"/>
        <v>0.5</v>
      </c>
      <c r="R211" s="177">
        <f t="shared" si="78"/>
        <v>0.90463970886124345</v>
      </c>
      <c r="S211" s="811">
        <f t="shared" si="79"/>
        <v>-1</v>
      </c>
      <c r="T211" s="176">
        <f t="shared" si="80"/>
        <v>5</v>
      </c>
      <c r="U211" s="251">
        <f t="shared" si="81"/>
        <v>-9.5360291138756603E-2</v>
      </c>
      <c r="V211" s="383">
        <f t="shared" si="82"/>
        <v>58.428768184913707</v>
      </c>
      <c r="W211" s="402"/>
      <c r="X211" s="157">
        <f t="shared" si="83"/>
        <v>44393</v>
      </c>
      <c r="Y211" s="385">
        <f t="shared" si="84"/>
        <v>39.477908756556005</v>
      </c>
      <c r="Z211" s="385">
        <f t="shared" si="85"/>
        <v>40.470731174992117</v>
      </c>
      <c r="AA211" s="386">
        <f t="shared" si="86"/>
        <v>43.178522357357728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6.2711529587677006E-2</v>
      </c>
      <c r="AD211" s="231">
        <f>(INDEX(Models!$BJ211:$BT211,,AH211)*(1-AF211)+INDEX(Models!$BJ211:$BT211,,AH211+1)*AF211-ERP_i)*AE211*Ramure*Pc/MaxiM</f>
        <v>1.3000133313499613E-4</v>
      </c>
      <c r="AE211" s="305">
        <f t="shared" si="88"/>
        <v>0.5</v>
      </c>
      <c r="AF211" s="177">
        <f t="shared" si="89"/>
        <v>0.90463970886124345</v>
      </c>
      <c r="AG211" s="811">
        <f t="shared" si="95"/>
        <v>-1</v>
      </c>
      <c r="AH211" s="176">
        <f t="shared" si="90"/>
        <v>5</v>
      </c>
      <c r="AI211" s="225">
        <f t="shared" si="91"/>
        <v>-9.5360291138756603E-2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7">
        <v>57.947000000000003</v>
      </c>
      <c r="C212" s="390"/>
      <c r="D212" s="393">
        <f t="shared" si="74"/>
        <v>59.40559921629341</v>
      </c>
      <c r="E212" s="385">
        <f t="shared" si="72"/>
        <v>60.179794335813632</v>
      </c>
      <c r="F212" s="385">
        <f t="shared" si="75"/>
        <v>60.188178256844751</v>
      </c>
      <c r="G212" s="110">
        <f t="shared" si="73"/>
        <v>0.99385233267893258</v>
      </c>
      <c r="H212" s="414" t="b">
        <f>Wh_hp&gt;='2020'!Maxi_hp</f>
        <v>1</v>
      </c>
      <c r="I212" s="380">
        <f>IF(H212,Wh_hp,'2020'!Maxi_hp)</f>
        <v>60.188178256844751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2.4553227903361563E-2</v>
      </c>
      <c r="M212" s="845"/>
      <c r="N212" s="845"/>
      <c r="O212" s="48">
        <f>IF(t&lt;Tnet,'2020'!Resal+('2020'!Salim-'2020'!Resal)*(1-EXP(('2020'!Tnet-t)/('2020'!Tau_j))),Resal+(Salim-Resal)*(1-EXP((Tnet-t)/(Tau_j))))*Salcycl</f>
        <v>1.286470198286299E-2</v>
      </c>
      <c r="P212" s="169">
        <f>(INDEX(Models!$BJ212:$BT212,,T212)*(1-R212)+INDEX(Models!$BJ212:$BT212,,T212+1)*R212-ERP_i)*Q212*Ramure*Pc/MaxiM</f>
        <v>1.4052907903224304E-4</v>
      </c>
      <c r="Q212" s="305">
        <f t="shared" si="77"/>
        <v>0.5</v>
      </c>
      <c r="R212" s="177">
        <f t="shared" si="78"/>
        <v>0.90770966692781974</v>
      </c>
      <c r="S212" s="811">
        <f t="shared" si="79"/>
        <v>-1</v>
      </c>
      <c r="T212" s="176">
        <f t="shared" si="80"/>
        <v>5</v>
      </c>
      <c r="U212" s="251">
        <f t="shared" si="81"/>
        <v>-9.2290333072180264E-2</v>
      </c>
      <c r="V212" s="383">
        <f t="shared" si="82"/>
        <v>58.305370508192233</v>
      </c>
      <c r="W212" s="402"/>
      <c r="X212" s="157">
        <f t="shared" si="83"/>
        <v>44394</v>
      </c>
      <c r="Y212" s="385">
        <f t="shared" si="84"/>
        <v>55.018380516845987</v>
      </c>
      <c r="Z212" s="385">
        <f t="shared" si="85"/>
        <v>56.403262679919209</v>
      </c>
      <c r="AA212" s="386">
        <f t="shared" si="86"/>
        <v>60.179794335813632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6.2754146928796772E-2</v>
      </c>
      <c r="AD212" s="231">
        <f>(INDEX(Models!$BJ212:$BT212,,AH212)*(1-AF212)+INDEX(Models!$BJ212:$BT212,,AH212+1)*AF212-ERP_i)*AE212*Ramure*Pc/MaxiM</f>
        <v>1.4052907903224304E-4</v>
      </c>
      <c r="AE212" s="305">
        <f t="shared" si="88"/>
        <v>0.5</v>
      </c>
      <c r="AF212" s="177">
        <f t="shared" si="89"/>
        <v>0.90770966692781974</v>
      </c>
      <c r="AG212" s="811">
        <f t="shared" si="95"/>
        <v>-1</v>
      </c>
      <c r="AH212" s="176">
        <f t="shared" si="90"/>
        <v>5</v>
      </c>
      <c r="AI212" s="225">
        <f t="shared" si="91"/>
        <v>-9.2290333072180264E-2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7">
        <v>52.209000000000003</v>
      </c>
      <c r="C213" s="390"/>
      <c r="D213" s="393">
        <f t="shared" si="74"/>
        <v>53.524338825701435</v>
      </c>
      <c r="E213" s="385">
        <f t="shared" si="72"/>
        <v>54.226546070777815</v>
      </c>
      <c r="F213" s="385">
        <f t="shared" si="75"/>
        <v>54.233501004193869</v>
      </c>
      <c r="G213" s="110">
        <f t="shared" si="73"/>
        <v>0.89734318362830334</v>
      </c>
      <c r="H213" s="414" t="b">
        <f>Wh_hp&gt;='2020'!Maxi_hp</f>
        <v>1</v>
      </c>
      <c r="I213" s="380">
        <f>IF(H213,Wh_hp,'2020'!Maxi_hp)</f>
        <v>54.233501004193869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2.4574592691088637E-2</v>
      </c>
      <c r="M213" s="845"/>
      <c r="N213" s="845"/>
      <c r="O213" s="48">
        <f>IF(t&lt;Tnet,'2020'!Resal+('2020'!Salim-'2020'!Resal)*(1-EXP(('2020'!Tnet-t)/('2020'!Tau_j))),Resal+(Salim-Resal)*(1-EXP((Tnet-t)/(Tau_j))))*Salcycl</f>
        <v>1.2949510820029667E-2</v>
      </c>
      <c r="P213" s="169">
        <f>(INDEX(Models!$BJ213:$BT213,,T213)*(1-R213)+INDEX(Models!$BJ213:$BT213,,T213+1)*R213-ERP_i)*Q213*Ramure*Pc/MaxiM</f>
        <v>1.5027442899248573E-4</v>
      </c>
      <c r="Q213" s="305">
        <f t="shared" si="77"/>
        <v>0.5</v>
      </c>
      <c r="R213" s="177">
        <f t="shared" si="78"/>
        <v>0.9106997878441101</v>
      </c>
      <c r="S213" s="811">
        <f t="shared" si="79"/>
        <v>-1</v>
      </c>
      <c r="T213" s="176">
        <f t="shared" si="80"/>
        <v>5</v>
      </c>
      <c r="U213" s="251">
        <f t="shared" si="81"/>
        <v>-8.9300212155889847E-2</v>
      </c>
      <c r="V213" s="383">
        <f t="shared" si="82"/>
        <v>58.180471460220133</v>
      </c>
      <c r="W213" s="402"/>
      <c r="X213" s="157">
        <f t="shared" si="83"/>
        <v>44395</v>
      </c>
      <c r="Y213" s="385">
        <f t="shared" si="84"/>
        <v>49.572409309464454</v>
      </c>
      <c r="Z213" s="385">
        <f t="shared" si="85"/>
        <v>50.82132261269382</v>
      </c>
      <c r="AA213" s="386">
        <f t="shared" si="86"/>
        <v>54.226546070777815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6.2796244732965537E-2</v>
      </c>
      <c r="AD213" s="231">
        <f>(INDEX(Models!$BJ213:$BT213,,AH213)*(1-AF213)+INDEX(Models!$BJ213:$BT213,,AH213+1)*AF213-ERP_i)*AE213*Ramure*Pc/MaxiM</f>
        <v>1.5027442899248573E-4</v>
      </c>
      <c r="AE213" s="305">
        <f t="shared" si="88"/>
        <v>0.5</v>
      </c>
      <c r="AF213" s="177">
        <f t="shared" si="89"/>
        <v>0.9106997878441101</v>
      </c>
      <c r="AG213" s="811">
        <f t="shared" si="95"/>
        <v>-1</v>
      </c>
      <c r="AH213" s="176">
        <f t="shared" si="90"/>
        <v>5</v>
      </c>
      <c r="AI213" s="225">
        <f t="shared" si="91"/>
        <v>-8.9300212155889847E-2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7">
        <v>57.319000000000003</v>
      </c>
      <c r="C214" s="390"/>
      <c r="D214" s="393">
        <f t="shared" si="74"/>
        <v>58.764365815365899</v>
      </c>
      <c r="E214" s="385">
        <f t="shared" si="72"/>
        <v>59.540425068244886</v>
      </c>
      <c r="F214" s="385">
        <f t="shared" si="75"/>
        <v>59.54973537187086</v>
      </c>
      <c r="G214" s="110">
        <f t="shared" si="73"/>
        <v>0.98733355257302102</v>
      </c>
      <c r="H214" s="414" t="b">
        <f>Wh_hp&gt;='2020'!Maxi_hp</f>
        <v>0</v>
      </c>
      <c r="I214" s="380">
        <f>IF(H214,Wh_hp,'2020'!Maxi_hp)</f>
        <v>60.582660665176114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2.4595957010872027E-2</v>
      </c>
      <c r="M214" s="845"/>
      <c r="N214" s="845"/>
      <c r="O214" s="48">
        <f>IF(t&lt;Tnet,'2020'!Resal+('2020'!Salim-'2020'!Resal)*(1-EXP(('2020'!Tnet-t)/('2020'!Tau_j))),Resal+(Salim-Resal)*(1-EXP((Tnet-t)/(Tau_j))))*Salcycl</f>
        <v>1.3034157078816165E-2</v>
      </c>
      <c r="P214" s="169">
        <f>(INDEX(Models!$BJ214:$BT214,,T214)*(1-R214)+INDEX(Models!$BJ214:$BT214,,T214+1)*R214-ERP_i)*Q214*Ramure*Pc/MaxiM</f>
        <v>1.5922553119119298E-4</v>
      </c>
      <c r="Q214" s="305">
        <f t="shared" si="77"/>
        <v>0.5</v>
      </c>
      <c r="R214" s="177">
        <f t="shared" si="78"/>
        <v>0.91361071910967384</v>
      </c>
      <c r="S214" s="811">
        <f t="shared" si="79"/>
        <v>-1</v>
      </c>
      <c r="T214" s="176">
        <f t="shared" si="80"/>
        <v>5</v>
      </c>
      <c r="U214" s="251">
        <f t="shared" si="81"/>
        <v>-8.6389280890326103E-2</v>
      </c>
      <c r="V214" s="383">
        <f t="shared" si="82"/>
        <v>58.054175021075679</v>
      </c>
      <c r="W214" s="402"/>
      <c r="X214" s="157">
        <f t="shared" si="83"/>
        <v>44396</v>
      </c>
      <c r="Y214" s="385">
        <f t="shared" si="84"/>
        <v>54.426602044084845</v>
      </c>
      <c r="Z214" s="385">
        <f t="shared" si="85"/>
        <v>55.799032652452816</v>
      </c>
      <c r="AA214" s="386">
        <f t="shared" si="86"/>
        <v>59.540425068244886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6.2837851955267504E-2</v>
      </c>
      <c r="AD214" s="231">
        <f>(INDEX(Models!$BJ214:$BT214,,AH214)*(1-AF214)+INDEX(Models!$BJ214:$BT214,,AH214+1)*AF214-ERP_i)*AE214*Ramure*Pc/MaxiM</f>
        <v>1.5922553119119298E-4</v>
      </c>
      <c r="AE214" s="305">
        <f t="shared" si="88"/>
        <v>0.5</v>
      </c>
      <c r="AF214" s="177">
        <f t="shared" si="89"/>
        <v>0.91361071910967384</v>
      </c>
      <c r="AG214" s="811">
        <f t="shared" si="95"/>
        <v>-1</v>
      </c>
      <c r="AH214" s="176">
        <f t="shared" si="90"/>
        <v>5</v>
      </c>
      <c r="AI214" s="225">
        <f t="shared" si="91"/>
        <v>-8.6389280890326103E-2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7">
        <v>48.777000000000001</v>
      </c>
      <c r="C215" s="390"/>
      <c r="D215" s="393">
        <f t="shared" si="74"/>
        <v>50.008064571274787</v>
      </c>
      <c r="E215" s="385">
        <f t="shared" si="72"/>
        <v>50.672823352493367</v>
      </c>
      <c r="F215" s="385">
        <f t="shared" si="75"/>
        <v>50.679391631938181</v>
      </c>
      <c r="G215" s="110">
        <f t="shared" si="73"/>
        <v>0.84201679687003106</v>
      </c>
      <c r="H215" s="414" t="b">
        <f>Wh_hp&gt;='2020'!Maxi_hp</f>
        <v>0</v>
      </c>
      <c r="I215" s="380">
        <f>IF(H215,Wh_hp,'2020'!Maxi_hp)</f>
        <v>59.347072848746947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2.4617320862721948E-2</v>
      </c>
      <c r="M215" s="845"/>
      <c r="N215" s="845"/>
      <c r="O215" s="48">
        <f>IF(t&lt;Tnet,'2020'!Resal+('2020'!Salim-'2020'!Resal)*(1-EXP(('2020'!Tnet-t)/('2020'!Tau_j))),Resal+(Salim-Resal)*(1-EXP((Tnet-t)/(Tau_j))))*Salcycl</f>
        <v>1.3118645010054917E-2</v>
      </c>
      <c r="P215" s="169">
        <f>(INDEX(Models!$BJ215:$BT215,,T215)*(1-R215)+INDEX(Models!$BJ215:$BT215,,T215+1)*R215-ERP_i)*Q215*Ramure*Pc/MaxiM</f>
        <v>1.6737093403354345E-4</v>
      </c>
      <c r="Q215" s="305">
        <f t="shared" si="77"/>
        <v>0.5</v>
      </c>
      <c r="R215" s="177">
        <f t="shared" si="78"/>
        <v>0.91644320454510897</v>
      </c>
      <c r="S215" s="811">
        <f t="shared" si="79"/>
        <v>-1</v>
      </c>
      <c r="T215" s="176">
        <f t="shared" si="80"/>
        <v>5</v>
      </c>
      <c r="U215" s="251">
        <f t="shared" si="81"/>
        <v>-8.3556795454890975E-2</v>
      </c>
      <c r="V215" s="383">
        <f t="shared" si="82"/>
        <v>57.926585088711178</v>
      </c>
      <c r="W215" s="402"/>
      <c r="X215" s="157">
        <f t="shared" si="83"/>
        <v>44397</v>
      </c>
      <c r="Y215" s="385">
        <f t="shared" si="84"/>
        <v>46.317575001685043</v>
      </c>
      <c r="Z215" s="385">
        <f t="shared" si="85"/>
        <v>47.486567059661901</v>
      </c>
      <c r="AA215" s="386">
        <f t="shared" si="86"/>
        <v>50.672823352493367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6.2878996709282126E-2</v>
      </c>
      <c r="AD215" s="231">
        <f>(INDEX(Models!$BJ215:$BT215,,AH215)*(1-AF215)+INDEX(Models!$BJ215:$BT215,,AH215+1)*AF215-ERP_i)*AE215*Ramure*Pc/MaxiM</f>
        <v>1.6737093403354345E-4</v>
      </c>
      <c r="AE215" s="305">
        <f t="shared" si="88"/>
        <v>0.5</v>
      </c>
      <c r="AF215" s="177">
        <f t="shared" si="89"/>
        <v>0.91644320454510897</v>
      </c>
      <c r="AG215" s="811">
        <f t="shared" si="95"/>
        <v>-1</v>
      </c>
      <c r="AH215" s="176">
        <f t="shared" si="90"/>
        <v>5</v>
      </c>
      <c r="AI215" s="225">
        <f t="shared" si="91"/>
        <v>-8.3556795454890975E-2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7">
        <v>43.472000000000001</v>
      </c>
      <c r="C216" s="390"/>
      <c r="D216" s="393">
        <f t="shared" si="74"/>
        <v>44.570149848954202</v>
      </c>
      <c r="E216" s="385">
        <f t="shared" si="72"/>
        <v>45.166481952845693</v>
      </c>
      <c r="F216" s="385">
        <f t="shared" si="75"/>
        <v>45.17157914814895</v>
      </c>
      <c r="G216" s="110">
        <f t="shared" si="73"/>
        <v>0.75209275174860979</v>
      </c>
      <c r="H216" s="414" t="b">
        <f>Wh_hp&gt;='2020'!Maxi_hp</f>
        <v>0</v>
      </c>
      <c r="I216" s="380">
        <f>IF(H216,Wh_hp,'2020'!Maxi_hp)</f>
        <v>52.659548349792288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2.4638684246648723E-2</v>
      </c>
      <c r="M216" s="845"/>
      <c r="N216" s="845"/>
      <c r="O216" s="48">
        <f>IF(t&lt;Tnet,'2020'!Resal+('2020'!Salim-'2020'!Resal)*(1-EXP(('2020'!Tnet-t)/('2020'!Tau_j))),Resal+(Salim-Resal)*(1-EXP((Tnet-t)/(Tau_j))))*Salcycl</f>
        <v>1.3202978804372493E-2</v>
      </c>
      <c r="P216" s="169">
        <f>(INDEX(Models!$BJ216:$BT216,,T216)*(1-R216)+INDEX(Models!$BJ216:$BT216,,T216+1)*R216-ERP_i)*Q216*Ramure*Pc/MaxiM</f>
        <v>1.7469955523105295E-4</v>
      </c>
      <c r="Q216" s="305">
        <f t="shared" si="77"/>
        <v>0.5</v>
      </c>
      <c r="R216" s="177">
        <f t="shared" si="78"/>
        <v>0.91919807730316894</v>
      </c>
      <c r="S216" s="811">
        <f t="shared" si="79"/>
        <v>-1</v>
      </c>
      <c r="T216" s="176">
        <f t="shared" si="80"/>
        <v>5</v>
      </c>
      <c r="U216" s="251">
        <f t="shared" si="81"/>
        <v>-8.0801922696831008E-2</v>
      </c>
      <c r="V216" s="383">
        <f t="shared" si="82"/>
        <v>57.797805483290666</v>
      </c>
      <c r="W216" s="402"/>
      <c r="X216" s="157">
        <f t="shared" si="83"/>
        <v>44398</v>
      </c>
      <c r="Y216" s="385">
        <f t="shared" si="84"/>
        <v>41.281797228380157</v>
      </c>
      <c r="Z216" s="385">
        <f t="shared" si="85"/>
        <v>42.324620180876096</v>
      </c>
      <c r="AA216" s="386">
        <f t="shared" si="86"/>
        <v>45.166481952845693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6.2919706142633189E-2</v>
      </c>
      <c r="AD216" s="231">
        <f>(INDEX(Models!$BJ216:$BT216,,AH216)*(1-AF216)+INDEX(Models!$BJ216:$BT216,,AH216+1)*AF216-ERP_i)*AE216*Ramure*Pc/MaxiM</f>
        <v>1.7469955523105295E-4</v>
      </c>
      <c r="AE216" s="305">
        <f t="shared" si="88"/>
        <v>0.5</v>
      </c>
      <c r="AF216" s="177">
        <f t="shared" si="89"/>
        <v>0.91919807730316894</v>
      </c>
      <c r="AG216" s="811">
        <f t="shared" si="95"/>
        <v>-1</v>
      </c>
      <c r="AH216" s="176">
        <f t="shared" si="90"/>
        <v>5</v>
      </c>
      <c r="AI216" s="225">
        <f t="shared" si="91"/>
        <v>-8.0801922696831008E-2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7">
        <v>53.465000000000003</v>
      </c>
      <c r="C217" s="390"/>
      <c r="D217" s="393">
        <f t="shared" si="74"/>
        <v>54.816784490849869</v>
      </c>
      <c r="E217" s="385">
        <f t="shared" si="72"/>
        <v>55.554952171464336</v>
      </c>
      <c r="F217" s="385">
        <f t="shared" si="75"/>
        <v>55.563972127949256</v>
      </c>
      <c r="G217" s="110">
        <f t="shared" si="73"/>
        <v>0.92710076358427473</v>
      </c>
      <c r="H217" s="414" t="b">
        <f>Wh_hp&gt;='2020'!Maxi_hp</f>
        <v>1</v>
      </c>
      <c r="I217" s="380">
        <f>IF(H217,Wh_hp,'2020'!Maxi_hp)</f>
        <v>55.563972127949256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2.4660047162662568E-2</v>
      </c>
      <c r="M217" s="845"/>
      <c r="N217" s="845"/>
      <c r="O217" s="48">
        <f>IF(t&lt;Tnet,'2020'!Resal+('2020'!Salim-'2020'!Resal)*(1-EXP(('2020'!Tnet-t)/('2020'!Tau_j))),Resal+(Salim-Resal)*(1-EXP((Tnet-t)/(Tau_j))))*Salcycl</f>
        <v>1.3287162561785556E-2</v>
      </c>
      <c r="P217" s="169">
        <f>(INDEX(Models!$BJ217:$BT217,,T217)*(1-R217)+INDEX(Models!$BJ217:$BT217,,T217+1)*R217-ERP_i)*Q217*Ramure*Pc/MaxiM</f>
        <v>1.8120065069674807E-4</v>
      </c>
      <c r="Q217" s="305">
        <f t="shared" si="77"/>
        <v>0.5</v>
      </c>
      <c r="R217" s="177">
        <f t="shared" si="78"/>
        <v>0.92187625296044806</v>
      </c>
      <c r="S217" s="811">
        <f t="shared" si="79"/>
        <v>-1</v>
      </c>
      <c r="T217" s="176">
        <f t="shared" si="80"/>
        <v>5</v>
      </c>
      <c r="U217" s="251">
        <f t="shared" si="81"/>
        <v>-7.8123747039551883E-2</v>
      </c>
      <c r="V217" s="383">
        <f t="shared" si="82"/>
        <v>57.667939952264689</v>
      </c>
      <c r="W217" s="402"/>
      <c r="X217" s="157">
        <f t="shared" si="83"/>
        <v>44399</v>
      </c>
      <c r="Y217" s="385">
        <f t="shared" si="84"/>
        <v>50.773478727565902</v>
      </c>
      <c r="Z217" s="385">
        <f t="shared" si="85"/>
        <v>52.057212031417379</v>
      </c>
      <c r="AA217" s="386">
        <f t="shared" si="86"/>
        <v>55.554952171464336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6.2960006324036866E-2</v>
      </c>
      <c r="AD217" s="231">
        <f>(INDEX(Models!$BJ217:$BT217,,AH217)*(1-AF217)+INDEX(Models!$BJ217:$BT217,,AH217+1)*AF217-ERP_i)*AE217*Ramure*Pc/MaxiM</f>
        <v>1.8120065069674807E-4</v>
      </c>
      <c r="AE217" s="305">
        <f t="shared" si="88"/>
        <v>0.5</v>
      </c>
      <c r="AF217" s="177">
        <f t="shared" si="89"/>
        <v>0.92187625296044806</v>
      </c>
      <c r="AG217" s="811">
        <f t="shared" si="95"/>
        <v>-1</v>
      </c>
      <c r="AH217" s="176">
        <f t="shared" si="90"/>
        <v>5</v>
      </c>
      <c r="AI217" s="225">
        <f t="shared" si="91"/>
        <v>-7.8123747039551883E-2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7">
        <v>45.417999999999999</v>
      </c>
      <c r="C218" s="390"/>
      <c r="D218" s="393">
        <f t="shared" si="74"/>
        <v>46.567347785173212</v>
      </c>
      <c r="E218" s="385">
        <f t="shared" si="72"/>
        <v>47.198447681224977</v>
      </c>
      <c r="F218" s="385">
        <f t="shared" si="75"/>
        <v>47.204614313538926</v>
      </c>
      <c r="G218" s="110">
        <f t="shared" si="73"/>
        <v>0.78932466354371078</v>
      </c>
      <c r="H218" s="414" t="b">
        <f>Wh_hp&gt;='2020'!Maxi_hp</f>
        <v>0</v>
      </c>
      <c r="I218" s="380">
        <f>IF(H218,Wh_hp,'2020'!Maxi_hp)</f>
        <v>57.937152506467669</v>
      </c>
      <c r="J218" s="85">
        <f>IF(H218,An,'2020'!An_max)</f>
        <v>2019</v>
      </c>
      <c r="K218" s="197">
        <f t="shared" si="76"/>
        <v>44400</v>
      </c>
      <c r="L218" s="147">
        <f>IF(t&lt;Tvie,1-EXP((T0-t)*PertePVj)+'2020'!Pspv,1-EXP((T0-t)*PertePVj)+Pspv)</f>
        <v>2.4681409610773697E-2</v>
      </c>
      <c r="M218" s="845"/>
      <c r="N218" s="845"/>
      <c r="O218" s="48">
        <f>IF(t&lt;Tnet,'2020'!Resal+('2020'!Salim-'2020'!Resal)*(1-EXP(('2020'!Tnet-t)/('2020'!Tau_j))),Resal+(Salim-Resal)*(1-EXP((Tnet-t)/(Tau_j))))*Salcycl</f>
        <v>1.3371200263071582E-2</v>
      </c>
      <c r="P218" s="169">
        <f>(INDEX(Models!$BJ218:$BT218,,T218)*(1-R218)+INDEX(Models!$BJ218:$BT218,,T218+1)*R218-ERP_i)*Q218*Ramure*Pc/MaxiM</f>
        <v>1.868637837492958E-4</v>
      </c>
      <c r="Q218" s="305">
        <f t="shared" si="77"/>
        <v>0.5</v>
      </c>
      <c r="R218" s="177">
        <f t="shared" si="78"/>
        <v>0.92447872272158027</v>
      </c>
      <c r="S218" s="811">
        <f t="shared" si="79"/>
        <v>-1</v>
      </c>
      <c r="T218" s="176">
        <f t="shared" si="80"/>
        <v>5</v>
      </c>
      <c r="U218" s="251">
        <f t="shared" si="81"/>
        <v>-7.5521277278419785E-2</v>
      </c>
      <c r="V218" s="383">
        <f t="shared" si="82"/>
        <v>57.537092175602133</v>
      </c>
      <c r="W218" s="402"/>
      <c r="X218" s="157">
        <f t="shared" si="83"/>
        <v>44400</v>
      </c>
      <c r="Y218" s="385">
        <f t="shared" si="84"/>
        <v>43.133415067030313</v>
      </c>
      <c r="Z218" s="385">
        <f t="shared" si="85"/>
        <v>44.224949152068149</v>
      </c>
      <c r="AA218" s="386">
        <f t="shared" si="86"/>
        <v>47.198447681224977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6.2999922142347384E-2</v>
      </c>
      <c r="AD218" s="231">
        <f>(INDEX(Models!$BJ218:$BT218,,AH218)*(1-AF218)+INDEX(Models!$BJ218:$BT218,,AH218+1)*AF218-ERP_i)*AE218*Ramure*Pc/MaxiM</f>
        <v>1.868637837492958E-4</v>
      </c>
      <c r="AE218" s="305">
        <f t="shared" si="88"/>
        <v>0.5</v>
      </c>
      <c r="AF218" s="177">
        <f t="shared" si="89"/>
        <v>0.92447872272158027</v>
      </c>
      <c r="AG218" s="811">
        <f t="shared" si="95"/>
        <v>-1</v>
      </c>
      <c r="AH218" s="176">
        <f t="shared" si="90"/>
        <v>5</v>
      </c>
      <c r="AI218" s="225">
        <f t="shared" si="91"/>
        <v>-7.5521277278419785E-2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7">
        <v>29.144000000000002</v>
      </c>
      <c r="C219" s="390"/>
      <c r="D219" s="393">
        <f t="shared" si="74"/>
        <v>29.882172481451949</v>
      </c>
      <c r="E219" s="385">
        <f t="shared" si="72"/>
        <v>30.289723612692789</v>
      </c>
      <c r="F219" s="385">
        <f t="shared" si="75"/>
        <v>30.291446325625174</v>
      </c>
      <c r="G219" s="110">
        <f t="shared" si="73"/>
        <v>0.50762157203232194</v>
      </c>
      <c r="H219" s="414" t="b">
        <f>Wh_hp&gt;='2020'!Maxi_hp</f>
        <v>0</v>
      </c>
      <c r="I219" s="380">
        <f>IF(H219,Wh_hp,'2020'!Maxi_hp)</f>
        <v>57.924820130429069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2.4702771590992434E-2</v>
      </c>
      <c r="M219" s="845"/>
      <c r="N219" s="845"/>
      <c r="O219" s="48">
        <f>IF(t&lt;Tnet,'2020'!Resal+('2020'!Salim-'2020'!Resal)*(1-EXP(('2020'!Tnet-t)/('2020'!Tau_j))),Resal+(Salim-Resal)*(1-EXP((Tnet-t)/(Tau_j))))*Salcycl</f>
        <v>1.3455095743100774E-2</v>
      </c>
      <c r="P219" s="169">
        <f>(INDEX(Models!$BJ219:$BT219,,T219)*(1-R219)+INDEX(Models!$BJ219:$BT219,,T219+1)*R219-ERP_i)*Q219*Ramure*Pc/MaxiM</f>
        <v>1.9167934769921403E-4</v>
      </c>
      <c r="Q219" s="305">
        <f t="shared" si="77"/>
        <v>0.5</v>
      </c>
      <c r="R219" s="177">
        <f t="shared" si="78"/>
        <v>0.92700654676445748</v>
      </c>
      <c r="S219" s="811">
        <f t="shared" si="79"/>
        <v>-1</v>
      </c>
      <c r="T219" s="176">
        <f t="shared" si="80"/>
        <v>5</v>
      </c>
      <c r="U219" s="251">
        <f t="shared" si="81"/>
        <v>-7.2993453235542516E-2</v>
      </c>
      <c r="V219" s="383">
        <f t="shared" si="82"/>
        <v>57.405107535481221</v>
      </c>
      <c r="W219" s="402"/>
      <c r="X219" s="157">
        <f t="shared" si="83"/>
        <v>44401</v>
      </c>
      <c r="Y219" s="385">
        <f t="shared" si="84"/>
        <v>27.679203813360878</v>
      </c>
      <c r="Z219" s="385">
        <f t="shared" si="85"/>
        <v>28.380275271071653</v>
      </c>
      <c r="AA219" s="386">
        <f t="shared" si="86"/>
        <v>30.289723612692789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6.3039477217976023E-2</v>
      </c>
      <c r="AD219" s="231">
        <f>(INDEX(Models!$BJ219:$BT219,,AH219)*(1-AF219)+INDEX(Models!$BJ219:$BT219,,AH219+1)*AF219-ERP_i)*AE219*Ramure*Pc/MaxiM</f>
        <v>1.9167934769921403E-4</v>
      </c>
      <c r="AE219" s="305">
        <f t="shared" si="88"/>
        <v>0.5</v>
      </c>
      <c r="AF219" s="177">
        <f t="shared" si="89"/>
        <v>0.92700654676445748</v>
      </c>
      <c r="AG219" s="811">
        <f t="shared" si="95"/>
        <v>-1</v>
      </c>
      <c r="AH219" s="176">
        <f t="shared" si="90"/>
        <v>5</v>
      </c>
      <c r="AI219" s="225">
        <f t="shared" si="91"/>
        <v>-7.2993453235542516E-2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7">
        <v>37.225999999999999</v>
      </c>
      <c r="C220" s="390"/>
      <c r="D220" s="393">
        <f t="shared" si="74"/>
        <v>38.169713066368772</v>
      </c>
      <c r="E220" s="385">
        <f t="shared" si="72"/>
        <v>38.69357974162201</v>
      </c>
      <c r="F220" s="385">
        <f t="shared" si="75"/>
        <v>38.697352502818639</v>
      </c>
      <c r="G220" s="110">
        <f t="shared" si="73"/>
        <v>0.64992492692057124</v>
      </c>
      <c r="H220" s="414" t="b">
        <f>Wh_hp&gt;='2020'!Maxi_hp</f>
        <v>0</v>
      </c>
      <c r="I220" s="380">
        <f>IF(H220,Wh_hp,'2020'!Maxi_hp)</f>
        <v>58.619065963281635</v>
      </c>
      <c r="J220" s="85">
        <f>IF(H220,An,'2020'!An_max)</f>
        <v>2019</v>
      </c>
      <c r="K220" s="197">
        <f t="shared" si="76"/>
        <v>44402</v>
      </c>
      <c r="L220" s="147">
        <f>IF(t&lt;Tvie,1-EXP((T0-t)*PertePVj)+'2020'!Pspv,1-EXP((T0-t)*PertePVj)+Pspv)</f>
        <v>2.4724133103328882E-2</v>
      </c>
      <c r="M220" s="845"/>
      <c r="N220" s="845"/>
      <c r="O220" s="48">
        <f>IF(t&lt;Tnet,'2020'!Resal+('2020'!Salim-'2020'!Resal)*(1-EXP(('2020'!Tnet-t)/('2020'!Tau_j))),Resal+(Salim-Resal)*(1-EXP((Tnet-t)/(Tau_j))))*Salcycl</f>
        <v>1.3538852666291791E-2</v>
      </c>
      <c r="P220" s="169">
        <f>(INDEX(Models!$BJ220:$BT220,,T220)*(1-R220)+INDEX(Models!$BJ220:$BT220,,T220+1)*R220-ERP_i)*Q220*Ramure*Pc/MaxiM</f>
        <v>1.9499459244327509E-4</v>
      </c>
      <c r="Q220" s="305">
        <f t="shared" si="77"/>
        <v>0.5</v>
      </c>
      <c r="R220" s="177">
        <f t="shared" si="78"/>
        <v>0.92946084775159243</v>
      </c>
      <c r="S220" s="811">
        <f t="shared" si="79"/>
        <v>-1</v>
      </c>
      <c r="T220" s="176">
        <f t="shared" si="80"/>
        <v>5</v>
      </c>
      <c r="U220" s="251">
        <f t="shared" si="81"/>
        <v>-7.0539152248407511E-2</v>
      </c>
      <c r="V220" s="383">
        <f t="shared" si="82"/>
        <v>57.271799478241022</v>
      </c>
      <c r="W220" s="402"/>
      <c r="X220" s="157">
        <f t="shared" si="83"/>
        <v>44402</v>
      </c>
      <c r="Y220" s="385">
        <f t="shared" si="84"/>
        <v>35.356519248496816</v>
      </c>
      <c r="Z220" s="385">
        <f t="shared" si="85"/>
        <v>36.252839272032126</v>
      </c>
      <c r="AA220" s="386">
        <f t="shared" si="86"/>
        <v>38.69357974162201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6.3078693826935345E-2</v>
      </c>
      <c r="AD220" s="231">
        <f>(INDEX(Models!$BJ220:$BT220,,AH220)*(1-AF220)+INDEX(Models!$BJ220:$BT220,,AH220+1)*AF220-ERP_i)*AE220*Ramure*Pc/MaxiM</f>
        <v>1.9499459244327509E-4</v>
      </c>
      <c r="AE220" s="305">
        <f t="shared" si="88"/>
        <v>0.5</v>
      </c>
      <c r="AF220" s="177">
        <f t="shared" si="89"/>
        <v>0.92946084775159243</v>
      </c>
      <c r="AG220" s="811">
        <f t="shared" si="95"/>
        <v>-1</v>
      </c>
      <c r="AH220" s="176">
        <f t="shared" si="90"/>
        <v>5</v>
      </c>
      <c r="AI220" s="225">
        <f t="shared" si="91"/>
        <v>-7.0539152248407511E-2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7">
        <v>32.491</v>
      </c>
      <c r="C221" s="390"/>
      <c r="D221" s="393">
        <f t="shared" si="74"/>
        <v>33.315406188878249</v>
      </c>
      <c r="E221" s="385">
        <f t="shared" si="72"/>
        <v>33.775512243283003</v>
      </c>
      <c r="F221" s="385">
        <f t="shared" si="75"/>
        <v>33.778060539687893</v>
      </c>
      <c r="G221" s="110">
        <f t="shared" si="73"/>
        <v>0.56858009789853714</v>
      </c>
      <c r="H221" s="414" t="b">
        <f>Wh_hp&gt;='2020'!Maxi_hp</f>
        <v>0</v>
      </c>
      <c r="I221" s="380">
        <f>IF(H221,Wh_hp,'2020'!Maxi_hp)</f>
        <v>58.03763301162973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2.4745494147793479E-2</v>
      </c>
      <c r="M221" s="845"/>
      <c r="N221" s="845"/>
      <c r="O221" s="48">
        <f>IF(t&lt;Tnet,'2020'!Resal+('2020'!Salim-'2020'!Resal)*(1-EXP(('2020'!Tnet-t)/('2020'!Tau_j))),Resal+(Salim-Resal)*(1-EXP((Tnet-t)/(Tau_j))))*Salcycl</f>
        <v>1.3622474504328358E-2</v>
      </c>
      <c r="P221" s="169">
        <f>(INDEX(Models!$BJ221:$BT221,,T221)*(1-R221)+INDEX(Models!$BJ221:$BT221,,T221+1)*R221-ERP_i)*Q221*Ramure*Pc/MaxiM</f>
        <v>1.9657490196092449E-4</v>
      </c>
      <c r="Q221" s="305">
        <f t="shared" si="77"/>
        <v>0.5</v>
      </c>
      <c r="R221" s="177">
        <f t="shared" si="78"/>
        <v>0.93184280452945134</v>
      </c>
      <c r="S221" s="811">
        <f t="shared" si="79"/>
        <v>-1</v>
      </c>
      <c r="T221" s="176">
        <f t="shared" si="80"/>
        <v>5</v>
      </c>
      <c r="U221" s="251">
        <f t="shared" si="81"/>
        <v>-6.8157195470548604E-2</v>
      </c>
      <c r="V221" s="383">
        <f t="shared" si="82"/>
        <v>57.137181033099338</v>
      </c>
      <c r="W221" s="402"/>
      <c r="X221" s="157">
        <f t="shared" si="83"/>
        <v>44403</v>
      </c>
      <c r="Y221" s="385">
        <f t="shared" si="84"/>
        <v>30.860644635851433</v>
      </c>
      <c r="Z221" s="385">
        <f t="shared" si="85"/>
        <v>31.643683213628918</v>
      </c>
      <c r="AA221" s="386">
        <f t="shared" si="86"/>
        <v>33.775512243283003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6.3117592837634781E-2</v>
      </c>
      <c r="AD221" s="231">
        <f>(INDEX(Models!$BJ221:$BT221,,AH221)*(1-AF221)+INDEX(Models!$BJ221:$BT221,,AH221+1)*AF221-ERP_i)*AE221*Ramure*Pc/MaxiM</f>
        <v>1.9657490196092449E-4</v>
      </c>
      <c r="AE221" s="305">
        <f t="shared" si="88"/>
        <v>0.5</v>
      </c>
      <c r="AF221" s="177">
        <f t="shared" si="89"/>
        <v>0.93184280452945134</v>
      </c>
      <c r="AG221" s="811">
        <f t="shared" si="95"/>
        <v>-1</v>
      </c>
      <c r="AH221" s="176">
        <f t="shared" si="90"/>
        <v>5</v>
      </c>
      <c r="AI221" s="225">
        <f t="shared" si="91"/>
        <v>-6.8157195470548604E-2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7">
        <v>48.600999999999999</v>
      </c>
      <c r="C222" s="390"/>
      <c r="D222" s="393">
        <f t="shared" si="74"/>
        <v>49.835262711733634</v>
      </c>
      <c r="E222" s="385">
        <f t="shared" si="72"/>
        <v>50.527794875379797</v>
      </c>
      <c r="F222" s="385">
        <f t="shared" si="75"/>
        <v>50.535630654102007</v>
      </c>
      <c r="G222" s="110">
        <f t="shared" si="73"/>
        <v>0.852595123794613</v>
      </c>
      <c r="H222" s="414" t="b">
        <f>Wh_hp&gt;='2020'!Maxi_hp</f>
        <v>1</v>
      </c>
      <c r="I222" s="380">
        <f>IF(H222,Wh_hp,'2020'!Maxi_hp)</f>
        <v>50.535630654102007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2.4766854724396326E-2</v>
      </c>
      <c r="M222" s="845"/>
      <c r="N222" s="845"/>
      <c r="O222" s="48">
        <f>IF(t&lt;Tnet,'2020'!Resal+('2020'!Salim-'2020'!Resal)*(1-EXP(('2020'!Tnet-t)/('2020'!Tau_j))),Resal+(Salim-Resal)*(1-EXP((Tnet-t)/(Tau_j))))*Salcycl</f>
        <v>1.3705964516246942E-2</v>
      </c>
      <c r="P222" s="169">
        <f>(INDEX(Models!$BJ222:$BT222,,T222)*(1-R222)+INDEX(Models!$BJ222:$BT222,,T222+1)*R222-ERP_i)*Q222*Ramure*Pc/MaxiM</f>
        <v>1.96402835906621E-4</v>
      </c>
      <c r="Q222" s="305">
        <f t="shared" si="77"/>
        <v>0.5</v>
      </c>
      <c r="R222" s="177">
        <f t="shared" si="78"/>
        <v>0.93415364603441731</v>
      </c>
      <c r="S222" s="811">
        <f t="shared" si="79"/>
        <v>-1</v>
      </c>
      <c r="T222" s="176">
        <f t="shared" si="80"/>
        <v>5</v>
      </c>
      <c r="U222" s="251">
        <f t="shared" si="81"/>
        <v>-6.5846353965582749E-2</v>
      </c>
      <c r="V222" s="383">
        <f t="shared" si="82"/>
        <v>57.001252720398746</v>
      </c>
      <c r="W222" s="402"/>
      <c r="X222" s="157">
        <f t="shared" si="83"/>
        <v>44404</v>
      </c>
      <c r="Y222" s="385">
        <f t="shared" si="84"/>
        <v>46.164271701772378</v>
      </c>
      <c r="Z222" s="385">
        <f t="shared" si="85"/>
        <v>47.336651676995885</v>
      </c>
      <c r="AA222" s="386">
        <f t="shared" si="86"/>
        <v>50.527794875379797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6.3156193660428905E-2</v>
      </c>
      <c r="AD222" s="231">
        <f>(INDEX(Models!$BJ222:$BT222,,AH222)*(1-AF222)+INDEX(Models!$BJ222:$BT222,,AH222+1)*AF222-ERP_i)*AE222*Ramure*Pc/MaxiM</f>
        <v>1.96402835906621E-4</v>
      </c>
      <c r="AE222" s="305">
        <f t="shared" si="88"/>
        <v>0.5</v>
      </c>
      <c r="AF222" s="177">
        <f t="shared" si="89"/>
        <v>0.93415364603441731</v>
      </c>
      <c r="AG222" s="811">
        <f t="shared" si="95"/>
        <v>-1</v>
      </c>
      <c r="AH222" s="176">
        <f t="shared" si="90"/>
        <v>5</v>
      </c>
      <c r="AI222" s="225">
        <f t="shared" si="91"/>
        <v>-6.5846353965582749E-2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7">
        <v>24.85</v>
      </c>
      <c r="C223" s="390"/>
      <c r="D223" s="393">
        <f t="shared" si="74"/>
        <v>25.481644477612964</v>
      </c>
      <c r="E223" s="385">
        <f t="shared" si="72"/>
        <v>25.83793214010781</v>
      </c>
      <c r="F223" s="385">
        <f t="shared" si="75"/>
        <v>25.838915592563254</v>
      </c>
      <c r="G223" s="110">
        <f t="shared" si="73"/>
        <v>0.43693913082372537</v>
      </c>
      <c r="H223" s="414" t="b">
        <f>Wh_hp&gt;='2020'!Maxi_hp</f>
        <v>0</v>
      </c>
      <c r="I223" s="380">
        <f>IF(H223,Wh_hp,'2020'!Maxi_hp)</f>
        <v>56.44038029737262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2.4788214833147748E-2</v>
      </c>
      <c r="M223" s="845"/>
      <c r="N223" s="845"/>
      <c r="O223" s="48">
        <f>IF(t&lt;Tnet,'2020'!Resal+('2020'!Salim-'2020'!Resal)*(1-EXP(('2020'!Tnet-t)/('2020'!Tau_j))),Resal+(Salim-Resal)*(1-EXP((Tnet-t)/(Tau_j))))*Salcycl</f>
        <v>1.3789325730977835E-2</v>
      </c>
      <c r="P223" s="169">
        <f>(INDEX(Models!$BJ223:$BT223,,T223)*(1-R223)+INDEX(Models!$BJ223:$BT223,,T223+1)*R223-ERP_i)*Q223*Ramure*Pc/MaxiM</f>
        <v>1.9446114682694266E-4</v>
      </c>
      <c r="Q223" s="305">
        <f t="shared" si="77"/>
        <v>0.5</v>
      </c>
      <c r="R223" s="177">
        <f t="shared" si="78"/>
        <v>0.93639464542099882</v>
      </c>
      <c r="S223" s="811">
        <f t="shared" si="79"/>
        <v>-1</v>
      </c>
      <c r="T223" s="176">
        <f t="shared" si="80"/>
        <v>5</v>
      </c>
      <c r="U223" s="251">
        <f t="shared" si="81"/>
        <v>-6.3605354579001239E-2</v>
      </c>
      <c r="V223" s="383">
        <f t="shared" si="82"/>
        <v>56.864015038353536</v>
      </c>
      <c r="W223" s="402"/>
      <c r="X223" s="157">
        <f t="shared" si="83"/>
        <v>44405</v>
      </c>
      <c r="Y223" s="385">
        <f t="shared" si="84"/>
        <v>23.605114940721332</v>
      </c>
      <c r="Z223" s="385">
        <f t="shared" si="85"/>
        <v>24.205116570328009</v>
      </c>
      <c r="AA223" s="386">
        <f t="shared" si="86"/>
        <v>25.83793214010781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6.3194514209796535E-2</v>
      </c>
      <c r="AD223" s="231">
        <f>(INDEX(Models!$BJ223:$BT223,,AH223)*(1-AF223)+INDEX(Models!$BJ223:$BT223,,AH223+1)*AF223-ERP_i)*AE223*Ramure*Pc/MaxiM</f>
        <v>1.9446114682694266E-4</v>
      </c>
      <c r="AE223" s="305">
        <f t="shared" si="88"/>
        <v>0.5</v>
      </c>
      <c r="AF223" s="177">
        <f t="shared" si="89"/>
        <v>0.93639464542099882</v>
      </c>
      <c r="AG223" s="811">
        <f t="shared" si="95"/>
        <v>-1</v>
      </c>
      <c r="AH223" s="176">
        <f t="shared" si="90"/>
        <v>5</v>
      </c>
      <c r="AI223" s="225">
        <f t="shared" si="91"/>
        <v>-6.3605354579001239E-2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7">
        <v>53.957000000000001</v>
      </c>
      <c r="C224" s="390"/>
      <c r="D224" s="393">
        <f t="shared" si="74"/>
        <v>55.329706473379062</v>
      </c>
      <c r="E224" s="385">
        <f t="shared" si="72"/>
        <v>56.108069080497209</v>
      </c>
      <c r="F224" s="385">
        <f t="shared" si="75"/>
        <v>56.118026363191731</v>
      </c>
      <c r="G224" s="110">
        <f t="shared" si="73"/>
        <v>0.95118266637212967</v>
      </c>
      <c r="H224" s="414" t="b">
        <f>Wh_hp&gt;='2020'!Maxi_hp</f>
        <v>0</v>
      </c>
      <c r="I224" s="380">
        <f>IF(H224,Wh_hp,'2020'!Maxi_hp)</f>
        <v>59.643858292588483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2.480957447405796E-2</v>
      </c>
      <c r="M224" s="845"/>
      <c r="N224" s="845"/>
      <c r="O224" s="48">
        <f>IF(t&lt;Tnet,'2020'!Resal+('2020'!Salim-'2020'!Resal)*(1-EXP(('2020'!Tnet-t)/('2020'!Tau_j))),Resal+(Salim-Resal)*(1-EXP((Tnet-t)/(Tau_j))))*Salcycl</f>
        <v>1.3872560932393597E-2</v>
      </c>
      <c r="P224" s="169">
        <f>(INDEX(Models!$BJ224:$BT224,,T224)*(1-R224)+INDEX(Models!$BJ224:$BT224,,T224+1)*R224-ERP_i)*Q224*Ramure*Pc/MaxiM</f>
        <v>1.907327275244089E-4</v>
      </c>
      <c r="Q224" s="305">
        <f t="shared" si="77"/>
        <v>0.5</v>
      </c>
      <c r="R224" s="177">
        <f t="shared" si="78"/>
        <v>0.93856711442503216</v>
      </c>
      <c r="S224" s="811">
        <f t="shared" si="79"/>
        <v>-1</v>
      </c>
      <c r="T224" s="176">
        <f t="shared" si="80"/>
        <v>5</v>
      </c>
      <c r="U224" s="251">
        <f t="shared" si="81"/>
        <v>-6.1432885574967844E-2</v>
      </c>
      <c r="V224" s="383">
        <f t="shared" si="82"/>
        <v>56.725468468010327</v>
      </c>
      <c r="W224" s="402"/>
      <c r="X224" s="157">
        <f t="shared" si="83"/>
        <v>44406</v>
      </c>
      <c r="Y224" s="385">
        <f t="shared" si="84"/>
        <v>51.256215140791234</v>
      </c>
      <c r="Z224" s="385">
        <f t="shared" si="85"/>
        <v>52.560211625485977</v>
      </c>
      <c r="AA224" s="386">
        <f t="shared" si="86"/>
        <v>56.108069080497209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6.3232570878908462E-2</v>
      </c>
      <c r="AD224" s="231">
        <f>(INDEX(Models!$BJ224:$BT224,,AH224)*(1-AF224)+INDEX(Models!$BJ224:$BT224,,AH224+1)*AF224-ERP_i)*AE224*Ramure*Pc/MaxiM</f>
        <v>1.907327275244089E-4</v>
      </c>
      <c r="AE224" s="305">
        <f t="shared" si="88"/>
        <v>0.5</v>
      </c>
      <c r="AF224" s="177">
        <f t="shared" si="89"/>
        <v>0.93856711442503216</v>
      </c>
      <c r="AG224" s="811">
        <f t="shared" si="95"/>
        <v>-1</v>
      </c>
      <c r="AH224" s="176">
        <f t="shared" si="90"/>
        <v>5</v>
      </c>
      <c r="AI224" s="225">
        <f t="shared" si="91"/>
        <v>-6.1432885574967844E-2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7">
        <v>18.815999999999999</v>
      </c>
      <c r="C225" s="390"/>
      <c r="D225" s="393">
        <f t="shared" si="74"/>
        <v>19.295115738619494</v>
      </c>
      <c r="E225" s="385">
        <f t="shared" si="72"/>
        <v>19.568203176437688</v>
      </c>
      <c r="F225" s="385">
        <f t="shared" si="75"/>
        <v>19.568371554424029</v>
      </c>
      <c r="G225" s="110">
        <f t="shared" si="73"/>
        <v>0.33246396011622531</v>
      </c>
      <c r="H225" s="414" t="b">
        <f>Wh_hp&gt;='2020'!Maxi_hp</f>
        <v>0</v>
      </c>
      <c r="I225" s="380">
        <f>IF(H225,Wh_hp,'2020'!Maxi_hp)</f>
        <v>55.994393253662331</v>
      </c>
      <c r="J225" s="85">
        <f>IF(H225,An,'2020'!An_max)</f>
        <v>2018</v>
      </c>
      <c r="K225" s="197">
        <f t="shared" si="76"/>
        <v>44407</v>
      </c>
      <c r="L225" s="147">
        <f>IF(t&lt;Tvie,1-EXP((T0-t)*PertePVj)+'2020'!Pspv,1-EXP((T0-t)*PertePVj)+Pspv)</f>
        <v>2.4830933647137288E-2</v>
      </c>
      <c r="M225" s="845"/>
      <c r="N225" s="845"/>
      <c r="O225" s="48">
        <f>IF(t&lt;Tnet,'2020'!Resal+('2020'!Salim-'2020'!Resal)*(1-EXP(('2020'!Tnet-t)/('2020'!Tau_j))),Resal+(Salim-Resal)*(1-EXP((Tnet-t)/(Tau_j))))*Salcycl</f>
        <v>1.3955672646889935E-2</v>
      </c>
      <c r="P225" s="169">
        <f>(INDEX(Models!$BJ225:$BT225,,T225)*(1-R225)+INDEX(Models!$BJ225:$BT225,,T225+1)*R225-ERP_i)*Q225*Ramure*Pc/MaxiM</f>
        <v>1.8520056287626828E-4</v>
      </c>
      <c r="Q225" s="305">
        <f t="shared" si="77"/>
        <v>0.5</v>
      </c>
      <c r="R225" s="177">
        <f t="shared" si="78"/>
        <v>0.9406723979719146</v>
      </c>
      <c r="S225" s="811">
        <f t="shared" si="79"/>
        <v>-1</v>
      </c>
      <c r="T225" s="176">
        <f t="shared" si="80"/>
        <v>5</v>
      </c>
      <c r="U225" s="251">
        <f t="shared" si="81"/>
        <v>-5.9327602028085402E-2</v>
      </c>
      <c r="V225" s="383">
        <f t="shared" si="82"/>
        <v>56.585613475732352</v>
      </c>
      <c r="W225" s="402"/>
      <c r="X225" s="157">
        <f t="shared" si="83"/>
        <v>44407</v>
      </c>
      <c r="Y225" s="385">
        <f t="shared" si="84"/>
        <v>17.874961671311056</v>
      </c>
      <c r="Z225" s="385">
        <f t="shared" si="85"/>
        <v>18.330115554386381</v>
      </c>
      <c r="AA225" s="386">
        <f t="shared" si="86"/>
        <v>19.568203176437688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6.3270378526225732E-2</v>
      </c>
      <c r="AD225" s="231">
        <f>(INDEX(Models!$BJ225:$BT225,,AH225)*(1-AF225)+INDEX(Models!$BJ225:$BT225,,AH225+1)*AF225-ERP_i)*AE225*Ramure*Pc/MaxiM</f>
        <v>1.8520056287626828E-4</v>
      </c>
      <c r="AE225" s="305">
        <f t="shared" si="88"/>
        <v>0.5</v>
      </c>
      <c r="AF225" s="177">
        <f t="shared" si="89"/>
        <v>0.9406723979719146</v>
      </c>
      <c r="AG225" s="811">
        <f t="shared" si="95"/>
        <v>-1</v>
      </c>
      <c r="AH225" s="176">
        <f t="shared" si="90"/>
        <v>5</v>
      </c>
      <c r="AI225" s="225">
        <f t="shared" si="91"/>
        <v>-5.9327602028085402E-2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7">
        <v>13.038</v>
      </c>
      <c r="C226" s="390"/>
      <c r="D226" s="393">
        <f t="shared" si="74"/>
        <v>13.370282161101724</v>
      </c>
      <c r="E226" s="385">
        <f t="shared" si="72"/>
        <v>13.560655637465437</v>
      </c>
      <c r="F226" s="385">
        <f t="shared" si="75"/>
        <v>13.560655637465437</v>
      </c>
      <c r="G226" s="110">
        <f t="shared" si="73"/>
        <v>0.23094708341959186</v>
      </c>
      <c r="H226" s="414" t="b">
        <f>Wh_hp&gt;='2020'!Maxi_hp</f>
        <v>0</v>
      </c>
      <c r="I226" s="380">
        <f>IF(H226,Wh_hp,'2020'!Maxi_hp)</f>
        <v>58.250484133448317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2.4852292352395833E-2</v>
      </c>
      <c r="M226" s="845"/>
      <c r="N226" s="845"/>
      <c r="O226" s="48">
        <f>IF(t&lt;Tnet,'2020'!Resal+('2020'!Salim-'2020'!Resal)*(1-EXP(('2020'!Tnet-t)/('2020'!Tau_j))),Resal+(Salim-Resal)*(1-EXP((Tnet-t)/(Tau_j))))*Salcycl</f>
        <v>1.4038663133495468E-2</v>
      </c>
      <c r="P226" s="169">
        <f>(INDEX(Models!$BJ226:$BT226,,T226)*(1-R226)+INDEX(Models!$BJ226:$BT226,,T226+1)*R226-ERP_i)*Q226*Ramure*Pc/MaxiM</f>
        <v>1.7816936146557467E-4</v>
      </c>
      <c r="Q226" s="305">
        <f t="shared" si="77"/>
        <v>0.5</v>
      </c>
      <c r="R226" s="177">
        <f t="shared" si="78"/>
        <v>0.94271186903738768</v>
      </c>
      <c r="S226" s="811">
        <f t="shared" si="79"/>
        <v>-1</v>
      </c>
      <c r="T226" s="176">
        <f t="shared" si="80"/>
        <v>5</v>
      </c>
      <c r="U226" s="251">
        <f t="shared" si="81"/>
        <v>-5.7288130962612316E-2</v>
      </c>
      <c r="V226" s="383">
        <f t="shared" si="82"/>
        <v>56.444432355881233</v>
      </c>
      <c r="W226" s="402"/>
      <c r="X226" s="157">
        <f t="shared" si="83"/>
        <v>44408</v>
      </c>
      <c r="Y226" s="385">
        <f t="shared" si="84"/>
        <v>12.386480569854202</v>
      </c>
      <c r="Z226" s="385">
        <f t="shared" si="85"/>
        <v>12.702158321978427</v>
      </c>
      <c r="AA226" s="386">
        <f t="shared" si="86"/>
        <v>13.560655637465437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6.3307950473659363E-2</v>
      </c>
      <c r="AD226" s="231">
        <f>(INDEX(Models!$BJ226:$BT226,,AH226)*(1-AF226)+INDEX(Models!$BJ226:$BT226,,AH226+1)*AF226-ERP_i)*AE226*Ramure*Pc/MaxiM</f>
        <v>1.7816936146557467E-4</v>
      </c>
      <c r="AE226" s="305">
        <f t="shared" si="88"/>
        <v>0.5</v>
      </c>
      <c r="AF226" s="177">
        <f t="shared" si="89"/>
        <v>0.94271186903738768</v>
      </c>
      <c r="AG226" s="811">
        <f t="shared" si="95"/>
        <v>-1</v>
      </c>
      <c r="AH226" s="176">
        <f t="shared" si="90"/>
        <v>5</v>
      </c>
      <c r="AI226" s="225">
        <f t="shared" si="91"/>
        <v>-5.7288130962612316E-2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7">
        <v>45.890999999999998</v>
      </c>
      <c r="C227" s="390"/>
      <c r="D227" s="393">
        <f t="shared" si="74"/>
        <v>47.061593636310818</v>
      </c>
      <c r="E227" s="385">
        <f t="shared" si="72"/>
        <v>47.73569489272348</v>
      </c>
      <c r="F227" s="385">
        <f t="shared" si="75"/>
        <v>47.7416933266664</v>
      </c>
      <c r="G227" s="110">
        <f t="shared" si="73"/>
        <v>0.81505172263611891</v>
      </c>
      <c r="H227" s="414" t="b">
        <f>Wh_hp&gt;='2020'!Maxi_hp</f>
        <v>0</v>
      </c>
      <c r="I227" s="380">
        <f>IF(H227,Wh_hp,'2020'!Maxi_hp)</f>
        <v>54.762972636889117</v>
      </c>
      <c r="J227" s="85">
        <f>IF(H227,An,'2020'!An_max)</f>
        <v>2018</v>
      </c>
      <c r="K227" s="197">
        <f t="shared" si="76"/>
        <v>44409</v>
      </c>
      <c r="L227" s="147">
        <f>IF(t&lt;Tvie,1-EXP((T0-t)*PertePVj)+'2020'!Pspv,1-EXP((T0-t)*PertePVj)+Pspv)</f>
        <v>2.4873650589843921E-2</v>
      </c>
      <c r="M227" s="845"/>
      <c r="N227" s="845"/>
      <c r="O227" s="48">
        <f>IF(t&lt;Tnet,'2020'!Resal+('2020'!Salim-'2020'!Resal)*(1-EXP(('2020'!Tnet-t)/('2020'!Tau_j))),Resal+(Salim-Resal)*(1-EXP((Tnet-t)/(Tau_j))))*Salcycl</f>
        <v>1.4121534376478071E-2</v>
      </c>
      <c r="P227" s="169">
        <f>(INDEX(Models!$BJ227:$BT227,,T227)*(1-R227)+INDEX(Models!$BJ227:$BT227,,T227+1)*R227-ERP_i)*Q227*Ramure*Pc/MaxiM</f>
        <v>1.7074824758532683E-4</v>
      </c>
      <c r="Q227" s="305">
        <f t="shared" si="77"/>
        <v>0.5</v>
      </c>
      <c r="R227" s="177">
        <f t="shared" si="78"/>
        <v>0.9446869237660569</v>
      </c>
      <c r="S227" s="811">
        <f t="shared" si="79"/>
        <v>-1</v>
      </c>
      <c r="T227" s="176">
        <f t="shared" si="80"/>
        <v>5</v>
      </c>
      <c r="U227" s="251">
        <f t="shared" si="81"/>
        <v>-5.5313076233943104E-2</v>
      </c>
      <c r="V227" s="383">
        <f t="shared" si="82"/>
        <v>56.301862279348278</v>
      </c>
      <c r="W227" s="402"/>
      <c r="X227" s="157">
        <f t="shared" si="83"/>
        <v>44409</v>
      </c>
      <c r="Y227" s="385">
        <f t="shared" si="84"/>
        <v>43.599715791164748</v>
      </c>
      <c r="Z227" s="385">
        <f t="shared" si="85"/>
        <v>44.711863049888628</v>
      </c>
      <c r="AA227" s="386">
        <f t="shared" si="86"/>
        <v>47.73569489272348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6.3345298515719059E-2</v>
      </c>
      <c r="AD227" s="231">
        <f>(INDEX(Models!$BJ227:$BT227,,AH227)*(1-AF227)+INDEX(Models!$BJ227:$BT227,,AH227+1)*AF227-ERP_i)*AE227*Ramure*Pc/MaxiM</f>
        <v>1.7074824758532683E-4</v>
      </c>
      <c r="AE227" s="305">
        <f t="shared" si="88"/>
        <v>0.5</v>
      </c>
      <c r="AF227" s="177">
        <f t="shared" si="89"/>
        <v>0.9446869237660569</v>
      </c>
      <c r="AG227" s="811">
        <f t="shared" si="95"/>
        <v>-1</v>
      </c>
      <c r="AH227" s="176">
        <f t="shared" si="90"/>
        <v>5</v>
      </c>
      <c r="AI227" s="225">
        <f t="shared" si="91"/>
        <v>-5.5313076233943104E-2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7">
        <v>49.125999999999998</v>
      </c>
      <c r="C228" s="390"/>
      <c r="D228" s="393">
        <f t="shared" si="74"/>
        <v>50.380215895880951</v>
      </c>
      <c r="E228" s="385">
        <f t="shared" si="72"/>
        <v>51.106142263265674</v>
      </c>
      <c r="F228" s="385">
        <f t="shared" si="75"/>
        <v>51.112980620658334</v>
      </c>
      <c r="G228" s="110">
        <f t="shared" si="73"/>
        <v>0.87475786911658893</v>
      </c>
      <c r="H228" s="414" t="b">
        <f>Wh_hp&gt;='2020'!Maxi_hp</f>
        <v>0</v>
      </c>
      <c r="I228" s="380">
        <f>IF(H228,Wh_hp,'2020'!Maxi_hp)</f>
        <v>56.845203333586923</v>
      </c>
      <c r="J228" s="85">
        <f>IF(H228,An,'2020'!An_max)</f>
        <v>2019</v>
      </c>
      <c r="K228" s="197">
        <f t="shared" si="76"/>
        <v>44410</v>
      </c>
      <c r="L228" s="147">
        <f>IF(t&lt;Tvie,1-EXP((T0-t)*PertePVj)+'2020'!Pspv,1-EXP((T0-t)*PertePVj)+Pspv)</f>
        <v>2.4895008359491766E-2</v>
      </c>
      <c r="M228" s="845"/>
      <c r="N228" s="845"/>
      <c r="O228" s="48">
        <f>IF(t&lt;Tnet,'2020'!Resal+('2020'!Salim-'2020'!Resal)*(1-EXP(('2020'!Tnet-t)/('2020'!Tau_j))),Resal+(Salim-Resal)*(1-EXP((Tnet-t)/(Tau_j))))*Salcycl</f>
        <v>1.4204288080388051E-2</v>
      </c>
      <c r="P228" s="169">
        <f>(INDEX(Models!$BJ228:$BT228,,T228)*(1-R228)+INDEX(Models!$BJ228:$BT228,,T228+1)*R228-ERP_i)*Q228*Ramure*Pc/MaxiM</f>
        <v>1.6293501829979439E-4</v>
      </c>
      <c r="Q228" s="305">
        <f t="shared" si="77"/>
        <v>0.5</v>
      </c>
      <c r="R228" s="177">
        <f t="shared" si="78"/>
        <v>0.94659897685069372</v>
      </c>
      <c r="S228" s="811">
        <f t="shared" si="79"/>
        <v>-1</v>
      </c>
      <c r="T228" s="176">
        <f t="shared" si="80"/>
        <v>5</v>
      </c>
      <c r="U228" s="251">
        <f t="shared" si="81"/>
        <v>-5.3401023149306281E-2</v>
      </c>
      <c r="V228" s="383">
        <f t="shared" si="82"/>
        <v>56.15790348184678</v>
      </c>
      <c r="W228" s="402"/>
      <c r="X228" s="157">
        <f t="shared" si="83"/>
        <v>44410</v>
      </c>
      <c r="Y228" s="385">
        <f t="shared" si="84"/>
        <v>46.675263488254799</v>
      </c>
      <c r="Z228" s="385">
        <f t="shared" si="85"/>
        <v>47.86691062849421</v>
      </c>
      <c r="AA228" s="386">
        <f t="shared" si="86"/>
        <v>51.106142263265674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6.3382432938981215E-2</v>
      </c>
      <c r="AD228" s="231">
        <f>(INDEX(Models!$BJ228:$BT228,,AH228)*(1-AF228)+INDEX(Models!$BJ228:$BT228,,AH228+1)*AF228-ERP_i)*AE228*Ramure*Pc/MaxiM</f>
        <v>1.6293501829979439E-4</v>
      </c>
      <c r="AE228" s="305">
        <f t="shared" si="88"/>
        <v>0.5</v>
      </c>
      <c r="AF228" s="177">
        <f t="shared" si="89"/>
        <v>0.94659897685069372</v>
      </c>
      <c r="AG228" s="811">
        <f t="shared" si="95"/>
        <v>-1</v>
      </c>
      <c r="AH228" s="176">
        <f t="shared" si="90"/>
        <v>5</v>
      </c>
      <c r="AI228" s="225">
        <f t="shared" si="91"/>
        <v>-5.3401023149306281E-2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7">
        <v>38.658000000000001</v>
      </c>
      <c r="C229" s="390"/>
      <c r="D229" s="393">
        <f t="shared" si="74"/>
        <v>39.645829997156866</v>
      </c>
      <c r="E229" s="385">
        <f t="shared" si="72"/>
        <v>40.220456671939822</v>
      </c>
      <c r="F229" s="385">
        <f t="shared" si="75"/>
        <v>40.223925667173411</v>
      </c>
      <c r="G229" s="110">
        <f t="shared" si="73"/>
        <v>0.69011941034722379</v>
      </c>
      <c r="H229" s="414" t="b">
        <f>Wh_hp&gt;='2020'!Maxi_hp</f>
        <v>0</v>
      </c>
      <c r="I229" s="380">
        <f>IF(H229,Wh_hp,'2020'!Maxi_hp)</f>
        <v>57.532187418566849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2.4916365661349693E-2</v>
      </c>
      <c r="M229" s="845"/>
      <c r="N229" s="845"/>
      <c r="O229" s="48">
        <f>IF(t&lt;Tnet,'2020'!Resal+('2020'!Salim-'2020'!Resal)*(1-EXP(('2020'!Tnet-t)/('2020'!Tau_j))),Resal+(Salim-Resal)*(1-EXP((Tnet-t)/(Tau_j))))*Salcycl</f>
        <v>1.4286925667451329E-2</v>
      </c>
      <c r="P229" s="169">
        <f>(INDEX(Models!$BJ229:$BT229,,T229)*(1-R229)+INDEX(Models!$BJ229:$BT229,,T229+1)*R229-ERP_i)*Q229*Ramure*Pc/MaxiM</f>
        <v>1.5472735830241059E-4</v>
      </c>
      <c r="Q229" s="305">
        <f t="shared" si="77"/>
        <v>0.5</v>
      </c>
      <c r="R229" s="177">
        <f t="shared" si="78"/>
        <v>0.94844945717341667</v>
      </c>
      <c r="S229" s="811">
        <f t="shared" si="79"/>
        <v>-1</v>
      </c>
      <c r="T229" s="176">
        <f t="shared" si="80"/>
        <v>5</v>
      </c>
      <c r="U229" s="251">
        <f t="shared" si="81"/>
        <v>-5.1550542826583334E-2</v>
      </c>
      <c r="V229" s="383">
        <f t="shared" si="82"/>
        <v>56.01255621621533</v>
      </c>
      <c r="W229" s="402"/>
      <c r="X229" s="157">
        <f t="shared" si="83"/>
        <v>44411</v>
      </c>
      <c r="Y229" s="385">
        <f t="shared" si="84"/>
        <v>36.731108905109181</v>
      </c>
      <c r="Z229" s="385">
        <f t="shared" si="85"/>
        <v>37.669700948290476</v>
      </c>
      <c r="AA229" s="386">
        <f t="shared" si="86"/>
        <v>40.220456671939822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6.3419362551119546E-2</v>
      </c>
      <c r="AD229" s="231">
        <f>(INDEX(Models!$BJ229:$BT229,,AH229)*(1-AF229)+INDEX(Models!$BJ229:$BT229,,AH229+1)*AF229-ERP_i)*AE229*Ramure*Pc/MaxiM</f>
        <v>1.5472735830241059E-4</v>
      </c>
      <c r="AE229" s="305">
        <f t="shared" si="88"/>
        <v>0.5</v>
      </c>
      <c r="AF229" s="177">
        <f t="shared" si="89"/>
        <v>0.94844945717341667</v>
      </c>
      <c r="AG229" s="811">
        <f t="shared" si="95"/>
        <v>-1</v>
      </c>
      <c r="AH229" s="176">
        <f t="shared" si="90"/>
        <v>5</v>
      </c>
      <c r="AI229" s="225">
        <f t="shared" si="91"/>
        <v>-5.1550542826583334E-2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7">
        <v>33.75</v>
      </c>
      <c r="C230" s="390"/>
      <c r="D230" s="393">
        <f t="shared" si="74"/>
        <v>34.613173720938811</v>
      </c>
      <c r="E230" s="385">
        <f t="shared" si="72"/>
        <v>35.117797089830347</v>
      </c>
      <c r="F230" s="385">
        <f t="shared" si="75"/>
        <v>35.120026698213707</v>
      </c>
      <c r="G230" s="110">
        <f t="shared" si="73"/>
        <v>0.60407616596097624</v>
      </c>
      <c r="H230" s="414" t="b">
        <f>Wh_hp&gt;='2020'!Maxi_hp</f>
        <v>0</v>
      </c>
      <c r="I230" s="380">
        <f>IF(H230,Wh_hp,'2020'!Maxi_hp)</f>
        <v>54.820289563876685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2.4937722495427916E-2</v>
      </c>
      <c r="M230" s="845"/>
      <c r="N230" s="845"/>
      <c r="O230" s="48">
        <f>IF(t&lt;Tnet,'2020'!Resal+('2020'!Salim-'2020'!Resal)*(1-EXP(('2020'!Tnet-t)/('2020'!Tau_j))),Resal+(Salim-Resal)*(1-EXP((Tnet-t)/(Tau_j))))*Salcycl</f>
        <v>1.4369448277200325E-2</v>
      </c>
      <c r="P230" s="169">
        <f>(INDEX(Models!$BJ230:$BT230,,T230)*(1-R230)+INDEX(Models!$BJ230:$BT230,,T230+1)*R230-ERP_i)*Q230*Ramure*Pc/MaxiM</f>
        <v>1.4612284158271077E-4</v>
      </c>
      <c r="Q230" s="305">
        <f t="shared" si="77"/>
        <v>0.5</v>
      </c>
      <c r="R230" s="177">
        <f t="shared" si="78"/>
        <v>0.95023980370809347</v>
      </c>
      <c r="S230" s="811">
        <f t="shared" si="79"/>
        <v>-1</v>
      </c>
      <c r="T230" s="176">
        <f t="shared" si="80"/>
        <v>5</v>
      </c>
      <c r="U230" s="251">
        <f t="shared" si="81"/>
        <v>-4.9760196291906533E-2</v>
      </c>
      <c r="V230" s="383">
        <f t="shared" si="82"/>
        <v>55.865820753000946</v>
      </c>
      <c r="W230" s="402"/>
      <c r="X230" s="157">
        <f t="shared" si="83"/>
        <v>44412</v>
      </c>
      <c r="Y230" s="385">
        <f t="shared" si="84"/>
        <v>32.069173127797612</v>
      </c>
      <c r="Z230" s="385">
        <f t="shared" si="85"/>
        <v>32.889358831387298</v>
      </c>
      <c r="AA230" s="386">
        <f t="shared" si="86"/>
        <v>35.117797089830347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6.3456094718662648E-2</v>
      </c>
      <c r="AD230" s="231">
        <f>(INDEX(Models!$BJ230:$BT230,,AH230)*(1-AF230)+INDEX(Models!$BJ230:$BT230,,AH230+1)*AF230-ERP_i)*AE230*Ramure*Pc/MaxiM</f>
        <v>1.4612284158271077E-4</v>
      </c>
      <c r="AE230" s="305">
        <f t="shared" si="88"/>
        <v>0.5</v>
      </c>
      <c r="AF230" s="177">
        <f t="shared" si="89"/>
        <v>0.95023980370809347</v>
      </c>
      <c r="AG230" s="811">
        <f t="shared" si="95"/>
        <v>-1</v>
      </c>
      <c r="AH230" s="176">
        <f t="shared" si="90"/>
        <v>5</v>
      </c>
      <c r="AI230" s="225">
        <f t="shared" si="91"/>
        <v>-4.9760196291906533E-2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7">
        <v>48.259</v>
      </c>
      <c r="C231" s="390"/>
      <c r="D231" s="393">
        <f t="shared" si="74"/>
        <v>49.494332959546369</v>
      </c>
      <c r="E231" s="385">
        <f t="shared" si="72"/>
        <v>50.22010674916941</v>
      </c>
      <c r="F231" s="385">
        <f t="shared" si="75"/>
        <v>50.22567661240231</v>
      </c>
      <c r="G231" s="110">
        <f t="shared" si="73"/>
        <v>0.86611142728793711</v>
      </c>
      <c r="H231" s="414" t="b">
        <f>Wh_hp&gt;='2020'!Maxi_hp</f>
        <v>0</v>
      </c>
      <c r="I231" s="380">
        <f>IF(H231,Wh_hp,'2020'!Maxi_hp)</f>
        <v>56.442491959447445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2.495907886173665E-2</v>
      </c>
      <c r="M231" s="845"/>
      <c r="N231" s="845"/>
      <c r="O231" s="48">
        <f>IF(t&lt;Tnet,'2020'!Resal+('2020'!Salim-'2020'!Resal)*(1-EXP(('2020'!Tnet-t)/('2020'!Tau_j))),Resal+(Salim-Resal)*(1-EXP((Tnet-t)/(Tau_j))))*Salcycl</f>
        <v>1.4451856768206617E-2</v>
      </c>
      <c r="P231" s="169">
        <f>(INDEX(Models!$BJ231:$BT231,,T231)*(1-R231)+INDEX(Models!$BJ231:$BT231,,T231+1)*R231-ERP_i)*Q231*Ramure*Pc/MaxiM</f>
        <v>1.3711893412255962E-4</v>
      </c>
      <c r="Q231" s="305">
        <f t="shared" si="77"/>
        <v>0.5</v>
      </c>
      <c r="R231" s="177">
        <f t="shared" si="78"/>
        <v>0.95197146168173585</v>
      </c>
      <c r="S231" s="811">
        <f t="shared" si="79"/>
        <v>-1</v>
      </c>
      <c r="T231" s="176">
        <f t="shared" si="80"/>
        <v>5</v>
      </c>
      <c r="U231" s="251">
        <f t="shared" si="81"/>
        <v>-4.8028538318264202E-2</v>
      </c>
      <c r="V231" s="383">
        <f t="shared" si="82"/>
        <v>55.717697379132396</v>
      </c>
      <c r="W231" s="402"/>
      <c r="X231" s="157">
        <f t="shared" si="83"/>
        <v>44413</v>
      </c>
      <c r="Y231" s="385">
        <f t="shared" si="84"/>
        <v>45.857636907946571</v>
      </c>
      <c r="Z231" s="385">
        <f t="shared" si="85"/>
        <v>47.031499820963759</v>
      </c>
      <c r="AA231" s="386">
        <f t="shared" si="86"/>
        <v>50.22010674916941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6.3492635412575743E-2</v>
      </c>
      <c r="AD231" s="231">
        <f>(INDEX(Models!$BJ231:$BT231,,AH231)*(1-AF231)+INDEX(Models!$BJ231:$BT231,,AH231+1)*AF231-ERP_i)*AE231*Ramure*Pc/MaxiM</f>
        <v>1.3711893412255962E-4</v>
      </c>
      <c r="AE231" s="305">
        <f t="shared" si="88"/>
        <v>0.5</v>
      </c>
      <c r="AF231" s="177">
        <f t="shared" si="89"/>
        <v>0.95197146168173585</v>
      </c>
      <c r="AG231" s="811">
        <f t="shared" si="95"/>
        <v>-1</v>
      </c>
      <c r="AH231" s="176">
        <f t="shared" si="90"/>
        <v>5</v>
      </c>
      <c r="AI231" s="225">
        <f t="shared" si="91"/>
        <v>-4.8028538318264202E-2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7">
        <v>20.518000000000001</v>
      </c>
      <c r="C232" s="390"/>
      <c r="D232" s="393">
        <f t="shared" si="74"/>
        <v>21.043680282411088</v>
      </c>
      <c r="E232" s="385">
        <f t="shared" si="72"/>
        <v>21.354043185948616</v>
      </c>
      <c r="F232" s="385">
        <f t="shared" si="75"/>
        <v>21.354312947495046</v>
      </c>
      <c r="G232" s="110">
        <f t="shared" si="73"/>
        <v>0.36919755855817959</v>
      </c>
      <c r="H232" s="414" t="b">
        <f>Wh_hp&gt;='2020'!Maxi_hp</f>
        <v>0</v>
      </c>
      <c r="I232" s="380">
        <f>IF(H232,Wh_hp,'2020'!Maxi_hp)</f>
        <v>57.46185272567628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2.4980434760286108E-2</v>
      </c>
      <c r="M232" s="845"/>
      <c r="N232" s="845"/>
      <c r="O232" s="48">
        <f>IF(t&lt;Tnet,'2020'!Resal+('2020'!Salim-'2020'!Resal)*(1-EXP(('2020'!Tnet-t)/('2020'!Tau_j))),Resal+(Salim-Resal)*(1-EXP((Tnet-t)/(Tau_j))))*Salcycl</f>
        <v>1.453415172175686E-2</v>
      </c>
      <c r="P232" s="169">
        <f>(INDEX(Models!$BJ232:$BT232,,T232)*(1-R232)+INDEX(Models!$BJ232:$BT232,,T232+1)*R232-ERP_i)*Q232*Ramure*Pc/MaxiM</f>
        <v>1.2771299750092454E-4</v>
      </c>
      <c r="Q232" s="305">
        <f t="shared" si="77"/>
        <v>0.5</v>
      </c>
      <c r="R232" s="177">
        <f t="shared" si="78"/>
        <v>0.9536458789912674</v>
      </c>
      <c r="S232" s="811">
        <f t="shared" si="79"/>
        <v>-1</v>
      </c>
      <c r="T232" s="176">
        <f t="shared" si="80"/>
        <v>5</v>
      </c>
      <c r="U232" s="251">
        <f t="shared" si="81"/>
        <v>-4.6354121008732652E-2</v>
      </c>
      <c r="V232" s="383">
        <f t="shared" si="82"/>
        <v>55.568186397835518</v>
      </c>
      <c r="W232" s="402"/>
      <c r="X232" s="157">
        <f t="shared" si="83"/>
        <v>44414</v>
      </c>
      <c r="Y232" s="385">
        <f t="shared" si="84"/>
        <v>19.497897600327271</v>
      </c>
      <c r="Z232" s="385">
        <f t="shared" si="85"/>
        <v>19.997442405715834</v>
      </c>
      <c r="AA232" s="386">
        <f t="shared" si="86"/>
        <v>21.354043185948616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6.3528989260706104E-2</v>
      </c>
      <c r="AD232" s="231">
        <f>(INDEX(Models!$BJ232:$BT232,,AH232)*(1-AF232)+INDEX(Models!$BJ232:$BT232,,AH232+1)*AF232-ERP_i)*AE232*Ramure*Pc/MaxiM</f>
        <v>1.2771299750092454E-4</v>
      </c>
      <c r="AE232" s="305">
        <f t="shared" si="88"/>
        <v>0.5</v>
      </c>
      <c r="AF232" s="177">
        <f t="shared" si="89"/>
        <v>0.9536458789912674</v>
      </c>
      <c r="AG232" s="811">
        <f t="shared" si="95"/>
        <v>-1</v>
      </c>
      <c r="AH232" s="176">
        <f t="shared" si="90"/>
        <v>5</v>
      </c>
      <c r="AI232" s="225">
        <f t="shared" si="91"/>
        <v>-4.6354121008732652E-2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7">
        <v>24.888000000000002</v>
      </c>
      <c r="C233" s="390"/>
      <c r="D233" s="393">
        <f t="shared" si="74"/>
        <v>25.526200714643075</v>
      </c>
      <c r="E233" s="385">
        <f t="shared" ref="E233:E296" si="96">Wh_pvt/(1-Psa)</f>
        <v>25.904834412310347</v>
      </c>
      <c r="F233" s="385">
        <f t="shared" si="75"/>
        <v>25.905484978662223</v>
      </c>
      <c r="G233" s="110">
        <f t="shared" ref="G233:G296" si="97">+Wh_hp/MaxiM</f>
        <v>0.44905824695946617</v>
      </c>
      <c r="H233" s="414" t="b">
        <f>Wh_hp&gt;='2020'!Maxi_hp</f>
        <v>0</v>
      </c>
      <c r="I233" s="380">
        <f>IF(H233,Wh_hp,'2020'!Maxi_hp)</f>
        <v>55.820902062700583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2.5001790191086615E-2</v>
      </c>
      <c r="M233" s="845"/>
      <c r="N233" s="845"/>
      <c r="O233" s="48">
        <f>IF(t&lt;Tnet,'2020'!Resal+('2020'!Salim-'2020'!Resal)*(1-EXP(('2020'!Tnet-t)/('2020'!Tau_j))),Resal+(Salim-Resal)*(1-EXP((Tnet-t)/(Tau_j))))*Salcycl</f>
        <v>1.4616333447294252E-2</v>
      </c>
      <c r="P233" s="169">
        <f>(INDEX(Models!$BJ233:$BT233,,T233)*(1-R233)+INDEX(Models!$BJ233:$BT233,,T233+1)*R233-ERP_i)*Q233*Ramure*Pc/MaxiM</f>
        <v>1.1790181788169344E-4</v>
      </c>
      <c r="Q233" s="305">
        <f t="shared" si="77"/>
        <v>0.5</v>
      </c>
      <c r="R233" s="177">
        <f t="shared" si="78"/>
        <v>0.95526450287083087</v>
      </c>
      <c r="S233" s="811">
        <f t="shared" si="79"/>
        <v>-1</v>
      </c>
      <c r="T233" s="176">
        <f t="shared" si="80"/>
        <v>5</v>
      </c>
      <c r="U233" s="251">
        <f t="shared" si="81"/>
        <v>-4.4735497129169077E-2</v>
      </c>
      <c r="V233" s="383">
        <f t="shared" si="82"/>
        <v>55.417511612883914</v>
      </c>
      <c r="W233" s="402"/>
      <c r="X233" s="157">
        <f t="shared" si="83"/>
        <v>44415</v>
      </c>
      <c r="Y233" s="385">
        <f t="shared" si="84"/>
        <v>23.651691314569941</v>
      </c>
      <c r="Z233" s="385">
        <f t="shared" si="85"/>
        <v>24.258189478322588</v>
      </c>
      <c r="AA233" s="386">
        <f t="shared" si="86"/>
        <v>25.904834412310347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6.3565159606086941E-2</v>
      </c>
      <c r="AD233" s="231">
        <f>(INDEX(Models!$BJ233:$BT233,,AH233)*(1-AF233)+INDEX(Models!$BJ233:$BT233,,AH233+1)*AF233-ERP_i)*AE233*Ramure*Pc/MaxiM</f>
        <v>1.1790181788169344E-4</v>
      </c>
      <c r="AE233" s="305">
        <f t="shared" si="88"/>
        <v>0.5</v>
      </c>
      <c r="AF233" s="177">
        <f t="shared" si="89"/>
        <v>0.95526450287083087</v>
      </c>
      <c r="AG233" s="811">
        <f t="shared" si="95"/>
        <v>-1</v>
      </c>
      <c r="AH233" s="176">
        <f t="shared" si="90"/>
        <v>5</v>
      </c>
      <c r="AI233" s="225">
        <f t="shared" si="91"/>
        <v>-4.4735497129169077E-2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7">
        <v>39.097999999999999</v>
      </c>
      <c r="C234" s="390"/>
      <c r="D234" s="393">
        <f t="shared" si="74"/>
        <v>40.101464773932072</v>
      </c>
      <c r="E234" s="385">
        <f t="shared" si="96"/>
        <v>40.699685106470184</v>
      </c>
      <c r="F234" s="385">
        <f t="shared" si="75"/>
        <v>40.702242455705488</v>
      </c>
      <c r="G234" s="110">
        <f t="shared" si="97"/>
        <v>0.70742170521699221</v>
      </c>
      <c r="H234" s="414" t="b">
        <f>Wh_hp&gt;='2020'!Maxi_hp</f>
        <v>0</v>
      </c>
      <c r="I234" s="380">
        <f>IF(H234,Wh_hp,'2020'!Maxi_hp)</f>
        <v>55.053603871117858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2.5023145154148385E-2</v>
      </c>
      <c r="M234" s="845"/>
      <c r="N234" s="845"/>
      <c r="O234" s="48">
        <f>IF(t&lt;Tnet,'2020'!Resal+('2020'!Salim-'2020'!Resal)*(1-EXP(('2020'!Tnet-t)/('2020'!Tau_j))),Resal+(Salim-Resal)*(1-EXP((Tnet-t)/(Tau_j))))*Salcycl</f>
        <v>1.4698401989429795E-2</v>
      </c>
      <c r="P234" s="169">
        <f>(INDEX(Models!$BJ234:$BT234,,T234)*(1-R234)+INDEX(Models!$BJ234:$BT234,,T234+1)*R234-ERP_i)*Q234*Ramure*Pc/MaxiM</f>
        <v>1.0794227341728712E-4</v>
      </c>
      <c r="Q234" s="305">
        <f t="shared" si="77"/>
        <v>0.5</v>
      </c>
      <c r="R234" s="177">
        <f t="shared" si="78"/>
        <v>0.95682877680375245</v>
      </c>
      <c r="S234" s="811">
        <f t="shared" si="79"/>
        <v>-1</v>
      </c>
      <c r="T234" s="176">
        <f t="shared" si="80"/>
        <v>5</v>
      </c>
      <c r="U234" s="251">
        <f t="shared" si="81"/>
        <v>-4.3171223196247555E-2</v>
      </c>
      <c r="V234" s="383">
        <f t="shared" si="82"/>
        <v>55.26581362637129</v>
      </c>
      <c r="W234" s="402"/>
      <c r="X234" s="157">
        <f t="shared" si="83"/>
        <v>44416</v>
      </c>
      <c r="Y234" s="385">
        <f t="shared" si="84"/>
        <v>37.157477839404663</v>
      </c>
      <c r="Z234" s="385">
        <f t="shared" si="85"/>
        <v>38.111138387258876</v>
      </c>
      <c r="AA234" s="386">
        <f t="shared" si="86"/>
        <v>40.699685106470184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6.3601148570061092E-2</v>
      </c>
      <c r="AD234" s="231">
        <f>(INDEX(Models!$BJ234:$BT234,,AH234)*(1-AF234)+INDEX(Models!$BJ234:$BT234,,AH234+1)*AF234-ERP_i)*AE234*Ramure*Pc/MaxiM</f>
        <v>1.0794227341728712E-4</v>
      </c>
      <c r="AE234" s="305">
        <f t="shared" si="88"/>
        <v>0.5</v>
      </c>
      <c r="AF234" s="177">
        <f t="shared" si="89"/>
        <v>0.95682877680375245</v>
      </c>
      <c r="AG234" s="811">
        <f t="shared" si="95"/>
        <v>-1</v>
      </c>
      <c r="AH234" s="176">
        <f t="shared" si="90"/>
        <v>5</v>
      </c>
      <c r="AI234" s="225">
        <f t="shared" si="91"/>
        <v>-4.3171223196247555E-2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7">
        <v>53.727000000000004</v>
      </c>
      <c r="C235" s="390"/>
      <c r="D235" s="393">
        <f t="shared" si="74"/>
        <v>55.10713051076069</v>
      </c>
      <c r="E235" s="385">
        <f t="shared" si="96"/>
        <v>55.93385283162204</v>
      </c>
      <c r="F235" s="385">
        <f t="shared" si="75"/>
        <v>55.939165383860541</v>
      </c>
      <c r="G235" s="110">
        <f t="shared" si="97"/>
        <v>0.97484906133627047</v>
      </c>
      <c r="H235" s="414" t="b">
        <f>Wh_hp&gt;='2020'!Maxi_hp</f>
        <v>1</v>
      </c>
      <c r="I235" s="380">
        <f>IF(H235,Wh_hp,'2020'!Maxi_hp)</f>
        <v>55.939165383860541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2.5044499649481633E-2</v>
      </c>
      <c r="M235" s="845"/>
      <c r="N235" s="845"/>
      <c r="O235" s="48">
        <f>IF(t&lt;Tnet,'2020'!Resal+('2020'!Salim-'2020'!Resal)*(1-EXP(('2020'!Tnet-t)/('2020'!Tau_j))),Resal+(Salim-Resal)*(1-EXP((Tnet-t)/(Tau_j))))*Salcycl</f>
        <v>1.478035713631305E-2</v>
      </c>
      <c r="P235" s="169">
        <f>(INDEX(Models!$BJ235:$BT235,,T235)*(1-R235)+INDEX(Models!$BJ235:$BT235,,T235+1)*R235-ERP_i)*Q235*Ramure*Pc/MaxiM</f>
        <v>9.8509111640599056E-5</v>
      </c>
      <c r="Q235" s="305">
        <f t="shared" si="77"/>
        <v>0.5</v>
      </c>
      <c r="R235" s="177">
        <f t="shared" si="78"/>
        <v>0.9583401376723808</v>
      </c>
      <c r="S235" s="811">
        <f t="shared" si="79"/>
        <v>-1</v>
      </c>
      <c r="T235" s="176">
        <f t="shared" si="80"/>
        <v>5</v>
      </c>
      <c r="U235" s="251">
        <f t="shared" si="81"/>
        <v>-4.1659862327619257E-2</v>
      </c>
      <c r="V235" s="383">
        <f t="shared" si="82"/>
        <v>55.112952329012238</v>
      </c>
      <c r="W235" s="402"/>
      <c r="X235" s="157">
        <f t="shared" si="83"/>
        <v>44417</v>
      </c>
      <c r="Y235" s="385">
        <f t="shared" si="84"/>
        <v>51.062702179415602</v>
      </c>
      <c r="Z235" s="385">
        <f t="shared" si="85"/>
        <v>52.374392637466443</v>
      </c>
      <c r="AA235" s="386">
        <f t="shared" si="86"/>
        <v>55.93385283162204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6.3636957119164561E-2</v>
      </c>
      <c r="AD235" s="231">
        <f>(INDEX(Models!$BJ235:$BT235,,AH235)*(1-AF235)+INDEX(Models!$BJ235:$BT235,,AH235+1)*AF235-ERP_i)*AE235*Ramure*Pc/MaxiM</f>
        <v>9.8509111640599056E-5</v>
      </c>
      <c r="AE235" s="305">
        <f t="shared" si="88"/>
        <v>0.5</v>
      </c>
      <c r="AF235" s="177">
        <f t="shared" si="89"/>
        <v>0.9583401376723808</v>
      </c>
      <c r="AG235" s="811">
        <f t="shared" si="95"/>
        <v>-1</v>
      </c>
      <c r="AH235" s="176">
        <f t="shared" si="90"/>
        <v>5</v>
      </c>
      <c r="AI235" s="225">
        <f t="shared" si="91"/>
        <v>-4.1659862327619257E-2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7">
        <v>50.920999999999999</v>
      </c>
      <c r="C236" s="390"/>
      <c r="D236" s="393">
        <f t="shared" si="74"/>
        <v>52.230194410622985</v>
      </c>
      <c r="E236" s="385">
        <f t="shared" si="96"/>
        <v>53.018160837335529</v>
      </c>
      <c r="F236" s="385">
        <f t="shared" si="75"/>
        <v>53.022413412282127</v>
      </c>
      <c r="G236" s="110">
        <f t="shared" si="97"/>
        <v>0.92652128574911219</v>
      </c>
      <c r="H236" s="414" t="b">
        <f>Wh_hp&gt;='2020'!Maxi_hp</f>
        <v>1</v>
      </c>
      <c r="I236" s="380">
        <f>IF(H236,Wh_hp,'2020'!Maxi_hp)</f>
        <v>53.022413412282127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2.5065853677096683E-2</v>
      </c>
      <c r="M236" s="845"/>
      <c r="N236" s="845"/>
      <c r="O236" s="48">
        <f>IF(t&lt;Tnet,'2020'!Resal+('2020'!Salim-'2020'!Resal)*(1-EXP(('2020'!Tnet-t)/('2020'!Tau_j))),Resal+(Salim-Resal)*(1-EXP((Tnet-t)/(Tau_j))))*Salcycl</f>
        <v>1.4862198429140001E-2</v>
      </c>
      <c r="P236" s="169">
        <f>(INDEX(Models!$BJ236:$BT236,,T236)*(1-R236)+INDEX(Models!$BJ236:$BT236,,T236+1)*R236-ERP_i)*Q236*Ramure*Pc/MaxiM</f>
        <v>8.9608385654233103E-5</v>
      </c>
      <c r="Q236" s="305">
        <f t="shared" si="77"/>
        <v>0.5</v>
      </c>
      <c r="R236" s="177">
        <f t="shared" si="78"/>
        <v>0.9598000131382779</v>
      </c>
      <c r="S236" s="811">
        <f t="shared" si="79"/>
        <v>-1</v>
      </c>
      <c r="T236" s="176">
        <f t="shared" si="80"/>
        <v>5</v>
      </c>
      <c r="U236" s="251">
        <f t="shared" si="81"/>
        <v>-4.0199986861722103E-2</v>
      </c>
      <c r="V236" s="383">
        <f t="shared" si="82"/>
        <v>54.958824833010361</v>
      </c>
      <c r="W236" s="402"/>
      <c r="X236" s="157">
        <f t="shared" si="83"/>
        <v>44418</v>
      </c>
      <c r="Y236" s="385">
        <f t="shared" si="84"/>
        <v>48.398029409011912</v>
      </c>
      <c r="Z236" s="385">
        <f t="shared" si="85"/>
        <v>49.64235747773494</v>
      </c>
      <c r="AA236" s="386">
        <f t="shared" si="86"/>
        <v>53.018160837335529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6.3672585134702323E-2</v>
      </c>
      <c r="AD236" s="231">
        <f>(INDEX(Models!$BJ236:$BT236,,AH236)*(1-AF236)+INDEX(Models!$BJ236:$BT236,,AH236+1)*AF236-ERP_i)*AE236*Ramure*Pc/MaxiM</f>
        <v>8.9608385654233103E-5</v>
      </c>
      <c r="AE236" s="305">
        <f t="shared" si="88"/>
        <v>0.5</v>
      </c>
      <c r="AF236" s="177">
        <f t="shared" si="89"/>
        <v>0.9598000131382779</v>
      </c>
      <c r="AG236" s="811">
        <f t="shared" si="95"/>
        <v>-1</v>
      </c>
      <c r="AH236" s="176">
        <f t="shared" si="90"/>
        <v>5</v>
      </c>
      <c r="AI236" s="225">
        <f t="shared" si="91"/>
        <v>-4.0199986861722103E-2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7">
        <v>49.878999999999998</v>
      </c>
      <c r="C237" s="390"/>
      <c r="D237" s="393">
        <f t="shared" si="74"/>
        <v>51.162524864032328</v>
      </c>
      <c r="E237" s="385">
        <f t="shared" si="96"/>
        <v>51.938692802838865</v>
      </c>
      <c r="F237" s="385">
        <f t="shared" si="75"/>
        <v>51.942371205966737</v>
      </c>
      <c r="G237" s="110">
        <f t="shared" si="97"/>
        <v>0.91013595898502175</v>
      </c>
      <c r="H237" s="414" t="b">
        <f>Wh_hp&gt;='2020'!Maxi_hp</f>
        <v>0</v>
      </c>
      <c r="I237" s="380">
        <f>IF(H237,Wh_hp,'2020'!Maxi_hp)</f>
        <v>54.934751797677123</v>
      </c>
      <c r="J237" s="85">
        <f>IF(H237,An,'2020'!An_max)</f>
        <v>2018</v>
      </c>
      <c r="K237" s="197">
        <f t="shared" si="76"/>
        <v>44419</v>
      </c>
      <c r="L237" s="147">
        <f>IF(t&lt;Tvie,1-EXP((T0-t)*PertePVj)+'2020'!Pspv,1-EXP((T0-t)*PertePVj)+Pspv)</f>
        <v>2.5087207237003639E-2</v>
      </c>
      <c r="M237" s="845"/>
      <c r="N237" s="845"/>
      <c r="O237" s="48">
        <f>IF(t&lt;Tnet,'2020'!Resal+('2020'!Salim-'2020'!Resal)*(1-EXP(('2020'!Tnet-t)/('2020'!Tau_j))),Resal+(Salim-Resal)*(1-EXP((Tnet-t)/(Tau_j))))*Salcycl</f>
        <v>1.4943925172566349E-2</v>
      </c>
      <c r="P237" s="169">
        <f>(INDEX(Models!$BJ237:$BT237,,T237)*(1-R237)+INDEX(Models!$BJ237:$BT237,,T237+1)*R237-ERP_i)*Q237*Ramure*Pc/MaxiM</f>
        <v>8.1246042100616885E-5</v>
      </c>
      <c r="Q237" s="305">
        <f t="shared" si="77"/>
        <v>0.5</v>
      </c>
      <c r="R237" s="177">
        <f t="shared" si="78"/>
        <v>0.96120981924462034</v>
      </c>
      <c r="S237" s="811">
        <f t="shared" si="79"/>
        <v>-1</v>
      </c>
      <c r="T237" s="176">
        <f t="shared" si="80"/>
        <v>5</v>
      </c>
      <c r="U237" s="251">
        <f t="shared" si="81"/>
        <v>-3.87901807553796E-2</v>
      </c>
      <c r="V237" s="383">
        <f t="shared" si="82"/>
        <v>54.803328316803949</v>
      </c>
      <c r="W237" s="402"/>
      <c r="X237" s="157">
        <f t="shared" si="83"/>
        <v>44419</v>
      </c>
      <c r="Y237" s="385">
        <f t="shared" si="84"/>
        <v>47.409795534526609</v>
      </c>
      <c r="Z237" s="385">
        <f t="shared" si="85"/>
        <v>48.629780926520311</v>
      </c>
      <c r="AA237" s="386">
        <f t="shared" si="86"/>
        <v>51.938692802838865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6.3708031483951807E-2</v>
      </c>
      <c r="AD237" s="231">
        <f>(INDEX(Models!$BJ237:$BT237,,AH237)*(1-AF237)+INDEX(Models!$BJ237:$BT237,,AH237+1)*AF237-ERP_i)*AE237*Ramure*Pc/MaxiM</f>
        <v>8.1246042100616885E-5</v>
      </c>
      <c r="AE237" s="305">
        <f t="shared" si="88"/>
        <v>0.5</v>
      </c>
      <c r="AF237" s="177">
        <f t="shared" si="89"/>
        <v>0.96120981924462034</v>
      </c>
      <c r="AG237" s="811">
        <f t="shared" si="95"/>
        <v>-1</v>
      </c>
      <c r="AH237" s="176">
        <f t="shared" si="90"/>
        <v>5</v>
      </c>
      <c r="AI237" s="225">
        <f t="shared" si="91"/>
        <v>-3.87901807553796E-2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7">
        <v>47.673999999999999</v>
      </c>
      <c r="C238" s="390"/>
      <c r="D238" s="393">
        <f t="shared" si="74"/>
        <v>48.901855181023151</v>
      </c>
      <c r="E238" s="385">
        <f t="shared" si="96"/>
        <v>49.647840619709307</v>
      </c>
      <c r="F238" s="385">
        <f t="shared" si="75"/>
        <v>49.650821856925837</v>
      </c>
      <c r="G238" s="110">
        <f t="shared" si="97"/>
        <v>0.87239775677636799</v>
      </c>
      <c r="H238" s="414" t="b">
        <f>Wh_hp&gt;='2020'!Maxi_hp</f>
        <v>0</v>
      </c>
      <c r="I238" s="380">
        <f>IF(H238,Wh_hp,'2020'!Maxi_hp)</f>
        <v>52.198759439863373</v>
      </c>
      <c r="J238" s="85">
        <f>IF(H238,An,'2020'!An_max)</f>
        <v>2018</v>
      </c>
      <c r="K238" s="197">
        <f t="shared" si="76"/>
        <v>44420</v>
      </c>
      <c r="L238" s="147">
        <f>IF(t&lt;Tvie,1-EXP((T0-t)*PertePVj)+'2020'!Pspv,1-EXP((T0-t)*PertePVj)+Pspv)</f>
        <v>2.5108560329212937E-2</v>
      </c>
      <c r="M238" s="845"/>
      <c r="N238" s="845"/>
      <c r="O238" s="48">
        <f>IF(t&lt;Tnet,'2020'!Resal+('2020'!Salim-'2020'!Resal)*(1-EXP(('2020'!Tnet-t)/('2020'!Tau_j))),Resal+(Salim-Resal)*(1-EXP((Tnet-t)/(Tau_j))))*Salcycl</f>
        <v>1.5025536445788702E-2</v>
      </c>
      <c r="P238" s="169">
        <f>(INDEX(Models!$BJ238:$BT238,,T238)*(1-R238)+INDEX(Models!$BJ238:$BT238,,T238+1)*R238-ERP_i)*Q238*Ramure*Pc/MaxiM</f>
        <v>7.3427940933527423E-5</v>
      </c>
      <c r="Q238" s="305">
        <f t="shared" si="77"/>
        <v>0.5</v>
      </c>
      <c r="R238" s="177">
        <f t="shared" si="78"/>
        <v>0.96257095823218641</v>
      </c>
      <c r="S238" s="811">
        <f t="shared" si="79"/>
        <v>-1</v>
      </c>
      <c r="T238" s="176">
        <f t="shared" si="80"/>
        <v>5</v>
      </c>
      <c r="U238" s="251">
        <f t="shared" si="81"/>
        <v>-3.7429041767813531E-2</v>
      </c>
      <c r="V238" s="383">
        <f t="shared" si="82"/>
        <v>54.646360021584997</v>
      </c>
      <c r="W238" s="402"/>
      <c r="X238" s="157">
        <f t="shared" si="83"/>
        <v>44420</v>
      </c>
      <c r="Y238" s="385">
        <f t="shared" si="84"/>
        <v>45.315999397992371</v>
      </c>
      <c r="Z238" s="385">
        <f t="shared" si="85"/>
        <v>46.483123714057044</v>
      </c>
      <c r="AA238" s="386">
        <f t="shared" si="86"/>
        <v>49.647840619709307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6.3743294091947289E-2</v>
      </c>
      <c r="AD238" s="231">
        <f>(INDEX(Models!$BJ238:$BT238,,AH238)*(1-AF238)+INDEX(Models!$BJ238:$BT238,,AH238+1)*AF238-ERP_i)*AE238*Ramure*Pc/MaxiM</f>
        <v>7.3427940933527423E-5</v>
      </c>
      <c r="AE238" s="305">
        <f t="shared" si="88"/>
        <v>0.5</v>
      </c>
      <c r="AF238" s="177">
        <f t="shared" si="89"/>
        <v>0.96257095823218641</v>
      </c>
      <c r="AG238" s="811">
        <f t="shared" si="95"/>
        <v>-1</v>
      </c>
      <c r="AH238" s="176">
        <f t="shared" si="90"/>
        <v>5</v>
      </c>
      <c r="AI238" s="225">
        <f t="shared" si="91"/>
        <v>-3.7429041767813531E-2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7">
        <v>31.435000000000002</v>
      </c>
      <c r="C239" s="390"/>
      <c r="D239" s="393">
        <f t="shared" si="74"/>
        <v>32.245322138505784</v>
      </c>
      <c r="E239" s="385">
        <f t="shared" si="96"/>
        <v>32.739925207284003</v>
      </c>
      <c r="F239" s="385">
        <f t="shared" si="75"/>
        <v>32.74078212040417</v>
      </c>
      <c r="G239" s="110">
        <f t="shared" si="97"/>
        <v>0.57689488320445093</v>
      </c>
      <c r="H239" s="414" t="b">
        <f>Wh_hp&gt;='2020'!Maxi_hp</f>
        <v>0</v>
      </c>
      <c r="I239" s="380">
        <f>IF(H239,Wh_hp,'2020'!Maxi_hp)</f>
        <v>49.571963401626377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2.5129912953734568E-2</v>
      </c>
      <c r="M239" s="845"/>
      <c r="N239" s="845"/>
      <c r="O239" s="48">
        <f>IF(t&lt;Tnet,'2020'!Resal+('2020'!Salim-'2020'!Resal)*(1-EXP(('2020'!Tnet-t)/('2020'!Tau_j))),Resal+(Salim-Resal)*(1-EXP((Tnet-t)/(Tau_j))))*Salcycl</f>
        <v>1.5107031114053286E-2</v>
      </c>
      <c r="P239" s="169">
        <f>(INDEX(Models!$BJ239:$BT239,,T239)*(1-R239)+INDEX(Models!$BJ239:$BT239,,T239+1)*R239-ERP_i)*Q239*Ramure*Pc/MaxiM</f>
        <v>6.6159874050172085E-5</v>
      </c>
      <c r="Q239" s="305">
        <f t="shared" si="77"/>
        <v>0.5</v>
      </c>
      <c r="R239" s="177">
        <f t="shared" si="78"/>
        <v>0.96388481655993008</v>
      </c>
      <c r="S239" s="811">
        <f t="shared" si="79"/>
        <v>-1</v>
      </c>
      <c r="T239" s="176">
        <f t="shared" si="80"/>
        <v>5</v>
      </c>
      <c r="U239" s="251">
        <f t="shared" si="81"/>
        <v>-3.611518344006992E-2</v>
      </c>
      <c r="V239" s="383">
        <f t="shared" si="82"/>
        <v>54.487817250508549</v>
      </c>
      <c r="W239" s="402"/>
      <c r="X239" s="157">
        <f t="shared" si="83"/>
        <v>44421</v>
      </c>
      <c r="Y239" s="385">
        <f t="shared" si="84"/>
        <v>29.881548420369423</v>
      </c>
      <c r="Z239" s="385">
        <f t="shared" si="85"/>
        <v>30.651826143221587</v>
      </c>
      <c r="AA239" s="386">
        <f t="shared" si="86"/>
        <v>32.739925207284003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6.3778370012826241E-2</v>
      </c>
      <c r="AD239" s="231">
        <f>(INDEX(Models!$BJ239:$BT239,,AH239)*(1-AF239)+INDEX(Models!$BJ239:$BT239,,AH239+1)*AF239-ERP_i)*AE239*Ramure*Pc/MaxiM</f>
        <v>6.6159874050172085E-5</v>
      </c>
      <c r="AE239" s="305">
        <f t="shared" si="88"/>
        <v>0.5</v>
      </c>
      <c r="AF239" s="177">
        <f t="shared" si="89"/>
        <v>0.96388481655993008</v>
      </c>
      <c r="AG239" s="811">
        <f t="shared" si="95"/>
        <v>-1</v>
      </c>
      <c r="AH239" s="176">
        <f t="shared" si="90"/>
        <v>5</v>
      </c>
      <c r="AI239" s="225">
        <f t="shared" si="91"/>
        <v>-3.611518344006992E-2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7">
        <v>48.795000000000002</v>
      </c>
      <c r="C240" s="390"/>
      <c r="D240" s="393">
        <f t="shared" si="74"/>
        <v>50.053919396566606</v>
      </c>
      <c r="E240" s="385">
        <f t="shared" si="96"/>
        <v>50.825883646231851</v>
      </c>
      <c r="F240" s="385">
        <f t="shared" si="75"/>
        <v>50.828473232108941</v>
      </c>
      <c r="G240" s="110">
        <f t="shared" si="97"/>
        <v>0.89815466876023253</v>
      </c>
      <c r="H240" s="414" t="b">
        <f>Wh_hp&gt;='2020'!Maxi_hp</f>
        <v>0</v>
      </c>
      <c r="I240" s="380">
        <f>IF(H240,Wh_hp,'2020'!Maxi_hp)</f>
        <v>57.385484130512104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2.515126511057908E-2</v>
      </c>
      <c r="M240" s="845"/>
      <c r="N240" s="845"/>
      <c r="O240" s="48">
        <f>IF(t&lt;Tnet,'2020'!Resal+('2020'!Salim-'2020'!Resal)*(1-EXP(('2020'!Tnet-t)/('2020'!Tau_j))),Resal+(Salim-Resal)*(1-EXP((Tnet-t)/(Tau_j))))*Salcycl</f>
        <v>1.518840784035189E-2</v>
      </c>
      <c r="P240" s="169">
        <f>(INDEX(Models!$BJ240:$BT240,,T240)*(1-R240)+INDEX(Models!$BJ240:$BT240,,T240+1)*R240-ERP_i)*Q240*Ramure*Pc/MaxiM</f>
        <v>5.9621395879067555E-5</v>
      </c>
      <c r="Q240" s="305">
        <f t="shared" si="77"/>
        <v>0.5</v>
      </c>
      <c r="R240" s="177">
        <f t="shared" si="78"/>
        <v>0.96515276312087894</v>
      </c>
      <c r="S240" s="811">
        <f t="shared" si="79"/>
        <v>-1</v>
      </c>
      <c r="T240" s="176">
        <f t="shared" si="80"/>
        <v>5</v>
      </c>
      <c r="U240" s="251">
        <f t="shared" si="81"/>
        <v>-3.4847236879121002E-2</v>
      </c>
      <c r="V240" s="383">
        <f t="shared" si="82"/>
        <v>54.327587925571436</v>
      </c>
      <c r="W240" s="402"/>
      <c r="X240" s="157">
        <f t="shared" si="83"/>
        <v>44422</v>
      </c>
      <c r="Y240" s="385">
        <f t="shared" si="84"/>
        <v>46.385758008506279</v>
      </c>
      <c r="Z240" s="385">
        <f t="shared" si="85"/>
        <v>47.582518547113786</v>
      </c>
      <c r="AA240" s="386">
        <f t="shared" si="86"/>
        <v>50.825883646231851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6.3813255499760066E-2</v>
      </c>
      <c r="AD240" s="231">
        <f>(INDEX(Models!$BJ240:$BT240,,AH240)*(1-AF240)+INDEX(Models!$BJ240:$BT240,,AH240+1)*AF240-ERP_i)*AE240*Ramure*Pc/MaxiM</f>
        <v>5.9621395879067555E-5</v>
      </c>
      <c r="AE240" s="305">
        <f t="shared" si="88"/>
        <v>0.5</v>
      </c>
      <c r="AF240" s="177">
        <f t="shared" si="89"/>
        <v>0.96515276312087894</v>
      </c>
      <c r="AG240" s="811">
        <f t="shared" si="95"/>
        <v>-1</v>
      </c>
      <c r="AH240" s="176">
        <f t="shared" si="90"/>
        <v>5</v>
      </c>
      <c r="AI240" s="225">
        <f t="shared" si="91"/>
        <v>-3.4847236879121002E-2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7">
        <v>21.795000000000002</v>
      </c>
      <c r="C241" s="390"/>
      <c r="D241" s="393">
        <f t="shared" si="74"/>
        <v>22.357804443746321</v>
      </c>
      <c r="E241" s="385">
        <f t="shared" si="96"/>
        <v>22.704494470509243</v>
      </c>
      <c r="F241" s="385">
        <f t="shared" si="75"/>
        <v>22.704672062388653</v>
      </c>
      <c r="G241" s="110">
        <f t="shared" si="97"/>
        <v>0.40235887261789566</v>
      </c>
      <c r="H241" s="414" t="b">
        <f>Wh_hp&gt;='2020'!Maxi_hp</f>
        <v>0</v>
      </c>
      <c r="I241" s="380">
        <f>IF(H241,Wh_hp,'2020'!Maxi_hp)</f>
        <v>56.300151621417385</v>
      </c>
      <c r="J241" s="85">
        <f>IF(H241,An,'2020'!An_max)</f>
        <v>2018</v>
      </c>
      <c r="K241" s="197">
        <f t="shared" si="76"/>
        <v>44423</v>
      </c>
      <c r="L241" s="147">
        <f>IF(t&lt;Tvie,1-EXP((T0-t)*PertePVj)+'2020'!Pspv,1-EXP((T0-t)*PertePVj)+Pspv)</f>
        <v>2.5172616799756464E-2</v>
      </c>
      <c r="M241" s="845"/>
      <c r="N241" s="845"/>
      <c r="O241" s="48">
        <f>IF(t&lt;Tnet,'2020'!Resal+('2020'!Salim-'2020'!Resal)*(1-EXP(('2020'!Tnet-t)/('2020'!Tau_j))),Resal+(Salim-Resal)*(1-EXP((Tnet-t)/(Tau_j))))*Salcycl</f>
        <v>1.5269665097068671E-2</v>
      </c>
      <c r="P241" s="169">
        <f>(INDEX(Models!$BJ241:$BT241,,T241)*(1-R241)+INDEX(Models!$BJ241:$BT241,,T241+1)*R241-ERP_i)*Q241*Ramure*Pc/MaxiM</f>
        <v>5.3481363486176086E-5</v>
      </c>
      <c r="Q241" s="305">
        <f t="shared" si="77"/>
        <v>0.5</v>
      </c>
      <c r="R241" s="177">
        <f t="shared" si="78"/>
        <v>0.96637614764391921</v>
      </c>
      <c r="S241" s="811">
        <f t="shared" si="79"/>
        <v>-1</v>
      </c>
      <c r="T241" s="176">
        <f t="shared" si="80"/>
        <v>5</v>
      </c>
      <c r="U241" s="251">
        <f t="shared" si="81"/>
        <v>-3.3623852356080786E-2</v>
      </c>
      <c r="V241" s="383">
        <f t="shared" si="82"/>
        <v>54.165587801472952</v>
      </c>
      <c r="W241" s="402"/>
      <c r="X241" s="157">
        <f t="shared" si="83"/>
        <v>44423</v>
      </c>
      <c r="Y241" s="385">
        <f t="shared" si="84"/>
        <v>20.719818707890379</v>
      </c>
      <c r="Z241" s="385">
        <f t="shared" si="85"/>
        <v>21.254859131951807</v>
      </c>
      <c r="AA241" s="386">
        <f t="shared" si="86"/>
        <v>22.704494470509243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6.3847946072543432E-2</v>
      </c>
      <c r="AD241" s="231">
        <f>(INDEX(Models!$BJ241:$BT241,,AH241)*(1-AF241)+INDEX(Models!$BJ241:$BT241,,AH241+1)*AF241-ERP_i)*AE241*Ramure*Pc/MaxiM</f>
        <v>5.3481363486176086E-5</v>
      </c>
      <c r="AE241" s="305">
        <f t="shared" si="88"/>
        <v>0.5</v>
      </c>
      <c r="AF241" s="177">
        <f t="shared" si="89"/>
        <v>0.96637614764391921</v>
      </c>
      <c r="AG241" s="811">
        <f t="shared" si="95"/>
        <v>-1</v>
      </c>
      <c r="AH241" s="176">
        <f t="shared" si="90"/>
        <v>5</v>
      </c>
      <c r="AI241" s="225">
        <f t="shared" si="91"/>
        <v>-3.3623852356080786E-2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7">
        <v>32.655999999999999</v>
      </c>
      <c r="C242" s="390"/>
      <c r="D242" s="393">
        <f t="shared" si="74"/>
        <v>33.499997875180135</v>
      </c>
      <c r="E242" s="385">
        <f t="shared" si="96"/>
        <v>34.022266930431854</v>
      </c>
      <c r="F242" s="385">
        <f t="shared" si="75"/>
        <v>34.022974051774</v>
      </c>
      <c r="G242" s="110">
        <f t="shared" si="97"/>
        <v>0.60470523854078007</v>
      </c>
      <c r="H242" s="414" t="b">
        <f>Wh_hp&gt;='2020'!Maxi_hp</f>
        <v>0</v>
      </c>
      <c r="I242" s="380">
        <f>IF(H242,Wh_hp,'2020'!Maxi_hp)</f>
        <v>56.421516120211891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2.5193968021277047E-2</v>
      </c>
      <c r="M242" s="845"/>
      <c r="N242" s="845"/>
      <c r="O242" s="48">
        <f>IF(t&lt;Tnet,'2020'!Resal+('2020'!Salim-'2020'!Resal)*(1-EXP(('2020'!Tnet-t)/('2020'!Tau_j))),Resal+(Salim-Resal)*(1-EXP((Tnet-t)/(Tau_j))))*Salcycl</f>
        <v>1.5350801177347979E-2</v>
      </c>
      <c r="P242" s="169">
        <f>(INDEX(Models!$BJ242:$BT242,,T242)*(1-R242)+INDEX(Models!$BJ242:$BT242,,T242+1)*R242-ERP_i)*Q242*Ramure*Pc/MaxiM</f>
        <v>4.7743752882602853E-5</v>
      </c>
      <c r="Q242" s="305">
        <f t="shared" si="77"/>
        <v>0.5</v>
      </c>
      <c r="R242" s="177">
        <f t="shared" si="78"/>
        <v>0.96755629927193798</v>
      </c>
      <c r="S242" s="811">
        <f t="shared" si="79"/>
        <v>-1</v>
      </c>
      <c r="T242" s="176">
        <f t="shared" si="80"/>
        <v>5</v>
      </c>
      <c r="U242" s="251">
        <f t="shared" si="81"/>
        <v>-3.2443700728062019E-2</v>
      </c>
      <c r="V242" s="383">
        <f t="shared" si="82"/>
        <v>54.001714374344402</v>
      </c>
      <c r="W242" s="402"/>
      <c r="X242" s="157">
        <f t="shared" si="83"/>
        <v>44424</v>
      </c>
      <c r="Y242" s="385">
        <f t="shared" si="84"/>
        <v>31.046442923562367</v>
      </c>
      <c r="Z242" s="385">
        <f t="shared" si="85"/>
        <v>31.848841620873369</v>
      </c>
      <c r="AA242" s="386">
        <f t="shared" si="86"/>
        <v>34.022266930431854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6.3882436581979313E-2</v>
      </c>
      <c r="AD242" s="231">
        <f>(INDEX(Models!$BJ242:$BT242,,AH242)*(1-AF242)+INDEX(Models!$BJ242:$BT242,,AH242+1)*AF242-ERP_i)*AE242*Ramure*Pc/MaxiM</f>
        <v>4.7743752882602853E-5</v>
      </c>
      <c r="AE242" s="305">
        <f t="shared" si="88"/>
        <v>0.5</v>
      </c>
      <c r="AF242" s="177">
        <f t="shared" si="89"/>
        <v>0.96755629927193798</v>
      </c>
      <c r="AG242" s="811">
        <f t="shared" si="95"/>
        <v>-1</v>
      </c>
      <c r="AH242" s="176">
        <f t="shared" si="90"/>
        <v>5</v>
      </c>
      <c r="AI242" s="225">
        <f t="shared" si="91"/>
        <v>-3.2443700728062019E-2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7">
        <v>42.919000000000004</v>
      </c>
      <c r="C243" s="390"/>
      <c r="D243" s="393">
        <f t="shared" si="74"/>
        <v>44.029210580197955</v>
      </c>
      <c r="E243" s="385">
        <f t="shared" si="96"/>
        <v>44.719310673936903</v>
      </c>
      <c r="F243" s="385">
        <f t="shared" si="75"/>
        <v>44.720657937166806</v>
      </c>
      <c r="G243" s="110">
        <f t="shared" si="97"/>
        <v>0.79720967633574713</v>
      </c>
      <c r="H243" s="414" t="b">
        <f>Wh_hp&gt;='2020'!Maxi_hp</f>
        <v>0</v>
      </c>
      <c r="I243" s="380">
        <f>IF(H243,Wh_hp,'2020'!Maxi_hp)</f>
        <v>55.293372982977111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2.5215318775151152E-2</v>
      </c>
      <c r="M243" s="845"/>
      <c r="N243" s="845"/>
      <c r="O243" s="48">
        <f>IF(t&lt;Tnet,'2020'!Resal+('2020'!Salim-'2020'!Resal)*(1-EXP(('2020'!Tnet-t)/('2020'!Tau_j))),Resal+(Salim-Resal)*(1-EXP((Tnet-t)/(Tau_j))))*Salcycl</f>
        <v>1.5431814205963288E-2</v>
      </c>
      <c r="P243" s="169">
        <f>(INDEX(Models!$BJ243:$BT243,,T243)*(1-R243)+INDEX(Models!$BJ243:$BT243,,T243+1)*R243-ERP_i)*Q243*Ramure*Pc/MaxiM</f>
        <v>4.2412530505935025E-5</v>
      </c>
      <c r="Q243" s="305">
        <f t="shared" si="77"/>
        <v>0.5</v>
      </c>
      <c r="R243" s="177">
        <f t="shared" si="78"/>
        <v>0.96869452530679068</v>
      </c>
      <c r="S243" s="811">
        <f t="shared" si="79"/>
        <v>-1</v>
      </c>
      <c r="T243" s="176">
        <f t="shared" si="80"/>
        <v>5</v>
      </c>
      <c r="U243" s="251">
        <f t="shared" si="81"/>
        <v>-3.1305474693209379E-2</v>
      </c>
      <c r="V243" s="383">
        <f t="shared" si="82"/>
        <v>53.835865194358583</v>
      </c>
      <c r="W243" s="402"/>
      <c r="X243" s="157">
        <f t="shared" si="83"/>
        <v>44425</v>
      </c>
      <c r="Y243" s="385">
        <f t="shared" si="84"/>
        <v>40.805460525215196</v>
      </c>
      <c r="Z243" s="385">
        <f t="shared" si="85"/>
        <v>41.860998958192283</v>
      </c>
      <c r="AA243" s="386">
        <f t="shared" si="86"/>
        <v>44.719310673936903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6.3916721270269705E-2</v>
      </c>
      <c r="AD243" s="231">
        <f>(INDEX(Models!$BJ243:$BT243,,AH243)*(1-AF243)+INDEX(Models!$BJ243:$BT243,,AH243+1)*AF243-ERP_i)*AE243*Ramure*Pc/MaxiM</f>
        <v>4.2412530505935025E-5</v>
      </c>
      <c r="AE243" s="305">
        <f t="shared" si="88"/>
        <v>0.5</v>
      </c>
      <c r="AF243" s="177">
        <f t="shared" si="89"/>
        <v>0.96869452530679068</v>
      </c>
      <c r="AG243" s="811">
        <f t="shared" si="95"/>
        <v>-1</v>
      </c>
      <c r="AH243" s="176">
        <f t="shared" si="90"/>
        <v>5</v>
      </c>
      <c r="AI243" s="225">
        <f t="shared" si="91"/>
        <v>-3.1305474693209379E-2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7">
        <v>51.000999999999998</v>
      </c>
      <c r="C244" s="390"/>
      <c r="D244" s="393">
        <f t="shared" si="74"/>
        <v>52.321418318937511</v>
      </c>
      <c r="E244" s="385">
        <f t="shared" si="96"/>
        <v>53.145854124449848</v>
      </c>
      <c r="F244" s="385">
        <f t="shared" si="75"/>
        <v>53.147705265054185</v>
      </c>
      <c r="G244" s="110">
        <f t="shared" si="97"/>
        <v>0.95030415330476359</v>
      </c>
      <c r="H244" s="414" t="b">
        <f>Wh_hp&gt;='2020'!Maxi_hp</f>
        <v>1</v>
      </c>
      <c r="I244" s="380">
        <f>IF(H244,Wh_hp,'2020'!Maxi_hp)</f>
        <v>53.147705265054185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2.5236669061388883E-2</v>
      </c>
      <c r="M244" s="845"/>
      <c r="N244" s="845"/>
      <c r="O244" s="48">
        <f>IF(t&lt;Tnet,'2020'!Resal+('2020'!Salim-'2020'!Resal)*(1-EXP(('2020'!Tnet-t)/('2020'!Tau_j))),Resal+(Salim-Resal)*(1-EXP((Tnet-t)/(Tau_j))))*Salcycl</f>
        <v>1.5512702149480626E-2</v>
      </c>
      <c r="P244" s="169">
        <f>(INDEX(Models!$BJ244:$BT244,,T244)*(1-R244)+INDEX(Models!$BJ244:$BT244,,T244+1)*R244-ERP_i)*Q244*Ramure*Pc/MaxiM</f>
        <v>3.7491663654948898E-5</v>
      </c>
      <c r="Q244" s="305">
        <f t="shared" si="77"/>
        <v>0.5</v>
      </c>
      <c r="R244" s="177">
        <f t="shared" si="78"/>
        <v>0.96979211011160427</v>
      </c>
      <c r="S244" s="811">
        <f t="shared" si="79"/>
        <v>-1</v>
      </c>
      <c r="T244" s="176">
        <f t="shared" si="80"/>
        <v>5</v>
      </c>
      <c r="U244" s="251">
        <f t="shared" si="81"/>
        <v>-3.0207889888395789E-2</v>
      </c>
      <c r="V244" s="383">
        <f t="shared" si="82"/>
        <v>53.667937866198322</v>
      </c>
      <c r="W244" s="402"/>
      <c r="X244" s="157">
        <f t="shared" si="83"/>
        <v>44426</v>
      </c>
      <c r="Y244" s="385">
        <f t="shared" si="84"/>
        <v>48.491682592834039</v>
      </c>
      <c r="Z244" s="385">
        <f t="shared" si="85"/>
        <v>49.747134564593054</v>
      </c>
      <c r="AA244" s="386">
        <f t="shared" si="86"/>
        <v>53.145854124449848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6.395079382670435E-2</v>
      </c>
      <c r="AD244" s="231">
        <f>(INDEX(Models!$BJ244:$BT244,,AH244)*(1-AF244)+INDEX(Models!$BJ244:$BT244,,AH244+1)*AF244-ERP_i)*AE244*Ramure*Pc/MaxiM</f>
        <v>3.7491663654948898E-5</v>
      </c>
      <c r="AE244" s="305">
        <f t="shared" si="88"/>
        <v>0.5</v>
      </c>
      <c r="AF244" s="177">
        <f t="shared" si="89"/>
        <v>0.96979211011160427</v>
      </c>
      <c r="AG244" s="811">
        <f t="shared" si="95"/>
        <v>-1</v>
      </c>
      <c r="AH244" s="176">
        <f t="shared" si="90"/>
        <v>5</v>
      </c>
      <c r="AI244" s="225">
        <f t="shared" si="91"/>
        <v>-3.0207889888395789E-2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7">
        <v>44.399000000000001</v>
      </c>
      <c r="C245" s="390"/>
      <c r="D245" s="393">
        <f t="shared" si="74"/>
        <v>45.549489875243289</v>
      </c>
      <c r="E245" s="385">
        <f t="shared" si="96"/>
        <v>46.271015231149526</v>
      </c>
      <c r="F245" s="385">
        <f t="shared" si="75"/>
        <v>46.272170682298885</v>
      </c>
      <c r="G245" s="110">
        <f t="shared" si="97"/>
        <v>0.82991486048676055</v>
      </c>
      <c r="H245" s="414" t="b">
        <f>Wh_hp&gt;='2020'!Maxi_hp</f>
        <v>0</v>
      </c>
      <c r="I245" s="380">
        <f>IF(H245,Wh_hp,'2020'!Maxi_hp)</f>
        <v>53.076716411968974</v>
      </c>
      <c r="J245" s="85">
        <f>IF(H245,An,'2020'!An_max)</f>
        <v>2018</v>
      </c>
      <c r="K245" s="197">
        <f t="shared" si="76"/>
        <v>44427</v>
      </c>
      <c r="L245" s="147">
        <f>IF(t&lt;Tvie,1-EXP((T0-t)*PertePVj)+'2020'!Pspv,1-EXP((T0-t)*PertePVj)+Pspv)</f>
        <v>2.5258018880000566E-2</v>
      </c>
      <c r="M245" s="845"/>
      <c r="N245" s="845"/>
      <c r="O245" s="48">
        <f>IF(t&lt;Tnet,'2020'!Resal+('2020'!Salim-'2020'!Resal)*(1-EXP(('2020'!Tnet-t)/('2020'!Tau_j))),Resal+(Salim-Resal)*(1-EXP((Tnet-t)/(Tau_j))))*Salcycl</f>
        <v>1.559346282552509E-2</v>
      </c>
      <c r="P245" s="169">
        <f>(INDEX(Models!$BJ245:$BT245,,T245)*(1-R245)+INDEX(Models!$BJ245:$BT245,,T245+1)*R245-ERP_i)*Q245*Ramure*Pc/MaxiM</f>
        <v>3.29851304373365E-5</v>
      </c>
      <c r="Q245" s="305">
        <f t="shared" si="77"/>
        <v>0.5</v>
      </c>
      <c r="R245" s="177">
        <f t="shared" si="78"/>
        <v>0.97085031416104361</v>
      </c>
      <c r="S245" s="811">
        <f t="shared" si="79"/>
        <v>-1</v>
      </c>
      <c r="T245" s="176">
        <f t="shared" si="80"/>
        <v>5</v>
      </c>
      <c r="U245" s="251">
        <f t="shared" si="81"/>
        <v>-2.9149685838956441E-2</v>
      </c>
      <c r="V245" s="383">
        <f t="shared" si="82"/>
        <v>53.49783004840539</v>
      </c>
      <c r="W245" s="402"/>
      <c r="X245" s="157">
        <f t="shared" si="83"/>
        <v>44427</v>
      </c>
      <c r="Y245" s="385">
        <f t="shared" si="84"/>
        <v>42.216446223206283</v>
      </c>
      <c r="Z245" s="385">
        <f t="shared" si="85"/>
        <v>43.310380634984739</v>
      </c>
      <c r="AA245" s="386">
        <f t="shared" si="86"/>
        <v>46.271015231149526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6.3984647438029341E-2</v>
      </c>
      <c r="AD245" s="231">
        <f>(INDEX(Models!$BJ245:$BT245,,AH245)*(1-AF245)+INDEX(Models!$BJ245:$BT245,,AH245+1)*AF245-ERP_i)*AE245*Ramure*Pc/MaxiM</f>
        <v>3.29851304373365E-5</v>
      </c>
      <c r="AE245" s="305">
        <f t="shared" si="88"/>
        <v>0.5</v>
      </c>
      <c r="AF245" s="177">
        <f t="shared" si="89"/>
        <v>0.97085031416104361</v>
      </c>
      <c r="AG245" s="811">
        <f t="shared" si="95"/>
        <v>-1</v>
      </c>
      <c r="AH245" s="176">
        <f t="shared" si="90"/>
        <v>5</v>
      </c>
      <c r="AI245" s="225">
        <f t="shared" si="91"/>
        <v>-2.9149685838956441E-2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7">
        <v>51.236000000000004</v>
      </c>
      <c r="C246" s="390"/>
      <c r="D246" s="393">
        <f t="shared" si="74"/>
        <v>52.564805063182746</v>
      </c>
      <c r="E246" s="385">
        <f t="shared" si="96"/>
        <v>53.401830367379183</v>
      </c>
      <c r="F246" s="385">
        <f t="shared" si="75"/>
        <v>53.403287177639172</v>
      </c>
      <c r="G246" s="110">
        <f t="shared" si="97"/>
        <v>0.96081565668568858</v>
      </c>
      <c r="H246" s="414" t="b">
        <f>Wh_hp&gt;='2020'!Maxi_hp</f>
        <v>0</v>
      </c>
      <c r="I246" s="380">
        <f>IF(H246,Wh_hp,'2020'!Maxi_hp)</f>
        <v>53.656818151544883</v>
      </c>
      <c r="J246" s="85">
        <f>IF(H246,An,'2020'!An_max)</f>
        <v>2018</v>
      </c>
      <c r="K246" s="197">
        <f t="shared" si="76"/>
        <v>44428</v>
      </c>
      <c r="L246" s="147">
        <f>IF(t&lt;Tvie,1-EXP((T0-t)*PertePVj)+'2020'!Pspv,1-EXP((T0-t)*PertePVj)+Pspv)</f>
        <v>2.5279368230996413E-2</v>
      </c>
      <c r="M246" s="845"/>
      <c r="N246" s="845"/>
      <c r="O246" s="48">
        <f>IF(t&lt;Tnet,'2020'!Resal+('2020'!Salim-'2020'!Resal)*(1-EXP(('2020'!Tnet-t)/('2020'!Tau_j))),Resal+(Salim-Resal)*(1-EXP((Tnet-t)/(Tau_j))))*Salcycl</f>
        <v>1.56740939109784E-2</v>
      </c>
      <c r="P246" s="169">
        <f>(INDEX(Models!$BJ246:$BT246,,T246)*(1-R246)+INDEX(Models!$BJ246:$BT246,,T246+1)*R246-ERP_i)*Q246*Ramure*Pc/MaxiM</f>
        <v>2.8896929308837679E-5</v>
      </c>
      <c r="Q246" s="305">
        <f t="shared" si="77"/>
        <v>0.5</v>
      </c>
      <c r="R246" s="177">
        <f t="shared" si="78"/>
        <v>0.97187037323032888</v>
      </c>
      <c r="S246" s="811">
        <f t="shared" si="79"/>
        <v>-1</v>
      </c>
      <c r="T246" s="176">
        <f t="shared" si="80"/>
        <v>5</v>
      </c>
      <c r="U246" s="251">
        <f t="shared" si="81"/>
        <v>-2.8129626769671179E-2</v>
      </c>
      <c r="V246" s="383">
        <f t="shared" si="82"/>
        <v>53.325439449380831</v>
      </c>
      <c r="W246" s="402"/>
      <c r="X246" s="157">
        <f t="shared" si="83"/>
        <v>44428</v>
      </c>
      <c r="Y246" s="385">
        <f t="shared" si="84"/>
        <v>48.719595180826786</v>
      </c>
      <c r="Z246" s="385">
        <f t="shared" si="85"/>
        <v>49.983137314336354</v>
      </c>
      <c r="AA246" s="386">
        <f t="shared" si="86"/>
        <v>53.401830367379183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6.4018274832975744E-2</v>
      </c>
      <c r="AD246" s="231">
        <f>(INDEX(Models!$BJ246:$BT246,,AH246)*(1-AF246)+INDEX(Models!$BJ246:$BT246,,AH246+1)*AF246-ERP_i)*AE246*Ramure*Pc/MaxiM</f>
        <v>2.8896929308837679E-5</v>
      </c>
      <c r="AE246" s="305">
        <f t="shared" si="88"/>
        <v>0.5</v>
      </c>
      <c r="AF246" s="177">
        <f t="shared" si="89"/>
        <v>0.97187037323032888</v>
      </c>
      <c r="AG246" s="811">
        <f t="shared" si="95"/>
        <v>-1</v>
      </c>
      <c r="AH246" s="176">
        <f t="shared" si="90"/>
        <v>5</v>
      </c>
      <c r="AI246" s="225">
        <f t="shared" si="91"/>
        <v>-2.8129626769671179E-2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7">
        <v>48.850999999999999</v>
      </c>
      <c r="C247" s="390"/>
      <c r="D247" s="393">
        <f t="shared" si="74"/>
        <v>50.119047851739268</v>
      </c>
      <c r="E247" s="385">
        <f t="shared" si="96"/>
        <v>50.921292080908884</v>
      </c>
      <c r="F247" s="385">
        <f t="shared" si="75"/>
        <v>50.922428319015388</v>
      </c>
      <c r="G247" s="110">
        <f t="shared" si="97"/>
        <v>0.91906622684139294</v>
      </c>
      <c r="H247" s="414" t="b">
        <f>Wh_hp&gt;='2020'!Maxi_hp</f>
        <v>0</v>
      </c>
      <c r="I247" s="380">
        <f>IF(H247,Wh_hp,'2020'!Maxi_hp)</f>
        <v>54.498162972904758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2.530071711438675E-2</v>
      </c>
      <c r="M247" s="845"/>
      <c r="N247" s="845"/>
      <c r="O247" s="48">
        <f>IF(t&lt;Tnet,'2020'!Resal+('2020'!Salim-'2020'!Resal)*(1-EXP(('2020'!Tnet-t)/('2020'!Tau_j))),Resal+(Salim-Resal)*(1-EXP((Tnet-t)/(Tau_j))))*Salcycl</f>
        <v>1.5754592948955974E-2</v>
      </c>
      <c r="P247" s="169">
        <f>(INDEX(Models!$BJ247:$BT247,,T247)*(1-R247)+INDEX(Models!$BJ247:$BT247,,T247+1)*R247-ERP_i)*Q247*Ramure*Pc/MaxiM</f>
        <v>2.5230118615431768E-5</v>
      </c>
      <c r="Q247" s="305">
        <f t="shared" si="77"/>
        <v>0.5</v>
      </c>
      <c r="R247" s="177">
        <f t="shared" si="78"/>
        <v>0.9728534977139931</v>
      </c>
      <c r="S247" s="811">
        <f t="shared" si="79"/>
        <v>-1</v>
      </c>
      <c r="T247" s="176">
        <f t="shared" si="80"/>
        <v>5</v>
      </c>
      <c r="U247" s="251">
        <f t="shared" si="81"/>
        <v>-2.7146502286006957E-2</v>
      </c>
      <c r="V247" s="383">
        <f t="shared" si="82"/>
        <v>53.152706596855616</v>
      </c>
      <c r="W247" s="402"/>
      <c r="X247" s="157">
        <f t="shared" si="83"/>
        <v>44429</v>
      </c>
      <c r="Y247" s="385">
        <f t="shared" si="84"/>
        <v>46.453873823870978</v>
      </c>
      <c r="Z247" s="385">
        <f t="shared" si="85"/>
        <v>47.659698370089615</v>
      </c>
      <c r="AA247" s="386">
        <f t="shared" si="86"/>
        <v>50.921292080908884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6.4051668320531274E-2</v>
      </c>
      <c r="AD247" s="231">
        <f>(INDEX(Models!$BJ247:$BT247,,AH247)*(1-AF247)+INDEX(Models!$BJ247:$BT247,,AH247+1)*AF247-ERP_i)*AE247*Ramure*Pc/MaxiM</f>
        <v>2.5230118615431768E-5</v>
      </c>
      <c r="AE247" s="305">
        <f t="shared" si="88"/>
        <v>0.5</v>
      </c>
      <c r="AF247" s="177">
        <f t="shared" si="89"/>
        <v>0.9728534977139931</v>
      </c>
      <c r="AG247" s="811">
        <f t="shared" si="95"/>
        <v>-1</v>
      </c>
      <c r="AH247" s="176">
        <f t="shared" si="90"/>
        <v>5</v>
      </c>
      <c r="AI247" s="225">
        <f t="shared" si="91"/>
        <v>-2.7146502286006957E-2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7">
        <v>20.587</v>
      </c>
      <c r="C248" s="390"/>
      <c r="D248" s="393">
        <f t="shared" si="74"/>
        <v>21.121848840456636</v>
      </c>
      <c r="E248" s="385">
        <f t="shared" si="96"/>
        <v>21.461693847282309</v>
      </c>
      <c r="F248" s="385">
        <f t="shared" si="75"/>
        <v>21.461753842442825</v>
      </c>
      <c r="G248" s="110">
        <f t="shared" si="97"/>
        <v>0.38856513957620098</v>
      </c>
      <c r="H248" s="414" t="b">
        <f>Wh_hp&gt;='2020'!Maxi_hp</f>
        <v>0</v>
      </c>
      <c r="I248" s="380">
        <f>IF(H248,Wh_hp,'2020'!Maxi_hp)</f>
        <v>56.835581680919191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2.5322065530181681E-2</v>
      </c>
      <c r="M248" s="845"/>
      <c r="N248" s="845"/>
      <c r="O248" s="48">
        <f>IF(t&lt;Tnet,'2020'!Resal+('2020'!Salim-'2020'!Resal)*(1-EXP(('2020'!Tnet-t)/('2020'!Tau_j))),Resal+(Salim-Resal)*(1-EXP((Tnet-t)/(Tau_j))))*Salcycl</f>
        <v>1.5834957354435783E-2</v>
      </c>
      <c r="P248" s="169">
        <f>(INDEX(Models!$BJ248:$BT248,,T248)*(1-R248)+INDEX(Models!$BJ248:$BT248,,T248+1)*R248-ERP_i)*Q248*Ramure*Pc/MaxiM</f>
        <v>2.2092734355505904E-5</v>
      </c>
      <c r="Q248" s="305">
        <f t="shared" si="77"/>
        <v>0.5</v>
      </c>
      <c r="R248" s="177">
        <f t="shared" si="78"/>
        <v>0.9738008720656115</v>
      </c>
      <c r="S248" s="811">
        <f t="shared" si="79"/>
        <v>-1</v>
      </c>
      <c r="T248" s="176">
        <f t="shared" si="80"/>
        <v>5</v>
      </c>
      <c r="U248" s="251">
        <f t="shared" si="81"/>
        <v>-2.6199127934388555E-2</v>
      </c>
      <c r="V248" s="383">
        <f t="shared" si="82"/>
        <v>52.981085096966062</v>
      </c>
      <c r="W248" s="402"/>
      <c r="X248" s="157">
        <f t="shared" si="83"/>
        <v>44430</v>
      </c>
      <c r="Y248" s="385">
        <f t="shared" si="84"/>
        <v>19.577697824480442</v>
      </c>
      <c r="Z248" s="385">
        <f t="shared" si="85"/>
        <v>20.086325064011881</v>
      </c>
      <c r="AA248" s="386">
        <f t="shared" si="86"/>
        <v>21.461693847282309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6.4084819821646627E-2</v>
      </c>
      <c r="AD248" s="231">
        <f>(INDEX(Models!$BJ248:$BT248,,AH248)*(1-AF248)+INDEX(Models!$BJ248:$BT248,,AH248+1)*AF248-ERP_i)*AE248*Ramure*Pc/MaxiM</f>
        <v>2.2092734355505904E-5</v>
      </c>
      <c r="AE248" s="305">
        <f t="shared" si="88"/>
        <v>0.5</v>
      </c>
      <c r="AF248" s="177">
        <f t="shared" si="89"/>
        <v>0.9738008720656115</v>
      </c>
      <c r="AG248" s="811">
        <f t="shared" si="95"/>
        <v>-1</v>
      </c>
      <c r="AH248" s="176">
        <f t="shared" si="90"/>
        <v>5</v>
      </c>
      <c r="AI248" s="225">
        <f t="shared" si="91"/>
        <v>-2.6199127934388555E-2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7">
        <v>48.989000000000004</v>
      </c>
      <c r="C249" s="390"/>
      <c r="D249" s="393">
        <f t="shared" si="74"/>
        <v>50.262831727053545</v>
      </c>
      <c r="E249" s="385">
        <f t="shared" si="96"/>
        <v>51.075711088327047</v>
      </c>
      <c r="F249" s="385">
        <f t="shared" si="75"/>
        <v>51.076591232367974</v>
      </c>
      <c r="G249" s="110">
        <f t="shared" si="97"/>
        <v>0.92764855984540484</v>
      </c>
      <c r="H249" s="414" t="b">
        <f>Wh_hp&gt;='2020'!Maxi_hp</f>
        <v>0</v>
      </c>
      <c r="I249" s="380">
        <f>IF(H249,Wh_hp,'2020'!Maxi_hp)</f>
        <v>54.138140935976416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2.5343413478391641E-2</v>
      </c>
      <c r="M249" s="845"/>
      <c r="N249" s="845"/>
      <c r="O249" s="48">
        <f>IF(t&lt;Tnet,'2020'!Resal+('2020'!Salim-'2020'!Resal)*(1-EXP(('2020'!Tnet-t)/('2020'!Tau_j))),Resal+(Salim-Resal)*(1-EXP((Tnet-t)/(Tau_j))))*Salcycl</f>
        <v>1.5915184418436434E-2</v>
      </c>
      <c r="P249" s="169">
        <f>(INDEX(Models!$BJ249:$BT249,,T249)*(1-R249)+INDEX(Models!$BJ249:$BT249,,T249+1)*R249-ERP_i)*Q249*Ramure*Pc/MaxiM</f>
        <v>1.9218171993593194E-5</v>
      </c>
      <c r="Q249" s="305">
        <f t="shared" si="77"/>
        <v>0.5</v>
      </c>
      <c r="R249" s="177">
        <f t="shared" si="78"/>
        <v>0.97471365434999768</v>
      </c>
      <c r="S249" s="811">
        <f t="shared" si="79"/>
        <v>-1</v>
      </c>
      <c r="T249" s="176">
        <f t="shared" si="80"/>
        <v>5</v>
      </c>
      <c r="U249" s="251">
        <f t="shared" si="81"/>
        <v>-2.5286345650002262E-2</v>
      </c>
      <c r="V249" s="383">
        <f t="shared" si="82"/>
        <v>52.809765261152648</v>
      </c>
      <c r="W249" s="402"/>
      <c r="X249" s="157">
        <f t="shared" si="83"/>
        <v>44431</v>
      </c>
      <c r="Y249" s="385">
        <f t="shared" si="84"/>
        <v>46.589416120622005</v>
      </c>
      <c r="Z249" s="385">
        <f t="shared" si="85"/>
        <v>47.800852900293933</v>
      </c>
      <c r="AA249" s="386">
        <f t="shared" si="86"/>
        <v>51.075711088327047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6.4117720894179803E-2</v>
      </c>
      <c r="AD249" s="231">
        <f>(INDEX(Models!$BJ249:$BT249,,AH249)*(1-AF249)+INDEX(Models!$BJ249:$BT249,,AH249+1)*AF249-ERP_i)*AE249*Ramure*Pc/MaxiM</f>
        <v>1.9218171993593194E-5</v>
      </c>
      <c r="AE249" s="305">
        <f t="shared" si="88"/>
        <v>0.5</v>
      </c>
      <c r="AF249" s="177">
        <f t="shared" si="89"/>
        <v>0.97471365434999768</v>
      </c>
      <c r="AG249" s="811">
        <f t="shared" si="95"/>
        <v>-1</v>
      </c>
      <c r="AH249" s="176">
        <f t="shared" si="90"/>
        <v>5</v>
      </c>
      <c r="AI249" s="225">
        <f t="shared" si="91"/>
        <v>-2.5286345650002262E-2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7">
        <v>47.713999999999999</v>
      </c>
      <c r="C250" s="390"/>
      <c r="D250" s="393">
        <f t="shared" si="74"/>
        <v>48.955750919646476</v>
      </c>
      <c r="E250" s="385">
        <f t="shared" si="96"/>
        <v>49.75154030494781</v>
      </c>
      <c r="F250" s="385">
        <f t="shared" si="75"/>
        <v>49.752256237557106</v>
      </c>
      <c r="G250" s="110">
        <f t="shared" si="97"/>
        <v>0.90645472033627361</v>
      </c>
      <c r="H250" s="414" t="b">
        <f>Wh_hp&gt;='2020'!Maxi_hp</f>
        <v>0</v>
      </c>
      <c r="I250" s="380">
        <f>IF(H250,Wh_hp,'2020'!Maxi_hp)</f>
        <v>54.480093410292213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2.5364760959026622E-2</v>
      </c>
      <c r="M250" s="845"/>
      <c r="N250" s="845"/>
      <c r="O250" s="48">
        <f>IF(t&lt;Tnet,'2020'!Resal+('2020'!Salim-'2020'!Resal)*(1-EXP(('2020'!Tnet-t)/('2020'!Tau_j))),Resal+(Salim-Resal)*(1-EXP((Tnet-t)/(Tau_j))))*Salcycl</f>
        <v>1.5995271310669121E-2</v>
      </c>
      <c r="P250" s="169">
        <f>(INDEX(Models!$BJ250:$BT250,,T250)*(1-R250)+INDEX(Models!$BJ250:$BT250,,T250+1)*R250-ERP_i)*Q250*Ramure*Pc/MaxiM</f>
        <v>1.6609539126699796E-5</v>
      </c>
      <c r="Q250" s="305">
        <f t="shared" si="77"/>
        <v>0.5</v>
      </c>
      <c r="R250" s="177">
        <f t="shared" si="78"/>
        <v>0.97559297589966198</v>
      </c>
      <c r="S250" s="811">
        <f t="shared" si="79"/>
        <v>-1</v>
      </c>
      <c r="T250" s="176">
        <f t="shared" si="80"/>
        <v>5</v>
      </c>
      <c r="U250" s="251">
        <f t="shared" si="81"/>
        <v>-2.4407024100338015E-2</v>
      </c>
      <c r="V250" s="383">
        <f t="shared" si="82"/>
        <v>52.637923354212333</v>
      </c>
      <c r="W250" s="402"/>
      <c r="X250" s="157">
        <f t="shared" si="83"/>
        <v>44432</v>
      </c>
      <c r="Y250" s="385">
        <f t="shared" si="84"/>
        <v>45.378978667283242</v>
      </c>
      <c r="Z250" s="385">
        <f t="shared" si="85"/>
        <v>46.559960946964615</v>
      </c>
      <c r="AA250" s="386">
        <f t="shared" si="86"/>
        <v>49.75154030494781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6.4150362750995948E-2</v>
      </c>
      <c r="AD250" s="231">
        <f>(INDEX(Models!$BJ250:$BT250,,AH250)*(1-AF250)+INDEX(Models!$BJ250:$BT250,,AH250+1)*AF250-ERP_i)*AE250*Ramure*Pc/MaxiM</f>
        <v>1.6609539126699796E-5</v>
      </c>
      <c r="AE250" s="305">
        <f t="shared" si="88"/>
        <v>0.5</v>
      </c>
      <c r="AF250" s="177">
        <f t="shared" si="89"/>
        <v>0.97559297589966198</v>
      </c>
      <c r="AG250" s="811">
        <f t="shared" si="95"/>
        <v>-1</v>
      </c>
      <c r="AH250" s="176">
        <f t="shared" si="90"/>
        <v>5</v>
      </c>
      <c r="AI250" s="225">
        <f t="shared" si="91"/>
        <v>-2.4407024100338015E-2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7">
        <v>47.963000000000001</v>
      </c>
      <c r="C251" s="390"/>
      <c r="D251" s="393">
        <f t="shared" si="74"/>
        <v>49.212308989565301</v>
      </c>
      <c r="E251" s="385">
        <f t="shared" si="96"/>
        <v>50.01633228864894</v>
      </c>
      <c r="F251" s="385">
        <f t="shared" si="75"/>
        <v>50.016958530717517</v>
      </c>
      <c r="G251" s="110">
        <f t="shared" si="97"/>
        <v>0.91419341388938369</v>
      </c>
      <c r="H251" s="414" t="b">
        <f>Wh_hp&gt;='2020'!Maxi_hp</f>
        <v>0</v>
      </c>
      <c r="I251" s="380">
        <f>IF(H251,Wh_hp,'2020'!Maxi_hp)</f>
        <v>50.04617729749566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2.538610797209695E-2</v>
      </c>
      <c r="M251" s="845"/>
      <c r="N251" s="845"/>
      <c r="O251" s="48">
        <f>IF(t&lt;Tnet,'2020'!Resal+('2020'!Salim-'2020'!Resal)*(1-EXP(('2020'!Tnet-t)/('2020'!Tau_j))),Resal+(Salim-Resal)*(1-EXP((Tnet-t)/(Tau_j))))*Salcycl</f>
        <v>1.6075215080616923E-2</v>
      </c>
      <c r="P251" s="169">
        <f>(INDEX(Models!$BJ251:$BT251,,T251)*(1-R251)+INDEX(Models!$BJ251:$BT251,,T251+1)*R251-ERP_i)*Q251*Ramure*Pc/MaxiM</f>
        <v>1.4269761463842698E-5</v>
      </c>
      <c r="Q251" s="305">
        <f t="shared" si="77"/>
        <v>0.5</v>
      </c>
      <c r="R251" s="177">
        <f t="shared" si="78"/>
        <v>0.97643994106762655</v>
      </c>
      <c r="S251" s="811">
        <f t="shared" si="79"/>
        <v>-1</v>
      </c>
      <c r="T251" s="176">
        <f t="shared" si="80"/>
        <v>5</v>
      </c>
      <c r="U251" s="251">
        <f t="shared" si="81"/>
        <v>-2.3560058932373396E-2</v>
      </c>
      <c r="V251" s="383">
        <f t="shared" si="82"/>
        <v>52.464735990178667</v>
      </c>
      <c r="W251" s="402"/>
      <c r="X251" s="157">
        <f t="shared" si="83"/>
        <v>44433</v>
      </c>
      <c r="Y251" s="385">
        <f t="shared" si="84"/>
        <v>45.617921316921951</v>
      </c>
      <c r="Z251" s="385">
        <f t="shared" si="85"/>
        <v>46.806147224111101</v>
      </c>
      <c r="AA251" s="386">
        <f t="shared" si="86"/>
        <v>50.01633228864894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6.4182736271255619E-2</v>
      </c>
      <c r="AD251" s="231">
        <f>(INDEX(Models!$BJ251:$BT251,,AH251)*(1-AF251)+INDEX(Models!$BJ251:$BT251,,AH251+1)*AF251-ERP_i)*AE251*Ramure*Pc/MaxiM</f>
        <v>1.4269761463842698E-5</v>
      </c>
      <c r="AE251" s="305">
        <f t="shared" si="88"/>
        <v>0.5</v>
      </c>
      <c r="AF251" s="177">
        <f t="shared" si="89"/>
        <v>0.97643994106762655</v>
      </c>
      <c r="AG251" s="811">
        <f t="shared" si="95"/>
        <v>-1</v>
      </c>
      <c r="AH251" s="176">
        <f t="shared" si="90"/>
        <v>5</v>
      </c>
      <c r="AI251" s="225">
        <f t="shared" si="91"/>
        <v>-2.3560058932373396E-2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7">
        <v>50.416000000000004</v>
      </c>
      <c r="C252" s="390"/>
      <c r="D252" s="393">
        <f t="shared" si="74"/>
        <v>51.730336163248573</v>
      </c>
      <c r="E252" s="385">
        <f t="shared" si="96"/>
        <v>52.579762898375144</v>
      </c>
      <c r="F252" s="385">
        <f t="shared" si="75"/>
        <v>52.580371627080311</v>
      </c>
      <c r="G252" s="110">
        <f t="shared" si="97"/>
        <v>0.96417223516154782</v>
      </c>
      <c r="H252" s="414" t="b">
        <f>Wh_hp&gt;='2020'!Maxi_hp</f>
        <v>0</v>
      </c>
      <c r="I252" s="380">
        <f>IF(H252,Wh_hp,'2020'!Maxi_hp)</f>
        <v>54.589001673677714</v>
      </c>
      <c r="J252" s="85">
        <f>IF(H252,An,'2020'!An_max)</f>
        <v>2018</v>
      </c>
      <c r="K252" s="197">
        <f t="shared" si="76"/>
        <v>44434</v>
      </c>
      <c r="L252" s="147">
        <f>IF(t&lt;Tvie,1-EXP((T0-t)*PertePVj)+'2020'!Pspv,1-EXP((T0-t)*PertePVj)+Pspv)</f>
        <v>2.540745451761306E-2</v>
      </c>
      <c r="M252" s="845"/>
      <c r="N252" s="845"/>
      <c r="O252" s="48">
        <f>IF(t&lt;Tnet,'2020'!Resal+('2020'!Salim-'2020'!Resal)*(1-EXP(('2020'!Tnet-t)/('2020'!Tau_j))),Resal+(Salim-Resal)*(1-EXP((Tnet-t)/(Tau_j))))*Salcycl</f>
        <v>1.6155012657024011E-2</v>
      </c>
      <c r="P252" s="169">
        <f>(INDEX(Models!$BJ252:$BT252,,T252)*(1-R252)+INDEX(Models!$BJ252:$BT252,,T252+1)*R252-ERP_i)*Q252*Ramure*Pc/MaxiM</f>
        <v>1.2201607773046648E-5</v>
      </c>
      <c r="Q252" s="305">
        <f t="shared" si="77"/>
        <v>0.5</v>
      </c>
      <c r="R252" s="177">
        <f t="shared" si="78"/>
        <v>0.97725562706903024</v>
      </c>
      <c r="S252" s="811">
        <f t="shared" si="79"/>
        <v>-1</v>
      </c>
      <c r="T252" s="176">
        <f t="shared" si="80"/>
        <v>5</v>
      </c>
      <c r="U252" s="251">
        <f t="shared" si="81"/>
        <v>-2.2744372930969758E-2</v>
      </c>
      <c r="V252" s="383">
        <f t="shared" si="82"/>
        <v>52.28938012975371</v>
      </c>
      <c r="W252" s="402"/>
      <c r="X252" s="157">
        <f t="shared" si="83"/>
        <v>44434</v>
      </c>
      <c r="Y252" s="385">
        <f t="shared" si="84"/>
        <v>47.95323006833307</v>
      </c>
      <c r="Z252" s="385">
        <f t="shared" si="85"/>
        <v>49.203362256991213</v>
      </c>
      <c r="AA252" s="386">
        <f t="shared" si="86"/>
        <v>52.579762898375144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6.4214832005038733E-2</v>
      </c>
      <c r="AD252" s="231">
        <f>(INDEX(Models!$BJ252:$BT252,,AH252)*(1-AF252)+INDEX(Models!$BJ252:$BT252,,AH252+1)*AF252-ERP_i)*AE252*Ramure*Pc/MaxiM</f>
        <v>1.2201607773046648E-5</v>
      </c>
      <c r="AE252" s="305">
        <f t="shared" si="88"/>
        <v>0.5</v>
      </c>
      <c r="AF252" s="177">
        <f t="shared" si="89"/>
        <v>0.97725562706903024</v>
      </c>
      <c r="AG252" s="811">
        <f t="shared" si="95"/>
        <v>-1</v>
      </c>
      <c r="AH252" s="176">
        <f t="shared" si="90"/>
        <v>5</v>
      </c>
      <c r="AI252" s="225">
        <f t="shared" si="91"/>
        <v>-2.2744372930969758E-2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7">
        <v>44.46</v>
      </c>
      <c r="C253" s="390"/>
      <c r="D253" s="393">
        <f t="shared" si="74"/>
        <v>45.620063497844612</v>
      </c>
      <c r="E253" s="385">
        <f t="shared" si="96"/>
        <v>46.372911996540957</v>
      </c>
      <c r="F253" s="385">
        <f t="shared" si="75"/>
        <v>46.373293406148953</v>
      </c>
      <c r="G253" s="110">
        <f t="shared" si="97"/>
        <v>0.85317638735675039</v>
      </c>
      <c r="H253" s="414" t="b">
        <f>Wh_hp&gt;='2020'!Maxi_hp</f>
        <v>0</v>
      </c>
      <c r="I253" s="380">
        <f>IF(H253,Wh_hp,'2020'!Maxi_hp)</f>
        <v>52.049973436944512</v>
      </c>
      <c r="J253" s="85">
        <f>IF(H253,An,'2020'!An_max)</f>
        <v>2018</v>
      </c>
      <c r="K253" s="197">
        <f t="shared" si="76"/>
        <v>44435</v>
      </c>
      <c r="L253" s="147">
        <f>IF(t&lt;Tvie,1-EXP((T0-t)*PertePVj)+'2020'!Pspv,1-EXP((T0-t)*PertePVj)+Pspv)</f>
        <v>2.5428800595584944E-2</v>
      </c>
      <c r="M253" s="845"/>
      <c r="N253" s="845"/>
      <c r="O253" s="48">
        <f>IF(t&lt;Tnet,'2020'!Resal+('2020'!Salim-'2020'!Resal)*(1-EXP(('2020'!Tnet-t)/('2020'!Tau_j))),Resal+(Salim-Resal)*(1-EXP((Tnet-t)/(Tau_j))))*Salcycl</f>
        <v>1.6234660845808015E-2</v>
      </c>
      <c r="P253" s="169">
        <f>(INDEX(Models!$BJ253:$BT253,,T253)*(1-R253)+INDEX(Models!$BJ253:$BT253,,T253+1)*R253-ERP_i)*Q253*Ramure*Pc/MaxiM</f>
        <v>1.0407744753769647E-5</v>
      </c>
      <c r="Q253" s="305">
        <f t="shared" si="77"/>
        <v>0.5</v>
      </c>
      <c r="R253" s="177">
        <f t="shared" si="78"/>
        <v>0.97804108390427746</v>
      </c>
      <c r="S253" s="811">
        <f t="shared" si="79"/>
        <v>-1</v>
      </c>
      <c r="T253" s="176">
        <f t="shared" si="80"/>
        <v>5</v>
      </c>
      <c r="U253" s="251">
        <f t="shared" si="81"/>
        <v>-2.1958916095722536E-2</v>
      </c>
      <c r="V253" s="383">
        <f t="shared" si="82"/>
        <v>52.111033079366962</v>
      </c>
      <c r="W253" s="402"/>
      <c r="X253" s="157">
        <f t="shared" si="83"/>
        <v>44435</v>
      </c>
      <c r="Y253" s="385">
        <f t="shared" si="84"/>
        <v>42.290160795603555</v>
      </c>
      <c r="Z253" s="385">
        <f t="shared" si="85"/>
        <v>43.393608205791566</v>
      </c>
      <c r="AA253" s="386">
        <f t="shared" si="86"/>
        <v>46.372911996540957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6.4246640171564479E-2</v>
      </c>
      <c r="AD253" s="231">
        <f>(INDEX(Models!$BJ253:$BT253,,AH253)*(1-AF253)+INDEX(Models!$BJ253:$BT253,,AH253+1)*AF253-ERP_i)*AE253*Ramure*Pc/MaxiM</f>
        <v>1.0407744753769647E-5</v>
      </c>
      <c r="AE253" s="305">
        <f t="shared" si="88"/>
        <v>0.5</v>
      </c>
      <c r="AF253" s="177">
        <f t="shared" si="89"/>
        <v>0.97804108390427746</v>
      </c>
      <c r="AG253" s="811">
        <f t="shared" si="95"/>
        <v>-1</v>
      </c>
      <c r="AH253" s="176">
        <f t="shared" si="90"/>
        <v>5</v>
      </c>
      <c r="AI253" s="225">
        <f t="shared" si="91"/>
        <v>-2.1958916095722536E-2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7">
        <v>52.206000000000003</v>
      </c>
      <c r="C254" s="390"/>
      <c r="D254" s="393">
        <f t="shared" si="74"/>
        <v>53.569347731939139</v>
      </c>
      <c r="E254" s="385">
        <f t="shared" si="96"/>
        <v>54.457780475812463</v>
      </c>
      <c r="F254" s="385">
        <f t="shared" si="75"/>
        <v>54.458266820267049</v>
      </c>
      <c r="G254" s="110">
        <f t="shared" si="97"/>
        <v>1.0053367149229226</v>
      </c>
      <c r="H254" s="414" t="b">
        <f>Wh_hp&gt;='2020'!Maxi_hp</f>
        <v>1</v>
      </c>
      <c r="I254" s="380">
        <f>IF(H254,Wh_hp,'2020'!Maxi_hp)</f>
        <v>54.458266820267049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2.5450146206022928E-2</v>
      </c>
      <c r="M254" s="845"/>
      <c r="N254" s="845"/>
      <c r="O254" s="48">
        <f>IF(t&lt;Tnet,'2020'!Resal+('2020'!Salim-'2020'!Resal)*(1-EXP(('2020'!Tnet-t)/('2020'!Tau_j))),Resal+(Salim-Resal)*(1-EXP((Tnet-t)/(Tau_j))))*Salcycl</f>
        <v>1.6314156326439396E-2</v>
      </c>
      <c r="P254" s="169">
        <f>(INDEX(Models!$BJ254:$BT254,,T254)*(1-R254)+INDEX(Models!$BJ254:$BT254,,T254+1)*R254-ERP_i)*Q254*Ramure*Pc/MaxiM</f>
        <v>8.9305900276375126E-6</v>
      </c>
      <c r="Q254" s="305">
        <f t="shared" si="77"/>
        <v>0.5</v>
      </c>
      <c r="R254" s="177">
        <f t="shared" si="78"/>
        <v>0.97879733435683725</v>
      </c>
      <c r="S254" s="811">
        <f t="shared" si="79"/>
        <v>-1</v>
      </c>
      <c r="T254" s="176">
        <f t="shared" si="80"/>
        <v>5</v>
      </c>
      <c r="U254" s="251">
        <f t="shared" si="81"/>
        <v>-2.1202665643162699E-2</v>
      </c>
      <c r="V254" s="383">
        <f t="shared" si="82"/>
        <v>51.928870422286863</v>
      </c>
      <c r="W254" s="402"/>
      <c r="X254" s="157">
        <f t="shared" si="83"/>
        <v>44436</v>
      </c>
      <c r="Y254" s="385">
        <f t="shared" si="84"/>
        <v>49.660463430746823</v>
      </c>
      <c r="Z254" s="385">
        <f t="shared" si="85"/>
        <v>50.957335058248546</v>
      </c>
      <c r="AA254" s="386">
        <f t="shared" si="86"/>
        <v>54.457780475812463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6.4278150651377541E-2</v>
      </c>
      <c r="AD254" s="231">
        <f>(INDEX(Models!$BJ254:$BT254,,AH254)*(1-AF254)+INDEX(Models!$BJ254:$BT254,,AH254+1)*AF254-ERP_i)*AE254*Ramure*Pc/MaxiM</f>
        <v>8.9305900276375126E-6</v>
      </c>
      <c r="AE254" s="305">
        <f t="shared" si="88"/>
        <v>0.5</v>
      </c>
      <c r="AF254" s="177">
        <f t="shared" si="89"/>
        <v>0.97879733435683725</v>
      </c>
      <c r="AG254" s="811">
        <f t="shared" si="95"/>
        <v>-1</v>
      </c>
      <c r="AH254" s="176">
        <f t="shared" si="90"/>
        <v>5</v>
      </c>
      <c r="AI254" s="225">
        <f t="shared" si="91"/>
        <v>-2.1202665643162699E-2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7">
        <v>51.611000000000004</v>
      </c>
      <c r="C255" s="390"/>
      <c r="D255" s="393">
        <f t="shared" si="74"/>
        <v>52.959969402475139</v>
      </c>
      <c r="E255" s="385">
        <f t="shared" si="96"/>
        <v>53.842638461712802</v>
      </c>
      <c r="F255" s="385">
        <f t="shared" si="75"/>
        <v>53.843045701686705</v>
      </c>
      <c r="G255" s="110">
        <f t="shared" si="97"/>
        <v>0.99746664609763591</v>
      </c>
      <c r="H255" s="414" t="b">
        <f>Wh_hp&gt;='2020'!Maxi_hp</f>
        <v>1</v>
      </c>
      <c r="I255" s="380">
        <f>IF(H255,Wh_hp,'2020'!Maxi_hp)</f>
        <v>53.843045701686705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2.5471491348937336E-2</v>
      </c>
      <c r="M255" s="845"/>
      <c r="N255" s="845"/>
      <c r="O255" s="48">
        <f>IF(t&lt;Tnet,'2020'!Resal+('2020'!Salim-'2020'!Resal)*(1-EXP(('2020'!Tnet-t)/('2020'!Tau_j))),Resal+(Salim-Resal)*(1-EXP((Tnet-t)/(Tau_j))))*Salcycl</f>
        <v>1.6393495646862204E-2</v>
      </c>
      <c r="P255" s="169">
        <f>(INDEX(Models!$BJ255:$BT255,,T255)*(1-R255)+INDEX(Models!$BJ255:$BT255,,T255+1)*R255-ERP_i)*Q255*Ramure*Pc/MaxiM</f>
        <v>7.5909365570043876E-6</v>
      </c>
      <c r="Q255" s="305">
        <f t="shared" si="77"/>
        <v>0.5</v>
      </c>
      <c r="R255" s="177">
        <f t="shared" si="78"/>
        <v>0.97952537405913187</v>
      </c>
      <c r="S255" s="811">
        <f t="shared" si="79"/>
        <v>-1</v>
      </c>
      <c r="T255" s="176">
        <f t="shared" si="80"/>
        <v>5</v>
      </c>
      <c r="U255" s="251">
        <f t="shared" si="81"/>
        <v>-2.0474625940868074E-2</v>
      </c>
      <c r="V255" s="383">
        <f t="shared" si="82"/>
        <v>51.742079581361608</v>
      </c>
      <c r="W255" s="402"/>
      <c r="X255" s="157">
        <f t="shared" si="83"/>
        <v>44437</v>
      </c>
      <c r="Y255" s="385">
        <f t="shared" si="84"/>
        <v>49.096798130132925</v>
      </c>
      <c r="Z255" s="385">
        <f t="shared" si="85"/>
        <v>50.380053219882157</v>
      </c>
      <c r="AA255" s="386">
        <f t="shared" si="86"/>
        <v>53.842638461712802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6.4309352972976491E-2</v>
      </c>
      <c r="AD255" s="231">
        <f>(INDEX(Models!$BJ255:$BT255,,AH255)*(1-AF255)+INDEX(Models!$BJ255:$BT255,,AH255+1)*AF255-ERP_i)*AE255*Ramure*Pc/MaxiM</f>
        <v>7.5909365570043876E-6</v>
      </c>
      <c r="AE255" s="305">
        <f t="shared" si="88"/>
        <v>0.5</v>
      </c>
      <c r="AF255" s="177">
        <f t="shared" si="89"/>
        <v>0.97952537405913187</v>
      </c>
      <c r="AG255" s="811">
        <f t="shared" si="95"/>
        <v>-1</v>
      </c>
      <c r="AH255" s="176">
        <f t="shared" si="90"/>
        <v>5</v>
      </c>
      <c r="AI255" s="225">
        <f t="shared" si="91"/>
        <v>-2.0474625940868074E-2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7">
        <v>50.487000000000002</v>
      </c>
      <c r="C256" s="390"/>
      <c r="D256" s="393">
        <f t="shared" si="74"/>
        <v>51.80772586014659</v>
      </c>
      <c r="E256" s="385">
        <f t="shared" si="96"/>
        <v>52.675431129054139</v>
      </c>
      <c r="F256" s="385">
        <f t="shared" si="75"/>
        <v>52.67575781397985</v>
      </c>
      <c r="G256" s="110">
        <f t="shared" si="97"/>
        <v>0.97938212015528392</v>
      </c>
      <c r="H256" s="414" t="b">
        <f>Wh_hp&gt;='2020'!Maxi_hp</f>
        <v>1</v>
      </c>
      <c r="I256" s="380">
        <f>IF(H256,Wh_hp,'2020'!Maxi_hp)</f>
        <v>52.67575781397985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2.5492836024338272E-2</v>
      </c>
      <c r="M256" s="845"/>
      <c r="N256" s="845"/>
      <c r="O256" s="48">
        <f>IF(t&lt;Tnet,'2020'!Resal+('2020'!Salim-'2020'!Resal)*(1-EXP(('2020'!Tnet-t)/('2020'!Tau_j))),Resal+(Salim-Resal)*(1-EXP((Tnet-t)/(Tau_j))))*Salcycl</f>
        <v>1.6472675217060528E-2</v>
      </c>
      <c r="P256" s="169">
        <f>(INDEX(Models!$BJ256:$BT256,,T256)*(1-R256)+INDEX(Models!$BJ256:$BT256,,T256+1)*R256-ERP_i)*Q256*Ramure*Pc/MaxiM</f>
        <v>6.3900184501000477E-6</v>
      </c>
      <c r="Q256" s="305">
        <f t="shared" si="77"/>
        <v>0.5</v>
      </c>
      <c r="R256" s="177">
        <f t="shared" si="78"/>
        <v>0.98022617162030667</v>
      </c>
      <c r="S256" s="811">
        <f t="shared" si="79"/>
        <v>-1</v>
      </c>
      <c r="T256" s="176">
        <f t="shared" si="80"/>
        <v>5</v>
      </c>
      <c r="U256" s="251">
        <f t="shared" si="81"/>
        <v>-1.9773828379693381E-2</v>
      </c>
      <c r="V256" s="383">
        <f t="shared" si="82"/>
        <v>51.549838881830055</v>
      </c>
      <c r="W256" s="402"/>
      <c r="X256" s="157">
        <f t="shared" si="83"/>
        <v>44438</v>
      </c>
      <c r="Y256" s="385">
        <f t="shared" si="84"/>
        <v>48.029834352214884</v>
      </c>
      <c r="Z256" s="385">
        <f t="shared" si="85"/>
        <v>49.286281443298272</v>
      </c>
      <c r="AA256" s="386">
        <f t="shared" si="86"/>
        <v>52.675431129054139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6.4340236294459452E-2</v>
      </c>
      <c r="AD256" s="231">
        <f>(INDEX(Models!$BJ256:$BT256,,AH256)*(1-AF256)+INDEX(Models!$BJ256:$BT256,,AH256+1)*AF256-ERP_i)*AE256*Ramure*Pc/MaxiM</f>
        <v>6.3900184501000477E-6</v>
      </c>
      <c r="AE256" s="305">
        <f t="shared" si="88"/>
        <v>0.5</v>
      </c>
      <c r="AF256" s="177">
        <f t="shared" si="89"/>
        <v>0.98022617162030667</v>
      </c>
      <c r="AG256" s="811">
        <f t="shared" si="95"/>
        <v>-1</v>
      </c>
      <c r="AH256" s="176">
        <f t="shared" si="90"/>
        <v>5</v>
      </c>
      <c r="AI256" s="225">
        <f t="shared" si="91"/>
        <v>-1.9773828379693381E-2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7">
        <v>49.892000000000003</v>
      </c>
      <c r="C257" s="390"/>
      <c r="D257" s="393">
        <f t="shared" si="74"/>
        <v>51.198282199622042</v>
      </c>
      <c r="E257" s="385">
        <f t="shared" si="96"/>
        <v>52.059962630240456</v>
      </c>
      <c r="F257" s="385">
        <f t="shared" si="75"/>
        <v>52.060228799144411</v>
      </c>
      <c r="G257" s="110">
        <f t="shared" si="97"/>
        <v>0.97158130337179927</v>
      </c>
      <c r="H257" s="414" t="b">
        <f>Wh_hp&gt;='2020'!Maxi_hp</f>
        <v>1</v>
      </c>
      <c r="I257" s="380">
        <f>IF(H257,Wh_hp,'2020'!Maxi_hp)</f>
        <v>52.060228799144411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2.5514180232236061E-2</v>
      </c>
      <c r="M257" s="845"/>
      <c r="N257" s="845"/>
      <c r="O257" s="48">
        <f>IF(t&lt;Tnet,'2020'!Resal+('2020'!Salim-'2020'!Resal)*(1-EXP(('2020'!Tnet-t)/('2020'!Tau_j))),Resal+(Salim-Resal)*(1-EXP((Tnet-t)/(Tau_j))))*Salcycl</f>
        <v>1.6551691301404887E-2</v>
      </c>
      <c r="P257" s="169">
        <f>(INDEX(Models!$BJ257:$BT257,,T257)*(1-R257)+INDEX(Models!$BJ257:$BT257,,T257+1)*R257-ERP_i)*Q257*Ramure*Pc/MaxiM</f>
        <v>5.3290592743503724E-6</v>
      </c>
      <c r="Q257" s="305">
        <f t="shared" si="77"/>
        <v>0.5</v>
      </c>
      <c r="R257" s="177">
        <f t="shared" si="78"/>
        <v>0.98090066881000681</v>
      </c>
      <c r="S257" s="811">
        <f t="shared" si="79"/>
        <v>-1</v>
      </c>
      <c r="T257" s="176">
        <f t="shared" si="80"/>
        <v>5</v>
      </c>
      <c r="U257" s="251">
        <f t="shared" si="81"/>
        <v>-1.9099331189993185E-2</v>
      </c>
      <c r="V257" s="383">
        <f t="shared" si="82"/>
        <v>51.351326989053703</v>
      </c>
      <c r="W257" s="402"/>
      <c r="X257" s="157">
        <f t="shared" si="83"/>
        <v>44439</v>
      </c>
      <c r="Y257" s="385">
        <f t="shared" si="84"/>
        <v>47.466056083804638</v>
      </c>
      <c r="Z257" s="385">
        <f t="shared" si="85"/>
        <v>48.708821740594011</v>
      </c>
      <c r="AA257" s="386">
        <f t="shared" si="86"/>
        <v>52.059962630240456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6.4370789380856011E-2</v>
      </c>
      <c r="AD257" s="231">
        <f>(INDEX(Models!$BJ257:$BT257,,AH257)*(1-AF257)+INDEX(Models!$BJ257:$BT257,,AH257+1)*AF257-ERP_i)*AE257*Ramure*Pc/MaxiM</f>
        <v>5.3290592743503724E-6</v>
      </c>
      <c r="AE257" s="305">
        <f t="shared" si="88"/>
        <v>0.5</v>
      </c>
      <c r="AF257" s="177">
        <f t="shared" si="89"/>
        <v>0.98090066881000681</v>
      </c>
      <c r="AG257" s="811">
        <f t="shared" si="95"/>
        <v>-1</v>
      </c>
      <c r="AH257" s="176">
        <f t="shared" si="90"/>
        <v>5</v>
      </c>
      <c r="AI257" s="225">
        <f t="shared" si="91"/>
        <v>-1.9099331189993185E-2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7">
        <v>37.541000000000004</v>
      </c>
      <c r="C258" s="390"/>
      <c r="D258" s="393">
        <f t="shared" si="74"/>
        <v>38.524749668705212</v>
      </c>
      <c r="E258" s="385">
        <f t="shared" si="96"/>
        <v>39.176272231491346</v>
      </c>
      <c r="F258" s="385">
        <f t="shared" si="75"/>
        <v>39.176379330612143</v>
      </c>
      <c r="G258" s="110">
        <f t="shared" si="97"/>
        <v>0.73399954027932468</v>
      </c>
      <c r="H258" s="414" t="b">
        <f>Wh_hp&gt;='2020'!Maxi_hp</f>
        <v>0</v>
      </c>
      <c r="I258" s="380">
        <f>IF(H258,Wh_hp,'2020'!Maxi_hp)</f>
        <v>53.475031417285187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2.5535523972640806E-2</v>
      </c>
      <c r="M258" s="845"/>
      <c r="N258" s="845"/>
      <c r="O258" s="48">
        <f>IF(t&lt;Tnet,'2020'!Resal+('2020'!Salim-'2020'!Resal)*(1-EXP(('2020'!Tnet-t)/('2020'!Tau_j))),Resal+(Salim-Resal)*(1-EXP((Tnet-t)/(Tau_j))))*Salcycl</f>
        <v>1.663054000994036E-2</v>
      </c>
      <c r="P258" s="169">
        <f>(INDEX(Models!$BJ258:$BT258,,T258)*(1-R258)+INDEX(Models!$BJ258:$BT258,,T258+1)*R258-ERP_i)*Q258*Ramure*Pc/MaxiM</f>
        <v>4.4092949335951232E-6</v>
      </c>
      <c r="Q258" s="305">
        <f t="shared" si="77"/>
        <v>0.5</v>
      </c>
      <c r="R258" s="177">
        <f t="shared" si="78"/>
        <v>0.98154978079262833</v>
      </c>
      <c r="S258" s="811">
        <f t="shared" si="79"/>
        <v>-1</v>
      </c>
      <c r="T258" s="176">
        <f t="shared" si="80"/>
        <v>5</v>
      </c>
      <c r="U258" s="251">
        <f t="shared" si="81"/>
        <v>-1.8450219207371721E-2</v>
      </c>
      <c r="V258" s="383">
        <f t="shared" si="82"/>
        <v>51.145722904096473</v>
      </c>
      <c r="W258" s="402"/>
      <c r="X258" s="157">
        <f t="shared" si="83"/>
        <v>44440</v>
      </c>
      <c r="Y258" s="385">
        <f t="shared" si="84"/>
        <v>35.717320362643925</v>
      </c>
      <c r="Z258" s="385">
        <f t="shared" si="85"/>
        <v>36.653281100871162</v>
      </c>
      <c r="AA258" s="386">
        <f t="shared" si="86"/>
        <v>39.176272231491346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6.4401000577898521E-2</v>
      </c>
      <c r="AD258" s="231">
        <f>(INDEX(Models!$BJ258:$BT258,,AH258)*(1-AF258)+INDEX(Models!$BJ258:$BT258,,AH258+1)*AF258-ERP_i)*AE258*Ramure*Pc/MaxiM</f>
        <v>4.4092949335951232E-6</v>
      </c>
      <c r="AE258" s="305">
        <f t="shared" si="88"/>
        <v>0.5</v>
      </c>
      <c r="AF258" s="177">
        <f t="shared" si="89"/>
        <v>0.98154978079262833</v>
      </c>
      <c r="AG258" s="811">
        <f t="shared" si="95"/>
        <v>-1</v>
      </c>
      <c r="AH258" s="176">
        <f t="shared" si="90"/>
        <v>5</v>
      </c>
      <c r="AI258" s="225">
        <f t="shared" si="91"/>
        <v>-1.8450219207371721E-2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7">
        <v>18.975999999999999</v>
      </c>
      <c r="C259" s="390"/>
      <c r="D259" s="393">
        <f t="shared" si="74"/>
        <v>19.473686418581408</v>
      </c>
      <c r="E259" s="385">
        <f t="shared" si="96"/>
        <v>19.804605881575803</v>
      </c>
      <c r="F259" s="385">
        <f t="shared" si="75"/>
        <v>19.804613339072429</v>
      </c>
      <c r="G259" s="110">
        <f t="shared" si="97"/>
        <v>0.37257247874144223</v>
      </c>
      <c r="H259" s="414" t="b">
        <f>Wh_hp&gt;='2020'!Maxi_hp</f>
        <v>0</v>
      </c>
      <c r="I259" s="380">
        <f>IF(H259,Wh_hp,'2020'!Maxi_hp)</f>
        <v>51.427835350869806</v>
      </c>
      <c r="J259" s="85">
        <f>IF(H259,An,'2020'!An_max)</f>
        <v>2019</v>
      </c>
      <c r="K259" s="197">
        <f t="shared" si="76"/>
        <v>44441</v>
      </c>
      <c r="L259" s="147">
        <f>IF(t&lt;Tvie,1-EXP((T0-t)*PertePVj)+'2020'!Pspv,1-EXP((T0-t)*PertePVj)+Pspv)</f>
        <v>2.5556867245563053E-2</v>
      </c>
      <c r="M259" s="845"/>
      <c r="N259" s="845"/>
      <c r="O259" s="48">
        <f>IF(t&lt;Tnet,'2020'!Resal+('2020'!Salim-'2020'!Resal)*(1-EXP(('2020'!Tnet-t)/('2020'!Tau_j))),Resal+(Salim-Resal)*(1-EXP((Tnet-t)/(Tau_j))))*Salcycl</f>
        <v>1.6709217288805013E-2</v>
      </c>
      <c r="P259" s="169">
        <f>(INDEX(Models!$BJ259:$BT259,,T259)*(1-R259)+INDEX(Models!$BJ259:$BT259,,T259+1)*R259-ERP_i)*Q259*Ramure*Pc/MaxiM</f>
        <v>3.6319973468007206E-6</v>
      </c>
      <c r="Q259" s="305">
        <f t="shared" si="77"/>
        <v>0.5</v>
      </c>
      <c r="R259" s="177">
        <f t="shared" si="78"/>
        <v>0.9821743964068349</v>
      </c>
      <c r="S259" s="811">
        <f t="shared" si="79"/>
        <v>-1</v>
      </c>
      <c r="T259" s="176">
        <f t="shared" si="80"/>
        <v>5</v>
      </c>
      <c r="U259" s="251">
        <f t="shared" si="81"/>
        <v>-1.7825603593165096E-2</v>
      </c>
      <c r="V259" s="383">
        <f t="shared" si="82"/>
        <v>50.932205966408404</v>
      </c>
      <c r="W259" s="402"/>
      <c r="X259" s="157">
        <f t="shared" si="83"/>
        <v>44441</v>
      </c>
      <c r="Y259" s="385">
        <f t="shared" si="84"/>
        <v>18.055045724885026</v>
      </c>
      <c r="Z259" s="385">
        <f t="shared" si="85"/>
        <v>18.528578136570399</v>
      </c>
      <c r="AA259" s="386">
        <f t="shared" si="86"/>
        <v>19.804605881575803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6.4430857783061971E-2</v>
      </c>
      <c r="AD259" s="231">
        <f>(INDEX(Models!$BJ259:$BT259,,AH259)*(1-AF259)+INDEX(Models!$BJ259:$BT259,,AH259+1)*AF259-ERP_i)*AE259*Ramure*Pc/MaxiM</f>
        <v>3.6319973468007206E-6</v>
      </c>
      <c r="AE259" s="305">
        <f t="shared" si="88"/>
        <v>0.5</v>
      </c>
      <c r="AF259" s="177">
        <f t="shared" si="89"/>
        <v>0.9821743964068349</v>
      </c>
      <c r="AG259" s="811">
        <f t="shared" si="95"/>
        <v>-1</v>
      </c>
      <c r="AH259" s="176">
        <f t="shared" si="90"/>
        <v>5</v>
      </c>
      <c r="AI259" s="225">
        <f t="shared" si="91"/>
        <v>-1.7825603593165096E-2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7">
        <v>34.167000000000002</v>
      </c>
      <c r="C260" s="390"/>
      <c r="D260" s="393">
        <f t="shared" si="74"/>
        <v>35.063871059152632</v>
      </c>
      <c r="E260" s="385">
        <f t="shared" si="96"/>
        <v>35.662564161912378</v>
      </c>
      <c r="F260" s="385">
        <f t="shared" si="75"/>
        <v>35.662621260725423</v>
      </c>
      <c r="G260" s="110">
        <f t="shared" si="97"/>
        <v>0.67377207660326144</v>
      </c>
      <c r="H260" s="414" t="b">
        <f>Wh_hp&gt;='2020'!Maxi_hp</f>
        <v>0</v>
      </c>
      <c r="I260" s="380">
        <f>IF(H260,Wh_hp,'2020'!Maxi_hp)</f>
        <v>54.150203084511908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2.5578210051012684E-2</v>
      </c>
      <c r="M260" s="845"/>
      <c r="N260" s="845"/>
      <c r="O260" s="48">
        <f>IF(t&lt;Tnet,'2020'!Resal+('2020'!Salim-'2020'!Resal)*(1-EXP(('2020'!Tnet-t)/('2020'!Tau_j))),Resal+(Salim-Resal)*(1-EXP((Tnet-t)/(Tau_j))))*Salcycl</f>
        <v>1.6787718909992158E-2</v>
      </c>
      <c r="P260" s="169">
        <f>(INDEX(Models!$BJ260:$BT260,,T260)*(1-R260)+INDEX(Models!$BJ260:$BT260,,T260+1)*R260-ERP_i)*Q260*Ramure*Pc/MaxiM</f>
        <v>2.9984990225694626E-6</v>
      </c>
      <c r="Q260" s="305">
        <f t="shared" si="77"/>
        <v>0.5</v>
      </c>
      <c r="R260" s="177">
        <f t="shared" si="78"/>
        <v>0.98277537848546037</v>
      </c>
      <c r="S260" s="811">
        <f t="shared" si="79"/>
        <v>-1</v>
      </c>
      <c r="T260" s="176">
        <f t="shared" si="80"/>
        <v>5</v>
      </c>
      <c r="U260" s="251">
        <f t="shared" si="81"/>
        <v>-1.7224621514539629E-2</v>
      </c>
      <c r="V260" s="383">
        <f t="shared" si="82"/>
        <v>50.709955845388158</v>
      </c>
      <c r="W260" s="402"/>
      <c r="X260" s="157">
        <f t="shared" si="83"/>
        <v>44442</v>
      </c>
      <c r="Y260" s="385">
        <f t="shared" si="84"/>
        <v>32.510358027949046</v>
      </c>
      <c r="Z260" s="385">
        <f t="shared" si="85"/>
        <v>33.363742850671493</v>
      </c>
      <c r="AA260" s="386">
        <f t="shared" si="86"/>
        <v>35.662564161912378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6.4460348414767776E-2</v>
      </c>
      <c r="AD260" s="231">
        <f>(INDEX(Models!$BJ260:$BT260,,AH260)*(1-AF260)+INDEX(Models!$BJ260:$BT260,,AH260+1)*AF260-ERP_i)*AE260*Ramure*Pc/MaxiM</f>
        <v>2.9984990225694626E-6</v>
      </c>
      <c r="AE260" s="305">
        <f t="shared" si="88"/>
        <v>0.5</v>
      </c>
      <c r="AF260" s="177">
        <f t="shared" si="89"/>
        <v>0.98277537848546037</v>
      </c>
      <c r="AG260" s="811">
        <f t="shared" si="95"/>
        <v>-1</v>
      </c>
      <c r="AH260" s="176">
        <f t="shared" si="90"/>
        <v>5</v>
      </c>
      <c r="AI260" s="225">
        <f t="shared" si="91"/>
        <v>-1.7224621514539629E-2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7">
        <v>40.707000000000001</v>
      </c>
      <c r="C261" s="390"/>
      <c r="D261" s="393">
        <f t="shared" si="74"/>
        <v>41.77645864162313</v>
      </c>
      <c r="E261" s="385">
        <f t="shared" si="96"/>
        <v>42.493149825888807</v>
      </c>
      <c r="F261" s="385">
        <f t="shared" si="75"/>
        <v>42.493226991715098</v>
      </c>
      <c r="G261" s="110">
        <f t="shared" si="97"/>
        <v>0.8064089059857884</v>
      </c>
      <c r="H261" s="414" t="b">
        <f>Wh_hp&gt;='2020'!Maxi_hp</f>
        <v>0</v>
      </c>
      <c r="I261" s="380">
        <f>IF(H261,Wh_hp,'2020'!Maxi_hp)</f>
        <v>53.283178554064911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2.5599552389000135E-2</v>
      </c>
      <c r="M261" s="845"/>
      <c r="N261" s="845"/>
      <c r="O261" s="48">
        <f>IF(t&lt;Tnet,'2020'!Resal+('2020'!Salim-'2020'!Resal)*(1-EXP(('2020'!Tnet-t)/('2020'!Tau_j))),Resal+(Salim-Resal)*(1-EXP((Tnet-t)/(Tau_j))))*Salcycl</f>
        <v>1.6866040460691741E-2</v>
      </c>
      <c r="P261" s="169">
        <f>(INDEX(Models!$BJ261:$BT261,,T261)*(1-R261)+INDEX(Models!$BJ261:$BT261,,T261+1)*R261-ERP_i)*Q261*Ramure*Pc/MaxiM</f>
        <v>2.5101606826458876E-6</v>
      </c>
      <c r="Q261" s="305">
        <f t="shared" si="77"/>
        <v>0.5</v>
      </c>
      <c r="R261" s="177">
        <f t="shared" si="78"/>
        <v>0.98335356421122455</v>
      </c>
      <c r="S261" s="811">
        <f t="shared" si="79"/>
        <v>-1</v>
      </c>
      <c r="T261" s="176">
        <f t="shared" si="80"/>
        <v>5</v>
      </c>
      <c r="U261" s="251">
        <f t="shared" si="81"/>
        <v>-1.6646435788775393E-2</v>
      </c>
      <c r="V261" s="383">
        <f t="shared" si="82"/>
        <v>50.47931817071477</v>
      </c>
      <c r="W261" s="402"/>
      <c r="X261" s="157">
        <f t="shared" si="83"/>
        <v>44443</v>
      </c>
      <c r="Y261" s="385">
        <f t="shared" si="84"/>
        <v>38.735135947124391</v>
      </c>
      <c r="Z261" s="385">
        <f t="shared" si="85"/>
        <v>39.7527895662341</v>
      </c>
      <c r="AA261" s="386">
        <f t="shared" si="86"/>
        <v>42.493149825888807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6.4489459380701247E-2</v>
      </c>
      <c r="AD261" s="231">
        <f>(INDEX(Models!$BJ261:$BT261,,AH261)*(1-AF261)+INDEX(Models!$BJ261:$BT261,,AH261+1)*AF261-ERP_i)*AE261*Ramure*Pc/MaxiM</f>
        <v>2.5101606826458876E-6</v>
      </c>
      <c r="AE261" s="305">
        <f t="shared" si="88"/>
        <v>0.5</v>
      </c>
      <c r="AF261" s="177">
        <f t="shared" si="89"/>
        <v>0.98335356421122455</v>
      </c>
      <c r="AG261" s="811">
        <f t="shared" si="95"/>
        <v>-1</v>
      </c>
      <c r="AH261" s="176">
        <f t="shared" si="90"/>
        <v>5</v>
      </c>
      <c r="AI261" s="225">
        <f t="shared" si="91"/>
        <v>-1.6646435788775393E-2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7">
        <v>44.81</v>
      </c>
      <c r="C262" s="390"/>
      <c r="D262" s="393">
        <f t="shared" si="74"/>
        <v>45.988260355754797</v>
      </c>
      <c r="E262" s="385">
        <f t="shared" si="96"/>
        <v>46.780924638608127</v>
      </c>
      <c r="F262" s="385">
        <f t="shared" si="75"/>
        <v>46.781011725060409</v>
      </c>
      <c r="G262" s="110">
        <f t="shared" si="97"/>
        <v>0.89189257722106374</v>
      </c>
      <c r="H262" s="414" t="b">
        <f>Wh_hp&gt;='2020'!Maxi_hp</f>
        <v>0</v>
      </c>
      <c r="I262" s="380">
        <f>IF(H262,Wh_hp,'2020'!Maxi_hp)</f>
        <v>52.787883333438941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2.5620894259535731E-2</v>
      </c>
      <c r="M262" s="845"/>
      <c r="N262" s="845"/>
      <c r="O262" s="48">
        <f>IF(t&lt;Tnet,'2020'!Resal+('2020'!Salim-'2020'!Resal)*(1-EXP(('2020'!Tnet-t)/('2020'!Tau_j))),Resal+(Salim-Resal)*(1-EXP((Tnet-t)/(Tau_j))))*Salcycl</f>
        <v>1.6944177332466542E-2</v>
      </c>
      <c r="P262" s="169">
        <f>(INDEX(Models!$BJ262:$BT262,,T262)*(1-R262)+INDEX(Models!$BJ262:$BT262,,T262+1)*R262-ERP_i)*Q262*Ramure*Pc/MaxiM</f>
        <v>2.2015873062610976E-6</v>
      </c>
      <c r="Q262" s="305">
        <f t="shared" si="77"/>
        <v>0.5</v>
      </c>
      <c r="R262" s="177">
        <f t="shared" si="78"/>
        <v>0.98390976550399656</v>
      </c>
      <c r="S262" s="811">
        <f t="shared" si="79"/>
        <v>-1</v>
      </c>
      <c r="T262" s="176">
        <f t="shared" si="80"/>
        <v>5</v>
      </c>
      <c r="U262" s="251">
        <f t="shared" si="81"/>
        <v>-1.6090234496003497E-2</v>
      </c>
      <c r="V262" s="383">
        <f t="shared" si="82"/>
        <v>50.241459463340966</v>
      </c>
      <c r="W262" s="402"/>
      <c r="X262" s="157">
        <f t="shared" si="83"/>
        <v>44444</v>
      </c>
      <c r="Y262" s="385">
        <f t="shared" si="84"/>
        <v>42.641465031772697</v>
      </c>
      <c r="Z262" s="385">
        <f t="shared" si="85"/>
        <v>43.762704660387783</v>
      </c>
      <c r="AA262" s="386">
        <f t="shared" si="86"/>
        <v>46.780924638608127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6.451817704623608E-2</v>
      </c>
      <c r="AD262" s="231">
        <f>(INDEX(Models!$BJ262:$BT262,,AH262)*(1-AF262)+INDEX(Models!$BJ262:$BT262,,AH262+1)*AF262-ERP_i)*AE262*Ramure*Pc/MaxiM</f>
        <v>2.2015873062610976E-6</v>
      </c>
      <c r="AE262" s="305">
        <f t="shared" si="88"/>
        <v>0.5</v>
      </c>
      <c r="AF262" s="177">
        <f t="shared" si="89"/>
        <v>0.98390976550399656</v>
      </c>
      <c r="AG262" s="811">
        <f t="shared" si="95"/>
        <v>-1</v>
      </c>
      <c r="AH262" s="176">
        <f t="shared" si="90"/>
        <v>5</v>
      </c>
      <c r="AI262" s="225">
        <f t="shared" si="91"/>
        <v>-1.6090234496003497E-2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7">
        <v>47.823</v>
      </c>
      <c r="C263" s="390"/>
      <c r="D263" s="393">
        <f t="shared" si="74"/>
        <v>49.08156095263724</v>
      </c>
      <c r="E263" s="385">
        <f t="shared" si="96"/>
        <v>49.931501192927499</v>
      </c>
      <c r="F263" s="385">
        <f t="shared" si="75"/>
        <v>49.931593220904645</v>
      </c>
      <c r="G263" s="110">
        <f t="shared" si="97"/>
        <v>0.95652112238032605</v>
      </c>
      <c r="H263" s="414" t="b">
        <f>Wh_hp&gt;='2020'!Maxi_hp</f>
        <v>0</v>
      </c>
      <c r="I263" s="380">
        <f>IF(H263,Wh_hp,'2020'!Maxi_hp)</f>
        <v>54.673871330579189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2.5642235662629465E-2</v>
      </c>
      <c r="M263" s="845"/>
      <c r="N263" s="845"/>
      <c r="O263" s="48">
        <f>IF(t&lt;Tnet,'2020'!Resal+('2020'!Salim-'2020'!Resal)*(1-EXP(('2020'!Tnet-t)/('2020'!Tau_j))),Resal+(Salim-Resal)*(1-EXP((Tnet-t)/(Tau_j))))*Salcycl</f>
        <v>1.7022124710535477E-2</v>
      </c>
      <c r="P263" s="169">
        <f>(INDEX(Models!$BJ263:$BT263,,T263)*(1-R263)+INDEX(Models!$BJ263:$BT263,,T263+1)*R263-ERP_i)*Q263*Ramure*Pc/MaxiM</f>
        <v>1.9651409772989932E-6</v>
      </c>
      <c r="Q263" s="305">
        <f t="shared" si="77"/>
        <v>0.5</v>
      </c>
      <c r="R263" s="177">
        <f t="shared" si="78"/>
        <v>0.9844447694356282</v>
      </c>
      <c r="S263" s="811">
        <f t="shared" si="79"/>
        <v>-1</v>
      </c>
      <c r="T263" s="176">
        <f t="shared" si="80"/>
        <v>5</v>
      </c>
      <c r="U263" s="251">
        <f t="shared" si="81"/>
        <v>-1.5555230564371858E-2</v>
      </c>
      <c r="V263" s="383">
        <f t="shared" si="82"/>
        <v>49.996798861809118</v>
      </c>
      <c r="W263" s="402"/>
      <c r="X263" s="157">
        <f t="shared" si="83"/>
        <v>44445</v>
      </c>
      <c r="Y263" s="385">
        <f t="shared" si="84"/>
        <v>45.51088530784051</v>
      </c>
      <c r="Z263" s="385">
        <f t="shared" si="85"/>
        <v>46.70859819010218</v>
      </c>
      <c r="AA263" s="386">
        <f t="shared" si="86"/>
        <v>49.931501192927499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6.4546487203990241E-2</v>
      </c>
      <c r="AD263" s="231">
        <f>(INDEX(Models!$BJ263:$BT263,,AH263)*(1-AF263)+INDEX(Models!$BJ263:$BT263,,AH263+1)*AF263-ERP_i)*AE263*Ramure*Pc/MaxiM</f>
        <v>1.9651409772989932E-6</v>
      </c>
      <c r="AE263" s="305">
        <f t="shared" si="88"/>
        <v>0.5</v>
      </c>
      <c r="AF263" s="177">
        <f t="shared" si="89"/>
        <v>0.9844447694356282</v>
      </c>
      <c r="AG263" s="811">
        <f t="shared" si="95"/>
        <v>-1</v>
      </c>
      <c r="AH263" s="176">
        <f t="shared" si="90"/>
        <v>5</v>
      </c>
      <c r="AI263" s="225">
        <f t="shared" si="91"/>
        <v>-1.5555230564371858E-2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7">
        <v>37.727000000000004</v>
      </c>
      <c r="C264" s="390"/>
      <c r="D264" s="393">
        <f t="shared" si="74"/>
        <v>38.720711957255418</v>
      </c>
      <c r="E264" s="385">
        <f t="shared" si="96"/>
        <v>39.394350527975426</v>
      </c>
      <c r="F264" s="385">
        <f t="shared" si="75"/>
        <v>39.394397005993262</v>
      </c>
      <c r="G264" s="110">
        <f t="shared" si="97"/>
        <v>0.75839597686832072</v>
      </c>
      <c r="H264" s="414" t="b">
        <f>Wh_hp&gt;='2020'!Maxi_hp</f>
        <v>0</v>
      </c>
      <c r="I264" s="380">
        <f>IF(H264,Wh_hp,'2020'!Maxi_hp)</f>
        <v>50.140065797662274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2.5663576598291771E-2</v>
      </c>
      <c r="M264" s="845"/>
      <c r="N264" s="845"/>
      <c r="O264" s="48">
        <f>IF(t&lt;Tnet,'2020'!Resal+('2020'!Salim-'2020'!Resal)*(1-EXP(('2020'!Tnet-t)/('2020'!Tau_j))),Resal+(Salim-Resal)*(1-EXP((Tnet-t)/(Tau_j))))*Salcycl</f>
        <v>1.7099877563449876E-2</v>
      </c>
      <c r="P264" s="169">
        <f>(INDEX(Models!$BJ264:$BT264,,T264)*(1-R264)+INDEX(Models!$BJ264:$BT264,,T264+1)*R264-ERP_i)*Q264*Ramure*Pc/MaxiM</f>
        <v>1.8016479706828909E-6</v>
      </c>
      <c r="Q264" s="305">
        <f t="shared" si="77"/>
        <v>0.5</v>
      </c>
      <c r="R264" s="177">
        <f t="shared" si="78"/>
        <v>0.9849593386686657</v>
      </c>
      <c r="S264" s="811">
        <f t="shared" si="79"/>
        <v>-1</v>
      </c>
      <c r="T264" s="176">
        <f t="shared" si="80"/>
        <v>5</v>
      </c>
      <c r="U264" s="251">
        <f t="shared" si="81"/>
        <v>-1.5040661331334249E-2</v>
      </c>
      <c r="V264" s="383">
        <f t="shared" si="82"/>
        <v>49.745749833468793</v>
      </c>
      <c r="W264" s="402"/>
      <c r="X264" s="157">
        <f t="shared" si="83"/>
        <v>44446</v>
      </c>
      <c r="Y264" s="385">
        <f t="shared" si="84"/>
        <v>35.904769718791535</v>
      </c>
      <c r="Z264" s="385">
        <f t="shared" si="85"/>
        <v>36.85048496230587</v>
      </c>
      <c r="AA264" s="386">
        <f t="shared" si="86"/>
        <v>39.394350527975426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6.4574375045555465E-2</v>
      </c>
      <c r="AD264" s="231">
        <f>(INDEX(Models!$BJ264:$BT264,,AH264)*(1-AF264)+INDEX(Models!$BJ264:$BT264,,AH264+1)*AF264-ERP_i)*AE264*Ramure*Pc/MaxiM</f>
        <v>1.8016479706828909E-6</v>
      </c>
      <c r="AE264" s="305">
        <f t="shared" si="88"/>
        <v>0.5</v>
      </c>
      <c r="AF264" s="177">
        <f t="shared" si="89"/>
        <v>0.9849593386686657</v>
      </c>
      <c r="AG264" s="811">
        <f t="shared" si="95"/>
        <v>-1</v>
      </c>
      <c r="AH264" s="176">
        <f t="shared" si="90"/>
        <v>5</v>
      </c>
      <c r="AI264" s="225">
        <f t="shared" si="91"/>
        <v>-1.5040661331334249E-2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7">
        <v>29.749000000000002</v>
      </c>
      <c r="C265" s="390"/>
      <c r="D265" s="393">
        <f t="shared" si="74"/>
        <v>30.533243835691973</v>
      </c>
      <c r="E265" s="385">
        <f t="shared" si="96"/>
        <v>31.066893239307266</v>
      </c>
      <c r="F265" s="385">
        <f t="shared" si="75"/>
        <v>31.066916119034683</v>
      </c>
      <c r="G265" s="110">
        <f t="shared" si="97"/>
        <v>0.60112622759870138</v>
      </c>
      <c r="H265" s="414" t="b">
        <f>Wh_hp&gt;='2020'!Maxi_hp</f>
        <v>0</v>
      </c>
      <c r="I265" s="380">
        <f>IF(H265,Wh_hp,'2020'!Maxi_hp)</f>
        <v>49.195092920557293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2.5684917066532753E-2</v>
      </c>
      <c r="M265" s="845"/>
      <c r="N265" s="845"/>
      <c r="O265" s="48">
        <f>IF(t&lt;Tnet,'2020'!Resal+('2020'!Salim-'2020'!Resal)*(1-EXP(('2020'!Tnet-t)/('2020'!Tau_j))),Resal+(Salim-Resal)*(1-EXP((Tnet-t)/(Tau_j))))*Salcycl</f>
        <v>1.7177430633459535E-2</v>
      </c>
      <c r="P265" s="169">
        <f>(INDEX(Models!$BJ265:$BT265,,T265)*(1-R265)+INDEX(Models!$BJ265:$BT265,,T265+1)*R265-ERP_i)*Q265*Ramure*Pc/MaxiM</f>
        <v>1.7119903488712793E-6</v>
      </c>
      <c r="Q265" s="305">
        <f t="shared" si="77"/>
        <v>0.5</v>
      </c>
      <c r="R265" s="177">
        <f t="shared" si="78"/>
        <v>0.98545421191551164</v>
      </c>
      <c r="S265" s="811">
        <f t="shared" si="79"/>
        <v>-1</v>
      </c>
      <c r="T265" s="176">
        <f t="shared" si="80"/>
        <v>5</v>
      </c>
      <c r="U265" s="251">
        <f t="shared" si="81"/>
        <v>-1.454578808448842E-2</v>
      </c>
      <c r="V265" s="383">
        <f t="shared" si="82"/>
        <v>49.488725684024729</v>
      </c>
      <c r="W265" s="402"/>
      <c r="X265" s="157">
        <f t="shared" si="83"/>
        <v>44447</v>
      </c>
      <c r="Y265" s="385">
        <f t="shared" si="84"/>
        <v>28.313513721964345</v>
      </c>
      <c r="Z265" s="385">
        <f t="shared" si="85"/>
        <v>29.059915234728827</v>
      </c>
      <c r="AA265" s="386">
        <f t="shared" si="86"/>
        <v>31.066893239307266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6.4601825136448382E-2</v>
      </c>
      <c r="AD265" s="231">
        <f>(INDEX(Models!$BJ265:$BT265,,AH265)*(1-AF265)+INDEX(Models!$BJ265:$BT265,,AH265+1)*AF265-ERP_i)*AE265*Ramure*Pc/MaxiM</f>
        <v>1.7119903488712793E-6</v>
      </c>
      <c r="AE265" s="305">
        <f t="shared" si="88"/>
        <v>0.5</v>
      </c>
      <c r="AF265" s="177">
        <f t="shared" si="89"/>
        <v>0.98545421191551164</v>
      </c>
      <c r="AG265" s="811">
        <f t="shared" si="95"/>
        <v>-1</v>
      </c>
      <c r="AH265" s="176">
        <f t="shared" si="90"/>
        <v>5</v>
      </c>
      <c r="AI265" s="225">
        <f t="shared" si="91"/>
        <v>-1.454578808448842E-2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7">
        <v>17.992000000000001</v>
      </c>
      <c r="C266" s="390"/>
      <c r="D266" s="393">
        <f t="shared" si="74"/>
        <v>18.466709994301965</v>
      </c>
      <c r="E266" s="385">
        <f t="shared" si="96"/>
        <v>18.790943561913416</v>
      </c>
      <c r="F266" s="385">
        <f t="shared" si="75"/>
        <v>18.790946545776979</v>
      </c>
      <c r="G266" s="110">
        <f t="shared" si="97"/>
        <v>0.36549630922836751</v>
      </c>
      <c r="H266" s="414" t="b">
        <f>Wh_hp&gt;='2020'!Maxi_hp</f>
        <v>0</v>
      </c>
      <c r="I266" s="380">
        <f>IF(H266,Wh_hp,'2020'!Maxi_hp)</f>
        <v>49.204296027158733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2.5706257067362737E-2</v>
      </c>
      <c r="M266" s="845"/>
      <c r="N266" s="845"/>
      <c r="O266" s="48">
        <f>IF(t&lt;Tnet,'2020'!Resal+('2020'!Salim-'2020'!Resal)*(1-EXP(('2020'!Tnet-t)/('2020'!Tau_j))),Resal+(Salim-Resal)*(1-EXP((Tnet-t)/(Tau_j))))*Salcycl</f>
        <v>1.725477842787141E-2</v>
      </c>
      <c r="P266" s="169">
        <f>(INDEX(Models!$BJ266:$BT266,,T266)*(1-R266)+INDEX(Models!$BJ266:$BT266,,T266+1)*R266-ERP_i)*Q266*Ramure*Pc/MaxiM</f>
        <v>1.6971013858607412E-6</v>
      </c>
      <c r="Q266" s="305">
        <f t="shared" si="77"/>
        <v>0.5</v>
      </c>
      <c r="R266" s="177">
        <f t="shared" si="78"/>
        <v>0.98593010441486673</v>
      </c>
      <c r="S266" s="811">
        <f t="shared" si="79"/>
        <v>-1</v>
      </c>
      <c r="T266" s="176">
        <f t="shared" si="80"/>
        <v>5</v>
      </c>
      <c r="U266" s="251">
        <f t="shared" si="81"/>
        <v>-1.4069895585133219E-2</v>
      </c>
      <c r="V266" s="383">
        <f t="shared" si="82"/>
        <v>49.226139549066069</v>
      </c>
      <c r="W266" s="402"/>
      <c r="X266" s="157">
        <f t="shared" si="83"/>
        <v>44448</v>
      </c>
      <c r="Y266" s="385">
        <f t="shared" si="84"/>
        <v>17.124680818628818</v>
      </c>
      <c r="Z266" s="385">
        <f t="shared" si="85"/>
        <v>17.576507026600929</v>
      </c>
      <c r="AA266" s="386">
        <f t="shared" si="86"/>
        <v>18.790943561913416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6.4628821395322417E-2</v>
      </c>
      <c r="AD266" s="231">
        <f>(INDEX(Models!$BJ266:$BT266,,AH266)*(1-AF266)+INDEX(Models!$BJ266:$BT266,,AH266+1)*AF266-ERP_i)*AE266*Ramure*Pc/MaxiM</f>
        <v>1.6971013858607412E-6</v>
      </c>
      <c r="AE266" s="305">
        <f t="shared" si="88"/>
        <v>0.5</v>
      </c>
      <c r="AF266" s="177">
        <f t="shared" si="89"/>
        <v>0.98593010441486673</v>
      </c>
      <c r="AG266" s="811">
        <f t="shared" si="95"/>
        <v>-1</v>
      </c>
      <c r="AH266" s="176">
        <f t="shared" si="90"/>
        <v>5</v>
      </c>
      <c r="AI266" s="225">
        <f t="shared" si="91"/>
        <v>-1.4069895585133219E-2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7">
        <v>39.883000000000003</v>
      </c>
      <c r="C267" s="390"/>
      <c r="D267" s="393">
        <f t="shared" si="74"/>
        <v>40.936189776954961</v>
      </c>
      <c r="E267" s="385">
        <f t="shared" si="96"/>
        <v>41.658206276002446</v>
      </c>
      <c r="F267" s="385">
        <f t="shared" si="75"/>
        <v>41.658260116318772</v>
      </c>
      <c r="G267" s="110">
        <f t="shared" si="97"/>
        <v>0.81462992756734409</v>
      </c>
      <c r="H267" s="414" t="b">
        <f>Wh_hp&gt;='2020'!Maxi_hp</f>
        <v>1</v>
      </c>
      <c r="I267" s="380">
        <f>IF(H267,Wh_hp,'2020'!Maxi_hp)</f>
        <v>41.658260116318772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2.5727596600791935E-2</v>
      </c>
      <c r="M267" s="845"/>
      <c r="N267" s="845"/>
      <c r="O267" s="48">
        <f>IF(t&lt;Tnet,'2020'!Resal+('2020'!Salim-'2020'!Resal)*(1-EXP(('2020'!Tnet-t)/('2020'!Tau_j))),Resal+(Salim-Resal)*(1-EXP((Tnet-t)/(Tau_j))))*Salcycl</f>
        <v>1.7331915211707325E-2</v>
      </c>
      <c r="P267" s="169">
        <f>(INDEX(Models!$BJ267:$BT267,,T267)*(1-R267)+INDEX(Models!$BJ267:$BT267,,T267+1)*R267-ERP_i)*Q267*Ramure*Pc/MaxiM</f>
        <v>1.7579606797639965E-6</v>
      </c>
      <c r="Q267" s="305">
        <f t="shared" si="77"/>
        <v>0.5</v>
      </c>
      <c r="R267" s="177">
        <f t="shared" si="78"/>
        <v>0.98638770842253165</v>
      </c>
      <c r="S267" s="811">
        <f t="shared" si="79"/>
        <v>-1</v>
      </c>
      <c r="T267" s="176">
        <f t="shared" si="80"/>
        <v>5</v>
      </c>
      <c r="U267" s="251">
        <f t="shared" si="81"/>
        <v>-1.361229157746835E-2</v>
      </c>
      <c r="V267" s="383">
        <f t="shared" si="82"/>
        <v>48.958404403640053</v>
      </c>
      <c r="W267" s="402"/>
      <c r="X267" s="157">
        <f t="shared" si="83"/>
        <v>44449</v>
      </c>
      <c r="Y267" s="385">
        <f t="shared" si="84"/>
        <v>37.962310336461911</v>
      </c>
      <c r="Z267" s="385">
        <f t="shared" si="85"/>
        <v>38.964780490561488</v>
      </c>
      <c r="AA267" s="386">
        <f t="shared" si="86"/>
        <v>41.658206276002446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6.4655347078458589E-2</v>
      </c>
      <c r="AD267" s="231">
        <f>(INDEX(Models!$BJ267:$BT267,,AH267)*(1-AF267)+INDEX(Models!$BJ267:$BT267,,AH267+1)*AF267-ERP_i)*AE267*Ramure*Pc/MaxiM</f>
        <v>1.7579606797639965E-6</v>
      </c>
      <c r="AE267" s="305">
        <f t="shared" si="88"/>
        <v>0.5</v>
      </c>
      <c r="AF267" s="177">
        <f t="shared" si="89"/>
        <v>0.98638770842253165</v>
      </c>
      <c r="AG267" s="811">
        <f t="shared" si="95"/>
        <v>-1</v>
      </c>
      <c r="AH267" s="176">
        <f t="shared" si="90"/>
        <v>5</v>
      </c>
      <c r="AI267" s="225">
        <f t="shared" si="91"/>
        <v>-1.361229157746835E-2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7">
        <v>40.31</v>
      </c>
      <c r="C268" s="390"/>
      <c r="D268" s="393">
        <f t="shared" si="74"/>
        <v>41.375371786317075</v>
      </c>
      <c r="E268" s="385">
        <f t="shared" si="96"/>
        <v>42.108430505173395</v>
      </c>
      <c r="F268" s="385">
        <f t="shared" si="75"/>
        <v>42.108491929772732</v>
      </c>
      <c r="G268" s="110">
        <f t="shared" si="97"/>
        <v>0.82795953291395807</v>
      </c>
      <c r="H268" s="414" t="b">
        <f>Wh_hp&gt;='2020'!Maxi_hp</f>
        <v>0</v>
      </c>
      <c r="I268" s="380">
        <f>IF(H268,Wh_hp,'2020'!Maxi_hp)</f>
        <v>46.653482601520295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2.5748935666830564E-2</v>
      </c>
      <c r="M268" s="845"/>
      <c r="N268" s="845"/>
      <c r="O268" s="48">
        <f>IF(t&lt;Tnet,'2020'!Resal+('2020'!Salim-'2020'!Resal)*(1-EXP(('2020'!Tnet-t)/('2020'!Tau_j))),Resal+(Salim-Resal)*(1-EXP((Tnet-t)/(Tau_j))))*Salcycl</f>
        <v>1.7408835001966078E-2</v>
      </c>
      <c r="P268" s="169">
        <f>(INDEX(Models!$BJ268:$BT268,,T268)*(1-R268)+INDEX(Models!$BJ268:$BT268,,T268+1)*R268-ERP_i)*Q268*Ramure*Pc/MaxiM</f>
        <v>1.934059027884562E-6</v>
      </c>
      <c r="Q268" s="305">
        <f t="shared" si="77"/>
        <v>0.5</v>
      </c>
      <c r="R268" s="177">
        <f t="shared" si="78"/>
        <v>0.98682769371386836</v>
      </c>
      <c r="S268" s="811">
        <f t="shared" si="79"/>
        <v>-1</v>
      </c>
      <c r="T268" s="176">
        <f t="shared" si="80"/>
        <v>5</v>
      </c>
      <c r="U268" s="251">
        <f t="shared" si="81"/>
        <v>-1.3172306286131641E-2</v>
      </c>
      <c r="V268" s="383">
        <f t="shared" si="82"/>
        <v>48.685931179852226</v>
      </c>
      <c r="W268" s="402"/>
      <c r="X268" s="157">
        <f t="shared" si="83"/>
        <v>44450</v>
      </c>
      <c r="Y268" s="385">
        <f t="shared" si="84"/>
        <v>38.37068225621168</v>
      </c>
      <c r="Z268" s="385">
        <f t="shared" si="85"/>
        <v>39.384798909585662</v>
      </c>
      <c r="AA268" s="386">
        <f t="shared" si="86"/>
        <v>42.108430505173395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6.4681384770517839E-2</v>
      </c>
      <c r="AD268" s="231">
        <f>(INDEX(Models!$BJ268:$BT268,,AH268)*(1-AF268)+INDEX(Models!$BJ268:$BT268,,AH268+1)*AF268-ERP_i)*AE268*Ramure*Pc/MaxiM</f>
        <v>1.934059027884562E-6</v>
      </c>
      <c r="AE268" s="305">
        <f t="shared" si="88"/>
        <v>0.5</v>
      </c>
      <c r="AF268" s="177">
        <f t="shared" si="89"/>
        <v>0.98682769371386836</v>
      </c>
      <c r="AG268" s="811">
        <f t="shared" si="95"/>
        <v>-1</v>
      </c>
      <c r="AH268" s="176">
        <f t="shared" si="90"/>
        <v>5</v>
      </c>
      <c r="AI268" s="225">
        <f t="shared" si="91"/>
        <v>-1.3172306286131641E-2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7">
        <v>45.69</v>
      </c>
      <c r="C269" s="390"/>
      <c r="D269" s="393">
        <f t="shared" si="74"/>
        <v>46.898589514452013</v>
      </c>
      <c r="E269" s="385">
        <f t="shared" si="96"/>
        <v>47.733230421631127</v>
      </c>
      <c r="F269" s="385">
        <f t="shared" si="75"/>
        <v>47.733326338604591</v>
      </c>
      <c r="G269" s="110">
        <f t="shared" si="97"/>
        <v>0.94382996911415118</v>
      </c>
      <c r="H269" s="414" t="b">
        <f>Wh_hp&gt;='2020'!Maxi_hp</f>
        <v>0</v>
      </c>
      <c r="I269" s="380">
        <f>IF(H269,Wh_hp,'2020'!Maxi_hp)</f>
        <v>50.761032411385656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2.5770274265488946E-2</v>
      </c>
      <c r="M269" s="845"/>
      <c r="N269" s="845"/>
      <c r="O269" s="48">
        <f>IF(t&lt;Tnet,'2020'!Resal+('2020'!Salim-'2020'!Resal)*(1-EXP(('2020'!Tnet-t)/('2020'!Tau_j))),Resal+(Salim-Resal)*(1-EXP((Tnet-t)/(Tau_j))))*Salcycl</f>
        <v>1.7485531563790419E-2</v>
      </c>
      <c r="P269" s="169">
        <f>(INDEX(Models!$BJ269:$BT269,,T269)*(1-R269)+INDEX(Models!$BJ269:$BT269,,T269+1)*R269-ERP_i)*Q269*Ramure*Pc/MaxiM</f>
        <v>2.1847437572951595E-6</v>
      </c>
      <c r="Q269" s="305">
        <f t="shared" si="77"/>
        <v>0.5</v>
      </c>
      <c r="R269" s="177">
        <f t="shared" si="78"/>
        <v>0.98725070809545534</v>
      </c>
      <c r="S269" s="811">
        <f t="shared" si="79"/>
        <v>-1</v>
      </c>
      <c r="T269" s="176">
        <f t="shared" si="80"/>
        <v>5</v>
      </c>
      <c r="U269" s="251">
        <f t="shared" si="81"/>
        <v>-1.2749291904544657E-2</v>
      </c>
      <c r="V269" s="383">
        <f t="shared" si="82"/>
        <v>48.40913457428001</v>
      </c>
      <c r="W269" s="402"/>
      <c r="X269" s="157">
        <f t="shared" si="83"/>
        <v>44451</v>
      </c>
      <c r="Y269" s="385">
        <f t="shared" si="84"/>
        <v>43.49405770939903</v>
      </c>
      <c r="Z269" s="385">
        <f t="shared" si="85"/>
        <v>44.644560272072489</v>
      </c>
      <c r="AA269" s="386">
        <f t="shared" si="86"/>
        <v>47.733230421631127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6.4706916382490431E-2</v>
      </c>
      <c r="AD269" s="231">
        <f>(INDEX(Models!$BJ269:$BT269,,AH269)*(1-AF269)+INDEX(Models!$BJ269:$BT269,,AH269+1)*AF269-ERP_i)*AE269*Ramure*Pc/MaxiM</f>
        <v>2.1847437572951595E-6</v>
      </c>
      <c r="AE269" s="305">
        <f t="shared" si="88"/>
        <v>0.5</v>
      </c>
      <c r="AF269" s="177">
        <f t="shared" si="89"/>
        <v>0.98725070809545534</v>
      </c>
      <c r="AG269" s="811">
        <f t="shared" si="95"/>
        <v>-1</v>
      </c>
      <c r="AH269" s="176">
        <f t="shared" si="90"/>
        <v>5</v>
      </c>
      <c r="AI269" s="225">
        <f t="shared" si="91"/>
        <v>-1.2749291904544657E-2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7">
        <v>34.042999999999999</v>
      </c>
      <c r="C270" s="390"/>
      <c r="D270" s="393">
        <f t="shared" si="74"/>
        <v>34.944269042636378</v>
      </c>
      <c r="E270" s="385">
        <f t="shared" si="96"/>
        <v>35.568930544258457</v>
      </c>
      <c r="F270" s="385">
        <f t="shared" si="75"/>
        <v>35.568982518208664</v>
      </c>
      <c r="G270" s="110">
        <f t="shared" si="97"/>
        <v>0.70733589969730093</v>
      </c>
      <c r="H270" s="414" t="b">
        <f>Wh_hp&gt;='2020'!Maxi_hp</f>
        <v>0</v>
      </c>
      <c r="I270" s="380">
        <f>IF(H270,Wh_hp,'2020'!Maxi_hp)</f>
        <v>48.245201516580117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2.5791612396777186E-2</v>
      </c>
      <c r="M270" s="845"/>
      <c r="N270" s="845"/>
      <c r="O270" s="48">
        <f>IF(t&lt;Tnet,'2020'!Resal+('2020'!Salim-'2020'!Resal)*(1-EXP(('2020'!Tnet-t)/('2020'!Tau_j))),Resal+(Salim-Resal)*(1-EXP((Tnet-t)/(Tau_j))))*Salcycl</f>
        <v>1.7561998408830722E-2</v>
      </c>
      <c r="P270" s="169">
        <f>(INDEX(Models!$BJ270:$BT270,,T270)*(1-R270)+INDEX(Models!$BJ270:$BT270,,T270+1)*R270-ERP_i)*Q270*Ramure*Pc/MaxiM</f>
        <v>2.5110701467300364E-6</v>
      </c>
      <c r="Q270" s="305">
        <f t="shared" si="77"/>
        <v>0.5</v>
      </c>
      <c r="R270" s="177">
        <f t="shared" si="78"/>
        <v>0.98765737792366548</v>
      </c>
      <c r="S270" s="811">
        <f t="shared" si="79"/>
        <v>-1</v>
      </c>
      <c r="T270" s="176">
        <f t="shared" si="80"/>
        <v>5</v>
      </c>
      <c r="U270" s="251">
        <f t="shared" si="81"/>
        <v>-1.2342622076334575E-2</v>
      </c>
      <c r="V270" s="383">
        <f t="shared" si="82"/>
        <v>48.128427066003624</v>
      </c>
      <c r="W270" s="402"/>
      <c r="X270" s="157">
        <f t="shared" si="83"/>
        <v>44452</v>
      </c>
      <c r="Y270" s="385">
        <f t="shared" si="84"/>
        <v>32.408488971695398</v>
      </c>
      <c r="Z270" s="385">
        <f t="shared" si="85"/>
        <v>33.266485265465377</v>
      </c>
      <c r="AA270" s="386">
        <f t="shared" si="86"/>
        <v>35.568930544258457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6.4731923157716115E-2</v>
      </c>
      <c r="AD270" s="231">
        <f>(INDEX(Models!$BJ270:$BT270,,AH270)*(1-AF270)+INDEX(Models!$BJ270:$BT270,,AH270+1)*AF270-ERP_i)*AE270*Ramure*Pc/MaxiM</f>
        <v>2.5110701467300364E-6</v>
      </c>
      <c r="AE270" s="305">
        <f t="shared" si="88"/>
        <v>0.5</v>
      </c>
      <c r="AF270" s="177">
        <f t="shared" si="89"/>
        <v>0.98765737792366548</v>
      </c>
      <c r="AG270" s="811">
        <f t="shared" si="95"/>
        <v>-1</v>
      </c>
      <c r="AH270" s="176">
        <f t="shared" si="90"/>
        <v>5</v>
      </c>
      <c r="AI270" s="225">
        <f t="shared" si="91"/>
        <v>-1.2342622076334575E-2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7">
        <v>19.488</v>
      </c>
      <c r="C271" s="390"/>
      <c r="D271" s="393">
        <f t="shared" ref="D271:D334" si="98">Wh/(1-Ppv)</f>
        <v>20.004371851601164</v>
      </c>
      <c r="E271" s="385">
        <f t="shared" si="96"/>
        <v>20.363548784156336</v>
      </c>
      <c r="F271" s="385">
        <f t="shared" ref="F271:F334" si="99">Wh_sa/(1-Pvg*MEDIAN((-Sdif+Wh/Env_an)/Csdif,0,1))</f>
        <v>20.36355788225088</v>
      </c>
      <c r="G271" s="110">
        <f t="shared" si="97"/>
        <v>0.40732091610965104</v>
      </c>
      <c r="H271" s="414" t="b">
        <f>Wh_hp&gt;='2020'!Maxi_hp</f>
        <v>0</v>
      </c>
      <c r="I271" s="380">
        <f>IF(H271,Wh_hp,'2020'!Maxi_hp)</f>
        <v>47.954871485084247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2.5812950060705608E-2</v>
      </c>
      <c r="M271" s="845"/>
      <c r="N271" s="845"/>
      <c r="O271" s="48">
        <f>IF(t&lt;Tnet,'2020'!Resal+('2020'!Salim-'2020'!Resal)*(1-EXP(('2020'!Tnet-t)/('2020'!Tau_j))),Resal+(Salim-Resal)*(1-EXP((Tnet-t)/(Tau_j))))*Salcycl</f>
        <v>1.7638228796084243E-2</v>
      </c>
      <c r="P271" s="169">
        <f>(INDEX(Models!$BJ271:$BT271,,T271)*(1-R271)+INDEX(Models!$BJ271:$BT271,,T271+1)*R271-ERP_i)*Q271*Ramure*Pc/MaxiM</f>
        <v>2.914112998600164E-6</v>
      </c>
      <c r="Q271" s="305">
        <f t="shared" ref="Q271:Q334" si="101">IF(OR(t&lt;Ttai,Notai),Dd+PousD*Croivg,Dens+PousD*(Croivg-Croi_tai))</f>
        <v>0.5</v>
      </c>
      <c r="R271" s="177">
        <f t="shared" ref="R271:R334" si="102">(Hp_vg-S271)/(INDEX(Echel_vg,T271+1)-S271)</f>
        <v>0.988048308628101</v>
      </c>
      <c r="S271" s="811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-1.1951691371898998E-2</v>
      </c>
      <c r="V271" s="383">
        <f t="shared" ref="V271:V334" si="106">MaxiM*(1-Ppv)*(1-Pvg)*(1-Psa)</f>
        <v>47.844220971476616</v>
      </c>
      <c r="W271" s="402"/>
      <c r="X271" s="157">
        <f t="shared" ref="X271:X334" si="107">t</f>
        <v>44453</v>
      </c>
      <c r="Y271" s="385">
        <f t="shared" ref="Y271:Y334" si="108">Wh_pvt_s*(1-Ppv)</f>
        <v>18.553274455498716</v>
      </c>
      <c r="Z271" s="385">
        <f t="shared" ref="Z271:Z334" si="109">Wh_sa_s*(1-Psa_s)</f>
        <v>19.044878965138007</v>
      </c>
      <c r="AA271" s="386">
        <f t="shared" ref="AA271:AA334" si="110">Wh_hp*(1-Pvg_s*MEDIAN((-Sdif+Wh/Env_an)/Csdif,0,1))</f>
        <v>20.363548784156336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6.4756385686777149E-2</v>
      </c>
      <c r="AD271" s="231">
        <f>(INDEX(Models!$BJ271:$BT271,,AH271)*(1-AF271)+INDEX(Models!$BJ271:$BT271,,AH271+1)*AF271-ERP_i)*AE271*Ramure*Pc/MaxiM</f>
        <v>2.914112998600164E-6</v>
      </c>
      <c r="AE271" s="305">
        <f t="shared" ref="AE271:AE334" si="112">IF(OR(t&lt;Ttai,Notai),Dd_s+PousD*Croivg,Dens_s+PousD*(Croivg-Croi_tai))</f>
        <v>0.5</v>
      </c>
      <c r="AF271" s="177">
        <f t="shared" ref="AF271:AF334" si="113">(Hp_vg_s-AG271)/(INDEX(Echel_vg,AH271+1)-AG271)</f>
        <v>0.988048308628101</v>
      </c>
      <c r="AG271" s="811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-1.1951691371898998E-2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7">
        <v>31.548000000000002</v>
      </c>
      <c r="C272" s="390"/>
      <c r="D272" s="393">
        <f t="shared" si="98"/>
        <v>32.384633935819977</v>
      </c>
      <c r="E272" s="385">
        <f t="shared" si="96"/>
        <v>32.96864767321</v>
      </c>
      <c r="F272" s="385">
        <f t="shared" si="99"/>
        <v>32.968705775280092</v>
      </c>
      <c r="G272" s="110">
        <f t="shared" si="97"/>
        <v>0.66337228930109116</v>
      </c>
      <c r="H272" s="414" t="b">
        <f>Wh_hp&gt;='2020'!Maxi_hp</f>
        <v>0</v>
      </c>
      <c r="I272" s="380">
        <f>IF(H272,Wh_hp,'2020'!Maxi_hp)</f>
        <v>48.916978336718785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2.5834287257284427E-2</v>
      </c>
      <c r="M272" s="845"/>
      <c r="N272" s="845"/>
      <c r="O272" s="48">
        <f>IF(t&lt;Tnet,'2020'!Resal+('2020'!Salim-'2020'!Resal)*(1-EXP(('2020'!Tnet-t)/('2020'!Tau_j))),Resal+(Salim-Resal)*(1-EXP((Tnet-t)/(Tau_j))))*Salcycl</f>
        <v>1.7714215735472411E-2</v>
      </c>
      <c r="P272" s="169">
        <f>(INDEX(Models!$BJ272:$BT272,,T272)*(1-R272)+INDEX(Models!$BJ272:$BT272,,T272+1)*R272-ERP_i)*Q272*Ramure*Pc/MaxiM</f>
        <v>3.3949598911836507E-6</v>
      </c>
      <c r="Q272" s="305">
        <f t="shared" si="101"/>
        <v>0.5</v>
      </c>
      <c r="R272" s="177">
        <f t="shared" si="102"/>
        <v>0.98842408523799907</v>
      </c>
      <c r="S272" s="811">
        <f t="shared" si="103"/>
        <v>-1</v>
      </c>
      <c r="T272" s="176">
        <f t="shared" si="104"/>
        <v>5</v>
      </c>
      <c r="U272" s="251">
        <f t="shared" si="105"/>
        <v>-1.1575914762000927E-2</v>
      </c>
      <c r="V272" s="383">
        <f t="shared" si="106"/>
        <v>47.556928443990273</v>
      </c>
      <c r="W272" s="402"/>
      <c r="X272" s="157">
        <f t="shared" si="107"/>
        <v>44454</v>
      </c>
      <c r="Y272" s="385">
        <f t="shared" si="108"/>
        <v>30.036382563150706</v>
      </c>
      <c r="Z272" s="385">
        <f t="shared" si="109"/>
        <v>30.83292931608602</v>
      </c>
      <c r="AA272" s="386">
        <f t="shared" si="110"/>
        <v>32.96864767321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6.4780283931980792E-2</v>
      </c>
      <c r="AD272" s="231">
        <f>(INDEX(Models!$BJ272:$BT272,,AH272)*(1-AF272)+INDEX(Models!$BJ272:$BT272,,AH272+1)*AF272-ERP_i)*AE272*Ramure*Pc/MaxiM</f>
        <v>3.3949598911836507E-6</v>
      </c>
      <c r="AE272" s="305">
        <f t="shared" si="112"/>
        <v>0.5</v>
      </c>
      <c r="AF272" s="177">
        <f t="shared" si="113"/>
        <v>0.98842408523799907</v>
      </c>
      <c r="AG272" s="811">
        <f t="shared" ref="AG272:AG335" si="119">INDEX(Echel_vg,AH272)</f>
        <v>-1</v>
      </c>
      <c r="AH272" s="176">
        <f t="shared" si="114"/>
        <v>5</v>
      </c>
      <c r="AI272" s="225">
        <f t="shared" si="115"/>
        <v>-1.1575914762000927E-2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7">
        <v>20.187999999999999</v>
      </c>
      <c r="C273" s="390"/>
      <c r="D273" s="393">
        <f t="shared" si="98"/>
        <v>20.723827491173363</v>
      </c>
      <c r="E273" s="385">
        <f t="shared" si="96"/>
        <v>21.099180906623303</v>
      </c>
      <c r="F273" s="385">
        <f t="shared" si="99"/>
        <v>21.099196057846214</v>
      </c>
      <c r="G273" s="110">
        <f t="shared" si="97"/>
        <v>0.42710455738625575</v>
      </c>
      <c r="H273" s="414" t="b">
        <f>Wh_hp&gt;='2020'!Maxi_hp</f>
        <v>0</v>
      </c>
      <c r="I273" s="380">
        <f>IF(H273,Wh_hp,'2020'!Maxi_hp)</f>
        <v>46.225866499783969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2.5855623986523857E-2</v>
      </c>
      <c r="M273" s="845"/>
      <c r="N273" s="845"/>
      <c r="O273" s="48">
        <f>IF(t&lt;Tnet,'2020'!Resal+('2020'!Salim-'2020'!Resal)*(1-EXP(('2020'!Tnet-t)/('2020'!Tau_j))),Resal+(Salim-Resal)*(1-EXP((Tnet-t)/(Tau_j))))*Salcycl</f>
        <v>1.7789951994397639E-2</v>
      </c>
      <c r="P273" s="169">
        <f>(INDEX(Models!$BJ273:$BT273,,T273)*(1-R273)+INDEX(Models!$BJ273:$BT273,,T273+1)*R273-ERP_i)*Q273*Ramure*Pc/MaxiM</f>
        <v>3.954703917645097E-6</v>
      </c>
      <c r="Q273" s="305">
        <f t="shared" si="101"/>
        <v>0.5</v>
      </c>
      <c r="R273" s="177">
        <f t="shared" si="102"/>
        <v>0.98878527290989471</v>
      </c>
      <c r="S273" s="811">
        <f t="shared" si="103"/>
        <v>-1</v>
      </c>
      <c r="T273" s="176">
        <f t="shared" si="104"/>
        <v>5</v>
      </c>
      <c r="U273" s="251">
        <f t="shared" si="105"/>
        <v>-1.1214727090105292E-2</v>
      </c>
      <c r="V273" s="383">
        <f t="shared" si="106"/>
        <v>47.266961473864619</v>
      </c>
      <c r="W273" s="402"/>
      <c r="X273" s="157">
        <f t="shared" si="107"/>
        <v>44455</v>
      </c>
      <c r="Y273" s="385">
        <f t="shared" si="108"/>
        <v>19.221698064288162</v>
      </c>
      <c r="Z273" s="385">
        <f t="shared" si="109"/>
        <v>19.731878084591283</v>
      </c>
      <c r="AA273" s="386">
        <f t="shared" si="110"/>
        <v>21.099180906623303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6.4803597262053356E-2</v>
      </c>
      <c r="AD273" s="231">
        <f>(INDEX(Models!$BJ273:$BT273,,AH273)*(1-AF273)+INDEX(Models!$BJ273:$BT273,,AH273+1)*AF273-ERP_i)*AE273*Ramure*Pc/MaxiM</f>
        <v>3.954703917645097E-6</v>
      </c>
      <c r="AE273" s="305">
        <f t="shared" si="112"/>
        <v>0.5</v>
      </c>
      <c r="AF273" s="177">
        <f t="shared" si="113"/>
        <v>0.98878527290989471</v>
      </c>
      <c r="AG273" s="811">
        <f t="shared" si="119"/>
        <v>-1</v>
      </c>
      <c r="AH273" s="176">
        <f t="shared" si="114"/>
        <v>5</v>
      </c>
      <c r="AI273" s="225">
        <f t="shared" si="115"/>
        <v>-1.1214727090105292E-2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7">
        <v>43.997999999999998</v>
      </c>
      <c r="C274" s="390"/>
      <c r="D274" s="393">
        <f t="shared" si="98"/>
        <v>45.166778943264674</v>
      </c>
      <c r="E274" s="385">
        <f t="shared" si="96"/>
        <v>45.988381152501653</v>
      </c>
      <c r="F274" s="385">
        <f t="shared" si="99"/>
        <v>45.988573316496463</v>
      </c>
      <c r="G274" s="110">
        <f t="shared" si="97"/>
        <v>0.93663082110990759</v>
      </c>
      <c r="H274" s="414" t="b">
        <f>Wh_hp&gt;='2020'!Maxi_hp</f>
        <v>1</v>
      </c>
      <c r="I274" s="380">
        <f>IF(H274,Wh_hp,'2020'!Maxi_hp)</f>
        <v>45.988573316496463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2.5876960248434222E-2</v>
      </c>
      <c r="M274" s="845"/>
      <c r="N274" s="845"/>
      <c r="O274" s="48">
        <f>IF(t&lt;Tnet,'2020'!Resal+('2020'!Salim-'2020'!Resal)*(1-EXP(('2020'!Tnet-t)/('2020'!Tau_j))),Resal+(Salim-Resal)*(1-EXP((Tnet-t)/(Tau_j))))*Salcycl</f>
        <v>1.7865430107497603E-2</v>
      </c>
      <c r="P274" s="169">
        <f>(INDEX(Models!$BJ274:$BT274,,T274)*(1-R274)+INDEX(Models!$BJ274:$BT274,,T274+1)*R274-ERP_i)*Q274*Ramure*Pc/MaxiM</f>
        <v>4.5944358885453378E-6</v>
      </c>
      <c r="Q274" s="305">
        <f t="shared" si="101"/>
        <v>0.5</v>
      </c>
      <c r="R274" s="177">
        <f t="shared" si="102"/>
        <v>0.98913241745499303</v>
      </c>
      <c r="S274" s="811">
        <f t="shared" si="103"/>
        <v>-1</v>
      </c>
      <c r="T274" s="176">
        <f t="shared" si="104"/>
        <v>5</v>
      </c>
      <c r="U274" s="251">
        <f t="shared" si="105"/>
        <v>-1.0867582545006971E-2</v>
      </c>
      <c r="V274" s="383">
        <f t="shared" si="106"/>
        <v>46.974731888651519</v>
      </c>
      <c r="W274" s="402"/>
      <c r="X274" s="157">
        <f t="shared" si="107"/>
        <v>44456</v>
      </c>
      <c r="Y274" s="385">
        <f t="shared" si="108"/>
        <v>41.894230705288955</v>
      </c>
      <c r="Z274" s="385">
        <f t="shared" si="109"/>
        <v>43.007124352559607</v>
      </c>
      <c r="AA274" s="386">
        <f t="shared" si="110"/>
        <v>45.988381152501653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6.4826304497562659E-2</v>
      </c>
      <c r="AD274" s="231">
        <f>(INDEX(Models!$BJ274:$BT274,,AH274)*(1-AF274)+INDEX(Models!$BJ274:$BT274,,AH274+1)*AF274-ERP_i)*AE274*Ramure*Pc/MaxiM</f>
        <v>4.5944358885453378E-6</v>
      </c>
      <c r="AE274" s="305">
        <f t="shared" si="112"/>
        <v>0.5</v>
      </c>
      <c r="AF274" s="177">
        <f t="shared" si="113"/>
        <v>0.98913241745499303</v>
      </c>
      <c r="AG274" s="811">
        <f t="shared" si="119"/>
        <v>-1</v>
      </c>
      <c r="AH274" s="176">
        <f t="shared" si="114"/>
        <v>5</v>
      </c>
      <c r="AI274" s="225">
        <f t="shared" si="115"/>
        <v>-1.0867582545006971E-2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7">
        <v>9.1370000000000005</v>
      </c>
      <c r="C275" s="390"/>
      <c r="D275" s="393">
        <f t="shared" si="98"/>
        <v>9.3799240499055507</v>
      </c>
      <c r="E275" s="385">
        <f t="shared" si="96"/>
        <v>9.5512801514676973</v>
      </c>
      <c r="F275" s="385">
        <f t="shared" si="99"/>
        <v>9.5512801514676973</v>
      </c>
      <c r="G275" s="110">
        <f t="shared" si="97"/>
        <v>0.1957449323088587</v>
      </c>
      <c r="H275" s="414" t="b">
        <f>Wh_hp&gt;='2020'!Maxi_hp</f>
        <v>0</v>
      </c>
      <c r="I275" s="380">
        <f>IF(H275,Wh_hp,'2020'!Maxi_hp)</f>
        <v>43.62450867340219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2.5898296043025626E-2</v>
      </c>
      <c r="M275" s="845"/>
      <c r="N275" s="845"/>
      <c r="O275" s="48">
        <f>IF(t&lt;Tnet,'2020'!Resal+('2020'!Salim-'2020'!Resal)*(1-EXP(('2020'!Tnet-t)/('2020'!Tau_j))),Resal+(Salim-Resal)*(1-EXP((Tnet-t)/(Tau_j))))*Salcycl</f>
        <v>1.7940642389786366E-2</v>
      </c>
      <c r="P275" s="169">
        <f>(INDEX(Models!$BJ275:$BT275,,T275)*(1-R275)+INDEX(Models!$BJ275:$BT275,,T275+1)*R275-ERP_i)*Q275*Ramure*Pc/MaxiM</f>
        <v>5.3155556421073803E-6</v>
      </c>
      <c r="Q275" s="305">
        <f t="shared" si="101"/>
        <v>0.5</v>
      </c>
      <c r="R275" s="177">
        <f t="shared" si="102"/>
        <v>0.98946604586485087</v>
      </c>
      <c r="S275" s="811">
        <f t="shared" si="103"/>
        <v>-1</v>
      </c>
      <c r="T275" s="176">
        <f t="shared" si="104"/>
        <v>5</v>
      </c>
      <c r="U275" s="251">
        <f t="shared" si="105"/>
        <v>-1.0533954135149126E-2</v>
      </c>
      <c r="V275" s="383">
        <f t="shared" si="106"/>
        <v>46.67784409024312</v>
      </c>
      <c r="W275" s="402"/>
      <c r="X275" s="157">
        <f t="shared" si="107"/>
        <v>44457</v>
      </c>
      <c r="Y275" s="385">
        <f t="shared" si="108"/>
        <v>8.7005742061067703</v>
      </c>
      <c r="Z275" s="385">
        <f t="shared" si="109"/>
        <v>8.9318950688244261</v>
      </c>
      <c r="AA275" s="386">
        <f t="shared" si="110"/>
        <v>9.5512801514676973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6.484838396747207E-2</v>
      </c>
      <c r="AD275" s="231">
        <f>(INDEX(Models!$BJ275:$BT275,,AH275)*(1-AF275)+INDEX(Models!$BJ275:$BT275,,AH275+1)*AF275-ERP_i)*AE275*Ramure*Pc/MaxiM</f>
        <v>5.3155556421073803E-6</v>
      </c>
      <c r="AE275" s="305">
        <f t="shared" si="112"/>
        <v>0.5</v>
      </c>
      <c r="AF275" s="177">
        <f t="shared" si="113"/>
        <v>0.98946604586485087</v>
      </c>
      <c r="AG275" s="811">
        <f t="shared" si="119"/>
        <v>-1</v>
      </c>
      <c r="AH275" s="176">
        <f t="shared" si="114"/>
        <v>5</v>
      </c>
      <c r="AI275" s="225">
        <f t="shared" si="115"/>
        <v>-1.0533954135149126E-2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7">
        <v>35.286999999999999</v>
      </c>
      <c r="C276" s="390"/>
      <c r="D276" s="393">
        <f t="shared" si="98"/>
        <v>36.22596362314615</v>
      </c>
      <c r="E276" s="385">
        <f t="shared" si="96"/>
        <v>36.890568649058068</v>
      </c>
      <c r="F276" s="385">
        <f t="shared" si="99"/>
        <v>36.890732529104788</v>
      </c>
      <c r="G276" s="110">
        <f t="shared" si="97"/>
        <v>0.76091788338797683</v>
      </c>
      <c r="H276" s="414" t="b">
        <f>Wh_hp&gt;='2020'!Maxi_hp</f>
        <v>0</v>
      </c>
      <c r="I276" s="380">
        <f>IF(H276,Wh_hp,'2020'!Maxi_hp)</f>
        <v>42.413786815005437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2.5919631370308505E-2</v>
      </c>
      <c r="M276" s="845"/>
      <c r="N276" s="845"/>
      <c r="O276" s="48">
        <f>IF(t&lt;Tnet,'2020'!Resal+('2020'!Salim-'2020'!Resal)*(1-EXP(('2020'!Tnet-t)/('2020'!Tau_j))),Resal+(Salim-Resal)*(1-EXP((Tnet-t)/(Tau_j))))*Salcycl</f>
        <v>1.8015580953341808E-2</v>
      </c>
      <c r="P276" s="169">
        <f>(INDEX(Models!$BJ276:$BT276,,T276)*(1-R276)+INDEX(Models!$BJ276:$BT276,,T276+1)*R276-ERP_i)*Q276*Ramure*Pc/MaxiM</f>
        <v>6.7465482266856943E-6</v>
      </c>
      <c r="Q276" s="305">
        <f t="shared" si="101"/>
        <v>0.5</v>
      </c>
      <c r="R276" s="177">
        <f t="shared" si="102"/>
        <v>0.98978666683411243</v>
      </c>
      <c r="S276" s="811">
        <f t="shared" si="103"/>
        <v>-1</v>
      </c>
      <c r="T276" s="176">
        <f t="shared" si="104"/>
        <v>5</v>
      </c>
      <c r="U276" s="251">
        <f t="shared" si="105"/>
        <v>-1.0213333165887517E-2</v>
      </c>
      <c r="V276" s="383">
        <f t="shared" si="106"/>
        <v>46.374148196974502</v>
      </c>
      <c r="W276" s="402"/>
      <c r="X276" s="157">
        <f t="shared" si="107"/>
        <v>44458</v>
      </c>
      <c r="Y276" s="385">
        <f t="shared" si="108"/>
        <v>33.603322260795188</v>
      </c>
      <c r="Z276" s="385">
        <f t="shared" si="109"/>
        <v>34.497484338040181</v>
      </c>
      <c r="AA276" s="386">
        <f t="shared" si="110"/>
        <v>36.890568649058068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6.4869813577107652E-2</v>
      </c>
      <c r="AD276" s="231">
        <f>(INDEX(Models!$BJ276:$BT276,,AH276)*(1-AF276)+INDEX(Models!$BJ276:$BT276,,AH276+1)*AF276-ERP_i)*AE276*Ramure*Pc/MaxiM</f>
        <v>6.7465482266856943E-6</v>
      </c>
      <c r="AE276" s="305">
        <f t="shared" si="112"/>
        <v>0.5</v>
      </c>
      <c r="AF276" s="177">
        <f t="shared" si="113"/>
        <v>0.98978666683411243</v>
      </c>
      <c r="AG276" s="811">
        <f t="shared" si="119"/>
        <v>-1</v>
      </c>
      <c r="AH276" s="176">
        <f t="shared" si="114"/>
        <v>5</v>
      </c>
      <c r="AI276" s="225">
        <f t="shared" si="115"/>
        <v>-1.0213333165887517E-2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7">
        <v>31.179000000000002</v>
      </c>
      <c r="C277" s="390"/>
      <c r="D277" s="393">
        <f t="shared" si="98"/>
        <v>32.009353559746899</v>
      </c>
      <c r="E277" s="385">
        <f t="shared" si="96"/>
        <v>32.599078642085026</v>
      </c>
      <c r="F277" s="385">
        <f t="shared" si="99"/>
        <v>32.599234188169689</v>
      </c>
      <c r="G277" s="110">
        <f t="shared" si="97"/>
        <v>0.67685295597622397</v>
      </c>
      <c r="H277" s="414" t="b">
        <f>Wh_hp&gt;='2020'!Maxi_hp</f>
        <v>0</v>
      </c>
      <c r="I277" s="380">
        <f>IF(H277,Wh_hp,'2020'!Maxi_hp)</f>
        <v>48.16407719164706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2.594096623029285E-2</v>
      </c>
      <c r="M277" s="845"/>
      <c r="N277" s="845"/>
      <c r="O277" s="48">
        <f>IF(t&lt;Tnet,'2020'!Resal+('2020'!Salim-'2020'!Resal)*(1-EXP(('2020'!Tnet-t)/('2020'!Tau_j))),Resal+(Salim-Resal)*(1-EXP((Tnet-t)/(Tau_j))))*Salcycl</f>
        <v>1.8090237727663935E-2</v>
      </c>
      <c r="P277" s="169">
        <f>(INDEX(Models!$BJ277:$BT277,,T277)*(1-R277)+INDEX(Models!$BJ277:$BT277,,T277+1)*R277-ERP_i)*Q277*Ramure*Pc/MaxiM</f>
        <v>8.8628746764481977E-6</v>
      </c>
      <c r="Q277" s="305">
        <f t="shared" si="101"/>
        <v>0.5</v>
      </c>
      <c r="R277" s="177">
        <f t="shared" si="102"/>
        <v>0.99009477127917123</v>
      </c>
      <c r="S277" s="811">
        <f t="shared" si="103"/>
        <v>-1</v>
      </c>
      <c r="T277" s="176">
        <f t="shared" si="104"/>
        <v>5</v>
      </c>
      <c r="U277" s="251">
        <f t="shared" si="105"/>
        <v>-9.9052287208287737E-3</v>
      </c>
      <c r="V277" s="383">
        <f t="shared" si="106"/>
        <v>46.064469628178493</v>
      </c>
      <c r="W277" s="402"/>
      <c r="X277" s="157">
        <f t="shared" si="107"/>
        <v>44459</v>
      </c>
      <c r="Y277" s="385">
        <f t="shared" si="108"/>
        <v>29.692929035373197</v>
      </c>
      <c r="Z277" s="385">
        <f t="shared" si="109"/>
        <v>30.483705818587353</v>
      </c>
      <c r="AA277" s="386">
        <f t="shared" si="110"/>
        <v>32.599078642085026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6.4890570887692192E-2</v>
      </c>
      <c r="AD277" s="231">
        <f>(INDEX(Models!$BJ277:$BT277,,AH277)*(1-AF277)+INDEX(Models!$BJ277:$BT277,,AH277+1)*AF277-ERP_i)*AE277*Ramure*Pc/MaxiM</f>
        <v>8.8628746764481977E-6</v>
      </c>
      <c r="AE277" s="305">
        <f t="shared" si="112"/>
        <v>0.5</v>
      </c>
      <c r="AF277" s="177">
        <f t="shared" si="113"/>
        <v>0.99009477127917123</v>
      </c>
      <c r="AG277" s="811">
        <f t="shared" si="119"/>
        <v>-1</v>
      </c>
      <c r="AH277" s="176">
        <f t="shared" si="114"/>
        <v>5</v>
      </c>
      <c r="AI277" s="225">
        <f t="shared" si="115"/>
        <v>-9.9052287208287737E-3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7">
        <v>12.045999999999999</v>
      </c>
      <c r="C278" s="390"/>
      <c r="D278" s="393">
        <f t="shared" si="98"/>
        <v>12.367077791449502</v>
      </c>
      <c r="E278" s="385">
        <f t="shared" si="96"/>
        <v>12.595876913713644</v>
      </c>
      <c r="F278" s="385">
        <f t="shared" si="99"/>
        <v>12.595876913713644</v>
      </c>
      <c r="G278" s="110">
        <f t="shared" si="97"/>
        <v>0.26329959117697216</v>
      </c>
      <c r="H278" s="414" t="b">
        <f>Wh_hp&gt;='2020'!Maxi_hp</f>
        <v>0</v>
      </c>
      <c r="I278" s="380">
        <f>IF(H278,Wh_hp,'2020'!Maxi_hp)</f>
        <v>34.911371761935094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2.5962300622988987E-2</v>
      </c>
      <c r="M278" s="845"/>
      <c r="N278" s="845"/>
      <c r="O278" s="48">
        <f>IF(t&lt;Tnet,'2020'!Resal+('2020'!Salim-'2020'!Resal)*(1-EXP(('2020'!Tnet-t)/('2020'!Tau_j))),Resal+(Salim-Resal)*(1-EXP((Tnet-t)/(Tau_j))))*Salcycl</f>
        <v>1.8164604483792621E-2</v>
      </c>
      <c r="P278" s="169">
        <f>(INDEX(Models!$BJ278:$BT278,,T278)*(1-R278)+INDEX(Models!$BJ278:$BT278,,T278+1)*R278-ERP_i)*Q278*Ramure*Pc/MaxiM</f>
        <v>1.1675326553629172E-5</v>
      </c>
      <c r="Q278" s="305">
        <f t="shared" si="101"/>
        <v>0.5</v>
      </c>
      <c r="R278" s="177">
        <f t="shared" si="102"/>
        <v>0.99039083285175888</v>
      </c>
      <c r="S278" s="811">
        <f t="shared" si="103"/>
        <v>-1</v>
      </c>
      <c r="T278" s="176">
        <f t="shared" si="104"/>
        <v>5</v>
      </c>
      <c r="U278" s="251">
        <f t="shared" si="105"/>
        <v>-9.6091671482411156E-3</v>
      </c>
      <c r="V278" s="383">
        <f t="shared" si="106"/>
        <v>45.749631836381859</v>
      </c>
      <c r="W278" s="402"/>
      <c r="X278" s="157">
        <f t="shared" si="107"/>
        <v>44460</v>
      </c>
      <c r="Y278" s="385">
        <f t="shared" si="108"/>
        <v>11.472479566150373</v>
      </c>
      <c r="Z278" s="385">
        <f t="shared" si="109"/>
        <v>11.778270567441183</v>
      </c>
      <c r="AA278" s="386">
        <f t="shared" si="110"/>
        <v>12.595876913713644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6.4910633207466428E-2</v>
      </c>
      <c r="AD278" s="231">
        <f>(INDEX(Models!$BJ278:$BT278,,AH278)*(1-AF278)+INDEX(Models!$BJ278:$BT278,,AH278+1)*AF278-ERP_i)*AE278*Ramure*Pc/MaxiM</f>
        <v>1.1675326553629172E-5</v>
      </c>
      <c r="AE278" s="305">
        <f t="shared" si="112"/>
        <v>0.5</v>
      </c>
      <c r="AF278" s="177">
        <f t="shared" si="113"/>
        <v>0.99039083285175888</v>
      </c>
      <c r="AG278" s="811">
        <f t="shared" si="119"/>
        <v>-1</v>
      </c>
      <c r="AH278" s="176">
        <f t="shared" si="114"/>
        <v>5</v>
      </c>
      <c r="AI278" s="225">
        <f t="shared" si="115"/>
        <v>-9.6091671482411156E-3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7">
        <v>43.088999999999999</v>
      </c>
      <c r="C279" s="390"/>
      <c r="D279" s="393">
        <f t="shared" si="98"/>
        <v>44.238476403856133</v>
      </c>
      <c r="E279" s="385">
        <f t="shared" si="96"/>
        <v>45.060316780687742</v>
      </c>
      <c r="F279" s="385">
        <f t="shared" si="99"/>
        <v>45.060951064602598</v>
      </c>
      <c r="G279" s="110">
        <f t="shared" si="97"/>
        <v>0.94845955176377483</v>
      </c>
      <c r="H279" s="414" t="b">
        <f>Wh_hp&gt;='2020'!Maxi_hp</f>
        <v>1</v>
      </c>
      <c r="I279" s="380">
        <f>IF(H279,Wh_hp,'2020'!Maxi_hp)</f>
        <v>45.060951064602598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2.5983634548407242E-2</v>
      </c>
      <c r="M279" s="845"/>
      <c r="N279" s="845"/>
      <c r="O279" s="48">
        <f>IF(t&lt;Tnet,'2020'!Resal+('2020'!Salim-'2020'!Resal)*(1-EXP(('2020'!Tnet-t)/('2020'!Tau_j))),Resal+(Salim-Resal)*(1-EXP((Tnet-t)/(Tau_j))))*Salcycl</f>
        <v>1.8238672862234379E-2</v>
      </c>
      <c r="P279" s="169">
        <f>(INDEX(Models!$BJ279:$BT279,,T279)*(1-R279)+INDEX(Models!$BJ279:$BT279,,T279+1)*R279-ERP_i)*Q279*Ramure*Pc/MaxiM</f>
        <v>1.5194897745724438E-5</v>
      </c>
      <c r="Q279" s="305">
        <f t="shared" si="101"/>
        <v>0.5</v>
      </c>
      <c r="R279" s="177">
        <f t="shared" si="102"/>
        <v>0.99067530844656904</v>
      </c>
      <c r="S279" s="811">
        <f t="shared" si="103"/>
        <v>-1</v>
      </c>
      <c r="T279" s="176">
        <f t="shared" si="104"/>
        <v>5</v>
      </c>
      <c r="U279" s="251">
        <f t="shared" si="105"/>
        <v>-9.3246915534309638E-3</v>
      </c>
      <c r="V279" s="383">
        <f t="shared" si="106"/>
        <v>45.430457959660878</v>
      </c>
      <c r="W279" s="402"/>
      <c r="X279" s="157">
        <f t="shared" si="107"/>
        <v>44461</v>
      </c>
      <c r="Y279" s="385">
        <f t="shared" si="108"/>
        <v>41.039742631334285</v>
      </c>
      <c r="Z279" s="385">
        <f t="shared" si="109"/>
        <v>42.134551417220415</v>
      </c>
      <c r="AA279" s="386">
        <f t="shared" si="110"/>
        <v>45.060316780687742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6.4929977694281771E-2</v>
      </c>
      <c r="AD279" s="231">
        <f>(INDEX(Models!$BJ279:$BT279,,AH279)*(1-AF279)+INDEX(Models!$BJ279:$BT279,,AH279+1)*AF279-ERP_i)*AE279*Ramure*Pc/MaxiM</f>
        <v>1.5194897745724438E-5</v>
      </c>
      <c r="AE279" s="305">
        <f t="shared" si="112"/>
        <v>0.5</v>
      </c>
      <c r="AF279" s="177">
        <f t="shared" si="113"/>
        <v>0.99067530844656904</v>
      </c>
      <c r="AG279" s="811">
        <f t="shared" si="119"/>
        <v>-1</v>
      </c>
      <c r="AH279" s="176">
        <f t="shared" si="114"/>
        <v>5</v>
      </c>
      <c r="AI279" s="225">
        <f t="shared" si="115"/>
        <v>-9.3246915534309638E-3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7">
        <v>38.191000000000003</v>
      </c>
      <c r="C280" s="390"/>
      <c r="D280" s="393">
        <f t="shared" si="98"/>
        <v>39.210672278107815</v>
      </c>
      <c r="E280" s="385">
        <f t="shared" si="96"/>
        <v>39.942109539026845</v>
      </c>
      <c r="F280" s="385">
        <f t="shared" si="99"/>
        <v>39.942715706115422</v>
      </c>
      <c r="G280" s="110">
        <f t="shared" si="97"/>
        <v>0.84665760987367056</v>
      </c>
      <c r="H280" s="414" t="b">
        <f>Wh_hp&gt;='2020'!Maxi_hp</f>
        <v>0</v>
      </c>
      <c r="I280" s="380">
        <f>IF(H280,Wh_hp,'2020'!Maxi_hp)</f>
        <v>44.303472000025792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2.6004968006557716E-2</v>
      </c>
      <c r="M280" s="845"/>
      <c r="N280" s="845"/>
      <c r="O280" s="48">
        <f>IF(t&lt;Tnet,'2020'!Resal+('2020'!Salim-'2020'!Resal)*(1-EXP(('2020'!Tnet-t)/('2020'!Tau_j))),Resal+(Salim-Resal)*(1-EXP((Tnet-t)/(Tau_j))))*Salcycl</f>
        <v>1.8312434404706389E-2</v>
      </c>
      <c r="P280" s="169">
        <f>(INDEX(Models!$BJ280:$BT280,,T280)*(1-R280)+INDEX(Models!$BJ280:$BT280,,T280+1)*R280-ERP_i)*Q280*Ramure*Pc/MaxiM</f>
        <v>1.94327624687352E-5</v>
      </c>
      <c r="Q280" s="305">
        <f t="shared" si="101"/>
        <v>0.5</v>
      </c>
      <c r="R280" s="177">
        <f t="shared" si="102"/>
        <v>0.99094863870213423</v>
      </c>
      <c r="S280" s="811">
        <f t="shared" si="103"/>
        <v>-1</v>
      </c>
      <c r="T280" s="176">
        <f t="shared" si="104"/>
        <v>5</v>
      </c>
      <c r="U280" s="251">
        <f t="shared" si="105"/>
        <v>-9.0513612978657121E-3</v>
      </c>
      <c r="V280" s="383">
        <f t="shared" si="106"/>
        <v>45.107770813997796</v>
      </c>
      <c r="W280" s="402"/>
      <c r="X280" s="157">
        <f t="shared" si="107"/>
        <v>44462</v>
      </c>
      <c r="Y280" s="385">
        <f t="shared" si="108"/>
        <v>36.376694558056265</v>
      </c>
      <c r="Z280" s="385">
        <f t="shared" si="109"/>
        <v>37.347926183571317</v>
      </c>
      <c r="AA280" s="386">
        <f t="shared" si="110"/>
        <v>39.942109539026845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6.4948581469408587E-2</v>
      </c>
      <c r="AD280" s="231">
        <f>(INDEX(Models!$BJ280:$BT280,,AH280)*(1-AF280)+INDEX(Models!$BJ280:$BT280,,AH280+1)*AF280-ERP_i)*AE280*Ramure*Pc/MaxiM</f>
        <v>1.94327624687352E-5</v>
      </c>
      <c r="AE280" s="305">
        <f t="shared" si="112"/>
        <v>0.5</v>
      </c>
      <c r="AF280" s="177">
        <f t="shared" si="113"/>
        <v>0.99094863870213423</v>
      </c>
      <c r="AG280" s="811">
        <f t="shared" si="119"/>
        <v>-1</v>
      </c>
      <c r="AH280" s="176">
        <f t="shared" si="114"/>
        <v>5</v>
      </c>
      <c r="AI280" s="225">
        <f t="shared" si="115"/>
        <v>-9.0513612978657121E-3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7">
        <v>38.480000000000004</v>
      </c>
      <c r="C281" s="390"/>
      <c r="D281" s="393">
        <f t="shared" si="98"/>
        <v>39.50825370275146</v>
      </c>
      <c r="E281" s="385">
        <f t="shared" si="96"/>
        <v>40.248253281528207</v>
      </c>
      <c r="F281" s="385">
        <f t="shared" si="99"/>
        <v>40.249037915880088</v>
      </c>
      <c r="G281" s="110">
        <f t="shared" si="97"/>
        <v>0.85926206124987081</v>
      </c>
      <c r="H281" s="414" t="b">
        <f>Wh_hp&gt;='2020'!Maxi_hp</f>
        <v>1</v>
      </c>
      <c r="I281" s="380">
        <f>IF(H281,Wh_hp,'2020'!Maxi_hp)</f>
        <v>40.249037915880088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2.6026300997450735E-2</v>
      </c>
      <c r="M281" s="845"/>
      <c r="N281" s="845"/>
      <c r="O281" s="48">
        <f>IF(t&lt;Tnet,'2020'!Resal+('2020'!Salim-'2020'!Resal)*(1-EXP(('2020'!Tnet-t)/('2020'!Tau_j))),Resal+(Salim-Resal)*(1-EXP((Tnet-t)/(Tau_j))))*Salcycl</f>
        <v>1.8385880589664404E-2</v>
      </c>
      <c r="P281" s="169">
        <f>(INDEX(Models!$BJ281:$BT281,,T281)*(1-R281)+INDEX(Models!$BJ281:$BT281,,T281+1)*R281-ERP_i)*Q281*Ramure*Pc/MaxiM</f>
        <v>2.4400078401822164E-5</v>
      </c>
      <c r="Q281" s="305">
        <f t="shared" si="101"/>
        <v>0.5</v>
      </c>
      <c r="R281" s="177">
        <f t="shared" si="102"/>
        <v>0.99121124849427034</v>
      </c>
      <c r="S281" s="811">
        <f t="shared" si="103"/>
        <v>-1</v>
      </c>
      <c r="T281" s="176">
        <f t="shared" si="104"/>
        <v>5</v>
      </c>
      <c r="U281" s="251">
        <f t="shared" si="105"/>
        <v>-8.7887515057296639E-3</v>
      </c>
      <c r="V281" s="383">
        <f t="shared" si="106"/>
        <v>44.782392897919742</v>
      </c>
      <c r="W281" s="402"/>
      <c r="X281" s="157">
        <f t="shared" si="107"/>
        <v>44463</v>
      </c>
      <c r="Y281" s="385">
        <f t="shared" si="108"/>
        <v>36.654008311305731</v>
      </c>
      <c r="Z281" s="385">
        <f t="shared" si="109"/>
        <v>37.63346828445497</v>
      </c>
      <c r="AA281" s="386">
        <f t="shared" si="110"/>
        <v>40.248253281528207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6.4966421742165104E-2</v>
      </c>
      <c r="AD281" s="231">
        <f>(INDEX(Models!$BJ281:$BT281,,AH281)*(1-AF281)+INDEX(Models!$BJ281:$BT281,,AH281+1)*AF281-ERP_i)*AE281*Ramure*Pc/MaxiM</f>
        <v>2.4400078401822164E-5</v>
      </c>
      <c r="AE281" s="305">
        <f t="shared" si="112"/>
        <v>0.5</v>
      </c>
      <c r="AF281" s="177">
        <f t="shared" si="113"/>
        <v>0.99121124849427034</v>
      </c>
      <c r="AG281" s="811">
        <f t="shared" si="119"/>
        <v>-1</v>
      </c>
      <c r="AH281" s="176">
        <f t="shared" si="114"/>
        <v>5</v>
      </c>
      <c r="AI281" s="225">
        <f t="shared" si="115"/>
        <v>-8.7887515057296639E-3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7">
        <v>34.066000000000003</v>
      </c>
      <c r="C282" s="390"/>
      <c r="D282" s="393">
        <f t="shared" si="98"/>
        <v>34.97706989835411</v>
      </c>
      <c r="E282" s="385">
        <f t="shared" si="96"/>
        <v>35.634853766354027</v>
      </c>
      <c r="F282" s="385">
        <f t="shared" si="99"/>
        <v>35.635580004300863</v>
      </c>
      <c r="G282" s="110">
        <f t="shared" si="97"/>
        <v>0.76629302458105264</v>
      </c>
      <c r="H282" s="414" t="b">
        <f>Wh_hp&gt;='2020'!Maxi_hp</f>
        <v>0</v>
      </c>
      <c r="I282" s="380">
        <f>IF(H282,Wh_hp,'2020'!Maxi_hp)</f>
        <v>46.514117854235721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2.6047633521096514E-2</v>
      </c>
      <c r="M282" s="845"/>
      <c r="N282" s="845"/>
      <c r="O282" s="48">
        <f>IF(t&lt;Tnet,'2020'!Resal+('2020'!Salim-'2020'!Resal)*(1-EXP(('2020'!Tnet-t)/('2020'!Tau_j))),Resal+(Salim-Resal)*(1-EXP((Tnet-t)/(Tau_j))))*Salcycl</f>
        <v>1.8459002871536668E-2</v>
      </c>
      <c r="P282" s="169">
        <f>(INDEX(Models!$BJ282:$BT282,,T282)*(1-R282)+INDEX(Models!$BJ282:$BT282,,T282+1)*R282-ERP_i)*Q282*Ramure*Pc/MaxiM</f>
        <v>3.0593343099773395E-5</v>
      </c>
      <c r="Q282" s="305">
        <f t="shared" si="101"/>
        <v>0.5</v>
      </c>
      <c r="R282" s="177">
        <f t="shared" si="102"/>
        <v>0.99146354742148857</v>
      </c>
      <c r="S282" s="811">
        <f t="shared" si="103"/>
        <v>-1</v>
      </c>
      <c r="T282" s="176">
        <f t="shared" si="104"/>
        <v>5</v>
      </c>
      <c r="U282" s="251">
        <f t="shared" si="105"/>
        <v>-8.5364525785113776E-3</v>
      </c>
      <c r="V282" s="383">
        <f t="shared" si="106"/>
        <v>44.455124812446179</v>
      </c>
      <c r="W282" s="402"/>
      <c r="X282" s="157">
        <f t="shared" si="107"/>
        <v>44464</v>
      </c>
      <c r="Y282" s="385">
        <f t="shared" si="108"/>
        <v>32.451291389405469</v>
      </c>
      <c r="Z282" s="385">
        <f t="shared" si="109"/>
        <v>33.319177103830555</v>
      </c>
      <c r="AA282" s="386">
        <f t="shared" si="110"/>
        <v>35.634853766354027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6.4983475944831892E-2</v>
      </c>
      <c r="AD282" s="231">
        <f>(INDEX(Models!$BJ282:$BT282,,AH282)*(1-AF282)+INDEX(Models!$BJ282:$BT282,,AH282+1)*AF282-ERP_i)*AE282*Ramure*Pc/MaxiM</f>
        <v>3.0593343099773395E-5</v>
      </c>
      <c r="AE282" s="305">
        <f t="shared" si="112"/>
        <v>0.5</v>
      </c>
      <c r="AF282" s="177">
        <f t="shared" si="113"/>
        <v>0.99146354742148857</v>
      </c>
      <c r="AG282" s="811">
        <f t="shared" si="119"/>
        <v>-1</v>
      </c>
      <c r="AH282" s="176">
        <f t="shared" si="114"/>
        <v>5</v>
      </c>
      <c r="AI282" s="225">
        <f t="shared" si="115"/>
        <v>-8.5364525785113776E-3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7">
        <v>37.289000000000001</v>
      </c>
      <c r="C283" s="390"/>
      <c r="D283" s="393">
        <f t="shared" si="98"/>
        <v>38.287105228257772</v>
      </c>
      <c r="E283" s="385">
        <f t="shared" si="96"/>
        <v>39.010031037585271</v>
      </c>
      <c r="F283" s="385">
        <f t="shared" si="99"/>
        <v>39.011184971413499</v>
      </c>
      <c r="G283" s="110">
        <f t="shared" si="97"/>
        <v>0.84503509228970597</v>
      </c>
      <c r="H283" s="414" t="b">
        <f>Wh_hp&gt;='2020'!Maxi_hp</f>
        <v>0</v>
      </c>
      <c r="I283" s="380">
        <f>IF(H283,Wh_hp,'2020'!Maxi_hp)</f>
        <v>46.475483095151723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2.6068965577505265E-2</v>
      </c>
      <c r="M283" s="845"/>
      <c r="N283" s="845"/>
      <c r="O283" s="48">
        <f>IF(t&lt;Tnet,'2020'!Resal+('2020'!Salim-'2020'!Resal)*(1-EXP(('2020'!Tnet-t)/('2020'!Tau_j))),Resal+(Salim-Resal)*(1-EXP((Tnet-t)/(Tau_j))))*Salcycl</f>
        <v>1.8531792723542675E-2</v>
      </c>
      <c r="P283" s="169">
        <f>(INDEX(Models!$BJ283:$BT283,,T283)*(1-R283)+INDEX(Models!$BJ283:$BT283,,T283+1)*R283-ERP_i)*Q283*Ramure*Pc/MaxiM</f>
        <v>3.798915860441088E-5</v>
      </c>
      <c r="Q283" s="305">
        <f t="shared" si="101"/>
        <v>0.5</v>
      </c>
      <c r="R283" s="177">
        <f t="shared" si="102"/>
        <v>0.99170593028186649</v>
      </c>
      <c r="S283" s="811">
        <f t="shared" si="103"/>
        <v>-1</v>
      </c>
      <c r="T283" s="176">
        <f t="shared" si="104"/>
        <v>5</v>
      </c>
      <c r="U283" s="251">
        <f t="shared" si="105"/>
        <v>-8.2940697181334566E-3</v>
      </c>
      <c r="V283" s="383">
        <f t="shared" si="106"/>
        <v>44.126790408549439</v>
      </c>
      <c r="W283" s="402"/>
      <c r="X283" s="157">
        <f t="shared" si="107"/>
        <v>44465</v>
      </c>
      <c r="Y283" s="385">
        <f t="shared" si="108"/>
        <v>35.523540255747768</v>
      </c>
      <c r="Z283" s="385">
        <f t="shared" si="109"/>
        <v>36.47438986972206</v>
      </c>
      <c r="AA283" s="386">
        <f t="shared" si="110"/>
        <v>39.010031037585271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6.4999721877180214E-2</v>
      </c>
      <c r="AD283" s="231">
        <f>(INDEX(Models!$BJ283:$BT283,,AH283)*(1-AF283)+INDEX(Models!$BJ283:$BT283,,AH283+1)*AF283-ERP_i)*AE283*Ramure*Pc/MaxiM</f>
        <v>3.798915860441088E-5</v>
      </c>
      <c r="AE283" s="305">
        <f t="shared" si="112"/>
        <v>0.5</v>
      </c>
      <c r="AF283" s="177">
        <f t="shared" si="113"/>
        <v>0.99170593028186649</v>
      </c>
      <c r="AG283" s="811">
        <f t="shared" si="119"/>
        <v>-1</v>
      </c>
      <c r="AH283" s="176">
        <f t="shared" si="114"/>
        <v>5</v>
      </c>
      <c r="AI283" s="225">
        <f t="shared" si="115"/>
        <v>-8.2940697181334566E-3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7">
        <v>21.612000000000002</v>
      </c>
      <c r="C284" s="390"/>
      <c r="D284" s="393">
        <f t="shared" si="98"/>
        <v>22.190968974973803</v>
      </c>
      <c r="E284" s="385">
        <f t="shared" si="96"/>
        <v>22.611641416761607</v>
      </c>
      <c r="F284" s="385">
        <f t="shared" si="99"/>
        <v>22.611932638257439</v>
      </c>
      <c r="G284" s="110">
        <f t="shared" si="97"/>
        <v>0.49342816591900207</v>
      </c>
      <c r="H284" s="414" t="b">
        <f>Wh_hp&gt;='2020'!Maxi_hp</f>
        <v>0</v>
      </c>
      <c r="I284" s="380">
        <f>IF(H284,Wh_hp,'2020'!Maxi_hp)</f>
        <v>45.12039737403196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2.6090297166687204E-2</v>
      </c>
      <c r="M284" s="845"/>
      <c r="N284" s="845"/>
      <c r="O284" s="48">
        <f>IF(t&lt;Tnet,'2020'!Resal+('2020'!Salim-'2020'!Resal)*(1-EXP(('2020'!Tnet-t)/('2020'!Tau_j))),Resal+(Salim-Resal)*(1-EXP((Tnet-t)/(Tau_j))))*Salcycl</f>
        <v>1.860424168393051E-2</v>
      </c>
      <c r="P284" s="169">
        <f>(INDEX(Models!$BJ284:$BT284,,T284)*(1-R284)+INDEX(Models!$BJ284:$BT284,,T284+1)*R284-ERP_i)*Q284*Ramure*Pc/MaxiM</f>
        <v>4.6604377138885479E-5</v>
      </c>
      <c r="Q284" s="305">
        <f t="shared" si="101"/>
        <v>0.5</v>
      </c>
      <c r="R284" s="177">
        <f t="shared" si="102"/>
        <v>0.99193877754093585</v>
      </c>
      <c r="S284" s="811">
        <f t="shared" si="103"/>
        <v>-1</v>
      </c>
      <c r="T284" s="176">
        <f t="shared" si="104"/>
        <v>5</v>
      </c>
      <c r="U284" s="251">
        <f t="shared" si="105"/>
        <v>-8.0612224590642101E-3</v>
      </c>
      <c r="V284" s="383">
        <f t="shared" si="106"/>
        <v>43.798211396829927</v>
      </c>
      <c r="W284" s="402"/>
      <c r="X284" s="157">
        <f t="shared" si="107"/>
        <v>44466</v>
      </c>
      <c r="Y284" s="385">
        <f t="shared" si="108"/>
        <v>20.589953308180032</v>
      </c>
      <c r="Z284" s="385">
        <f t="shared" si="109"/>
        <v>21.141542432814283</v>
      </c>
      <c r="AA284" s="386">
        <f t="shared" si="110"/>
        <v>22.611641416761607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6.501513785980903E-2</v>
      </c>
      <c r="AD284" s="231">
        <f>(INDEX(Models!$BJ284:$BT284,,AH284)*(1-AF284)+INDEX(Models!$BJ284:$BT284,,AH284+1)*AF284-ERP_i)*AE284*Ramure*Pc/MaxiM</f>
        <v>4.6604377138885479E-5</v>
      </c>
      <c r="AE284" s="305">
        <f t="shared" si="112"/>
        <v>0.5</v>
      </c>
      <c r="AF284" s="177">
        <f t="shared" si="113"/>
        <v>0.99193877754093585</v>
      </c>
      <c r="AG284" s="811">
        <f t="shared" si="119"/>
        <v>-1</v>
      </c>
      <c r="AH284" s="176">
        <f t="shared" si="114"/>
        <v>5</v>
      </c>
      <c r="AI284" s="225">
        <f t="shared" si="115"/>
        <v>-8.0612224590642101E-3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7">
        <v>26.72</v>
      </c>
      <c r="C285" s="390"/>
      <c r="D285" s="393">
        <f t="shared" si="98"/>
        <v>27.436409321785792</v>
      </c>
      <c r="E285" s="385">
        <f t="shared" si="96"/>
        <v>27.958573179698341</v>
      </c>
      <c r="F285" s="385">
        <f t="shared" si="99"/>
        <v>27.959282742706201</v>
      </c>
      <c r="G285" s="110">
        <f t="shared" si="97"/>
        <v>0.61465472817372313</v>
      </c>
      <c r="H285" s="414" t="b">
        <f>Wh_hp&gt;='2020'!Maxi_hp</f>
        <v>0</v>
      </c>
      <c r="I285" s="380">
        <f>IF(H285,Wh_hp,'2020'!Maxi_hp)</f>
        <v>42.169880552957594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2.6111628288652544E-2</v>
      </c>
      <c r="M285" s="845"/>
      <c r="N285" s="845"/>
      <c r="O285" s="48">
        <f>IF(t&lt;Tnet,'2020'!Resal+('2020'!Salim-'2020'!Resal)*(1-EXP(('2020'!Tnet-t)/('2020'!Tau_j))),Resal+(Salim-Resal)*(1-EXP((Tnet-t)/(Tau_j))))*Salcycl</f>
        <v>1.8676341405422903E-2</v>
      </c>
      <c r="P285" s="169">
        <f>(INDEX(Models!$BJ285:$BT285,,T285)*(1-R285)+INDEX(Models!$BJ285:$BT285,,T285+1)*R285-ERP_i)*Q285*Ramure*Pc/MaxiM</f>
        <v>5.6454992381644808E-5</v>
      </c>
      <c r="Q285" s="305">
        <f t="shared" si="101"/>
        <v>0.5</v>
      </c>
      <c r="R285" s="177">
        <f t="shared" si="102"/>
        <v>0.99216245579022244</v>
      </c>
      <c r="S285" s="811">
        <f t="shared" si="103"/>
        <v>-1</v>
      </c>
      <c r="T285" s="176">
        <f t="shared" si="104"/>
        <v>5</v>
      </c>
      <c r="U285" s="251">
        <f t="shared" si="105"/>
        <v>-7.8375442097775583E-3</v>
      </c>
      <c r="V285" s="383">
        <f t="shared" si="106"/>
        <v>43.470209190226456</v>
      </c>
      <c r="W285" s="402"/>
      <c r="X285" s="157">
        <f t="shared" si="107"/>
        <v>44467</v>
      </c>
      <c r="Y285" s="385">
        <f t="shared" si="108"/>
        <v>25.457866138084498</v>
      </c>
      <c r="Z285" s="385">
        <f t="shared" si="109"/>
        <v>26.140435472444477</v>
      </c>
      <c r="AA285" s="386">
        <f t="shared" si="110"/>
        <v>27.958573179698341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6.5029702895356506E-2</v>
      </c>
      <c r="AD285" s="231">
        <f>(INDEX(Models!$BJ285:$BT285,,AH285)*(1-AF285)+INDEX(Models!$BJ285:$BT285,,AH285+1)*AF285-ERP_i)*AE285*Ramure*Pc/MaxiM</f>
        <v>5.6454992381644808E-5</v>
      </c>
      <c r="AE285" s="305">
        <f t="shared" si="112"/>
        <v>0.5</v>
      </c>
      <c r="AF285" s="177">
        <f t="shared" si="113"/>
        <v>0.99216245579022244</v>
      </c>
      <c r="AG285" s="811">
        <f t="shared" si="119"/>
        <v>-1</v>
      </c>
      <c r="AH285" s="176">
        <f t="shared" si="114"/>
        <v>5</v>
      </c>
      <c r="AI285" s="225">
        <f t="shared" si="115"/>
        <v>-7.8375442097775583E-3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7">
        <v>30.623000000000001</v>
      </c>
      <c r="C286" s="390"/>
      <c r="D286" s="393">
        <f t="shared" si="98"/>
        <v>31.444744209410612</v>
      </c>
      <c r="E286" s="385">
        <f t="shared" si="96"/>
        <v>32.045536612273054</v>
      </c>
      <c r="F286" s="385">
        <f t="shared" si="99"/>
        <v>32.046804011323786</v>
      </c>
      <c r="G286" s="110">
        <f t="shared" si="97"/>
        <v>0.70977245317053084</v>
      </c>
      <c r="H286" s="414" t="b">
        <f>Wh_hp&gt;='2020'!Maxi_hp</f>
        <v>0</v>
      </c>
      <c r="I286" s="380">
        <f>IF(H286,Wh_hp,'2020'!Maxi_hp)</f>
        <v>44.457549596928516</v>
      </c>
      <c r="J286" s="85">
        <f>IF(H286,An,'2020'!An_max)</f>
        <v>2019</v>
      </c>
      <c r="K286" s="197">
        <f t="shared" si="100"/>
        <v>44468</v>
      </c>
      <c r="L286" s="147">
        <f>IF(t&lt;Tvie,1-EXP((T0-t)*PertePVj)+'2020'!Pspv,1-EXP((T0-t)*PertePVj)+Pspv)</f>
        <v>2.6132958943411722E-2</v>
      </c>
      <c r="M286" s="845"/>
      <c r="N286" s="845"/>
      <c r="O286" s="48">
        <f>IF(t&lt;Tnet,'2020'!Resal+('2020'!Salim-'2020'!Resal)*(1-EXP(('2020'!Tnet-t)/('2020'!Tau_j))),Resal+(Salim-Resal)*(1-EXP((Tnet-t)/(Tau_j))))*Salcycl</f>
        <v>1.8748083707618372E-2</v>
      </c>
      <c r="P286" s="169">
        <f>(INDEX(Models!$BJ286:$BT286,,T286)*(1-R286)+INDEX(Models!$BJ286:$BT286,,T286+1)*R286-ERP_i)*Q286*Ramure*Pc/MaxiM</f>
        <v>6.7555834640714709E-5</v>
      </c>
      <c r="Q286" s="305">
        <f t="shared" si="101"/>
        <v>0.5</v>
      </c>
      <c r="R286" s="177">
        <f t="shared" si="102"/>
        <v>0.99237731819613262</v>
      </c>
      <c r="S286" s="811">
        <f t="shared" si="103"/>
        <v>-1</v>
      </c>
      <c r="T286" s="176">
        <f t="shared" si="104"/>
        <v>5</v>
      </c>
      <c r="U286" s="251">
        <f t="shared" si="105"/>
        <v>-7.6226818038673261E-3</v>
      </c>
      <c r="V286" s="383">
        <f t="shared" si="106"/>
        <v>43.143604907292875</v>
      </c>
      <c r="W286" s="402"/>
      <c r="X286" s="157">
        <f t="shared" si="107"/>
        <v>44468</v>
      </c>
      <c r="Y286" s="385">
        <f t="shared" si="108"/>
        <v>29.178211612423215</v>
      </c>
      <c r="Z286" s="385">
        <f t="shared" si="109"/>
        <v>29.961186057561388</v>
      </c>
      <c r="AA286" s="386">
        <f t="shared" si="110"/>
        <v>32.045536612273054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6.5043396836531167E-2</v>
      </c>
      <c r="AD286" s="231">
        <f>(INDEX(Models!$BJ286:$BT286,,AH286)*(1-AF286)+INDEX(Models!$BJ286:$BT286,,AH286+1)*AF286-ERP_i)*AE286*Ramure*Pc/MaxiM</f>
        <v>6.7555834640714709E-5</v>
      </c>
      <c r="AE286" s="305">
        <f t="shared" si="112"/>
        <v>0.5</v>
      </c>
      <c r="AF286" s="177">
        <f t="shared" si="113"/>
        <v>0.99237731819613262</v>
      </c>
      <c r="AG286" s="811">
        <f t="shared" si="119"/>
        <v>-1</v>
      </c>
      <c r="AH286" s="176">
        <f t="shared" si="114"/>
        <v>5</v>
      </c>
      <c r="AI286" s="225">
        <f t="shared" si="115"/>
        <v>-7.6226818038673261E-3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7">
        <v>17.728000000000002</v>
      </c>
      <c r="C287" s="390"/>
      <c r="D287" s="393">
        <f t="shared" si="98"/>
        <v>18.204115705536317</v>
      </c>
      <c r="E287" s="385">
        <f t="shared" si="96"/>
        <v>18.553278397941888</v>
      </c>
      <c r="F287" s="385">
        <f t="shared" si="99"/>
        <v>18.553519924543064</v>
      </c>
      <c r="G287" s="110">
        <f t="shared" si="97"/>
        <v>0.41399199232275552</v>
      </c>
      <c r="H287" s="414" t="b">
        <f>Wh_hp&gt;='2020'!Maxi_hp</f>
        <v>0</v>
      </c>
      <c r="I287" s="380">
        <f>IF(H287,Wh_hp,'2020'!Maxi_hp)</f>
        <v>41.406216750872005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2.6154289130974728E-2</v>
      </c>
      <c r="M287" s="845"/>
      <c r="N287" s="845"/>
      <c r="O287" s="48">
        <f>IF(t&lt;Tnet,'2020'!Resal+('2020'!Salim-'2020'!Resal)*(1-EXP(('2020'!Tnet-t)/('2020'!Tau_j))),Resal+(Salim-Resal)*(1-EXP((Tnet-t)/(Tau_j))))*Salcycl</f>
        <v>1.8819460632052098E-2</v>
      </c>
      <c r="P287" s="169">
        <f>(INDEX(Models!$BJ287:$BT287,,T287)*(1-R287)+INDEX(Models!$BJ287:$BT287,,T287+1)*R287-ERP_i)*Q287*Ramure*Pc/MaxiM</f>
        <v>7.9920249854264808E-5</v>
      </c>
      <c r="Q287" s="305">
        <f t="shared" si="101"/>
        <v>0.5</v>
      </c>
      <c r="R287" s="177">
        <f t="shared" si="102"/>
        <v>0.99258370493894166</v>
      </c>
      <c r="S287" s="811">
        <f t="shared" si="103"/>
        <v>-1</v>
      </c>
      <c r="T287" s="176">
        <f t="shared" si="104"/>
        <v>5</v>
      </c>
      <c r="U287" s="251">
        <f t="shared" si="105"/>
        <v>-7.4162950610583422E-3</v>
      </c>
      <c r="V287" s="383">
        <f t="shared" si="106"/>
        <v>42.819219374350055</v>
      </c>
      <c r="W287" s="402"/>
      <c r="X287" s="157">
        <f t="shared" si="107"/>
        <v>44469</v>
      </c>
      <c r="Y287" s="385">
        <f t="shared" si="108"/>
        <v>16.892593168585456</v>
      </c>
      <c r="Z287" s="385">
        <f t="shared" si="109"/>
        <v>17.346272597443704</v>
      </c>
      <c r="AA287" s="386">
        <f t="shared" si="110"/>
        <v>18.553278397941888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6.5056200559793068E-2</v>
      </c>
      <c r="AD287" s="231">
        <f>(INDEX(Models!$BJ287:$BT287,,AH287)*(1-AF287)+INDEX(Models!$BJ287:$BT287,,AH287+1)*AF287-ERP_i)*AE287*Ramure*Pc/MaxiM</f>
        <v>7.9920249854264808E-5</v>
      </c>
      <c r="AE287" s="305">
        <f t="shared" si="112"/>
        <v>0.5</v>
      </c>
      <c r="AF287" s="177">
        <f t="shared" si="113"/>
        <v>0.99258370493894166</v>
      </c>
      <c r="AG287" s="811">
        <f t="shared" si="119"/>
        <v>-1</v>
      </c>
      <c r="AH287" s="176">
        <f t="shared" si="114"/>
        <v>5</v>
      </c>
      <c r="AI287" s="225">
        <f t="shared" si="115"/>
        <v>-7.4162950610583422E-3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7">
        <v>32.402999999999999</v>
      </c>
      <c r="C288" s="390"/>
      <c r="D288" s="393">
        <f t="shared" si="98"/>
        <v>33.273966669205713</v>
      </c>
      <c r="E288" s="385">
        <f t="shared" si="96"/>
        <v>33.914629779063532</v>
      </c>
      <c r="F288" s="385">
        <f t="shared" si="99"/>
        <v>33.916726210956924</v>
      </c>
      <c r="G288" s="110">
        <f t="shared" si="97"/>
        <v>0.76243747748563884</v>
      </c>
      <c r="H288" s="414" t="b">
        <f>Wh_hp&gt;='2020'!Maxi_hp</f>
        <v>0</v>
      </c>
      <c r="I288" s="380">
        <f>IF(H288,Wh_hp,'2020'!Maxi_hp)</f>
        <v>43.530133856028712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2.6175618851351889E-2</v>
      </c>
      <c r="M288" s="845"/>
      <c r="N288" s="845"/>
      <c r="O288" s="48">
        <f>IF(t&lt;Tnet,'2020'!Resal+('2020'!Salim-'2020'!Resal)*(1-EXP(('2020'!Tnet-t)/('2020'!Tau_j))),Resal+(Salim-Resal)*(1-EXP((Tnet-t)/(Tau_j))))*Salcycl</f>
        <v>1.8890464499580612E-2</v>
      </c>
      <c r="P288" s="169">
        <f>(INDEX(Models!$BJ288:$BT288,,T288)*(1-R288)+INDEX(Models!$BJ288:$BT288,,T288+1)*R288-ERP_i)*Q288*Ramure*Pc/MaxiM</f>
        <v>9.3559763262806179E-5</v>
      </c>
      <c r="Q288" s="305">
        <f t="shared" si="101"/>
        <v>0.5</v>
      </c>
      <c r="R288" s="177">
        <f t="shared" si="102"/>
        <v>0.99278194364168992</v>
      </c>
      <c r="S288" s="811">
        <f t="shared" si="103"/>
        <v>-1</v>
      </c>
      <c r="T288" s="176">
        <f t="shared" si="104"/>
        <v>5</v>
      </c>
      <c r="U288" s="251">
        <f t="shared" si="105"/>
        <v>-7.2180563583100765E-3</v>
      </c>
      <c r="V288" s="383">
        <f t="shared" si="106"/>
        <v>42.497873127889065</v>
      </c>
      <c r="W288" s="402"/>
      <c r="X288" s="157">
        <f t="shared" si="107"/>
        <v>44470</v>
      </c>
      <c r="Y288" s="385">
        <f t="shared" si="108"/>
        <v>30.877896284244276</v>
      </c>
      <c r="Z288" s="385">
        <f t="shared" si="109"/>
        <v>31.707869387931211</v>
      </c>
      <c r="AA288" s="386">
        <f t="shared" si="110"/>
        <v>33.914629779063532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6.5068096143411733E-2</v>
      </c>
      <c r="AD288" s="231">
        <f>(INDEX(Models!$BJ288:$BT288,,AH288)*(1-AF288)+INDEX(Models!$BJ288:$BT288,,AH288+1)*AF288-ERP_i)*AE288*Ramure*Pc/MaxiM</f>
        <v>9.3559763262806179E-5</v>
      </c>
      <c r="AE288" s="305">
        <f t="shared" si="112"/>
        <v>0.5</v>
      </c>
      <c r="AF288" s="177">
        <f t="shared" si="113"/>
        <v>0.99278194364168992</v>
      </c>
      <c r="AG288" s="811">
        <f t="shared" si="119"/>
        <v>-1</v>
      </c>
      <c r="AH288" s="176">
        <f t="shared" si="114"/>
        <v>5</v>
      </c>
      <c r="AI288" s="225">
        <f t="shared" si="115"/>
        <v>-7.2180563583100765E-3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7">
        <v>39.349000000000004</v>
      </c>
      <c r="C289" s="390"/>
      <c r="D289" s="393">
        <f t="shared" si="98"/>
        <v>40.40755461118102</v>
      </c>
      <c r="E289" s="385">
        <f t="shared" si="96"/>
        <v>41.188534028234017</v>
      </c>
      <c r="F289" s="385">
        <f t="shared" si="99"/>
        <v>41.192574715514745</v>
      </c>
      <c r="G289" s="110">
        <f t="shared" si="97"/>
        <v>0.93291000683827807</v>
      </c>
      <c r="H289" s="414" t="b">
        <f>Wh_hp&gt;='2020'!Maxi_hp</f>
        <v>0</v>
      </c>
      <c r="I289" s="380">
        <f>IF(H289,Wh_hp,'2020'!Maxi_hp)</f>
        <v>44.550821163435508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2.6196948104553419E-2</v>
      </c>
      <c r="M289" s="845"/>
      <c r="N289" s="845"/>
      <c r="O289" s="48">
        <f>IF(t&lt;Tnet,'2020'!Resal+('2020'!Salim-'2020'!Resal)*(1-EXP(('2020'!Tnet-t)/('2020'!Tau_j))),Resal+(Salim-Resal)*(1-EXP((Tnet-t)/(Tau_j))))*Salcycl</f>
        <v>1.8961087969716135E-2</v>
      </c>
      <c r="P289" s="169">
        <f>(INDEX(Models!$BJ289:$BT289,,T289)*(1-R289)+INDEX(Models!$BJ289:$BT289,,T289+1)*R289-ERP_i)*Q289*Ramure*Pc/MaxiM</f>
        <v>1.0848900453760297E-4</v>
      </c>
      <c r="Q289" s="305">
        <f t="shared" si="101"/>
        <v>0.5</v>
      </c>
      <c r="R289" s="177">
        <f t="shared" si="102"/>
        <v>0.9929723497888463</v>
      </c>
      <c r="S289" s="811">
        <f t="shared" si="103"/>
        <v>-1</v>
      </c>
      <c r="T289" s="176">
        <f t="shared" si="104"/>
        <v>5</v>
      </c>
      <c r="U289" s="251">
        <f t="shared" si="105"/>
        <v>-7.027650211153702E-3</v>
      </c>
      <c r="V289" s="383">
        <f t="shared" si="106"/>
        <v>42.178335084650065</v>
      </c>
      <c r="W289" s="402"/>
      <c r="X289" s="157">
        <f t="shared" si="107"/>
        <v>44471</v>
      </c>
      <c r="Y289" s="385">
        <f t="shared" si="108"/>
        <v>37.499229989331596</v>
      </c>
      <c r="Z289" s="385">
        <f t="shared" si="109"/>
        <v>38.508022660579769</v>
      </c>
      <c r="AA289" s="386">
        <f t="shared" si="110"/>
        <v>41.188534028234017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6.5079067048533557E-2</v>
      </c>
      <c r="AD289" s="231">
        <f>(INDEX(Models!$BJ289:$BT289,,AH289)*(1-AF289)+INDEX(Models!$BJ289:$BT289,,AH289+1)*AF289-ERP_i)*AE289*Ramure*Pc/MaxiM</f>
        <v>1.0848900453760297E-4</v>
      </c>
      <c r="AE289" s="305">
        <f t="shared" si="112"/>
        <v>0.5</v>
      </c>
      <c r="AF289" s="177">
        <f t="shared" si="113"/>
        <v>0.9929723497888463</v>
      </c>
      <c r="AG289" s="811">
        <f t="shared" si="119"/>
        <v>-1</v>
      </c>
      <c r="AH289" s="176">
        <f t="shared" si="114"/>
        <v>5</v>
      </c>
      <c r="AI289" s="225">
        <f t="shared" si="115"/>
        <v>-7.027650211153702E-3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7">
        <v>6.88</v>
      </c>
      <c r="C290" s="390"/>
      <c r="D290" s="393">
        <f t="shared" si="98"/>
        <v>7.065238376041064</v>
      </c>
      <c r="E290" s="385">
        <f t="shared" si="96"/>
        <v>7.2023078306448465</v>
      </c>
      <c r="F290" s="385">
        <f t="shared" si="99"/>
        <v>7.2023078306448465</v>
      </c>
      <c r="G290" s="110">
        <f t="shared" si="97"/>
        <v>0.16434148480104827</v>
      </c>
      <c r="H290" s="414" t="b">
        <f>Wh_hp&gt;='2020'!Maxi_hp</f>
        <v>0</v>
      </c>
      <c r="I290" s="380">
        <f>IF(H290,Wh_hp,'2020'!Maxi_hp)</f>
        <v>42.516161138689995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2.6218276890589531E-2</v>
      </c>
      <c r="M290" s="845"/>
      <c r="N290" s="845"/>
      <c r="O290" s="48">
        <f>IF(t&lt;Tnet,'2020'!Resal+('2020'!Salim-'2020'!Resal)*(1-EXP(('2020'!Tnet-t)/('2020'!Tau_j))),Resal+(Salim-Resal)*(1-EXP((Tnet-t)/(Tau_j))))*Salcycl</f>
        <v>1.9031324101501261E-2</v>
      </c>
      <c r="P290" s="169">
        <f>(INDEX(Models!$BJ290:$BT290,,T290)*(1-R290)+INDEX(Models!$BJ290:$BT290,,T290+1)*R290-ERP_i)*Q290*Ramure*Pc/MaxiM</f>
        <v>1.2370024532993356E-4</v>
      </c>
      <c r="Q290" s="305">
        <f t="shared" si="101"/>
        <v>0.5</v>
      </c>
      <c r="R290" s="177">
        <f t="shared" si="102"/>
        <v>0.99315522713463444</v>
      </c>
      <c r="S290" s="811">
        <f t="shared" si="103"/>
        <v>-1</v>
      </c>
      <c r="T290" s="176">
        <f t="shared" si="104"/>
        <v>5</v>
      </c>
      <c r="U290" s="251">
        <f t="shared" si="105"/>
        <v>-6.8447728653656115E-3</v>
      </c>
      <c r="V290" s="383">
        <f t="shared" si="106"/>
        <v>41.858870574523685</v>
      </c>
      <c r="W290" s="402"/>
      <c r="X290" s="157">
        <f t="shared" si="107"/>
        <v>44472</v>
      </c>
      <c r="Y290" s="385">
        <f t="shared" si="108"/>
        <v>6.5569749184826112</v>
      </c>
      <c r="Z290" s="385">
        <f t="shared" si="109"/>
        <v>6.733516108256115</v>
      </c>
      <c r="AA290" s="386">
        <f t="shared" si="110"/>
        <v>7.2023078306448465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6.5089098301809145E-2</v>
      </c>
      <c r="AD290" s="231">
        <f>(INDEX(Models!$BJ290:$BT290,,AH290)*(1-AF290)+INDEX(Models!$BJ290:$BT290,,AH290+1)*AF290-ERP_i)*AE290*Ramure*Pc/MaxiM</f>
        <v>1.2370024532993356E-4</v>
      </c>
      <c r="AE290" s="305">
        <f t="shared" si="112"/>
        <v>0.5</v>
      </c>
      <c r="AF290" s="177">
        <f t="shared" si="113"/>
        <v>0.99315522713463444</v>
      </c>
      <c r="AG290" s="811">
        <f t="shared" si="119"/>
        <v>-1</v>
      </c>
      <c r="AH290" s="176">
        <f t="shared" si="114"/>
        <v>5</v>
      </c>
      <c r="AI290" s="225">
        <f t="shared" si="115"/>
        <v>-6.8447728653656115E-3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7">
        <v>31.146000000000001</v>
      </c>
      <c r="C291" s="390"/>
      <c r="D291" s="393">
        <f t="shared" si="98"/>
        <v>31.985281149886955</v>
      </c>
      <c r="E291" s="385">
        <f t="shared" si="96"/>
        <v>32.608134554511089</v>
      </c>
      <c r="F291" s="385">
        <f t="shared" si="99"/>
        <v>32.611037099076199</v>
      </c>
      <c r="G291" s="110">
        <f t="shared" si="97"/>
        <v>0.74975509729409306</v>
      </c>
      <c r="H291" s="414" t="b">
        <f>Wh_hp&gt;='2020'!Maxi_hp</f>
        <v>0</v>
      </c>
      <c r="I291" s="380">
        <f>IF(H291,Wh_hp,'2020'!Maxi_hp)</f>
        <v>42.093320826448114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2.6239605209470551E-2</v>
      </c>
      <c r="M291" s="845"/>
      <c r="N291" s="845"/>
      <c r="O291" s="48">
        <f>IF(t&lt;Tnet,'2020'!Resal+('2020'!Salim-'2020'!Resal)*(1-EXP(('2020'!Tnet-t)/('2020'!Tau_j))),Resal+(Salim-Resal)*(1-EXP((Tnet-t)/(Tau_j))))*Salcycl</f>
        <v>1.9101166415481648E-2</v>
      </c>
      <c r="P291" s="169">
        <f>(INDEX(Models!$BJ291:$BT291,,T291)*(1-R291)+INDEX(Models!$BJ291:$BT291,,T291+1)*R291-ERP_i)*Q291*Ramure*Pc/MaxiM</f>
        <v>1.3851614083361694E-4</v>
      </c>
      <c r="Q291" s="305">
        <f t="shared" si="101"/>
        <v>0.5</v>
      </c>
      <c r="R291" s="177">
        <f t="shared" si="102"/>
        <v>0.99333086810096483</v>
      </c>
      <c r="S291" s="811">
        <f t="shared" si="103"/>
        <v>-1</v>
      </c>
      <c r="T291" s="176">
        <f t="shared" si="104"/>
        <v>5</v>
      </c>
      <c r="U291" s="251">
        <f t="shared" si="105"/>
        <v>-6.6691318990351744E-3</v>
      </c>
      <c r="V291" s="383">
        <f t="shared" si="106"/>
        <v>41.539507901165038</v>
      </c>
      <c r="W291" s="402"/>
      <c r="X291" s="157">
        <f t="shared" si="107"/>
        <v>44473</v>
      </c>
      <c r="Y291" s="385">
        <f t="shared" si="108"/>
        <v>29.685479472716821</v>
      </c>
      <c r="Z291" s="385">
        <f t="shared" si="109"/>
        <v>30.485404450139519</v>
      </c>
      <c r="AA291" s="386">
        <f t="shared" si="110"/>
        <v>32.608134554511089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6.5098176678061614E-2</v>
      </c>
      <c r="AD291" s="231">
        <f>(INDEX(Models!$BJ291:$BT291,,AH291)*(1-AF291)+INDEX(Models!$BJ291:$BT291,,AH291+1)*AF291-ERP_i)*AE291*Ramure*Pc/MaxiM</f>
        <v>1.3851614083361694E-4</v>
      </c>
      <c r="AE291" s="305">
        <f t="shared" si="112"/>
        <v>0.5</v>
      </c>
      <c r="AF291" s="177">
        <f t="shared" si="113"/>
        <v>0.99333086810096483</v>
      </c>
      <c r="AG291" s="811">
        <f t="shared" si="119"/>
        <v>-1</v>
      </c>
      <c r="AH291" s="176">
        <f t="shared" si="114"/>
        <v>5</v>
      </c>
      <c r="AI291" s="225">
        <f t="shared" si="115"/>
        <v>-6.6691318990351744E-3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7">
        <v>13.99</v>
      </c>
      <c r="C292" s="390"/>
      <c r="D292" s="393">
        <f t="shared" si="98"/>
        <v>14.367298668606644</v>
      </c>
      <c r="E292" s="385">
        <f t="shared" si="96"/>
        <v>14.648111893668379</v>
      </c>
      <c r="F292" s="385">
        <f t="shared" si="99"/>
        <v>14.648237967616437</v>
      </c>
      <c r="G292" s="110">
        <f t="shared" si="97"/>
        <v>0.33934733481284823</v>
      </c>
      <c r="H292" s="414" t="b">
        <f>Wh_hp&gt;='2020'!Maxi_hp</f>
        <v>0</v>
      </c>
      <c r="I292" s="380">
        <f>IF(H292,Wh_hp,'2020'!Maxi_hp)</f>
        <v>42.281588278704412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2.6260933061206693E-2</v>
      </c>
      <c r="M292" s="845"/>
      <c r="N292" s="845"/>
      <c r="O292" s="48">
        <f>IF(t&lt;Tnet,'2020'!Resal+('2020'!Salim-'2020'!Resal)*(1-EXP(('2020'!Tnet-t)/('2020'!Tau_j))),Resal+(Salim-Resal)*(1-EXP((Tnet-t)/(Tau_j))))*Salcycl</f>
        <v>1.9170608956306151E-2</v>
      </c>
      <c r="P292" s="169">
        <f>(INDEX(Models!$BJ292:$BT292,,T292)*(1-R292)+INDEX(Models!$BJ292:$BT292,,T292+1)*R292-ERP_i)*Q292*Ramure*Pc/MaxiM</f>
        <v>1.5292637204295209E-4</v>
      </c>
      <c r="Q292" s="305">
        <f t="shared" si="101"/>
        <v>0.5</v>
      </c>
      <c r="R292" s="177">
        <f t="shared" si="102"/>
        <v>0.99349955416494651</v>
      </c>
      <c r="S292" s="811">
        <f t="shared" si="103"/>
        <v>-1</v>
      </c>
      <c r="T292" s="176">
        <f t="shared" si="104"/>
        <v>5</v>
      </c>
      <c r="U292" s="251">
        <f t="shared" si="105"/>
        <v>-6.5004458350534922E-3</v>
      </c>
      <c r="V292" s="383">
        <f t="shared" si="106"/>
        <v>41.220246975095186</v>
      </c>
      <c r="W292" s="402"/>
      <c r="X292" s="157">
        <f t="shared" si="107"/>
        <v>44474</v>
      </c>
      <c r="Y292" s="385">
        <f t="shared" si="108"/>
        <v>13.33479921176858</v>
      </c>
      <c r="Z292" s="385">
        <f t="shared" si="109"/>
        <v>13.694427659855585</v>
      </c>
      <c r="AA292" s="386">
        <f t="shared" si="110"/>
        <v>14.648111893668379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6.5106290881422224E-2</v>
      </c>
      <c r="AD292" s="231">
        <f>(INDEX(Models!$BJ292:$BT292,,AH292)*(1-AF292)+INDEX(Models!$BJ292:$BT292,,AH292+1)*AF292-ERP_i)*AE292*Ramure*Pc/MaxiM</f>
        <v>1.5292637204295209E-4</v>
      </c>
      <c r="AE292" s="305">
        <f t="shared" si="112"/>
        <v>0.5</v>
      </c>
      <c r="AF292" s="177">
        <f t="shared" si="113"/>
        <v>0.99349955416494651</v>
      </c>
      <c r="AG292" s="811">
        <f t="shared" si="119"/>
        <v>-1</v>
      </c>
      <c r="AH292" s="176">
        <f t="shared" si="114"/>
        <v>5</v>
      </c>
      <c r="AI292" s="225">
        <f t="shared" si="115"/>
        <v>-6.5004458350534922E-3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7">
        <v>27.231000000000002</v>
      </c>
      <c r="C293" s="390"/>
      <c r="D293" s="393">
        <f t="shared" si="98"/>
        <v>27.966009957328573</v>
      </c>
      <c r="E293" s="385">
        <f t="shared" si="96"/>
        <v>28.514621184885627</v>
      </c>
      <c r="F293" s="385">
        <f t="shared" si="99"/>
        <v>28.517108517055544</v>
      </c>
      <c r="G293" s="110">
        <f t="shared" si="97"/>
        <v>0.66572385006219326</v>
      </c>
      <c r="H293" s="414" t="b">
        <f>Wh_hp&gt;='2020'!Maxi_hp</f>
        <v>0</v>
      </c>
      <c r="I293" s="380">
        <f>IF(H293,Wh_hp,'2020'!Maxi_hp)</f>
        <v>39.638043153684698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2.6282260445808059E-2</v>
      </c>
      <c r="M293" s="845"/>
      <c r="N293" s="845"/>
      <c r="O293" s="48">
        <f>IF(t&lt;Tnet,'2020'!Resal+('2020'!Salim-'2020'!Resal)*(1-EXP(('2020'!Tnet-t)/('2020'!Tau_j))),Resal+(Salim-Resal)*(1-EXP((Tnet-t)/(Tau_j))))*Salcycl</f>
        <v>1.9239646355458155E-2</v>
      </c>
      <c r="P293" s="169">
        <f>(INDEX(Models!$BJ293:$BT293,,T293)*(1-R293)+INDEX(Models!$BJ293:$BT293,,T293+1)*R293-ERP_i)*Q293*Ramure*Pc/MaxiM</f>
        <v>1.66920641391865E-4</v>
      </c>
      <c r="Q293" s="305">
        <f t="shared" si="101"/>
        <v>0.5</v>
      </c>
      <c r="R293" s="177">
        <f t="shared" si="102"/>
        <v>0.99366155623598562</v>
      </c>
      <c r="S293" s="811">
        <f t="shared" si="103"/>
        <v>-1</v>
      </c>
      <c r="T293" s="176">
        <f t="shared" si="104"/>
        <v>5</v>
      </c>
      <c r="U293" s="251">
        <f t="shared" si="105"/>
        <v>-6.3384437640143232E-3</v>
      </c>
      <c r="V293" s="383">
        <f t="shared" si="106"/>
        <v>40.901087660879391</v>
      </c>
      <c r="W293" s="402"/>
      <c r="X293" s="157">
        <f t="shared" si="107"/>
        <v>44475</v>
      </c>
      <c r="Y293" s="385">
        <f t="shared" si="108"/>
        <v>25.957305519273774</v>
      </c>
      <c r="Z293" s="385">
        <f t="shared" si="109"/>
        <v>26.657936345247336</v>
      </c>
      <c r="AA293" s="386">
        <f t="shared" si="110"/>
        <v>28.514621184885627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6.5113431723316725E-2</v>
      </c>
      <c r="AD293" s="231">
        <f>(INDEX(Models!$BJ293:$BT293,,AH293)*(1-AF293)+INDEX(Models!$BJ293:$BT293,,AH293+1)*AF293-ERP_i)*AE293*Ramure*Pc/MaxiM</f>
        <v>1.66920641391865E-4</v>
      </c>
      <c r="AE293" s="305">
        <f t="shared" si="112"/>
        <v>0.5</v>
      </c>
      <c r="AF293" s="177">
        <f t="shared" si="113"/>
        <v>0.99366155623598562</v>
      </c>
      <c r="AG293" s="811">
        <f t="shared" si="119"/>
        <v>-1</v>
      </c>
      <c r="AH293" s="176">
        <f t="shared" si="114"/>
        <v>5</v>
      </c>
      <c r="AI293" s="225">
        <f t="shared" si="115"/>
        <v>-6.3384437640143232E-3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7">
        <v>40.878999999999998</v>
      </c>
      <c r="C294" s="390"/>
      <c r="D294" s="393">
        <f t="shared" si="98"/>
        <v>41.983311707292799</v>
      </c>
      <c r="E294" s="385">
        <f t="shared" si="96"/>
        <v>42.809896922427889</v>
      </c>
      <c r="F294" s="385">
        <f t="shared" si="99"/>
        <v>42.817625020301556</v>
      </c>
      <c r="G294" s="110">
        <f t="shared" si="97"/>
        <v>1.0073177765525823</v>
      </c>
      <c r="H294" s="414" t="b">
        <f>Wh_hp&gt;='2020'!Maxi_hp</f>
        <v>1</v>
      </c>
      <c r="I294" s="380">
        <f>IF(H294,Wh_hp,'2020'!Maxi_hp)</f>
        <v>42.817625020301556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2.6303587363284975E-2</v>
      </c>
      <c r="M294" s="845"/>
      <c r="N294" s="845"/>
      <c r="O294" s="48">
        <f>IF(t&lt;Tnet,'2020'!Resal+('2020'!Salim-'2020'!Resal)*(1-EXP(('2020'!Tnet-t)/('2020'!Tau_j))),Resal+(Salim-Resal)*(1-EXP((Tnet-t)/(Tau_j))))*Salcycl</f>
        <v>1.9308273893601569E-2</v>
      </c>
      <c r="P294" s="169">
        <f>(INDEX(Models!$BJ294:$BT294,,T294)*(1-R294)+INDEX(Models!$BJ294:$BT294,,T294+1)*R294-ERP_i)*Q294*Ramure*Pc/MaxiM</f>
        <v>1.804887092641704E-4</v>
      </c>
      <c r="Q294" s="305">
        <f t="shared" si="101"/>
        <v>0.5</v>
      </c>
      <c r="R294" s="177">
        <f t="shared" si="102"/>
        <v>0.99381713502250846</v>
      </c>
      <c r="S294" s="811">
        <f t="shared" si="103"/>
        <v>-1</v>
      </c>
      <c r="T294" s="176">
        <f t="shared" si="104"/>
        <v>5</v>
      </c>
      <c r="U294" s="251">
        <f t="shared" si="105"/>
        <v>-6.1828649774914868E-3</v>
      </c>
      <c r="V294" s="383">
        <f t="shared" si="106"/>
        <v>40.582029774063159</v>
      </c>
      <c r="W294" s="402"/>
      <c r="X294" s="157">
        <f t="shared" si="107"/>
        <v>44476</v>
      </c>
      <c r="Y294" s="385">
        <f t="shared" si="108"/>
        <v>38.969408193415653</v>
      </c>
      <c r="Z294" s="385">
        <f t="shared" si="109"/>
        <v>40.022133888620061</v>
      </c>
      <c r="AA294" s="386">
        <f t="shared" si="110"/>
        <v>42.809896922427889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6.5119592295662096E-2</v>
      </c>
      <c r="AD294" s="231">
        <f>(INDEX(Models!$BJ294:$BT294,,AH294)*(1-AF294)+INDEX(Models!$BJ294:$BT294,,AH294+1)*AF294-ERP_i)*AE294*Ramure*Pc/MaxiM</f>
        <v>1.804887092641704E-4</v>
      </c>
      <c r="AE294" s="305">
        <f t="shared" si="112"/>
        <v>0.5</v>
      </c>
      <c r="AF294" s="177">
        <f t="shared" si="113"/>
        <v>0.99381713502250846</v>
      </c>
      <c r="AG294" s="811">
        <f t="shared" si="119"/>
        <v>-1</v>
      </c>
      <c r="AH294" s="176">
        <f t="shared" si="114"/>
        <v>5</v>
      </c>
      <c r="AI294" s="225">
        <f t="shared" si="115"/>
        <v>-6.1828649774914868E-3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7">
        <v>36.930999999999997</v>
      </c>
      <c r="C295" s="390"/>
      <c r="D295" s="393">
        <f t="shared" si="98"/>
        <v>37.929490570257592</v>
      </c>
      <c r="E295" s="385">
        <f t="shared" si="96"/>
        <v>38.678952818455897</v>
      </c>
      <c r="F295" s="385">
        <f t="shared" si="99"/>
        <v>38.685557589921132</v>
      </c>
      <c r="G295" s="110">
        <f t="shared" si="97"/>
        <v>0.91722145510744291</v>
      </c>
      <c r="H295" s="414" t="b">
        <f>Wh_hp&gt;='2020'!Maxi_hp</f>
        <v>0</v>
      </c>
      <c r="I295" s="380">
        <f>IF(H295,Wh_hp,'2020'!Maxi_hp)</f>
        <v>40.412475476580589</v>
      </c>
      <c r="J295" s="85">
        <f>IF(H295,An,'2020'!An_max)</f>
        <v>2019</v>
      </c>
      <c r="K295" s="197">
        <f t="shared" si="100"/>
        <v>44477</v>
      </c>
      <c r="L295" s="147">
        <f>IF(t&lt;Tvie,1-EXP((T0-t)*PertePVj)+'2020'!Pspv,1-EXP((T0-t)*PertePVj)+Pspv)</f>
        <v>2.6324913813647766E-2</v>
      </c>
      <c r="M295" s="845"/>
      <c r="N295" s="845"/>
      <c r="O295" s="48">
        <f>IF(t&lt;Tnet,'2020'!Resal+('2020'!Salim-'2020'!Resal)*(1-EXP(('2020'!Tnet-t)/('2020'!Tau_j))),Resal+(Salim-Resal)*(1-EXP((Tnet-t)/(Tau_j))))*Salcycl</f>
        <v>1.9376487562008049E-2</v>
      </c>
      <c r="P295" s="169">
        <f>(INDEX(Models!$BJ295:$BT295,,T295)*(1-R295)+INDEX(Models!$BJ295:$BT295,,T295+1)*R295-ERP_i)*Q295*Ramure*Pc/MaxiM</f>
        <v>1.936204316989612E-4</v>
      </c>
      <c r="Q295" s="305">
        <f t="shared" si="101"/>
        <v>0.5</v>
      </c>
      <c r="R295" s="177">
        <f t="shared" si="102"/>
        <v>0.99396654138836971</v>
      </c>
      <c r="S295" s="811">
        <f t="shared" si="103"/>
        <v>-1</v>
      </c>
      <c r="T295" s="176">
        <f t="shared" si="104"/>
        <v>5</v>
      </c>
      <c r="U295" s="251">
        <f t="shared" si="105"/>
        <v>-6.0334586116302935E-3</v>
      </c>
      <c r="V295" s="383">
        <f t="shared" si="106"/>
        <v>40.263073078276285</v>
      </c>
      <c r="W295" s="402"/>
      <c r="X295" s="157">
        <f t="shared" si="107"/>
        <v>44477</v>
      </c>
      <c r="Y295" s="385">
        <f t="shared" si="108"/>
        <v>35.20808623288309</v>
      </c>
      <c r="Z295" s="385">
        <f t="shared" si="109"/>
        <v>36.159994984347989</v>
      </c>
      <c r="AA295" s="386">
        <f t="shared" si="110"/>
        <v>38.678952818455897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6.5124768137620581E-2</v>
      </c>
      <c r="AD295" s="231">
        <f>(INDEX(Models!$BJ295:$BT295,,AH295)*(1-AF295)+INDEX(Models!$BJ295:$BT295,,AH295+1)*AF295-ERP_i)*AE295*Ramure*Pc/MaxiM</f>
        <v>1.936204316989612E-4</v>
      </c>
      <c r="AE295" s="305">
        <f t="shared" si="112"/>
        <v>0.5</v>
      </c>
      <c r="AF295" s="177">
        <f t="shared" si="113"/>
        <v>0.99396654138836971</v>
      </c>
      <c r="AG295" s="811">
        <f t="shared" si="119"/>
        <v>-1</v>
      </c>
      <c r="AH295" s="176">
        <f t="shared" si="114"/>
        <v>5</v>
      </c>
      <c r="AI295" s="225">
        <f t="shared" si="115"/>
        <v>-6.0334586116302935E-3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7">
        <v>16.154</v>
      </c>
      <c r="C296" s="390"/>
      <c r="D296" s="393">
        <f t="shared" si="98"/>
        <v>16.591113453544772</v>
      </c>
      <c r="E296" s="385">
        <f t="shared" si="96"/>
        <v>16.920112936874506</v>
      </c>
      <c r="F296" s="385">
        <f t="shared" si="99"/>
        <v>16.920631307797315</v>
      </c>
      <c r="G296" s="110">
        <f t="shared" si="97"/>
        <v>0.40434293704578583</v>
      </c>
      <c r="H296" s="414" t="b">
        <f>Wh_hp&gt;='2020'!Maxi_hp</f>
        <v>0</v>
      </c>
      <c r="I296" s="380">
        <f>IF(H296,Wh_hp,'2020'!Maxi_hp)</f>
        <v>37.107170971880073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2.6346239796906423E-2</v>
      </c>
      <c r="M296" s="845"/>
      <c r="N296" s="845"/>
      <c r="O296" s="48">
        <f>IF(t&lt;Tnet,'2020'!Resal+('2020'!Salim-'2020'!Resal)*(1-EXP(('2020'!Tnet-t)/('2020'!Tau_j))),Resal+(Salim-Resal)*(1-EXP((Tnet-t)/(Tau_j))))*Salcycl</f>
        <v>1.9444284122521215E-2</v>
      </c>
      <c r="P296" s="169">
        <f>(INDEX(Models!$BJ296:$BT296,,T296)*(1-R296)+INDEX(Models!$BJ296:$BT296,,T296+1)*R296-ERP_i)*Q296*Ramure*Pc/MaxiM</f>
        <v>2.0538323980104603E-4</v>
      </c>
      <c r="Q296" s="305">
        <f t="shared" si="101"/>
        <v>0.5</v>
      </c>
      <c r="R296" s="177">
        <f t="shared" si="102"/>
        <v>0.99411001669903221</v>
      </c>
      <c r="S296" s="811">
        <f t="shared" si="103"/>
        <v>-1</v>
      </c>
      <c r="T296" s="176">
        <f t="shared" si="104"/>
        <v>5</v>
      </c>
      <c r="U296" s="251">
        <f t="shared" si="105"/>
        <v>-5.8899833009677383E-3</v>
      </c>
      <c r="V296" s="383">
        <f t="shared" si="106"/>
        <v>39.944254141060682</v>
      </c>
      <c r="W296" s="402"/>
      <c r="X296" s="157">
        <f t="shared" si="107"/>
        <v>44478</v>
      </c>
      <c r="Y296" s="385">
        <f t="shared" si="108"/>
        <v>15.40137554421235</v>
      </c>
      <c r="Z296" s="385">
        <f t="shared" si="109"/>
        <v>15.818123622302645</v>
      </c>
      <c r="AA296" s="386">
        <f t="shared" si="110"/>
        <v>16.920112936874506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6.5128957394265566E-2</v>
      </c>
      <c r="AD296" s="231">
        <f>(INDEX(Models!$BJ296:$BT296,,AH296)*(1-AF296)+INDEX(Models!$BJ296:$BT296,,AH296+1)*AF296-ERP_i)*AE296*Ramure*Pc/MaxiM</f>
        <v>2.0538323980104603E-4</v>
      </c>
      <c r="AE296" s="305">
        <f t="shared" si="112"/>
        <v>0.5</v>
      </c>
      <c r="AF296" s="177">
        <f t="shared" si="113"/>
        <v>0.99411001669903221</v>
      </c>
      <c r="AG296" s="811">
        <f t="shared" si="119"/>
        <v>-1</v>
      </c>
      <c r="AH296" s="176">
        <f t="shared" si="114"/>
        <v>5</v>
      </c>
      <c r="AI296" s="225">
        <f t="shared" si="115"/>
        <v>-5.8899833009677383E-3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7">
        <v>28.792000000000002</v>
      </c>
      <c r="C297" s="390"/>
      <c r="D297" s="393">
        <f t="shared" si="98"/>
        <v>29.571734644663994</v>
      </c>
      <c r="E297" s="385">
        <f t="shared" ref="E297:E360" si="120">Wh_pvt/(1-Psa)</f>
        <v>30.160210451677493</v>
      </c>
      <c r="F297" s="385">
        <f t="shared" si="99"/>
        <v>30.164167131782566</v>
      </c>
      <c r="G297" s="110">
        <f t="shared" ref="G297:G360" si="121">+Wh_hp/MaxiM</f>
        <v>0.72654002806553442</v>
      </c>
      <c r="H297" s="414" t="b">
        <f>Wh_hp&gt;='2020'!Maxi_hp</f>
        <v>0</v>
      </c>
      <c r="I297" s="380">
        <f>IF(H297,Wh_hp,'2020'!Maxi_hp)</f>
        <v>30.27474450167183</v>
      </c>
      <c r="J297" s="85">
        <f>IF(H297,An,'2020'!An_max)</f>
        <v>2019</v>
      </c>
      <c r="K297" s="197">
        <f t="shared" si="100"/>
        <v>44479</v>
      </c>
      <c r="L297" s="147">
        <f>IF(t&lt;Tvie,1-EXP((T0-t)*PertePVj)+'2020'!Pspv,1-EXP((T0-t)*PertePVj)+Pspv)</f>
        <v>2.6367565313071384E-2</v>
      </c>
      <c r="M297" s="845"/>
      <c r="N297" s="845"/>
      <c r="O297" s="48">
        <f>IF(t&lt;Tnet,'2020'!Resal+('2020'!Salim-'2020'!Resal)*(1-EXP(('2020'!Tnet-t)/('2020'!Tau_j))),Resal+(Salim-Resal)*(1-EXP((Tnet-t)/(Tau_j))))*Salcycl</f>
        <v>1.9511661165506494E-2</v>
      </c>
      <c r="P297" s="169">
        <f>(INDEX(Models!$BJ297:$BT297,,T297)*(1-R297)+INDEX(Models!$BJ297:$BT297,,T297+1)*R297-ERP_i)*Q297*Ramure*Pc/MaxiM</f>
        <v>2.1523636648876018E-4</v>
      </c>
      <c r="Q297" s="305">
        <f t="shared" si="101"/>
        <v>0.5</v>
      </c>
      <c r="R297" s="177">
        <f t="shared" si="102"/>
        <v>0.99424779315762335</v>
      </c>
      <c r="S297" s="811">
        <f t="shared" si="103"/>
        <v>-1</v>
      </c>
      <c r="T297" s="176">
        <f t="shared" si="104"/>
        <v>5</v>
      </c>
      <c r="U297" s="251">
        <f t="shared" si="105"/>
        <v>-5.7522068423766504E-3</v>
      </c>
      <c r="V297" s="383">
        <f t="shared" si="106"/>
        <v>39.625592776351183</v>
      </c>
      <c r="W297" s="402"/>
      <c r="X297" s="157">
        <f t="shared" si="107"/>
        <v>44479</v>
      </c>
      <c r="Y297" s="385">
        <f t="shared" si="108"/>
        <v>27.452355887757154</v>
      </c>
      <c r="Z297" s="385">
        <f t="shared" si="109"/>
        <v>28.195810769784448</v>
      </c>
      <c r="AA297" s="386">
        <f t="shared" si="110"/>
        <v>30.160210451677493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6.5132160965534244E-2</v>
      </c>
      <c r="AD297" s="231">
        <f>(INDEX(Models!$BJ297:$BT297,,AH297)*(1-AF297)+INDEX(Models!$BJ297:$BT297,,AH297+1)*AF297-ERP_i)*AE297*Ramure*Pc/MaxiM</f>
        <v>2.1523636648876018E-4</v>
      </c>
      <c r="AE297" s="305">
        <f t="shared" si="112"/>
        <v>0.5</v>
      </c>
      <c r="AF297" s="177">
        <f t="shared" si="113"/>
        <v>0.99424779315762335</v>
      </c>
      <c r="AG297" s="811">
        <f t="shared" si="119"/>
        <v>-1</v>
      </c>
      <c r="AH297" s="176">
        <f t="shared" si="114"/>
        <v>5</v>
      </c>
      <c r="AI297" s="225">
        <f t="shared" si="115"/>
        <v>-5.7522068423766504E-3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7">
        <v>39.855000000000004</v>
      </c>
      <c r="C298" s="390"/>
      <c r="D298" s="393">
        <f t="shared" si="98"/>
        <v>40.935235439974399</v>
      </c>
      <c r="E298" s="385">
        <f t="shared" si="120"/>
        <v>41.752695480401798</v>
      </c>
      <c r="F298" s="385">
        <f t="shared" si="99"/>
        <v>41.762014823220078</v>
      </c>
      <c r="G298" s="110">
        <f t="shared" si="121"/>
        <v>1.0139392711953765</v>
      </c>
      <c r="H298" s="414" t="b">
        <f>Wh_hp&gt;='2020'!Maxi_hp</f>
        <v>0</v>
      </c>
      <c r="I298" s="380">
        <f>IF(H298,Wh_hp,'2020'!Maxi_hp)</f>
        <v>42.375150802238252</v>
      </c>
      <c r="J298" s="85">
        <f>IF(H298,An,'2020'!An_max)</f>
        <v>2019</v>
      </c>
      <c r="K298" s="197">
        <f t="shared" si="100"/>
        <v>44480</v>
      </c>
      <c r="L298" s="147">
        <f>IF(t&lt;Tvie,1-EXP((T0-t)*PertePVj)+'2020'!Pspv,1-EXP((T0-t)*PertePVj)+Pspv)</f>
        <v>2.638889036215275E-2</v>
      </c>
      <c r="M298" s="845"/>
      <c r="N298" s="845"/>
      <c r="O298" s="48">
        <f>IF(t&lt;Tnet,'2020'!Resal+('2020'!Salim-'2020'!Resal)*(1-EXP(('2020'!Tnet-t)/('2020'!Tau_j))),Resal+(Salim-Resal)*(1-EXP((Tnet-t)/(Tau_j))))*Salcycl</f>
        <v>1.9578617165234371E-2</v>
      </c>
      <c r="P298" s="169">
        <f>(INDEX(Models!$BJ298:$BT298,,T298)*(1-R298)+INDEX(Models!$BJ298:$BT298,,T298+1)*R298-ERP_i)*Q298*Ramure*Pc/MaxiM</f>
        <v>2.2315357287533695E-4</v>
      </c>
      <c r="Q298" s="305">
        <f t="shared" si="101"/>
        <v>0.5</v>
      </c>
      <c r="R298" s="177">
        <f t="shared" si="102"/>
        <v>0.99438009413098971</v>
      </c>
      <c r="S298" s="811">
        <f t="shared" si="103"/>
        <v>-1</v>
      </c>
      <c r="T298" s="176">
        <f t="shared" si="104"/>
        <v>5</v>
      </c>
      <c r="U298" s="251">
        <f t="shared" si="105"/>
        <v>-5.6199058690103443E-3</v>
      </c>
      <c r="V298" s="383">
        <f t="shared" si="106"/>
        <v>39.307087842660678</v>
      </c>
      <c r="W298" s="402"/>
      <c r="X298" s="157">
        <f t="shared" si="107"/>
        <v>44480</v>
      </c>
      <c r="Y298" s="385">
        <f t="shared" si="108"/>
        <v>38.003117671707862</v>
      </c>
      <c r="Z298" s="385">
        <f t="shared" si="109"/>
        <v>39.033159436567878</v>
      </c>
      <c r="AA298" s="386">
        <f t="shared" si="110"/>
        <v>41.752695480401798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6.5134382643880745E-2</v>
      </c>
      <c r="AD298" s="231">
        <f>(INDEX(Models!$BJ298:$BT298,,AH298)*(1-AF298)+INDEX(Models!$BJ298:$BT298,,AH298+1)*AF298-ERP_i)*AE298*Ramure*Pc/MaxiM</f>
        <v>2.2315357287533695E-4</v>
      </c>
      <c r="AE298" s="305">
        <f t="shared" si="112"/>
        <v>0.5</v>
      </c>
      <c r="AF298" s="177">
        <f t="shared" si="113"/>
        <v>0.99438009413098971</v>
      </c>
      <c r="AG298" s="811">
        <f t="shared" si="119"/>
        <v>-1</v>
      </c>
      <c r="AH298" s="176">
        <f t="shared" si="114"/>
        <v>5</v>
      </c>
      <c r="AI298" s="225">
        <f t="shared" si="115"/>
        <v>-5.6199058690103443E-3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7">
        <v>37.948999999999998</v>
      </c>
      <c r="C299" s="390"/>
      <c r="D299" s="393">
        <f t="shared" si="98"/>
        <v>38.978428679614261</v>
      </c>
      <c r="E299" s="385">
        <f t="shared" si="120"/>
        <v>39.759510283987211</v>
      </c>
      <c r="F299" s="385">
        <f t="shared" si="99"/>
        <v>39.768274465309958</v>
      </c>
      <c r="G299" s="110">
        <f t="shared" si="121"/>
        <v>0.97332385079822814</v>
      </c>
      <c r="H299" s="414" t="b">
        <f>Wh_hp&gt;='2020'!Maxi_hp</f>
        <v>1</v>
      </c>
      <c r="I299" s="380">
        <f>IF(H299,Wh_hp,'2020'!Maxi_hp)</f>
        <v>39.768274465309958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2.6410214944160959E-2</v>
      </c>
      <c r="M299" s="845"/>
      <c r="N299" s="845"/>
      <c r="O299" s="48">
        <f>IF(t&lt;Tnet,'2020'!Resal+('2020'!Salim-'2020'!Resal)*(1-EXP(('2020'!Tnet-t)/('2020'!Tau_j))),Resal+(Salim-Resal)*(1-EXP((Tnet-t)/(Tau_j))))*Salcycl</f>
        <v>1.9645151532148609E-2</v>
      </c>
      <c r="P299" s="169">
        <f>(INDEX(Models!$BJ299:$BT299,,T299)*(1-R299)+INDEX(Models!$BJ299:$BT299,,T299+1)*R299-ERP_i)*Q299*Ramure*Pc/MaxiM</f>
        <v>2.2910953682402354E-4</v>
      </c>
      <c r="Q299" s="305">
        <f t="shared" si="101"/>
        <v>0.5</v>
      </c>
      <c r="R299" s="177">
        <f t="shared" si="102"/>
        <v>0.99450713446589112</v>
      </c>
      <c r="S299" s="811">
        <f t="shared" si="103"/>
        <v>-1</v>
      </c>
      <c r="T299" s="176">
        <f t="shared" si="104"/>
        <v>5</v>
      </c>
      <c r="U299" s="251">
        <f t="shared" si="105"/>
        <v>-5.4928655341088817E-3</v>
      </c>
      <c r="V299" s="383">
        <f t="shared" si="106"/>
        <v>38.988738091054444</v>
      </c>
      <c r="W299" s="402"/>
      <c r="X299" s="157">
        <f t="shared" si="107"/>
        <v>44481</v>
      </c>
      <c r="Y299" s="385">
        <f t="shared" si="108"/>
        <v>36.188088488011282</v>
      </c>
      <c r="Z299" s="385">
        <f t="shared" si="109"/>
        <v>37.169749563401346</v>
      </c>
      <c r="AA299" s="386">
        <f t="shared" si="110"/>
        <v>39.759510283987211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6.5135629239097215E-2</v>
      </c>
      <c r="AD299" s="231">
        <f>(INDEX(Models!$BJ299:$BT299,,AH299)*(1-AF299)+INDEX(Models!$BJ299:$BT299,,AH299+1)*AF299-ERP_i)*AE299*Ramure*Pc/MaxiM</f>
        <v>2.2910953682402354E-4</v>
      </c>
      <c r="AE299" s="305">
        <f t="shared" si="112"/>
        <v>0.5</v>
      </c>
      <c r="AF299" s="177">
        <f t="shared" si="113"/>
        <v>0.99450713446589112</v>
      </c>
      <c r="AG299" s="811">
        <f t="shared" si="119"/>
        <v>-1</v>
      </c>
      <c r="AH299" s="176">
        <f t="shared" si="114"/>
        <v>5</v>
      </c>
      <c r="AI299" s="225">
        <f t="shared" si="115"/>
        <v>-5.4928655341088817E-3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7">
        <v>37.216000000000001</v>
      </c>
      <c r="C300" s="390"/>
      <c r="D300" s="393">
        <f t="shared" si="98"/>
        <v>38.226382111878429</v>
      </c>
      <c r="E300" s="385">
        <f t="shared" si="120"/>
        <v>38.995023337361772</v>
      </c>
      <c r="F300" s="385">
        <f t="shared" si="99"/>
        <v>39.003625806496558</v>
      </c>
      <c r="G300" s="110">
        <f t="shared" si="121"/>
        <v>0.96237424434376284</v>
      </c>
      <c r="H300" s="414" t="b">
        <f>Wh_hp&gt;='2020'!Maxi_hp</f>
        <v>0</v>
      </c>
      <c r="I300" s="380">
        <f>IF(H300,Wh_hp,'2020'!Maxi_hp)</f>
        <v>39.855056795061437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2.6431539059106002E-2</v>
      </c>
      <c r="M300" s="845"/>
      <c r="N300" s="845"/>
      <c r="O300" s="48">
        <f>IF(t&lt;Tnet,'2020'!Resal+('2020'!Salim-'2020'!Resal)*(1-EXP(('2020'!Tnet-t)/('2020'!Tau_j))),Resal+(Salim-Resal)*(1-EXP((Tnet-t)/(Tau_j))))*Salcycl</f>
        <v>1.9711264661480436E-2</v>
      </c>
      <c r="P300" s="169">
        <f>(INDEX(Models!$BJ300:$BT300,,T300)*(1-R300)+INDEX(Models!$BJ300:$BT300,,T300+1)*R300-ERP_i)*Q300*Ramure*Pc/MaxiM</f>
        <v>2.3307990921522787E-4</v>
      </c>
      <c r="Q300" s="305">
        <f t="shared" si="101"/>
        <v>0.5</v>
      </c>
      <c r="R300" s="177">
        <f t="shared" si="102"/>
        <v>0.99462912079548527</v>
      </c>
      <c r="S300" s="811">
        <f t="shared" si="103"/>
        <v>-1</v>
      </c>
      <c r="T300" s="176">
        <f t="shared" si="104"/>
        <v>5</v>
      </c>
      <c r="U300" s="251">
        <f t="shared" si="105"/>
        <v>-5.3708792045147336E-3</v>
      </c>
      <c r="V300" s="383">
        <f t="shared" si="106"/>
        <v>38.670542164037116</v>
      </c>
      <c r="W300" s="402"/>
      <c r="X300" s="157">
        <f t="shared" si="107"/>
        <v>44482</v>
      </c>
      <c r="Y300" s="385">
        <f t="shared" si="108"/>
        <v>35.491483981798041</v>
      </c>
      <c r="Z300" s="385">
        <f t="shared" si="109"/>
        <v>36.45504697995014</v>
      </c>
      <c r="AA300" s="386">
        <f t="shared" si="110"/>
        <v>38.995023337361772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6.5135910688840032E-2</v>
      </c>
      <c r="AD300" s="231">
        <f>(INDEX(Models!$BJ300:$BT300,,AH300)*(1-AF300)+INDEX(Models!$BJ300:$BT300,,AH300+1)*AF300-ERP_i)*AE300*Ramure*Pc/MaxiM</f>
        <v>2.3307990921522787E-4</v>
      </c>
      <c r="AE300" s="305">
        <f t="shared" si="112"/>
        <v>0.5</v>
      </c>
      <c r="AF300" s="177">
        <f t="shared" si="113"/>
        <v>0.99462912079548527</v>
      </c>
      <c r="AG300" s="811">
        <f t="shared" si="119"/>
        <v>-1</v>
      </c>
      <c r="AH300" s="176">
        <f t="shared" si="114"/>
        <v>5</v>
      </c>
      <c r="AI300" s="225">
        <f t="shared" si="115"/>
        <v>-5.3708792045147336E-3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7">
        <v>39.984999999999999</v>
      </c>
      <c r="C301" s="390"/>
      <c r="D301" s="393">
        <f t="shared" si="98"/>
        <v>41.071457629858955</v>
      </c>
      <c r="E301" s="385">
        <f t="shared" si="120"/>
        <v>41.900114432245658</v>
      </c>
      <c r="F301" s="385">
        <f t="shared" si="99"/>
        <v>41.909965007378638</v>
      </c>
      <c r="G301" s="110">
        <f t="shared" si="121"/>
        <v>1.0425657118720353</v>
      </c>
      <c r="H301" s="414" t="b">
        <f>Wh_hp&gt;='2020'!Maxi_hp</f>
        <v>1</v>
      </c>
      <c r="I301" s="380">
        <f>IF(H301,Wh_hp,'2020'!Maxi_hp)</f>
        <v>41.909965007378638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2.6452862706998204E-2</v>
      </c>
      <c r="M301" s="845"/>
      <c r="N301" s="845"/>
      <c r="O301" s="48">
        <f>IF(t&lt;Tnet,'2020'!Resal+('2020'!Salim-'2020'!Resal)*(1-EXP(('2020'!Tnet-t)/('2020'!Tau_j))),Resal+(Salim-Resal)*(1-EXP((Tnet-t)/(Tau_j))))*Salcycl</f>
        <v>1.9776957977684639E-2</v>
      </c>
      <c r="P301" s="169">
        <f>(INDEX(Models!$BJ301:$BT301,,T301)*(1-R301)+INDEX(Models!$BJ301:$BT301,,T301+1)*R301-ERP_i)*Q301*Ramure*Pc/MaxiM</f>
        <v>2.3504135904786464E-4</v>
      </c>
      <c r="Q301" s="305">
        <f t="shared" si="101"/>
        <v>0.5</v>
      </c>
      <c r="R301" s="177">
        <f t="shared" si="102"/>
        <v>0.99474625183626608</v>
      </c>
      <c r="S301" s="811">
        <f t="shared" si="103"/>
        <v>-1</v>
      </c>
      <c r="T301" s="176">
        <f t="shared" si="104"/>
        <v>5</v>
      </c>
      <c r="U301" s="251">
        <f t="shared" si="105"/>
        <v>-5.2537481637339178E-3</v>
      </c>
      <c r="V301" s="383">
        <f t="shared" si="106"/>
        <v>38.352498595223103</v>
      </c>
      <c r="W301" s="402"/>
      <c r="X301" s="157">
        <f t="shared" si="107"/>
        <v>44483</v>
      </c>
      <c r="Y301" s="385">
        <f t="shared" si="108"/>
        <v>38.134756907307988</v>
      </c>
      <c r="Z301" s="385">
        <f t="shared" si="109"/>
        <v>39.170940416242871</v>
      </c>
      <c r="AA301" s="386">
        <f t="shared" si="110"/>
        <v>41.900114432245658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6.5135240153484125E-2</v>
      </c>
      <c r="AD301" s="231">
        <f>(INDEX(Models!$BJ301:$BT301,,AH301)*(1-AF301)+INDEX(Models!$BJ301:$BT301,,AH301+1)*AF301-ERP_i)*AE301*Ramure*Pc/MaxiM</f>
        <v>2.3504135904786464E-4</v>
      </c>
      <c r="AE301" s="305">
        <f t="shared" si="112"/>
        <v>0.5</v>
      </c>
      <c r="AF301" s="177">
        <f t="shared" si="113"/>
        <v>0.99474625183626608</v>
      </c>
      <c r="AG301" s="811">
        <f t="shared" si="119"/>
        <v>-1</v>
      </c>
      <c r="AH301" s="176">
        <f t="shared" si="114"/>
        <v>5</v>
      </c>
      <c r="AI301" s="225">
        <f t="shared" si="115"/>
        <v>-5.2537481637339178E-3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7">
        <v>32.725000000000001</v>
      </c>
      <c r="C302" s="390"/>
      <c r="D302" s="393">
        <f t="shared" si="98"/>
        <v>33.614927848466905</v>
      </c>
      <c r="E302" s="385">
        <f t="shared" si="120"/>
        <v>34.295425709642195</v>
      </c>
      <c r="F302" s="385">
        <f t="shared" si="99"/>
        <v>34.301878296898892</v>
      </c>
      <c r="G302" s="110">
        <f t="shared" si="121"/>
        <v>0.86036033572031889</v>
      </c>
      <c r="H302" s="414" t="b">
        <f>Wh_hp&gt;='2020'!Maxi_hp</f>
        <v>1</v>
      </c>
      <c r="I302" s="380">
        <f>IF(H302,Wh_hp,'2020'!Maxi_hp)</f>
        <v>34.301878296898892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2.6474185887847779E-2</v>
      </c>
      <c r="M302" s="845"/>
      <c r="N302" s="845"/>
      <c r="O302" s="48">
        <f>IF(t&lt;Tnet,'2020'!Resal+('2020'!Salim-'2020'!Resal)*(1-EXP(('2020'!Tnet-t)/('2020'!Tau_j))),Resal+(Salim-Resal)*(1-EXP((Tnet-t)/(Tau_j))))*Salcycl</f>
        <v>1.9842233974193449E-2</v>
      </c>
      <c r="P302" s="169">
        <f>(INDEX(Models!$BJ302:$BT302,,T302)*(1-R302)+INDEX(Models!$BJ302:$BT302,,T302+1)*R302-ERP_i)*Q302*Ramure*Pc/MaxiM</f>
        <v>2.349716059332298E-4</v>
      </c>
      <c r="Q302" s="305">
        <f t="shared" si="101"/>
        <v>0.5</v>
      </c>
      <c r="R302" s="177">
        <f t="shared" si="102"/>
        <v>0.99485871867563214</v>
      </c>
      <c r="S302" s="811">
        <f t="shared" si="103"/>
        <v>-1</v>
      </c>
      <c r="T302" s="176">
        <f t="shared" si="104"/>
        <v>5</v>
      </c>
      <c r="U302" s="251">
        <f t="shared" si="105"/>
        <v>-5.141281324367919E-3</v>
      </c>
      <c r="V302" s="383">
        <f t="shared" si="106"/>
        <v>38.034605809851342</v>
      </c>
      <c r="W302" s="402"/>
      <c r="X302" s="157">
        <f t="shared" si="107"/>
        <v>44484</v>
      </c>
      <c r="Y302" s="385">
        <f t="shared" si="108"/>
        <v>31.212834183132365</v>
      </c>
      <c r="Z302" s="385">
        <f t="shared" si="109"/>
        <v>32.061640000371455</v>
      </c>
      <c r="AA302" s="386">
        <f t="shared" si="110"/>
        <v>34.295425709642195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6.5133634094027504E-2</v>
      </c>
      <c r="AD302" s="231">
        <f>(INDEX(Models!$BJ302:$BT302,,AH302)*(1-AF302)+INDEX(Models!$BJ302:$BT302,,AH302+1)*AF302-ERP_i)*AE302*Ramure*Pc/MaxiM</f>
        <v>2.349716059332298E-4</v>
      </c>
      <c r="AE302" s="305">
        <f t="shared" si="112"/>
        <v>0.5</v>
      </c>
      <c r="AF302" s="177">
        <f t="shared" si="113"/>
        <v>0.99485871867563214</v>
      </c>
      <c r="AG302" s="811">
        <f t="shared" si="119"/>
        <v>-1</v>
      </c>
      <c r="AH302" s="176">
        <f t="shared" si="114"/>
        <v>5</v>
      </c>
      <c r="AI302" s="225">
        <f t="shared" si="115"/>
        <v>-5.141281324367919E-3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7">
        <v>36.741999999999997</v>
      </c>
      <c r="C303" s="390"/>
      <c r="D303" s="393">
        <f t="shared" si="98"/>
        <v>37.741993308345236</v>
      </c>
      <c r="E303" s="385">
        <f t="shared" si="120"/>
        <v>38.508587465393717</v>
      </c>
      <c r="F303" s="385">
        <f t="shared" si="99"/>
        <v>38.517225515333379</v>
      </c>
      <c r="G303" s="110">
        <f t="shared" si="121"/>
        <v>0.97416770855452417</v>
      </c>
      <c r="H303" s="414" t="b">
        <f>Wh_hp&gt;='2020'!Maxi_hp</f>
        <v>1</v>
      </c>
      <c r="I303" s="380">
        <f>IF(H303,Wh_hp,'2020'!Maxi_hp)</f>
        <v>38.517225515333379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2.6495508601664941E-2</v>
      </c>
      <c r="M303" s="845"/>
      <c r="N303" s="845"/>
      <c r="O303" s="48">
        <f>IF(t&lt;Tnet,'2020'!Resal+('2020'!Salim-'2020'!Resal)*(1-EXP(('2020'!Tnet-t)/('2020'!Tau_j))),Resal+(Salim-Resal)*(1-EXP((Tnet-t)/(Tau_j))))*Salcycl</f>
        <v>1.9907096248009504E-2</v>
      </c>
      <c r="P303" s="169">
        <f>(INDEX(Models!$BJ303:$BT303,,T303)*(1-R303)+INDEX(Models!$BJ303:$BT303,,T303+1)*R303-ERP_i)*Q303*Ramure*Pc/MaxiM</f>
        <v>2.3285491826594996E-4</v>
      </c>
      <c r="Q303" s="305">
        <f t="shared" si="101"/>
        <v>0.5</v>
      </c>
      <c r="R303" s="177">
        <f t="shared" si="102"/>
        <v>0.99496670505026508</v>
      </c>
      <c r="S303" s="811">
        <f t="shared" si="103"/>
        <v>-1</v>
      </c>
      <c r="T303" s="176">
        <f t="shared" si="104"/>
        <v>5</v>
      </c>
      <c r="U303" s="251">
        <f t="shared" si="105"/>
        <v>-5.0332949497349233E-3</v>
      </c>
      <c r="V303" s="383">
        <f t="shared" si="106"/>
        <v>37.715974344932221</v>
      </c>
      <c r="W303" s="402"/>
      <c r="X303" s="157">
        <f t="shared" si="107"/>
        <v>44485</v>
      </c>
      <c r="Y303" s="385">
        <f t="shared" si="108"/>
        <v>35.046629293210216</v>
      </c>
      <c r="Z303" s="385">
        <f t="shared" si="109"/>
        <v>36.000480329443043</v>
      </c>
      <c r="AA303" s="386">
        <f t="shared" si="110"/>
        <v>38.508587465393717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6.5131112331882443E-2</v>
      </c>
      <c r="AD303" s="231">
        <f>(INDEX(Models!$BJ303:$BT303,,AH303)*(1-AF303)+INDEX(Models!$BJ303:$BT303,,AH303+1)*AF303-ERP_i)*AE303*Ramure*Pc/MaxiM</f>
        <v>2.3285491826594996E-4</v>
      </c>
      <c r="AE303" s="305">
        <f t="shared" si="112"/>
        <v>0.5</v>
      </c>
      <c r="AF303" s="177">
        <f t="shared" si="113"/>
        <v>0.99496670505026508</v>
      </c>
      <c r="AG303" s="811">
        <f t="shared" si="119"/>
        <v>-1</v>
      </c>
      <c r="AH303" s="176">
        <f t="shared" si="114"/>
        <v>5</v>
      </c>
      <c r="AI303" s="225">
        <f t="shared" si="115"/>
        <v>-5.0332949497349233E-3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7">
        <v>34.500999999999998</v>
      </c>
      <c r="C304" s="390"/>
      <c r="D304" s="393">
        <f t="shared" si="98"/>
        <v>35.440777091267101</v>
      </c>
      <c r="E304" s="385">
        <f t="shared" si="120"/>
        <v>36.163008404728579</v>
      </c>
      <c r="F304" s="385">
        <f t="shared" si="99"/>
        <v>36.170374756257267</v>
      </c>
      <c r="G304" s="110">
        <f t="shared" si="121"/>
        <v>0.92256251154387814</v>
      </c>
      <c r="H304" s="414" t="b">
        <f>Wh_hp&gt;='2020'!Maxi_hp</f>
        <v>1</v>
      </c>
      <c r="I304" s="380">
        <f>IF(H304,Wh_hp,'2020'!Maxi_hp)</f>
        <v>36.170374756257267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2.6516830848460016E-2</v>
      </c>
      <c r="M304" s="845"/>
      <c r="N304" s="845"/>
      <c r="O304" s="48">
        <f>IF(t&lt;Tnet,'2020'!Resal+('2020'!Salim-'2020'!Resal)*(1-EXP(('2020'!Tnet-t)/('2020'!Tau_j))),Resal+(Salim-Resal)*(1-EXP((Tnet-t)/(Tau_j))))*Salcycl</f>
        <v>1.9971549528690132E-2</v>
      </c>
      <c r="P304" s="169">
        <f>(INDEX(Models!$BJ304:$BT304,,T304)*(1-R304)+INDEX(Models!$BJ304:$BT304,,T304+1)*R304-ERP_i)*Q304*Ramure*Pc/MaxiM</f>
        <v>2.2898034490422361E-4</v>
      </c>
      <c r="Q304" s="305">
        <f t="shared" si="101"/>
        <v>0.5</v>
      </c>
      <c r="R304" s="177">
        <f t="shared" si="102"/>
        <v>0.99507038761550992</v>
      </c>
      <c r="S304" s="811">
        <f t="shared" si="103"/>
        <v>-1</v>
      </c>
      <c r="T304" s="176">
        <f t="shared" si="104"/>
        <v>5</v>
      </c>
      <c r="U304" s="251">
        <f t="shared" si="105"/>
        <v>-4.9296123844900785E-3</v>
      </c>
      <c r="V304" s="383">
        <f t="shared" si="106"/>
        <v>37.39597665314016</v>
      </c>
      <c r="W304" s="402"/>
      <c r="X304" s="157">
        <f t="shared" si="107"/>
        <v>44486</v>
      </c>
      <c r="Y304" s="385">
        <f t="shared" si="108"/>
        <v>32.911319332313411</v>
      </c>
      <c r="Z304" s="385">
        <f t="shared" si="109"/>
        <v>33.807794911336757</v>
      </c>
      <c r="AA304" s="386">
        <f t="shared" si="110"/>
        <v>36.163008404728579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6.5127698089516878E-2</v>
      </c>
      <c r="AD304" s="231">
        <f>(INDEX(Models!$BJ304:$BT304,,AH304)*(1-AF304)+INDEX(Models!$BJ304:$BT304,,AH304+1)*AF304-ERP_i)*AE304*Ramure*Pc/MaxiM</f>
        <v>2.2898034490422361E-4</v>
      </c>
      <c r="AE304" s="305">
        <f t="shared" si="112"/>
        <v>0.5</v>
      </c>
      <c r="AF304" s="177">
        <f t="shared" si="113"/>
        <v>0.99507038761550992</v>
      </c>
      <c r="AG304" s="811">
        <f t="shared" si="119"/>
        <v>-1</v>
      </c>
      <c r="AH304" s="176">
        <f t="shared" si="114"/>
        <v>5</v>
      </c>
      <c r="AI304" s="225">
        <f t="shared" si="115"/>
        <v>-4.9296123844900785E-3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7">
        <v>34.125999999999998</v>
      </c>
      <c r="C305" s="390"/>
      <c r="D305" s="393">
        <f t="shared" si="98"/>
        <v>35.056330242563234</v>
      </c>
      <c r="E305" s="385">
        <f t="shared" si="120"/>
        <v>35.773065054075609</v>
      </c>
      <c r="F305" s="385">
        <f t="shared" si="99"/>
        <v>35.780182307545168</v>
      </c>
      <c r="G305" s="110">
        <f t="shared" si="121"/>
        <v>0.92043553103982778</v>
      </c>
      <c r="H305" s="414" t="b">
        <f>Wh_hp&gt;='2020'!Maxi_hp</f>
        <v>0</v>
      </c>
      <c r="I305" s="380">
        <f>IF(H305,Wh_hp,'2020'!Maxi_hp)</f>
        <v>37.794322636082605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2.6538152628243106E-2</v>
      </c>
      <c r="M305" s="845"/>
      <c r="N305" s="845"/>
      <c r="O305" s="48">
        <f>IF(t&lt;Tnet,'2020'!Resal+('2020'!Salim-'2020'!Resal)*(1-EXP(('2020'!Tnet-t)/('2020'!Tau_j))),Resal+(Salim-Resal)*(1-EXP((Tnet-t)/(Tau_j))))*Salcycl</f>
        <v>2.0035599701309789E-2</v>
      </c>
      <c r="P305" s="169">
        <f>(INDEX(Models!$BJ305:$BT305,,T305)*(1-R305)+INDEX(Models!$BJ305:$BT305,,T305+1)*R305-ERP_i)*Q305*Ramure*Pc/MaxiM</f>
        <v>2.244165232005412E-4</v>
      </c>
      <c r="Q305" s="305">
        <f t="shared" si="101"/>
        <v>0.5</v>
      </c>
      <c r="R305" s="177">
        <f t="shared" si="102"/>
        <v>0.9951699362059504</v>
      </c>
      <c r="S305" s="811">
        <f t="shared" si="103"/>
        <v>-1</v>
      </c>
      <c r="T305" s="176">
        <f t="shared" si="104"/>
        <v>5</v>
      </c>
      <c r="U305" s="251">
        <f t="shared" si="105"/>
        <v>-4.8300637940495994E-3</v>
      </c>
      <c r="V305" s="383">
        <f t="shared" si="106"/>
        <v>37.074980754009459</v>
      </c>
      <c r="W305" s="402"/>
      <c r="X305" s="157">
        <f t="shared" si="107"/>
        <v>44487</v>
      </c>
      <c r="Y305" s="385">
        <f t="shared" si="108"/>
        <v>32.555874710582216</v>
      </c>
      <c r="Z305" s="385">
        <f t="shared" si="109"/>
        <v>33.443400785022654</v>
      </c>
      <c r="AA305" s="386">
        <f t="shared" si="110"/>
        <v>35.773065054075609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6.5123418011047374E-2</v>
      </c>
      <c r="AD305" s="231">
        <f>(INDEX(Models!$BJ305:$BT305,,AH305)*(1-AF305)+INDEX(Models!$BJ305:$BT305,,AH305+1)*AF305-ERP_i)*AE305*Ramure*Pc/MaxiM</f>
        <v>2.244165232005412E-4</v>
      </c>
      <c r="AE305" s="305">
        <f t="shared" si="112"/>
        <v>0.5</v>
      </c>
      <c r="AF305" s="177">
        <f t="shared" si="113"/>
        <v>0.9951699362059504</v>
      </c>
      <c r="AG305" s="811">
        <f t="shared" si="119"/>
        <v>-1</v>
      </c>
      <c r="AH305" s="176">
        <f t="shared" si="114"/>
        <v>5</v>
      </c>
      <c r="AI305" s="225">
        <f t="shared" si="115"/>
        <v>-4.8300637940495994E-3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7">
        <v>35.32</v>
      </c>
      <c r="C306" s="390"/>
      <c r="D306" s="393">
        <f t="shared" si="98"/>
        <v>36.283675329395678</v>
      </c>
      <c r="E306" s="385">
        <f t="shared" si="120"/>
        <v>37.027908664172813</v>
      </c>
      <c r="F306" s="385">
        <f t="shared" si="99"/>
        <v>37.035573020362577</v>
      </c>
      <c r="G306" s="110">
        <f t="shared" si="121"/>
        <v>0.96098791000190309</v>
      </c>
      <c r="H306" s="414" t="b">
        <f>Wh_hp&gt;='2020'!Maxi_hp</f>
        <v>0</v>
      </c>
      <c r="I306" s="380">
        <f>IF(H306,Wh_hp,'2020'!Maxi_hp)</f>
        <v>37.715287299843339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2.6559473941024536E-2</v>
      </c>
      <c r="M306" s="845"/>
      <c r="N306" s="845"/>
      <c r="O306" s="48">
        <f>IF(t&lt;Tnet,'2020'!Resal+('2020'!Salim-'2020'!Resal)*(1-EXP(('2020'!Tnet-t)/('2020'!Tau_j))),Resal+(Salim-Resal)*(1-EXP((Tnet-t)/(Tau_j))))*Salcycl</f>
        <v>2.0099253823028702E-2</v>
      </c>
      <c r="P306" s="169">
        <f>(INDEX(Models!$BJ306:$BT306,,T306)*(1-R306)+INDEX(Models!$BJ306:$BT306,,T306+1)*R306-ERP_i)*Q306*Ramure*Pc/MaxiM</f>
        <v>2.1915602971212252E-4</v>
      </c>
      <c r="Q306" s="305">
        <f t="shared" si="101"/>
        <v>0.5</v>
      </c>
      <c r="R306" s="177">
        <f t="shared" si="102"/>
        <v>0.99526551408738051</v>
      </c>
      <c r="S306" s="811">
        <f t="shared" si="103"/>
        <v>-1</v>
      </c>
      <c r="T306" s="176">
        <f t="shared" si="104"/>
        <v>5</v>
      </c>
      <c r="U306" s="251">
        <f t="shared" si="105"/>
        <v>-4.7344859126194905E-3</v>
      </c>
      <c r="V306" s="383">
        <f t="shared" si="106"/>
        <v>36.753395414991964</v>
      </c>
      <c r="W306" s="402"/>
      <c r="X306" s="157">
        <f t="shared" si="107"/>
        <v>44488</v>
      </c>
      <c r="Y306" s="385">
        <f t="shared" si="108"/>
        <v>33.697312402774116</v>
      </c>
      <c r="Z306" s="385">
        <f t="shared" si="109"/>
        <v>34.616714119350917</v>
      </c>
      <c r="AA306" s="386">
        <f t="shared" si="110"/>
        <v>37.027908664172813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6.5118302162036595E-2</v>
      </c>
      <c r="AD306" s="231">
        <f>(INDEX(Models!$BJ306:$BT306,,AH306)*(1-AF306)+INDEX(Models!$BJ306:$BT306,,AH306+1)*AF306-ERP_i)*AE306*Ramure*Pc/MaxiM</f>
        <v>2.1915602971212252E-4</v>
      </c>
      <c r="AE306" s="305">
        <f t="shared" si="112"/>
        <v>0.5</v>
      </c>
      <c r="AF306" s="177">
        <f t="shared" si="113"/>
        <v>0.99526551408738051</v>
      </c>
      <c r="AG306" s="811">
        <f t="shared" si="119"/>
        <v>-1</v>
      </c>
      <c r="AH306" s="176">
        <f t="shared" si="114"/>
        <v>5</v>
      </c>
      <c r="AI306" s="225">
        <f t="shared" si="115"/>
        <v>-4.7344859126194905E-3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7">
        <v>26.375</v>
      </c>
      <c r="C307" s="390"/>
      <c r="D307" s="393">
        <f t="shared" si="98"/>
        <v>27.095212277246667</v>
      </c>
      <c r="E307" s="385">
        <f t="shared" si="120"/>
        <v>27.652761640555735</v>
      </c>
      <c r="F307" s="385">
        <f t="shared" si="99"/>
        <v>27.656332648608785</v>
      </c>
      <c r="G307" s="110">
        <f t="shared" si="121"/>
        <v>0.72389796765117964</v>
      </c>
      <c r="H307" s="414" t="b">
        <f>Wh_hp&gt;='2020'!Maxi_hp</f>
        <v>0</v>
      </c>
      <c r="I307" s="380">
        <f>IF(H307,Wh_hp,'2020'!Maxi_hp)</f>
        <v>31.908942257613869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2.658079478681441E-2</v>
      </c>
      <c r="M307" s="845"/>
      <c r="N307" s="845"/>
      <c r="O307" s="48">
        <f>IF(t&lt;Tnet,'2020'!Resal+('2020'!Salim-'2020'!Resal)*(1-EXP(('2020'!Tnet-t)/('2020'!Tau_j))),Resal+(Salim-Resal)*(1-EXP((Tnet-t)/(Tau_j))))*Salcycl</f>
        <v>2.0162520132938976E-2</v>
      </c>
      <c r="P307" s="169">
        <f>(INDEX(Models!$BJ307:$BT307,,T307)*(1-R307)+INDEX(Models!$BJ307:$BT307,,T307+1)*R307-ERP_i)*Q307*Ramure*Pc/MaxiM</f>
        <v>2.1319184334171523E-4</v>
      </c>
      <c r="Q307" s="305">
        <f t="shared" si="101"/>
        <v>0.5</v>
      </c>
      <c r="R307" s="177">
        <f t="shared" si="102"/>
        <v>0.9953572782003739</v>
      </c>
      <c r="S307" s="811">
        <f t="shared" si="103"/>
        <v>-1</v>
      </c>
      <c r="T307" s="176">
        <f t="shared" si="104"/>
        <v>5</v>
      </c>
      <c r="U307" s="251">
        <f t="shared" si="105"/>
        <v>-4.6427217996261039E-3</v>
      </c>
      <c r="V307" s="383">
        <f t="shared" si="106"/>
        <v>36.431629205565663</v>
      </c>
      <c r="W307" s="402"/>
      <c r="X307" s="157">
        <f t="shared" si="107"/>
        <v>44489</v>
      </c>
      <c r="Y307" s="385">
        <f t="shared" si="108"/>
        <v>25.165051734025234</v>
      </c>
      <c r="Z307" s="385">
        <f t="shared" si="109"/>
        <v>25.852224405736798</v>
      </c>
      <c r="AA307" s="386">
        <f t="shared" si="110"/>
        <v>27.652761640555735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6.5112384007905186E-2</v>
      </c>
      <c r="AD307" s="231">
        <f>(INDEX(Models!$BJ307:$BT307,,AH307)*(1-AF307)+INDEX(Models!$BJ307:$BT307,,AH307+1)*AF307-ERP_i)*AE307*Ramure*Pc/MaxiM</f>
        <v>2.1319184334171523E-4</v>
      </c>
      <c r="AE307" s="305">
        <f t="shared" si="112"/>
        <v>0.5</v>
      </c>
      <c r="AF307" s="177">
        <f t="shared" si="113"/>
        <v>0.9953572782003739</v>
      </c>
      <c r="AG307" s="811">
        <f t="shared" si="119"/>
        <v>-1</v>
      </c>
      <c r="AH307" s="176">
        <f t="shared" si="114"/>
        <v>5</v>
      </c>
      <c r="AI307" s="225">
        <f t="shared" si="115"/>
        <v>-4.6427217996261039E-3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7">
        <v>14.914</v>
      </c>
      <c r="C308" s="390"/>
      <c r="D308" s="393">
        <f t="shared" si="98"/>
        <v>15.321586611560811</v>
      </c>
      <c r="E308" s="385">
        <f t="shared" si="120"/>
        <v>15.637868890990255</v>
      </c>
      <c r="F308" s="385">
        <f t="shared" si="99"/>
        <v>15.638390308704523</v>
      </c>
      <c r="G308" s="110">
        <f t="shared" si="121"/>
        <v>0.41294322363771707</v>
      </c>
      <c r="H308" s="414" t="b">
        <f>Wh_hp&gt;='2020'!Maxi_hp</f>
        <v>0</v>
      </c>
      <c r="I308" s="380">
        <f>IF(H308,Wh_hp,'2020'!Maxi_hp)</f>
        <v>24.59946864863414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2.6602115165623164E-2</v>
      </c>
      <c r="M308" s="845"/>
      <c r="N308" s="845"/>
      <c r="O308" s="48">
        <f>IF(t&lt;Tnet,'2020'!Resal+('2020'!Salim-'2020'!Resal)*(1-EXP(('2020'!Tnet-t)/('2020'!Tau_j))),Resal+(Salim-Resal)*(1-EXP((Tnet-t)/(Tau_j))))*Salcycl</f>
        <v>2.022540805490888E-2</v>
      </c>
      <c r="P308" s="169">
        <f>(INDEX(Models!$BJ308:$BT308,,T308)*(1-R308)+INDEX(Models!$BJ308:$BT308,,T308+1)*R308-ERP_i)*Q308*Ramure*Pc/MaxiM</f>
        <v>2.0651739812789066E-4</v>
      </c>
      <c r="Q308" s="305">
        <f t="shared" si="101"/>
        <v>0.5</v>
      </c>
      <c r="R308" s="177">
        <f t="shared" si="102"/>
        <v>0.99544537939565925</v>
      </c>
      <c r="S308" s="811">
        <f t="shared" si="103"/>
        <v>-1</v>
      </c>
      <c r="T308" s="176">
        <f t="shared" si="104"/>
        <v>5</v>
      </c>
      <c r="U308" s="251">
        <f t="shared" si="105"/>
        <v>-4.5546206043408088E-3</v>
      </c>
      <c r="V308" s="383">
        <f t="shared" si="106"/>
        <v>36.110090503546111</v>
      </c>
      <c r="W308" s="402"/>
      <c r="X308" s="157">
        <f t="shared" si="107"/>
        <v>44490</v>
      </c>
      <c r="Y308" s="385">
        <f t="shared" si="108"/>
        <v>14.230838092048838</v>
      </c>
      <c r="Z308" s="385">
        <f t="shared" si="109"/>
        <v>14.619754484539699</v>
      </c>
      <c r="AA308" s="386">
        <f t="shared" si="110"/>
        <v>15.637868890990255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6.5105700370537228E-2</v>
      </c>
      <c r="AD308" s="231">
        <f>(INDEX(Models!$BJ308:$BT308,,AH308)*(1-AF308)+INDEX(Models!$BJ308:$BT308,,AH308+1)*AF308-ERP_i)*AE308*Ramure*Pc/MaxiM</f>
        <v>2.0651739812789066E-4</v>
      </c>
      <c r="AE308" s="305">
        <f t="shared" si="112"/>
        <v>0.5</v>
      </c>
      <c r="AF308" s="177">
        <f t="shared" si="113"/>
        <v>0.99544537939565925</v>
      </c>
      <c r="AG308" s="811">
        <f t="shared" si="119"/>
        <v>-1</v>
      </c>
      <c r="AH308" s="176">
        <f t="shared" si="114"/>
        <v>5</v>
      </c>
      <c r="AI308" s="225">
        <f t="shared" si="115"/>
        <v>-4.5546206043408088E-3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7">
        <v>12.494</v>
      </c>
      <c r="C309" s="390"/>
      <c r="D309" s="393">
        <f t="shared" si="98"/>
        <v>12.83573125781415</v>
      </c>
      <c r="E309" s="385">
        <f t="shared" si="120"/>
        <v>13.101534243772527</v>
      </c>
      <c r="F309" s="385">
        <f t="shared" si="99"/>
        <v>13.101717238975315</v>
      </c>
      <c r="G309" s="110">
        <f t="shared" si="121"/>
        <v>0.34903521034462925</v>
      </c>
      <c r="H309" s="414" t="b">
        <f>Wh_hp&gt;='2020'!Maxi_hp</f>
        <v>0</v>
      </c>
      <c r="I309" s="380">
        <f>IF(H309,Wh_hp,'2020'!Maxi_hp)</f>
        <v>25.794551330369501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2.6623435077460789E-2</v>
      </c>
      <c r="M309" s="845"/>
      <c r="N309" s="845"/>
      <c r="O309" s="48">
        <f>IF(t&lt;Tnet,'2020'!Resal+('2020'!Salim-'2020'!Resal)*(1-EXP(('2020'!Tnet-t)/('2020'!Tau_j))),Resal+(Salim-Resal)*(1-EXP((Tnet-t)/(Tau_j))))*Salcycl</f>
        <v>2.0287928193197614E-2</v>
      </c>
      <c r="P309" s="169">
        <f>(INDEX(Models!$BJ309:$BT309,,T309)*(1-R309)+INDEX(Models!$BJ309:$BT309,,T309+1)*R309-ERP_i)*Q309*Ramure*Pc/MaxiM</f>
        <v>1.9912663471482279E-4</v>
      </c>
      <c r="Q309" s="305">
        <f t="shared" si="101"/>
        <v>0.5</v>
      </c>
      <c r="R309" s="177">
        <f t="shared" si="102"/>
        <v>0.99552996266150506</v>
      </c>
      <c r="S309" s="811">
        <f t="shared" si="103"/>
        <v>-1</v>
      </c>
      <c r="T309" s="176">
        <f t="shared" si="104"/>
        <v>5</v>
      </c>
      <c r="U309" s="251">
        <f t="shared" si="105"/>
        <v>-4.4700373384948811E-3</v>
      </c>
      <c r="V309" s="383">
        <f t="shared" si="106"/>
        <v>35.789187498398036</v>
      </c>
      <c r="W309" s="402"/>
      <c r="X309" s="157">
        <f t="shared" si="107"/>
        <v>44491</v>
      </c>
      <c r="Y309" s="385">
        <f t="shared" si="108"/>
        <v>11.922545698728714</v>
      </c>
      <c r="Z309" s="385">
        <f t="shared" si="109"/>
        <v>12.248646750271313</v>
      </c>
      <c r="AA309" s="386">
        <f t="shared" si="110"/>
        <v>13.101534243772527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6.5098291362831226E-2</v>
      </c>
      <c r="AD309" s="231">
        <f>(INDEX(Models!$BJ309:$BT309,,AH309)*(1-AF309)+INDEX(Models!$BJ309:$BT309,,AH309+1)*AF309-ERP_i)*AE309*Ramure*Pc/MaxiM</f>
        <v>1.9912663471482279E-4</v>
      </c>
      <c r="AE309" s="305">
        <f t="shared" si="112"/>
        <v>0.5</v>
      </c>
      <c r="AF309" s="177">
        <f t="shared" si="113"/>
        <v>0.99552996266150506</v>
      </c>
      <c r="AG309" s="811">
        <f t="shared" si="119"/>
        <v>-1</v>
      </c>
      <c r="AH309" s="176">
        <f t="shared" si="114"/>
        <v>5</v>
      </c>
      <c r="AI309" s="225">
        <f t="shared" si="115"/>
        <v>-4.4700373384948811E-3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7">
        <v>35.344000000000001</v>
      </c>
      <c r="C310" s="390"/>
      <c r="D310" s="393">
        <f t="shared" si="98"/>
        <v>36.311511305058374</v>
      </c>
      <c r="E310" s="385">
        <f t="shared" si="120"/>
        <v>37.065803835041223</v>
      </c>
      <c r="F310" s="385">
        <f t="shared" si="99"/>
        <v>37.072867075535292</v>
      </c>
      <c r="G310" s="110">
        <f t="shared" si="121"/>
        <v>0.99646608611182186</v>
      </c>
      <c r="H310" s="414" t="b">
        <f>Wh_hp&gt;='2020'!Maxi_hp</f>
        <v>0</v>
      </c>
      <c r="I310" s="380">
        <f>IF(H310,Wh_hp,'2020'!Maxi_hp)</f>
        <v>37.419724893736571</v>
      </c>
      <c r="J310" s="85">
        <f>IF(H310,An,'2020'!An_max)</f>
        <v>2018</v>
      </c>
      <c r="K310" s="197">
        <f t="shared" si="100"/>
        <v>44492</v>
      </c>
      <c r="L310" s="147">
        <f>IF(t&lt;Tvie,1-EXP((T0-t)*PertePVj)+'2020'!Pspv,1-EXP((T0-t)*PertePVj)+Pspv)</f>
        <v>2.6644754522337721E-2</v>
      </c>
      <c r="M310" s="845"/>
      <c r="N310" s="845"/>
      <c r="O310" s="48">
        <f>IF(t&lt;Tnet,'2020'!Resal+('2020'!Salim-'2020'!Resal)*(1-EXP(('2020'!Tnet-t)/('2020'!Tau_j))),Resal+(Salim-Resal)*(1-EXP((Tnet-t)/(Tau_j))))*Salcycl</f>
        <v>2.0350092320667808E-2</v>
      </c>
      <c r="P310" s="169">
        <f>(INDEX(Models!$BJ310:$BT310,,T310)*(1-R310)+INDEX(Models!$BJ310:$BT310,,T310+1)*R310-ERP_i)*Q310*Ramure*Pc/MaxiM</f>
        <v>1.9148964118974592E-4</v>
      </c>
      <c r="Q310" s="305">
        <f t="shared" si="101"/>
        <v>0.5</v>
      </c>
      <c r="R310" s="177">
        <f t="shared" si="102"/>
        <v>0.99561116734332689</v>
      </c>
      <c r="S310" s="811">
        <f t="shared" si="103"/>
        <v>-1</v>
      </c>
      <c r="T310" s="176">
        <f t="shared" si="104"/>
        <v>5</v>
      </c>
      <c r="U310" s="251">
        <f t="shared" si="105"/>
        <v>-4.388832656673114E-3</v>
      </c>
      <c r="V310" s="383">
        <f t="shared" si="106"/>
        <v>35.469311326756852</v>
      </c>
      <c r="W310" s="402"/>
      <c r="X310" s="157">
        <f t="shared" si="107"/>
        <v>44492</v>
      </c>
      <c r="Y310" s="385">
        <f t="shared" si="108"/>
        <v>33.729857678272772</v>
      </c>
      <c r="Z310" s="385">
        <f t="shared" si="109"/>
        <v>34.653183239096073</v>
      </c>
      <c r="AA310" s="386">
        <f t="shared" si="110"/>
        <v>37.065803835041223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6.5090200301127915E-2</v>
      </c>
      <c r="AD310" s="231">
        <f>(INDEX(Models!$BJ310:$BT310,,AH310)*(1-AF310)+INDEX(Models!$BJ310:$BT310,,AH310+1)*AF310-ERP_i)*AE310*Ramure*Pc/MaxiM</f>
        <v>1.9148964118974592E-4</v>
      </c>
      <c r="AE310" s="305">
        <f t="shared" si="112"/>
        <v>0.5</v>
      </c>
      <c r="AF310" s="177">
        <f t="shared" si="113"/>
        <v>0.99561116734332689</v>
      </c>
      <c r="AG310" s="811">
        <f t="shared" si="119"/>
        <v>-1</v>
      </c>
      <c r="AH310" s="176">
        <f t="shared" si="114"/>
        <v>5</v>
      </c>
      <c r="AI310" s="225">
        <f t="shared" si="115"/>
        <v>-4.388832656673114E-3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7">
        <v>36.771000000000001</v>
      </c>
      <c r="C311" s="390"/>
      <c r="D311" s="393">
        <f t="shared" si="98"/>
        <v>37.778401634713774</v>
      </c>
      <c r="E311" s="385">
        <f t="shared" si="120"/>
        <v>38.565599306412743</v>
      </c>
      <c r="F311" s="385">
        <f t="shared" si="99"/>
        <v>38.572719008292552</v>
      </c>
      <c r="G311" s="110">
        <f t="shared" si="121"/>
        <v>1.0460917652643686</v>
      </c>
      <c r="H311" s="414" t="b">
        <f>Wh_hp&gt;='2020'!Maxi_hp</f>
        <v>1</v>
      </c>
      <c r="I311" s="380">
        <f>IF(H311,Wh_hp,'2020'!Maxi_hp)</f>
        <v>38.572719008292552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2.6666073500264065E-2</v>
      </c>
      <c r="M311" s="845"/>
      <c r="N311" s="845"/>
      <c r="O311" s="48">
        <f>IF(t&lt;Tnet,'2020'!Resal+('2020'!Salim-'2020'!Resal)*(1-EXP(('2020'!Tnet-t)/('2020'!Tau_j))),Resal+(Salim-Resal)*(1-EXP((Tnet-t)/(Tau_j))))*Salcycl</f>
        <v>2.0411913359481389E-2</v>
      </c>
      <c r="P311" s="169">
        <f>(INDEX(Models!$BJ311:$BT311,,T311)*(1-R311)+INDEX(Models!$BJ311:$BT311,,T311+1)*R311-ERP_i)*Q311*Ramure*Pc/MaxiM</f>
        <v>1.8457868832833936E-4</v>
      </c>
      <c r="Q311" s="305">
        <f t="shared" si="101"/>
        <v>0.5</v>
      </c>
      <c r="R311" s="177">
        <f t="shared" si="102"/>
        <v>0.99568912735571957</v>
      </c>
      <c r="S311" s="811">
        <f t="shared" si="103"/>
        <v>-1</v>
      </c>
      <c r="T311" s="176">
        <f t="shared" si="104"/>
        <v>5</v>
      </c>
      <c r="U311" s="251">
        <f t="shared" si="105"/>
        <v>-4.3108726442804279E-3</v>
      </c>
      <c r="V311" s="383">
        <f t="shared" si="106"/>
        <v>35.150835921844028</v>
      </c>
      <c r="W311" s="402"/>
      <c r="X311" s="157">
        <f t="shared" si="107"/>
        <v>44493</v>
      </c>
      <c r="Y311" s="385">
        <f t="shared" si="108"/>
        <v>35.094229506519973</v>
      </c>
      <c r="Z311" s="385">
        <f t="shared" si="109"/>
        <v>36.055693273452846</v>
      </c>
      <c r="AA311" s="386">
        <f t="shared" si="110"/>
        <v>38.565599306412743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6.5081473595628686E-2</v>
      </c>
      <c r="AD311" s="231">
        <f>(INDEX(Models!$BJ311:$BT311,,AH311)*(1-AF311)+INDEX(Models!$BJ311:$BT311,,AH311+1)*AF311-ERP_i)*AE311*Ramure*Pc/MaxiM</f>
        <v>1.8457868832833936E-4</v>
      </c>
      <c r="AE311" s="305">
        <f t="shared" si="112"/>
        <v>0.5</v>
      </c>
      <c r="AF311" s="177">
        <f t="shared" si="113"/>
        <v>0.99568912735571957</v>
      </c>
      <c r="AG311" s="811">
        <f t="shared" si="119"/>
        <v>-1</v>
      </c>
      <c r="AH311" s="176">
        <f t="shared" si="114"/>
        <v>5</v>
      </c>
      <c r="AI311" s="225">
        <f t="shared" si="115"/>
        <v>-4.3108726442804279E-3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7">
        <v>32.533000000000001</v>
      </c>
      <c r="C312" s="390"/>
      <c r="D312" s="393">
        <f t="shared" si="98"/>
        <v>33.425026793011639</v>
      </c>
      <c r="E312" s="385">
        <f t="shared" si="120"/>
        <v>34.123654197565777</v>
      </c>
      <c r="F312" s="385">
        <f t="shared" si="99"/>
        <v>34.129168320859478</v>
      </c>
      <c r="G312" s="110">
        <f t="shared" si="121"/>
        <v>0.93392356686352118</v>
      </c>
      <c r="H312" s="414" t="b">
        <f>Wh_hp&gt;='2020'!Maxi_hp</f>
        <v>0</v>
      </c>
      <c r="I312" s="380">
        <f>IF(H312,Wh_hp,'2020'!Maxi_hp)</f>
        <v>35.926796289859503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2.6687392011250144E-2</v>
      </c>
      <c r="M312" s="845"/>
      <c r="N312" s="845"/>
      <c r="O312" s="48">
        <f>IF(t&lt;Tnet,'2020'!Resal+('2020'!Salim-'2020'!Resal)*(1-EXP(('2020'!Tnet-t)/('2020'!Tau_j))),Resal+(Salim-Resal)*(1-EXP((Tnet-t)/(Tau_j))))*Salcycl</f>
        <v>2.047340535422415E-2</v>
      </c>
      <c r="P312" s="169">
        <f>(INDEX(Models!$BJ312:$BT312,,T312)*(1-R312)+INDEX(Models!$BJ312:$BT312,,T312+1)*R312-ERP_i)*Q312*Ramure*Pc/MaxiM</f>
        <v>1.7840258208658093E-4</v>
      </c>
      <c r="Q312" s="305">
        <f t="shared" si="101"/>
        <v>0.5</v>
      </c>
      <c r="R312" s="177">
        <f t="shared" si="102"/>
        <v>0.9957639713871278</v>
      </c>
      <c r="S312" s="811">
        <f t="shared" si="103"/>
        <v>-1</v>
      </c>
      <c r="T312" s="176">
        <f t="shared" si="104"/>
        <v>5</v>
      </c>
      <c r="U312" s="251">
        <f t="shared" si="105"/>
        <v>-4.2360286128722002E-3</v>
      </c>
      <c r="V312" s="383">
        <f t="shared" si="106"/>
        <v>34.834169873060318</v>
      </c>
      <c r="W312" s="402"/>
      <c r="X312" s="157">
        <f t="shared" si="107"/>
        <v>44494</v>
      </c>
      <c r="Y312" s="385">
        <f t="shared" si="108"/>
        <v>31.051742305759461</v>
      </c>
      <c r="Z312" s="385">
        <f t="shared" si="109"/>
        <v>31.903154290711065</v>
      </c>
      <c r="AA312" s="386">
        <f t="shared" si="110"/>
        <v>34.123654197565777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6.5072160619102523E-2</v>
      </c>
      <c r="AD312" s="231">
        <f>(INDEX(Models!$BJ312:$BT312,,AH312)*(1-AF312)+INDEX(Models!$BJ312:$BT312,,AH312+1)*AF312-ERP_i)*AE312*Ramure*Pc/MaxiM</f>
        <v>1.7840258208658093E-4</v>
      </c>
      <c r="AE312" s="305">
        <f t="shared" si="112"/>
        <v>0.5</v>
      </c>
      <c r="AF312" s="177">
        <f t="shared" si="113"/>
        <v>0.9957639713871278</v>
      </c>
      <c r="AG312" s="811">
        <f t="shared" si="119"/>
        <v>-1</v>
      </c>
      <c r="AH312" s="176">
        <f t="shared" si="114"/>
        <v>5</v>
      </c>
      <c r="AI312" s="225">
        <f t="shared" si="115"/>
        <v>-4.2360286128722002E-3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7">
        <v>26.891999999999999</v>
      </c>
      <c r="C313" s="390"/>
      <c r="D313" s="393">
        <f t="shared" si="98"/>
        <v>27.629960606683436</v>
      </c>
      <c r="E313" s="385">
        <f t="shared" si="120"/>
        <v>28.209225297256218</v>
      </c>
      <c r="F313" s="385">
        <f t="shared" si="99"/>
        <v>28.212564759003151</v>
      </c>
      <c r="G313" s="110">
        <f t="shared" si="121"/>
        <v>0.77899039144606874</v>
      </c>
      <c r="H313" s="414" t="b">
        <f>Wh_hp&gt;='2020'!Maxi_hp</f>
        <v>0</v>
      </c>
      <c r="I313" s="380">
        <f>IF(H313,Wh_hp,'2020'!Maxi_hp)</f>
        <v>37.208706699200022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2.6708710055306062E-2</v>
      </c>
      <c r="M313" s="845"/>
      <c r="N313" s="845"/>
      <c r="O313" s="48">
        <f>IF(t&lt;Tnet,'2020'!Resal+('2020'!Salim-'2020'!Resal)*(1-EXP(('2020'!Tnet-t)/('2020'!Tau_j))),Resal+(Salim-Resal)*(1-EXP((Tnet-t)/(Tau_j))))*Salcycl</f>
        <v>2.0534583437465871E-2</v>
      </c>
      <c r="P313" s="169">
        <f>(INDEX(Models!$BJ313:$BT313,,T313)*(1-R313)+INDEX(Models!$BJ313:$BT313,,T313+1)*R313-ERP_i)*Q313*Ramure*Pc/MaxiM</f>
        <v>1.7296832240117898E-4</v>
      </c>
      <c r="Q313" s="305">
        <f t="shared" si="101"/>
        <v>0.5</v>
      </c>
      <c r="R313" s="177">
        <f t="shared" si="102"/>
        <v>0.9958358230973573</v>
      </c>
      <c r="S313" s="811">
        <f t="shared" si="103"/>
        <v>-1</v>
      </c>
      <c r="T313" s="176">
        <f t="shared" si="104"/>
        <v>5</v>
      </c>
      <c r="U313" s="251">
        <f t="shared" si="105"/>
        <v>-4.1641769026427022E-3</v>
      </c>
      <c r="V313" s="383">
        <f t="shared" si="106"/>
        <v>34.519721689272316</v>
      </c>
      <c r="W313" s="402"/>
      <c r="X313" s="157">
        <f t="shared" si="107"/>
        <v>44495</v>
      </c>
      <c r="Y313" s="385">
        <f t="shared" si="108"/>
        <v>25.669455846776039</v>
      </c>
      <c r="Z313" s="385">
        <f t="shared" si="109"/>
        <v>26.373867835840464</v>
      </c>
      <c r="AA313" s="386">
        <f t="shared" si="110"/>
        <v>28.209225297256218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6.5062313554363038E-2</v>
      </c>
      <c r="AD313" s="231">
        <f>(INDEX(Models!$BJ313:$BT313,,AH313)*(1-AF313)+INDEX(Models!$BJ313:$BT313,,AH313+1)*AF313-ERP_i)*AE313*Ramure*Pc/MaxiM</f>
        <v>1.7296832240117898E-4</v>
      </c>
      <c r="AE313" s="305">
        <f t="shared" si="112"/>
        <v>0.5</v>
      </c>
      <c r="AF313" s="177">
        <f t="shared" si="113"/>
        <v>0.9958358230973573</v>
      </c>
      <c r="AG313" s="811">
        <f t="shared" si="119"/>
        <v>-1</v>
      </c>
      <c r="AH313" s="176">
        <f t="shared" si="114"/>
        <v>5</v>
      </c>
      <c r="AI313" s="225">
        <f t="shared" si="115"/>
        <v>-4.1641769026427022E-3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7">
        <v>28.184000000000001</v>
      </c>
      <c r="C314" s="390"/>
      <c r="D314" s="393">
        <f t="shared" si="98"/>
        <v>28.958049462309148</v>
      </c>
      <c r="E314" s="385">
        <f t="shared" si="120"/>
        <v>29.566995446339043</v>
      </c>
      <c r="F314" s="385">
        <f t="shared" si="99"/>
        <v>29.570719829876996</v>
      </c>
      <c r="G314" s="110">
        <f t="shared" si="121"/>
        <v>0.82386837278875491</v>
      </c>
      <c r="H314" s="414" t="b">
        <f>Wh_hp&gt;='2020'!Maxi_hp</f>
        <v>1</v>
      </c>
      <c r="I314" s="380">
        <f>IF(H314,Wh_hp,'2020'!Maxi_hp)</f>
        <v>29.570719829876996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2.6730027632442033E-2</v>
      </c>
      <c r="M314" s="845"/>
      <c r="N314" s="845"/>
      <c r="O314" s="48">
        <f>IF(t&lt;Tnet,'2020'!Resal+('2020'!Salim-'2020'!Resal)*(1-EXP(('2020'!Tnet-t)/('2020'!Tau_j))),Resal+(Salim-Resal)*(1-EXP((Tnet-t)/(Tau_j))))*Salcycl</f>
        <v>2.059546378782608E-2</v>
      </c>
      <c r="P314" s="169">
        <f>(INDEX(Models!$BJ314:$BT314,,T314)*(1-R314)+INDEX(Models!$BJ314:$BT314,,T314+1)*R314-ERP_i)*Q314*Ramure*Pc/MaxiM</f>
        <v>1.6828268930944881E-4</v>
      </c>
      <c r="Q314" s="305">
        <f t="shared" si="101"/>
        <v>0.5</v>
      </c>
      <c r="R314" s="177">
        <f t="shared" si="102"/>
        <v>0.99590480130813464</v>
      </c>
      <c r="S314" s="811">
        <f t="shared" si="103"/>
        <v>-1</v>
      </c>
      <c r="T314" s="176">
        <f t="shared" si="104"/>
        <v>5</v>
      </c>
      <c r="U314" s="251">
        <f t="shared" si="105"/>
        <v>-4.0951986918654204E-3</v>
      </c>
      <c r="V314" s="383">
        <f t="shared" si="106"/>
        <v>34.207899744286053</v>
      </c>
      <c r="W314" s="402"/>
      <c r="X314" s="157">
        <f t="shared" si="107"/>
        <v>44496</v>
      </c>
      <c r="Y314" s="385">
        <f t="shared" si="108"/>
        <v>26.904689347333974</v>
      </c>
      <c r="Z314" s="385">
        <f t="shared" si="109"/>
        <v>27.643603636395088</v>
      </c>
      <c r="AA314" s="386">
        <f t="shared" si="110"/>
        <v>29.566995446339043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6.505198722118069E-2</v>
      </c>
      <c r="AD314" s="231">
        <f>(INDEX(Models!$BJ314:$BT314,,AH314)*(1-AF314)+INDEX(Models!$BJ314:$BT314,,AH314+1)*AF314-ERP_i)*AE314*Ramure*Pc/MaxiM</f>
        <v>1.6828268930944881E-4</v>
      </c>
      <c r="AE314" s="305">
        <f t="shared" si="112"/>
        <v>0.5</v>
      </c>
      <c r="AF314" s="177">
        <f t="shared" si="113"/>
        <v>0.99590480130813464</v>
      </c>
      <c r="AG314" s="811">
        <f t="shared" si="119"/>
        <v>-1</v>
      </c>
      <c r="AH314" s="176">
        <f t="shared" si="114"/>
        <v>5</v>
      </c>
      <c r="AI314" s="225">
        <f t="shared" si="115"/>
        <v>-4.0951986918654204E-3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7">
        <v>10.855</v>
      </c>
      <c r="C315" s="390"/>
      <c r="D315" s="393">
        <f t="shared" si="98"/>
        <v>11.15336758120656</v>
      </c>
      <c r="E315" s="385">
        <f t="shared" si="120"/>
        <v>11.388611463696309</v>
      </c>
      <c r="F315" s="385">
        <f t="shared" si="99"/>
        <v>11.388665516886578</v>
      </c>
      <c r="G315" s="110">
        <f t="shared" si="121"/>
        <v>0.32016376651777112</v>
      </c>
      <c r="H315" s="414" t="b">
        <f>Wh_hp&gt;='2020'!Maxi_hp</f>
        <v>0</v>
      </c>
      <c r="I315" s="380">
        <f>IF(H315,Wh_hp,'2020'!Maxi_hp)</f>
        <v>24.903019933810778</v>
      </c>
      <c r="J315" s="85">
        <f>IF(H315,An,'2020'!An_max)</f>
        <v>2020</v>
      </c>
      <c r="K315" s="197">
        <f t="shared" si="100"/>
        <v>44497</v>
      </c>
      <c r="L315" s="147">
        <f>IF(t&lt;Tvie,1-EXP((T0-t)*PertePVj)+'2020'!Pspv,1-EXP((T0-t)*PertePVj)+Pspv)</f>
        <v>2.6751344742668492E-2</v>
      </c>
      <c r="M315" s="845"/>
      <c r="N315" s="845"/>
      <c r="O315" s="48">
        <f>IF(t&lt;Tnet,'2020'!Resal+('2020'!Salim-'2020'!Resal)*(1-EXP(('2020'!Tnet-t)/('2020'!Tau_j))),Resal+(Salim-Resal)*(1-EXP((Tnet-t)/(Tau_j))))*Salcycl</f>
        <v>2.0656063580678102E-2</v>
      </c>
      <c r="P315" s="169">
        <f>(INDEX(Models!$BJ315:$BT315,,T315)*(1-R315)+INDEX(Models!$BJ315:$BT315,,T315+1)*R315-ERP_i)*Q315*Ramure*Pc/MaxiM</f>
        <v>1.6435218195038205E-4</v>
      </c>
      <c r="Q315" s="305">
        <f t="shared" si="101"/>
        <v>0.5</v>
      </c>
      <c r="R315" s="177">
        <f t="shared" si="102"/>
        <v>0.99597102018691674</v>
      </c>
      <c r="S315" s="811">
        <f t="shared" si="103"/>
        <v>-1</v>
      </c>
      <c r="T315" s="176">
        <f t="shared" si="104"/>
        <v>5</v>
      </c>
      <c r="U315" s="251">
        <f t="shared" si="105"/>
        <v>-4.028979813083311E-3</v>
      </c>
      <c r="V315" s="383">
        <f t="shared" si="106"/>
        <v>33.899112279878089</v>
      </c>
      <c r="W315" s="402"/>
      <c r="X315" s="157">
        <f t="shared" si="107"/>
        <v>44497</v>
      </c>
      <c r="Y315" s="385">
        <f t="shared" si="108"/>
        <v>10.363036901036626</v>
      </c>
      <c r="Z315" s="385">
        <f t="shared" si="109"/>
        <v>10.647882064934977</v>
      </c>
      <c r="AA315" s="386">
        <f t="shared" si="110"/>
        <v>11.388611463696309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6.5041238883473074E-2</v>
      </c>
      <c r="AD315" s="231">
        <f>(INDEX(Models!$BJ315:$BT315,,AH315)*(1-AF315)+INDEX(Models!$BJ315:$BT315,,AH315+1)*AF315-ERP_i)*AE315*Ramure*Pc/MaxiM</f>
        <v>1.6435218195038205E-4</v>
      </c>
      <c r="AE315" s="305">
        <f t="shared" si="112"/>
        <v>0.5</v>
      </c>
      <c r="AF315" s="177">
        <f t="shared" si="113"/>
        <v>0.99597102018691674</v>
      </c>
      <c r="AG315" s="811">
        <f t="shared" si="119"/>
        <v>-1</v>
      </c>
      <c r="AH315" s="176">
        <f t="shared" si="114"/>
        <v>5</v>
      </c>
      <c r="AI315" s="225">
        <f t="shared" si="115"/>
        <v>-4.028979813083311E-3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7">
        <v>17.783000000000001</v>
      </c>
      <c r="C316" s="390"/>
      <c r="D316" s="393">
        <f t="shared" si="98"/>
        <v>18.272195297478163</v>
      </c>
      <c r="E316" s="385">
        <f t="shared" si="120"/>
        <v>18.658737177731023</v>
      </c>
      <c r="F316" s="385">
        <f t="shared" si="99"/>
        <v>18.659722623791907</v>
      </c>
      <c r="G316" s="110">
        <f t="shared" si="121"/>
        <v>0.5292967743578445</v>
      </c>
      <c r="H316" s="414" t="b">
        <f>Wh_hp&gt;='2020'!Maxi_hp</f>
        <v>0</v>
      </c>
      <c r="I316" s="380">
        <f>IF(H316,Wh_hp,'2020'!Maxi_hp)</f>
        <v>29.923980500554308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2.6772661385995433E-2</v>
      </c>
      <c r="M316" s="845"/>
      <c r="N316" s="845"/>
      <c r="O316" s="48">
        <f>IF(t&lt;Tnet,'2020'!Resal+('2020'!Salim-'2020'!Resal)*(1-EXP(('2020'!Tnet-t)/('2020'!Tau_j))),Resal+(Salim-Resal)*(1-EXP((Tnet-t)/(Tau_j))))*Salcycl</f>
        <v>2.0716400931687577E-2</v>
      </c>
      <c r="P316" s="169">
        <f>(INDEX(Models!$BJ316:$BT316,,T316)*(1-R316)+INDEX(Models!$BJ316:$BT316,,T316+1)*R316-ERP_i)*Q316*Ramure*Pc/MaxiM</f>
        <v>1.6118295819684514E-4</v>
      </c>
      <c r="Q316" s="305">
        <f t="shared" si="101"/>
        <v>0.5</v>
      </c>
      <c r="R316" s="177">
        <f t="shared" si="102"/>
        <v>0.99603458942415291</v>
      </c>
      <c r="S316" s="811">
        <f t="shared" si="103"/>
        <v>-1</v>
      </c>
      <c r="T316" s="176">
        <f t="shared" si="104"/>
        <v>5</v>
      </c>
      <c r="U316" s="251">
        <f t="shared" si="105"/>
        <v>-3.9654105758471503E-3</v>
      </c>
      <c r="V316" s="383">
        <f t="shared" si="106"/>
        <v>33.593767406493647</v>
      </c>
      <c r="W316" s="402"/>
      <c r="X316" s="157">
        <f t="shared" si="107"/>
        <v>44498</v>
      </c>
      <c r="Y316" s="385">
        <f t="shared" si="108"/>
        <v>16.978298471374824</v>
      </c>
      <c r="Z316" s="385">
        <f t="shared" si="109"/>
        <v>17.445357110039684</v>
      </c>
      <c r="AA316" s="386">
        <f t="shared" si="110"/>
        <v>18.658737177731023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6.5030128037790985E-2</v>
      </c>
      <c r="AD316" s="231">
        <f>(INDEX(Models!$BJ316:$BT316,,AH316)*(1-AF316)+INDEX(Models!$BJ316:$BT316,,AH316+1)*AF316-ERP_i)*AE316*Ramure*Pc/MaxiM</f>
        <v>1.6118295819684514E-4</v>
      </c>
      <c r="AE316" s="305">
        <f t="shared" si="112"/>
        <v>0.5</v>
      </c>
      <c r="AF316" s="177">
        <f t="shared" si="113"/>
        <v>0.99603458942415291</v>
      </c>
      <c r="AG316" s="811">
        <f t="shared" si="119"/>
        <v>-1</v>
      </c>
      <c r="AH316" s="176">
        <f t="shared" si="114"/>
        <v>5</v>
      </c>
      <c r="AI316" s="225">
        <f t="shared" si="115"/>
        <v>-3.9654105758471503E-3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7">
        <v>10.149000000000001</v>
      </c>
      <c r="C317" s="390"/>
      <c r="D317" s="393">
        <f t="shared" si="98"/>
        <v>10.428418819871288</v>
      </c>
      <c r="E317" s="385">
        <f t="shared" si="120"/>
        <v>10.649681880438029</v>
      </c>
      <c r="F317" s="385">
        <f t="shared" si="99"/>
        <v>10.649693628497699</v>
      </c>
      <c r="G317" s="110">
        <f t="shared" si="121"/>
        <v>0.30481492678522709</v>
      </c>
      <c r="H317" s="414" t="b">
        <f>Wh_hp&gt;='2020'!Maxi_hp</f>
        <v>0</v>
      </c>
      <c r="I317" s="380">
        <f>IF(H317,Wh_hp,'2020'!Maxi_hp)</f>
        <v>33.09982659368044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2.679397756243318E-2</v>
      </c>
      <c r="M317" s="845"/>
      <c r="N317" s="845"/>
      <c r="O317" s="48">
        <f>IF(t&lt;Tnet,'2020'!Resal+('2020'!Salim-'2020'!Resal)*(1-EXP(('2020'!Tnet-t)/('2020'!Tau_j))),Resal+(Salim-Resal)*(1-EXP((Tnet-t)/(Tau_j))))*Salcycl</f>
        <v>2.0776494833443834E-2</v>
      </c>
      <c r="P317" s="169">
        <f>(INDEX(Models!$BJ317:$BT317,,T317)*(1-R317)+INDEX(Models!$BJ317:$BT317,,T317+1)*R317-ERP_i)*Q317*Ramure*Pc/MaxiM</f>
        <v>1.5878988254134765E-4</v>
      </c>
      <c r="Q317" s="305">
        <f t="shared" si="101"/>
        <v>0.5</v>
      </c>
      <c r="R317" s="177">
        <f t="shared" si="102"/>
        <v>0.99609561440419547</v>
      </c>
      <c r="S317" s="811">
        <f t="shared" si="103"/>
        <v>-1</v>
      </c>
      <c r="T317" s="176">
        <f t="shared" si="104"/>
        <v>5</v>
      </c>
      <c r="U317" s="251">
        <f t="shared" si="105"/>
        <v>-3.9043855958044715E-3</v>
      </c>
      <c r="V317" s="383">
        <f t="shared" si="106"/>
        <v>33.290363245869116</v>
      </c>
      <c r="W317" s="402"/>
      <c r="X317" s="157">
        <f t="shared" si="107"/>
        <v>44499</v>
      </c>
      <c r="Y317" s="385">
        <f t="shared" si="108"/>
        <v>9.690458816990601</v>
      </c>
      <c r="Z317" s="385">
        <f t="shared" si="109"/>
        <v>9.9572532368009092</v>
      </c>
      <c r="AA317" s="386">
        <f t="shared" si="110"/>
        <v>10.649681880438029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6.5018716184284647E-2</v>
      </c>
      <c r="AD317" s="231">
        <f>(INDEX(Models!$BJ317:$BT317,,AH317)*(1-AF317)+INDEX(Models!$BJ317:$BT317,,AH317+1)*AF317-ERP_i)*AE317*Ramure*Pc/MaxiM</f>
        <v>1.5878988254134765E-4</v>
      </c>
      <c r="AE317" s="305">
        <f t="shared" si="112"/>
        <v>0.5</v>
      </c>
      <c r="AF317" s="177">
        <f t="shared" si="113"/>
        <v>0.99609561440419547</v>
      </c>
      <c r="AG317" s="811">
        <f t="shared" si="119"/>
        <v>-1</v>
      </c>
      <c r="AH317" s="176">
        <f t="shared" si="114"/>
        <v>5</v>
      </c>
      <c r="AI317" s="225">
        <f t="shared" si="115"/>
        <v>-3.9043855958044715E-3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7">
        <v>18.184999999999999</v>
      </c>
      <c r="C318" s="390"/>
      <c r="D318" s="393">
        <f t="shared" si="98"/>
        <v>18.686072514580175</v>
      </c>
      <c r="E318" s="385">
        <f t="shared" si="120"/>
        <v>19.083707613602197</v>
      </c>
      <c r="F318" s="385">
        <f t="shared" si="99"/>
        <v>19.084786175696788</v>
      </c>
      <c r="G318" s="110">
        <f t="shared" si="121"/>
        <v>0.55121561637547523</v>
      </c>
      <c r="H318" s="414" t="b">
        <f>Wh_hp&gt;='2020'!Maxi_hp</f>
        <v>0</v>
      </c>
      <c r="I318" s="380">
        <f>IF(H318,Wh_hp,'2020'!Maxi_hp)</f>
        <v>33.51042975379562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2.6815293271991947E-2</v>
      </c>
      <c r="M318" s="845"/>
      <c r="N318" s="845"/>
      <c r="O318" s="48">
        <f>IF(t&lt;Tnet,'2020'!Resal+('2020'!Salim-'2020'!Resal)*(1-EXP(('2020'!Tnet-t)/('2020'!Tau_j))),Resal+(Salim-Resal)*(1-EXP((Tnet-t)/(Tau_j))))*Salcycl</f>
        <v>2.0836365085503739E-2</v>
      </c>
      <c r="P318" s="169">
        <f>(INDEX(Models!$BJ318:$BT318,,T318)*(1-R318)+INDEX(Models!$BJ318:$BT318,,T318+1)*R318-ERP_i)*Q318*Ramure*Pc/MaxiM</f>
        <v>1.5743927567843757E-4</v>
      </c>
      <c r="Q318" s="305">
        <f t="shared" si="101"/>
        <v>0.5</v>
      </c>
      <c r="R318" s="177">
        <f t="shared" si="102"/>
        <v>0.99615419637005642</v>
      </c>
      <c r="S318" s="811">
        <f t="shared" si="103"/>
        <v>-1</v>
      </c>
      <c r="T318" s="176">
        <f t="shared" si="104"/>
        <v>5</v>
      </c>
      <c r="U318" s="251">
        <f t="shared" si="105"/>
        <v>-3.8458036299435783E-3</v>
      </c>
      <c r="V318" s="383">
        <f t="shared" si="106"/>
        <v>32.98739011418936</v>
      </c>
      <c r="W318" s="402"/>
      <c r="X318" s="157">
        <f t="shared" si="107"/>
        <v>44500</v>
      </c>
      <c r="Y318" s="385">
        <f t="shared" si="108"/>
        <v>17.364662951050345</v>
      </c>
      <c r="Z318" s="385">
        <f t="shared" si="109"/>
        <v>17.843131762143006</v>
      </c>
      <c r="AA318" s="386">
        <f t="shared" si="110"/>
        <v>19.083707613602197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6.5007066581493356E-2</v>
      </c>
      <c r="AD318" s="231">
        <f>(INDEX(Models!$BJ318:$BT318,,AH318)*(1-AF318)+INDEX(Models!$BJ318:$BT318,,AH318+1)*AF318-ERP_i)*AE318*Ramure*Pc/MaxiM</f>
        <v>1.5743927567843757E-4</v>
      </c>
      <c r="AE318" s="305">
        <f t="shared" si="112"/>
        <v>0.5</v>
      </c>
      <c r="AF318" s="177">
        <f t="shared" si="113"/>
        <v>0.99615419637005642</v>
      </c>
      <c r="AG318" s="811">
        <f t="shared" si="119"/>
        <v>-1</v>
      </c>
      <c r="AH318" s="176">
        <f t="shared" si="114"/>
        <v>5</v>
      </c>
      <c r="AI318" s="225">
        <f t="shared" si="115"/>
        <v>-3.8458036299435783E-3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7">
        <v>17.613</v>
      </c>
      <c r="C319" s="390"/>
      <c r="D319" s="393">
        <f t="shared" si="98"/>
        <v>18.098707939596519</v>
      </c>
      <c r="E319" s="385">
        <f t="shared" si="120"/>
        <v>18.484970478263275</v>
      </c>
      <c r="F319" s="385">
        <f t="shared" si="99"/>
        <v>18.485959709550901</v>
      </c>
      <c r="G319" s="110">
        <f t="shared" si="121"/>
        <v>0.53881096362776681</v>
      </c>
      <c r="H319" s="414" t="b">
        <f>Wh_hp&gt;='2020'!Maxi_hp</f>
        <v>0</v>
      </c>
      <c r="I319" s="380">
        <f>IF(H319,Wh_hp,'2020'!Maxi_hp)</f>
        <v>32.377451552901285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2.6836608514682059E-2</v>
      </c>
      <c r="M319" s="845"/>
      <c r="N319" s="845"/>
      <c r="O319" s="48">
        <f>IF(t&lt;Tnet,'2020'!Resal+('2020'!Salim-'2020'!Resal)*(1-EXP(('2020'!Tnet-t)/('2020'!Tau_j))),Resal+(Salim-Resal)*(1-EXP((Tnet-t)/(Tau_j))))*Salcycl</f>
        <v>2.0896032218226553E-2</v>
      </c>
      <c r="P319" s="169">
        <f>(INDEX(Models!$BJ319:$BT319,,T319)*(1-R319)+INDEX(Models!$BJ319:$BT319,,T319+1)*R319-ERP_i)*Q319*Ramure*Pc/MaxiM</f>
        <v>1.568188953504593E-4</v>
      </c>
      <c r="Q319" s="305">
        <f t="shared" si="101"/>
        <v>0.5</v>
      </c>
      <c r="R319" s="177">
        <f t="shared" si="102"/>
        <v>0.9962104325821981</v>
      </c>
      <c r="S319" s="811">
        <f t="shared" si="103"/>
        <v>-1</v>
      </c>
      <c r="T319" s="176">
        <f t="shared" si="104"/>
        <v>5</v>
      </c>
      <c r="U319" s="251">
        <f t="shared" si="105"/>
        <v>-3.7895674178018979E-3</v>
      </c>
      <c r="V319" s="383">
        <f t="shared" si="106"/>
        <v>32.685267296372423</v>
      </c>
      <c r="W319" s="402"/>
      <c r="X319" s="157">
        <f t="shared" si="107"/>
        <v>44501</v>
      </c>
      <c r="Y319" s="385">
        <f t="shared" si="108"/>
        <v>16.819703841029838</v>
      </c>
      <c r="Z319" s="385">
        <f t="shared" si="109"/>
        <v>17.283535311946221</v>
      </c>
      <c r="AA319" s="386">
        <f t="shared" si="110"/>
        <v>18.484970478263275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6.4995243986450402E-2</v>
      </c>
      <c r="AD319" s="231">
        <f>(INDEX(Models!$BJ319:$BT319,,AH319)*(1-AF319)+INDEX(Models!$BJ319:$BT319,,AH319+1)*AF319-ERP_i)*AE319*Ramure*Pc/MaxiM</f>
        <v>1.568188953504593E-4</v>
      </c>
      <c r="AE319" s="305">
        <f t="shared" si="112"/>
        <v>0.5</v>
      </c>
      <c r="AF319" s="177">
        <f t="shared" si="113"/>
        <v>0.9962104325821981</v>
      </c>
      <c r="AG319" s="811">
        <f t="shared" si="119"/>
        <v>-1</v>
      </c>
      <c r="AH319" s="176">
        <f t="shared" si="114"/>
        <v>5</v>
      </c>
      <c r="AI319" s="225">
        <f t="shared" si="115"/>
        <v>-3.7895674178018979E-3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7">
        <v>26.78</v>
      </c>
      <c r="C320" s="390"/>
      <c r="D320" s="393">
        <f t="shared" si="98"/>
        <v>27.519106039019494</v>
      </c>
      <c r="E320" s="385">
        <f t="shared" si="120"/>
        <v>28.108126370563806</v>
      </c>
      <c r="F320" s="385">
        <f t="shared" si="99"/>
        <v>28.111447321683002</v>
      </c>
      <c r="G320" s="110">
        <f t="shared" si="121"/>
        <v>0.82690919486660319</v>
      </c>
      <c r="H320" s="414" t="b">
        <f>Wh_hp&gt;='2020'!Maxi_hp</f>
        <v>0</v>
      </c>
      <c r="I320" s="380">
        <f>IF(H320,Wh_hp,'2020'!Maxi_hp)</f>
        <v>28.955440063578585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2.6857923290513508E-2</v>
      </c>
      <c r="M320" s="845"/>
      <c r="N320" s="845"/>
      <c r="O320" s="48">
        <f>IF(t&lt;Tnet,'2020'!Resal+('2020'!Salim-'2020'!Resal)*(1-EXP(('2020'!Tnet-t)/('2020'!Tau_j))),Resal+(Salim-Resal)*(1-EXP((Tnet-t)/(Tau_j))))*Salcycl</f>
        <v>2.0955517410835428E-2</v>
      </c>
      <c r="P320" s="169">
        <f>(INDEX(Models!$BJ320:$BT320,,T320)*(1-R320)+INDEX(Models!$BJ320:$BT320,,T320+1)*R320-ERP_i)*Q320*Ramure*Pc/MaxiM</f>
        <v>1.569332950023173E-4</v>
      </c>
      <c r="Q320" s="305">
        <f t="shared" si="101"/>
        <v>0.5</v>
      </c>
      <c r="R320" s="177">
        <f t="shared" si="102"/>
        <v>0.99626441647155217</v>
      </c>
      <c r="S320" s="811">
        <f t="shared" si="103"/>
        <v>-1</v>
      </c>
      <c r="T320" s="176">
        <f t="shared" si="104"/>
        <v>5</v>
      </c>
      <c r="U320" s="251">
        <f t="shared" si="105"/>
        <v>-3.7355835284477723E-3</v>
      </c>
      <c r="V320" s="383">
        <f t="shared" si="106"/>
        <v>32.384403305928394</v>
      </c>
      <c r="W320" s="402"/>
      <c r="X320" s="157">
        <f t="shared" si="107"/>
        <v>44502</v>
      </c>
      <c r="Y320" s="385">
        <f t="shared" si="108"/>
        <v>25.575698843261442</v>
      </c>
      <c r="Z320" s="385">
        <f t="shared" si="109"/>
        <v>26.281567157943982</v>
      </c>
      <c r="AA320" s="386">
        <f t="shared" si="110"/>
        <v>28.108126370563806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6.4983314381732868E-2</v>
      </c>
      <c r="AD320" s="231">
        <f>(INDEX(Models!$BJ320:$BT320,,AH320)*(1-AF320)+INDEX(Models!$BJ320:$BT320,,AH320+1)*AF320-ERP_i)*AE320*Ramure*Pc/MaxiM</f>
        <v>1.569332950023173E-4</v>
      </c>
      <c r="AE320" s="305">
        <f t="shared" si="112"/>
        <v>0.5</v>
      </c>
      <c r="AF320" s="177">
        <f t="shared" si="113"/>
        <v>0.99626441647155217</v>
      </c>
      <c r="AG320" s="811">
        <f t="shared" si="119"/>
        <v>-1</v>
      </c>
      <c r="AH320" s="176">
        <f t="shared" si="114"/>
        <v>5</v>
      </c>
      <c r="AI320" s="225">
        <f t="shared" si="115"/>
        <v>-3.7355835284477723E-3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7">
        <v>17.265000000000001</v>
      </c>
      <c r="C321" s="390"/>
      <c r="D321" s="393">
        <f t="shared" si="98"/>
        <v>17.741888434700069</v>
      </c>
      <c r="E321" s="385">
        <f t="shared" si="120"/>
        <v>18.122734851538148</v>
      </c>
      <c r="F321" s="385">
        <f t="shared" si="99"/>
        <v>18.1237075467042</v>
      </c>
      <c r="G321" s="110">
        <f t="shared" si="121"/>
        <v>0.53804242475450614</v>
      </c>
      <c r="H321" s="414" t="b">
        <f>Wh_hp&gt;='2020'!Maxi_hp</f>
        <v>0</v>
      </c>
      <c r="I321" s="380">
        <f>IF(H321,Wh_hp,'2020'!Maxi_hp)</f>
        <v>30.00122544451607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2.6879237599496841E-2</v>
      </c>
      <c r="M321" s="845"/>
      <c r="N321" s="845"/>
      <c r="O321" s="48">
        <f>IF(t&lt;Tnet,'2020'!Resal+('2020'!Salim-'2020'!Resal)*(1-EXP(('2020'!Tnet-t)/('2020'!Tau_j))),Resal+(Salim-Resal)*(1-EXP((Tnet-t)/(Tau_j))))*Salcycl</f>
        <v>2.1014842404194555E-2</v>
      </c>
      <c r="P321" s="169">
        <f>(INDEX(Models!$BJ321:$BT321,,T321)*(1-R321)+INDEX(Models!$BJ321:$BT321,,T321+1)*R321-ERP_i)*Q321*Ramure*Pc/MaxiM</f>
        <v>1.5778698518122489E-4</v>
      </c>
      <c r="Q321" s="305">
        <f t="shared" si="101"/>
        <v>0.5</v>
      </c>
      <c r="R321" s="177">
        <f t="shared" si="102"/>
        <v>0.99631623778694545</v>
      </c>
      <c r="S321" s="811">
        <f t="shared" si="103"/>
        <v>-1</v>
      </c>
      <c r="T321" s="176">
        <f t="shared" si="104"/>
        <v>5</v>
      </c>
      <c r="U321" s="251">
        <f t="shared" si="105"/>
        <v>-3.6837622130545533E-3</v>
      </c>
      <c r="V321" s="383">
        <f t="shared" si="106"/>
        <v>32.085206529259018</v>
      </c>
      <c r="W321" s="402"/>
      <c r="X321" s="157">
        <f t="shared" si="107"/>
        <v>44503</v>
      </c>
      <c r="Y321" s="385">
        <f t="shared" si="108"/>
        <v>16.489800288240275</v>
      </c>
      <c r="Z321" s="385">
        <f t="shared" si="109"/>
        <v>16.94527639875146</v>
      </c>
      <c r="AA321" s="386">
        <f t="shared" si="110"/>
        <v>18.122734851538148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6.4971344691209923E-2</v>
      </c>
      <c r="AD321" s="231">
        <f>(INDEX(Models!$BJ321:$BT321,,AH321)*(1-AF321)+INDEX(Models!$BJ321:$BT321,,AH321+1)*AF321-ERP_i)*AE321*Ramure*Pc/MaxiM</f>
        <v>1.5778698518122489E-4</v>
      </c>
      <c r="AE321" s="305">
        <f t="shared" si="112"/>
        <v>0.5</v>
      </c>
      <c r="AF321" s="177">
        <f t="shared" si="113"/>
        <v>0.99631623778694545</v>
      </c>
      <c r="AG321" s="811">
        <f t="shared" si="119"/>
        <v>-1</v>
      </c>
      <c r="AH321" s="176">
        <f t="shared" si="114"/>
        <v>5</v>
      </c>
      <c r="AI321" s="225">
        <f t="shared" si="115"/>
        <v>-3.6837622130545533E-3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7">
        <v>16.260000000000002</v>
      </c>
      <c r="C322" s="390"/>
      <c r="D322" s="393">
        <f t="shared" si="98"/>
        <v>16.709494619577793</v>
      </c>
      <c r="E322" s="385">
        <f t="shared" si="120"/>
        <v>17.069211688691006</v>
      </c>
      <c r="F322" s="385">
        <f t="shared" si="99"/>
        <v>17.070033776116663</v>
      </c>
      <c r="G322" s="110">
        <f t="shared" si="121"/>
        <v>0.51145551169362757</v>
      </c>
      <c r="H322" s="414" t="b">
        <f>Wh_hp&gt;='2020'!Maxi_hp</f>
        <v>0</v>
      </c>
      <c r="I322" s="380">
        <f>IF(H322,Wh_hp,'2020'!Maxi_hp)</f>
        <v>23.180990079496752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2.690055144164194E-2</v>
      </c>
      <c r="M322" s="845"/>
      <c r="N322" s="845"/>
      <c r="O322" s="48">
        <f>IF(t&lt;Tnet,'2020'!Resal+('2020'!Salim-'2020'!Resal)*(1-EXP(('2020'!Tnet-t)/('2020'!Tau_j))),Resal+(Salim-Resal)*(1-EXP((Tnet-t)/(Tau_j))))*Salcycl</f>
        <v>2.1074029408841323E-2</v>
      </c>
      <c r="P322" s="169">
        <f>(INDEX(Models!$BJ322:$BT322,,T322)*(1-R322)+INDEX(Models!$BJ322:$BT322,,T322+1)*R322-ERP_i)*Q322*Ramure*Pc/MaxiM</f>
        <v>1.5938440186751246E-4</v>
      </c>
      <c r="Q322" s="305">
        <f t="shared" si="101"/>
        <v>0.5</v>
      </c>
      <c r="R322" s="177">
        <f t="shared" si="102"/>
        <v>0.99636598273711785</v>
      </c>
      <c r="S322" s="811">
        <f t="shared" si="103"/>
        <v>-1</v>
      </c>
      <c r="T322" s="176">
        <f t="shared" si="104"/>
        <v>5</v>
      </c>
      <c r="U322" s="251">
        <f t="shared" si="105"/>
        <v>-3.6340172628822054E-3</v>
      </c>
      <c r="V322" s="383">
        <f t="shared" si="106"/>
        <v>31.788085233732456</v>
      </c>
      <c r="W322" s="402"/>
      <c r="X322" s="157">
        <f t="shared" si="107"/>
        <v>44504</v>
      </c>
      <c r="Y322" s="385">
        <f t="shared" si="108"/>
        <v>15.531062176632778</v>
      </c>
      <c r="Z322" s="385">
        <f t="shared" si="109"/>
        <v>15.960405896480538</v>
      </c>
      <c r="AA322" s="386">
        <f t="shared" si="110"/>
        <v>17.069211688691006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6.4959402486354706E-2</v>
      </c>
      <c r="AD322" s="231">
        <f>(INDEX(Models!$BJ322:$BT322,,AH322)*(1-AF322)+INDEX(Models!$BJ322:$BT322,,AH322+1)*AF322-ERP_i)*AE322*Ramure*Pc/MaxiM</f>
        <v>1.5938440186751246E-4</v>
      </c>
      <c r="AE322" s="305">
        <f t="shared" si="112"/>
        <v>0.5</v>
      </c>
      <c r="AF322" s="177">
        <f t="shared" si="113"/>
        <v>0.99636598273711785</v>
      </c>
      <c r="AG322" s="811">
        <f t="shared" si="119"/>
        <v>-1</v>
      </c>
      <c r="AH322" s="176">
        <f t="shared" si="114"/>
        <v>5</v>
      </c>
      <c r="AI322" s="225">
        <f t="shared" si="115"/>
        <v>-3.6340172628822054E-3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7">
        <v>10.992000000000001</v>
      </c>
      <c r="C323" s="390"/>
      <c r="D323" s="393">
        <f t="shared" si="98"/>
        <v>11.296112411294036</v>
      </c>
      <c r="E323" s="385">
        <f t="shared" si="120"/>
        <v>11.539988146433652</v>
      </c>
      <c r="F323" s="385">
        <f t="shared" si="99"/>
        <v>11.540118859782016</v>
      </c>
      <c r="G323" s="110">
        <f t="shared" si="121"/>
        <v>0.34897248800521635</v>
      </c>
      <c r="H323" s="414" t="b">
        <f>Wh_hp&gt;='2020'!Maxi_hp</f>
        <v>0</v>
      </c>
      <c r="I323" s="380">
        <f>IF(H323,Wh_hp,'2020'!Maxi_hp)</f>
        <v>16.722086535438599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2.6921864816959351E-2</v>
      </c>
      <c r="M323" s="845"/>
      <c r="N323" s="845"/>
      <c r="O323" s="48">
        <f>IF(t&lt;Tnet,'2020'!Resal+('2020'!Salim-'2020'!Resal)*(1-EXP(('2020'!Tnet-t)/('2020'!Tau_j))),Resal+(Salim-Resal)*(1-EXP((Tnet-t)/(Tau_j))))*Salcycl</f>
        <v>2.1133101008858741E-2</v>
      </c>
      <c r="P323" s="169">
        <f>(INDEX(Models!$BJ323:$BT323,,T323)*(1-R323)+INDEX(Models!$BJ323:$BT323,,T323+1)*R323-ERP_i)*Q323*Ramure*Pc/MaxiM</f>
        <v>1.6172987317379322E-4</v>
      </c>
      <c r="Q323" s="305">
        <f t="shared" si="101"/>
        <v>0.5</v>
      </c>
      <c r="R323" s="177">
        <f t="shared" si="102"/>
        <v>0.99641373412750722</v>
      </c>
      <c r="S323" s="811">
        <f t="shared" si="103"/>
        <v>-1</v>
      </c>
      <c r="T323" s="176">
        <f t="shared" si="104"/>
        <v>5</v>
      </c>
      <c r="U323" s="251">
        <f t="shared" si="105"/>
        <v>-3.5862658724927776E-3</v>
      </c>
      <c r="V323" s="383">
        <f t="shared" si="106"/>
        <v>31.493447561472699</v>
      </c>
      <c r="W323" s="402"/>
      <c r="X323" s="157">
        <f t="shared" si="107"/>
        <v>44505</v>
      </c>
      <c r="Y323" s="385">
        <f t="shared" si="108"/>
        <v>10.499993899581874</v>
      </c>
      <c r="Z323" s="385">
        <f t="shared" si="109"/>
        <v>10.790494123687996</v>
      </c>
      <c r="AA323" s="386">
        <f t="shared" si="110"/>
        <v>11.539988146433652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6.49475556850794E-2</v>
      </c>
      <c r="AD323" s="231">
        <f>(INDEX(Models!$BJ323:$BT323,,AH323)*(1-AF323)+INDEX(Models!$BJ323:$BT323,,AH323+1)*AF323-ERP_i)*AE323*Ramure*Pc/MaxiM</f>
        <v>1.6172987317379322E-4</v>
      </c>
      <c r="AE323" s="305">
        <f t="shared" si="112"/>
        <v>0.5</v>
      </c>
      <c r="AF323" s="177">
        <f t="shared" si="113"/>
        <v>0.99641373412750722</v>
      </c>
      <c r="AG323" s="811">
        <f t="shared" si="119"/>
        <v>-1</v>
      </c>
      <c r="AH323" s="176">
        <f t="shared" si="114"/>
        <v>5</v>
      </c>
      <c r="AI323" s="225">
        <f t="shared" si="115"/>
        <v>-3.5862658724927776E-3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7">
        <v>12.83</v>
      </c>
      <c r="C324" s="390"/>
      <c r="D324" s="393">
        <f t="shared" si="98"/>
        <v>13.185252604271971</v>
      </c>
      <c r="E324" s="385">
        <f t="shared" si="120"/>
        <v>13.470725293181172</v>
      </c>
      <c r="F324" s="385">
        <f t="shared" si="99"/>
        <v>13.471078537477876</v>
      </c>
      <c r="G324" s="110">
        <f t="shared" si="121"/>
        <v>0.41113852822586622</v>
      </c>
      <c r="H324" s="414" t="b">
        <f>Wh_hp&gt;='2020'!Maxi_hp</f>
        <v>0</v>
      </c>
      <c r="I324" s="380">
        <f>IF(H324,Wh_hp,'2020'!Maxi_hp)</f>
        <v>25.022364408355351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2.6943177725459067E-2</v>
      </c>
      <c r="M324" s="845"/>
      <c r="N324" s="845"/>
      <c r="O324" s="48">
        <f>IF(t&lt;Tnet,'2020'!Resal+('2020'!Salim-'2020'!Resal)*(1-EXP(('2020'!Tnet-t)/('2020'!Tau_j))),Resal+(Salim-Resal)*(1-EXP((Tnet-t)/(Tau_j))))*Salcycl</f>
        <v>2.1192080062215034E-2</v>
      </c>
      <c r="P324" s="169">
        <f>(INDEX(Models!$BJ324:$BT324,,T324)*(1-R324)+INDEX(Models!$BJ324:$BT324,,T324+1)*R324-ERP_i)*Q324*Ramure*Pc/MaxiM</f>
        <v>1.6507569259498886E-4</v>
      </c>
      <c r="Q324" s="305">
        <f t="shared" si="101"/>
        <v>0.5</v>
      </c>
      <c r="R324" s="177">
        <f t="shared" si="102"/>
        <v>0.99645957149197639</v>
      </c>
      <c r="S324" s="811">
        <f t="shared" si="103"/>
        <v>-1</v>
      </c>
      <c r="T324" s="176">
        <f t="shared" si="104"/>
        <v>5</v>
      </c>
      <c r="U324" s="251">
        <f t="shared" si="105"/>
        <v>-3.5404285080236075E-3</v>
      </c>
      <c r="V324" s="383">
        <f t="shared" si="106"/>
        <v>31.201693796903577</v>
      </c>
      <c r="W324" s="402"/>
      <c r="X324" s="157">
        <f t="shared" si="107"/>
        <v>44506</v>
      </c>
      <c r="Y324" s="385">
        <f t="shared" si="108"/>
        <v>12.256615945503876</v>
      </c>
      <c r="Z324" s="385">
        <f t="shared" si="109"/>
        <v>12.59599199649387</v>
      </c>
      <c r="AA324" s="386">
        <f t="shared" si="110"/>
        <v>13.470725293181172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6.4935872245133558E-2</v>
      </c>
      <c r="AD324" s="231">
        <f>(INDEX(Models!$BJ324:$BT324,,AH324)*(1-AF324)+INDEX(Models!$BJ324:$BT324,,AH324+1)*AF324-ERP_i)*AE324*Ramure*Pc/MaxiM</f>
        <v>1.6507569259498886E-4</v>
      </c>
      <c r="AE324" s="305">
        <f t="shared" si="112"/>
        <v>0.5</v>
      </c>
      <c r="AF324" s="177">
        <f t="shared" si="113"/>
        <v>0.99645957149197639</v>
      </c>
      <c r="AG324" s="811">
        <f t="shared" si="119"/>
        <v>-1</v>
      </c>
      <c r="AH324" s="176">
        <f t="shared" si="114"/>
        <v>5</v>
      </c>
      <c r="AI324" s="225">
        <f t="shared" si="115"/>
        <v>-3.5404285080236075E-3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7">
        <v>8.918000000000001</v>
      </c>
      <c r="C325" s="390"/>
      <c r="D325" s="393">
        <f t="shared" si="98"/>
        <v>9.1651331425016185</v>
      </c>
      <c r="E325" s="385">
        <f t="shared" si="120"/>
        <v>9.3641301754567543</v>
      </c>
      <c r="F325" s="385">
        <f t="shared" si="99"/>
        <v>9.3641301754567543</v>
      </c>
      <c r="G325" s="110">
        <f t="shared" si="121"/>
        <v>0.28843600187608426</v>
      </c>
      <c r="H325" s="414" t="b">
        <f>Wh_hp&gt;='2020'!Maxi_hp</f>
        <v>0</v>
      </c>
      <c r="I325" s="380">
        <f>IF(H325,Wh_hp,'2020'!Maxi_hp)</f>
        <v>16.999112263029826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2.69644901671513E-2</v>
      </c>
      <c r="M325" s="845"/>
      <c r="N325" s="845"/>
      <c r="O325" s="48">
        <f>IF(t&lt;Tnet,'2020'!Resal+('2020'!Salim-'2020'!Resal)*(1-EXP(('2020'!Tnet-t)/('2020'!Tau_j))),Resal+(Salim-Resal)*(1-EXP((Tnet-t)/(Tau_j))))*Salcycl</f>
        <v>2.1250989598233586E-2</v>
      </c>
      <c r="P325" s="169">
        <f>(INDEX(Models!$BJ325:$BT325,,T325)*(1-R325)+INDEX(Models!$BJ325:$BT325,,T325+1)*R325-ERP_i)*Q325*Ramure*Pc/MaxiM</f>
        <v>1.6893452492224446E-4</v>
      </c>
      <c r="Q325" s="305">
        <f t="shared" si="101"/>
        <v>0.5</v>
      </c>
      <c r="R325" s="177">
        <f t="shared" si="102"/>
        <v>0.9965035712196475</v>
      </c>
      <c r="S325" s="811">
        <f t="shared" si="103"/>
        <v>-1</v>
      </c>
      <c r="T325" s="176">
        <f t="shared" si="104"/>
        <v>5</v>
      </c>
      <c r="U325" s="251">
        <f t="shared" si="105"/>
        <v>-3.4964287803525007E-3</v>
      </c>
      <c r="V325" s="383">
        <f t="shared" si="106"/>
        <v>30.913247250380977</v>
      </c>
      <c r="W325" s="402"/>
      <c r="X325" s="157">
        <f t="shared" si="107"/>
        <v>44507</v>
      </c>
      <c r="Y325" s="385">
        <f t="shared" si="108"/>
        <v>8.5200638111679527</v>
      </c>
      <c r="Z325" s="385">
        <f t="shared" si="109"/>
        <v>8.7561694563763233</v>
      </c>
      <c r="AA325" s="386">
        <f t="shared" si="110"/>
        <v>9.3641301754567543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6.4924419854167331E-2</v>
      </c>
      <c r="AD325" s="231">
        <f>(INDEX(Models!$BJ325:$BT325,,AH325)*(1-AF325)+INDEX(Models!$BJ325:$BT325,,AH325+1)*AF325-ERP_i)*AE325*Ramure*Pc/MaxiM</f>
        <v>1.6893452492224446E-4</v>
      </c>
      <c r="AE325" s="305">
        <f t="shared" si="112"/>
        <v>0.5</v>
      </c>
      <c r="AF325" s="177">
        <f t="shared" si="113"/>
        <v>0.9965035712196475</v>
      </c>
      <c r="AG325" s="811">
        <f t="shared" si="119"/>
        <v>-1</v>
      </c>
      <c r="AH325" s="176">
        <f t="shared" si="114"/>
        <v>5</v>
      </c>
      <c r="AI325" s="225">
        <f t="shared" si="115"/>
        <v>-3.4964287803525007E-3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7">
        <v>25.913</v>
      </c>
      <c r="C326" s="390"/>
      <c r="D326" s="393">
        <f t="shared" si="98"/>
        <v>26.631677170843233</v>
      </c>
      <c r="E326" s="385">
        <f t="shared" si="120"/>
        <v>27.211551321595628</v>
      </c>
      <c r="F326" s="385">
        <f t="shared" si="99"/>
        <v>27.215230575971084</v>
      </c>
      <c r="G326" s="110">
        <f t="shared" si="121"/>
        <v>0.84600940199971708</v>
      </c>
      <c r="H326" s="414" t="b">
        <f>Wh_hp&gt;='2020'!Maxi_hp</f>
        <v>1</v>
      </c>
      <c r="I326" s="380">
        <f>IF(H326,Wh_hp,'2020'!Maxi_hp)</f>
        <v>27.215230575971084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2.6985802142046489E-2</v>
      </c>
      <c r="M326" s="845"/>
      <c r="N326" s="845"/>
      <c r="O326" s="48">
        <f>IF(t&lt;Tnet,'2020'!Resal+('2020'!Salim-'2020'!Resal)*(1-EXP(('2020'!Tnet-t)/('2020'!Tau_j))),Resal+(Salim-Resal)*(1-EXP((Tnet-t)/(Tau_j))))*Salcycl</f>
        <v>2.1309852712887944E-2</v>
      </c>
      <c r="P326" s="169">
        <f>(INDEX(Models!$BJ326:$BT326,,T326)*(1-R326)+INDEX(Models!$BJ326:$BT326,,T326+1)*R326-ERP_i)*Q326*Ramure*Pc/MaxiM</f>
        <v>1.733085793508753E-4</v>
      </c>
      <c r="Q326" s="305">
        <f t="shared" si="101"/>
        <v>0.5</v>
      </c>
      <c r="R326" s="177">
        <f t="shared" si="102"/>
        <v>0.99654580667701353</v>
      </c>
      <c r="S326" s="811">
        <f t="shared" si="103"/>
        <v>-1</v>
      </c>
      <c r="T326" s="176">
        <f t="shared" si="104"/>
        <v>5</v>
      </c>
      <c r="U326" s="251">
        <f t="shared" si="105"/>
        <v>-3.4541933229864652E-3</v>
      </c>
      <c r="V326" s="383">
        <f t="shared" si="106"/>
        <v>30.628515551361755</v>
      </c>
      <c r="W326" s="402"/>
      <c r="X326" s="157">
        <f t="shared" si="107"/>
        <v>44508</v>
      </c>
      <c r="Y326" s="385">
        <f t="shared" si="108"/>
        <v>24.758502591644646</v>
      </c>
      <c r="Z326" s="385">
        <f t="shared" si="109"/>
        <v>25.44516066276254</v>
      </c>
      <c r="AA326" s="386">
        <f t="shared" si="110"/>
        <v>27.211551321595628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6.4913265618606941E-2</v>
      </c>
      <c r="AD326" s="231">
        <f>(INDEX(Models!$BJ326:$BT326,,AH326)*(1-AF326)+INDEX(Models!$BJ326:$BT326,,AH326+1)*AF326-ERP_i)*AE326*Ramure*Pc/MaxiM</f>
        <v>1.733085793508753E-4</v>
      </c>
      <c r="AE326" s="305">
        <f t="shared" si="112"/>
        <v>0.5</v>
      </c>
      <c r="AF326" s="177">
        <f t="shared" si="113"/>
        <v>0.99654580667701353</v>
      </c>
      <c r="AG326" s="811">
        <f t="shared" si="119"/>
        <v>-1</v>
      </c>
      <c r="AH326" s="176">
        <f t="shared" si="114"/>
        <v>5</v>
      </c>
      <c r="AI326" s="225">
        <f t="shared" si="115"/>
        <v>-3.4541933229864652E-3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7">
        <v>20.245000000000001</v>
      </c>
      <c r="C327" s="390"/>
      <c r="D327" s="393">
        <f t="shared" si="98"/>
        <v>20.806935265424737</v>
      </c>
      <c r="E327" s="385">
        <f t="shared" si="120"/>
        <v>21.261260604653661</v>
      </c>
      <c r="F327" s="385">
        <f t="shared" si="99"/>
        <v>21.263247705052521</v>
      </c>
      <c r="G327" s="110">
        <f t="shared" si="121"/>
        <v>0.66704055249458094</v>
      </c>
      <c r="H327" s="414" t="b">
        <f>Wh_hp&gt;='2020'!Maxi_hp</f>
        <v>0</v>
      </c>
      <c r="I327" s="380">
        <f>IF(H327,Wh_hp,'2020'!Maxi_hp)</f>
        <v>21.819080346731017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2.7007113650154624E-2</v>
      </c>
      <c r="M327" s="845"/>
      <c r="N327" s="845"/>
      <c r="O327" s="48">
        <f>IF(t&lt;Tnet,'2020'!Resal+('2020'!Salim-'2020'!Resal)*(1-EXP(('2020'!Tnet-t)/('2020'!Tau_j))),Resal+(Salim-Resal)*(1-EXP((Tnet-t)/(Tau_j))))*Salcycl</f>
        <v>2.1368692462641566E-2</v>
      </c>
      <c r="P327" s="169">
        <f>(INDEX(Models!$BJ327:$BT327,,T327)*(1-R327)+INDEX(Models!$BJ327:$BT327,,T327+1)*R327-ERP_i)*Q327*Ramure*Pc/MaxiM</f>
        <v>1.7819983892335009E-4</v>
      </c>
      <c r="Q327" s="305">
        <f t="shared" si="101"/>
        <v>0.5</v>
      </c>
      <c r="R327" s="177">
        <f t="shared" si="102"/>
        <v>0.9965863483254831</v>
      </c>
      <c r="S327" s="811">
        <f t="shared" si="103"/>
        <v>-1</v>
      </c>
      <c r="T327" s="176">
        <f t="shared" si="104"/>
        <v>5</v>
      </c>
      <c r="U327" s="251">
        <f t="shared" si="105"/>
        <v>-3.4136516745169598E-3</v>
      </c>
      <c r="V327" s="383">
        <f t="shared" si="106"/>
        <v>30.347906211945425</v>
      </c>
      <c r="W327" s="402"/>
      <c r="X327" s="157">
        <f t="shared" si="107"/>
        <v>44509</v>
      </c>
      <c r="Y327" s="385">
        <f t="shared" si="108"/>
        <v>19.344414216635304</v>
      </c>
      <c r="Z327" s="385">
        <f t="shared" si="109"/>
        <v>19.881352153770941</v>
      </c>
      <c r="AA327" s="386">
        <f t="shared" si="110"/>
        <v>21.261260604653661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6.4902475753516056E-2</v>
      </c>
      <c r="AD327" s="231">
        <f>(INDEX(Models!$BJ327:$BT327,,AH327)*(1-AF327)+INDEX(Models!$BJ327:$BT327,,AH327+1)*AF327-ERP_i)*AE327*Ramure*Pc/MaxiM</f>
        <v>1.7819983892335009E-4</v>
      </c>
      <c r="AE327" s="305">
        <f t="shared" si="112"/>
        <v>0.5</v>
      </c>
      <c r="AF327" s="177">
        <f t="shared" si="113"/>
        <v>0.9965863483254831</v>
      </c>
      <c r="AG327" s="811">
        <f t="shared" si="119"/>
        <v>-1</v>
      </c>
      <c r="AH327" s="176">
        <f t="shared" si="114"/>
        <v>5</v>
      </c>
      <c r="AI327" s="225">
        <f t="shared" si="115"/>
        <v>-3.4136516745169598E-3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7">
        <v>6.5309999999999997</v>
      </c>
      <c r="C328" s="390"/>
      <c r="D328" s="393">
        <f t="shared" si="98"/>
        <v>6.7124263089896772</v>
      </c>
      <c r="E328" s="385">
        <f t="shared" si="120"/>
        <v>6.8594064587220362</v>
      </c>
      <c r="F328" s="385">
        <f t="shared" si="99"/>
        <v>6.8594064587220362</v>
      </c>
      <c r="G328" s="110">
        <f t="shared" si="121"/>
        <v>0.2171401465747422</v>
      </c>
      <c r="H328" s="414" t="b">
        <f>Wh_hp&gt;='2020'!Maxi_hp</f>
        <v>0</v>
      </c>
      <c r="I328" s="380">
        <f>IF(H328,Wh_hp,'2020'!Maxi_hp)</f>
        <v>21.789231727925742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2.7028424691486141E-2</v>
      </c>
      <c r="M328" s="845"/>
      <c r="N328" s="845"/>
      <c r="O328" s="48">
        <f>IF(t&lt;Tnet,'2020'!Resal+('2020'!Salim-'2020'!Resal)*(1-EXP(('2020'!Tnet-t)/('2020'!Tau_j))),Resal+(Salim-Resal)*(1-EXP((Tnet-t)/(Tau_j))))*Salcycl</f>
        <v>2.1427531757571741E-2</v>
      </c>
      <c r="P328" s="169">
        <f>(INDEX(Models!$BJ328:$BT328,,T328)*(1-R328)+INDEX(Models!$BJ328:$BT328,,T328+1)*R328-ERP_i)*Q328*Ramure*Pc/MaxiM</f>
        <v>1.8361001824712602E-4</v>
      </c>
      <c r="Q328" s="305">
        <f t="shared" si="101"/>
        <v>0.5</v>
      </c>
      <c r="R328" s="177">
        <f t="shared" si="102"/>
        <v>0.99662526383451822</v>
      </c>
      <c r="S328" s="811">
        <f t="shared" si="103"/>
        <v>-1</v>
      </c>
      <c r="T328" s="176">
        <f t="shared" si="104"/>
        <v>5</v>
      </c>
      <c r="U328" s="251">
        <f t="shared" si="105"/>
        <v>-3.3747361654817842E-3</v>
      </c>
      <c r="V328" s="383">
        <f t="shared" si="106"/>
        <v>30.071826633511062</v>
      </c>
      <c r="W328" s="402"/>
      <c r="X328" s="157">
        <f t="shared" si="107"/>
        <v>44510</v>
      </c>
      <c r="Y328" s="385">
        <f t="shared" si="108"/>
        <v>6.2409170432760614</v>
      </c>
      <c r="Z328" s="385">
        <f t="shared" si="109"/>
        <v>6.4142850640802793</v>
      </c>
      <c r="AA328" s="386">
        <f t="shared" si="110"/>
        <v>6.8594064587220362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6.4892115275625051E-2</v>
      </c>
      <c r="AD328" s="231">
        <f>(INDEX(Models!$BJ328:$BT328,,AH328)*(1-AF328)+INDEX(Models!$BJ328:$BT328,,AH328+1)*AF328-ERP_i)*AE328*Ramure*Pc/MaxiM</f>
        <v>1.8361001824712602E-4</v>
      </c>
      <c r="AE328" s="305">
        <f t="shared" si="112"/>
        <v>0.5</v>
      </c>
      <c r="AF328" s="177">
        <f t="shared" si="113"/>
        <v>0.99662526383451822</v>
      </c>
      <c r="AG328" s="811">
        <f t="shared" si="119"/>
        <v>-1</v>
      </c>
      <c r="AH328" s="176">
        <f t="shared" si="114"/>
        <v>5</v>
      </c>
      <c r="AI328" s="225">
        <f t="shared" si="115"/>
        <v>-3.3747361654817842E-3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7">
        <v>11.916</v>
      </c>
      <c r="C329" s="390"/>
      <c r="D329" s="393">
        <f t="shared" si="98"/>
        <v>12.247285839691306</v>
      </c>
      <c r="E329" s="385">
        <f t="shared" si="120"/>
        <v>12.516214138734057</v>
      </c>
      <c r="F329" s="385">
        <f t="shared" si="99"/>
        <v>12.516552566111818</v>
      </c>
      <c r="G329" s="110">
        <f t="shared" si="121"/>
        <v>0.39979161318940376</v>
      </c>
      <c r="H329" s="414" t="b">
        <f>Wh_hp&gt;='2020'!Maxi_hp</f>
        <v>0</v>
      </c>
      <c r="I329" s="380">
        <f>IF(H329,Wh_hp,'2020'!Maxi_hp)</f>
        <v>26.827720309111356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2.7049735266051145E-2</v>
      </c>
      <c r="M329" s="845"/>
      <c r="N329" s="845"/>
      <c r="O329" s="48">
        <f>IF(t&lt;Tnet,'2020'!Resal+('2020'!Salim-'2020'!Resal)*(1-EXP(('2020'!Tnet-t)/('2020'!Tau_j))),Resal+(Salim-Resal)*(1-EXP((Tnet-t)/(Tau_j))))*Salcycl</f>
        <v>2.1486393254530219E-2</v>
      </c>
      <c r="P329" s="169">
        <f>(INDEX(Models!$BJ329:$BT329,,T329)*(1-R329)+INDEX(Models!$BJ329:$BT329,,T329+1)*R329-ERP_i)*Q329*Ramure*Pc/MaxiM</f>
        <v>1.8954051625811151E-4</v>
      </c>
      <c r="Q329" s="305">
        <f t="shared" si="101"/>
        <v>0.5</v>
      </c>
      <c r="R329" s="177">
        <f t="shared" si="102"/>
        <v>0.99666261819051538</v>
      </c>
      <c r="S329" s="811">
        <f t="shared" si="103"/>
        <v>-1</v>
      </c>
      <c r="T329" s="176">
        <f t="shared" si="104"/>
        <v>5</v>
      </c>
      <c r="U329" s="251">
        <f t="shared" si="105"/>
        <v>-3.3373818094846741E-3</v>
      </c>
      <c r="V329" s="383">
        <f t="shared" si="106"/>
        <v>29.800684104425631</v>
      </c>
      <c r="W329" s="402"/>
      <c r="X329" s="157">
        <f t="shared" si="107"/>
        <v>44511</v>
      </c>
      <c r="Y329" s="385">
        <f t="shared" si="108"/>
        <v>11.387540305594349</v>
      </c>
      <c r="Z329" s="385">
        <f t="shared" si="109"/>
        <v>11.704134032697189</v>
      </c>
      <c r="AA329" s="386">
        <f t="shared" si="110"/>
        <v>12.516214138734057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6.4882247701700521E-2</v>
      </c>
      <c r="AD329" s="231">
        <f>(INDEX(Models!$BJ329:$BT329,,AH329)*(1-AF329)+INDEX(Models!$BJ329:$BT329,,AH329+1)*AF329-ERP_i)*AE329*Ramure*Pc/MaxiM</f>
        <v>1.8954051625811151E-4</v>
      </c>
      <c r="AE329" s="305">
        <f t="shared" si="112"/>
        <v>0.5</v>
      </c>
      <c r="AF329" s="177">
        <f t="shared" si="113"/>
        <v>0.99666261819051538</v>
      </c>
      <c r="AG329" s="811">
        <f t="shared" si="119"/>
        <v>-1</v>
      </c>
      <c r="AH329" s="176">
        <f t="shared" si="114"/>
        <v>5</v>
      </c>
      <c r="AI329" s="225">
        <f t="shared" si="115"/>
        <v>-3.3373818094846741E-3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7">
        <v>7.8870000000000005</v>
      </c>
      <c r="C330" s="390"/>
      <c r="D330" s="393">
        <f t="shared" si="98"/>
        <v>8.1064500778791988</v>
      </c>
      <c r="E330" s="385">
        <f t="shared" si="120"/>
        <v>8.284951844653202</v>
      </c>
      <c r="F330" s="385">
        <f t="shared" si="99"/>
        <v>8.284951844653202</v>
      </c>
      <c r="G330" s="110">
        <f t="shared" si="121"/>
        <v>0.26698780080955087</v>
      </c>
      <c r="H330" s="414" t="b">
        <f>Wh_hp&gt;='2020'!Maxi_hp</f>
        <v>0</v>
      </c>
      <c r="I330" s="380">
        <f>IF(H330,Wh_hp,'2020'!Maxi_hp)</f>
        <v>28.254170415117652</v>
      </c>
      <c r="J330" s="85">
        <f>IF(H330,An,'2020'!An_max)</f>
        <v>2018</v>
      </c>
      <c r="K330" s="197">
        <f t="shared" si="100"/>
        <v>44512</v>
      </c>
      <c r="L330" s="147">
        <f>IF(t&lt;Tvie,1-EXP((T0-t)*PertePVj)+'2020'!Pspv,1-EXP((T0-t)*PertePVj)+Pspv)</f>
        <v>2.7071045373859848E-2</v>
      </c>
      <c r="M330" s="845"/>
      <c r="N330" s="845"/>
      <c r="O330" s="48">
        <f>IF(t&lt;Tnet,'2020'!Resal+('2020'!Salim-'2020'!Resal)*(1-EXP(('2020'!Tnet-t)/('2020'!Tau_j))),Resal+(Salim-Resal)*(1-EXP((Tnet-t)/(Tau_j))))*Salcycl</f>
        <v>2.1545299251099645E-2</v>
      </c>
      <c r="P330" s="169">
        <f>(INDEX(Models!$BJ330:$BT330,,T330)*(1-R330)+INDEX(Models!$BJ330:$BT330,,T330+1)*R330-ERP_i)*Q330*Ramure*Pc/MaxiM</f>
        <v>1.959923634237648E-4</v>
      </c>
      <c r="Q330" s="305">
        <f t="shared" si="101"/>
        <v>0.5</v>
      </c>
      <c r="R330" s="177">
        <f t="shared" si="102"/>
        <v>0.9966984738015785</v>
      </c>
      <c r="S330" s="811">
        <f t="shared" si="103"/>
        <v>-1</v>
      </c>
      <c r="T330" s="176">
        <f t="shared" si="104"/>
        <v>5</v>
      </c>
      <c r="U330" s="251">
        <f t="shared" si="105"/>
        <v>-3.301526198421445E-3</v>
      </c>
      <c r="V330" s="383">
        <f t="shared" si="106"/>
        <v>29.534885804968194</v>
      </c>
      <c r="W330" s="402"/>
      <c r="X330" s="157">
        <f t="shared" si="107"/>
        <v>44512</v>
      </c>
      <c r="Y330" s="385">
        <f t="shared" si="108"/>
        <v>7.5377502483733201</v>
      </c>
      <c r="Z330" s="385">
        <f t="shared" si="109"/>
        <v>7.7474827041916878</v>
      </c>
      <c r="AA330" s="386">
        <f t="shared" si="110"/>
        <v>8.284951844653202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6.4872934754397676E-2</v>
      </c>
      <c r="AD330" s="231">
        <f>(INDEX(Models!$BJ330:$BT330,,AH330)*(1-AF330)+INDEX(Models!$BJ330:$BT330,,AH330+1)*AF330-ERP_i)*AE330*Ramure*Pc/MaxiM</f>
        <v>1.959923634237648E-4</v>
      </c>
      <c r="AE330" s="305">
        <f t="shared" si="112"/>
        <v>0.5</v>
      </c>
      <c r="AF330" s="177">
        <f t="shared" si="113"/>
        <v>0.9966984738015785</v>
      </c>
      <c r="AG330" s="811">
        <f t="shared" si="119"/>
        <v>-1</v>
      </c>
      <c r="AH330" s="176">
        <f t="shared" si="114"/>
        <v>5</v>
      </c>
      <c r="AI330" s="225">
        <f t="shared" si="115"/>
        <v>-3.301526198421445E-3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7">
        <v>5.2750000000000004</v>
      </c>
      <c r="C331" s="390"/>
      <c r="D331" s="393">
        <f t="shared" si="98"/>
        <v>5.4218918179853635</v>
      </c>
      <c r="E331" s="385">
        <f t="shared" si="120"/>
        <v>5.5416143596080909</v>
      </c>
      <c r="F331" s="385">
        <f t="shared" si="99"/>
        <v>5.5416143596080909</v>
      </c>
      <c r="G331" s="110">
        <f t="shared" si="121"/>
        <v>0.18015994393442061</v>
      </c>
      <c r="H331" s="414" t="b">
        <f>Wh_hp&gt;='2020'!Maxi_hp</f>
        <v>0</v>
      </c>
      <c r="I331" s="380">
        <f>IF(H331,Wh_hp,'2020'!Maxi_hp)</f>
        <v>29.179515996539571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2.7092355014922465E-2</v>
      </c>
      <c r="M331" s="845"/>
      <c r="N331" s="845"/>
      <c r="O331" s="48">
        <f>IF(t&lt;Tnet,'2020'!Resal+('2020'!Salim-'2020'!Resal)*(1-EXP(('2020'!Tnet-t)/('2020'!Tau_j))),Resal+(Salim-Resal)*(1-EXP((Tnet-t)/(Tau_j))))*Salcycl</f>
        <v>2.160427158110553E-2</v>
      </c>
      <c r="P331" s="169">
        <f>(INDEX(Models!$BJ331:$BT331,,T331)*(1-R331)+INDEX(Models!$BJ331:$BT331,,T331+1)*R331-ERP_i)*Q331*Ramure*Pc/MaxiM</f>
        <v>2.0297478222770147E-4</v>
      </c>
      <c r="Q331" s="305">
        <f t="shared" si="101"/>
        <v>0.5</v>
      </c>
      <c r="R331" s="177">
        <f t="shared" si="102"/>
        <v>0.99673289059832926</v>
      </c>
      <c r="S331" s="811">
        <f t="shared" si="103"/>
        <v>-1</v>
      </c>
      <c r="T331" s="176">
        <f t="shared" si="104"/>
        <v>5</v>
      </c>
      <c r="U331" s="251">
        <f t="shared" si="105"/>
        <v>-3.2671094016707425E-3</v>
      </c>
      <c r="V331" s="383">
        <f t="shared" si="106"/>
        <v>29.273595411105887</v>
      </c>
      <c r="W331" s="402"/>
      <c r="X331" s="157">
        <f t="shared" si="107"/>
        <v>44513</v>
      </c>
      <c r="Y331" s="385">
        <f t="shared" si="108"/>
        <v>5.0417648109132083</v>
      </c>
      <c r="Z331" s="385">
        <f t="shared" si="109"/>
        <v>5.1821617775349464</v>
      </c>
      <c r="AA331" s="386">
        <f t="shared" si="110"/>
        <v>5.5416143596080909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6.4864236077691526E-2</v>
      </c>
      <c r="AD331" s="231">
        <f>(INDEX(Models!$BJ331:$BT331,,AH331)*(1-AF331)+INDEX(Models!$BJ331:$BT331,,AH331+1)*AF331-ERP_i)*AE331*Ramure*Pc/MaxiM</f>
        <v>2.0297478222770147E-4</v>
      </c>
      <c r="AE331" s="305">
        <f t="shared" si="112"/>
        <v>0.5</v>
      </c>
      <c r="AF331" s="177">
        <f t="shared" si="113"/>
        <v>0.99673289059832926</v>
      </c>
      <c r="AG331" s="811">
        <f t="shared" si="119"/>
        <v>-1</v>
      </c>
      <c r="AH331" s="176">
        <f t="shared" si="114"/>
        <v>5</v>
      </c>
      <c r="AI331" s="225">
        <f t="shared" si="115"/>
        <v>-3.2671094016707425E-3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7">
        <v>6.2140000000000004</v>
      </c>
      <c r="C332" s="390"/>
      <c r="D332" s="393">
        <f t="shared" si="98"/>
        <v>6.3871798495572349</v>
      </c>
      <c r="E332" s="385">
        <f t="shared" si="120"/>
        <v>6.5286113209181318</v>
      </c>
      <c r="F332" s="385">
        <f t="shared" si="99"/>
        <v>6.5286113209181318</v>
      </c>
      <c r="G332" s="110">
        <f t="shared" si="121"/>
        <v>0.21411430452452945</v>
      </c>
      <c r="H332" s="414" t="b">
        <f>Wh_hp&gt;='2020'!Maxi_hp</f>
        <v>0</v>
      </c>
      <c r="I332" s="380">
        <f>IF(H332,Wh_hp,'2020'!Maxi_hp)</f>
        <v>19.900379192311398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2.711366418924932E-2</v>
      </c>
      <c r="M332" s="845"/>
      <c r="N332" s="845"/>
      <c r="O332" s="48">
        <f>IF(t&lt;Tnet,'2020'!Resal+('2020'!Salim-'2020'!Resal)*(1-EXP(('2020'!Tnet-t)/('2020'!Tau_j))),Resal+(Salim-Resal)*(1-EXP((Tnet-t)/(Tau_j))))*Salcycl</f>
        <v>2.1663331512436722E-2</v>
      </c>
      <c r="P332" s="169">
        <f>(INDEX(Models!$BJ332:$BT332,,T332)*(1-R332)+INDEX(Models!$BJ332:$BT332,,T332+1)*R332-ERP_i)*Q332*Ramure*Pc/MaxiM</f>
        <v>2.1057114988477511E-4</v>
      </c>
      <c r="Q332" s="305">
        <f t="shared" si="101"/>
        <v>0.5</v>
      </c>
      <c r="R332" s="177">
        <f t="shared" si="102"/>
        <v>0.99676592613089099</v>
      </c>
      <c r="S332" s="811">
        <f t="shared" si="103"/>
        <v>-1</v>
      </c>
      <c r="T332" s="176">
        <f t="shared" si="104"/>
        <v>5</v>
      </c>
      <c r="U332" s="251">
        <f t="shared" si="105"/>
        <v>-3.2340738691090665E-3</v>
      </c>
      <c r="V332" s="383">
        <f t="shared" si="106"/>
        <v>29.015770453406933</v>
      </c>
      <c r="W332" s="402"/>
      <c r="X332" s="157">
        <f t="shared" si="107"/>
        <v>44514</v>
      </c>
      <c r="Y332" s="385">
        <f t="shared" si="108"/>
        <v>5.9396562601313629</v>
      </c>
      <c r="Z332" s="385">
        <f t="shared" si="109"/>
        <v>6.1051903408444685</v>
      </c>
      <c r="AA332" s="386">
        <f t="shared" si="110"/>
        <v>6.5286113209181318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6.4856208963917375E-2</v>
      </c>
      <c r="AD332" s="231">
        <f>(INDEX(Models!$BJ332:$BT332,,AH332)*(1-AF332)+INDEX(Models!$BJ332:$BT332,,AH332+1)*AF332-ERP_i)*AE332*Ramure*Pc/MaxiM</f>
        <v>2.1057114988477511E-4</v>
      </c>
      <c r="AE332" s="305">
        <f t="shared" si="112"/>
        <v>0.5</v>
      </c>
      <c r="AF332" s="177">
        <f t="shared" si="113"/>
        <v>0.99676592613089099</v>
      </c>
      <c r="AG332" s="811">
        <f t="shared" si="119"/>
        <v>-1</v>
      </c>
      <c r="AH332" s="176">
        <f t="shared" si="114"/>
        <v>5</v>
      </c>
      <c r="AI332" s="225">
        <f t="shared" si="115"/>
        <v>-3.2340738691090665E-3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7">
        <v>5.2620000000000005</v>
      </c>
      <c r="C333" s="390"/>
      <c r="D333" s="393">
        <f t="shared" si="98"/>
        <v>5.4087667388644745</v>
      </c>
      <c r="E333" s="385">
        <f t="shared" si="120"/>
        <v>5.5288675625452299</v>
      </c>
      <c r="F333" s="385">
        <f t="shared" si="99"/>
        <v>5.5288675625452299</v>
      </c>
      <c r="G333" s="110">
        <f t="shared" si="121"/>
        <v>0.18291280218754202</v>
      </c>
      <c r="H333" s="414" t="b">
        <f>Wh_hp&gt;='2020'!Maxi_hp</f>
        <v>0</v>
      </c>
      <c r="I333" s="380">
        <f>IF(H333,Wh_hp,'2020'!Maxi_hp)</f>
        <v>27.219183293094108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2.7134972896850518E-2</v>
      </c>
      <c r="M333" s="845"/>
      <c r="N333" s="845"/>
      <c r="O333" s="48">
        <f>IF(t&lt;Tnet,'2020'!Resal+('2020'!Salim-'2020'!Resal)*(1-EXP(('2020'!Tnet-t)/('2020'!Tau_j))),Resal+(Salim-Resal)*(1-EXP((Tnet-t)/(Tau_j))))*Salcycl</f>
        <v>2.1722499647914645E-2</v>
      </c>
      <c r="P333" s="169">
        <f>(INDEX(Models!$BJ333:$BT333,,T333)*(1-R333)+INDEX(Models!$BJ333:$BT333,,T333+1)*R333-ERP_i)*Q333*Ramure*Pc/MaxiM</f>
        <v>2.1852664249763073E-4</v>
      </c>
      <c r="Q333" s="305">
        <f t="shared" si="101"/>
        <v>0.5</v>
      </c>
      <c r="R333" s="177">
        <f t="shared" si="102"/>
        <v>0.99679763566218604</v>
      </c>
      <c r="S333" s="811">
        <f t="shared" si="103"/>
        <v>-1</v>
      </c>
      <c r="T333" s="176">
        <f t="shared" si="104"/>
        <v>5</v>
      </c>
      <c r="U333" s="251">
        <f t="shared" si="105"/>
        <v>-3.2023643378139566E-3</v>
      </c>
      <c r="V333" s="383">
        <f t="shared" si="106"/>
        <v>28.761519422862396</v>
      </c>
      <c r="W333" s="402"/>
      <c r="X333" s="157">
        <f t="shared" si="107"/>
        <v>44515</v>
      </c>
      <c r="Y333" s="385">
        <f t="shared" si="108"/>
        <v>5.0300298676361646</v>
      </c>
      <c r="Z333" s="385">
        <f t="shared" si="109"/>
        <v>5.1703265381158037</v>
      </c>
      <c r="AA333" s="386">
        <f t="shared" si="110"/>
        <v>5.5288675625452299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6.4848908094367705E-2</v>
      </c>
      <c r="AD333" s="231">
        <f>(INDEX(Models!$BJ333:$BT333,,AH333)*(1-AF333)+INDEX(Models!$BJ333:$BT333,,AH333+1)*AF333-ERP_i)*AE333*Ramure*Pc/MaxiM</f>
        <v>2.1852664249763073E-4</v>
      </c>
      <c r="AE333" s="305">
        <f t="shared" si="112"/>
        <v>0.5</v>
      </c>
      <c r="AF333" s="177">
        <f t="shared" si="113"/>
        <v>0.99679763566218604</v>
      </c>
      <c r="AG333" s="811">
        <f t="shared" si="119"/>
        <v>-1</v>
      </c>
      <c r="AH333" s="176">
        <f t="shared" si="114"/>
        <v>5</v>
      </c>
      <c r="AI333" s="225">
        <f t="shared" si="115"/>
        <v>-3.2023643378139566E-3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7">
        <v>9.4079999999999995</v>
      </c>
      <c r="C334" s="390"/>
      <c r="D334" s="393">
        <f t="shared" si="98"/>
        <v>9.6706180217749811</v>
      </c>
      <c r="E334" s="385">
        <f t="shared" si="120"/>
        <v>9.8859518055888671</v>
      </c>
      <c r="F334" s="385">
        <f t="shared" si="99"/>
        <v>9.8860478483782988</v>
      </c>
      <c r="G334" s="110">
        <f t="shared" si="121"/>
        <v>0.32990691194861915</v>
      </c>
      <c r="H334" s="414" t="b">
        <f>Wh_hp&gt;='2020'!Maxi_hp</f>
        <v>0</v>
      </c>
      <c r="I334" s="380">
        <f>IF(H334,Wh_hp,'2020'!Maxi_hp)</f>
        <v>25.63773042545121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2.7156281137736382E-2</v>
      </c>
      <c r="M334" s="845"/>
      <c r="N334" s="845"/>
      <c r="O334" s="48">
        <f>IF(t&lt;Tnet,'2020'!Resal+('2020'!Salim-'2020'!Resal)*(1-EXP(('2020'!Tnet-t)/('2020'!Tau_j))),Resal+(Salim-Resal)*(1-EXP((Tnet-t)/(Tau_j))))*Salcycl</f>
        <v>2.1781795829932209E-2</v>
      </c>
      <c r="P334" s="169">
        <f>(INDEX(Models!$BJ334:$BT334,,T334)*(1-R334)+INDEX(Models!$BJ334:$BT334,,T334+1)*R334-ERP_i)*Q334*Ramure*Pc/MaxiM</f>
        <v>2.2684505460901654E-4</v>
      </c>
      <c r="Q334" s="305">
        <f t="shared" si="101"/>
        <v>0.5</v>
      </c>
      <c r="R334" s="177">
        <f t="shared" si="102"/>
        <v>0.99682807225767567</v>
      </c>
      <c r="S334" s="811">
        <f t="shared" si="103"/>
        <v>-1</v>
      </c>
      <c r="T334" s="176">
        <f t="shared" si="104"/>
        <v>5</v>
      </c>
      <c r="U334" s="251">
        <f t="shared" si="105"/>
        <v>-3.1719277423243875E-3</v>
      </c>
      <c r="V334" s="383">
        <f t="shared" si="106"/>
        <v>28.510943177535388</v>
      </c>
      <c r="W334" s="402"/>
      <c r="X334" s="157">
        <f t="shared" si="107"/>
        <v>44516</v>
      </c>
      <c r="Y334" s="385">
        <f t="shared" si="108"/>
        <v>8.9938653785391125</v>
      </c>
      <c r="Z334" s="385">
        <f t="shared" si="109"/>
        <v>9.2449231096001707</v>
      </c>
      <c r="AA334" s="386">
        <f t="shared" si="110"/>
        <v>9.8859518055888671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6.484238529529357E-2</v>
      </c>
      <c r="AD334" s="231">
        <f>(INDEX(Models!$BJ334:$BT334,,AH334)*(1-AF334)+INDEX(Models!$BJ334:$BT334,,AH334+1)*AF334-ERP_i)*AE334*Ramure*Pc/MaxiM</f>
        <v>2.2684505460901654E-4</v>
      </c>
      <c r="AE334" s="305">
        <f t="shared" si="112"/>
        <v>0.5</v>
      </c>
      <c r="AF334" s="177">
        <f t="shared" si="113"/>
        <v>0.99682807225767567</v>
      </c>
      <c r="AG334" s="811">
        <f t="shared" si="119"/>
        <v>-1</v>
      </c>
      <c r="AH334" s="176">
        <f t="shared" si="114"/>
        <v>5</v>
      </c>
      <c r="AI334" s="225">
        <f t="shared" si="115"/>
        <v>-3.1719277423243875E-3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7">
        <v>2.9540000000000002</v>
      </c>
      <c r="C335" s="390"/>
      <c r="D335" s="393">
        <f t="shared" ref="D335:D379" si="122">Wh/(1-Ppv)</f>
        <v>3.036525440132499</v>
      </c>
      <c r="E335" s="385">
        <f t="shared" si="120"/>
        <v>3.1043278058277708</v>
      </c>
      <c r="F335" s="385">
        <f t="shared" ref="F335:F379" si="123">Wh_sa/(1-Pvg*MEDIAN((-Sdif+Wh/Env_an)/Csdif,0,1))</f>
        <v>3.1043278058277708</v>
      </c>
      <c r="G335" s="110">
        <f t="shared" si="121"/>
        <v>0.10448943343480926</v>
      </c>
      <c r="H335" s="414" t="b">
        <f>Wh_hp&gt;='2020'!Maxi_hp</f>
        <v>0</v>
      </c>
      <c r="I335" s="380">
        <f>IF(H335,Wh_hp,'2020'!Maxi_hp)</f>
        <v>28.670073792979203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2.7177588911917017E-2</v>
      </c>
      <c r="M335" s="845"/>
      <c r="N335" s="845"/>
      <c r="O335" s="48">
        <f>IF(t&lt;Tnet,'2020'!Resal+('2020'!Salim-'2020'!Resal)*(1-EXP(('2020'!Tnet-t)/('2020'!Tau_j))),Resal+(Salim-Resal)*(1-EXP((Tnet-t)/(Tau_j))))*Salcycl</f>
        <v>2.1841239049557221E-2</v>
      </c>
      <c r="P335" s="169">
        <f>(INDEX(Models!$BJ335:$BT335,,T335)*(1-R335)+INDEX(Models!$BJ335:$BT335,,T335+1)*R335-ERP_i)*Q335*Ramure*Pc/MaxiM</f>
        <v>2.3553031392666712E-4</v>
      </c>
      <c r="Q335" s="305">
        <f t="shared" ref="Q335:Q379" si="125">IF(OR(t&lt;Ttai,Notai),Dd+PousD*Croivg,Dens+PousD*(Croivg-Croi_tai))</f>
        <v>0.5</v>
      </c>
      <c r="R335" s="177">
        <f t="shared" ref="R335:R379" si="126">(Hp_vg-S335)/(INDEX(Echel_vg,T335+1)-S335)</f>
        <v>0.99685728687166986</v>
      </c>
      <c r="S335" s="811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-3.1427131283301435E-3</v>
      </c>
      <c r="V335" s="383">
        <f t="shared" ref="V335:V379" si="130">MaxiM*(1-Ppv)*(1-Pvg)*(1-Psa)</f>
        <v>28.264142568015941</v>
      </c>
      <c r="W335" s="402"/>
      <c r="X335" s="157">
        <f t="shared" ref="X335:X379" si="131">t</f>
        <v>44517</v>
      </c>
      <c r="Y335" s="385">
        <f t="shared" ref="Y335:Y379" si="132">Wh_pvt_s*(1-Ppv)</f>
        <v>2.8241554746092383</v>
      </c>
      <c r="Z335" s="385">
        <f t="shared" ref="Z335:Z379" si="133">Wh_sa_s*(1-Psa_s)</f>
        <v>2.9030534683616871</v>
      </c>
      <c r="AA335" s="386">
        <f t="shared" ref="AA335:AA379" si="134">Wh_hp*(1-Pvg_s*MEDIAN((-Sdif+Wh/Env_an)/Csdif,0,1))</f>
        <v>3.1043278058277708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6.4836689311041931E-2</v>
      </c>
      <c r="AD335" s="231">
        <f>(INDEX(Models!$BJ335:$BT335,,AH335)*(1-AF335)+INDEX(Models!$BJ335:$BT335,,AH335+1)*AF335-ERP_i)*AE335*Ramure*Pc/MaxiM</f>
        <v>2.3553031392666712E-4</v>
      </c>
      <c r="AE335" s="305">
        <f t="shared" ref="AE335:AE379" si="136">IF(OR(t&lt;Ttai,Notai),Dd_s+PousD*Croivg,Dens_s+PousD*(Croivg-Croi_tai))</f>
        <v>0.5</v>
      </c>
      <c r="AF335" s="177">
        <f t="shared" ref="AF335:AF379" si="137">(Hp_vg_s-AG335)/(INDEX(Echel_vg,AH335+1)-AG335)</f>
        <v>0.99685728687166986</v>
      </c>
      <c r="AG335" s="811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-3.1427131283301435E-3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7">
        <v>17.597000000000001</v>
      </c>
      <c r="C336" s="390"/>
      <c r="D336" s="393">
        <f t="shared" si="122"/>
        <v>18.089000857022853</v>
      </c>
      <c r="E336" s="385">
        <f t="shared" si="120"/>
        <v>18.494035914674619</v>
      </c>
      <c r="F336" s="385">
        <f t="shared" si="123"/>
        <v>18.496155614315828</v>
      </c>
      <c r="G336" s="110">
        <f t="shared" si="121"/>
        <v>0.62790675706169174</v>
      </c>
      <c r="H336" s="414" t="b">
        <f>Wh_hp&gt;='2020'!Maxi_hp</f>
        <v>0</v>
      </c>
      <c r="I336" s="380">
        <f>IF(H336,Wh_hp,'2020'!Maxi_hp)</f>
        <v>27.452705708144066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2.7198896219402746E-2</v>
      </c>
      <c r="M336" s="845"/>
      <c r="N336" s="845"/>
      <c r="O336" s="48">
        <f>IF(t&lt;Tnet,'2020'!Resal+('2020'!Salim-'2020'!Resal)*(1-EXP(('2020'!Tnet-t)/('2020'!Tau_j))),Resal+(Salim-Resal)*(1-EXP((Tnet-t)/(Tau_j))))*Salcycl</f>
        <v>2.1900847360763476E-2</v>
      </c>
      <c r="P336" s="169">
        <f>(INDEX(Models!$BJ336:$BT336,,T336)*(1-R336)+INDEX(Models!$BJ336:$BT336,,T336+1)*R336-ERP_i)*Q336*Ramure*Pc/MaxiM</f>
        <v>2.4458646374441936E-4</v>
      </c>
      <c r="Q336" s="305">
        <f t="shared" si="125"/>
        <v>0.5</v>
      </c>
      <c r="R336" s="177">
        <f t="shared" si="126"/>
        <v>0.99688532843033317</v>
      </c>
      <c r="S336" s="811">
        <f t="shared" si="127"/>
        <v>-1</v>
      </c>
      <c r="T336" s="176">
        <f t="shared" si="128"/>
        <v>5</v>
      </c>
      <c r="U336" s="251">
        <f t="shared" si="129"/>
        <v>-3.1146715696667715E-3</v>
      </c>
      <c r="V336" s="383">
        <f t="shared" si="130"/>
        <v>28.021218447500402</v>
      </c>
      <c r="W336" s="402"/>
      <c r="X336" s="157">
        <f t="shared" si="131"/>
        <v>44518</v>
      </c>
      <c r="Y336" s="385">
        <f t="shared" si="132"/>
        <v>16.82462725451121</v>
      </c>
      <c r="Z336" s="385">
        <f t="shared" si="133"/>
        <v>17.29503306392813</v>
      </c>
      <c r="AA336" s="386">
        <f t="shared" si="134"/>
        <v>18.494035914674619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6.4831865595930169E-2</v>
      </c>
      <c r="AD336" s="231">
        <f>(INDEX(Models!$BJ336:$BT336,,AH336)*(1-AF336)+INDEX(Models!$BJ336:$BT336,,AH336+1)*AF336-ERP_i)*AE336*Ramure*Pc/MaxiM</f>
        <v>2.4458646374441936E-4</v>
      </c>
      <c r="AE336" s="305">
        <f t="shared" si="136"/>
        <v>0.5</v>
      </c>
      <c r="AF336" s="177">
        <f t="shared" si="137"/>
        <v>0.99688532843033317</v>
      </c>
      <c r="AG336" s="811">
        <f t="shared" ref="AG336:AG379" si="143">INDEX(Echel_vg,AH336)</f>
        <v>-1</v>
      </c>
      <c r="AH336" s="176">
        <f t="shared" si="138"/>
        <v>5</v>
      </c>
      <c r="AI336" s="225">
        <f t="shared" si="139"/>
        <v>-3.1146715696667715E-3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7">
        <v>27.172000000000001</v>
      </c>
      <c r="C337" s="390"/>
      <c r="D337" s="393">
        <f t="shared" si="122"/>
        <v>27.932323518106156</v>
      </c>
      <c r="E337" s="385">
        <f t="shared" si="120"/>
        <v>28.5595085409314</v>
      </c>
      <c r="F337" s="385">
        <f t="shared" si="123"/>
        <v>28.566537236993994</v>
      </c>
      <c r="G337" s="110">
        <f t="shared" si="121"/>
        <v>0.97802597586089435</v>
      </c>
      <c r="H337" s="414" t="b">
        <f>Wh_hp&gt;='2020'!Maxi_hp</f>
        <v>0</v>
      </c>
      <c r="I337" s="380">
        <f>IF(H337,Wh_hp,'2020'!Maxi_hp)</f>
        <v>29.080430360791048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2.7220203060203785E-2</v>
      </c>
      <c r="M337" s="845"/>
      <c r="N337" s="845"/>
      <c r="O337" s="48">
        <f>IF(t&lt;Tnet,'2020'!Resal+('2020'!Salim-'2020'!Resal)*(1-EXP(('2020'!Tnet-t)/('2020'!Tau_j))),Resal+(Salim-Resal)*(1-EXP((Tnet-t)/(Tau_j))))*Salcycl</f>
        <v>2.196063780041467E-2</v>
      </c>
      <c r="P337" s="169">
        <f>(INDEX(Models!$BJ337:$BT337,,T337)*(1-R337)+INDEX(Models!$BJ337:$BT337,,T337+1)*R337-ERP_i)*Q337*Ramure*Pc/MaxiM</f>
        <v>2.5401764015624235E-4</v>
      </c>
      <c r="Q337" s="305">
        <f t="shared" si="125"/>
        <v>0.5</v>
      </c>
      <c r="R337" s="177">
        <f t="shared" si="126"/>
        <v>0.99691224391150368</v>
      </c>
      <c r="S337" s="811">
        <f t="shared" si="127"/>
        <v>-1</v>
      </c>
      <c r="T337" s="176">
        <f t="shared" si="128"/>
        <v>5</v>
      </c>
      <c r="U337" s="251">
        <f t="shared" si="129"/>
        <v>-3.0877560884962629E-3</v>
      </c>
      <c r="V337" s="383">
        <f t="shared" si="130"/>
        <v>27.782271662608014</v>
      </c>
      <c r="W337" s="402"/>
      <c r="X337" s="157">
        <f t="shared" si="131"/>
        <v>44519</v>
      </c>
      <c r="Y337" s="385">
        <f t="shared" si="132"/>
        <v>25.981055321728814</v>
      </c>
      <c r="Z337" s="385">
        <f t="shared" si="133"/>
        <v>26.708053974250802</v>
      </c>
      <c r="AA337" s="386">
        <f t="shared" si="134"/>
        <v>28.5595085409314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6.4827956126314187E-2</v>
      </c>
      <c r="AD337" s="231">
        <f>(INDEX(Models!$BJ337:$BT337,,AH337)*(1-AF337)+INDEX(Models!$BJ337:$BT337,,AH337+1)*AF337-ERP_i)*AE337*Ramure*Pc/MaxiM</f>
        <v>2.5401764015624235E-4</v>
      </c>
      <c r="AE337" s="305">
        <f t="shared" si="136"/>
        <v>0.5</v>
      </c>
      <c r="AF337" s="177">
        <f t="shared" si="137"/>
        <v>0.99691224391150368</v>
      </c>
      <c r="AG337" s="811">
        <f t="shared" si="143"/>
        <v>-1</v>
      </c>
      <c r="AH337" s="176">
        <f t="shared" si="138"/>
        <v>5</v>
      </c>
      <c r="AI337" s="225">
        <f t="shared" si="139"/>
        <v>-3.0877560884962629E-3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7">
        <v>21.995000000000001</v>
      </c>
      <c r="C338" s="390"/>
      <c r="D338" s="393">
        <f t="shared" si="122"/>
        <v>22.610956587189147</v>
      </c>
      <c r="E338" s="385">
        <f t="shared" si="120"/>
        <v>23.120075121811642</v>
      </c>
      <c r="F338" s="385">
        <f t="shared" si="123"/>
        <v>23.124412406329142</v>
      </c>
      <c r="G338" s="110">
        <f t="shared" si="121"/>
        <v>0.79838096484033483</v>
      </c>
      <c r="H338" s="414" t="b">
        <f>Wh_hp&gt;='2020'!Maxi_hp</f>
        <v>0</v>
      </c>
      <c r="I338" s="380">
        <f>IF(H338,Wh_hp,'2020'!Maxi_hp)</f>
        <v>30.110087627610774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2.7241509434330347E-2</v>
      </c>
      <c r="M338" s="845"/>
      <c r="N338" s="845"/>
      <c r="O338" s="48">
        <f>IF(t&lt;Tnet,'2020'!Resal+('2020'!Salim-'2020'!Resal)*(1-EXP(('2020'!Tnet-t)/('2020'!Tau_j))),Resal+(Salim-Resal)*(1-EXP((Tnet-t)/(Tau_j))))*Salcycl</f>
        <v>2.2020626314582799E-2</v>
      </c>
      <c r="P338" s="169">
        <f>(INDEX(Models!$BJ338:$BT338,,T338)*(1-R338)+INDEX(Models!$BJ338:$BT338,,T338+1)*R338-ERP_i)*Q338*Ramure*Pc/MaxiM</f>
        <v>2.634092495918385E-4</v>
      </c>
      <c r="Q338" s="305">
        <f t="shared" si="125"/>
        <v>0.5</v>
      </c>
      <c r="R338" s="177">
        <f t="shared" si="126"/>
        <v>0.99693807842144277</v>
      </c>
      <c r="S338" s="811">
        <f t="shared" si="127"/>
        <v>-1</v>
      </c>
      <c r="T338" s="176">
        <f t="shared" si="128"/>
        <v>5</v>
      </c>
      <c r="U338" s="251">
        <f t="shared" si="129"/>
        <v>-3.0619215785572251E-3</v>
      </c>
      <c r="V338" s="383">
        <f t="shared" si="130"/>
        <v>27.547414602396277</v>
      </c>
      <c r="W338" s="402"/>
      <c r="X338" s="157">
        <f t="shared" si="131"/>
        <v>44520</v>
      </c>
      <c r="Y338" s="385">
        <f t="shared" si="132"/>
        <v>21.032318978601786</v>
      </c>
      <c r="Z338" s="385">
        <f t="shared" si="133"/>
        <v>21.621316269746732</v>
      </c>
      <c r="AA338" s="386">
        <f t="shared" si="134"/>
        <v>23.120075121811642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6.4824999234149083E-2</v>
      </c>
      <c r="AD338" s="231">
        <f>(INDEX(Models!$BJ338:$BT338,,AH338)*(1-AF338)+INDEX(Models!$BJ338:$BT338,,AH338+1)*AF338-ERP_i)*AE338*Ramure*Pc/MaxiM</f>
        <v>2.634092495918385E-4</v>
      </c>
      <c r="AE338" s="305">
        <f t="shared" si="136"/>
        <v>0.5</v>
      </c>
      <c r="AF338" s="177">
        <f t="shared" si="137"/>
        <v>0.99693807842144277</v>
      </c>
      <c r="AG338" s="811">
        <f t="shared" si="143"/>
        <v>-1</v>
      </c>
      <c r="AH338" s="176">
        <f t="shared" si="138"/>
        <v>5</v>
      </c>
      <c r="AI338" s="225">
        <f t="shared" si="139"/>
        <v>-3.0619215785572251E-3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7">
        <v>9.3659999999999997</v>
      </c>
      <c r="C339" s="390"/>
      <c r="D339" s="393">
        <f t="shared" si="122"/>
        <v>9.6285000180094364</v>
      </c>
      <c r="E339" s="385">
        <f t="shared" si="120"/>
        <v>9.8459057667132832</v>
      </c>
      <c r="F339" s="385">
        <f t="shared" si="123"/>
        <v>9.8460700753644197</v>
      </c>
      <c r="G339" s="110">
        <f t="shared" si="121"/>
        <v>0.3427787815955311</v>
      </c>
      <c r="H339" s="414" t="b">
        <f>Wh_hp&gt;='2020'!Maxi_hp</f>
        <v>0</v>
      </c>
      <c r="I339" s="380">
        <f>IF(H339,Wh_hp,'2020'!Maxi_hp)</f>
        <v>29.084066217541494</v>
      </c>
      <c r="J339" s="85">
        <f>IF(H339,An,'2020'!An_max)</f>
        <v>2019</v>
      </c>
      <c r="K339" s="197">
        <f t="shared" si="124"/>
        <v>44521</v>
      </c>
      <c r="L339" s="147">
        <f>IF(t&lt;Tvie,1-EXP((T0-t)*PertePVj)+'2020'!Pspv,1-EXP((T0-t)*PertePVj)+Pspv)</f>
        <v>2.7262815341792535E-2</v>
      </c>
      <c r="M339" s="845"/>
      <c r="N339" s="845"/>
      <c r="O339" s="48">
        <f>IF(t&lt;Tnet,'2020'!Resal+('2020'!Salim-'2020'!Resal)*(1-EXP(('2020'!Tnet-t)/('2020'!Tau_j))),Resal+(Salim-Resal)*(1-EXP((Tnet-t)/(Tau_j))))*Salcycl</f>
        <v>2.208082769173399E-2</v>
      </c>
      <c r="P339" s="169">
        <f>(INDEX(Models!$BJ339:$BT339,,T339)*(1-R339)+INDEX(Models!$BJ339:$BT339,,T339+1)*R339-ERP_i)*Q339*Ramure*Pc/MaxiM</f>
        <v>2.7250694466456602E-4</v>
      </c>
      <c r="Q339" s="305">
        <f t="shared" si="125"/>
        <v>0.5</v>
      </c>
      <c r="R339" s="177">
        <f t="shared" si="126"/>
        <v>0.99696287526862792</v>
      </c>
      <c r="S339" s="811">
        <f t="shared" si="127"/>
        <v>-1</v>
      </c>
      <c r="T339" s="176">
        <f t="shared" si="128"/>
        <v>5</v>
      </c>
      <c r="U339" s="251">
        <f t="shared" si="129"/>
        <v>-3.0371247313721317E-3</v>
      </c>
      <c r="V339" s="383">
        <f t="shared" si="130"/>
        <v>27.316754887084461</v>
      </c>
      <c r="W339" s="402"/>
      <c r="X339" s="157">
        <f t="shared" si="131"/>
        <v>44521</v>
      </c>
      <c r="Y339" s="385">
        <f t="shared" si="132"/>
        <v>8.956637474826902</v>
      </c>
      <c r="Z339" s="385">
        <f t="shared" si="133"/>
        <v>9.2076643271060039</v>
      </c>
      <c r="AA339" s="386">
        <f t="shared" si="134"/>
        <v>9.8459057667132832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6.4823029463172976E-2</v>
      </c>
      <c r="AD339" s="231">
        <f>(INDEX(Models!$BJ339:$BT339,,AH339)*(1-AF339)+INDEX(Models!$BJ339:$BT339,,AH339+1)*AF339-ERP_i)*AE339*Ramure*Pc/MaxiM</f>
        <v>2.7250694466456602E-4</v>
      </c>
      <c r="AE339" s="305">
        <f t="shared" si="136"/>
        <v>0.5</v>
      </c>
      <c r="AF339" s="177">
        <f t="shared" si="137"/>
        <v>0.99696287526862792</v>
      </c>
      <c r="AG339" s="811">
        <f t="shared" si="143"/>
        <v>-1</v>
      </c>
      <c r="AH339" s="176">
        <f t="shared" si="138"/>
        <v>5</v>
      </c>
      <c r="AI339" s="225">
        <f t="shared" si="139"/>
        <v>-3.0371247313721317E-3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7">
        <v>17.715</v>
      </c>
      <c r="C340" s="390"/>
      <c r="D340" s="393">
        <f t="shared" si="122"/>
        <v>18.211895558086955</v>
      </c>
      <c r="E340" s="385">
        <f t="shared" si="120"/>
        <v>18.624260058603685</v>
      </c>
      <c r="F340" s="385">
        <f t="shared" si="123"/>
        <v>18.626909386623737</v>
      </c>
      <c r="G340" s="110">
        <f t="shared" si="121"/>
        <v>0.65383089276327322</v>
      </c>
      <c r="H340" s="414" t="b">
        <f>Wh_hp&gt;='2020'!Maxi_hp</f>
        <v>0</v>
      </c>
      <c r="I340" s="380">
        <f>IF(H340,Wh_hp,'2020'!Maxi_hp)</f>
        <v>29.591035421411469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2.7284120782600785E-2</v>
      </c>
      <c r="M340" s="845"/>
      <c r="N340" s="845"/>
      <c r="O340" s="48">
        <f>IF(t&lt;Tnet,'2020'!Resal+('2020'!Salim-'2020'!Resal)*(1-EXP(('2020'!Tnet-t)/('2020'!Tau_j))),Resal+(Salim-Resal)*(1-EXP((Tnet-t)/(Tau_j))))*Salcycl</f>
        <v>2.2141255503261442E-2</v>
      </c>
      <c r="P340" s="169">
        <f>(INDEX(Models!$BJ340:$BT340,,T340)*(1-R340)+INDEX(Models!$BJ340:$BT340,,T340+1)*R340-ERP_i)*Q340*Ramure*Pc/MaxiM</f>
        <v>2.8131027309773529E-4</v>
      </c>
      <c r="Q340" s="305">
        <f t="shared" si="125"/>
        <v>0.5</v>
      </c>
      <c r="R340" s="177">
        <f t="shared" si="126"/>
        <v>0.99698667603469648</v>
      </c>
      <c r="S340" s="811">
        <f t="shared" si="127"/>
        <v>-1</v>
      </c>
      <c r="T340" s="176">
        <f t="shared" si="128"/>
        <v>5</v>
      </c>
      <c r="U340" s="251">
        <f t="shared" si="129"/>
        <v>-3.013323965303516E-3</v>
      </c>
      <c r="V340" s="383">
        <f t="shared" si="130"/>
        <v>27.090393036054991</v>
      </c>
      <c r="W340" s="402"/>
      <c r="X340" s="157">
        <f t="shared" si="131"/>
        <v>44522</v>
      </c>
      <c r="Y340" s="385">
        <f t="shared" si="132"/>
        <v>16.94178938546284</v>
      </c>
      <c r="Z340" s="385">
        <f t="shared" si="133"/>
        <v>17.416996830660764</v>
      </c>
      <c r="AA340" s="386">
        <f t="shared" si="134"/>
        <v>18.624260058603685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6.4822077448666873E-2</v>
      </c>
      <c r="AD340" s="231">
        <f>(INDEX(Models!$BJ340:$BT340,,AH340)*(1-AF340)+INDEX(Models!$BJ340:$BT340,,AH340+1)*AF340-ERP_i)*AE340*Ramure*Pc/MaxiM</f>
        <v>2.8131027309773529E-4</v>
      </c>
      <c r="AE340" s="305">
        <f t="shared" si="136"/>
        <v>0.5</v>
      </c>
      <c r="AF340" s="177">
        <f t="shared" si="137"/>
        <v>0.99698667603469648</v>
      </c>
      <c r="AG340" s="811">
        <f t="shared" si="143"/>
        <v>-1</v>
      </c>
      <c r="AH340" s="176">
        <f t="shared" si="138"/>
        <v>5</v>
      </c>
      <c r="AI340" s="225">
        <f t="shared" si="139"/>
        <v>-3.013323965303516E-3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7">
        <v>12.416</v>
      </c>
      <c r="C341" s="390"/>
      <c r="D341" s="393">
        <f t="shared" si="122"/>
        <v>12.764541232955636</v>
      </c>
      <c r="E341" s="385">
        <f t="shared" si="120"/>
        <v>13.054373413926552</v>
      </c>
      <c r="F341" s="385">
        <f t="shared" si="123"/>
        <v>13.055249614190638</v>
      </c>
      <c r="G341" s="110">
        <f t="shared" si="121"/>
        <v>0.46200075392392037</v>
      </c>
      <c r="H341" s="414" t="b">
        <f>Wh_hp&gt;='2020'!Maxi_hp</f>
        <v>0</v>
      </c>
      <c r="I341" s="380">
        <f>IF(H341,Wh_hp,'2020'!Maxi_hp)</f>
        <v>29.56301535081597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2.7305425756765089E-2</v>
      </c>
      <c r="M341" s="845"/>
      <c r="N341" s="845"/>
      <c r="O341" s="48">
        <f>IF(t&lt;Tnet,'2020'!Resal+('2020'!Salim-'2020'!Resal)*(1-EXP(('2020'!Tnet-t)/('2020'!Tau_j))),Resal+(Salim-Resal)*(1-EXP((Tnet-t)/(Tau_j))))*Salcycl</f>
        <v>2.2201922051786848E-2</v>
      </c>
      <c r="P341" s="169">
        <f>(INDEX(Models!$BJ341:$BT341,,T341)*(1-R341)+INDEX(Models!$BJ341:$BT341,,T341+1)*R341-ERP_i)*Q341*Ramure*Pc/MaxiM</f>
        <v>2.8981668640468041E-4</v>
      </c>
      <c r="Q341" s="305">
        <f t="shared" si="125"/>
        <v>0.5</v>
      </c>
      <c r="R341" s="177">
        <f t="shared" si="126"/>
        <v>0.99700952064264614</v>
      </c>
      <c r="S341" s="811">
        <f t="shared" si="127"/>
        <v>-1</v>
      </c>
      <c r="T341" s="176">
        <f t="shared" si="128"/>
        <v>5</v>
      </c>
      <c r="U341" s="251">
        <f t="shared" si="129"/>
        <v>-2.9904793573538035E-3</v>
      </c>
      <c r="V341" s="383">
        <f t="shared" si="130"/>
        <v>26.868429633862512</v>
      </c>
      <c r="W341" s="402"/>
      <c r="X341" s="157">
        <f t="shared" si="131"/>
        <v>44523</v>
      </c>
      <c r="Y341" s="385">
        <f t="shared" si="132"/>
        <v>11.874811580587414</v>
      </c>
      <c r="Z341" s="385">
        <f t="shared" si="133"/>
        <v>12.208160603574996</v>
      </c>
      <c r="AA341" s="386">
        <f t="shared" si="134"/>
        <v>13.054373413926552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6.4822169821556322E-2</v>
      </c>
      <c r="AD341" s="231">
        <f>(INDEX(Models!$BJ341:$BT341,,AH341)*(1-AF341)+INDEX(Models!$BJ341:$BT341,,AH341+1)*AF341-ERP_i)*AE341*Ramure*Pc/MaxiM</f>
        <v>2.8981668640468041E-4</v>
      </c>
      <c r="AE341" s="305">
        <f t="shared" si="136"/>
        <v>0.5</v>
      </c>
      <c r="AF341" s="177">
        <f t="shared" si="137"/>
        <v>0.99700952064264614</v>
      </c>
      <c r="AG341" s="811">
        <f t="shared" si="143"/>
        <v>-1</v>
      </c>
      <c r="AH341" s="176">
        <f t="shared" si="138"/>
        <v>5</v>
      </c>
      <c r="AI341" s="225">
        <f t="shared" si="139"/>
        <v>-2.9904793573538035E-3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7">
        <v>1.776</v>
      </c>
      <c r="C342" s="390"/>
      <c r="D342" s="393">
        <f t="shared" si="122"/>
        <v>1.8258957609502076</v>
      </c>
      <c r="E342" s="385">
        <f t="shared" si="120"/>
        <v>1.867470965128329</v>
      </c>
      <c r="F342" s="385">
        <f t="shared" si="123"/>
        <v>1.867470965128329</v>
      </c>
      <c r="G342" s="110">
        <f t="shared" si="121"/>
        <v>6.6619377264856422E-2</v>
      </c>
      <c r="H342" s="414" t="b">
        <f>Wh_hp&gt;='2020'!Maxi_hp</f>
        <v>0</v>
      </c>
      <c r="I342" s="380">
        <f>IF(H342,Wh_hp,'2020'!Maxi_hp)</f>
        <v>27.223770958160259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2.7326730264295884E-2</v>
      </c>
      <c r="M342" s="845"/>
      <c r="N342" s="845"/>
      <c r="O342" s="48">
        <f>IF(t&lt;Tnet,'2020'!Resal+('2020'!Salim-'2020'!Resal)*(1-EXP(('2020'!Tnet-t)/('2020'!Tau_j))),Resal+(Salim-Resal)*(1-EXP((Tnet-t)/(Tau_j))))*Salcycl</f>
        <v>2.2262838327590545E-2</v>
      </c>
      <c r="P342" s="169">
        <f>(INDEX(Models!$BJ342:$BT342,,T342)*(1-R342)+INDEX(Models!$BJ342:$BT342,,T342+1)*R342-ERP_i)*Q342*Ramure*Pc/MaxiM</f>
        <v>2.9802432445881792E-4</v>
      </c>
      <c r="Q342" s="305">
        <f t="shared" si="125"/>
        <v>0.5</v>
      </c>
      <c r="R342" s="177">
        <f t="shared" si="126"/>
        <v>0.99703144742239425</v>
      </c>
      <c r="S342" s="811">
        <f t="shared" si="127"/>
        <v>-1</v>
      </c>
      <c r="T342" s="176">
        <f t="shared" si="128"/>
        <v>5</v>
      </c>
      <c r="U342" s="251">
        <f t="shared" si="129"/>
        <v>-2.9685525776058097E-3</v>
      </c>
      <c r="V342" s="383">
        <f t="shared" si="130"/>
        <v>26.650965255065081</v>
      </c>
      <c r="W342" s="402"/>
      <c r="X342" s="157">
        <f t="shared" si="131"/>
        <v>44524</v>
      </c>
      <c r="Y342" s="385">
        <f t="shared" si="132"/>
        <v>1.6986914608124524</v>
      </c>
      <c r="Z342" s="385">
        <f t="shared" si="133"/>
        <v>1.7464152801012232</v>
      </c>
      <c r="AA342" s="386">
        <f t="shared" si="134"/>
        <v>1.867470965128329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6.4823329137428928E-2</v>
      </c>
      <c r="AD342" s="231">
        <f>(INDEX(Models!$BJ342:$BT342,,AH342)*(1-AF342)+INDEX(Models!$BJ342:$BT342,,AH342+1)*AF342-ERP_i)*AE342*Ramure*Pc/MaxiM</f>
        <v>2.9802432445881792E-4</v>
      </c>
      <c r="AE342" s="305">
        <f t="shared" si="136"/>
        <v>0.5</v>
      </c>
      <c r="AF342" s="177">
        <f t="shared" si="137"/>
        <v>0.99703144742239425</v>
      </c>
      <c r="AG342" s="811">
        <f t="shared" si="143"/>
        <v>-1</v>
      </c>
      <c r="AH342" s="176">
        <f t="shared" si="138"/>
        <v>5</v>
      </c>
      <c r="AI342" s="225">
        <f t="shared" si="139"/>
        <v>-2.9685525776058097E-3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7">
        <v>17.152999999999999</v>
      </c>
      <c r="C343" s="390"/>
      <c r="D343" s="393">
        <f t="shared" si="122"/>
        <v>17.635290530407815</v>
      </c>
      <c r="E343" s="385">
        <f t="shared" si="120"/>
        <v>18.037970434439188</v>
      </c>
      <c r="F343" s="385">
        <f t="shared" si="123"/>
        <v>18.04072058200839</v>
      </c>
      <c r="G343" s="110">
        <f t="shared" si="121"/>
        <v>0.64869890300844457</v>
      </c>
      <c r="H343" s="414" t="b">
        <f>Wh_hp&gt;='2020'!Maxi_hp</f>
        <v>0</v>
      </c>
      <c r="I343" s="380">
        <f>IF(H343,Wh_hp,'2020'!Maxi_hp)</f>
        <v>26.38503248912658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2.7348034305203162E-2</v>
      </c>
      <c r="M343" s="845"/>
      <c r="N343" s="845"/>
      <c r="O343" s="48">
        <f>IF(t&lt;Tnet,'2020'!Resal+('2020'!Salim-'2020'!Resal)*(1-EXP(('2020'!Tnet-t)/('2020'!Tau_j))),Resal+(Salim-Resal)*(1-EXP((Tnet-t)/(Tau_j))))*Salcycl</f>
        <v>2.2324013973465159E-2</v>
      </c>
      <c r="P343" s="169">
        <f>(INDEX(Models!$BJ343:$BT343,,T343)*(1-R343)+INDEX(Models!$BJ343:$BT343,,T343+1)*R343-ERP_i)*Q343*Ramure*Pc/MaxiM</f>
        <v>3.0593245057129287E-4</v>
      </c>
      <c r="Q343" s="305">
        <f t="shared" si="125"/>
        <v>0.5</v>
      </c>
      <c r="R343" s="177">
        <f t="shared" si="126"/>
        <v>0.99705249317379152</v>
      </c>
      <c r="S343" s="811">
        <f t="shared" si="127"/>
        <v>-1</v>
      </c>
      <c r="T343" s="176">
        <f t="shared" si="128"/>
        <v>5</v>
      </c>
      <c r="U343" s="251">
        <f t="shared" si="129"/>
        <v>-2.9475068262084791E-3</v>
      </c>
      <c r="V343" s="383">
        <f t="shared" si="130"/>
        <v>26.43810045334973</v>
      </c>
      <c r="W343" s="402"/>
      <c r="X343" s="157">
        <f t="shared" si="131"/>
        <v>44525</v>
      </c>
      <c r="Y343" s="385">
        <f t="shared" si="132"/>
        <v>16.407324268312522</v>
      </c>
      <c r="Z343" s="385">
        <f t="shared" si="133"/>
        <v>16.868648650282875</v>
      </c>
      <c r="AA343" s="386">
        <f t="shared" si="134"/>
        <v>18.037970434439188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6.4825573830843641E-2</v>
      </c>
      <c r="AD343" s="231">
        <f>(INDEX(Models!$BJ343:$BT343,,AH343)*(1-AF343)+INDEX(Models!$BJ343:$BT343,,AH343+1)*AF343-ERP_i)*AE343*Ramure*Pc/MaxiM</f>
        <v>3.0593245057129287E-4</v>
      </c>
      <c r="AE343" s="305">
        <f t="shared" si="136"/>
        <v>0.5</v>
      </c>
      <c r="AF343" s="177">
        <f t="shared" si="137"/>
        <v>0.99705249317379152</v>
      </c>
      <c r="AG343" s="811">
        <f t="shared" si="143"/>
        <v>-1</v>
      </c>
      <c r="AH343" s="176">
        <f t="shared" si="138"/>
        <v>5</v>
      </c>
      <c r="AI343" s="225">
        <f t="shared" si="139"/>
        <v>-2.9475068262084791E-3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7">
        <v>7.7640000000000002</v>
      </c>
      <c r="C344" s="390"/>
      <c r="D344" s="393">
        <f t="shared" si="122"/>
        <v>7.9824750569482772</v>
      </c>
      <c r="E344" s="385">
        <f t="shared" si="120"/>
        <v>8.1652580929912713</v>
      </c>
      <c r="F344" s="385">
        <f t="shared" si="123"/>
        <v>8.1652580929912713</v>
      </c>
      <c r="G344" s="110">
        <f t="shared" si="121"/>
        <v>0.29590486742581484</v>
      </c>
      <c r="H344" s="414" t="b">
        <f>Wh_hp&gt;='2020'!Maxi_hp</f>
        <v>0</v>
      </c>
      <c r="I344" s="380">
        <f>IF(H344,Wh_hp,'2020'!Maxi_hp)</f>
        <v>26.793324525882319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2.7369337879497357E-2</v>
      </c>
      <c r="M344" s="845"/>
      <c r="N344" s="845"/>
      <c r="O344" s="48">
        <f>IF(t&lt;Tnet,'2020'!Resal+('2020'!Salim-'2020'!Resal)*(1-EXP(('2020'!Tnet-t)/('2020'!Tau_j))),Resal+(Salim-Resal)*(1-EXP((Tnet-t)/(Tau_j))))*Salcycl</f>
        <v>2.2385457258220397E-2</v>
      </c>
      <c r="P344" s="169">
        <f>(INDEX(Models!$BJ344:$BT344,,T344)*(1-R344)+INDEX(Models!$BJ344:$BT344,,T344+1)*R344-ERP_i)*Q344*Ramure*Pc/MaxiM</f>
        <v>3.13540001520045E-4</v>
      </c>
      <c r="Q344" s="305">
        <f t="shared" si="125"/>
        <v>0.5</v>
      </c>
      <c r="R344" s="177">
        <f t="shared" si="126"/>
        <v>0.99707269322718983</v>
      </c>
      <c r="S344" s="811">
        <f t="shared" si="127"/>
        <v>-1</v>
      </c>
      <c r="T344" s="176">
        <f t="shared" si="128"/>
        <v>5</v>
      </c>
      <c r="U344" s="251">
        <f t="shared" si="129"/>
        <v>-2.9273067728101121E-3</v>
      </c>
      <c r="V344" s="383">
        <f t="shared" si="130"/>
        <v>26.229935799802515</v>
      </c>
      <c r="W344" s="402"/>
      <c r="X344" s="157">
        <f t="shared" si="131"/>
        <v>44526</v>
      </c>
      <c r="Y344" s="385">
        <f t="shared" si="132"/>
        <v>7.4269233544441677</v>
      </c>
      <c r="Z344" s="385">
        <f t="shared" si="133"/>
        <v>7.635913244038794</v>
      </c>
      <c r="AA344" s="386">
        <f t="shared" si="134"/>
        <v>8.1652580929912713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6.4828918195108318E-2</v>
      </c>
      <c r="AD344" s="231">
        <f>(INDEX(Models!$BJ344:$BT344,,AH344)*(1-AF344)+INDEX(Models!$BJ344:$BT344,,AH344+1)*AF344-ERP_i)*AE344*Ramure*Pc/MaxiM</f>
        <v>3.13540001520045E-4</v>
      </c>
      <c r="AE344" s="305">
        <f t="shared" si="136"/>
        <v>0.5</v>
      </c>
      <c r="AF344" s="177">
        <f t="shared" si="137"/>
        <v>0.99707269322718983</v>
      </c>
      <c r="AG344" s="811">
        <f t="shared" si="143"/>
        <v>-1</v>
      </c>
      <c r="AH344" s="176">
        <f t="shared" si="138"/>
        <v>5</v>
      </c>
      <c r="AI344" s="225">
        <f t="shared" si="139"/>
        <v>-2.9273067728101121E-3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7">
        <v>15.606</v>
      </c>
      <c r="C345" s="390"/>
      <c r="D345" s="393">
        <f t="shared" si="122"/>
        <v>16.045496432236607</v>
      </c>
      <c r="E345" s="385">
        <f t="shared" si="120"/>
        <v>16.413943086098669</v>
      </c>
      <c r="F345" s="385">
        <f t="shared" si="123"/>
        <v>16.416198396065131</v>
      </c>
      <c r="G345" s="110">
        <f t="shared" si="121"/>
        <v>0.59958512574439138</v>
      </c>
      <c r="H345" s="414" t="b">
        <f>Wh_hp&gt;='2020'!Maxi_hp</f>
        <v>0</v>
      </c>
      <c r="I345" s="380">
        <f>IF(H345,Wh_hp,'2020'!Maxi_hp)</f>
        <v>25.130362962848679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2.7390640987188575E-2</v>
      </c>
      <c r="M345" s="845"/>
      <c r="N345" s="845"/>
      <c r="O345" s="48">
        <f>IF(t&lt;Tnet,'2020'!Resal+('2020'!Salim-'2020'!Resal)*(1-EXP(('2020'!Tnet-t)/('2020'!Tau_j))),Resal+(Salim-Resal)*(1-EXP((Tnet-t)/(Tau_j))))*Salcycl</f>
        <v>2.2447175058996512E-2</v>
      </c>
      <c r="P345" s="169">
        <f>(INDEX(Models!$BJ345:$BT345,,T345)*(1-R345)+INDEX(Models!$BJ345:$BT345,,T345+1)*R345-ERP_i)*Q345*Ramure*Pc/MaxiM</f>
        <v>3.2088684888716135E-4</v>
      </c>
      <c r="Q345" s="305">
        <f t="shared" si="125"/>
        <v>0.5</v>
      </c>
      <c r="R345" s="177">
        <f t="shared" si="126"/>
        <v>0.99709208150165041</v>
      </c>
      <c r="S345" s="811">
        <f t="shared" si="127"/>
        <v>-1</v>
      </c>
      <c r="T345" s="176">
        <f t="shared" si="128"/>
        <v>5</v>
      </c>
      <c r="U345" s="251">
        <f t="shared" si="129"/>
        <v>-2.9079184983495376E-3</v>
      </c>
      <c r="V345" s="383">
        <f t="shared" si="130"/>
        <v>26.023220354727446</v>
      </c>
      <c r="W345" s="402"/>
      <c r="X345" s="157">
        <f t="shared" si="131"/>
        <v>44527</v>
      </c>
      <c r="Y345" s="385">
        <f t="shared" si="132"/>
        <v>14.929331712996134</v>
      </c>
      <c r="Z345" s="385">
        <f t="shared" si="133"/>
        <v>15.349771801650412</v>
      </c>
      <c r="AA345" s="386">
        <f t="shared" si="134"/>
        <v>16.413943086098669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6.4833372387499394E-2</v>
      </c>
      <c r="AD345" s="231">
        <f>(INDEX(Models!$BJ345:$BT345,,AH345)*(1-AF345)+INDEX(Models!$BJ345:$BT345,,AH345+1)*AF345-ERP_i)*AE345*Ramure*Pc/MaxiM</f>
        <v>3.2088684888716135E-4</v>
      </c>
      <c r="AE345" s="305">
        <f t="shared" si="136"/>
        <v>0.5</v>
      </c>
      <c r="AF345" s="177">
        <f t="shared" si="137"/>
        <v>0.99709208150165041</v>
      </c>
      <c r="AG345" s="811">
        <f t="shared" si="143"/>
        <v>-1</v>
      </c>
      <c r="AH345" s="176">
        <f t="shared" si="138"/>
        <v>5</v>
      </c>
      <c r="AI345" s="225">
        <f t="shared" si="139"/>
        <v>-2.9079184983495376E-3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7">
        <v>7.1219999999999999</v>
      </c>
      <c r="C346" s="390"/>
      <c r="D346" s="393">
        <f t="shared" si="122"/>
        <v>7.3227302693485337</v>
      </c>
      <c r="E346" s="385">
        <f t="shared" si="120"/>
        <v>7.4913544618289887</v>
      </c>
      <c r="F346" s="385">
        <f t="shared" si="123"/>
        <v>7.4913544618289887</v>
      </c>
      <c r="G346" s="110">
        <f t="shared" si="121"/>
        <v>0.27578932863579014</v>
      </c>
      <c r="H346" s="414" t="b">
        <f>Wh_hp&gt;='2020'!Maxi_hp</f>
        <v>0</v>
      </c>
      <c r="I346" s="380">
        <f>IF(H346,Wh_hp,'2020'!Maxi_hp)</f>
        <v>18.630206084198146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2.7411943628287139E-2</v>
      </c>
      <c r="M346" s="845"/>
      <c r="N346" s="845"/>
      <c r="O346" s="48">
        <f>IF(t&lt;Tnet,'2020'!Resal+('2020'!Salim-'2020'!Resal)*(1-EXP(('2020'!Tnet-t)/('2020'!Tau_j))),Resal+(Salim-Resal)*(1-EXP((Tnet-t)/(Tau_j))))*Salcycl</f>
        <v>2.2509172852473176E-2</v>
      </c>
      <c r="P346" s="169">
        <f>(INDEX(Models!$BJ346:$BT346,,T346)*(1-R346)+INDEX(Models!$BJ346:$BT346,,T346+1)*R346-ERP_i)*Q346*Ramure*Pc/MaxiM</f>
        <v>3.2763273164167954E-4</v>
      </c>
      <c r="Q346" s="305">
        <f t="shared" si="125"/>
        <v>0.5</v>
      </c>
      <c r="R346" s="177">
        <f t="shared" si="126"/>
        <v>0.99711069056088519</v>
      </c>
      <c r="S346" s="811">
        <f t="shared" si="127"/>
        <v>-1</v>
      </c>
      <c r="T346" s="176">
        <f t="shared" si="128"/>
        <v>5</v>
      </c>
      <c r="U346" s="251">
        <f t="shared" si="129"/>
        <v>-2.8893094391148066E-3</v>
      </c>
      <c r="V346" s="383">
        <f t="shared" si="130"/>
        <v>25.815598576286984</v>
      </c>
      <c r="W346" s="402"/>
      <c r="X346" s="157">
        <f t="shared" si="131"/>
        <v>44528</v>
      </c>
      <c r="Y346" s="385">
        <f t="shared" si="132"/>
        <v>6.813585219247118</v>
      </c>
      <c r="Z346" s="385">
        <f t="shared" si="133"/>
        <v>7.0056229609332545</v>
      </c>
      <c r="AA346" s="386">
        <f t="shared" si="134"/>
        <v>7.4913544618289887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6.4838942459698359E-2</v>
      </c>
      <c r="AD346" s="231">
        <f>(INDEX(Models!$BJ346:$BT346,,AH346)*(1-AF346)+INDEX(Models!$BJ346:$BT346,,AH346+1)*AF346-ERP_i)*AE346*Ramure*Pc/MaxiM</f>
        <v>3.2763273164167954E-4</v>
      </c>
      <c r="AE346" s="305">
        <f t="shared" si="136"/>
        <v>0.5</v>
      </c>
      <c r="AF346" s="177">
        <f t="shared" si="137"/>
        <v>0.99711069056088519</v>
      </c>
      <c r="AG346" s="811">
        <f t="shared" si="143"/>
        <v>-1</v>
      </c>
      <c r="AH346" s="176">
        <f t="shared" si="138"/>
        <v>5</v>
      </c>
      <c r="AI346" s="225">
        <f t="shared" si="139"/>
        <v>-2.8893094391148066E-3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7">
        <v>7.5890000000000004</v>
      </c>
      <c r="C347" s="390"/>
      <c r="D347" s="393">
        <f t="shared" si="122"/>
        <v>7.8030633550334789</v>
      </c>
      <c r="E347" s="385">
        <f t="shared" si="120"/>
        <v>7.9832570807088059</v>
      </c>
      <c r="F347" s="385">
        <f t="shared" si="123"/>
        <v>7.9832570807088059</v>
      </c>
      <c r="G347" s="110">
        <f t="shared" si="121"/>
        <v>0.29624801625064878</v>
      </c>
      <c r="H347" s="414" t="b">
        <f>Wh_hp&gt;='2020'!Maxi_hp</f>
        <v>0</v>
      </c>
      <c r="I347" s="380">
        <f>IF(H347,Wh_hp,'2020'!Maxi_hp)</f>
        <v>26.41641779115476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2.7433245802803041E-2</v>
      </c>
      <c r="M347" s="845"/>
      <c r="N347" s="845"/>
      <c r="O347" s="48">
        <f>IF(t&lt;Tnet,'2020'!Resal+('2020'!Salim-'2020'!Resal)*(1-EXP(('2020'!Tnet-t)/('2020'!Tau_j))),Resal+(Salim-Resal)*(1-EXP((Tnet-t)/(Tau_j))))*Salcycl</f>
        <v>2.2571454714988066E-2</v>
      </c>
      <c r="P347" s="169">
        <f>(INDEX(Models!$BJ347:$BT347,,T347)*(1-R347)+INDEX(Models!$BJ347:$BT347,,T347+1)*R347-ERP_i)*Q347*Ramure*Pc/MaxiM</f>
        <v>3.3368669902246966E-4</v>
      </c>
      <c r="Q347" s="305">
        <f t="shared" si="125"/>
        <v>0.5</v>
      </c>
      <c r="R347" s="177">
        <f t="shared" si="126"/>
        <v>0.99712855166701431</v>
      </c>
      <c r="S347" s="811">
        <f t="shared" si="127"/>
        <v>-1</v>
      </c>
      <c r="T347" s="176">
        <f t="shared" si="128"/>
        <v>5</v>
      </c>
      <c r="U347" s="251">
        <f t="shared" si="129"/>
        <v>-2.8714483329856377E-3</v>
      </c>
      <c r="V347" s="383">
        <f t="shared" si="130"/>
        <v>25.60850110544666</v>
      </c>
      <c r="W347" s="402"/>
      <c r="X347" s="157">
        <f t="shared" si="131"/>
        <v>44529</v>
      </c>
      <c r="Y347" s="385">
        <f t="shared" si="132"/>
        <v>7.2607727132894251</v>
      </c>
      <c r="Z347" s="385">
        <f t="shared" si="133"/>
        <v>7.4655777425610372</v>
      </c>
      <c r="AA347" s="386">
        <f t="shared" si="134"/>
        <v>7.9832570807088059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6.4845630413020064E-2</v>
      </c>
      <c r="AD347" s="231">
        <f>(INDEX(Models!$BJ347:$BT347,,AH347)*(1-AF347)+INDEX(Models!$BJ347:$BT347,,AH347+1)*AF347-ERP_i)*AE347*Ramure*Pc/MaxiM</f>
        <v>3.3368669902246966E-4</v>
      </c>
      <c r="AE347" s="305">
        <f t="shared" si="136"/>
        <v>0.5</v>
      </c>
      <c r="AF347" s="177">
        <f t="shared" si="137"/>
        <v>0.99712855166701431</v>
      </c>
      <c r="AG347" s="811">
        <f t="shared" si="143"/>
        <v>-1</v>
      </c>
      <c r="AH347" s="176">
        <f t="shared" si="138"/>
        <v>5</v>
      </c>
      <c r="AI347" s="225">
        <f t="shared" si="139"/>
        <v>-2.8714483329856377E-3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7">
        <v>20.339000000000002</v>
      </c>
      <c r="C348" s="390"/>
      <c r="D348" s="393">
        <f t="shared" si="122"/>
        <v>20.913161382783549</v>
      </c>
      <c r="E348" s="385">
        <f t="shared" si="120"/>
        <v>21.397472269363625</v>
      </c>
      <c r="F348" s="385">
        <f t="shared" si="123"/>
        <v>21.402661858392811</v>
      </c>
      <c r="G348" s="110">
        <f t="shared" si="121"/>
        <v>0.80056491440126243</v>
      </c>
      <c r="H348" s="414" t="b">
        <f>Wh_hp&gt;='2020'!Maxi_hp</f>
        <v>0</v>
      </c>
      <c r="I348" s="380">
        <f>IF(H348,Wh_hp,'2020'!Maxi_hp)</f>
        <v>25.687652657075112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2.745454751074683E-2</v>
      </c>
      <c r="M348" s="845"/>
      <c r="N348" s="845"/>
      <c r="O348" s="48">
        <f>IF(t&lt;Tnet,'2020'!Resal+('2020'!Salim-'2020'!Resal)*(1-EXP(('2020'!Tnet-t)/('2020'!Tau_j))),Resal+(Salim-Resal)*(1-EXP((Tnet-t)/(Tau_j))))*Salcycl</f>
        <v>2.2634023331508244E-2</v>
      </c>
      <c r="P348" s="169">
        <f>(INDEX(Models!$BJ348:$BT348,,T348)*(1-R348)+INDEX(Models!$BJ348:$BT348,,T348+1)*R348-ERP_i)*Q348*Ramure*Pc/MaxiM</f>
        <v>3.3902812604730525E-4</v>
      </c>
      <c r="Q348" s="305">
        <f t="shared" si="125"/>
        <v>0.5</v>
      </c>
      <c r="R348" s="177">
        <f t="shared" si="126"/>
        <v>0.99714569483222348</v>
      </c>
      <c r="S348" s="811">
        <f t="shared" si="127"/>
        <v>-1</v>
      </c>
      <c r="T348" s="176">
        <f t="shared" si="128"/>
        <v>5</v>
      </c>
      <c r="U348" s="251">
        <f t="shared" si="129"/>
        <v>-2.8543051677765718E-3</v>
      </c>
      <c r="V348" s="383">
        <f t="shared" si="130"/>
        <v>25.403356234451895</v>
      </c>
      <c r="W348" s="402"/>
      <c r="X348" s="157">
        <f t="shared" si="131"/>
        <v>44530</v>
      </c>
      <c r="Y348" s="385">
        <f t="shared" si="132"/>
        <v>19.460413452344685</v>
      </c>
      <c r="Z348" s="385">
        <f t="shared" si="133"/>
        <v>20.009772707831079</v>
      </c>
      <c r="AA348" s="386">
        <f t="shared" si="134"/>
        <v>21.397472269363625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6.4853434277815217E-2</v>
      </c>
      <c r="AD348" s="231">
        <f>(INDEX(Models!$BJ348:$BT348,,AH348)*(1-AF348)+INDEX(Models!$BJ348:$BT348,,AH348+1)*AF348-ERP_i)*AE348*Ramure*Pc/MaxiM</f>
        <v>3.3902812604730525E-4</v>
      </c>
      <c r="AE348" s="305">
        <f t="shared" si="136"/>
        <v>0.5</v>
      </c>
      <c r="AF348" s="177">
        <f t="shared" si="137"/>
        <v>0.99714569483222348</v>
      </c>
      <c r="AG348" s="811">
        <f t="shared" si="143"/>
        <v>-1</v>
      </c>
      <c r="AH348" s="176">
        <f t="shared" si="138"/>
        <v>5</v>
      </c>
      <c r="AI348" s="225">
        <f t="shared" si="139"/>
        <v>-2.8543051677765718E-3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7">
        <v>4.3849999999999998</v>
      </c>
      <c r="C349" s="390"/>
      <c r="D349" s="393">
        <f t="shared" si="122"/>
        <v>4.5088854547966646</v>
      </c>
      <c r="E349" s="385">
        <f t="shared" si="120"/>
        <v>4.6135997753267581</v>
      </c>
      <c r="F349" s="385">
        <f t="shared" si="123"/>
        <v>4.6135997753267581</v>
      </c>
      <c r="G349" s="110">
        <f t="shared" si="121"/>
        <v>0.17393715425544523</v>
      </c>
      <c r="H349" s="414" t="b">
        <f>Wh_hp&gt;='2020'!Maxi_hp</f>
        <v>0</v>
      </c>
      <c r="I349" s="380">
        <f>IF(H349,Wh_hp,'2020'!Maxi_hp)</f>
        <v>26.512351889003813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2.7475848752128385E-2</v>
      </c>
      <c r="M349" s="845"/>
      <c r="N349" s="845"/>
      <c r="O349" s="48">
        <f>IF(t&lt;Tnet,'2020'!Resal+('2020'!Salim-'2020'!Resal)*(1-EXP(('2020'!Tnet-t)/('2020'!Tau_j))),Resal+(Salim-Resal)*(1-EXP((Tnet-t)/(Tau_j))))*Salcycl</f>
        <v>2.2696880013324715E-2</v>
      </c>
      <c r="P349" s="169">
        <f>(INDEX(Models!$BJ349:$BT349,,T349)*(1-R349)+INDEX(Models!$BJ349:$BT349,,T349+1)*R349-ERP_i)*Q349*Ramure*Pc/MaxiM</f>
        <v>3.4363350081636059E-4</v>
      </c>
      <c r="Q349" s="305">
        <f t="shared" si="125"/>
        <v>0.5</v>
      </c>
      <c r="R349" s="177">
        <f t="shared" si="126"/>
        <v>0.99716214886839893</v>
      </c>
      <c r="S349" s="811">
        <f t="shared" si="127"/>
        <v>-1</v>
      </c>
      <c r="T349" s="176">
        <f t="shared" si="128"/>
        <v>5</v>
      </c>
      <c r="U349" s="251">
        <f t="shared" si="129"/>
        <v>-2.8378511316010657E-3</v>
      </c>
      <c r="V349" s="383">
        <f t="shared" si="130"/>
        <v>25.20159183851711</v>
      </c>
      <c r="W349" s="402"/>
      <c r="X349" s="157">
        <f t="shared" si="131"/>
        <v>44531</v>
      </c>
      <c r="Y349" s="385">
        <f t="shared" si="132"/>
        <v>4.195810408471524</v>
      </c>
      <c r="Z349" s="385">
        <f t="shared" si="133"/>
        <v>4.3143508601691467</v>
      </c>
      <c r="AA349" s="386">
        <f t="shared" si="134"/>
        <v>4.6135997753267581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6.4862348216240068E-2</v>
      </c>
      <c r="AD349" s="231">
        <f>(INDEX(Models!$BJ349:$BT349,,AH349)*(1-AF349)+INDEX(Models!$BJ349:$BT349,,AH349+1)*AF349-ERP_i)*AE349*Ramure*Pc/MaxiM</f>
        <v>3.4363350081636059E-4</v>
      </c>
      <c r="AE349" s="305">
        <f t="shared" si="136"/>
        <v>0.5</v>
      </c>
      <c r="AF349" s="177">
        <f t="shared" si="137"/>
        <v>0.99716214886839893</v>
      </c>
      <c r="AG349" s="811">
        <f t="shared" si="143"/>
        <v>-1</v>
      </c>
      <c r="AH349" s="176">
        <f t="shared" si="138"/>
        <v>5</v>
      </c>
      <c r="AI349" s="225">
        <f t="shared" si="139"/>
        <v>-2.8378511316010657E-3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7">
        <v>10.037000000000001</v>
      </c>
      <c r="C350" s="390"/>
      <c r="D350" s="393">
        <f t="shared" si="122"/>
        <v>10.320792371063831</v>
      </c>
      <c r="E350" s="385">
        <f t="shared" si="120"/>
        <v>10.561164741702074</v>
      </c>
      <c r="F350" s="385">
        <f t="shared" si="123"/>
        <v>10.56169638849005</v>
      </c>
      <c r="G350" s="110">
        <f t="shared" si="121"/>
        <v>0.40128629426159568</v>
      </c>
      <c r="H350" s="414" t="b">
        <f>Wh_hp&gt;='2020'!Maxi_hp</f>
        <v>1</v>
      </c>
      <c r="I350" s="380">
        <f>IF(H350,Wh_hp,'2020'!Maxi_hp)</f>
        <v>10.56169638849005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2.7497149526958142E-2</v>
      </c>
      <c r="M350" s="845"/>
      <c r="N350" s="845"/>
      <c r="O350" s="48">
        <f>IF(t&lt;Tnet,'2020'!Resal+('2020'!Salim-'2020'!Resal)*(1-EXP(('2020'!Tnet-t)/('2020'!Tau_j))),Resal+(Salim-Resal)*(1-EXP((Tnet-t)/(Tau_j))))*Salcycl</f>
        <v>2.2760024724271365E-2</v>
      </c>
      <c r="P350" s="169">
        <f>(INDEX(Models!$BJ350:$BT350,,T350)*(1-R350)+INDEX(Models!$BJ350:$BT350,,T350+1)*R350-ERP_i)*Q350*Ramure*Pc/MaxiM</f>
        <v>3.4747673255693063E-4</v>
      </c>
      <c r="Q350" s="305">
        <f t="shared" si="125"/>
        <v>0.5</v>
      </c>
      <c r="R350" s="177">
        <f t="shared" si="126"/>
        <v>0.99717794143482086</v>
      </c>
      <c r="S350" s="811">
        <f t="shared" si="127"/>
        <v>-1</v>
      </c>
      <c r="T350" s="176">
        <f t="shared" si="128"/>
        <v>5</v>
      </c>
      <c r="U350" s="251">
        <f t="shared" si="129"/>
        <v>-2.8220585651791419E-3</v>
      </c>
      <c r="V350" s="383">
        <f t="shared" si="130"/>
        <v>25.004635354862831</v>
      </c>
      <c r="W350" s="402"/>
      <c r="X350" s="157">
        <f t="shared" si="131"/>
        <v>44532</v>
      </c>
      <c r="Y350" s="385">
        <f t="shared" si="132"/>
        <v>9.6044741655802035</v>
      </c>
      <c r="Z350" s="385">
        <f t="shared" si="133"/>
        <v>9.8760370325993634</v>
      </c>
      <c r="AA350" s="386">
        <f t="shared" si="134"/>
        <v>10.561164741702074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6.4872362647407478E-2</v>
      </c>
      <c r="AD350" s="231">
        <f>(INDEX(Models!$BJ350:$BT350,,AH350)*(1-AF350)+INDEX(Models!$BJ350:$BT350,,AH350+1)*AF350-ERP_i)*AE350*Ramure*Pc/MaxiM</f>
        <v>3.4747673255693063E-4</v>
      </c>
      <c r="AE350" s="305">
        <f t="shared" si="136"/>
        <v>0.5</v>
      </c>
      <c r="AF350" s="177">
        <f t="shared" si="137"/>
        <v>0.99717794143482086</v>
      </c>
      <c r="AG350" s="811">
        <f t="shared" si="143"/>
        <v>-1</v>
      </c>
      <c r="AH350" s="176">
        <f t="shared" si="138"/>
        <v>5</v>
      </c>
      <c r="AI350" s="225">
        <f t="shared" si="139"/>
        <v>-2.8220585651791419E-3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7">
        <v>16.363</v>
      </c>
      <c r="C351" s="390"/>
      <c r="D351" s="393">
        <f t="shared" si="122"/>
        <v>16.82602615672025</v>
      </c>
      <c r="E351" s="385">
        <f t="shared" si="120"/>
        <v>17.219023790550466</v>
      </c>
      <c r="F351" s="385">
        <f t="shared" si="123"/>
        <v>17.22212353344614</v>
      </c>
      <c r="G351" s="110">
        <f t="shared" si="121"/>
        <v>0.65931594005503491</v>
      </c>
      <c r="H351" s="414" t="b">
        <f>Wh_hp&gt;='2020'!Maxi_hp</f>
        <v>1</v>
      </c>
      <c r="I351" s="380">
        <f>IF(H351,Wh_hp,'2020'!Maxi_hp)</f>
        <v>17.22212353344614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2.7518449835246317E-2</v>
      </c>
      <c r="M351" s="845"/>
      <c r="N351" s="845"/>
      <c r="O351" s="48">
        <f>IF(t&lt;Tnet,'2020'!Resal+('2020'!Salim-'2020'!Resal)*(1-EXP(('2020'!Tnet-t)/('2020'!Tau_j))),Resal+(Salim-Resal)*(1-EXP((Tnet-t)/(Tau_j))))*Salcycl</f>
        <v>2.2823456115200078E-2</v>
      </c>
      <c r="P351" s="169">
        <f>(INDEX(Models!$BJ351:$BT351,,T351)*(1-R351)+INDEX(Models!$BJ351:$BT351,,T351+1)*R351-ERP_i)*Q351*Ramure*Pc/MaxiM</f>
        <v>3.5052951961857259E-4</v>
      </c>
      <c r="Q351" s="305">
        <f t="shared" si="125"/>
        <v>0.5</v>
      </c>
      <c r="R351" s="177">
        <f t="shared" si="126"/>
        <v>0.99719309908398346</v>
      </c>
      <c r="S351" s="811">
        <f t="shared" si="127"/>
        <v>-1</v>
      </c>
      <c r="T351" s="176">
        <f t="shared" si="128"/>
        <v>5</v>
      </c>
      <c r="U351" s="251">
        <f t="shared" si="129"/>
        <v>-2.8069009160165415E-3</v>
      </c>
      <c r="V351" s="383">
        <f t="shared" si="130"/>
        <v>24.813913788196881</v>
      </c>
      <c r="W351" s="402"/>
      <c r="X351" s="157">
        <f t="shared" si="131"/>
        <v>44533</v>
      </c>
      <c r="Y351" s="385">
        <f t="shared" si="132"/>
        <v>15.658697466574443</v>
      </c>
      <c r="Z351" s="385">
        <f t="shared" si="133"/>
        <v>16.101793873540956</v>
      </c>
      <c r="AA351" s="386">
        <f t="shared" si="134"/>
        <v>17.219023790550466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6.4883464393761386E-2</v>
      </c>
      <c r="AD351" s="231">
        <f>(INDEX(Models!$BJ351:$BT351,,AH351)*(1-AF351)+INDEX(Models!$BJ351:$BT351,,AH351+1)*AF351-ERP_i)*AE351*Ramure*Pc/MaxiM</f>
        <v>3.5052951961857259E-4</v>
      </c>
      <c r="AE351" s="305">
        <f t="shared" si="136"/>
        <v>0.5</v>
      </c>
      <c r="AF351" s="177">
        <f t="shared" si="137"/>
        <v>0.99719309908398346</v>
      </c>
      <c r="AG351" s="811">
        <f t="shared" si="143"/>
        <v>-1</v>
      </c>
      <c r="AH351" s="176">
        <f t="shared" si="138"/>
        <v>5</v>
      </c>
      <c r="AI351" s="225">
        <f t="shared" si="139"/>
        <v>-2.8069009160165415E-3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7">
        <v>6.7149999999999999</v>
      </c>
      <c r="C352" s="390"/>
      <c r="D352" s="393">
        <f t="shared" si="122"/>
        <v>6.9051665584990767</v>
      </c>
      <c r="E352" s="385">
        <f t="shared" si="120"/>
        <v>7.0669080965486124</v>
      </c>
      <c r="F352" s="385">
        <f t="shared" si="123"/>
        <v>7.0669080965486124</v>
      </c>
      <c r="G352" s="110">
        <f t="shared" si="121"/>
        <v>0.2725293766111655</v>
      </c>
      <c r="H352" s="414" t="b">
        <f>Wh_hp&gt;='2020'!Maxi_hp</f>
        <v>0</v>
      </c>
      <c r="I352" s="380">
        <f>IF(H352,Wh_hp,'2020'!Maxi_hp)</f>
        <v>13.397272469910812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2.7539749677003011E-2</v>
      </c>
      <c r="M352" s="845"/>
      <c r="N352" s="845"/>
      <c r="O352" s="48">
        <f>IF(t&lt;Tnet,'2020'!Resal+('2020'!Salim-'2020'!Resal)*(1-EXP(('2020'!Tnet-t)/('2020'!Tau_j))),Resal+(Salim-Resal)*(1-EXP((Tnet-t)/(Tau_j))))*Salcycl</f>
        <v>2.2887171566378185E-2</v>
      </c>
      <c r="P352" s="169">
        <f>(INDEX(Models!$BJ352:$BT352,,T352)*(1-R352)+INDEX(Models!$BJ352:$BT352,,T352+1)*R352-ERP_i)*Q352*Ramure*Pc/MaxiM</f>
        <v>3.5291652021690552E-4</v>
      </c>
      <c r="Q352" s="305">
        <f t="shared" si="125"/>
        <v>0.5</v>
      </c>
      <c r="R352" s="177">
        <f t="shared" si="126"/>
        <v>0.99720764730561839</v>
      </c>
      <c r="S352" s="811">
        <f t="shared" si="127"/>
        <v>-1</v>
      </c>
      <c r="T352" s="176">
        <f t="shared" si="128"/>
        <v>5</v>
      </c>
      <c r="U352" s="251">
        <f t="shared" si="129"/>
        <v>-2.7923526943815502E-3</v>
      </c>
      <c r="V352" s="383">
        <f t="shared" si="130"/>
        <v>24.63084988868583</v>
      </c>
      <c r="W352" s="402"/>
      <c r="X352" s="157">
        <f t="shared" si="131"/>
        <v>44534</v>
      </c>
      <c r="Y352" s="385">
        <f t="shared" si="132"/>
        <v>6.4263057610614158</v>
      </c>
      <c r="Z352" s="385">
        <f t="shared" si="133"/>
        <v>6.608296595081347</v>
      </c>
      <c r="AA352" s="386">
        <f t="shared" si="134"/>
        <v>7.0669080965486124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6.4895636847357038E-2</v>
      </c>
      <c r="AD352" s="231">
        <f>(INDEX(Models!$BJ352:$BT352,,AH352)*(1-AF352)+INDEX(Models!$BJ352:$BT352,,AH352+1)*AF352-ERP_i)*AE352*Ramure*Pc/MaxiM</f>
        <v>3.5291652021690552E-4</v>
      </c>
      <c r="AE352" s="305">
        <f t="shared" si="136"/>
        <v>0.5</v>
      </c>
      <c r="AF352" s="177">
        <f t="shared" si="137"/>
        <v>0.99720764730561839</v>
      </c>
      <c r="AG352" s="811">
        <f t="shared" si="143"/>
        <v>-1</v>
      </c>
      <c r="AH352" s="176">
        <f t="shared" si="138"/>
        <v>5</v>
      </c>
      <c r="AI352" s="225">
        <f t="shared" si="139"/>
        <v>-2.7923526943815502E-3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7">
        <v>9.6349999999999998</v>
      </c>
      <c r="C353" s="390"/>
      <c r="D353" s="393">
        <f t="shared" si="122"/>
        <v>9.9080769961029489</v>
      </c>
      <c r="E353" s="385">
        <f t="shared" si="120"/>
        <v>10.140820667159526</v>
      </c>
      <c r="F353" s="385">
        <f t="shared" si="123"/>
        <v>10.141303968116013</v>
      </c>
      <c r="G353" s="110">
        <f t="shared" si="121"/>
        <v>0.39383790568921201</v>
      </c>
      <c r="H353" s="414" t="b">
        <f>Wh_hp&gt;='2020'!Maxi_hp</f>
        <v>0</v>
      </c>
      <c r="I353" s="380">
        <f>IF(H353,Wh_hp,'2020'!Maxi_hp)</f>
        <v>19.604054954984996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2.7561049052238551E-2</v>
      </c>
      <c r="M353" s="845"/>
      <c r="N353" s="845"/>
      <c r="O353" s="48">
        <f>IF(t&lt;Tnet,'2020'!Resal+('2020'!Salim-'2020'!Resal)*(1-EXP(('2020'!Tnet-t)/('2020'!Tau_j))),Resal+(Salim-Resal)*(1-EXP((Tnet-t)/(Tau_j))))*Salcycl</f>
        <v>2.2951167237411394E-2</v>
      </c>
      <c r="P353" s="169">
        <f>(INDEX(Models!$BJ353:$BT353,,T353)*(1-R353)+INDEX(Models!$BJ353:$BT353,,T353+1)*R353-ERP_i)*Q353*Ramure*Pc/MaxiM</f>
        <v>3.5504505062768928E-4</v>
      </c>
      <c r="Q353" s="305">
        <f t="shared" si="125"/>
        <v>0.5</v>
      </c>
      <c r="R353" s="177">
        <f t="shared" si="126"/>
        <v>0.99722161056898739</v>
      </c>
      <c r="S353" s="811">
        <f t="shared" si="127"/>
        <v>-1</v>
      </c>
      <c r="T353" s="176">
        <f t="shared" si="128"/>
        <v>5</v>
      </c>
      <c r="U353" s="251">
        <f t="shared" si="129"/>
        <v>-2.7783894310126067E-3</v>
      </c>
      <c r="V353" s="383">
        <f t="shared" si="130"/>
        <v>24.456859110899199</v>
      </c>
      <c r="W353" s="402"/>
      <c r="X353" s="157">
        <f t="shared" si="131"/>
        <v>44535</v>
      </c>
      <c r="Y353" s="385">
        <f t="shared" si="132"/>
        <v>9.221241385587776</v>
      </c>
      <c r="Z353" s="385">
        <f t="shared" si="133"/>
        <v>9.4825915566221823</v>
      </c>
      <c r="AA353" s="386">
        <f t="shared" si="134"/>
        <v>10.140820667159526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6.4908860154581083E-2</v>
      </c>
      <c r="AD353" s="231">
        <f>(INDEX(Models!$BJ353:$BT353,,AH353)*(1-AF353)+INDEX(Models!$BJ353:$BT353,,AH353+1)*AF353-ERP_i)*AE353*Ramure*Pc/MaxiM</f>
        <v>3.5504505062768928E-4</v>
      </c>
      <c r="AE353" s="305">
        <f t="shared" si="136"/>
        <v>0.5</v>
      </c>
      <c r="AF353" s="177">
        <f t="shared" si="137"/>
        <v>0.99722161056898739</v>
      </c>
      <c r="AG353" s="811">
        <f t="shared" si="143"/>
        <v>-1</v>
      </c>
      <c r="AH353" s="176">
        <f t="shared" si="138"/>
        <v>5</v>
      </c>
      <c r="AI353" s="225">
        <f t="shared" si="139"/>
        <v>-2.7783894310126067E-3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7">
        <v>12.153</v>
      </c>
      <c r="C354" s="390"/>
      <c r="D354" s="393">
        <f t="shared" si="122"/>
        <v>12.497716361397487</v>
      </c>
      <c r="E354" s="385">
        <f t="shared" si="120"/>
        <v>12.792132904743614</v>
      </c>
      <c r="F354" s="385">
        <f t="shared" si="123"/>
        <v>12.793439123879123</v>
      </c>
      <c r="G354" s="110">
        <f t="shared" si="121"/>
        <v>0.50013253054968454</v>
      </c>
      <c r="H354" s="414" t="b">
        <f>Wh_hp&gt;='2020'!Maxi_hp</f>
        <v>0</v>
      </c>
      <c r="I354" s="380">
        <f>IF(H354,Wh_hp,'2020'!Maxi_hp)</f>
        <v>20.632916228723204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2.7582347960963038E-2</v>
      </c>
      <c r="M354" s="845"/>
      <c r="N354" s="845"/>
      <c r="O354" s="48">
        <f>IF(t&lt;Tnet,'2020'!Resal+('2020'!Salim-'2020'!Resal)*(1-EXP(('2020'!Tnet-t)/('2020'!Tau_j))),Resal+(Salim-Resal)*(1-EXP((Tnet-t)/(Tau_j))))*Salcycl</f>
        <v>2.3015438124235812E-2</v>
      </c>
      <c r="P354" s="169">
        <f>(INDEX(Models!$BJ354:$BT354,,T354)*(1-R354)+INDEX(Models!$BJ354:$BT354,,T354+1)*R354-ERP_i)*Q354*Ramure*Pc/MaxiM</f>
        <v>3.5688850079278276E-4</v>
      </c>
      <c r="Q354" s="305">
        <f t="shared" si="125"/>
        <v>0.5</v>
      </c>
      <c r="R354" s="177">
        <f t="shared" si="126"/>
        <v>0.99723501236351031</v>
      </c>
      <c r="S354" s="811">
        <f t="shared" si="127"/>
        <v>-1</v>
      </c>
      <c r="T354" s="176">
        <f t="shared" si="128"/>
        <v>5</v>
      </c>
      <c r="U354" s="251">
        <f t="shared" si="129"/>
        <v>-2.7649876364896353E-3</v>
      </c>
      <c r="V354" s="383">
        <f t="shared" si="130"/>
        <v>24.293367268803657</v>
      </c>
      <c r="W354" s="402"/>
      <c r="X354" s="157">
        <f t="shared" si="131"/>
        <v>44536</v>
      </c>
      <c r="Y354" s="385">
        <f t="shared" si="132"/>
        <v>11.631698053777056</v>
      </c>
      <c r="Z354" s="385">
        <f t="shared" si="133"/>
        <v>11.961627834898774</v>
      </c>
      <c r="AA354" s="386">
        <f t="shared" si="134"/>
        <v>12.792132904743614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6.4923111417711218E-2</v>
      </c>
      <c r="AD354" s="231">
        <f>(INDEX(Models!$BJ354:$BT354,,AH354)*(1-AF354)+INDEX(Models!$BJ354:$BT354,,AH354+1)*AF354-ERP_i)*AE354*Ramure*Pc/MaxiM</f>
        <v>3.5688850079278276E-4</v>
      </c>
      <c r="AE354" s="305">
        <f t="shared" si="136"/>
        <v>0.5</v>
      </c>
      <c r="AF354" s="177">
        <f t="shared" si="137"/>
        <v>0.99723501236351031</v>
      </c>
      <c r="AG354" s="811">
        <f t="shared" si="143"/>
        <v>-1</v>
      </c>
      <c r="AH354" s="176">
        <f t="shared" si="138"/>
        <v>5</v>
      </c>
      <c r="AI354" s="225">
        <f t="shared" si="139"/>
        <v>-2.7649876364896353E-3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7">
        <v>5.6930000000000005</v>
      </c>
      <c r="C355" s="390"/>
      <c r="D355" s="393">
        <f t="shared" si="122"/>
        <v>5.8546085440798574</v>
      </c>
      <c r="E355" s="385">
        <f t="shared" si="120"/>
        <v>5.9929251248522322</v>
      </c>
      <c r="F355" s="385">
        <f t="shared" si="123"/>
        <v>5.9929251248522322</v>
      </c>
      <c r="G355" s="110">
        <f t="shared" si="121"/>
        <v>0.23573054174826227</v>
      </c>
      <c r="H355" s="414" t="b">
        <f>Wh_hp&gt;='2020'!Maxi_hp</f>
        <v>0</v>
      </c>
      <c r="I355" s="380">
        <f>IF(H355,Wh_hp,'2020'!Maxi_hp)</f>
        <v>19.491266327728862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2.7603646403186799E-2</v>
      </c>
      <c r="M355" s="845"/>
      <c r="N355" s="845"/>
      <c r="O355" s="48">
        <f>IF(t&lt;Tnet,'2020'!Resal+('2020'!Salim-'2020'!Resal)*(1-EXP(('2020'!Tnet-t)/('2020'!Tau_j))),Resal+(Salim-Resal)*(1-EXP((Tnet-t)/(Tau_j))))*Salcycl</f>
        <v>2.307997812266761E-2</v>
      </c>
      <c r="P355" s="169">
        <f>(INDEX(Models!$BJ355:$BT355,,T355)*(1-R355)+INDEX(Models!$BJ355:$BT355,,T355+1)*R355-ERP_i)*Q355*Ramure*Pc/MaxiM</f>
        <v>3.5841929952819512E-4</v>
      </c>
      <c r="Q355" s="305">
        <f t="shared" si="125"/>
        <v>0.5</v>
      </c>
      <c r="R355" s="177">
        <f t="shared" si="126"/>
        <v>0.99724787523779534</v>
      </c>
      <c r="S355" s="811">
        <f t="shared" si="127"/>
        <v>-1</v>
      </c>
      <c r="T355" s="176">
        <f t="shared" si="128"/>
        <v>5</v>
      </c>
      <c r="U355" s="251">
        <f t="shared" si="129"/>
        <v>-2.7521247622045997E-3</v>
      </c>
      <c r="V355" s="383">
        <f t="shared" si="130"/>
        <v>24.14179968671683</v>
      </c>
      <c r="W355" s="402"/>
      <c r="X355" s="157">
        <f t="shared" si="131"/>
        <v>44537</v>
      </c>
      <c r="Y355" s="385">
        <f t="shared" si="132"/>
        <v>5.4490703121516297</v>
      </c>
      <c r="Z355" s="385">
        <f t="shared" si="133"/>
        <v>5.6037543662067142</v>
      </c>
      <c r="AA355" s="386">
        <f t="shared" si="134"/>
        <v>5.9929251248522322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6.4938364911594645E-2</v>
      </c>
      <c r="AD355" s="231">
        <f>(INDEX(Models!$BJ355:$BT355,,AH355)*(1-AF355)+INDEX(Models!$BJ355:$BT355,,AH355+1)*AF355-ERP_i)*AE355*Ramure*Pc/MaxiM</f>
        <v>3.5841929952819512E-4</v>
      </c>
      <c r="AE355" s="305">
        <f t="shared" si="136"/>
        <v>0.5</v>
      </c>
      <c r="AF355" s="177">
        <f t="shared" si="137"/>
        <v>0.99724787523779534</v>
      </c>
      <c r="AG355" s="811">
        <f t="shared" si="143"/>
        <v>-1</v>
      </c>
      <c r="AH355" s="176">
        <f t="shared" si="138"/>
        <v>5</v>
      </c>
      <c r="AI355" s="225">
        <f t="shared" si="139"/>
        <v>-2.7521247622045997E-3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7">
        <v>10.023</v>
      </c>
      <c r="C356" s="390"/>
      <c r="D356" s="393">
        <f t="shared" si="122"/>
        <v>10.307751049411754</v>
      </c>
      <c r="E356" s="385">
        <f t="shared" si="120"/>
        <v>10.551974171203494</v>
      </c>
      <c r="F356" s="385">
        <f t="shared" si="123"/>
        <v>10.552611498093542</v>
      </c>
      <c r="G356" s="110">
        <f t="shared" si="121"/>
        <v>0.41743774446332998</v>
      </c>
      <c r="H356" s="414" t="b">
        <f>Wh_hp&gt;='2020'!Maxi_hp</f>
        <v>0</v>
      </c>
      <c r="I356" s="380">
        <f>IF(H356,Wh_hp,'2020'!Maxi_hp)</f>
        <v>16.757981515209075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2.7624944378920047E-2</v>
      </c>
      <c r="M356" s="845"/>
      <c r="N356" s="845"/>
      <c r="O356" s="48">
        <f>IF(t&lt;Tnet,'2020'!Resal+('2020'!Salim-'2020'!Resal)*(1-EXP(('2020'!Tnet-t)/('2020'!Tau_j))),Resal+(Salim-Resal)*(1-EXP((Tnet-t)/(Tau_j))))*Salcycl</f>
        <v>2.314478009794866E-2</v>
      </c>
      <c r="P356" s="169">
        <f>(INDEX(Models!$BJ356:$BT356,,T356)*(1-R356)+INDEX(Models!$BJ356:$BT356,,T356+1)*R356-ERP_i)*Q356*Ramure*Pc/MaxiM</f>
        <v>3.5960921212392828E-4</v>
      </c>
      <c r="Q356" s="305">
        <f t="shared" si="125"/>
        <v>0.5</v>
      </c>
      <c r="R356" s="177">
        <f t="shared" si="126"/>
        <v>0.99726022083712951</v>
      </c>
      <c r="S356" s="811">
        <f t="shared" si="127"/>
        <v>-1</v>
      </c>
      <c r="T356" s="176">
        <f t="shared" si="128"/>
        <v>5</v>
      </c>
      <c r="U356" s="251">
        <f t="shared" si="129"/>
        <v>-2.7397791628705481E-3</v>
      </c>
      <c r="V356" s="383">
        <f t="shared" si="130"/>
        <v>24.00358120351283</v>
      </c>
      <c r="W356" s="402"/>
      <c r="X356" s="157">
        <f t="shared" si="131"/>
        <v>44538</v>
      </c>
      <c r="Y356" s="385">
        <f t="shared" si="132"/>
        <v>9.594011405477568</v>
      </c>
      <c r="Z356" s="385">
        <f t="shared" si="133"/>
        <v>9.8665749908091129</v>
      </c>
      <c r="AA356" s="386">
        <f t="shared" si="134"/>
        <v>10.551974171203494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6.4954592313620871E-2</v>
      </c>
      <c r="AD356" s="231">
        <f>(INDEX(Models!$BJ356:$BT356,,AH356)*(1-AF356)+INDEX(Models!$BJ356:$BT356,,AH356+1)*AF356-ERP_i)*AE356*Ramure*Pc/MaxiM</f>
        <v>3.5960921212392828E-4</v>
      </c>
      <c r="AE356" s="305">
        <f t="shared" si="136"/>
        <v>0.5</v>
      </c>
      <c r="AF356" s="177">
        <f t="shared" si="137"/>
        <v>0.99726022083712951</v>
      </c>
      <c r="AG356" s="811">
        <f t="shared" si="143"/>
        <v>-1</v>
      </c>
      <c r="AH356" s="176">
        <f t="shared" si="138"/>
        <v>5</v>
      </c>
      <c r="AI356" s="225">
        <f t="shared" si="139"/>
        <v>-2.7397791628705481E-3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7">
        <v>8.3179999999999996</v>
      </c>
      <c r="C357" s="390"/>
      <c r="D357" s="393">
        <f t="shared" si="122"/>
        <v>8.5544997698701497</v>
      </c>
      <c r="E357" s="385">
        <f t="shared" si="120"/>
        <v>8.757766084054305</v>
      </c>
      <c r="F357" s="385">
        <f t="shared" si="123"/>
        <v>8.7579839956310295</v>
      </c>
      <c r="G357" s="110">
        <f t="shared" si="121"/>
        <v>0.34820608994156621</v>
      </c>
      <c r="H357" s="414" t="b">
        <f>Wh_hp&gt;='2020'!Maxi_hp</f>
        <v>0</v>
      </c>
      <c r="I357" s="380">
        <f>IF(H357,Wh_hp,'2020'!Maxi_hp)</f>
        <v>11.880379374635188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2.7646241888172995E-2</v>
      </c>
      <c r="M357" s="845"/>
      <c r="N357" s="845"/>
      <c r="O357" s="48">
        <f>IF(t&lt;Tnet,'2020'!Resal+('2020'!Salim-'2020'!Resal)*(1-EXP(('2020'!Tnet-t)/('2020'!Tau_j))),Resal+(Salim-Resal)*(1-EXP((Tnet-t)/(Tau_j))))*Salcycl</f>
        <v>2.3209835959680642E-2</v>
      </c>
      <c r="P357" s="169">
        <f>(INDEX(Models!$BJ357:$BT357,,T357)*(1-R357)+INDEX(Models!$BJ357:$BT357,,T357+1)*R357-ERP_i)*Q357*Ramure*Pc/MaxiM</f>
        <v>3.6042969065447469E-4</v>
      </c>
      <c r="Q357" s="305">
        <f t="shared" si="125"/>
        <v>0.5</v>
      </c>
      <c r="R357" s="177">
        <f t="shared" si="126"/>
        <v>0.99727206993948947</v>
      </c>
      <c r="S357" s="811">
        <f t="shared" si="127"/>
        <v>-1</v>
      </c>
      <c r="T357" s="176">
        <f t="shared" si="128"/>
        <v>5</v>
      </c>
      <c r="U357" s="251">
        <f t="shared" si="129"/>
        <v>-2.727930060510475E-3</v>
      </c>
      <c r="V357" s="383">
        <f t="shared" si="130"/>
        <v>23.88013616276918</v>
      </c>
      <c r="W357" s="402"/>
      <c r="X357" s="157">
        <f t="shared" si="131"/>
        <v>44539</v>
      </c>
      <c r="Y357" s="385">
        <f t="shared" si="132"/>
        <v>7.9623701815877626</v>
      </c>
      <c r="Z357" s="385">
        <f t="shared" si="133"/>
        <v>8.1887585821127029</v>
      </c>
      <c r="AA357" s="386">
        <f t="shared" si="134"/>
        <v>8.757766084054305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6.4971762945076034E-2</v>
      </c>
      <c r="AD357" s="231">
        <f>(INDEX(Models!$BJ357:$BT357,,AH357)*(1-AF357)+INDEX(Models!$BJ357:$BT357,,AH357+1)*AF357-ERP_i)*AE357*Ramure*Pc/MaxiM</f>
        <v>3.6042969065447469E-4</v>
      </c>
      <c r="AE357" s="305">
        <f t="shared" si="136"/>
        <v>0.5</v>
      </c>
      <c r="AF357" s="177">
        <f t="shared" si="137"/>
        <v>0.99727206993948947</v>
      </c>
      <c r="AG357" s="811">
        <f t="shared" si="143"/>
        <v>-1</v>
      </c>
      <c r="AH357" s="176">
        <f t="shared" si="138"/>
        <v>5</v>
      </c>
      <c r="AI357" s="225">
        <f t="shared" si="139"/>
        <v>-2.727930060510475E-3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7">
        <v>2.226</v>
      </c>
      <c r="C358" s="390"/>
      <c r="D358" s="393">
        <f t="shared" si="122"/>
        <v>2.2893404150598795</v>
      </c>
      <c r="E358" s="385">
        <f t="shared" si="120"/>
        <v>2.3438948891116587</v>
      </c>
      <c r="F358" s="385">
        <f t="shared" si="123"/>
        <v>2.3438948891116587</v>
      </c>
      <c r="G358" s="110">
        <f t="shared" si="121"/>
        <v>9.3602287813790722E-2</v>
      </c>
      <c r="H358" s="414" t="b">
        <f>Wh_hp&gt;='2020'!Maxi_hp</f>
        <v>0</v>
      </c>
      <c r="I358" s="380">
        <f>IF(H358,Wh_hp,'2020'!Maxi_hp)</f>
        <v>21.95872257479607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2.7667538930955748E-2</v>
      </c>
      <c r="M358" s="845"/>
      <c r="N358" s="845"/>
      <c r="O358" s="48">
        <f>IF(t&lt;Tnet,'2020'!Resal+('2020'!Salim-'2020'!Resal)*(1-EXP(('2020'!Tnet-t)/('2020'!Tau_j))),Resal+(Salim-Resal)*(1-EXP((Tnet-t)/(Tau_j))))*Salcycl</f>
        <v>2.3275136741500894E-2</v>
      </c>
      <c r="P358" s="169">
        <f>(INDEX(Models!$BJ358:$BT358,,T358)*(1-R358)+INDEX(Models!$BJ358:$BT358,,T358+1)*R358-ERP_i)*Q358*Ramure*Pc/MaxiM</f>
        <v>3.6085227571852564E-4</v>
      </c>
      <c r="Q358" s="305">
        <f t="shared" si="125"/>
        <v>0.5</v>
      </c>
      <c r="R358" s="177">
        <f t="shared" si="126"/>
        <v>0.99728344249013401</v>
      </c>
      <c r="S358" s="811">
        <f t="shared" si="127"/>
        <v>-1</v>
      </c>
      <c r="T358" s="176">
        <f t="shared" si="128"/>
        <v>5</v>
      </c>
      <c r="U358" s="251">
        <f t="shared" si="129"/>
        <v>-2.7165575098659356E-3</v>
      </c>
      <c r="V358" s="383">
        <f t="shared" si="130"/>
        <v>23.772888406969102</v>
      </c>
      <c r="W358" s="402"/>
      <c r="X358" s="157">
        <f t="shared" si="131"/>
        <v>44540</v>
      </c>
      <c r="Y358" s="385">
        <f t="shared" si="132"/>
        <v>2.1309303013579752</v>
      </c>
      <c r="Z358" s="385">
        <f t="shared" si="133"/>
        <v>2.1915655258645739</v>
      </c>
      <c r="AA358" s="386">
        <f t="shared" si="134"/>
        <v>2.3438948891116587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6.4989844021895407E-2</v>
      </c>
      <c r="AD358" s="231">
        <f>(INDEX(Models!$BJ358:$BT358,,AH358)*(1-AF358)+INDEX(Models!$BJ358:$BT358,,AH358+1)*AF358-ERP_i)*AE358*Ramure*Pc/MaxiM</f>
        <v>3.6085227571852564E-4</v>
      </c>
      <c r="AE358" s="305">
        <f t="shared" si="136"/>
        <v>0.5</v>
      </c>
      <c r="AF358" s="177">
        <f t="shared" si="137"/>
        <v>0.99728344249013401</v>
      </c>
      <c r="AG358" s="811">
        <f t="shared" si="143"/>
        <v>-1</v>
      </c>
      <c r="AH358" s="176">
        <f t="shared" si="138"/>
        <v>5</v>
      </c>
      <c r="AI358" s="225">
        <f t="shared" si="139"/>
        <v>-2.7165575098659356E-3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7">
        <v>12.488</v>
      </c>
      <c r="C359" s="390"/>
      <c r="D359" s="393">
        <f t="shared" si="122"/>
        <v>12.843625020510071</v>
      </c>
      <c r="E359" s="385">
        <f t="shared" si="120"/>
        <v>13.150568126776578</v>
      </c>
      <c r="F359" s="385">
        <f t="shared" si="123"/>
        <v>13.152110031001266</v>
      </c>
      <c r="G359" s="110">
        <f t="shared" si="121"/>
        <v>0.52725510944605158</v>
      </c>
      <c r="H359" s="414" t="b">
        <f>Wh_hp&gt;='2020'!Maxi_hp</f>
        <v>0</v>
      </c>
      <c r="I359" s="380">
        <f>IF(H359,Wh_hp,'2020'!Maxi_hp)</f>
        <v>18.260406248134906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2.7688835507278631E-2</v>
      </c>
      <c r="M359" s="845"/>
      <c r="N359" s="845"/>
      <c r="O359" s="48">
        <f>IF(t&lt;Tnet,'2020'!Resal+('2020'!Salim-'2020'!Resal)*(1-EXP(('2020'!Tnet-t)/('2020'!Tau_j))),Resal+(Salim-Resal)*(1-EXP((Tnet-t)/(Tau_j))))*Salcycl</f>
        <v>2.3340672684819114E-2</v>
      </c>
      <c r="P359" s="169">
        <f>(INDEX(Models!$BJ359:$BT359,,T359)*(1-R359)+INDEX(Models!$BJ359:$BT359,,T359+1)*R359-ERP_i)*Q359*Ramure*Pc/MaxiM</f>
        <v>3.609115661654619E-4</v>
      </c>
      <c r="Q359" s="305">
        <f t="shared" si="125"/>
        <v>0.5</v>
      </c>
      <c r="R359" s="177">
        <f t="shared" si="126"/>
        <v>0.99729435763482543</v>
      </c>
      <c r="S359" s="811">
        <f t="shared" si="127"/>
        <v>-1</v>
      </c>
      <c r="T359" s="176">
        <f t="shared" si="128"/>
        <v>5</v>
      </c>
      <c r="U359" s="251">
        <f t="shared" si="129"/>
        <v>-2.7056423651746209E-3</v>
      </c>
      <c r="V359" s="383">
        <f t="shared" si="130"/>
        <v>23.679157209366256</v>
      </c>
      <c r="W359" s="402"/>
      <c r="X359" s="157">
        <f t="shared" si="131"/>
        <v>44541</v>
      </c>
      <c r="Y359" s="385">
        <f t="shared" si="132"/>
        <v>11.955212803116121</v>
      </c>
      <c r="Z359" s="385">
        <f t="shared" si="133"/>
        <v>12.295665461533035</v>
      </c>
      <c r="AA359" s="386">
        <f t="shared" si="134"/>
        <v>13.150568126776578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6.5008800912778025E-2</v>
      </c>
      <c r="AD359" s="231">
        <f>(INDEX(Models!$BJ359:$BT359,,AH359)*(1-AF359)+INDEX(Models!$BJ359:$BT359,,AH359+1)*AF359-ERP_i)*AE359*Ramure*Pc/MaxiM</f>
        <v>3.609115661654619E-4</v>
      </c>
      <c r="AE359" s="305">
        <f t="shared" si="136"/>
        <v>0.5</v>
      </c>
      <c r="AF359" s="177">
        <f t="shared" si="137"/>
        <v>0.99729435763482543</v>
      </c>
      <c r="AG359" s="811">
        <f t="shared" si="143"/>
        <v>-1</v>
      </c>
      <c r="AH359" s="176">
        <f t="shared" si="138"/>
        <v>5</v>
      </c>
      <c r="AI359" s="225">
        <f t="shared" si="139"/>
        <v>-2.7056423651746209E-3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7">
        <v>22.584</v>
      </c>
      <c r="C360" s="390"/>
      <c r="D360" s="393">
        <f t="shared" si="122"/>
        <v>23.227640988960033</v>
      </c>
      <c r="E360" s="385">
        <f t="shared" si="120"/>
        <v>23.784347738501449</v>
      </c>
      <c r="F360" s="385">
        <f t="shared" si="123"/>
        <v>23.792403120855759</v>
      </c>
      <c r="G360" s="110">
        <f t="shared" si="121"/>
        <v>0.95711147714695854</v>
      </c>
      <c r="H360" s="414" t="b">
        <f>Wh_hp&gt;='2020'!Maxi_hp</f>
        <v>1</v>
      </c>
      <c r="I360" s="380">
        <f>IF(H360,Wh_hp,'2020'!Maxi_hp)</f>
        <v>23.792403120855759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2.7710131617151856E-2</v>
      </c>
      <c r="M360" s="845"/>
      <c r="N360" s="845"/>
      <c r="O360" s="48">
        <f>IF(t&lt;Tnet,'2020'!Resal+('2020'!Salim-'2020'!Resal)*(1-EXP(('2020'!Tnet-t)/('2020'!Tau_j))),Resal+(Salim-Resal)*(1-EXP((Tnet-t)/(Tau_j))))*Salcycl</f>
        <v>2.3406433325906736E-2</v>
      </c>
      <c r="P360" s="169">
        <f>(INDEX(Models!$BJ360:$BT360,,T360)*(1-R360)+INDEX(Models!$BJ360:$BT360,,T360+1)*R360-ERP_i)*Q360*Ramure*Pc/MaxiM</f>
        <v>3.6065575047893148E-4</v>
      </c>
      <c r="Q360" s="305">
        <f t="shared" si="125"/>
        <v>0.5</v>
      </c>
      <c r="R360" s="177">
        <f t="shared" si="126"/>
        <v>0.99730483375174006</v>
      </c>
      <c r="S360" s="811">
        <f t="shared" si="127"/>
        <v>-1</v>
      </c>
      <c r="T360" s="176">
        <f t="shared" si="128"/>
        <v>5</v>
      </c>
      <c r="U360" s="251">
        <f t="shared" si="129"/>
        <v>-2.6951662482598837E-3</v>
      </c>
      <c r="V360" s="383">
        <f t="shared" si="130"/>
        <v>23.595476153742531</v>
      </c>
      <c r="W360" s="402"/>
      <c r="X360" s="157">
        <f t="shared" si="131"/>
        <v>44542</v>
      </c>
      <c r="Y360" s="385">
        <f t="shared" si="132"/>
        <v>21.62147578769218</v>
      </c>
      <c r="Z360" s="385">
        <f t="shared" si="133"/>
        <v>22.237684964931184</v>
      </c>
      <c r="AA360" s="386">
        <f t="shared" si="134"/>
        <v>23.784347738501449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6.5028597402592189E-2</v>
      </c>
      <c r="AD360" s="231">
        <f>(INDEX(Models!$BJ360:$BT360,,AH360)*(1-AF360)+INDEX(Models!$BJ360:$BT360,,AH360+1)*AF360-ERP_i)*AE360*Ramure*Pc/MaxiM</f>
        <v>3.6065575047893148E-4</v>
      </c>
      <c r="AE360" s="305">
        <f t="shared" si="136"/>
        <v>0.5</v>
      </c>
      <c r="AF360" s="177">
        <f t="shared" si="137"/>
        <v>0.99730483375174006</v>
      </c>
      <c r="AG360" s="811">
        <f t="shared" si="143"/>
        <v>-1</v>
      </c>
      <c r="AH360" s="176">
        <f t="shared" si="138"/>
        <v>5</v>
      </c>
      <c r="AI360" s="225">
        <f t="shared" si="139"/>
        <v>-2.6951662482598837E-3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7">
        <v>24.184000000000001</v>
      </c>
      <c r="C361" s="390"/>
      <c r="D361" s="393">
        <f t="shared" si="122"/>
        <v>24.873785575379028</v>
      </c>
      <c r="E361" s="385">
        <f t="shared" ref="E361:E379" si="144">Wh_pvt/(1-Psa)</f>
        <v>25.471666923287305</v>
      </c>
      <c r="F361" s="385">
        <f t="shared" si="123"/>
        <v>25.480851358483925</v>
      </c>
      <c r="G361" s="110">
        <f t="shared" ref="G361:G379" si="145">+Wh_hp/MaxiM</f>
        <v>1.028140304426099</v>
      </c>
      <c r="H361" s="414" t="b">
        <f>Wh_hp&gt;='2020'!Maxi_hp</f>
        <v>1</v>
      </c>
      <c r="I361" s="380">
        <f>IF(H361,Wh_hp,'2020'!Maxi_hp)</f>
        <v>25.480851358483925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2.7731427260585639E-2</v>
      </c>
      <c r="M361" s="845"/>
      <c r="N361" s="845"/>
      <c r="O361" s="48">
        <f>IF(t&lt;Tnet,'2020'!Resal+('2020'!Salim-'2020'!Resal)*(1-EXP(('2020'!Tnet-t)/('2020'!Tau_j))),Resal+(Salim-Resal)*(1-EXP((Tnet-t)/(Tau_j))))*Salcycl</f>
        <v>2.3472407585609121E-2</v>
      </c>
      <c r="P361" s="169">
        <f>(INDEX(Models!$BJ361:$BT361,,T361)*(1-R361)+INDEX(Models!$BJ361:$BT361,,T361+1)*R361-ERP_i)*Q361*Ramure*Pc/MaxiM</f>
        <v>3.6044459690168343E-4</v>
      </c>
      <c r="Q361" s="305">
        <f t="shared" si="125"/>
        <v>0.5</v>
      </c>
      <c r="R361" s="177">
        <f t="shared" si="126"/>
        <v>0.99731488848211602</v>
      </c>
      <c r="S361" s="811">
        <f t="shared" si="127"/>
        <v>-1</v>
      </c>
      <c r="T361" s="176">
        <f t="shared" si="128"/>
        <v>5</v>
      </c>
      <c r="U361" s="251">
        <f t="shared" si="129"/>
        <v>-2.6851115178839757E-3</v>
      </c>
      <c r="V361" s="383">
        <f t="shared" si="130"/>
        <v>23.52208146678905</v>
      </c>
      <c r="W361" s="402"/>
      <c r="X361" s="157">
        <f t="shared" si="131"/>
        <v>44543</v>
      </c>
      <c r="Y361" s="385">
        <f t="shared" si="132"/>
        <v>23.154338311142126</v>
      </c>
      <c r="Z361" s="385">
        <f t="shared" si="133"/>
        <v>23.814755470192402</v>
      </c>
      <c r="AA361" s="386">
        <f t="shared" si="134"/>
        <v>25.471666923287305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6.5049195958984632E-2</v>
      </c>
      <c r="AD361" s="231">
        <f>(INDEX(Models!$BJ361:$BT361,,AH361)*(1-AF361)+INDEX(Models!$BJ361:$BT361,,AH361+1)*AF361-ERP_i)*AE361*Ramure*Pc/MaxiM</f>
        <v>3.6044459690168343E-4</v>
      </c>
      <c r="AE361" s="305">
        <f t="shared" si="136"/>
        <v>0.5</v>
      </c>
      <c r="AF361" s="177">
        <f t="shared" si="137"/>
        <v>0.99731488848211602</v>
      </c>
      <c r="AG361" s="811">
        <f t="shared" si="143"/>
        <v>-1</v>
      </c>
      <c r="AH361" s="176">
        <f t="shared" si="138"/>
        <v>5</v>
      </c>
      <c r="AI361" s="225">
        <f t="shared" si="139"/>
        <v>-2.6851115178839757E-3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7">
        <v>21.682000000000002</v>
      </c>
      <c r="C362" s="390"/>
      <c r="D362" s="393">
        <f t="shared" si="122"/>
        <v>22.300910992891112</v>
      </c>
      <c r="E362" s="385">
        <f t="shared" si="144"/>
        <v>22.838496866644363</v>
      </c>
      <c r="F362" s="385">
        <f t="shared" si="123"/>
        <v>22.845836803064749</v>
      </c>
      <c r="G362" s="110">
        <f t="shared" si="145"/>
        <v>0.92420618375292363</v>
      </c>
      <c r="H362" s="414" t="b">
        <f>Wh_hp&gt;='2020'!Maxi_hp</f>
        <v>1</v>
      </c>
      <c r="I362" s="380">
        <f>IF(H362,Wh_hp,'2020'!Maxi_hp)</f>
        <v>22.845836803064749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2.7752722437590083E-2</v>
      </c>
      <c r="M362" s="845"/>
      <c r="N362" s="845"/>
      <c r="O362" s="48">
        <f>IF(t&lt;Tnet,'2020'!Resal+('2020'!Salim-'2020'!Resal)*(1-EXP(('2020'!Tnet-t)/('2020'!Tau_j))),Resal+(Salim-Resal)*(1-EXP((Tnet-t)/(Tau_j))))*Salcycl</f>
        <v>2.3538583860936876E-2</v>
      </c>
      <c r="P362" s="169">
        <f>(INDEX(Models!$BJ362:$BT362,,T362)*(1-R362)+INDEX(Models!$BJ362:$BT362,,T362+1)*R362-ERP_i)*Q362*Ramure*Pc/MaxiM</f>
        <v>3.6027167700731008E-4</v>
      </c>
      <c r="Q362" s="305">
        <f t="shared" si="125"/>
        <v>0.5</v>
      </c>
      <c r="R362" s="177">
        <f t="shared" si="126"/>
        <v>0.99732453875968541</v>
      </c>
      <c r="S362" s="811">
        <f t="shared" si="127"/>
        <v>-1</v>
      </c>
      <c r="T362" s="176">
        <f t="shared" si="128"/>
        <v>5</v>
      </c>
      <c r="U362" s="251">
        <f t="shared" si="129"/>
        <v>-2.6754612403146472E-3</v>
      </c>
      <c r="V362" s="383">
        <f t="shared" si="130"/>
        <v>23.459217993296242</v>
      </c>
      <c r="W362" s="402"/>
      <c r="X362" s="157">
        <f t="shared" si="131"/>
        <v>44544</v>
      </c>
      <c r="Y362" s="385">
        <f t="shared" si="132"/>
        <v>20.759796369214403</v>
      </c>
      <c r="Z362" s="385">
        <f t="shared" si="133"/>
        <v>21.352383131648114</v>
      </c>
      <c r="AA362" s="386">
        <f t="shared" si="134"/>
        <v>22.838496866644363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6.5070558000107193E-2</v>
      </c>
      <c r="AD362" s="231">
        <f>(INDEX(Models!$BJ362:$BT362,,AH362)*(1-AF362)+INDEX(Models!$BJ362:$BT362,,AH362+1)*AF362-ERP_i)*AE362*Ramure*Pc/MaxiM</f>
        <v>3.6027167700731008E-4</v>
      </c>
      <c r="AE362" s="305">
        <f t="shared" si="136"/>
        <v>0.5</v>
      </c>
      <c r="AF362" s="177">
        <f t="shared" si="137"/>
        <v>0.99732453875968541</v>
      </c>
      <c r="AG362" s="811">
        <f t="shared" si="143"/>
        <v>-1</v>
      </c>
      <c r="AH362" s="176">
        <f t="shared" si="138"/>
        <v>5</v>
      </c>
      <c r="AI362" s="225">
        <f t="shared" si="139"/>
        <v>-2.6754612403146472E-3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7">
        <v>22.138999999999999</v>
      </c>
      <c r="C363" s="390"/>
      <c r="D363" s="393">
        <f t="shared" si="122"/>
        <v>22.771454775421461</v>
      </c>
      <c r="E363" s="385">
        <f t="shared" si="144"/>
        <v>23.321968682828143</v>
      </c>
      <c r="F363" s="385">
        <f t="shared" si="123"/>
        <v>23.329720166294226</v>
      </c>
      <c r="G363" s="110">
        <f t="shared" si="145"/>
        <v>0.94579652754330268</v>
      </c>
      <c r="H363" s="414" t="b">
        <f>Wh_hp&gt;='2020'!Maxi_hp</f>
        <v>0</v>
      </c>
      <c r="I363" s="380">
        <f>IF(H363,Wh_hp,'2020'!Maxi_hp)</f>
        <v>25.557265904120406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2.7774017148175623E-2</v>
      </c>
      <c r="M363" s="845"/>
      <c r="N363" s="845"/>
      <c r="O363" s="48">
        <f>IF(t&lt;Tnet,'2020'!Resal+('2020'!Salim-'2020'!Resal)*(1-EXP(('2020'!Tnet-t)/('2020'!Tau_j))),Resal+(Salim-Resal)*(1-EXP((Tnet-t)/(Tau_j))))*Salcycl</f>
        <v>2.3604950117784192E-2</v>
      </c>
      <c r="P363" s="169">
        <f>(INDEX(Models!$BJ363:$BT363,,T363)*(1-R363)+INDEX(Models!$BJ363:$BT363,,T363+1)*R363-ERP_i)*Q363*Ramure*Pc/MaxiM</f>
        <v>3.6013049319135907E-4</v>
      </c>
      <c r="Q363" s="305">
        <f t="shared" si="125"/>
        <v>0.5</v>
      </c>
      <c r="R363" s="177">
        <f t="shared" si="126"/>
        <v>0.99733380083894185</v>
      </c>
      <c r="S363" s="811">
        <f t="shared" si="127"/>
        <v>-1</v>
      </c>
      <c r="T363" s="176">
        <f t="shared" si="128"/>
        <v>5</v>
      </c>
      <c r="U363" s="251">
        <f t="shared" si="129"/>
        <v>-2.666199161058147E-3</v>
      </c>
      <c r="V363" s="383">
        <f t="shared" si="130"/>
        <v>23.407130475222946</v>
      </c>
      <c r="W363" s="402"/>
      <c r="X363" s="157">
        <f t="shared" si="131"/>
        <v>44545</v>
      </c>
      <c r="Y363" s="385">
        <f t="shared" si="132"/>
        <v>21.198298735135616</v>
      </c>
      <c r="Z363" s="385">
        <f t="shared" si="133"/>
        <v>21.803880074213588</v>
      </c>
      <c r="AA363" s="386">
        <f t="shared" si="134"/>
        <v>23.321968682828143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6.5092644161396054E-2</v>
      </c>
      <c r="AD363" s="231">
        <f>(INDEX(Models!$BJ363:$BT363,,AH363)*(1-AF363)+INDEX(Models!$BJ363:$BT363,,AH363+1)*AF363-ERP_i)*AE363*Ramure*Pc/MaxiM</f>
        <v>3.6013049319135907E-4</v>
      </c>
      <c r="AE363" s="305">
        <f t="shared" si="136"/>
        <v>0.5</v>
      </c>
      <c r="AF363" s="177">
        <f t="shared" si="137"/>
        <v>0.99733380083894185</v>
      </c>
      <c r="AG363" s="811">
        <f t="shared" si="143"/>
        <v>-1</v>
      </c>
      <c r="AH363" s="176">
        <f t="shared" si="138"/>
        <v>5</v>
      </c>
      <c r="AI363" s="225">
        <f t="shared" si="139"/>
        <v>-2.666199161058147E-3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7">
        <v>23.897000000000002</v>
      </c>
      <c r="C364" s="390"/>
      <c r="D364" s="393">
        <f t="shared" si="122"/>
        <v>24.580214722297132</v>
      </c>
      <c r="E364" s="385">
        <f t="shared" si="144"/>
        <v>25.176172334247973</v>
      </c>
      <c r="F364" s="385">
        <f t="shared" si="123"/>
        <v>25.18523938599883</v>
      </c>
      <c r="G364" s="110">
        <f t="shared" si="145"/>
        <v>1.0227225452563229</v>
      </c>
      <c r="H364" s="414" t="b">
        <f>Wh_hp&gt;='2020'!Maxi_hp</f>
        <v>1</v>
      </c>
      <c r="I364" s="380">
        <f>IF(H364,Wh_hp,'2020'!Maxi_hp)</f>
        <v>25.18523938599883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2.7795311392352251E-2</v>
      </c>
      <c r="M364" s="845"/>
      <c r="N364" s="845"/>
      <c r="O364" s="48">
        <f>IF(t&lt;Tnet,'2020'!Resal+('2020'!Salim-'2020'!Resal)*(1-EXP(('2020'!Tnet-t)/('2020'!Tau_j))),Resal+(Salim-Resal)*(1-EXP((Tnet-t)/(Tau_j))))*Salcycl</f>
        <v>2.3671493984021599E-2</v>
      </c>
      <c r="P364" s="169">
        <f>(INDEX(Models!$BJ364:$BT364,,T364)*(1-R364)+INDEX(Models!$BJ364:$BT364,,T364+1)*R364-ERP_i)*Q364*Ramure*Pc/MaxiM</f>
        <v>3.6001451532348411E-4</v>
      </c>
      <c r="Q364" s="305">
        <f t="shared" si="125"/>
        <v>0.5</v>
      </c>
      <c r="R364" s="177">
        <f t="shared" si="126"/>
        <v>0.99734269032228706</v>
      </c>
      <c r="S364" s="811">
        <f t="shared" si="127"/>
        <v>-1</v>
      </c>
      <c r="T364" s="176">
        <f t="shared" si="128"/>
        <v>5</v>
      </c>
      <c r="U364" s="251">
        <f t="shared" si="129"/>
        <v>-2.6573096777129379E-3</v>
      </c>
      <c r="V364" s="383">
        <f t="shared" si="130"/>
        <v>23.366063563222561</v>
      </c>
      <c r="W364" s="402"/>
      <c r="X364" s="157">
        <f t="shared" si="131"/>
        <v>44546</v>
      </c>
      <c r="Y364" s="385">
        <f t="shared" si="132"/>
        <v>22.882602321465953</v>
      </c>
      <c r="Z364" s="385">
        <f t="shared" si="133"/>
        <v>23.536815435685146</v>
      </c>
      <c r="AA364" s="386">
        <f t="shared" si="134"/>
        <v>25.176172334247973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6.5115414559375071E-2</v>
      </c>
      <c r="AD364" s="231">
        <f>(INDEX(Models!$BJ364:$BT364,,AH364)*(1-AF364)+INDEX(Models!$BJ364:$BT364,,AH364+1)*AF364-ERP_i)*AE364*Ramure*Pc/MaxiM</f>
        <v>3.6001451532348411E-4</v>
      </c>
      <c r="AE364" s="305">
        <f t="shared" si="136"/>
        <v>0.5</v>
      </c>
      <c r="AF364" s="177">
        <f t="shared" si="137"/>
        <v>0.99734269032228706</v>
      </c>
      <c r="AG364" s="811">
        <f t="shared" si="143"/>
        <v>-1</v>
      </c>
      <c r="AH364" s="176">
        <f t="shared" si="138"/>
        <v>5</v>
      </c>
      <c r="AI364" s="225">
        <f t="shared" si="139"/>
        <v>-2.6573096777129379E-3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7">
        <v>24.29</v>
      </c>
      <c r="C365" s="390"/>
      <c r="D365" s="393">
        <f t="shared" si="122"/>
        <v>24.984997819522214</v>
      </c>
      <c r="E365" s="385">
        <f t="shared" si="144"/>
        <v>25.592518207986501</v>
      </c>
      <c r="F365" s="385">
        <f t="shared" si="123"/>
        <v>25.601732712427946</v>
      </c>
      <c r="G365" s="110">
        <f t="shared" si="145"/>
        <v>1.0408693647597316</v>
      </c>
      <c r="H365" s="414" t="b">
        <f>Wh_hp&gt;='2020'!Maxi_hp</f>
        <v>1</v>
      </c>
      <c r="I365" s="380">
        <f>IF(H365,Wh_hp,'2020'!Maxi_hp)</f>
        <v>25.601732712427946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2.7816605170130293E-2</v>
      </c>
      <c r="M365" s="845"/>
      <c r="N365" s="845"/>
      <c r="O365" s="48">
        <f>IF(t&lt;Tnet,'2020'!Resal+('2020'!Salim-'2020'!Resal)*(1-EXP(('2020'!Tnet-t)/('2020'!Tau_j))),Resal+(Salim-Resal)*(1-EXP((Tnet-t)/(Tau_j))))*Salcycl</f>
        <v>2.3738202842215835E-2</v>
      </c>
      <c r="P365" s="169">
        <f>(INDEX(Models!$BJ365:$BT365,,T365)*(1-R365)+INDEX(Models!$BJ365:$BT365,,T365+1)*R365-ERP_i)*Q365*Ramure*Pc/MaxiM</f>
        <v>3.5991721907837769E-4</v>
      </c>
      <c r="Q365" s="305">
        <f t="shared" si="125"/>
        <v>0.5</v>
      </c>
      <c r="R365" s="177">
        <f t="shared" si="126"/>
        <v>0.99735122218609951</v>
      </c>
      <c r="S365" s="811">
        <f t="shared" si="127"/>
        <v>-1</v>
      </c>
      <c r="T365" s="176">
        <f t="shared" si="128"/>
        <v>5</v>
      </c>
      <c r="U365" s="251">
        <f t="shared" si="129"/>
        <v>-2.6487778139004936E-3</v>
      </c>
      <c r="V365" s="383">
        <f t="shared" si="130"/>
        <v>23.336261804195736</v>
      </c>
      <c r="W365" s="402"/>
      <c r="X365" s="157">
        <f t="shared" si="131"/>
        <v>44547</v>
      </c>
      <c r="Y365" s="385">
        <f t="shared" si="132"/>
        <v>23.259926700474004</v>
      </c>
      <c r="Z365" s="385">
        <f t="shared" si="133"/>
        <v>23.925451539464369</v>
      </c>
      <c r="AA365" s="386">
        <f t="shared" si="134"/>
        <v>25.592518207986501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6.513882905051141E-2</v>
      </c>
      <c r="AD365" s="231">
        <f>(INDEX(Models!$BJ365:$BT365,,AH365)*(1-AF365)+INDEX(Models!$BJ365:$BT365,,AH365+1)*AF365-ERP_i)*AE365*Ramure*Pc/MaxiM</f>
        <v>3.5991721907837769E-4</v>
      </c>
      <c r="AE365" s="305">
        <f t="shared" si="136"/>
        <v>0.5</v>
      </c>
      <c r="AF365" s="177">
        <f t="shared" si="137"/>
        <v>0.99735122218609951</v>
      </c>
      <c r="AG365" s="811">
        <f t="shared" si="143"/>
        <v>-1</v>
      </c>
      <c r="AH365" s="176">
        <f t="shared" si="138"/>
        <v>5</v>
      </c>
      <c r="AI365" s="225">
        <f t="shared" si="139"/>
        <v>-2.6487778139004936E-3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7">
        <v>24.404</v>
      </c>
      <c r="C366" s="390"/>
      <c r="D366" s="393">
        <f t="shared" si="122"/>
        <v>25.102809461387032</v>
      </c>
      <c r="E366" s="385">
        <f t="shared" si="144"/>
        <v>25.714955623742132</v>
      </c>
      <c r="F366" s="385">
        <f t="shared" si="123"/>
        <v>25.724211482819697</v>
      </c>
      <c r="G366" s="110">
        <f t="shared" si="145"/>
        <v>1.0465748032640063</v>
      </c>
      <c r="H366" s="414" t="b">
        <f>Wh_hp&gt;='2020'!Maxi_hp</f>
        <v>1</v>
      </c>
      <c r="I366" s="380">
        <f>IF(H366,Wh_hp,'2020'!Maxi_hp)</f>
        <v>25.724211482819697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2.7837898481519963E-2</v>
      </c>
      <c r="M366" s="845"/>
      <c r="N366" s="845"/>
      <c r="O366" s="48">
        <f>IF(t&lt;Tnet,'2020'!Resal+('2020'!Salim-'2020'!Resal)*(1-EXP(('2020'!Tnet-t)/('2020'!Tau_j))),Resal+(Salim-Resal)*(1-EXP((Tnet-t)/(Tau_j))))*Salcycl</f>
        <v>2.3805063921242545E-2</v>
      </c>
      <c r="P366" s="169">
        <f>(INDEX(Models!$BJ366:$BT366,,T366)*(1-R366)+INDEX(Models!$BJ366:$BT366,,T366+1)*R366-ERP_i)*Q366*Ramure*Pc/MaxiM</f>
        <v>3.5981118736122823E-4</v>
      </c>
      <c r="Q366" s="305">
        <f t="shared" si="125"/>
        <v>0.5</v>
      </c>
      <c r="R366" s="177">
        <f t="shared" si="126"/>
        <v>0.99735941080576884</v>
      </c>
      <c r="S366" s="811">
        <f t="shared" si="127"/>
        <v>-1</v>
      </c>
      <c r="T366" s="176">
        <f t="shared" si="128"/>
        <v>5</v>
      </c>
      <c r="U366" s="251">
        <f t="shared" si="129"/>
        <v>-2.6405891942312132E-3</v>
      </c>
      <c r="V366" s="383">
        <f t="shared" si="130"/>
        <v>23.317970128738057</v>
      </c>
      <c r="W366" s="402"/>
      <c r="X366" s="157">
        <f t="shared" si="131"/>
        <v>44548</v>
      </c>
      <c r="Y366" s="385">
        <f t="shared" si="132"/>
        <v>23.370092413774685</v>
      </c>
      <c r="Z366" s="385">
        <f t="shared" si="133"/>
        <v>24.039295892394378</v>
      </c>
      <c r="AA366" s="386">
        <f t="shared" si="134"/>
        <v>25.714955623742132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6.5162847483222916E-2</v>
      </c>
      <c r="AD366" s="231">
        <f>(INDEX(Models!$BJ366:$BT366,,AH366)*(1-AF366)+INDEX(Models!$BJ366:$BT366,,AH366+1)*AF366-ERP_i)*AE366*Ramure*Pc/MaxiM</f>
        <v>3.5981118736122823E-4</v>
      </c>
      <c r="AE366" s="305">
        <f t="shared" si="136"/>
        <v>0.5</v>
      </c>
      <c r="AF366" s="177">
        <f t="shared" si="137"/>
        <v>0.99735941080576884</v>
      </c>
      <c r="AG366" s="811">
        <f t="shared" si="143"/>
        <v>-1</v>
      </c>
      <c r="AH366" s="176">
        <f t="shared" si="138"/>
        <v>5</v>
      </c>
      <c r="AI366" s="225">
        <f t="shared" si="139"/>
        <v>-2.6405891942312132E-3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7">
        <v>24.102</v>
      </c>
      <c r="C367" s="390"/>
      <c r="D367" s="393">
        <f t="shared" si="122"/>
        <v>24.79270470384666</v>
      </c>
      <c r="E367" s="385">
        <f t="shared" si="144"/>
        <v>25.399032031855111</v>
      </c>
      <c r="F367" s="385">
        <f t="shared" si="123"/>
        <v>25.408167099175618</v>
      </c>
      <c r="G367" s="110">
        <f t="shared" si="145"/>
        <v>1.0339131157568784</v>
      </c>
      <c r="H367" s="414" t="b">
        <f>Wh_hp&gt;='2020'!Maxi_hp</f>
        <v>1</v>
      </c>
      <c r="I367" s="380">
        <f>IF(H367,Wh_hp,'2020'!Maxi_hp)</f>
        <v>25.408167099175618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2.7859191326531474E-2</v>
      </c>
      <c r="M367" s="845"/>
      <c r="N367" s="845"/>
      <c r="O367" s="48">
        <f>IF(t&lt;Tnet,'2020'!Resal+('2020'!Salim-'2020'!Resal)*(1-EXP(('2020'!Tnet-t)/('2020'!Tau_j))),Resal+(Salim-Resal)*(1-EXP((Tnet-t)/(Tau_j))))*Salcycl</f>
        <v>2.3872064386075972E-2</v>
      </c>
      <c r="P367" s="169">
        <f>(INDEX(Models!$BJ367:$BT367,,T367)*(1-R367)+INDEX(Models!$BJ367:$BT367,,T367+1)*R367-ERP_i)*Q367*Ramure*Pc/MaxiM</f>
        <v>3.5953271579369631E-4</v>
      </c>
      <c r="Q367" s="305">
        <f t="shared" si="125"/>
        <v>0.5</v>
      </c>
      <c r="R367" s="177">
        <f t="shared" si="126"/>
        <v>0.99736726997973502</v>
      </c>
      <c r="S367" s="811">
        <f t="shared" si="127"/>
        <v>-1</v>
      </c>
      <c r="T367" s="176">
        <f t="shared" si="128"/>
        <v>5</v>
      </c>
      <c r="U367" s="251">
        <f t="shared" si="129"/>
        <v>-2.6327300202649839E-3</v>
      </c>
      <c r="V367" s="383">
        <f t="shared" si="130"/>
        <v>23.311436553695401</v>
      </c>
      <c r="W367" s="402"/>
      <c r="X367" s="157">
        <f t="shared" si="131"/>
        <v>44549</v>
      </c>
      <c r="Y367" s="385">
        <f t="shared" si="132"/>
        <v>23.081864314626024</v>
      </c>
      <c r="Z367" s="385">
        <f t="shared" si="133"/>
        <v>23.743334410703635</v>
      </c>
      <c r="AA367" s="386">
        <f t="shared" si="134"/>
        <v>25.399032031855111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6.5187429941224631E-2</v>
      </c>
      <c r="AD367" s="231">
        <f>(INDEX(Models!$BJ367:$BT367,,AH367)*(1-AF367)+INDEX(Models!$BJ367:$BT367,,AH367+1)*AF367-ERP_i)*AE367*Ramure*Pc/MaxiM</f>
        <v>3.5953271579369631E-4</v>
      </c>
      <c r="AE367" s="305">
        <f t="shared" si="136"/>
        <v>0.5</v>
      </c>
      <c r="AF367" s="177">
        <f t="shared" si="137"/>
        <v>0.99736726997973502</v>
      </c>
      <c r="AG367" s="811">
        <f t="shared" si="143"/>
        <v>-1</v>
      </c>
      <c r="AH367" s="176">
        <f t="shared" si="138"/>
        <v>5</v>
      </c>
      <c r="AI367" s="225">
        <f t="shared" si="139"/>
        <v>-2.6327300202649839E-3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7">
        <v>21.388999999999999</v>
      </c>
      <c r="C368" s="390"/>
      <c r="D368" s="393">
        <f t="shared" si="122"/>
        <v>22.002438631746521</v>
      </c>
      <c r="E368" s="385">
        <f t="shared" si="144"/>
        <v>22.542077746027381</v>
      </c>
      <c r="F368" s="385">
        <f t="shared" si="123"/>
        <v>22.549218247197125</v>
      </c>
      <c r="G368" s="110">
        <f t="shared" si="145"/>
        <v>0.91727835495131627</v>
      </c>
      <c r="H368" s="414" t="b">
        <f>Wh_hp&gt;='2020'!Maxi_hp</f>
        <v>1</v>
      </c>
      <c r="I368" s="380">
        <f>IF(H368,Wh_hp,'2020'!Maxi_hp)</f>
        <v>22.549218247197125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2.7880483705175041E-2</v>
      </c>
      <c r="M368" s="845"/>
      <c r="N368" s="845"/>
      <c r="O368" s="48">
        <f>IF(t&lt;Tnet,'2020'!Resal+('2020'!Salim-'2020'!Resal)*(1-EXP(('2020'!Tnet-t)/('2020'!Tau_j))),Resal+(Salim-Resal)*(1-EXP((Tnet-t)/(Tau_j))))*Salcycl</f>
        <v>2.3939191425065461E-2</v>
      </c>
      <c r="P368" s="169">
        <f>(INDEX(Models!$BJ368:$BT368,,T368)*(1-R368)+INDEX(Models!$BJ368:$BT368,,T368+1)*R368-ERP_i)*Q368*Ramure*Pc/MaxiM</f>
        <v>3.5907636078241214E-4</v>
      </c>
      <c r="Q368" s="305">
        <f t="shared" si="125"/>
        <v>0.5</v>
      </c>
      <c r="R368" s="177">
        <f t="shared" si="126"/>
        <v>0.99737481295257335</v>
      </c>
      <c r="S368" s="811">
        <f t="shared" si="127"/>
        <v>-1</v>
      </c>
      <c r="T368" s="176">
        <f t="shared" si="128"/>
        <v>5</v>
      </c>
      <c r="U368" s="251">
        <f t="shared" si="129"/>
        <v>-2.625187047426647E-3</v>
      </c>
      <c r="V368" s="383">
        <f t="shared" si="130"/>
        <v>23.316905294871887</v>
      </c>
      <c r="W368" s="402"/>
      <c r="X368" s="157">
        <f t="shared" si="131"/>
        <v>44550</v>
      </c>
      <c r="Y368" s="385">
        <f t="shared" si="132"/>
        <v>20.484552674337319</v>
      </c>
      <c r="Z368" s="385">
        <f t="shared" si="133"/>
        <v>21.072051667487305</v>
      </c>
      <c r="AA368" s="386">
        <f t="shared" si="134"/>
        <v>22.542077746027381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6.52125369765056E-2</v>
      </c>
      <c r="AD368" s="231">
        <f>(INDEX(Models!$BJ368:$BT368,,AH368)*(1-AF368)+INDEX(Models!$BJ368:$BT368,,AH368+1)*AF368-ERP_i)*AE368*Ramure*Pc/MaxiM</f>
        <v>3.5907636078241214E-4</v>
      </c>
      <c r="AE368" s="305">
        <f t="shared" si="136"/>
        <v>0.5</v>
      </c>
      <c r="AF368" s="177">
        <f t="shared" si="137"/>
        <v>0.99737481295257335</v>
      </c>
      <c r="AG368" s="811">
        <f t="shared" si="143"/>
        <v>-1</v>
      </c>
      <c r="AH368" s="176">
        <f t="shared" si="138"/>
        <v>5</v>
      </c>
      <c r="AI368" s="225">
        <f t="shared" si="139"/>
        <v>-2.625187047426647E-3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7">
        <v>16.917000000000002</v>
      </c>
      <c r="C369" s="390"/>
      <c r="D369" s="393">
        <f t="shared" si="122"/>
        <v>17.402562391002622</v>
      </c>
      <c r="E369" s="385">
        <f t="shared" si="144"/>
        <v>17.830611765833641</v>
      </c>
      <c r="F369" s="385">
        <f t="shared" si="123"/>
        <v>17.834492720179504</v>
      </c>
      <c r="G369" s="110">
        <f t="shared" si="145"/>
        <v>0.72487217494121725</v>
      </c>
      <c r="H369" s="414" t="b">
        <f>Wh_hp&gt;='2020'!Maxi_hp</f>
        <v>0</v>
      </c>
      <c r="I369" s="380">
        <f>IF(H369,Wh_hp,'2020'!Maxi_hp)</f>
        <v>20.512881562962292</v>
      </c>
      <c r="J369" s="85">
        <f>IF(H369,An,'2020'!An_max)</f>
        <v>2019</v>
      </c>
      <c r="K369" s="197">
        <f t="shared" si="124"/>
        <v>44551</v>
      </c>
      <c r="L369" s="147">
        <f>IF(t&lt;Tvie,1-EXP((T0-t)*PertePVj)+'2020'!Pspv,1-EXP((T0-t)*PertePVj)+Pspv)</f>
        <v>2.7901775617460878E-2</v>
      </c>
      <c r="M369" s="845"/>
      <c r="N369" s="845"/>
      <c r="O369" s="48">
        <f>IF(t&lt;Tnet,'2020'!Resal+('2020'!Salim-'2020'!Resal)*(1-EXP(('2020'!Tnet-t)/('2020'!Tau_j))),Resal+(Salim-Resal)*(1-EXP((Tnet-t)/(Tau_j))))*Salcycl</f>
        <v>2.4006432334039922E-2</v>
      </c>
      <c r="P369" s="169">
        <f>(INDEX(Models!$BJ369:$BT369,,T369)*(1-R369)+INDEX(Models!$BJ369:$BT369,,T369+1)*R369-ERP_i)*Q369*Ramure*Pc/MaxiM</f>
        <v>3.5843726284773882E-4</v>
      </c>
      <c r="Q369" s="305">
        <f t="shared" si="125"/>
        <v>0.5</v>
      </c>
      <c r="R369" s="177">
        <f t="shared" si="126"/>
        <v>0.99738205243716027</v>
      </c>
      <c r="S369" s="811">
        <f t="shared" si="127"/>
        <v>-1</v>
      </c>
      <c r="T369" s="176">
        <f t="shared" si="128"/>
        <v>5</v>
      </c>
      <c r="U369" s="251">
        <f t="shared" si="129"/>
        <v>-2.6179475628397286E-3</v>
      </c>
      <c r="V369" s="383">
        <f t="shared" si="130"/>
        <v>23.334620478298291</v>
      </c>
      <c r="W369" s="402"/>
      <c r="X369" s="157">
        <f t="shared" si="131"/>
        <v>44551</v>
      </c>
      <c r="Y369" s="385">
        <f t="shared" si="132"/>
        <v>16.202326615201947</v>
      </c>
      <c r="Z369" s="385">
        <f t="shared" si="133"/>
        <v>16.667376000499743</v>
      </c>
      <c r="AA369" s="386">
        <f t="shared" si="134"/>
        <v>17.830611765833641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6.5238129830343175E-2</v>
      </c>
      <c r="AD369" s="231">
        <f>(INDEX(Models!$BJ369:$BT369,,AH369)*(1-AF369)+INDEX(Models!$BJ369:$BT369,,AH369+1)*AF369-ERP_i)*AE369*Ramure*Pc/MaxiM</f>
        <v>3.5843726284773882E-4</v>
      </c>
      <c r="AE369" s="305">
        <f t="shared" si="136"/>
        <v>0.5</v>
      </c>
      <c r="AF369" s="177">
        <f t="shared" si="137"/>
        <v>0.99738205243716027</v>
      </c>
      <c r="AG369" s="811">
        <f t="shared" si="143"/>
        <v>-1</v>
      </c>
      <c r="AH369" s="176">
        <f t="shared" si="138"/>
        <v>5</v>
      </c>
      <c r="AI369" s="225">
        <f t="shared" si="139"/>
        <v>-2.6179475628397286E-3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7">
        <v>23.748000000000001</v>
      </c>
      <c r="C370" s="390"/>
      <c r="D370" s="393">
        <f t="shared" si="122"/>
        <v>24.430165139561904</v>
      </c>
      <c r="E370" s="385">
        <f t="shared" si="144"/>
        <v>25.032799102682308</v>
      </c>
      <c r="F370" s="385">
        <f t="shared" si="123"/>
        <v>25.041754314682116</v>
      </c>
      <c r="G370" s="110">
        <f t="shared" si="145"/>
        <v>1.0163996030432845</v>
      </c>
      <c r="H370" s="414" t="b">
        <f>Wh_hp&gt;='2020'!Maxi_hp</f>
        <v>1</v>
      </c>
      <c r="I370" s="380">
        <f>IF(H370,Wh_hp,'2020'!Maxi_hp)</f>
        <v>25.041754314682116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2.7923067063399198E-2</v>
      </c>
      <c r="M370" s="845"/>
      <c r="N370" s="845"/>
      <c r="O370" s="48">
        <f>IF(t&lt;Tnet,'2020'!Resal+('2020'!Salim-'2020'!Resal)*(1-EXP(('2020'!Tnet-t)/('2020'!Tau_j))),Resal+(Salim-Resal)*(1-EXP((Tnet-t)/(Tau_j))))*Salcycl</f>
        <v>2.4073774596618407E-2</v>
      </c>
      <c r="P370" s="169">
        <f>(INDEX(Models!$BJ370:$BT370,,T370)*(1-R370)+INDEX(Models!$BJ370:$BT370,,T370+1)*R370-ERP_i)*Q370*Ramure*Pc/MaxiM</f>
        <v>3.5761120755646439E-4</v>
      </c>
      <c r="Q370" s="305">
        <f t="shared" si="125"/>
        <v>0.5</v>
      </c>
      <c r="R370" s="177">
        <f t="shared" si="126"/>
        <v>0.99738900063595759</v>
      </c>
      <c r="S370" s="811">
        <f t="shared" si="127"/>
        <v>-1</v>
      </c>
      <c r="T370" s="176">
        <f t="shared" si="128"/>
        <v>5</v>
      </c>
      <c r="U370" s="251">
        <f t="shared" si="129"/>
        <v>-2.6109993640424656E-3</v>
      </c>
      <c r="V370" s="383">
        <f t="shared" si="130"/>
        <v>23.364826126352455</v>
      </c>
      <c r="W370" s="402"/>
      <c r="X370" s="157">
        <f t="shared" si="131"/>
        <v>44552</v>
      </c>
      <c r="Y370" s="385">
        <f t="shared" si="132"/>
        <v>22.745680869929384</v>
      </c>
      <c r="Z370" s="385">
        <f t="shared" si="133"/>
        <v>23.399054230425673</v>
      </c>
      <c r="AA370" s="386">
        <f t="shared" si="134"/>
        <v>25.032799102682308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6.5264170640892294E-2</v>
      </c>
      <c r="AD370" s="231">
        <f>(INDEX(Models!$BJ370:$BT370,,AH370)*(1-AF370)+INDEX(Models!$BJ370:$BT370,,AH370+1)*AF370-ERP_i)*AE370*Ramure*Pc/MaxiM</f>
        <v>3.5761120755646439E-4</v>
      </c>
      <c r="AE370" s="305">
        <f t="shared" si="136"/>
        <v>0.5</v>
      </c>
      <c r="AF370" s="177">
        <f t="shared" si="137"/>
        <v>0.99738900063595759</v>
      </c>
      <c r="AG370" s="811">
        <f t="shared" si="143"/>
        <v>-1</v>
      </c>
      <c r="AH370" s="176">
        <f t="shared" si="138"/>
        <v>5</v>
      </c>
      <c r="AI370" s="225">
        <f t="shared" si="139"/>
        <v>-2.6109993640424656E-3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7">
        <v>5.5720000000000001</v>
      </c>
      <c r="C371" s="390"/>
      <c r="D371" s="393">
        <f t="shared" si="122"/>
        <v>5.7321821503778541</v>
      </c>
      <c r="E371" s="385">
        <f t="shared" si="144"/>
        <v>5.8739872872875498</v>
      </c>
      <c r="F371" s="385">
        <f t="shared" si="123"/>
        <v>5.8739872872875498</v>
      </c>
      <c r="G371" s="110">
        <f t="shared" si="145"/>
        <v>0.23795577158187273</v>
      </c>
      <c r="H371" s="414" t="b">
        <f>Wh_hp&gt;='2020'!Maxi_hp</f>
        <v>0</v>
      </c>
      <c r="I371" s="380">
        <f>IF(H371,Wh_hp,'2020'!Maxi_hp)</f>
        <v>19.829576058520093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2.7944358043000217E-2</v>
      </c>
      <c r="M371" s="845"/>
      <c r="N371" s="845"/>
      <c r="O371" s="48">
        <f>IF(t&lt;Tnet,'2020'!Resal+('2020'!Salim-'2020'!Resal)*(1-EXP(('2020'!Tnet-t)/('2020'!Tau_j))),Resal+(Salim-Resal)*(1-EXP((Tnet-t)/(Tau_j))))*Salcycl</f>
        <v>2.4141205960147398E-2</v>
      </c>
      <c r="P371" s="169">
        <f>(INDEX(Models!$BJ371:$BT371,,T371)*(1-R371)+INDEX(Models!$BJ371:$BT371,,T371+1)*R371-ERP_i)*Q371*Ramure*Pc/MaxiM</f>
        <v>3.5659344560791823E-4</v>
      </c>
      <c r="Q371" s="305">
        <f t="shared" si="125"/>
        <v>0.5</v>
      </c>
      <c r="R371" s="177">
        <f t="shared" si="126"/>
        <v>0.99738900063595759</v>
      </c>
      <c r="S371" s="811">
        <f t="shared" si="127"/>
        <v>-1</v>
      </c>
      <c r="T371" s="176">
        <f t="shared" si="128"/>
        <v>5</v>
      </c>
      <c r="U371" s="251">
        <f t="shared" si="129"/>
        <v>-2.6109993640424656E-3</v>
      </c>
      <c r="V371" s="383">
        <f t="shared" si="130"/>
        <v>23.407766175592073</v>
      </c>
      <c r="W371" s="402"/>
      <c r="X371" s="157">
        <f t="shared" si="131"/>
        <v>44553</v>
      </c>
      <c r="Y371" s="385">
        <f t="shared" si="132"/>
        <v>5.3370433124972774</v>
      </c>
      <c r="Z371" s="385">
        <f t="shared" si="133"/>
        <v>5.4904709999444341</v>
      </c>
      <c r="AA371" s="386">
        <f t="shared" si="134"/>
        <v>5.8739872872875498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6.529062263602782E-2</v>
      </c>
      <c r="AD371" s="231">
        <f>(INDEX(Models!$BJ371:$BT371,,AH371)*(1-AF371)+INDEX(Models!$BJ371:$BT371,,AH371+1)*AF371-ERP_i)*AE371*Ramure*Pc/MaxiM</f>
        <v>3.5659344560791823E-4</v>
      </c>
      <c r="AE371" s="305">
        <f t="shared" si="136"/>
        <v>0.5</v>
      </c>
      <c r="AF371" s="177">
        <f t="shared" si="137"/>
        <v>0.99738900063595759</v>
      </c>
      <c r="AG371" s="811">
        <f t="shared" si="143"/>
        <v>-1</v>
      </c>
      <c r="AH371" s="176">
        <f t="shared" si="138"/>
        <v>5</v>
      </c>
      <c r="AI371" s="225">
        <f t="shared" si="139"/>
        <v>-2.6109993640424656E-3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7">
        <v>13.202</v>
      </c>
      <c r="C372" s="390"/>
      <c r="D372" s="393">
        <f t="shared" si="122"/>
        <v>13.581824531603814</v>
      </c>
      <c r="E372" s="385">
        <f t="shared" si="144"/>
        <v>13.918780310420724</v>
      </c>
      <c r="F372" s="385">
        <f t="shared" si="123"/>
        <v>13.920636596817337</v>
      </c>
      <c r="G372" s="110">
        <f t="shared" si="145"/>
        <v>0.56253178634340339</v>
      </c>
      <c r="H372" s="414" t="b">
        <f>Wh_hp&gt;='2020'!Maxi_hp</f>
        <v>0</v>
      </c>
      <c r="I372" s="380">
        <f>IF(H372,Wh_hp,'2020'!Maxi_hp)</f>
        <v>15.301038083820069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2.7965648556274147E-2</v>
      </c>
      <c r="M372" s="845"/>
      <c r="N372" s="845"/>
      <c r="O372" s="48">
        <f>IF(t&lt;Tnet,'2020'!Resal+('2020'!Salim-'2020'!Resal)*(1-EXP(('2020'!Tnet-t)/('2020'!Tau_j))),Resal+(Salim-Resal)*(1-EXP((Tnet-t)/(Tau_j))))*Salcycl</f>
        <v>2.4208714506732787E-2</v>
      </c>
      <c r="P372" s="169">
        <f>(INDEX(Models!$BJ372:$BT372,,T372)*(1-R372)+INDEX(Models!$BJ372:$BT372,,T372+1)*R372-ERP_i)*Q372*Ramure*Pc/MaxiM</f>
        <v>3.55381969124909E-4</v>
      </c>
      <c r="Q372" s="305">
        <f t="shared" si="125"/>
        <v>0.5</v>
      </c>
      <c r="R372" s="177">
        <f t="shared" si="126"/>
        <v>0.99738900063595759</v>
      </c>
      <c r="S372" s="811">
        <f t="shared" si="127"/>
        <v>-1</v>
      </c>
      <c r="T372" s="176">
        <f t="shared" si="128"/>
        <v>5</v>
      </c>
      <c r="U372" s="251">
        <f t="shared" si="129"/>
        <v>-2.6109993640424656E-3</v>
      </c>
      <c r="V372" s="383">
        <f t="shared" si="130"/>
        <v>23.463684425528324</v>
      </c>
      <c r="W372" s="402"/>
      <c r="X372" s="157">
        <f t="shared" si="131"/>
        <v>44554</v>
      </c>
      <c r="Y372" s="385">
        <f t="shared" si="132"/>
        <v>12.645818019133115</v>
      </c>
      <c r="Z372" s="385">
        <f t="shared" si="133"/>
        <v>13.009641069115263</v>
      </c>
      <c r="AA372" s="386">
        <f t="shared" si="134"/>
        <v>13.918780310420724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6.5317450310269365E-2</v>
      </c>
      <c r="AD372" s="231">
        <f>(INDEX(Models!$BJ372:$BT372,,AH372)*(1-AF372)+INDEX(Models!$BJ372:$BT372,,AH372+1)*AF372-ERP_i)*AE372*Ramure*Pc/MaxiM</f>
        <v>3.55381969124909E-4</v>
      </c>
      <c r="AE372" s="305">
        <f t="shared" si="136"/>
        <v>0.5</v>
      </c>
      <c r="AF372" s="177">
        <f t="shared" si="137"/>
        <v>0.99738900063595759</v>
      </c>
      <c r="AG372" s="811">
        <f t="shared" si="143"/>
        <v>-1</v>
      </c>
      <c r="AH372" s="176">
        <f t="shared" si="138"/>
        <v>5</v>
      </c>
      <c r="AI372" s="225">
        <f t="shared" si="139"/>
        <v>-2.6109993640424656E-3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7">
        <v>9.92</v>
      </c>
      <c r="C373" s="390"/>
      <c r="D373" s="393">
        <f t="shared" si="122"/>
        <v>10.20562417725653</v>
      </c>
      <c r="E373" s="385">
        <f t="shared" si="144"/>
        <v>10.459543064559398</v>
      </c>
      <c r="F373" s="385">
        <f t="shared" si="123"/>
        <v>10.460185684397207</v>
      </c>
      <c r="G373" s="110">
        <f t="shared" si="145"/>
        <v>0.42137804118852512</v>
      </c>
      <c r="H373" s="414" t="b">
        <f>Wh_hp&gt;='2020'!Maxi_hp</f>
        <v>0</v>
      </c>
      <c r="I373" s="380">
        <f>IF(H373,Wh_hp,'2020'!Maxi_hp)</f>
        <v>16.332134440633631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2.7986938603231093E-2</v>
      </c>
      <c r="M373" s="845"/>
      <c r="N373" s="845"/>
      <c r="O373" s="48">
        <f>IF(t&lt;Tnet,'2020'!Resal+('2020'!Salim-'2020'!Resal)*(1-EXP(('2020'!Tnet-t)/('2020'!Tau_j))),Resal+(Salim-Resal)*(1-EXP((Tnet-t)/(Tau_j))))*Salcycl</f>
        <v>2.4276288718886343E-2</v>
      </c>
      <c r="P373" s="169">
        <f>(INDEX(Models!$BJ373:$BT373,,T373)*(1-R373)+INDEX(Models!$BJ373:$BT373,,T373+1)*R373-ERP_i)*Q373*Ramure*Pc/MaxiM</f>
        <v>3.5394167655713706E-4</v>
      </c>
      <c r="Q373" s="305">
        <f t="shared" si="125"/>
        <v>0.5</v>
      </c>
      <c r="R373" s="177">
        <f t="shared" si="126"/>
        <v>0.99738900063595759</v>
      </c>
      <c r="S373" s="811">
        <f t="shared" si="127"/>
        <v>-1</v>
      </c>
      <c r="T373" s="176">
        <f t="shared" si="128"/>
        <v>5</v>
      </c>
      <c r="U373" s="251">
        <f t="shared" si="129"/>
        <v>-2.6109993640424656E-3</v>
      </c>
      <c r="V373" s="383">
        <f t="shared" si="130"/>
        <v>23.534919204472008</v>
      </c>
      <c r="W373" s="402"/>
      <c r="X373" s="157">
        <f t="shared" si="131"/>
        <v>44555</v>
      </c>
      <c r="Y373" s="385">
        <f t="shared" si="132"/>
        <v>9.5024659814254857</v>
      </c>
      <c r="Z373" s="385">
        <f t="shared" si="133"/>
        <v>9.7760682019751641</v>
      </c>
      <c r="AA373" s="386">
        <f t="shared" si="134"/>
        <v>10.459543064559398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6.5344619584777677E-2</v>
      </c>
      <c r="AD373" s="231">
        <f>(INDEX(Models!$BJ373:$BT373,,AH373)*(1-AF373)+INDEX(Models!$BJ373:$BT373,,AH373+1)*AF373-ERP_i)*AE373*Ramure*Pc/MaxiM</f>
        <v>3.5394167655713706E-4</v>
      </c>
      <c r="AE373" s="305">
        <f t="shared" si="136"/>
        <v>0.5</v>
      </c>
      <c r="AF373" s="177">
        <f t="shared" si="137"/>
        <v>0.99738900063595759</v>
      </c>
      <c r="AG373" s="811">
        <f t="shared" si="143"/>
        <v>-1</v>
      </c>
      <c r="AH373" s="176">
        <f t="shared" si="138"/>
        <v>5</v>
      </c>
      <c r="AI373" s="225">
        <f t="shared" si="139"/>
        <v>-2.6109993640424656E-3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7">
        <v>11.27</v>
      </c>
      <c r="C374" s="390"/>
      <c r="D374" s="393">
        <f t="shared" si="122"/>
        <v>11.594748357738217</v>
      </c>
      <c r="E374" s="385">
        <f t="shared" si="144"/>
        <v>11.8840527581152</v>
      </c>
      <c r="F374" s="385">
        <f t="shared" si="123"/>
        <v>11.885111841391137</v>
      </c>
      <c r="G374" s="110">
        <f t="shared" si="145"/>
        <v>0.47695452711923936</v>
      </c>
      <c r="H374" s="414" t="b">
        <f>Wh_hp&gt;='2020'!Maxi_hp</f>
        <v>0</v>
      </c>
      <c r="I374" s="380">
        <f>IF(H374,Wh_hp,'2020'!Maxi_hp)</f>
        <v>24.2954595694269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2.8008228183881489E-2</v>
      </c>
      <c r="M374" s="845"/>
      <c r="N374" s="845"/>
      <c r="O374" s="48">
        <f>IF(t&lt;Tnet,'2020'!Resal+('2020'!Salim-'2020'!Resal)*(1-EXP(('2020'!Tnet-t)/('2020'!Tau_j))),Resal+(Salim-Resal)*(1-EXP((Tnet-t)/(Tau_j))))*Salcycl</f>
        <v>2.4343917539361867E-2</v>
      </c>
      <c r="P374" s="169">
        <f>(INDEX(Models!$BJ374:$BT374,,T374)*(1-R374)+INDEX(Models!$BJ374:$BT374,,T374+1)*R374-ERP_i)*Q374*Ramure*Pc/MaxiM</f>
        <v>3.5225338147979493E-4</v>
      </c>
      <c r="Q374" s="305">
        <f t="shared" si="125"/>
        <v>0.5</v>
      </c>
      <c r="R374" s="177">
        <f t="shared" si="126"/>
        <v>0.99738900063595759</v>
      </c>
      <c r="S374" s="811">
        <f t="shared" si="127"/>
        <v>-1</v>
      </c>
      <c r="T374" s="176">
        <f t="shared" si="128"/>
        <v>5</v>
      </c>
      <c r="U374" s="251">
        <f t="shared" si="129"/>
        <v>-2.6109993640424656E-3</v>
      </c>
      <c r="V374" s="383">
        <f t="shared" si="130"/>
        <v>23.622868575673234</v>
      </c>
      <c r="W374" s="402"/>
      <c r="X374" s="157">
        <f t="shared" si="131"/>
        <v>44556</v>
      </c>
      <c r="Y374" s="385">
        <f t="shared" si="132"/>
        <v>10.796075221037963</v>
      </c>
      <c r="Z374" s="385">
        <f t="shared" si="133"/>
        <v>11.107167297173751</v>
      </c>
      <c r="AA374" s="386">
        <f t="shared" si="134"/>
        <v>11.8840527581152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6.5372097949577157E-2</v>
      </c>
      <c r="AD374" s="231">
        <f>(INDEX(Models!$BJ374:$BT374,,AH374)*(1-AF374)+INDEX(Models!$BJ374:$BT374,,AH374+1)*AF374-ERP_i)*AE374*Ramure*Pc/MaxiM</f>
        <v>3.5225338147979493E-4</v>
      </c>
      <c r="AE374" s="305">
        <f t="shared" si="136"/>
        <v>0.5</v>
      </c>
      <c r="AF374" s="177">
        <f t="shared" si="137"/>
        <v>0.99738900063595759</v>
      </c>
      <c r="AG374" s="811">
        <f t="shared" si="143"/>
        <v>-1</v>
      </c>
      <c r="AH374" s="176">
        <f t="shared" si="138"/>
        <v>5</v>
      </c>
      <c r="AI374" s="225">
        <f t="shared" si="139"/>
        <v>-2.6109993640424656E-3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7">
        <v>10.483000000000001</v>
      </c>
      <c r="C375" s="390"/>
      <c r="D375" s="393">
        <f t="shared" si="122"/>
        <v>10.785306947656107</v>
      </c>
      <c r="E375" s="385">
        <f t="shared" si="144"/>
        <v>11.055181510768993</v>
      </c>
      <c r="F375" s="385">
        <f t="shared" si="123"/>
        <v>11.055966640376134</v>
      </c>
      <c r="G375" s="110">
        <f t="shared" si="145"/>
        <v>0.4417057187576412</v>
      </c>
      <c r="H375" s="414" t="b">
        <f>Wh_hp&gt;='2020'!Maxi_hp</f>
        <v>0</v>
      </c>
      <c r="I375" s="380">
        <f>IF(H375,Wh_hp,'2020'!Maxi_hp)</f>
        <v>24.678488393426758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2.802951729823544E-2</v>
      </c>
      <c r="M375" s="845"/>
      <c r="N375" s="845"/>
      <c r="O375" s="48">
        <f>IF(t&lt;Tnet,'2020'!Resal+('2020'!Salim-'2020'!Resal)*(1-EXP(('2020'!Tnet-t)/('2020'!Tau_j))),Resal+(Salim-Resal)*(1-EXP((Tnet-t)/(Tau_j))))*Salcycl</f>
        <v>2.4411590424815579E-2</v>
      </c>
      <c r="P375" s="169">
        <f>(INDEX(Models!$BJ375:$BT375,,T375)*(1-R375)+INDEX(Models!$BJ375:$BT375,,T375+1)*R375-ERP_i)*Q375*Ramure*Pc/MaxiM</f>
        <v>3.5049110095918765E-4</v>
      </c>
      <c r="Q375" s="305">
        <f t="shared" si="125"/>
        <v>0.5</v>
      </c>
      <c r="R375" s="177">
        <f t="shared" si="126"/>
        <v>0.99738900063595759</v>
      </c>
      <c r="S375" s="811">
        <f t="shared" si="127"/>
        <v>-1</v>
      </c>
      <c r="T375" s="176">
        <f t="shared" si="128"/>
        <v>5</v>
      </c>
      <c r="U375" s="251">
        <f t="shared" si="129"/>
        <v>-2.6109993640424656E-3</v>
      </c>
      <c r="V375" s="383">
        <f t="shared" si="130"/>
        <v>23.726362574812889</v>
      </c>
      <c r="W375" s="402"/>
      <c r="X375" s="157">
        <f t="shared" si="131"/>
        <v>44557</v>
      </c>
      <c r="Y375" s="385">
        <f t="shared" si="132"/>
        <v>10.042568390728665</v>
      </c>
      <c r="Z375" s="385">
        <f t="shared" si="133"/>
        <v>10.332174247528137</v>
      </c>
      <c r="AA375" s="386">
        <f t="shared" si="134"/>
        <v>11.055181510768993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6.539985458733226E-2</v>
      </c>
      <c r="AD375" s="231">
        <f>(INDEX(Models!$BJ375:$BT375,,AH375)*(1-AF375)+INDEX(Models!$BJ375:$BT375,,AH375+1)*AF375-ERP_i)*AE375*Ramure*Pc/MaxiM</f>
        <v>3.5049110095918765E-4</v>
      </c>
      <c r="AE375" s="305">
        <f t="shared" si="136"/>
        <v>0.5</v>
      </c>
      <c r="AF375" s="177">
        <f t="shared" si="137"/>
        <v>0.99738900063595759</v>
      </c>
      <c r="AG375" s="811">
        <f t="shared" si="143"/>
        <v>-1</v>
      </c>
      <c r="AH375" s="176">
        <f t="shared" si="138"/>
        <v>5</v>
      </c>
      <c r="AI375" s="225">
        <f t="shared" si="139"/>
        <v>-2.6109993640424656E-3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7">
        <v>5.6770000000000005</v>
      </c>
      <c r="C376" s="390"/>
      <c r="D376" s="393">
        <f t="shared" si="122"/>
        <v>5.8408402771784846</v>
      </c>
      <c r="E376" s="385">
        <f t="shared" si="144"/>
        <v>5.9874078136622151</v>
      </c>
      <c r="F376" s="385">
        <f t="shared" si="123"/>
        <v>5.9874078136622151</v>
      </c>
      <c r="G376" s="110">
        <f t="shared" si="145"/>
        <v>0.23800388276508697</v>
      </c>
      <c r="H376" s="414" t="b">
        <f>Wh_hp&gt;='2020'!Maxi_hp</f>
        <v>0</v>
      </c>
      <c r="I376" s="380">
        <f>IF(H376,Wh_hp,'2020'!Maxi_hp)</f>
        <v>6.7428070187051032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2.8050805946303048E-2</v>
      </c>
      <c r="M376" s="845"/>
      <c r="N376" s="845"/>
      <c r="O376" s="48">
        <f>IF(t&lt;Tnet,'2020'!Resal+('2020'!Salim-'2020'!Resal)*(1-EXP(('2020'!Tnet-t)/('2020'!Tau_j))),Resal+(Salim-Resal)*(1-EXP((Tnet-t)/(Tau_j))))*Salcycl</f>
        <v>2.4479297392986789E-2</v>
      </c>
      <c r="P376" s="169">
        <f>(INDEX(Models!$BJ376:$BT376,,T376)*(1-R376)+INDEX(Models!$BJ376:$BT376,,T376+1)*R376-ERP_i)*Q376*Ramure*Pc/MaxiM</f>
        <v>3.4869343613512044E-4</v>
      </c>
      <c r="Q376" s="305">
        <f t="shared" si="125"/>
        <v>0.5</v>
      </c>
      <c r="R376" s="177">
        <f t="shared" si="126"/>
        <v>0.99738900063595759</v>
      </c>
      <c r="S376" s="811">
        <f t="shared" si="127"/>
        <v>-1</v>
      </c>
      <c r="T376" s="176">
        <f t="shared" si="128"/>
        <v>5</v>
      </c>
      <c r="U376" s="251">
        <f t="shared" si="129"/>
        <v>-2.6109993640424656E-3</v>
      </c>
      <c r="V376" s="383">
        <f t="shared" si="130"/>
        <v>23.844234814288232</v>
      </c>
      <c r="W376" s="402"/>
      <c r="X376" s="157">
        <f t="shared" si="131"/>
        <v>44558</v>
      </c>
      <c r="Y376" s="385">
        <f t="shared" si="132"/>
        <v>5.4387016307153768</v>
      </c>
      <c r="Z376" s="385">
        <f t="shared" si="133"/>
        <v>5.5956645306039592</v>
      </c>
      <c r="AA376" s="386">
        <f t="shared" si="134"/>
        <v>5.9874078136622151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6.5427860478179931E-2</v>
      </c>
      <c r="AD376" s="231">
        <f>(INDEX(Models!$BJ376:$BT376,,AH376)*(1-AF376)+INDEX(Models!$BJ376:$BT376,,AH376+1)*AF376-ERP_i)*AE376*Ramure*Pc/MaxiM</f>
        <v>3.4869343613512044E-4</v>
      </c>
      <c r="AE376" s="305">
        <f t="shared" si="136"/>
        <v>0.5</v>
      </c>
      <c r="AF376" s="177">
        <f t="shared" si="137"/>
        <v>0.99738900063595759</v>
      </c>
      <c r="AG376" s="811">
        <f t="shared" si="143"/>
        <v>-1</v>
      </c>
      <c r="AH376" s="176">
        <f t="shared" si="138"/>
        <v>5</v>
      </c>
      <c r="AI376" s="225">
        <f t="shared" si="139"/>
        <v>-2.6109993640424656E-3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7">
        <v>4.3220000000000001</v>
      </c>
      <c r="C377" s="390"/>
      <c r="D377" s="393">
        <f t="shared" si="122"/>
        <v>4.446831883196916</v>
      </c>
      <c r="E377" s="385">
        <f t="shared" si="144"/>
        <v>4.558735290873229</v>
      </c>
      <c r="F377" s="385">
        <f t="shared" si="123"/>
        <v>4.558735290873229</v>
      </c>
      <c r="G377" s="110">
        <f t="shared" si="145"/>
        <v>0.18020617999163271</v>
      </c>
      <c r="H377" s="414" t="b">
        <f>Wh_hp&gt;='2020'!Maxi_hp</f>
        <v>0</v>
      </c>
      <c r="I377" s="380">
        <f>IF(H377,Wh_hp,'2020'!Maxi_hp)</f>
        <v>24.70046719987749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2.8072094128094638E-2</v>
      </c>
      <c r="M377" s="845"/>
      <c r="N377" s="845"/>
      <c r="O377" s="48">
        <f>IF(t&lt;Tnet,'2020'!Resal+('2020'!Salim-'2020'!Resal)*(1-EXP(('2020'!Tnet-t)/('2020'!Tau_j))),Resal+(Salim-Resal)*(1-EXP((Tnet-t)/(Tau_j))))*Salcycl</f>
        <v>2.4547029063158771E-2</v>
      </c>
      <c r="P377" s="169">
        <f>(INDEX(Models!$BJ377:$BT377,,T377)*(1-R377)+INDEX(Models!$BJ377:$BT377,,T377+1)*R377-ERP_i)*Q377*Ramure*Pc/MaxiM</f>
        <v>3.4687803597458557E-4</v>
      </c>
      <c r="Q377" s="305">
        <f t="shared" si="125"/>
        <v>0.5</v>
      </c>
      <c r="R377" s="177">
        <f t="shared" si="126"/>
        <v>0.99738900063595759</v>
      </c>
      <c r="S377" s="811">
        <f t="shared" si="127"/>
        <v>-1</v>
      </c>
      <c r="T377" s="176">
        <f t="shared" si="128"/>
        <v>5</v>
      </c>
      <c r="U377" s="251">
        <f t="shared" si="129"/>
        <v>-2.6109993640424656E-3</v>
      </c>
      <c r="V377" s="383">
        <f t="shared" si="130"/>
        <v>23.975319788306521</v>
      </c>
      <c r="W377" s="402"/>
      <c r="X377" s="157">
        <f t="shared" si="131"/>
        <v>44559</v>
      </c>
      <c r="Y377" s="385">
        <f t="shared" si="132"/>
        <v>4.1407416922287172</v>
      </c>
      <c r="Z377" s="385">
        <f t="shared" si="133"/>
        <v>4.2603383102927843</v>
      </c>
      <c r="AA377" s="386">
        <f t="shared" si="134"/>
        <v>4.558735290873229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6.545608848529702E-2</v>
      </c>
      <c r="AD377" s="231">
        <f>(INDEX(Models!$BJ377:$BT377,,AH377)*(1-AF377)+INDEX(Models!$BJ377:$BT377,,AH377+1)*AF377-ERP_i)*AE377*Ramure*Pc/MaxiM</f>
        <v>3.4687803597458557E-4</v>
      </c>
      <c r="AE377" s="305">
        <f t="shared" si="136"/>
        <v>0.5</v>
      </c>
      <c r="AF377" s="177">
        <f t="shared" si="137"/>
        <v>0.99738900063595759</v>
      </c>
      <c r="AG377" s="811">
        <f t="shared" si="143"/>
        <v>-1</v>
      </c>
      <c r="AH377" s="176">
        <f t="shared" si="138"/>
        <v>5</v>
      </c>
      <c r="AI377" s="225">
        <f t="shared" si="139"/>
        <v>-2.6109993640424656E-3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7">
        <v>16.513999999999999</v>
      </c>
      <c r="C378" s="390"/>
      <c r="D378" s="393">
        <f t="shared" si="122"/>
        <v>16.991344324134339</v>
      </c>
      <c r="E378" s="385">
        <f t="shared" si="144"/>
        <v>17.420137108976189</v>
      </c>
      <c r="F378" s="385">
        <f t="shared" si="123"/>
        <v>17.423441259290424</v>
      </c>
      <c r="G378" s="110">
        <f t="shared" si="145"/>
        <v>0.68459752569744503</v>
      </c>
      <c r="H378" s="414" t="b">
        <f>Wh_hp&gt;='2020'!Maxi_hp</f>
        <v>0</v>
      </c>
      <c r="I378" s="380">
        <f>IF(H378,Wh_hp,'2020'!Maxi_hp)</f>
        <v>26.021620495154139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2.8093381843620424E-2</v>
      </c>
      <c r="M378" s="845"/>
      <c r="N378" s="845"/>
      <c r="O378" s="48">
        <f>IF(t&lt;Tnet,'2020'!Resal+('2020'!Salim-'2020'!Resal)*(1-EXP(('2020'!Tnet-t)/('2020'!Tau_j))),Resal+(Salim-Resal)*(1-EXP((Tnet-t)/(Tau_j))))*Salcycl</f>
        <v>2.4614776689725573E-2</v>
      </c>
      <c r="P378" s="169">
        <f>(INDEX(Models!$BJ378:$BT378,,T378)*(1-R378)+INDEX(Models!$BJ378:$BT378,,T378+1)*R378-ERP_i)*Q378*Ramure*Pc/MaxiM</f>
        <v>3.4506208173186448E-4</v>
      </c>
      <c r="Q378" s="305">
        <f t="shared" si="125"/>
        <v>0.5</v>
      </c>
      <c r="R378" s="177">
        <f t="shared" si="126"/>
        <v>0.99738900063595759</v>
      </c>
      <c r="S378" s="811">
        <f t="shared" si="127"/>
        <v>-1</v>
      </c>
      <c r="T378" s="176">
        <f t="shared" si="128"/>
        <v>5</v>
      </c>
      <c r="U378" s="251">
        <f t="shared" si="129"/>
        <v>-2.6109993640424656E-3</v>
      </c>
      <c r="V378" s="383">
        <f t="shared" si="130"/>
        <v>24.118452409868716</v>
      </c>
      <c r="W378" s="402"/>
      <c r="X378" s="157">
        <f t="shared" si="131"/>
        <v>44560</v>
      </c>
      <c r="Y378" s="385">
        <f t="shared" si="132"/>
        <v>15.822044846024305</v>
      </c>
      <c r="Z378" s="385">
        <f t="shared" si="133"/>
        <v>16.27938790666671</v>
      </c>
      <c r="AA378" s="386">
        <f t="shared" si="134"/>
        <v>17.420137108976189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6.5484513421061291E-2</v>
      </c>
      <c r="AD378" s="231">
        <f>(INDEX(Models!$BJ378:$BT378,,AH378)*(1-AF378)+INDEX(Models!$BJ378:$BT378,,AH378+1)*AF378-ERP_i)*AE378*Ramure*Pc/MaxiM</f>
        <v>3.4506208173186448E-4</v>
      </c>
      <c r="AE378" s="305">
        <f t="shared" si="136"/>
        <v>0.5</v>
      </c>
      <c r="AF378" s="177">
        <f t="shared" si="137"/>
        <v>0.99738900063595759</v>
      </c>
      <c r="AG378" s="811">
        <f t="shared" si="143"/>
        <v>-1</v>
      </c>
      <c r="AH378" s="176">
        <f t="shared" si="138"/>
        <v>5</v>
      </c>
      <c r="AI378" s="225">
        <f t="shared" si="139"/>
        <v>-2.6109993640424656E-3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7">
        <v>24.153000000000002</v>
      </c>
      <c r="C379" s="390"/>
      <c r="D379" s="393">
        <f t="shared" si="122"/>
        <v>24.851697244423679</v>
      </c>
      <c r="E379" s="385">
        <f t="shared" si="144"/>
        <v>25.480623555522442</v>
      </c>
      <c r="F379" s="385">
        <f t="shared" si="123"/>
        <v>25.489311551615195</v>
      </c>
      <c r="G379" s="110">
        <f t="shared" si="145"/>
        <v>0.99507564267300441</v>
      </c>
      <c r="H379" s="414" t="b">
        <f>Wh_hp&gt;='2020'!Maxi_hp</f>
        <v>1</v>
      </c>
      <c r="I379" s="380">
        <f>IF(H379,Wh_hp,'2020'!Maxi_hp)</f>
        <v>25.489311551615195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2.8114669092890732E-2</v>
      </c>
      <c r="M379" s="845"/>
      <c r="N379" s="845"/>
      <c r="O379" s="48">
        <f>IF(t&lt;Tnet,'2020'!Resal+('2020'!Salim-'2020'!Resal)*(1-EXP(('2020'!Tnet-t)/('2020'!Tau_j))),Resal+(Salim-Resal)*(1-EXP((Tnet-t)/(Tau_j))))*Salcycl</f>
        <v>2.4682532188756108E-2</v>
      </c>
      <c r="P379" s="169">
        <f>(INDEX(Models!$BJ379:$BT379,,T379)*(1-R379)+INDEX(Models!$BJ379:$BT379,,T379+1)*R379-ERP_i)*Q379*Ramure*Pc/MaxiM</f>
        <v>3.4326219892773626E-4</v>
      </c>
      <c r="Q379" s="306">
        <f t="shared" si="125"/>
        <v>0.5</v>
      </c>
      <c r="R379" s="177">
        <f t="shared" si="126"/>
        <v>0.99738900063595759</v>
      </c>
      <c r="S379" s="811">
        <f t="shared" si="127"/>
        <v>-1</v>
      </c>
      <c r="T379" s="176">
        <f t="shared" si="128"/>
        <v>5</v>
      </c>
      <c r="U379" s="307">
        <f t="shared" si="129"/>
        <v>-2.6109993640424656E-3</v>
      </c>
      <c r="V379" s="383">
        <f t="shared" si="130"/>
        <v>24.272467989997935</v>
      </c>
      <c r="W379" s="402"/>
      <c r="X379" s="157">
        <f t="shared" si="131"/>
        <v>44561</v>
      </c>
      <c r="Y379" s="385">
        <f t="shared" si="132"/>
        <v>23.141861546117319</v>
      </c>
      <c r="Z379" s="385">
        <f t="shared" si="133"/>
        <v>23.811308608308615</v>
      </c>
      <c r="AA379" s="386">
        <f t="shared" si="134"/>
        <v>25.480623555522442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6.5513112093837936E-2</v>
      </c>
      <c r="AD379" s="231">
        <f>(INDEX(Models!$BJ379:$BT379,,AH379)*(1-AF379)+INDEX(Models!$BJ379:$BT379,,AH379+1)*AF379-ERP_i)*AE379*Ramure*Pc/MaxiM</f>
        <v>3.4326219892773626E-4</v>
      </c>
      <c r="AE379" s="306">
        <f t="shared" si="136"/>
        <v>0.5</v>
      </c>
      <c r="AF379" s="177">
        <f t="shared" si="137"/>
        <v>0.99738900063595759</v>
      </c>
      <c r="AG379" s="811">
        <f t="shared" si="143"/>
        <v>-1</v>
      </c>
      <c r="AH379" s="176">
        <f t="shared" si="138"/>
        <v>5</v>
      </c>
      <c r="AI379" s="222">
        <f t="shared" si="139"/>
        <v>-2.6109993640424656E-3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17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15.05843026866239</v>
      </c>
      <c r="J380" s="85">
        <f>IF(H380,An,'2020'!An_max)</f>
        <v>2020</v>
      </c>
      <c r="K380" s="234"/>
      <c r="L380" s="214"/>
      <c r="M380" s="850"/>
      <c r="N380" s="850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1.776</v>
      </c>
      <c r="C381" s="375"/>
      <c r="D381" s="373">
        <f>MIN(D15:D380)</f>
        <v>1.8258957609502076</v>
      </c>
      <c r="E381" s="373">
        <f>MIN(E15:E380)</f>
        <v>1.867470965128329</v>
      </c>
      <c r="F381" s="374">
        <f>MIN(F15:F380)</f>
        <v>1.867470965128329</v>
      </c>
      <c r="G381" s="125">
        <f>+MIN(G15:G380)</f>
        <v>6.6619377264856422E-2</v>
      </c>
      <c r="H381" s="94"/>
      <c r="I381" s="374">
        <f>MIN(I15:I380)</f>
        <v>6.7428070187051032</v>
      </c>
      <c r="J381" s="57">
        <f>MIN(J15:J380)</f>
        <v>2018</v>
      </c>
      <c r="K381" s="200" t="s">
        <v>7</v>
      </c>
      <c r="L381" s="146">
        <f t="shared" ref="L381:T381" si="146">MIN(L15:L380)</f>
        <v>2.0335225141618674E-2</v>
      </c>
      <c r="M381" s="847"/>
      <c r="N381" s="847"/>
      <c r="O381" s="47">
        <f t="shared" si="146"/>
        <v>5.0350886553575799E-3</v>
      </c>
      <c r="P381" s="168">
        <f t="shared" si="146"/>
        <v>7.0072331474034671E-7</v>
      </c>
      <c r="Q381" s="310">
        <f t="shared" si="146"/>
        <v>0.5</v>
      </c>
      <c r="R381" s="311">
        <f t="shared" si="146"/>
        <v>0.49739027367212862</v>
      </c>
      <c r="S381" s="811">
        <f t="shared" si="146"/>
        <v>-1</v>
      </c>
      <c r="T381" s="176">
        <f t="shared" si="146"/>
        <v>5</v>
      </c>
      <c r="U381" s="252">
        <f>+MIN(U15:U380)</f>
        <v>-0.50260972632787138</v>
      </c>
      <c r="V381" s="57">
        <f>MIN(V15:V380)</f>
        <v>23.311436553695401</v>
      </c>
      <c r="W381" s="58"/>
      <c r="X381" s="112" t="s">
        <v>7</v>
      </c>
      <c r="Y381" s="373">
        <f>MIN(Y15:Y380)</f>
        <v>1.6986914608124524</v>
      </c>
      <c r="Z381" s="373">
        <f>MIN(Z15:Z380)</f>
        <v>1.7464152801012232</v>
      </c>
      <c r="AA381" s="373">
        <f>MIN(AA15:AA380)</f>
        <v>1.867470965128329</v>
      </c>
      <c r="AB381" s="200" t="s">
        <v>7</v>
      </c>
      <c r="AC381" s="47">
        <f t="shared" ref="AC381:AH381" si="147">MIN(AC15:AC380)</f>
        <v>5.0301113607721076E-2</v>
      </c>
      <c r="AD381" s="168">
        <f t="shared" si="147"/>
        <v>7.0072331474034671E-7</v>
      </c>
      <c r="AE381" s="310">
        <f t="shared" si="147"/>
        <v>0.5</v>
      </c>
      <c r="AF381" s="311">
        <f t="shared" si="147"/>
        <v>0.49739027367212862</v>
      </c>
      <c r="AG381" s="811">
        <f t="shared" si="147"/>
        <v>-1</v>
      </c>
      <c r="AH381" s="176">
        <f t="shared" si="147"/>
        <v>5</v>
      </c>
      <c r="AI381" s="226">
        <f>MIN(AI15:AI380)</f>
        <v>-0.50260972632787138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30.466013698630135</v>
      </c>
      <c r="C382" s="375"/>
      <c r="D382" s="375">
        <f>AVERAGE(D15:D380)</f>
        <v>31.219077457458997</v>
      </c>
      <c r="E382" s="375">
        <f>AVERAGE(E15:E380)</f>
        <v>32.005447347573352</v>
      </c>
      <c r="F382" s="376">
        <f>AVERAGE(F15:F380)</f>
        <v>32.007336324133128</v>
      </c>
      <c r="G382" s="126">
        <f>AVERAGE(G15:G380)</f>
        <v>0.65731045259955945</v>
      </c>
      <c r="H382" s="94"/>
      <c r="I382" s="376">
        <f>AVERAGE(I15:I380)</f>
        <v>42.809730375478551</v>
      </c>
      <c r="J382" s="59">
        <f>AVERAGE(J15:J380)</f>
        <v>2019.655737704918</v>
      </c>
      <c r="K382" s="200" t="s">
        <v>8</v>
      </c>
      <c r="L382" s="147">
        <f t="shared" ref="L382:V382" si="148">AVERAGE(L15:L380)</f>
        <v>2.4230101459326633E-2</v>
      </c>
      <c r="M382" s="845"/>
      <c r="N382" s="845"/>
      <c r="O382" s="48">
        <f t="shared" si="148"/>
        <v>2.7040149002456628E-2</v>
      </c>
      <c r="P382" s="169">
        <f t="shared" si="148"/>
        <v>1.2015647321330637E-4</v>
      </c>
      <c r="Q382" s="312">
        <f t="shared" si="148"/>
        <v>0.5</v>
      </c>
      <c r="R382" s="177">
        <f t="shared" si="148"/>
        <v>0.77727387067127207</v>
      </c>
      <c r="S382" s="811">
        <f t="shared" si="148"/>
        <v>-1</v>
      </c>
      <c r="T382" s="176">
        <f t="shared" si="148"/>
        <v>5</v>
      </c>
      <c r="U382" s="251">
        <f t="shared" si="148"/>
        <v>-0.22272612932872787</v>
      </c>
      <c r="V382" s="59">
        <f t="shared" si="148"/>
        <v>44.747738617108062</v>
      </c>
      <c r="X382" s="112" t="s">
        <v>8</v>
      </c>
      <c r="Y382" s="375">
        <f>AVERAGE(Y15:Y380)</f>
        <v>29.350066180228204</v>
      </c>
      <c r="Z382" s="375">
        <f>AVERAGE(Z15:Z380)</f>
        <v>30.074705730036317</v>
      </c>
      <c r="AA382" s="375">
        <f>AVERAGE(AA15:AA380)</f>
        <v>32.005447347573352</v>
      </c>
      <c r="AB382" s="200" t="s">
        <v>8</v>
      </c>
      <c r="AC382" s="48">
        <f t="shared" ref="AC382:AH382" si="149">AVERAGE(AC15:AC380)</f>
        <v>6.0133282391639245E-2</v>
      </c>
      <c r="AD382" s="169">
        <f t="shared" si="149"/>
        <v>1.2015647321330637E-4</v>
      </c>
      <c r="AE382" s="312">
        <f t="shared" si="149"/>
        <v>0.5</v>
      </c>
      <c r="AF382" s="177">
        <f t="shared" si="149"/>
        <v>0.77727387067127207</v>
      </c>
      <c r="AG382" s="811">
        <f t="shared" si="149"/>
        <v>-1</v>
      </c>
      <c r="AH382" s="176">
        <f t="shared" si="149"/>
        <v>5</v>
      </c>
      <c r="AI382" s="225">
        <f>AVERAGE(AI15:AI380)</f>
        <v>-0.22272612932872787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60.862000000000002</v>
      </c>
      <c r="C383" s="377"/>
      <c r="D383" s="377">
        <f>MAX(D15:D380)</f>
        <v>62.314760794323526</v>
      </c>
      <c r="E383" s="377">
        <f>MAX(E15:E380)</f>
        <v>62.795753446245477</v>
      </c>
      <c r="F383" s="378">
        <f>MAX(F15:F380)</f>
        <v>62.803447200223168</v>
      </c>
      <c r="G383" s="127">
        <f>+MAX(G15:G380)</f>
        <v>1.0465748032640063</v>
      </c>
      <c r="H383" s="94"/>
      <c r="I383" s="378">
        <f>MAX(I15:I380)</f>
        <v>66.115436428019962</v>
      </c>
      <c r="J383" s="60">
        <f>MAX(J15:J380)</f>
        <v>2021</v>
      </c>
      <c r="K383" s="200" t="s">
        <v>9</v>
      </c>
      <c r="L383" s="148">
        <f t="shared" ref="L383:T383" si="150">MAX(L15:L380)</f>
        <v>2.8114669092890732E-2</v>
      </c>
      <c r="M383" s="848"/>
      <c r="N383" s="848"/>
      <c r="O383" s="49">
        <f t="shared" si="150"/>
        <v>5.6779710776284194E-2</v>
      </c>
      <c r="P383" s="170">
        <f t="shared" si="150"/>
        <v>3.609115661654619E-4</v>
      </c>
      <c r="Q383" s="313">
        <f t="shared" si="150"/>
        <v>0.5</v>
      </c>
      <c r="R383" s="314">
        <f t="shared" si="150"/>
        <v>0.99738900063595759</v>
      </c>
      <c r="S383" s="812">
        <f t="shared" si="150"/>
        <v>-1</v>
      </c>
      <c r="T383" s="233">
        <f t="shared" si="150"/>
        <v>5</v>
      </c>
      <c r="U383" s="253">
        <f>+MAX(U15:U380)</f>
        <v>-2.6109993640424656E-3</v>
      </c>
      <c r="V383" s="60">
        <f>MAX(V15:V380)</f>
        <v>61.723745740677536</v>
      </c>
      <c r="X383" s="112" t="s">
        <v>9</v>
      </c>
      <c r="Y383" s="377">
        <f>MAX(Y15:Y380)</f>
        <v>57.715862652317156</v>
      </c>
      <c r="Z383" s="377">
        <f>MAX(Z15:Z380)</f>
        <v>59.093525931076442</v>
      </c>
      <c r="AA383" s="377">
        <f>MAX(AA15:AA380)</f>
        <v>62.795753446245477</v>
      </c>
      <c r="AB383" s="200" t="s">
        <v>9</v>
      </c>
      <c r="AC383" s="49">
        <f t="shared" ref="AC383:AH383" si="151">MAX(AC15:AC380)</f>
        <v>6.5513112093837936E-2</v>
      </c>
      <c r="AD383" s="170">
        <f t="shared" si="151"/>
        <v>3.609115661654619E-4</v>
      </c>
      <c r="AE383" s="313">
        <f t="shared" si="151"/>
        <v>0.5</v>
      </c>
      <c r="AF383" s="314">
        <f t="shared" si="151"/>
        <v>0.99738900063595759</v>
      </c>
      <c r="AG383" s="812">
        <f t="shared" si="151"/>
        <v>-1</v>
      </c>
      <c r="AH383" s="233">
        <f t="shared" si="151"/>
        <v>5</v>
      </c>
      <c r="AI383" s="227">
        <f>MAX(AI15:AI380)</f>
        <v>-2.6109993640424656E-3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'2021'!An+1</f>
        <v>2022</v>
      </c>
      <c r="K1" s="1271"/>
      <c r="L1" s="113" t="str">
        <f>"Calcul pertes et enveloppes en "&amp;TEXT(An,0)</f>
        <v>Calcul pertes et enveloppes en 2022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2022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21.866050053105639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389.67498800358482</v>
      </c>
      <c r="AK4" s="834">
        <f>AM12-AK12</f>
        <v>-3.7400982235009206E-2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411.53238463052907</v>
      </c>
      <c r="AA5" s="237">
        <f>Wh_Pvg_s-Wh_Pvg</f>
        <v>-3.7400982235009206E-2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529.72100000000012</v>
      </c>
      <c r="AK5" s="516">
        <f>SUMIF(AK15:AK380,"VRAI",Wh)</f>
        <v>0</v>
      </c>
      <c r="AL5" s="516">
        <f>SUMIF(AJ15:AJ380,"VRAI",Wh_s)</f>
        <v>507.85491638913118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10537.802499999994</v>
      </c>
      <c r="AK6" s="516">
        <f>SUMIF(AK15:AK380,"FAUX",Wh)</f>
        <v>11067.523499999998</v>
      </c>
      <c r="AL6" s="516">
        <f>SUMIF(AJ15:AJ380,"FAUX",Wh_s)</f>
        <v>10148.085859421944</v>
      </c>
      <c r="AM6" s="516">
        <f>SUMIF(AK15:AK380,"FAUX",Wh_s)</f>
        <v>10655.940775811077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545.23827678245448</v>
      </c>
      <c r="AK7" s="516">
        <f>SUMIF(AK15:AK380,"VRAI",Wh_sa)</f>
        <v>0</v>
      </c>
      <c r="AL7" s="516">
        <f>SUMIF(AJ15:AJ380,"VRAI",Wh_pvt_s)</f>
        <v>522.73169566062768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AND(YEAR(Tnet)=An,Resal_2022&lt;&gt;"I")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10886.75755069303</v>
      </c>
      <c r="AK8" s="516">
        <f>SUMIF(AK15:AK380,"FAUX",Wh_sa)</f>
        <v>11900.344186982406</v>
      </c>
      <c r="AL8" s="516">
        <f>SUMIF(AJ15:AJ380,"FAUX",Wh_pvt_s)</f>
        <v>10484.175383717098</v>
      </c>
      <c r="AM8" s="516">
        <f>SUMIF(AK15:AK380,"FAUX",Wh_sa_s)</f>
        <v>11900.344186982406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11431.995827475486</v>
      </c>
      <c r="E9" s="184">
        <f>SUM(E$15:E$380)</f>
        <v>11900.344186982406</v>
      </c>
      <c r="F9" s="184">
        <f>SUM(F$15:F$380)</f>
        <v>11901.425584561483</v>
      </c>
      <c r="H9" s="1272">
        <f>+SUM(Wh)</f>
        <v>11067.523499999998</v>
      </c>
      <c r="I9" s="1273"/>
      <c r="J9" s="1274"/>
      <c r="K9" s="191"/>
      <c r="L9" s="232"/>
      <c r="M9" s="232"/>
      <c r="N9" s="232"/>
      <c r="O9" s="223">
        <f>Tnet_2022</f>
        <v>44593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10655.940775811077</v>
      </c>
      <c r="Y9" s="1267"/>
      <c r="Z9" s="516">
        <f>SUM(Z$15:Z$380)</f>
        <v>11006.907079377725</v>
      </c>
      <c r="AA9" s="516">
        <f>SUM(AA$15:AA$380)</f>
        <v>11900.344186982406</v>
      </c>
      <c r="AB9" s="516">
        <f>F9</f>
        <v>11901.425584561483</v>
      </c>
      <c r="AC9" s="325">
        <f>IF(An_Tnet,Tnet,'2021'!Tnet_s)</f>
        <v>44593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559.66468677422301</v>
      </c>
      <c r="AK9" s="516">
        <f>SUMIF(AK15:AK380,"VRAI",Wh_hp)</f>
        <v>0</v>
      </c>
      <c r="AL9" s="516">
        <f>SUMIF(AJ15:AJ380,"VRAI",Wh_sa_s)</f>
        <v>559.66468677422301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2.6837011099374114E-2</v>
      </c>
      <c r="P10" s="421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IF(OR(Inflex,GainD),'2021'!Resal_s+('2021'!Salim-'2021'!Resal_s)*(1-EXP(('2021'!Tnet_s-Tnet)/('2021'!Tau_j))),IF(Acti_net,'2021'!Resal+('2021'!Salim-'2021'!Resal)*(1-EXP(('2021'!Tnet-Tnet)/'2021'!Tau_j)),'2021'!Resal_s))</f>
        <v>6.646727012724056E-2</v>
      </c>
      <c r="AD10" s="428"/>
      <c r="AE10" s="428"/>
      <c r="AF10" s="260"/>
      <c r="AG10" s="261"/>
      <c r="AH10" s="262"/>
      <c r="AI10" s="473"/>
      <c r="AJ10" s="516">
        <f>SUMIF(AJ15:AJ380,"FAUX",Wh_sa)</f>
        <v>11340.679500208185</v>
      </c>
      <c r="AK10" s="516">
        <f>SUMIF(AK15:AK380,"FAUX",Wh_hp)</f>
        <v>11901.425584561483</v>
      </c>
      <c r="AL10" s="516">
        <f>SUMIF(AJ15:AJ380,"FAUX",Wh_sa_s)</f>
        <v>11340.679500208185</v>
      </c>
      <c r="AM10" s="516">
        <f>SUMIF(AK15:AK380,"FAUX",Wh_hp)</f>
        <v>11901.425584561483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364.47232747548878</v>
      </c>
      <c r="E11" s="51">
        <f>(E$9-D$9)*Prod_an/D$9</f>
        <v>453.41658213095519</v>
      </c>
      <c r="F11" s="186">
        <f>(F$9-E$9)*Prod_an/E$9</f>
        <v>1.0057182322818914</v>
      </c>
      <c r="G11" s="185" t="s">
        <v>6</v>
      </c>
      <c r="K11" s="194"/>
      <c r="L11" s="211">
        <f>Tvie_2022</f>
        <v>43259</v>
      </c>
      <c r="M11" s="844"/>
      <c r="N11" s="844"/>
      <c r="O11" s="202">
        <f>IF(An_Tnet,Salim_2022,'2021'!Salim)</f>
        <v>0.12</v>
      </c>
      <c r="P11" s="256">
        <f>Ttai_2022</f>
        <v>43101</v>
      </c>
      <c r="Q11" s="272">
        <f>Dens_2022</f>
        <v>0.5</v>
      </c>
      <c r="R11" s="277"/>
      <c r="S11" s="230"/>
      <c r="T11" s="230"/>
      <c r="U11" s="266">
        <f>Htf_2022</f>
        <v>0.49738900063595753</v>
      </c>
      <c r="V11" s="19"/>
      <c r="W11" s="836"/>
      <c r="X11" s="235" t="s">
        <v>43</v>
      </c>
      <c r="Y11" s="50">
        <f>Z$9-Prod_an_s</f>
        <v>350.96630356664718</v>
      </c>
      <c r="Z11" s="51">
        <f>(AA$9-Z$9)*Prod_an_s/Z$9</f>
        <v>864.94896676148426</v>
      </c>
      <c r="AA11" s="186">
        <f>(AB$9-AA$9)*Prod_an_s/AA$9</f>
        <v>0.96831725004688218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14.015839776228157</v>
      </c>
      <c r="AK11" s="834">
        <f>IF($AK7=0,0,($AK9-$AK7)*$AK5/$AK7)</f>
        <v>0</v>
      </c>
      <c r="AL11" s="833">
        <f>IF($AL7=0,0,($AL9-$AL7)*$AL5/$AL7)</f>
        <v>35.881889829333794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4.4165880340934383E-2</v>
      </c>
      <c r="K12" s="191"/>
      <c r="L12" s="212">
        <f>Pspv_2022</f>
        <v>0</v>
      </c>
      <c r="M12" s="212"/>
      <c r="N12" s="212"/>
      <c r="O12" s="205">
        <f>IF(An_Tnet,Tau_2022*365,'2021'!Tau_j)</f>
        <v>1095</v>
      </c>
      <c r="P12" s="281">
        <f>INDEX(Croivg,MIN(MAX(Ttai-$A$15,0)+1,366))</f>
        <v>2.3909964587625958E-6</v>
      </c>
      <c r="Q12" s="280">
        <f>'2021'!Df</f>
        <v>0.5</v>
      </c>
      <c r="R12" s="278"/>
      <c r="S12" s="279"/>
      <c r="T12" s="279"/>
      <c r="U12" s="267">
        <f>'2021'!Hdf</f>
        <v>-2.6109993640424656E-3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'2021'!Df_s</f>
        <v>0.5</v>
      </c>
      <c r="AF12" s="203"/>
      <c r="AG12" s="203"/>
      <c r="AH12" s="203"/>
      <c r="AI12" s="297">
        <f>'2021'!Hdf_s</f>
        <v>-2.6109993640424656E-3</v>
      </c>
      <c r="AJ12" s="833">
        <f>IF($AJ8=0,0,($AJ10-$AJ8)*$AJ6/$AJ8)</f>
        <v>439.37231376124288</v>
      </c>
      <c r="AK12" s="834">
        <f>IF($AK8=0,0,($AK10-$AK8)*$AK6/$AK8)</f>
        <v>1.0057182322818914</v>
      </c>
      <c r="AL12" s="833">
        <f>IF($AL8=0,0,($AL10-$AL8)*$AL6/$AL8)</f>
        <v>829.04730176482769</v>
      </c>
      <c r="AM12" s="834">
        <f>IF($AM8=0,0,($AM10-$AM8)*$AM6/$AM8)</f>
        <v>0.96831725004688218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453.38815353747106</v>
      </c>
      <c r="AK13" s="73">
        <f>+AK11+AK12</f>
        <v>1.0057182322818914</v>
      </c>
      <c r="AL13" s="73">
        <f>+AL11+AL12</f>
        <v>864.92919159416147</v>
      </c>
      <c r="AM13" s="73">
        <f>+AM11+AM12</f>
        <v>0.96831725004688218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2022</v>
      </c>
      <c r="W14" s="838" t="s">
        <v>116</v>
      </c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1139">
        <v>23.241</v>
      </c>
      <c r="C15" s="841"/>
      <c r="D15" s="393">
        <f t="shared" ref="D15:D78" si="0">Wh/(1-Ppv)</f>
        <v>23.913838710790564</v>
      </c>
      <c r="E15" s="400">
        <f t="shared" ref="E15:E79" si="1">Wh_pvt/(1-Psa)</f>
        <v>24.520733941680902</v>
      </c>
      <c r="F15" s="400">
        <f t="shared" ref="F15:F78" si="2">Wh_sa/(1-Pvg*MEDIAN((-Sdif+Wh/Env_an)/Csdif,0,1))</f>
        <v>24.528525019852513</v>
      </c>
      <c r="G15" s="123">
        <f>+Wh_hp/MaxiM</f>
        <v>0.95106616919484566</v>
      </c>
      <c r="H15" s="414" t="b">
        <f>Wh_hp&gt;='2021'!Maxi_hp</f>
        <v>1</v>
      </c>
      <c r="I15" s="379">
        <f>IF(H15,Wh_hp,'2021'!Maxi_hp)</f>
        <v>24.528525019852513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2.8135955875915553E-2</v>
      </c>
      <c r="M15" s="845"/>
      <c r="N15" s="845"/>
      <c r="O15" s="48">
        <f>IF(t&lt;Tnet,'2021'!Resal+('2021'!Salim-'2021'!Resal)*(1-EXP(('2021'!Tnet-t)/('2021'!Tau_j))),Resal+(Salim-Resal)*(1-EXP((Tnet-t)/(Tau_j))))*Salcycl</f>
        <v>2.4750288157514119E-2</v>
      </c>
      <c r="P15" s="338">
        <f>(INDEX(Models!$BJ15:$BT15,,T15)*(1-R15)+INDEX(Models!$BJ15:$BT15,,T15+1)*R15-ERP_i)*Q15*Ramure*Pc/MaxiM</f>
        <v>3.4149464402851234E-4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0.99739019613418689</v>
      </c>
      <c r="S15" s="810">
        <f t="shared" ref="S15:S78" si="6">INDEX(Echel_vg,T15)</f>
        <v>-1</v>
      </c>
      <c r="T15" s="249">
        <f t="shared" ref="T15:T78" si="7">MIN(MATCH(Hp_vg,Echel_vg),10)</f>
        <v>5</v>
      </c>
      <c r="U15" s="250">
        <f>IF(OR(t&lt;Ttai,Notai),Hdd+PousH*Croivg,Hdtf+PousH*(Croivg-Croi_tai))</f>
        <v>-2.6098038658130844E-3</v>
      </c>
      <c r="V15" s="382">
        <f t="shared" ref="V15:V78" si="8">MaxiM*(1-Ppv)*(1-Pvg)*(1-Psa)</f>
        <v>24.436202250475688</v>
      </c>
      <c r="W15" s="402">
        <f t="shared" ref="W15:W78" si="9">Wh*(A15&gt;Tmaj)</f>
        <v>0</v>
      </c>
      <c r="X15" s="156">
        <f t="shared" ref="X15:X78" si="10">t</f>
        <v>44562</v>
      </c>
      <c r="Y15" s="385">
        <f t="shared" ref="Y15:Y78" si="11">Wh_pvt_s*(1-Ppv)</f>
        <v>22.268903328550785</v>
      </c>
      <c r="Z15" s="385">
        <f>Wh_sa_s*(1-Psa_s)</f>
        <v>22.913599348786654</v>
      </c>
      <c r="AA15" s="386">
        <f t="shared" ref="AA15:AA78" si="12">Wh_hp*(1-Pvg_s*MEDIAN((-Sdif+Wh/Env_an)/Csdif,0,1))</f>
        <v>24.520733941680902</v>
      </c>
      <c r="AB15" s="197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6.5541863335599582E-2</v>
      </c>
      <c r="AD15" s="231">
        <f>(INDEX(Models!$BJ15:$BT15,,AH15)*(1-AF15)+INDEX(Models!$BJ15:$BT15,,AH15+1)*AF15-ERP_i)*AE15*Ramure*Pc/MaxiM</f>
        <v>3.4149464402851234E-4</v>
      </c>
      <c r="AE15" s="303">
        <f t="shared" ref="AE15:AE78" si="14">IF(OR(t&lt;Ttai,Notai),Dd_s+PousD*Croivg,Dens_s+PousD*(Croivg-Croi_tai))</f>
        <v>0.5</v>
      </c>
      <c r="AF15" s="304">
        <f>(Hp_vg_s-AG15)/(INDEX(Echel_vg,AH15+1)-AG15)</f>
        <v>0.99739019613418689</v>
      </c>
      <c r="AG15" s="810">
        <f>INDEX(Echel_vg,AH15)</f>
        <v>-1</v>
      </c>
      <c r="AH15" s="249">
        <f t="shared" ref="AH15:AH78" si="15">MIN(MATCH(Hp_vg_s,Echel_vg),10)</f>
        <v>5</v>
      </c>
      <c r="AI15" s="224">
        <f>IF(OR(t&lt;Ttai,Notai),Hdd_s+PousH*Croivg,Hdtai_s+PousH*(Croivg-Croi_tai))</f>
        <v>-2.6098038658130844E-3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8">A15+1</f>
        <v>44563</v>
      </c>
      <c r="B16" s="1140">
        <v>16.711000000000002</v>
      </c>
      <c r="C16" s="841"/>
      <c r="D16" s="393">
        <f t="shared" si="0"/>
        <v>17.195168524694196</v>
      </c>
      <c r="E16" s="385">
        <f t="shared" si="1"/>
        <v>17.632779514743483</v>
      </c>
      <c r="F16" s="385">
        <f t="shared" si="2"/>
        <v>17.636021304603418</v>
      </c>
      <c r="G16" s="110">
        <f t="shared" ref="G16:G79" si="19">+Wh_hp/MaxiM</f>
        <v>0.67896861632916805</v>
      </c>
      <c r="H16" s="414" t="b">
        <f>Wh_hp&gt;='2021'!Maxi_hp</f>
        <v>0</v>
      </c>
      <c r="I16" s="380">
        <f>IF(H16,Wh_hp,'2021'!Maxi_hp)</f>
        <v>24.297474136240545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2.8157242192705101E-2</v>
      </c>
      <c r="M16" s="845"/>
      <c r="N16" s="845"/>
      <c r="O16" s="48">
        <f>IF(t&lt;Tnet,'2021'!Resal+('2021'!Salim-'2021'!Resal)*(1-EXP(('2021'!Tnet-t)/('2021'!Tau_j))),Resal+(Salim-Resal)*(1-EXP((Tnet-t)/(Tau_j))))*Salcycl</f>
        <v>2.4818037886958206E-2</v>
      </c>
      <c r="P16" s="339">
        <f>(INDEX(Models!$BJ16:$BT16,,T16)*(1-R16)+INDEX(Models!$BJ16:$BT16,,T16+1)*R16-ERP_i)*Q16*Ramure*Pc/MaxiM</f>
        <v>3.3943602120598438E-4</v>
      </c>
      <c r="Q16" s="305">
        <f t="shared" si="4"/>
        <v>0.5</v>
      </c>
      <c r="R16" s="177">
        <f t="shared" si="5"/>
        <v>0.99741941074818119</v>
      </c>
      <c r="S16" s="811">
        <f t="shared" si="6"/>
        <v>-1</v>
      </c>
      <c r="T16" s="176">
        <f t="shared" si="7"/>
        <v>5</v>
      </c>
      <c r="U16" s="251">
        <f t="shared" ref="U16:U78" si="20">IF(OR(t&lt;Ttai,Notai),Hdd+PousH*Croivg,Hdtf+PousH*(Croivg-Croi_tai))</f>
        <v>-2.5805892518188456E-3</v>
      </c>
      <c r="V16" s="383">
        <f t="shared" si="8"/>
        <v>24.608499657389565</v>
      </c>
      <c r="W16" s="402">
        <f t="shared" si="9"/>
        <v>0</v>
      </c>
      <c r="X16" s="157">
        <f t="shared" si="10"/>
        <v>44563</v>
      </c>
      <c r="Y16" s="385">
        <f t="shared" si="11"/>
        <v>16.012649778875012</v>
      </c>
      <c r="Z16" s="385">
        <f t="shared" ref="Z16:Z78" si="21">Wh_sa_s*(1-Psa_s)</f>
        <v>16.476584972453058</v>
      </c>
      <c r="AA16" s="386">
        <f t="shared" si="12"/>
        <v>17.632779514743483</v>
      </c>
      <c r="AB16" s="197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6.5570748010753688E-2</v>
      </c>
      <c r="AD16" s="231">
        <f>(INDEX(Models!$BJ16:$BT16,,AH16)*(1-AF16)+INDEX(Models!$BJ16:$BT16,,AH16+1)*AF16-ERP_i)*AE16*Ramure*Pc/MaxiM</f>
        <v>3.3943602120598438E-4</v>
      </c>
      <c r="AE16" s="305">
        <f>IF(OR(t&lt;Ttai,Notai),Dd_s+PousD*Croivg,Dens_s+PousD*(Croivg-Croi_tai))</f>
        <v>0.5</v>
      </c>
      <c r="AF16" s="177">
        <f t="shared" ref="AF16:AF78" si="22">(Hp_vg_s-AG16)/(INDEX(Echel_vg,AH16+1)-AG16)</f>
        <v>0.99741941074818119</v>
      </c>
      <c r="AG16" s="811">
        <f t="shared" ref="AG16:AG79" si="23">INDEX(Echel_vg,AH16)</f>
        <v>-1</v>
      </c>
      <c r="AH16" s="176">
        <f t="shared" si="15"/>
        <v>5</v>
      </c>
      <c r="AI16" s="225">
        <f t="shared" ref="AI16:AI78" si="24">IF(OR(t&lt;Ttai,Notai),Hdd_s+PousH*Croivg,Hdtai_s+PousH*(Croivg-Croi_tai))</f>
        <v>-2.5805892518188456E-3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x14ac:dyDescent="0.2">
      <c r="A17" s="56">
        <f t="shared" si="18"/>
        <v>44564</v>
      </c>
      <c r="B17" s="1140">
        <v>17.983000000000001</v>
      </c>
      <c r="C17" s="841"/>
      <c r="D17" s="393">
        <f t="shared" si="0"/>
        <v>18.504427530081042</v>
      </c>
      <c r="E17" s="385">
        <f t="shared" si="1"/>
        <v>18.976676847321546</v>
      </c>
      <c r="F17" s="385">
        <f t="shared" si="2"/>
        <v>18.980565853825546</v>
      </c>
      <c r="G17" s="110">
        <f t="shared" si="19"/>
        <v>0.72537030779553135</v>
      </c>
      <c r="H17" s="414" t="b">
        <f>Wh_hp&gt;='2021'!Maxi_hp</f>
        <v>0</v>
      </c>
      <c r="I17" s="380">
        <f>IF(H17,Wh_hp,'2021'!Maxi_hp)</f>
        <v>27.383515682442006</v>
      </c>
      <c r="J17" s="85">
        <f>IF(H17,An,'2021'!An_max)</f>
        <v>2019</v>
      </c>
      <c r="K17" s="197">
        <f t="shared" si="3"/>
        <v>44564</v>
      </c>
      <c r="L17" s="147">
        <f>IF(t&lt;Tvie,1-EXP((T0-t)*PertePVj)+'2021'!Pspv,1-EXP((T0-t)*PertePVj)+Pspv)</f>
        <v>2.8178528043269813E-2</v>
      </c>
      <c r="M17" s="845"/>
      <c r="N17" s="845"/>
      <c r="O17" s="48">
        <f>IF(t&lt;Tnet,'2021'!Resal+('2021'!Salim-'2021'!Resal)*(1-EXP(('2021'!Tnet-t)/('2021'!Tau_j))),Resal+(Salim-Resal)*(1-EXP((Tnet-t)/(Tau_j))))*Salcycl</f>
        <v>2.4885775367311364E-2</v>
      </c>
      <c r="P17" s="339">
        <f>(INDEX(Models!$BJ17:$BT17,,T17)*(1-R17)+INDEX(Models!$BJ17:$BT17,,T17+1)*R17-ERP_i)*Q17*Ramure*Pc/MaxiM</f>
        <v>3.3710286857945102E-4</v>
      </c>
      <c r="Q17" s="305">
        <f t="shared" si="4"/>
        <v>0.5</v>
      </c>
      <c r="R17" s="177">
        <f t="shared" si="5"/>
        <v>0.9974498473436707</v>
      </c>
      <c r="S17" s="811">
        <f t="shared" si="6"/>
        <v>-1</v>
      </c>
      <c r="T17" s="176">
        <f t="shared" si="7"/>
        <v>5</v>
      </c>
      <c r="U17" s="251">
        <f t="shared" si="20"/>
        <v>-2.5501526563292626E-3</v>
      </c>
      <c r="V17" s="383">
        <f t="shared" si="8"/>
        <v>24.788196883380866</v>
      </c>
      <c r="W17" s="402">
        <f t="shared" si="9"/>
        <v>0</v>
      </c>
      <c r="X17" s="157">
        <f t="shared" si="10"/>
        <v>44564</v>
      </c>
      <c r="Y17" s="385">
        <f t="shared" si="11"/>
        <v>17.232155258469131</v>
      </c>
      <c r="Z17" s="385">
        <f t="shared" si="21"/>
        <v>17.731811609155702</v>
      </c>
      <c r="AA17" s="386">
        <f t="shared" si="12"/>
        <v>18.976676847321546</v>
      </c>
      <c r="AB17" s="197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6.5599749006715655E-2</v>
      </c>
      <c r="AD17" s="231">
        <f>(INDEX(Models!$BJ17:$BT17,,AH17)*(1-AF17)+INDEX(Models!$BJ17:$BT17,,AH17+1)*AF17-ERP_i)*AE17*Ramure*Pc/MaxiM</f>
        <v>3.3710286857945102E-4</v>
      </c>
      <c r="AE17" s="305">
        <f t="shared" si="14"/>
        <v>0.5</v>
      </c>
      <c r="AF17" s="177">
        <f>(Hp_vg_s-AG17)/(INDEX(Echel_vg,AH17+1)-AG17)</f>
        <v>0.9974498473436707</v>
      </c>
      <c r="AG17" s="811">
        <f>INDEX(Echel_vg,AH17)</f>
        <v>-1</v>
      </c>
      <c r="AH17" s="176">
        <f t="shared" si="15"/>
        <v>5</v>
      </c>
      <c r="AI17" s="225">
        <f t="shared" si="24"/>
        <v>-2.5501526563292626E-3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x14ac:dyDescent="0.2">
      <c r="A18" s="56">
        <f t="shared" si="18"/>
        <v>44565</v>
      </c>
      <c r="B18" s="1140">
        <v>19.001000000000001</v>
      </c>
      <c r="C18" s="841"/>
      <c r="D18" s="393">
        <f t="shared" si="0"/>
        <v>19.552373278521483</v>
      </c>
      <c r="E18" s="385">
        <f t="shared" si="1"/>
        <v>20.05275972377715</v>
      </c>
      <c r="F18" s="385">
        <f t="shared" si="2"/>
        <v>20.057176730761295</v>
      </c>
      <c r="G18" s="110">
        <f t="shared" si="19"/>
        <v>0.76074029851663227</v>
      </c>
      <c r="H18" s="414" t="b">
        <f>Wh_hp&gt;='2021'!Maxi_hp</f>
        <v>0</v>
      </c>
      <c r="I18" s="380">
        <f>IF(H18,Wh_hp,'2021'!Maxi_hp)</f>
        <v>24.454097030053351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2.819981342761968E-2</v>
      </c>
      <c r="M18" s="845"/>
      <c r="N18" s="845"/>
      <c r="O18" s="48">
        <f>IF(t&lt;Tnet,'2021'!Resal+('2021'!Salim-'2021'!Resal)*(1-EXP(('2021'!Tnet-t)/('2021'!Tau_j))),Resal+(Salim-Resal)*(1-EXP((Tnet-t)/(Tau_j))))*Salcycl</f>
        <v>2.4953495286852919E-2</v>
      </c>
      <c r="P18" s="339">
        <f>(INDEX(Models!$BJ18:$BT18,,T18)*(1-R18)+INDEX(Models!$BJ18:$BT18,,T18+1)*R18-ERP_i)*Q18*Ramure*Pc/MaxiM</f>
        <v>3.3451696414654638E-4</v>
      </c>
      <c r="Q18" s="305">
        <f t="shared" si="4"/>
        <v>0.5</v>
      </c>
      <c r="R18" s="177">
        <f t="shared" si="5"/>
        <v>0.99748155687496587</v>
      </c>
      <c r="S18" s="811">
        <f t="shared" si="6"/>
        <v>-1</v>
      </c>
      <c r="T18" s="176">
        <f t="shared" si="7"/>
        <v>5</v>
      </c>
      <c r="U18" s="251">
        <f t="shared" si="20"/>
        <v>-2.5184431250341432E-3</v>
      </c>
      <c r="V18" s="383">
        <f t="shared" si="8"/>
        <v>24.974130878525884</v>
      </c>
      <c r="W18" s="402">
        <f t="shared" si="9"/>
        <v>0</v>
      </c>
      <c r="X18" s="157">
        <f t="shared" si="10"/>
        <v>44565</v>
      </c>
      <c r="Y18" s="385">
        <f t="shared" si="11"/>
        <v>18.20834812739567</v>
      </c>
      <c r="Z18" s="385">
        <f>Wh_sa_s*(1-Psa_s)</f>
        <v>18.736720139577272</v>
      </c>
      <c r="AA18" s="386">
        <f t="shared" si="12"/>
        <v>20.05275972377715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6.5628851206919414E-2</v>
      </c>
      <c r="AD18" s="231">
        <f>(INDEX(Models!$BJ18:$BT18,,AH18)*(1-AF18)+INDEX(Models!$BJ18:$BT18,,AH18+1)*AF18-ERP_i)*AE18*Ramure*Pc/MaxiM</f>
        <v>3.3451696414654638E-4</v>
      </c>
      <c r="AE18" s="305">
        <f t="shared" si="14"/>
        <v>0.5</v>
      </c>
      <c r="AF18" s="177">
        <f t="shared" si="22"/>
        <v>0.99748155687496587</v>
      </c>
      <c r="AG18" s="811">
        <f t="shared" si="23"/>
        <v>-1</v>
      </c>
      <c r="AH18" s="176">
        <f t="shared" si="15"/>
        <v>5</v>
      </c>
      <c r="AI18" s="225">
        <f t="shared" si="24"/>
        <v>-2.5184431250341432E-3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x14ac:dyDescent="0.2">
      <c r="A19" s="56">
        <f t="shared" si="18"/>
        <v>44566</v>
      </c>
      <c r="B19" s="1140">
        <v>15.128</v>
      </c>
      <c r="C19" s="841"/>
      <c r="D19" s="393">
        <f t="shared" si="0"/>
        <v>15.567327068171561</v>
      </c>
      <c r="E19" s="385">
        <f t="shared" si="1"/>
        <v>15.966836362789893</v>
      </c>
      <c r="F19" s="385">
        <f t="shared" si="2"/>
        <v>15.969115178031991</v>
      </c>
      <c r="G19" s="110">
        <f t="shared" si="19"/>
        <v>0.60103544161242772</v>
      </c>
      <c r="H19" s="414" t="b">
        <f>Wh_hp&gt;='2021'!Maxi_hp</f>
        <v>0</v>
      </c>
      <c r="I19" s="380">
        <f>IF(H19,Wh_hp,'2021'!Maxi_hp)</f>
        <v>27.046839831733369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2.8221098345765139E-2</v>
      </c>
      <c r="M19" s="845"/>
      <c r="N19" s="845"/>
      <c r="O19" s="48">
        <f>IF(t&lt;Tnet,'2021'!Resal+('2021'!Salim-'2021'!Resal)*(1-EXP(('2021'!Tnet-t)/('2021'!Tau_j))),Resal+(Salim-Resal)*(1-EXP((Tnet-t)/(Tau_j))))*Salcycl</f>
        <v>2.5021193024146723E-2</v>
      </c>
      <c r="P19" s="339">
        <f>(INDEX(Models!$BJ19:$BT19,,T19)*(1-R19)+INDEX(Models!$BJ19:$BT19,,T19+1)*R19-ERP_i)*Q19*Ramure*Pc/MaxiM</f>
        <v>3.3169946458282758E-4</v>
      </c>
      <c r="Q19" s="305">
        <f t="shared" si="4"/>
        <v>0.5</v>
      </c>
      <c r="R19" s="177">
        <f t="shared" si="5"/>
        <v>0.99751459240752749</v>
      </c>
      <c r="S19" s="811">
        <f t="shared" si="6"/>
        <v>-1</v>
      </c>
      <c r="T19" s="176">
        <f t="shared" si="7"/>
        <v>5</v>
      </c>
      <c r="U19" s="251">
        <f t="shared" si="20"/>
        <v>-2.4854075924724763E-3</v>
      </c>
      <c r="V19" s="383">
        <f t="shared" si="8"/>
        <v>25.165138995428993</v>
      </c>
      <c r="W19" s="402">
        <f t="shared" si="9"/>
        <v>0</v>
      </c>
      <c r="X19" s="157">
        <f t="shared" si="10"/>
        <v>44566</v>
      </c>
      <c r="Y19" s="385">
        <f t="shared" si="11"/>
        <v>14.497469122257842</v>
      </c>
      <c r="Z19" s="385">
        <f t="shared" si="21"/>
        <v>14.918485159102717</v>
      </c>
      <c r="AA19" s="386">
        <f t="shared" si="12"/>
        <v>15.966836362789893</v>
      </c>
      <c r="AB19" s="197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6.5658041447103369E-2</v>
      </c>
      <c r="AD19" s="231">
        <f>(INDEX(Models!$BJ19:$BT19,,AH19)*(1-AF19)+INDEX(Models!$BJ19:$BT19,,AH19+1)*AF19-ERP_i)*AE19*Ramure*Pc/MaxiM</f>
        <v>3.3169946458282758E-4</v>
      </c>
      <c r="AE19" s="305">
        <f t="shared" si="14"/>
        <v>0.5</v>
      </c>
      <c r="AF19" s="177">
        <f t="shared" si="22"/>
        <v>0.99751459240752749</v>
      </c>
      <c r="AG19" s="811">
        <f t="shared" si="23"/>
        <v>-1</v>
      </c>
      <c r="AH19" s="176">
        <f t="shared" si="15"/>
        <v>5</v>
      </c>
      <c r="AI19" s="225">
        <f t="shared" si="24"/>
        <v>-2.4854075924724763E-3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x14ac:dyDescent="0.2">
      <c r="A20" s="56">
        <f t="shared" si="18"/>
        <v>44567</v>
      </c>
      <c r="B20" s="1140">
        <v>21.815000000000001</v>
      </c>
      <c r="C20" s="841"/>
      <c r="D20" s="393">
        <f t="shared" si="0"/>
        <v>22.449013636554728</v>
      </c>
      <c r="E20" s="385">
        <f t="shared" si="1"/>
        <v>23.026728100840124</v>
      </c>
      <c r="F20" s="385">
        <f t="shared" si="2"/>
        <v>23.03278654505505</v>
      </c>
      <c r="G20" s="110">
        <f t="shared" si="19"/>
        <v>0.86015445761813725</v>
      </c>
      <c r="H20" s="414" t="b">
        <f>Wh_hp&gt;='2021'!Maxi_hp</f>
        <v>0</v>
      </c>
      <c r="I20" s="380">
        <f>IF(H20,Wh_hp,'2021'!Maxi_hp)</f>
        <v>26.739364860323523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2.824238279771607E-2</v>
      </c>
      <c r="M20" s="845"/>
      <c r="N20" s="845"/>
      <c r="O20" s="48">
        <f>IF(t&lt;Tnet,'2021'!Resal+('2021'!Salim-'2021'!Resal)*(1-EXP(('2021'!Tnet-t)/('2021'!Tau_j))),Resal+(Salim-Resal)*(1-EXP((Tnet-t)/(Tau_j))))*Salcycl</f>
        <v>2.5088864633978015E-2</v>
      </c>
      <c r="P20" s="339">
        <f>(INDEX(Models!$BJ20:$BT20,,T20)*(1-R20)+INDEX(Models!$BJ20:$BT20,,T20+1)*R20-ERP_i)*Q20*Ramure*Pc/MaxiM</f>
        <v>3.2867077639228568E-4</v>
      </c>
      <c r="Q20" s="305">
        <f t="shared" si="4"/>
        <v>0.5</v>
      </c>
      <c r="R20" s="177">
        <f t="shared" si="5"/>
        <v>0.99754900920427825</v>
      </c>
      <c r="S20" s="811">
        <f t="shared" si="6"/>
        <v>-1</v>
      </c>
      <c r="T20" s="176">
        <f t="shared" si="7"/>
        <v>5</v>
      </c>
      <c r="U20" s="251">
        <f t="shared" si="20"/>
        <v>-2.4509907957217646E-3</v>
      </c>
      <c r="V20" s="383">
        <f t="shared" si="8"/>
        <v>25.360058998732395</v>
      </c>
      <c r="W20" s="402">
        <f t="shared" si="9"/>
        <v>0</v>
      </c>
      <c r="X20" s="157">
        <f t="shared" si="10"/>
        <v>44567</v>
      </c>
      <c r="Y20" s="385">
        <f t="shared" si="11"/>
        <v>20.906553045353704</v>
      </c>
      <c r="Z20" s="385">
        <f t="shared" si="21"/>
        <v>21.514164309351365</v>
      </c>
      <c r="AA20" s="386">
        <f t="shared" si="12"/>
        <v>23.026728100840124</v>
      </c>
      <c r="AB20" s="197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6.5687308455845042E-2</v>
      </c>
      <c r="AD20" s="231">
        <f>(INDEX(Models!$BJ20:$BT20,,AH20)*(1-AF20)+INDEX(Models!$BJ20:$BT20,,AH20+1)*AF20-ERP_i)*AE20*Ramure*Pc/MaxiM</f>
        <v>3.2867077639228568E-4</v>
      </c>
      <c r="AE20" s="305">
        <f t="shared" si="14"/>
        <v>0.5</v>
      </c>
      <c r="AF20" s="177">
        <f t="shared" si="22"/>
        <v>0.99754900920427825</v>
      </c>
      <c r="AG20" s="811">
        <f t="shared" si="23"/>
        <v>-1</v>
      </c>
      <c r="AH20" s="176">
        <f t="shared" si="15"/>
        <v>5</v>
      </c>
      <c r="AI20" s="225">
        <f t="shared" si="24"/>
        <v>-2.4509907957217646E-3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x14ac:dyDescent="0.2">
      <c r="A21" s="56">
        <f t="shared" si="18"/>
        <v>44568</v>
      </c>
      <c r="B21" s="1140">
        <v>11.156000000000001</v>
      </c>
      <c r="C21" s="841"/>
      <c r="D21" s="393">
        <f t="shared" si="0"/>
        <v>11.480480474649784</v>
      </c>
      <c r="E21" s="385">
        <f t="shared" si="1"/>
        <v>11.776742169438929</v>
      </c>
      <c r="F21" s="385">
        <f t="shared" si="2"/>
        <v>11.77748961333968</v>
      </c>
      <c r="G21" s="110">
        <f t="shared" si="19"/>
        <v>0.43638764093172078</v>
      </c>
      <c r="H21" s="414" t="b">
        <f>Wh_hp&gt;='2021'!Maxi_hp</f>
        <v>0</v>
      </c>
      <c r="I21" s="380">
        <f>IF(H21,Wh_hp,'2021'!Maxi_hp)</f>
        <v>14.932480243717823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2.8263666783483021E-2</v>
      </c>
      <c r="M21" s="845"/>
      <c r="N21" s="845"/>
      <c r="O21" s="48">
        <f>IF(t&lt;Tnet,'2021'!Resal+('2021'!Salim-'2021'!Resal)*(1-EXP(('2021'!Tnet-t)/('2021'!Tau_j))),Resal+(Salim-Resal)*(1-EXP((Tnet-t)/(Tau_j))))*Salcycl</f>
        <v>2.5156506827325762E-2</v>
      </c>
      <c r="P21" s="339">
        <f>(INDEX(Models!$BJ21:$BT21,,T21)*(1-R21)+INDEX(Models!$BJ21:$BT21,,T21+1)*R21-ERP_i)*Q21*Ramure*Pc/MaxiM</f>
        <v>3.254504520045291E-4</v>
      </c>
      <c r="Q21" s="305">
        <f t="shared" si="4"/>
        <v>0.5</v>
      </c>
      <c r="R21" s="177">
        <f t="shared" si="5"/>
        <v>0.99758486481534137</v>
      </c>
      <c r="S21" s="811">
        <f t="shared" si="6"/>
        <v>-1</v>
      </c>
      <c r="T21" s="176">
        <f t="shared" si="7"/>
        <v>5</v>
      </c>
      <c r="U21" s="251">
        <f t="shared" si="20"/>
        <v>-2.4151351846585811E-3</v>
      </c>
      <c r="V21" s="383">
        <f t="shared" si="8"/>
        <v>25.557729057753239</v>
      </c>
      <c r="W21" s="402">
        <f t="shared" si="9"/>
        <v>0</v>
      </c>
      <c r="X21" s="157">
        <f t="shared" si="10"/>
        <v>44568</v>
      </c>
      <c r="Y21" s="385">
        <f t="shared" si="11"/>
        <v>10.691834336627393</v>
      </c>
      <c r="Z21" s="385">
        <f t="shared" si="21"/>
        <v>11.002814211172545</v>
      </c>
      <c r="AA21" s="386">
        <f t="shared" si="12"/>
        <v>11.776742169438929</v>
      </c>
      <c r="AB21" s="197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6.5716642780441856E-2</v>
      </c>
      <c r="AD21" s="231">
        <f>(INDEX(Models!$BJ21:$BT21,,AH21)*(1-AF21)+INDEX(Models!$BJ21:$BT21,,AH21+1)*AF21-ERP_i)*AE21*Ramure*Pc/MaxiM</f>
        <v>3.254504520045291E-4</v>
      </c>
      <c r="AE21" s="305">
        <f t="shared" si="14"/>
        <v>0.5</v>
      </c>
      <c r="AF21" s="177">
        <f t="shared" si="22"/>
        <v>0.99758486481534137</v>
      </c>
      <c r="AG21" s="811">
        <f t="shared" si="23"/>
        <v>-1</v>
      </c>
      <c r="AH21" s="176">
        <f t="shared" si="15"/>
        <v>5</v>
      </c>
      <c r="AI21" s="225">
        <f t="shared" si="24"/>
        <v>-2.4151351846585811E-3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x14ac:dyDescent="0.2">
      <c r="A22" s="56">
        <f t="shared" si="18"/>
        <v>44569</v>
      </c>
      <c r="B22" s="1140">
        <v>7.8260000000000005</v>
      </c>
      <c r="C22" s="841"/>
      <c r="D22" s="393">
        <f t="shared" si="0"/>
        <v>8.0538013715449956</v>
      </c>
      <c r="E22" s="385">
        <f t="shared" si="1"/>
        <v>8.2622082794150984</v>
      </c>
      <c r="F22" s="385">
        <f t="shared" si="2"/>
        <v>8.2622228759277281</v>
      </c>
      <c r="G22" s="110">
        <f t="shared" si="19"/>
        <v>0.30374256016128504</v>
      </c>
      <c r="H22" s="414" t="b">
        <f>Wh_hp&gt;='2021'!Maxi_hp</f>
        <v>0</v>
      </c>
      <c r="I22" s="380">
        <f>IF(H22,Wh_hp,'2021'!Maxi_hp)</f>
        <v>20.323342747491672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2.8284950303075984E-2</v>
      </c>
      <c r="M22" s="845"/>
      <c r="N22" s="845"/>
      <c r="O22" s="48">
        <f>IF(t&lt;Tnet,'2021'!Resal+('2021'!Salim-'2021'!Resal)*(1-EXP(('2021'!Tnet-t)/('2021'!Tau_j))),Resal+(Salim-Resal)*(1-EXP((Tnet-t)/(Tau_j))))*Salcycl</f>
        <v>2.5224116945749026E-2</v>
      </c>
      <c r="P22" s="339">
        <f>(INDEX(Models!$BJ22:$BT22,,T22)*(1-R22)+INDEX(Models!$BJ22:$BT22,,T22+1)*R22-ERP_i)*Q22*Ramure*Pc/MaxiM</f>
        <v>3.2205710835860133E-4</v>
      </c>
      <c r="Q22" s="305">
        <f t="shared" si="4"/>
        <v>0.5</v>
      </c>
      <c r="R22" s="177">
        <f t="shared" si="5"/>
        <v>0.99762221917133853</v>
      </c>
      <c r="S22" s="811">
        <f t="shared" si="6"/>
        <v>-1</v>
      </c>
      <c r="T22" s="176">
        <f t="shared" si="7"/>
        <v>5</v>
      </c>
      <c r="U22" s="251">
        <f t="shared" si="20"/>
        <v>-2.3777808286614284E-3</v>
      </c>
      <c r="V22" s="383">
        <f t="shared" si="8"/>
        <v>25.756987754182258</v>
      </c>
      <c r="W22" s="402">
        <f t="shared" si="9"/>
        <v>0</v>
      </c>
      <c r="X22" s="157">
        <f t="shared" si="10"/>
        <v>44569</v>
      </c>
      <c r="Y22" s="385">
        <f t="shared" si="11"/>
        <v>7.5006692757744347</v>
      </c>
      <c r="Z22" s="385">
        <f t="shared" si="21"/>
        <v>7.7190008306590272</v>
      </c>
      <c r="AA22" s="386">
        <f t="shared" si="12"/>
        <v>8.2622082794150984</v>
      </c>
      <c r="AB22" s="197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6.5746036699346685E-2</v>
      </c>
      <c r="AD22" s="231">
        <f>(INDEX(Models!$BJ22:$BT22,,AH22)*(1-AF22)+INDEX(Models!$BJ22:$BT22,,AH22+1)*AF22-ERP_i)*AE22*Ramure*Pc/MaxiM</f>
        <v>3.2205710835860133E-4</v>
      </c>
      <c r="AE22" s="305">
        <f t="shared" si="14"/>
        <v>0.5</v>
      </c>
      <c r="AF22" s="177">
        <f t="shared" si="22"/>
        <v>0.99762221917133853</v>
      </c>
      <c r="AG22" s="811">
        <f t="shared" si="23"/>
        <v>-1</v>
      </c>
      <c r="AH22" s="176">
        <f t="shared" si="15"/>
        <v>5</v>
      </c>
      <c r="AI22" s="225">
        <f t="shared" si="24"/>
        <v>-2.3777808286614284E-3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x14ac:dyDescent="0.2">
      <c r="A23" s="56">
        <f t="shared" si="18"/>
        <v>44570</v>
      </c>
      <c r="B23" s="1140">
        <v>2.31</v>
      </c>
      <c r="C23" s="841"/>
      <c r="D23" s="393">
        <f t="shared" si="0"/>
        <v>2.377292187413524</v>
      </c>
      <c r="E23" s="385">
        <f t="shared" si="1"/>
        <v>2.4389780718718015</v>
      </c>
      <c r="F23" s="385">
        <f t="shared" si="2"/>
        <v>2.4389780718718015</v>
      </c>
      <c r="G23" s="110">
        <f t="shared" si="19"/>
        <v>8.8953846335015394E-2</v>
      </c>
      <c r="H23" s="414" t="b">
        <f>Wh_hp&gt;='2021'!Maxi_hp</f>
        <v>0</v>
      </c>
      <c r="I23" s="380">
        <f>IF(H23,Wh_hp,'2021'!Maxi_hp)</f>
        <v>26.033603222307448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2.8306233356505284E-2</v>
      </c>
      <c r="M23" s="845"/>
      <c r="N23" s="845"/>
      <c r="O23" s="48">
        <f>IF(t&lt;Tnet,'2021'!Resal+('2021'!Salim-'2021'!Resal)*(1-EXP(('2021'!Tnet-t)/('2021'!Tau_j))),Resal+(Salim-Resal)*(1-EXP((Tnet-t)/(Tau_j))))*Salcycl</f>
        <v>2.5291692930611856E-2</v>
      </c>
      <c r="P23" s="339">
        <f>(INDEX(Models!$BJ23:$BT23,,T23)*(1-R23)+INDEX(Models!$BJ23:$BT23,,T23+1)*R23-ERP_i)*Q23*Ramure*Pc/MaxiM</f>
        <v>3.1846447129529697E-4</v>
      </c>
      <c r="Q23" s="305">
        <f t="shared" si="4"/>
        <v>0.5</v>
      </c>
      <c r="R23" s="177">
        <f t="shared" si="5"/>
        <v>0.99766113468037365</v>
      </c>
      <c r="S23" s="811">
        <f t="shared" si="6"/>
        <v>-1</v>
      </c>
      <c r="T23" s="176">
        <f t="shared" si="7"/>
        <v>5</v>
      </c>
      <c r="U23" s="251">
        <f t="shared" si="20"/>
        <v>-2.3388653196263118E-3</v>
      </c>
      <c r="V23" s="383">
        <f t="shared" si="8"/>
        <v>25.960252897600672</v>
      </c>
      <c r="W23" s="402">
        <f t="shared" si="9"/>
        <v>0</v>
      </c>
      <c r="X23" s="157">
        <f t="shared" si="10"/>
        <v>44570</v>
      </c>
      <c r="Y23" s="385">
        <f t="shared" si="11"/>
        <v>2.2140558524279363</v>
      </c>
      <c r="Z23" s="385">
        <f t="shared" si="21"/>
        <v>2.2785531084303563</v>
      </c>
      <c r="AA23" s="386">
        <f t="shared" si="12"/>
        <v>2.4389780718718015</v>
      </c>
      <c r="AB23" s="197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6.5775484122465463E-2</v>
      </c>
      <c r="AD23" s="231">
        <f>(INDEX(Models!$BJ23:$BT23,,AH23)*(1-AF23)+INDEX(Models!$BJ23:$BT23,,AH23+1)*AF23-ERP_i)*AE23*Ramure*Pc/MaxiM</f>
        <v>3.1846447129529697E-4</v>
      </c>
      <c r="AE23" s="305">
        <f t="shared" si="14"/>
        <v>0.5</v>
      </c>
      <c r="AF23" s="177">
        <f t="shared" si="22"/>
        <v>0.99766113468037365</v>
      </c>
      <c r="AG23" s="811">
        <f t="shared" si="23"/>
        <v>-1</v>
      </c>
      <c r="AH23" s="176">
        <f t="shared" si="15"/>
        <v>5</v>
      </c>
      <c r="AI23" s="225">
        <f t="shared" si="24"/>
        <v>-2.3388653196263118E-3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x14ac:dyDescent="0.2">
      <c r="A24" s="56">
        <f t="shared" si="18"/>
        <v>44571</v>
      </c>
      <c r="B24" s="1140">
        <v>1.7929999999999999</v>
      </c>
      <c r="C24" s="841"/>
      <c r="D24" s="393">
        <f t="shared" si="0"/>
        <v>1.8452719711843366</v>
      </c>
      <c r="E24" s="385">
        <f t="shared" si="1"/>
        <v>1.8932842070712099</v>
      </c>
      <c r="F24" s="385">
        <f t="shared" si="2"/>
        <v>1.8932842070712099</v>
      </c>
      <c r="G24" s="110">
        <f t="shared" si="19"/>
        <v>6.8490525871064106E-2</v>
      </c>
      <c r="H24" s="414" t="b">
        <f>Wh_hp&gt;='2021'!Maxi_hp</f>
        <v>0</v>
      </c>
      <c r="I24" s="380">
        <f>IF(H24,Wh_hp,'2021'!Maxi_hp)</f>
        <v>13.230713123965954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2.8327515943781134E-2</v>
      </c>
      <c r="M24" s="845"/>
      <c r="N24" s="845"/>
      <c r="O24" s="48">
        <f>IF(t&lt;Tnet,'2021'!Resal+('2021'!Salim-'2021'!Resal)*(1-EXP(('2021'!Tnet-t)/('2021'!Tau_j))),Resal+(Salim-Resal)*(1-EXP((Tnet-t)/(Tau_j))))*Salcycl</f>
        <v>2.5359233287613591E-2</v>
      </c>
      <c r="P24" s="339">
        <f>(INDEX(Models!$BJ24:$BT24,,T24)*(1-R24)+INDEX(Models!$BJ24:$BT24,,T24+1)*R24-ERP_i)*Q24*Ramure*Pc/MaxiM</f>
        <v>3.1424983501068408E-4</v>
      </c>
      <c r="Q24" s="305">
        <f t="shared" si="4"/>
        <v>0.5</v>
      </c>
      <c r="R24" s="177">
        <f t="shared" si="5"/>
        <v>0.99770167632884321</v>
      </c>
      <c r="S24" s="811">
        <f t="shared" si="6"/>
        <v>-1</v>
      </c>
      <c r="T24" s="176">
        <f t="shared" si="7"/>
        <v>5</v>
      </c>
      <c r="U24" s="251">
        <f t="shared" si="20"/>
        <v>-2.298323671156754E-3</v>
      </c>
      <c r="V24" s="383">
        <f t="shared" si="8"/>
        <v>26.170576546895731</v>
      </c>
      <c r="W24" s="402">
        <f t="shared" si="9"/>
        <v>0</v>
      </c>
      <c r="X24" s="157">
        <f t="shared" si="10"/>
        <v>44571</v>
      </c>
      <c r="Y24" s="385">
        <f t="shared" si="11"/>
        <v>1.718593893469246</v>
      </c>
      <c r="Z24" s="385">
        <f t="shared" si="21"/>
        <v>1.7686966767804571</v>
      </c>
      <c r="AA24" s="386">
        <f t="shared" si="12"/>
        <v>1.8932842070712099</v>
      </c>
      <c r="AB24" s="197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6.5804980480707584E-2</v>
      </c>
      <c r="AD24" s="231">
        <f>(INDEX(Models!$BJ24:$BT24,,AH24)*(1-AF24)+INDEX(Models!$BJ24:$BT24,,AH24+1)*AF24-ERP_i)*AE24*Ramure*Pc/MaxiM</f>
        <v>3.1424983501068408E-4</v>
      </c>
      <c r="AE24" s="305">
        <f t="shared" si="14"/>
        <v>0.5</v>
      </c>
      <c r="AF24" s="177">
        <f t="shared" si="22"/>
        <v>0.99770167632884321</v>
      </c>
      <c r="AG24" s="811">
        <f t="shared" si="23"/>
        <v>-1</v>
      </c>
      <c r="AH24" s="176">
        <f t="shared" si="15"/>
        <v>5</v>
      </c>
      <c r="AI24" s="225">
        <f t="shared" si="24"/>
        <v>-2.298323671156754E-3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x14ac:dyDescent="0.2">
      <c r="A25" s="56">
        <f t="shared" si="18"/>
        <v>44572</v>
      </c>
      <c r="B25" s="1140">
        <v>25.839000000000002</v>
      </c>
      <c r="C25" s="841"/>
      <c r="D25" s="393">
        <f t="shared" si="0"/>
        <v>26.592876073780889</v>
      </c>
      <c r="E25" s="385">
        <f t="shared" si="1"/>
        <v>27.286687501775695</v>
      </c>
      <c r="F25" s="385">
        <f t="shared" si="2"/>
        <v>27.294878882178857</v>
      </c>
      <c r="G25" s="110">
        <f t="shared" si="19"/>
        <v>0.97919583747879835</v>
      </c>
      <c r="H25" s="414" t="b">
        <f>Wh_hp&gt;='2021'!Maxi_hp</f>
        <v>0</v>
      </c>
      <c r="I25" s="380">
        <f>IF(H25,Wh_hp,'2021'!Maxi_hp)</f>
        <v>27.813177241518638</v>
      </c>
      <c r="J25" s="85">
        <f>IF(H25,An,'2021'!An_max)</f>
        <v>2020</v>
      </c>
      <c r="K25" s="197">
        <f t="shared" si="3"/>
        <v>44572</v>
      </c>
      <c r="L25" s="147">
        <f>IF(t&lt;Tvie,1-EXP((T0-t)*PertePVj)+'2021'!Pspv,1-EXP((T0-t)*PertePVj)+Pspv)</f>
        <v>2.8348798064913638E-2</v>
      </c>
      <c r="M25" s="845"/>
      <c r="N25" s="845"/>
      <c r="O25" s="48">
        <f>IF(t&lt;Tnet,'2021'!Resal+('2021'!Salim-'2021'!Resal)*(1-EXP(('2021'!Tnet-t)/('2021'!Tau_j))),Resal+(Salim-Resal)*(1-EXP((Tnet-t)/(Tau_j))))*Salcycl</f>
        <v>2.5426737047128081E-2</v>
      </c>
      <c r="P25" s="339">
        <f>(INDEX(Models!$BJ25:$BT25,,T25)*(1-R25)+INDEX(Models!$BJ25:$BT25,,T25+1)*R25-ERP_i)*Q25*Ramure*Pc/MaxiM</f>
        <v>3.0929520906511549E-4</v>
      </c>
      <c r="Q25" s="305">
        <f t="shared" si="4"/>
        <v>0.5</v>
      </c>
      <c r="R25" s="177">
        <f t="shared" si="5"/>
        <v>0.99774391178620925</v>
      </c>
      <c r="S25" s="811">
        <f t="shared" si="6"/>
        <v>-1</v>
      </c>
      <c r="T25" s="176">
        <f t="shared" si="7"/>
        <v>5</v>
      </c>
      <c r="U25" s="251">
        <f t="shared" si="20"/>
        <v>-2.2560882137907402E-3</v>
      </c>
      <c r="V25" s="383">
        <f t="shared" si="8"/>
        <v>26.387737286049511</v>
      </c>
      <c r="W25" s="402">
        <f t="shared" si="9"/>
        <v>0</v>
      </c>
      <c r="X25" s="157">
        <f t="shared" si="10"/>
        <v>44572</v>
      </c>
      <c r="Y25" s="385">
        <f t="shared" si="11"/>
        <v>24.767662614959669</v>
      </c>
      <c r="Z25" s="385">
        <f t="shared" si="21"/>
        <v>25.49028145659036</v>
      </c>
      <c r="AA25" s="386">
        <f t="shared" si="12"/>
        <v>27.286687501775695</v>
      </c>
      <c r="AB25" s="197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6.5834522606250098E-2</v>
      </c>
      <c r="AD25" s="231">
        <f>(INDEX(Models!$BJ25:$BT25,,AH25)*(1-AF25)+INDEX(Models!$BJ25:$BT25,,AH25+1)*AF25-ERP_i)*AE25*Ramure*Pc/MaxiM</f>
        <v>3.0929520906511549E-4</v>
      </c>
      <c r="AE25" s="305">
        <f t="shared" si="14"/>
        <v>0.5</v>
      </c>
      <c r="AF25" s="177">
        <f t="shared" si="22"/>
        <v>0.99774391178620925</v>
      </c>
      <c r="AG25" s="811">
        <f t="shared" si="23"/>
        <v>-1</v>
      </c>
      <c r="AH25" s="176">
        <f t="shared" si="15"/>
        <v>5</v>
      </c>
      <c r="AI25" s="225">
        <f t="shared" si="24"/>
        <v>-2.2560882137907402E-3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x14ac:dyDescent="0.2">
      <c r="A26" s="56">
        <f t="shared" si="18"/>
        <v>44573</v>
      </c>
      <c r="B26" s="1140">
        <v>22.045999999999999</v>
      </c>
      <c r="C26" s="841"/>
      <c r="D26" s="393">
        <f t="shared" si="0"/>
        <v>22.689708848863887</v>
      </c>
      <c r="E26" s="385">
        <f t="shared" si="1"/>
        <v>23.283297991144227</v>
      </c>
      <c r="F26" s="385">
        <f t="shared" si="2"/>
        <v>23.288635969140365</v>
      </c>
      <c r="G26" s="110">
        <f t="shared" si="19"/>
        <v>0.82837685540656858</v>
      </c>
      <c r="H26" s="414" t="b">
        <f>Wh_hp&gt;='2021'!Maxi_hp</f>
        <v>0</v>
      </c>
      <c r="I26" s="380">
        <f>IF(H26,Wh_hp,'2021'!Maxi_hp)</f>
        <v>27.969146072299974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2.8370079719913122E-2</v>
      </c>
      <c r="M26" s="845"/>
      <c r="N26" s="845"/>
      <c r="O26" s="48">
        <f>IF(t&lt;Tnet,'2021'!Resal+('2021'!Salim-'2021'!Resal)*(1-EXP(('2021'!Tnet-t)/('2021'!Tau_j))),Resal+(Salim-Resal)*(1-EXP((Tnet-t)/(Tau_j))))*Salcycl</f>
        <v>2.5494203720886552E-2</v>
      </c>
      <c r="P26" s="339">
        <f>(INDEX(Models!$BJ26:$BT26,,T26)*(1-R26)+INDEX(Models!$BJ26:$BT26,,T26+1)*R26-ERP_i)*Q26*Ramure*Pc/MaxiM</f>
        <v>3.0362414260471526E-4</v>
      </c>
      <c r="Q26" s="305">
        <f t="shared" si="4"/>
        <v>0.5</v>
      </c>
      <c r="R26" s="177">
        <f t="shared" si="5"/>
        <v>0.99778791151388035</v>
      </c>
      <c r="S26" s="811">
        <f t="shared" si="6"/>
        <v>-1</v>
      </c>
      <c r="T26" s="176">
        <f t="shared" si="7"/>
        <v>5</v>
      </c>
      <c r="U26" s="251">
        <f t="shared" si="20"/>
        <v>-2.2120884861196255E-3</v>
      </c>
      <c r="V26" s="383">
        <f t="shared" si="8"/>
        <v>26.611510131063454</v>
      </c>
      <c r="W26" s="402">
        <f t="shared" si="9"/>
        <v>0</v>
      </c>
      <c r="X26" s="157">
        <f t="shared" si="10"/>
        <v>44573</v>
      </c>
      <c r="Y26" s="385">
        <f t="shared" si="11"/>
        <v>21.132721775823171</v>
      </c>
      <c r="Z26" s="385">
        <f t="shared" si="21"/>
        <v>21.749764323572236</v>
      </c>
      <c r="AA26" s="386">
        <f t="shared" si="12"/>
        <v>23.283297991144227</v>
      </c>
      <c r="AB26" s="197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6.5864108605029684E-2</v>
      </c>
      <c r="AD26" s="231">
        <f>(INDEX(Models!$BJ26:$BT26,,AH26)*(1-AF26)+INDEX(Models!$BJ26:$BT26,,AH26+1)*AF26-ERP_i)*AE26*Ramure*Pc/MaxiM</f>
        <v>3.0362414260471526E-4</v>
      </c>
      <c r="AE26" s="305">
        <f t="shared" si="14"/>
        <v>0.5</v>
      </c>
      <c r="AF26" s="177">
        <f t="shared" si="22"/>
        <v>0.99778791151388035</v>
      </c>
      <c r="AG26" s="811">
        <f t="shared" si="23"/>
        <v>-1</v>
      </c>
      <c r="AH26" s="176">
        <f t="shared" si="15"/>
        <v>5</v>
      </c>
      <c r="AI26" s="225">
        <f t="shared" si="24"/>
        <v>-2.2120884861196255E-3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x14ac:dyDescent="0.2">
      <c r="A27" s="56">
        <f t="shared" si="18"/>
        <v>44574</v>
      </c>
      <c r="B27" s="1140">
        <v>5.3090000000000002</v>
      </c>
      <c r="C27" s="841"/>
      <c r="D27" s="393">
        <f t="shared" si="0"/>
        <v>5.4641342063052765</v>
      </c>
      <c r="E27" s="385">
        <f t="shared" si="1"/>
        <v>5.6074703057523889</v>
      </c>
      <c r="F27" s="385">
        <f t="shared" si="2"/>
        <v>5.6074703057523889</v>
      </c>
      <c r="G27" s="110">
        <f t="shared" si="19"/>
        <v>0.19773068563293011</v>
      </c>
      <c r="H27" s="414" t="b">
        <f>Wh_hp&gt;='2021'!Maxi_hp</f>
        <v>0</v>
      </c>
      <c r="I27" s="380">
        <f>IF(H27,Wh_hp,'2021'!Maxi_hp)</f>
        <v>16.029400800100351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2.8391360908789687E-2</v>
      </c>
      <c r="M27" s="845"/>
      <c r="N27" s="845"/>
      <c r="O27" s="48">
        <f>IF(t&lt;Tnet,'2021'!Resal+('2021'!Salim-'2021'!Resal)*(1-EXP(('2021'!Tnet-t)/('2021'!Tau_j))),Resal+(Salim-Resal)*(1-EXP((Tnet-t)/(Tau_j))))*Salcycl</f>
        <v>2.556163325556482E-2</v>
      </c>
      <c r="P27" s="339">
        <f>(INDEX(Models!$BJ27:$BT27,,T27)*(1-R27)+INDEX(Models!$BJ27:$BT27,,T27+1)*R27-ERP_i)*Q27*Ramure*Pc/MaxiM</f>
        <v>2.9726039475264668E-4</v>
      </c>
      <c r="Q27" s="305">
        <f t="shared" si="4"/>
        <v>0.5</v>
      </c>
      <c r="R27" s="177">
        <f t="shared" si="5"/>
        <v>0.99783374887834952</v>
      </c>
      <c r="S27" s="811">
        <f t="shared" si="6"/>
        <v>-1</v>
      </c>
      <c r="T27" s="176">
        <f t="shared" si="7"/>
        <v>5</v>
      </c>
      <c r="U27" s="251">
        <f t="shared" si="20"/>
        <v>-2.1662511216505066E-3</v>
      </c>
      <c r="V27" s="383">
        <f t="shared" si="8"/>
        <v>26.84167016148939</v>
      </c>
      <c r="W27" s="402">
        <f t="shared" si="9"/>
        <v>0</v>
      </c>
      <c r="X27" s="157">
        <f t="shared" si="10"/>
        <v>44574</v>
      </c>
      <c r="Y27" s="385">
        <f t="shared" si="11"/>
        <v>5.0892599426241025</v>
      </c>
      <c r="Z27" s="385">
        <f t="shared" si="21"/>
        <v>5.2379731281355406</v>
      </c>
      <c r="AA27" s="386">
        <f t="shared" si="12"/>
        <v>5.6074703057523889</v>
      </c>
      <c r="AB27" s="197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6.589373772301596E-2</v>
      </c>
      <c r="AD27" s="231">
        <f>(INDEX(Models!$BJ27:$BT27,,AH27)*(1-AF27)+INDEX(Models!$BJ27:$BT27,,AH27+1)*AF27-ERP_i)*AE27*Ramure*Pc/MaxiM</f>
        <v>2.9726039475264668E-4</v>
      </c>
      <c r="AE27" s="305">
        <f t="shared" si="14"/>
        <v>0.5</v>
      </c>
      <c r="AF27" s="177">
        <f t="shared" si="22"/>
        <v>0.99783374887834952</v>
      </c>
      <c r="AG27" s="811">
        <f t="shared" si="23"/>
        <v>-1</v>
      </c>
      <c r="AH27" s="176">
        <f t="shared" si="15"/>
        <v>5</v>
      </c>
      <c r="AI27" s="225">
        <f t="shared" si="24"/>
        <v>-2.1662511216505066E-3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x14ac:dyDescent="0.2">
      <c r="A28" s="56">
        <f t="shared" si="18"/>
        <v>44575</v>
      </c>
      <c r="B28" s="1140">
        <v>26.247</v>
      </c>
      <c r="C28" s="841"/>
      <c r="D28" s="393">
        <f t="shared" si="0"/>
        <v>27.014554866250727</v>
      </c>
      <c r="E28" s="385">
        <f t="shared" si="1"/>
        <v>27.725122757816372</v>
      </c>
      <c r="F28" s="385">
        <f t="shared" si="2"/>
        <v>27.732818722514551</v>
      </c>
      <c r="G28" s="110">
        <f t="shared" si="19"/>
        <v>0.9692988101766945</v>
      </c>
      <c r="H28" s="414" t="b">
        <f>Wh_hp&gt;='2021'!Maxi_hp</f>
        <v>0</v>
      </c>
      <c r="I28" s="380">
        <f>IF(H28,Wh_hp,'2021'!Maxi_hp)</f>
        <v>27.813666688911876</v>
      </c>
      <c r="J28" s="85">
        <f>IF(H28,An,'2021'!An_max)</f>
        <v>2020</v>
      </c>
      <c r="K28" s="197">
        <f t="shared" si="3"/>
        <v>44575</v>
      </c>
      <c r="L28" s="147">
        <f>IF(t&lt;Tvie,1-EXP((T0-t)*PertePVj)+'2021'!Pspv,1-EXP((T0-t)*PertePVj)+Pspv)</f>
        <v>2.8412641631553659E-2</v>
      </c>
      <c r="M28" s="845"/>
      <c r="N28" s="845"/>
      <c r="O28" s="48">
        <f>IF(t&lt;Tnet,'2021'!Resal+('2021'!Salim-'2021'!Resal)*(1-EXP(('2021'!Tnet-t)/('2021'!Tau_j))),Resal+(Salim-Resal)*(1-EXP((Tnet-t)/(Tau_j))))*Salcycl</f>
        <v>2.5629025983855001E-2</v>
      </c>
      <c r="P28" s="339">
        <f>(INDEX(Models!$BJ28:$BT28,,T28)*(1-R28)+INDEX(Models!$BJ28:$BT28,,T28+1)*R28-ERP_i)*Q28*Ramure*Pc/MaxiM</f>
        <v>2.9022781753024131E-4</v>
      </c>
      <c r="Q28" s="305">
        <f t="shared" si="4"/>
        <v>0.5</v>
      </c>
      <c r="R28" s="177">
        <f t="shared" si="5"/>
        <v>0.99788150026873901</v>
      </c>
      <c r="S28" s="811">
        <f t="shared" si="6"/>
        <v>-1</v>
      </c>
      <c r="T28" s="176">
        <f t="shared" si="7"/>
        <v>5</v>
      </c>
      <c r="U28" s="251">
        <f t="shared" si="20"/>
        <v>-2.1184997312610259E-3</v>
      </c>
      <c r="V28" s="383">
        <f t="shared" si="8"/>
        <v>27.077992530734114</v>
      </c>
      <c r="W28" s="402">
        <f t="shared" si="9"/>
        <v>0</v>
      </c>
      <c r="X28" s="157">
        <f t="shared" si="10"/>
        <v>44575</v>
      </c>
      <c r="Y28" s="385">
        <f t="shared" si="11"/>
        <v>25.161574909423077</v>
      </c>
      <c r="Z28" s="385">
        <f t="shared" si="21"/>
        <v>25.897388117190054</v>
      </c>
      <c r="AA28" s="386">
        <f t="shared" si="12"/>
        <v>27.725122757816372</v>
      </c>
      <c r="AB28" s="197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6.5923410207842467E-2</v>
      </c>
      <c r="AD28" s="231">
        <f>(INDEX(Models!$BJ28:$BT28,,AH28)*(1-AF28)+INDEX(Models!$BJ28:$BT28,,AH28+1)*AF28-ERP_i)*AE28*Ramure*Pc/MaxiM</f>
        <v>2.9022781753024131E-4</v>
      </c>
      <c r="AE28" s="305">
        <f t="shared" si="14"/>
        <v>0.5</v>
      </c>
      <c r="AF28" s="177">
        <f t="shared" si="22"/>
        <v>0.99788150026873901</v>
      </c>
      <c r="AG28" s="811">
        <f t="shared" si="23"/>
        <v>-1</v>
      </c>
      <c r="AH28" s="176">
        <f t="shared" si="15"/>
        <v>5</v>
      </c>
      <c r="AI28" s="225">
        <f t="shared" si="24"/>
        <v>-2.1184997312610259E-3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x14ac:dyDescent="0.2">
      <c r="A29" s="56">
        <f t="shared" si="18"/>
        <v>44576</v>
      </c>
      <c r="B29" s="1140">
        <v>27.891000000000002</v>
      </c>
      <c r="C29" s="841"/>
      <c r="D29" s="393">
        <f t="shared" si="0"/>
        <v>28.707259988127092</v>
      </c>
      <c r="E29" s="385">
        <f t="shared" si="1"/>
        <v>29.46438817907411</v>
      </c>
      <c r="F29" s="385">
        <f t="shared" si="2"/>
        <v>29.472715702164702</v>
      </c>
      <c r="G29" s="110">
        <f t="shared" si="19"/>
        <v>1.0208910053719742</v>
      </c>
      <c r="H29" s="414" t="b">
        <f>Wh_hp&gt;='2021'!Maxi_hp</f>
        <v>1</v>
      </c>
      <c r="I29" s="380">
        <f>IF(H29,Wh_hp,'2021'!Maxi_hp)</f>
        <v>29.472715702164702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2.8433921888215141E-2</v>
      </c>
      <c r="M29" s="845"/>
      <c r="N29" s="845"/>
      <c r="O29" s="48">
        <f>IF(t&lt;Tnet,'2021'!Resal+('2021'!Salim-'2021'!Resal)*(1-EXP(('2021'!Tnet-t)/('2021'!Tau_j))),Resal+(Salim-Resal)*(1-EXP((Tnet-t)/(Tau_j))))*Salcycl</f>
        <v>2.5696382573616009E-2</v>
      </c>
      <c r="P29" s="339">
        <f>(INDEX(Models!$BJ29:$BT29,,T29)*(1-R29)+INDEX(Models!$BJ29:$BT29,,T29+1)*R29-ERP_i)*Q29*Ramure*Pc/MaxiM</f>
        <v>2.8255024663300618E-4</v>
      </c>
      <c r="Q29" s="305">
        <f t="shared" si="4"/>
        <v>0.5</v>
      </c>
      <c r="R29" s="177">
        <f t="shared" si="5"/>
        <v>0.9979312452189113</v>
      </c>
      <c r="S29" s="811">
        <f t="shared" si="6"/>
        <v>-1</v>
      </c>
      <c r="T29" s="176">
        <f t="shared" si="7"/>
        <v>5</v>
      </c>
      <c r="U29" s="251">
        <f t="shared" si="20"/>
        <v>-2.0687547810887214E-3</v>
      </c>
      <c r="V29" s="383">
        <f t="shared" si="8"/>
        <v>27.320252459112979</v>
      </c>
      <c r="W29" s="402">
        <f t="shared" si="9"/>
        <v>0</v>
      </c>
      <c r="X29" s="157">
        <f t="shared" si="10"/>
        <v>44576</v>
      </c>
      <c r="Y29" s="385">
        <f t="shared" si="11"/>
        <v>26.738586272510727</v>
      </c>
      <c r="Z29" s="385">
        <f t="shared" si="21"/>
        <v>27.521119638590637</v>
      </c>
      <c r="AA29" s="386">
        <f t="shared" si="12"/>
        <v>29.46438817907411</v>
      </c>
      <c r="AB29" s="197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6.5953127167378375E-2</v>
      </c>
      <c r="AD29" s="231">
        <f>(INDEX(Models!$BJ29:$BT29,,AH29)*(1-AF29)+INDEX(Models!$BJ29:$BT29,,AH29+1)*AF29-ERP_i)*AE29*Ramure*Pc/MaxiM</f>
        <v>2.8255024663300618E-4</v>
      </c>
      <c r="AE29" s="305">
        <f t="shared" si="14"/>
        <v>0.5</v>
      </c>
      <c r="AF29" s="177">
        <f t="shared" si="22"/>
        <v>0.9979312452189113</v>
      </c>
      <c r="AG29" s="811">
        <f t="shared" si="23"/>
        <v>-1</v>
      </c>
      <c r="AH29" s="176">
        <f t="shared" si="15"/>
        <v>5</v>
      </c>
      <c r="AI29" s="225">
        <f t="shared" si="24"/>
        <v>-2.0687547810887214E-3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x14ac:dyDescent="0.2">
      <c r="A30" s="56">
        <f t="shared" si="18"/>
        <v>44577</v>
      </c>
      <c r="B30" s="1140">
        <v>27.393000000000001</v>
      </c>
      <c r="C30" s="841"/>
      <c r="D30" s="393">
        <f t="shared" si="0"/>
        <v>28.195303034233557</v>
      </c>
      <c r="E30" s="385">
        <f t="shared" si="1"/>
        <v>28.94092855018247</v>
      </c>
      <c r="F30" s="385">
        <f t="shared" si="2"/>
        <v>28.94879755291776</v>
      </c>
      <c r="G30" s="110">
        <f t="shared" si="19"/>
        <v>0.99364153021511825</v>
      </c>
      <c r="H30" s="414" t="b">
        <f>Wh_hp&gt;='2021'!Maxi_hp</f>
        <v>0</v>
      </c>
      <c r="I30" s="380">
        <f>IF(H30,Wh_hp,'2021'!Maxi_hp)</f>
        <v>29.178076379468706</v>
      </c>
      <c r="J30" s="85">
        <f>IF(H30,An,'2021'!An_max)</f>
        <v>2019</v>
      </c>
      <c r="K30" s="197">
        <f t="shared" si="3"/>
        <v>44577</v>
      </c>
      <c r="L30" s="147">
        <f>IF(t&lt;Tvie,1-EXP((T0-t)*PertePVj)+'2021'!Pspv,1-EXP((T0-t)*PertePVj)+Pspv)</f>
        <v>2.8455201678784348E-2</v>
      </c>
      <c r="M30" s="845"/>
      <c r="N30" s="845"/>
      <c r="O30" s="48">
        <f>IF(t&lt;Tnet,'2021'!Resal+('2021'!Salim-'2021'!Resal)*(1-EXP(('2021'!Tnet-t)/('2021'!Tau_j))),Resal+(Salim-Resal)*(1-EXP((Tnet-t)/(Tau_j))))*Salcycl</f>
        <v>2.5763703975704391E-2</v>
      </c>
      <c r="P30" s="339">
        <f>(INDEX(Models!$BJ30:$BT30,,T30)*(1-R30)+INDEX(Models!$BJ30:$BT30,,T30+1)*R30-ERP_i)*Q30*Ramure*Pc/MaxiM</f>
        <v>2.7431564003699971E-4</v>
      </c>
      <c r="Q30" s="305">
        <f t="shared" si="4"/>
        <v>0.5</v>
      </c>
      <c r="R30" s="177">
        <f t="shared" si="5"/>
        <v>0.99798306653430457</v>
      </c>
      <c r="S30" s="811">
        <f t="shared" si="6"/>
        <v>-1</v>
      </c>
      <c r="T30" s="176">
        <f t="shared" si="7"/>
        <v>5</v>
      </c>
      <c r="U30" s="251">
        <f t="shared" si="20"/>
        <v>-2.016933465695433E-3</v>
      </c>
      <c r="V30" s="383">
        <f t="shared" si="8"/>
        <v>27.568223467349831</v>
      </c>
      <c r="W30" s="402">
        <f t="shared" si="9"/>
        <v>0</v>
      </c>
      <c r="X30" s="157">
        <f t="shared" si="10"/>
        <v>44577</v>
      </c>
      <c r="Y30" s="385">
        <f t="shared" si="11"/>
        <v>26.262140701335706</v>
      </c>
      <c r="Z30" s="385">
        <f t="shared" si="21"/>
        <v>27.031322432805432</v>
      </c>
      <c r="AA30" s="386">
        <f t="shared" si="12"/>
        <v>28.94092855018247</v>
      </c>
      <c r="AB30" s="197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6.5982890426817292E-2</v>
      </c>
      <c r="AD30" s="231">
        <f>(INDEX(Models!$BJ30:$BT30,,AH30)*(1-AF30)+INDEX(Models!$BJ30:$BT30,,AH30+1)*AF30-ERP_i)*AE30*Ramure*Pc/MaxiM</f>
        <v>2.7431564003699971E-4</v>
      </c>
      <c r="AE30" s="305">
        <f t="shared" si="14"/>
        <v>0.5</v>
      </c>
      <c r="AF30" s="177">
        <f t="shared" si="22"/>
        <v>0.99798306653430457</v>
      </c>
      <c r="AG30" s="811">
        <f t="shared" si="23"/>
        <v>-1</v>
      </c>
      <c r="AH30" s="176">
        <f t="shared" si="15"/>
        <v>5</v>
      </c>
      <c r="AI30" s="225">
        <f t="shared" si="24"/>
        <v>-2.016933465695433E-3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44578</v>
      </c>
      <c r="B31" s="1140">
        <v>14.022</v>
      </c>
      <c r="C31" s="841"/>
      <c r="D31" s="393">
        <f t="shared" si="0"/>
        <v>14.433001081106323</v>
      </c>
      <c r="E31" s="385">
        <f t="shared" si="1"/>
        <v>14.815705440496384</v>
      </c>
      <c r="F31" s="385">
        <f t="shared" si="2"/>
        <v>14.816853446814875</v>
      </c>
      <c r="G31" s="110">
        <f t="shared" si="19"/>
        <v>0.50390063686256858</v>
      </c>
      <c r="H31" s="414" t="b">
        <f>Wh_hp&gt;='2021'!Maxi_hp</f>
        <v>1</v>
      </c>
      <c r="I31" s="380">
        <f>IF(H31,Wh_hp,'2021'!Maxi_hp)</f>
        <v>14.816853446814875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2.8476481003271603E-2</v>
      </c>
      <c r="M31" s="845"/>
      <c r="N31" s="845"/>
      <c r="O31" s="48">
        <f>IF(t&lt;Tnet,'2021'!Resal+('2021'!Salim-'2021'!Resal)*(1-EXP(('2021'!Tnet-t)/('2021'!Tau_j))),Resal+(Salim-Resal)*(1-EXP((Tnet-t)/(Tau_j))))*Salcycl</f>
        <v>2.5830991371089265E-2</v>
      </c>
      <c r="P31" s="339">
        <f>(INDEX(Models!$BJ31:$BT31,,T31)*(1-R31)+INDEX(Models!$BJ31:$BT31,,T31+1)*R31-ERP_i)*Q31*Ramure*Pc/MaxiM</f>
        <v>2.6586768391890109E-4</v>
      </c>
      <c r="Q31" s="305">
        <f t="shared" si="4"/>
        <v>0.5</v>
      </c>
      <c r="R31" s="177">
        <f t="shared" si="5"/>
        <v>0.99803705042365864</v>
      </c>
      <c r="S31" s="811">
        <f t="shared" si="6"/>
        <v>-1</v>
      </c>
      <c r="T31" s="176">
        <f t="shared" si="7"/>
        <v>5</v>
      </c>
      <c r="U31" s="251">
        <f t="shared" si="20"/>
        <v>-1.96294957634131E-3</v>
      </c>
      <c r="V31" s="383">
        <f t="shared" si="8"/>
        <v>27.821671961362554</v>
      </c>
      <c r="W31" s="402">
        <f t="shared" si="9"/>
        <v>0</v>
      </c>
      <c r="X31" s="157">
        <f t="shared" si="10"/>
        <v>44578</v>
      </c>
      <c r="Y31" s="385">
        <f t="shared" si="11"/>
        <v>13.443632235414926</v>
      </c>
      <c r="Z31" s="385">
        <f t="shared" si="21"/>
        <v>13.837680686616705</v>
      </c>
      <c r="AA31" s="386">
        <f t="shared" si="12"/>
        <v>14.815705440496384</v>
      </c>
      <c r="AB31" s="197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6.6012702385834621E-2</v>
      </c>
      <c r="AD31" s="231">
        <f>(INDEX(Models!$BJ31:$BT31,,AH31)*(1-AF31)+INDEX(Models!$BJ31:$BT31,,AH31+1)*AF31-ERP_i)*AE31*Ramure*Pc/MaxiM</f>
        <v>2.6586768391890109E-4</v>
      </c>
      <c r="AE31" s="305">
        <f t="shared" si="14"/>
        <v>0.5</v>
      </c>
      <c r="AF31" s="177">
        <f t="shared" si="22"/>
        <v>0.99803705042365864</v>
      </c>
      <c r="AG31" s="811">
        <f t="shared" si="23"/>
        <v>-1</v>
      </c>
      <c r="AH31" s="176">
        <f t="shared" si="15"/>
        <v>5</v>
      </c>
      <c r="AI31" s="225">
        <f t="shared" si="24"/>
        <v>-1.96294957634131E-3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x14ac:dyDescent="0.2">
      <c r="A32" s="56">
        <f t="shared" si="18"/>
        <v>44579</v>
      </c>
      <c r="B32" s="1140">
        <v>3.702</v>
      </c>
      <c r="C32" s="841"/>
      <c r="D32" s="393">
        <f t="shared" si="0"/>
        <v>3.8105933749292697</v>
      </c>
      <c r="E32" s="385">
        <f t="shared" si="1"/>
        <v>3.9119048495115307</v>
      </c>
      <c r="F32" s="385">
        <f t="shared" si="2"/>
        <v>3.9119048495115307</v>
      </c>
      <c r="G32" s="110">
        <f t="shared" si="19"/>
        <v>0.13180194315499236</v>
      </c>
      <c r="H32" s="414" t="b">
        <f>Wh_hp&gt;='2021'!Maxi_hp</f>
        <v>0</v>
      </c>
      <c r="I32" s="380">
        <f>IF(H32,Wh_hp,'2021'!Maxi_hp)</f>
        <v>28.469265740450702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2.8497759861687011E-2</v>
      </c>
      <c r="M32" s="845"/>
      <c r="N32" s="845"/>
      <c r="O32" s="48">
        <f>IF(t&lt;Tnet,'2021'!Resal+('2021'!Salim-'2021'!Resal)*(1-EXP(('2021'!Tnet-t)/('2021'!Tau_j))),Resal+(Salim-Resal)*(1-EXP((Tnet-t)/(Tau_j))))*Salcycl</f>
        <v>2.5898246117850122E-2</v>
      </c>
      <c r="P32" s="339">
        <f>(INDEX(Models!$BJ32:$BT32,,T32)*(1-R32)+INDEX(Models!$BJ32:$BT32,,T32+1)*R32-ERP_i)*Q32*Ramure*Pc/MaxiM</f>
        <v>2.5721889254343042E-4</v>
      </c>
      <c r="Q32" s="305">
        <f t="shared" si="4"/>
        <v>0.5</v>
      </c>
      <c r="R32" s="177">
        <f t="shared" si="5"/>
        <v>0.99809328663580033</v>
      </c>
      <c r="S32" s="811">
        <f t="shared" si="6"/>
        <v>-1</v>
      </c>
      <c r="T32" s="176">
        <f t="shared" si="7"/>
        <v>5</v>
      </c>
      <c r="U32" s="251">
        <f t="shared" si="20"/>
        <v>-1.9067133641996264E-3</v>
      </c>
      <c r="V32" s="383">
        <f t="shared" si="8"/>
        <v>28.080373377405834</v>
      </c>
      <c r="W32" s="402">
        <f t="shared" si="9"/>
        <v>0</v>
      </c>
      <c r="X32" s="157">
        <f t="shared" si="10"/>
        <v>44579</v>
      </c>
      <c r="Y32" s="385">
        <f t="shared" si="11"/>
        <v>3.5494345506952367</v>
      </c>
      <c r="Z32" s="385">
        <f t="shared" si="21"/>
        <v>3.6535526157818254</v>
      </c>
      <c r="AA32" s="386">
        <f t="shared" si="12"/>
        <v>3.9119048495115307</v>
      </c>
      <c r="AB32" s="197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6.6042565877328277E-2</v>
      </c>
      <c r="AD32" s="231">
        <f>(INDEX(Models!$BJ32:$BT32,,AH32)*(1-AF32)+INDEX(Models!$BJ32:$BT32,,AH32+1)*AF32-ERP_i)*AE32*Ramure*Pc/MaxiM</f>
        <v>2.5721889254343042E-4</v>
      </c>
      <c r="AE32" s="305">
        <f t="shared" si="14"/>
        <v>0.5</v>
      </c>
      <c r="AF32" s="177">
        <f t="shared" si="22"/>
        <v>0.99809328663580033</v>
      </c>
      <c r="AG32" s="811">
        <f t="shared" si="23"/>
        <v>-1</v>
      </c>
      <c r="AH32" s="176">
        <f t="shared" si="15"/>
        <v>5</v>
      </c>
      <c r="AI32" s="225">
        <f t="shared" si="24"/>
        <v>-1.9067133641996264E-3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x14ac:dyDescent="0.2">
      <c r="A33" s="56">
        <f t="shared" si="18"/>
        <v>44580</v>
      </c>
      <c r="B33" s="1140">
        <v>10.708</v>
      </c>
      <c r="C33" s="841"/>
      <c r="D33" s="393">
        <f t="shared" si="0"/>
        <v>11.022346727984697</v>
      </c>
      <c r="E33" s="385">
        <f t="shared" si="1"/>
        <v>11.316176567759385</v>
      </c>
      <c r="F33" s="385">
        <f t="shared" si="2"/>
        <v>11.316488911676977</v>
      </c>
      <c r="G33" s="110">
        <f t="shared" si="19"/>
        <v>0.37770240000387884</v>
      </c>
      <c r="H33" s="414" t="b">
        <f>Wh_hp&gt;='2021'!Maxi_hp</f>
        <v>0</v>
      </c>
      <c r="I33" s="380">
        <f>IF(H33,Wh_hp,'2021'!Maxi_hp)</f>
        <v>30.474199442688686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2.8519038254040785E-2</v>
      </c>
      <c r="M33" s="845"/>
      <c r="N33" s="845"/>
      <c r="O33" s="48">
        <f>IF(t&lt;Tnet,'2021'!Resal+('2021'!Salim-'2021'!Resal)*(1-EXP(('2021'!Tnet-t)/('2021'!Tau_j))),Resal+(Salim-Resal)*(1-EXP((Tnet-t)/(Tau_j))))*Salcycl</f>
        <v>2.5965469698646371E-2</v>
      </c>
      <c r="P33" s="339">
        <f>(INDEX(Models!$BJ33:$BT33,,T33)*(1-R33)+INDEX(Models!$BJ33:$BT33,,T33+1)*R33-ERP_i)*Q33*Ramure*Pc/MaxiM</f>
        <v>2.4838136648041865E-4</v>
      </c>
      <c r="Q33" s="305">
        <f t="shared" si="4"/>
        <v>0.5</v>
      </c>
      <c r="R33" s="177">
        <f t="shared" si="5"/>
        <v>0.99815186860166127</v>
      </c>
      <c r="S33" s="811">
        <f t="shared" si="6"/>
        <v>-1</v>
      </c>
      <c r="T33" s="176">
        <f t="shared" si="7"/>
        <v>5</v>
      </c>
      <c r="U33" s="251">
        <f t="shared" si="20"/>
        <v>-1.8481313983387459E-3</v>
      </c>
      <c r="V33" s="383">
        <f t="shared" si="8"/>
        <v>28.344103230780775</v>
      </c>
      <c r="W33" s="402">
        <f t="shared" si="9"/>
        <v>0</v>
      </c>
      <c r="X33" s="157">
        <f t="shared" si="10"/>
        <v>44580</v>
      </c>
      <c r="Y33" s="385">
        <f t="shared" si="11"/>
        <v>10.26708553948416</v>
      </c>
      <c r="Z33" s="385">
        <f t="shared" si="21"/>
        <v>10.568488672214441</v>
      </c>
      <c r="AA33" s="386">
        <f t="shared" si="12"/>
        <v>11.316176567759385</v>
      </c>
      <c r="AB33" s="197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6.6072484029204834E-2</v>
      </c>
      <c r="AD33" s="231">
        <f>(INDEX(Models!$BJ33:$BT33,,AH33)*(1-AF33)+INDEX(Models!$BJ33:$BT33,,AH33+1)*AF33-ERP_i)*AE33*Ramure*Pc/MaxiM</f>
        <v>2.4838136648041865E-4</v>
      </c>
      <c r="AE33" s="305">
        <f t="shared" si="14"/>
        <v>0.5</v>
      </c>
      <c r="AF33" s="177">
        <f t="shared" si="22"/>
        <v>0.99815186860166127</v>
      </c>
      <c r="AG33" s="811">
        <f t="shared" si="23"/>
        <v>-1</v>
      </c>
      <c r="AH33" s="176">
        <f t="shared" si="15"/>
        <v>5</v>
      </c>
      <c r="AI33" s="225">
        <f t="shared" si="24"/>
        <v>-1.8481313983387459E-3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x14ac:dyDescent="0.2">
      <c r="A34" s="56">
        <f t="shared" si="18"/>
        <v>44581</v>
      </c>
      <c r="B34" s="1140">
        <v>6.7359999999999998</v>
      </c>
      <c r="C34" s="841"/>
      <c r="D34" s="393">
        <f t="shared" si="0"/>
        <v>6.9338955719859614</v>
      </c>
      <c r="E34" s="385">
        <f t="shared" si="1"/>
        <v>7.1192280411662026</v>
      </c>
      <c r="F34" s="385">
        <f t="shared" si="2"/>
        <v>7.1192280411662026</v>
      </c>
      <c r="G34" s="110">
        <f t="shared" si="19"/>
        <v>0.23536410152400106</v>
      </c>
      <c r="H34" s="414" t="b">
        <f>Wh_hp&gt;='2021'!Maxi_hp</f>
        <v>0</v>
      </c>
      <c r="I34" s="380">
        <f>IF(H34,Wh_hp,'2021'!Maxi_hp)</f>
        <v>12.344744575403277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2.854031618034325E-2</v>
      </c>
      <c r="M34" s="845"/>
      <c r="N34" s="845"/>
      <c r="O34" s="48">
        <f>IF(t&lt;Tnet,'2021'!Resal+('2021'!Salim-'2021'!Resal)*(1-EXP(('2021'!Tnet-t)/('2021'!Tau_j))),Resal+(Salim-Resal)*(1-EXP((Tnet-t)/(Tau_j))))*Salcycl</f>
        <v>2.6032663669231411E-2</v>
      </c>
      <c r="P34" s="339">
        <f>(INDEX(Models!$BJ34:$BT34,,T34)*(1-R34)+INDEX(Models!$BJ34:$BT34,,T34+1)*R34-ERP_i)*Q34*Ramure*Pc/MaxiM</f>
        <v>2.3936810664485923E-4</v>
      </c>
      <c r="Q34" s="305">
        <f t="shared" si="4"/>
        <v>0.5</v>
      </c>
      <c r="R34" s="177">
        <f t="shared" si="5"/>
        <v>0.99821289358170395</v>
      </c>
      <c r="S34" s="811">
        <f t="shared" si="6"/>
        <v>-1</v>
      </c>
      <c r="T34" s="176">
        <f t="shared" si="7"/>
        <v>5</v>
      </c>
      <c r="U34" s="251">
        <f t="shared" si="20"/>
        <v>-1.787106418296096E-3</v>
      </c>
      <c r="V34" s="383">
        <f t="shared" si="8"/>
        <v>28.612637070937968</v>
      </c>
      <c r="W34" s="402">
        <f t="shared" si="9"/>
        <v>0</v>
      </c>
      <c r="X34" s="157">
        <f t="shared" si="10"/>
        <v>44581</v>
      </c>
      <c r="Y34" s="385">
        <f t="shared" si="11"/>
        <v>6.4588755637938862</v>
      </c>
      <c r="Z34" s="385">
        <f t="shared" si="21"/>
        <v>6.6486295534143052</v>
      </c>
      <c r="AA34" s="386">
        <f t="shared" si="12"/>
        <v>7.1192280411662026</v>
      </c>
      <c r="AB34" s="197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6.6102460130608304E-2</v>
      </c>
      <c r="AD34" s="231">
        <f>(INDEX(Models!$BJ34:$BT34,,AH34)*(1-AF34)+INDEX(Models!$BJ34:$BT34,,AH34+1)*AF34-ERP_i)*AE34*Ramure*Pc/MaxiM</f>
        <v>2.3936810664485923E-4</v>
      </c>
      <c r="AE34" s="305">
        <f t="shared" si="14"/>
        <v>0.5</v>
      </c>
      <c r="AF34" s="177">
        <f t="shared" si="22"/>
        <v>0.99821289358170395</v>
      </c>
      <c r="AG34" s="811">
        <f t="shared" si="23"/>
        <v>-1</v>
      </c>
      <c r="AH34" s="176">
        <f t="shared" si="15"/>
        <v>5</v>
      </c>
      <c r="AI34" s="225">
        <f t="shared" si="24"/>
        <v>-1.787106418296096E-3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x14ac:dyDescent="0.2">
      <c r="A35" s="56">
        <f t="shared" si="18"/>
        <v>44582</v>
      </c>
      <c r="B35" s="1140">
        <v>21.516000000000002</v>
      </c>
      <c r="C35" s="841"/>
      <c r="D35" s="393">
        <f t="shared" si="0"/>
        <v>22.148599292706873</v>
      </c>
      <c r="E35" s="385">
        <f t="shared" si="1"/>
        <v>22.742165948902883</v>
      </c>
      <c r="F35" s="385">
        <f t="shared" si="2"/>
        <v>22.745493436016041</v>
      </c>
      <c r="G35" s="110">
        <f t="shared" si="19"/>
        <v>0.74480303140635129</v>
      </c>
      <c r="H35" s="414" t="b">
        <f>Wh_hp&gt;='2021'!Maxi_hp</f>
        <v>1</v>
      </c>
      <c r="I35" s="380">
        <f>IF(H35,Wh_hp,'2021'!Maxi_hp)</f>
        <v>22.745493436016041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2.8561593640604399E-2</v>
      </c>
      <c r="M35" s="845"/>
      <c r="N35" s="845"/>
      <c r="O35" s="48">
        <f>IF(t&lt;Tnet,'2021'!Resal+('2021'!Salim-'2021'!Resal)*(1-EXP(('2021'!Tnet-t)/('2021'!Tau_j))),Resal+(Salim-Resal)*(1-EXP((Tnet-t)/(Tau_j))))*Salcycl</f>
        <v>2.6099829608562164E-2</v>
      </c>
      <c r="P35" s="339">
        <f>(INDEX(Models!$BJ35:$BT35,,T35)*(1-R35)+INDEX(Models!$BJ35:$BT35,,T35+1)*R35-ERP_i)*Q35*Ramure*Pc/MaxiM</f>
        <v>2.3019203841240731E-4</v>
      </c>
      <c r="Q35" s="305">
        <f t="shared" si="4"/>
        <v>0.5</v>
      </c>
      <c r="R35" s="177">
        <f t="shared" si="5"/>
        <v>0.99827646281894011</v>
      </c>
      <c r="S35" s="811">
        <f t="shared" si="6"/>
        <v>-1</v>
      </c>
      <c r="T35" s="176">
        <f t="shared" si="7"/>
        <v>5</v>
      </c>
      <c r="U35" s="251">
        <f t="shared" si="20"/>
        <v>-1.7235371810599052E-3</v>
      </c>
      <c r="V35" s="383">
        <f t="shared" si="8"/>
        <v>28.885750512092507</v>
      </c>
      <c r="W35" s="402">
        <f t="shared" si="9"/>
        <v>0</v>
      </c>
      <c r="X35" s="157">
        <f t="shared" si="10"/>
        <v>44582</v>
      </c>
      <c r="Y35" s="385">
        <f t="shared" si="11"/>
        <v>20.631573742953439</v>
      </c>
      <c r="Z35" s="385">
        <f t="shared" si="21"/>
        <v>21.238169716053552</v>
      </c>
      <c r="AA35" s="386">
        <f t="shared" si="12"/>
        <v>22.742165948902883</v>
      </c>
      <c r="AB35" s="197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6.6132497503910287E-2</v>
      </c>
      <c r="AD35" s="231">
        <f>(INDEX(Models!$BJ35:$BT35,,AH35)*(1-AF35)+INDEX(Models!$BJ35:$BT35,,AH35+1)*AF35-ERP_i)*AE35*Ramure*Pc/MaxiM</f>
        <v>2.3019203841240731E-4</v>
      </c>
      <c r="AE35" s="305">
        <f t="shared" si="14"/>
        <v>0.5</v>
      </c>
      <c r="AF35" s="177">
        <f t="shared" si="22"/>
        <v>0.99827646281894011</v>
      </c>
      <c r="AG35" s="811">
        <f t="shared" si="23"/>
        <v>-1</v>
      </c>
      <c r="AH35" s="176">
        <f t="shared" si="15"/>
        <v>5</v>
      </c>
      <c r="AI35" s="225">
        <f t="shared" si="24"/>
        <v>-1.7235371810599052E-3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x14ac:dyDescent="0.2">
      <c r="A36" s="56">
        <f t="shared" si="18"/>
        <v>44583</v>
      </c>
      <c r="B36" s="1140">
        <v>29.031000000000002</v>
      </c>
      <c r="C36" s="841"/>
      <c r="D36" s="393">
        <f t="shared" si="0"/>
        <v>29.885204946892554</v>
      </c>
      <c r="E36" s="385">
        <f t="shared" si="1"/>
        <v>30.688222721696015</v>
      </c>
      <c r="F36" s="385">
        <f t="shared" si="2"/>
        <v>30.694958235093285</v>
      </c>
      <c r="G36" s="110">
        <f t="shared" si="19"/>
        <v>0.99546480714479813</v>
      </c>
      <c r="H36" s="414" t="b">
        <f>Wh_hp&gt;='2021'!Maxi_hp</f>
        <v>1</v>
      </c>
      <c r="I36" s="380">
        <f>IF(H36,Wh_hp,'2021'!Maxi_hp)</f>
        <v>30.694958235093285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2.8582870634834667E-2</v>
      </c>
      <c r="M36" s="845"/>
      <c r="N36" s="845"/>
      <c r="O36" s="48">
        <f>IF(t&lt;Tnet,'2021'!Resal+('2021'!Salim-'2021'!Resal)*(1-EXP(('2021'!Tnet-t)/('2021'!Tau_j))),Resal+(Salim-Resal)*(1-EXP((Tnet-t)/(Tau_j))))*Salcycl</f>
        <v>2.6166969071028737E-2</v>
      </c>
      <c r="P36" s="339">
        <f>(INDEX(Models!$BJ36:$BT36,,T36)*(1-R36)+INDEX(Models!$BJ36:$BT36,,T36+1)*R36-ERP_i)*Q36*Ramure*Pc/MaxiM</f>
        <v>2.2086436447470948E-4</v>
      </c>
      <c r="Q36" s="305">
        <f t="shared" si="4"/>
        <v>0.5</v>
      </c>
      <c r="R36" s="177">
        <f t="shared" si="5"/>
        <v>0.99834268169772222</v>
      </c>
      <c r="S36" s="811">
        <f t="shared" si="6"/>
        <v>-1</v>
      </c>
      <c r="T36" s="176">
        <f t="shared" si="7"/>
        <v>5</v>
      </c>
      <c r="U36" s="251">
        <f t="shared" si="20"/>
        <v>-1.6573183022778096E-3</v>
      </c>
      <c r="V36" s="383">
        <f t="shared" si="8"/>
        <v>29.163219285866511</v>
      </c>
      <c r="W36" s="402">
        <f t="shared" si="9"/>
        <v>0</v>
      </c>
      <c r="X36" s="157">
        <f t="shared" si="10"/>
        <v>44583</v>
      </c>
      <c r="Y36" s="385">
        <f t="shared" si="11"/>
        <v>27.838687656169061</v>
      </c>
      <c r="Z36" s="385">
        <f t="shared" si="21"/>
        <v>28.657810135962944</v>
      </c>
      <c r="AA36" s="386">
        <f t="shared" si="12"/>
        <v>30.688222721696015</v>
      </c>
      <c r="AB36" s="197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6.6162599383691484E-2</v>
      </c>
      <c r="AD36" s="231">
        <f>(INDEX(Models!$BJ36:$BT36,,AH36)*(1-AF36)+INDEX(Models!$BJ36:$BT36,,AH36+1)*AF36-ERP_i)*AE36*Ramure*Pc/MaxiM</f>
        <v>2.2086436447470948E-4</v>
      </c>
      <c r="AE36" s="305">
        <f t="shared" si="14"/>
        <v>0.5</v>
      </c>
      <c r="AF36" s="177">
        <f t="shared" si="22"/>
        <v>0.99834268169772222</v>
      </c>
      <c r="AG36" s="811">
        <f t="shared" si="23"/>
        <v>-1</v>
      </c>
      <c r="AH36" s="176">
        <f t="shared" si="15"/>
        <v>5</v>
      </c>
      <c r="AI36" s="225">
        <f t="shared" si="24"/>
        <v>-1.6573183022778096E-3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x14ac:dyDescent="0.2">
      <c r="A37" s="56">
        <f t="shared" si="18"/>
        <v>44584</v>
      </c>
      <c r="B37" s="1140">
        <v>29.097999999999999</v>
      </c>
      <c r="C37" s="841"/>
      <c r="D37" s="393">
        <f t="shared" si="0"/>
        <v>29.954832435221398</v>
      </c>
      <c r="E37" s="385">
        <f t="shared" si="1"/>
        <v>30.761841145722375</v>
      </c>
      <c r="F37" s="385">
        <f t="shared" si="2"/>
        <v>30.768234513818296</v>
      </c>
      <c r="G37" s="110">
        <f t="shared" si="19"/>
        <v>0.98812529582591346</v>
      </c>
      <c r="H37" s="414" t="b">
        <f>Wh_hp&gt;='2021'!Maxi_hp</f>
        <v>1</v>
      </c>
      <c r="I37" s="380">
        <f>IF(H37,Wh_hp,'2021'!Maxi_hp)</f>
        <v>30.768234513818296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2.8604147163044047E-2</v>
      </c>
      <c r="M37" s="845"/>
      <c r="N37" s="845"/>
      <c r="O37" s="48">
        <f>IF(t&lt;Tnet,'2021'!Resal+('2021'!Salim-'2021'!Resal)*(1-EXP(('2021'!Tnet-t)/('2021'!Tau_j))),Resal+(Salim-Resal)*(1-EXP((Tnet-t)/(Tau_j))))*Salcycl</f>
        <v>2.6234083541296683E-2</v>
      </c>
      <c r="P37" s="339">
        <f>(INDEX(Models!$BJ37:$BT37,,T37)*(1-R37)+INDEX(Models!$BJ37:$BT37,,T37+1)*R37-ERP_i)*Q37*Ramure*Pc/MaxiM</f>
        <v>2.1137587258694576E-4</v>
      </c>
      <c r="Q37" s="305">
        <f t="shared" si="4"/>
        <v>0.5</v>
      </c>
      <c r="R37" s="177">
        <f t="shared" si="5"/>
        <v>0.99841165990849945</v>
      </c>
      <c r="S37" s="811">
        <f t="shared" si="6"/>
        <v>-1</v>
      </c>
      <c r="T37" s="176">
        <f t="shared" si="7"/>
        <v>5</v>
      </c>
      <c r="U37" s="251">
        <f t="shared" si="20"/>
        <v>-1.5883400915005161E-3</v>
      </c>
      <c r="V37" s="383">
        <f t="shared" si="8"/>
        <v>29.447576936016695</v>
      </c>
      <c r="W37" s="402">
        <f t="shared" si="9"/>
        <v>0</v>
      </c>
      <c r="X37" s="157">
        <f t="shared" si="10"/>
        <v>44584</v>
      </c>
      <c r="Y37" s="385">
        <f t="shared" si="11"/>
        <v>27.903957567299063</v>
      </c>
      <c r="Z37" s="385">
        <f t="shared" si="21"/>
        <v>28.725629706782993</v>
      </c>
      <c r="AA37" s="386">
        <f t="shared" si="12"/>
        <v>30.761841145722375</v>
      </c>
      <c r="AB37" s="197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6.6192768803844129E-2</v>
      </c>
      <c r="AD37" s="231">
        <f>(INDEX(Models!$BJ37:$BT37,,AH37)*(1-AF37)+INDEX(Models!$BJ37:$BT37,,AH37+1)*AF37-ERP_i)*AE37*Ramure*Pc/MaxiM</f>
        <v>2.1137587258694576E-4</v>
      </c>
      <c r="AE37" s="305">
        <f t="shared" si="14"/>
        <v>0.5</v>
      </c>
      <c r="AF37" s="177">
        <f t="shared" si="22"/>
        <v>0.99841165990849945</v>
      </c>
      <c r="AG37" s="811">
        <f t="shared" si="23"/>
        <v>-1</v>
      </c>
      <c r="AH37" s="176">
        <f t="shared" si="15"/>
        <v>5</v>
      </c>
      <c r="AI37" s="225">
        <f t="shared" si="24"/>
        <v>-1.5883400915005161E-3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x14ac:dyDescent="0.2">
      <c r="A38" s="56">
        <f t="shared" si="18"/>
        <v>44585</v>
      </c>
      <c r="B38" s="1140">
        <v>29.751999999999999</v>
      </c>
      <c r="C38" s="841"/>
      <c r="D38" s="393">
        <f t="shared" si="0"/>
        <v>30.62876125375362</v>
      </c>
      <c r="E38" s="385">
        <f t="shared" si="1"/>
        <v>31.456093453368602</v>
      </c>
      <c r="F38" s="385">
        <f t="shared" si="2"/>
        <v>31.46244680579083</v>
      </c>
      <c r="G38" s="110">
        <f t="shared" si="19"/>
        <v>1.0003758637461395</v>
      </c>
      <c r="H38" s="414" t="b">
        <f>Wh_hp&gt;='2021'!Maxi_hp</f>
        <v>1</v>
      </c>
      <c r="I38" s="380">
        <f>IF(H38,Wh_hp,'2021'!Maxi_hp)</f>
        <v>31.46244680579083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2.8625423225242974E-2</v>
      </c>
      <c r="M38" s="845"/>
      <c r="N38" s="845"/>
      <c r="O38" s="48">
        <f>IF(t&lt;Tnet,'2021'!Resal+('2021'!Salim-'2021'!Resal)*(1-EXP(('2021'!Tnet-t)/('2021'!Tau_j))),Resal+(Salim-Resal)*(1-EXP((Tnet-t)/(Tau_j))))*Salcycl</f>
        <v>2.6301174392218931E-2</v>
      </c>
      <c r="P38" s="339">
        <f>(INDEX(Models!$BJ38:$BT38,,T38)*(1-R38)+INDEX(Models!$BJ38:$BT38,,T38+1)*R38-ERP_i)*Q38*Ramure*Pc/MaxiM</f>
        <v>2.0193446687238352E-4</v>
      </c>
      <c r="Q38" s="305">
        <f t="shared" si="4"/>
        <v>0.5</v>
      </c>
      <c r="R38" s="177">
        <f t="shared" si="5"/>
        <v>0.99848351161872895</v>
      </c>
      <c r="S38" s="811">
        <f t="shared" si="6"/>
        <v>-1</v>
      </c>
      <c r="T38" s="176">
        <f t="shared" si="7"/>
        <v>5</v>
      </c>
      <c r="U38" s="251">
        <f t="shared" si="20"/>
        <v>-1.5164883812710393E-3</v>
      </c>
      <c r="V38" s="383">
        <f t="shared" si="8"/>
        <v>29.740821503416456</v>
      </c>
      <c r="W38" s="402">
        <f t="shared" si="9"/>
        <v>0</v>
      </c>
      <c r="X38" s="157">
        <f t="shared" si="10"/>
        <v>44585</v>
      </c>
      <c r="Y38" s="385">
        <f t="shared" si="11"/>
        <v>28.532162431181586</v>
      </c>
      <c r="Z38" s="385">
        <f t="shared" si="21"/>
        <v>29.37297630942388</v>
      </c>
      <c r="AA38" s="386">
        <f t="shared" si="12"/>
        <v>31.456093453368602</v>
      </c>
      <c r="AB38" s="197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6.6223008493816751E-2</v>
      </c>
      <c r="AD38" s="231">
        <f>(INDEX(Models!$BJ38:$BT38,,AH38)*(1-AF38)+INDEX(Models!$BJ38:$BT38,,AH38+1)*AF38-ERP_i)*AE38*Ramure*Pc/MaxiM</f>
        <v>2.0193446687238352E-4</v>
      </c>
      <c r="AE38" s="305">
        <f t="shared" si="14"/>
        <v>0.5</v>
      </c>
      <c r="AF38" s="177">
        <f t="shared" si="22"/>
        <v>0.99848351161872895</v>
      </c>
      <c r="AG38" s="811">
        <f t="shared" si="23"/>
        <v>-1</v>
      </c>
      <c r="AH38" s="176">
        <f t="shared" si="15"/>
        <v>5</v>
      </c>
      <c r="AI38" s="225">
        <f t="shared" si="24"/>
        <v>-1.5164883812710393E-3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x14ac:dyDescent="0.2">
      <c r="A39" s="56">
        <f t="shared" si="18"/>
        <v>44586</v>
      </c>
      <c r="B39" s="1140">
        <v>28.335000000000001</v>
      </c>
      <c r="C39" s="841"/>
      <c r="D39" s="393">
        <f t="shared" si="0"/>
        <v>29.170642613373207</v>
      </c>
      <c r="E39" s="385">
        <f t="shared" si="1"/>
        <v>29.960652370921235</v>
      </c>
      <c r="F39" s="385">
        <f t="shared" si="2"/>
        <v>29.965963471414504</v>
      </c>
      <c r="G39" s="110">
        <f t="shared" si="19"/>
        <v>0.94316713547527875</v>
      </c>
      <c r="H39" s="414" t="b">
        <f>Wh_hp&gt;='2021'!Maxi_hp</f>
        <v>1</v>
      </c>
      <c r="I39" s="380">
        <f>IF(H39,Wh_hp,'2021'!Maxi_hp)</f>
        <v>29.965963471414504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2.8646698821441441E-2</v>
      </c>
      <c r="M39" s="845"/>
      <c r="N39" s="845"/>
      <c r="O39" s="48">
        <f>IF(t&lt;Tnet,'2021'!Resal+('2021'!Salim-'2021'!Resal)*(1-EXP(('2021'!Tnet-t)/('2021'!Tau_j))),Resal+(Salim-Resal)*(1-EXP((Tnet-t)/(Tau_j))))*Salcycl</f>
        <v>2.6368242846233295E-2</v>
      </c>
      <c r="P39" s="339">
        <f>(INDEX(Models!$BJ39:$BT39,,T39)*(1-R39)+INDEX(Models!$BJ39:$BT39,,T39+1)*R39-ERP_i)*Q39*Ramure*Pc/MaxiM</f>
        <v>1.9289478887449753E-4</v>
      </c>
      <c r="Q39" s="305">
        <f t="shared" si="4"/>
        <v>0.5</v>
      </c>
      <c r="R39" s="177">
        <f t="shared" si="5"/>
        <v>0.99855835565013717</v>
      </c>
      <c r="S39" s="811">
        <f t="shared" si="6"/>
        <v>-1</v>
      </c>
      <c r="T39" s="176">
        <f t="shared" si="7"/>
        <v>5</v>
      </c>
      <c r="U39" s="251">
        <f t="shared" si="20"/>
        <v>-1.4416443498628062E-3</v>
      </c>
      <c r="V39" s="383">
        <f t="shared" si="8"/>
        <v>30.041924929246214</v>
      </c>
      <c r="W39" s="402">
        <f t="shared" si="9"/>
        <v>0</v>
      </c>
      <c r="X39" s="157">
        <f t="shared" si="10"/>
        <v>44586</v>
      </c>
      <c r="Y39" s="385">
        <f t="shared" si="11"/>
        <v>27.174249361898379</v>
      </c>
      <c r="Z39" s="385">
        <f t="shared" si="21"/>
        <v>27.975659658465592</v>
      </c>
      <c r="AA39" s="386">
        <f t="shared" si="12"/>
        <v>29.960652370921235</v>
      </c>
      <c r="AB39" s="197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6.6253320784904077E-2</v>
      </c>
      <c r="AD39" s="231">
        <f>(INDEX(Models!$BJ39:$BT39,,AH39)*(1-AF39)+INDEX(Models!$BJ39:$BT39,,AH39+1)*AF39-ERP_i)*AE39*Ramure*Pc/MaxiM</f>
        <v>1.9289478887449753E-4</v>
      </c>
      <c r="AE39" s="305">
        <f t="shared" si="14"/>
        <v>0.5</v>
      </c>
      <c r="AF39" s="177">
        <f t="shared" si="22"/>
        <v>0.99855835565013717</v>
      </c>
      <c r="AG39" s="811">
        <f t="shared" si="23"/>
        <v>-1</v>
      </c>
      <c r="AH39" s="176">
        <f t="shared" si="15"/>
        <v>5</v>
      </c>
      <c r="AI39" s="225">
        <f t="shared" si="24"/>
        <v>-1.4416443498628062E-3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44587</v>
      </c>
      <c r="B40" s="1140">
        <v>29.346</v>
      </c>
      <c r="C40" s="841"/>
      <c r="D40" s="393">
        <f t="shared" si="0"/>
        <v>30.21212027712884</v>
      </c>
      <c r="E40" s="385">
        <f t="shared" si="1"/>
        <v>31.032472690270467</v>
      </c>
      <c r="F40" s="385">
        <f t="shared" si="2"/>
        <v>31.037921449908918</v>
      </c>
      <c r="G40" s="110">
        <f t="shared" si="19"/>
        <v>0.96691500400873542</v>
      </c>
      <c r="H40" s="414" t="b">
        <f>Wh_hp&gt;='2021'!Maxi_hp</f>
        <v>1</v>
      </c>
      <c r="I40" s="380">
        <f>IF(H40,Wh_hp,'2021'!Maxi_hp)</f>
        <v>31.037921449908918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2.8667973951649772E-2</v>
      </c>
      <c r="M40" s="845"/>
      <c r="N40" s="845"/>
      <c r="O40" s="48">
        <f>IF(t&lt;Tnet,'2021'!Resal+('2021'!Salim-'2021'!Resal)*(1-EXP(('2021'!Tnet-t)/('2021'!Tau_j))),Resal+(Salim-Resal)*(1-EXP((Tnet-t)/(Tau_j))))*Salcycl</f>
        <v>2.6435289940618667E-2</v>
      </c>
      <c r="P40" s="339">
        <f>(INDEX(Models!$BJ40:$BT40,,T40)*(1-R40)+INDEX(Models!$BJ40:$BT40,,T40+1)*R40-ERP_i)*Q40*Ramure*Pc/MaxiM</f>
        <v>1.8425831245468045E-4</v>
      </c>
      <c r="Q40" s="305">
        <f t="shared" si="4"/>
        <v>0.5</v>
      </c>
      <c r="R40" s="177">
        <f t="shared" si="5"/>
        <v>0.99863631566252986</v>
      </c>
      <c r="S40" s="811">
        <f t="shared" si="6"/>
        <v>-1</v>
      </c>
      <c r="T40" s="176">
        <f t="shared" si="7"/>
        <v>5</v>
      </c>
      <c r="U40" s="251">
        <f t="shared" si="20"/>
        <v>-1.3636843374701375E-3</v>
      </c>
      <c r="V40" s="383">
        <f t="shared" si="8"/>
        <v>30.349869770352651</v>
      </c>
      <c r="W40" s="402">
        <f t="shared" si="9"/>
        <v>0</v>
      </c>
      <c r="X40" s="157">
        <f t="shared" si="10"/>
        <v>44587</v>
      </c>
      <c r="Y40" s="385">
        <f t="shared" si="11"/>
        <v>28.144855740745498</v>
      </c>
      <c r="Z40" s="385">
        <f t="shared" si="21"/>
        <v>28.975525346617701</v>
      </c>
      <c r="AA40" s="386">
        <f t="shared" si="12"/>
        <v>31.032472690270467</v>
      </c>
      <c r="AB40" s="197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6.6283707527362942E-2</v>
      </c>
      <c r="AD40" s="231">
        <f>(INDEX(Models!$BJ40:$BT40,,AH40)*(1-AF40)+INDEX(Models!$BJ40:$BT40,,AH40+1)*AF40-ERP_i)*AE40*Ramure*Pc/MaxiM</f>
        <v>1.8425831245468045E-4</v>
      </c>
      <c r="AE40" s="305">
        <f t="shared" si="14"/>
        <v>0.5</v>
      </c>
      <c r="AF40" s="177">
        <f t="shared" si="22"/>
        <v>0.99863631566252986</v>
      </c>
      <c r="AG40" s="811">
        <f t="shared" si="23"/>
        <v>-1</v>
      </c>
      <c r="AH40" s="176">
        <f t="shared" si="15"/>
        <v>5</v>
      </c>
      <c r="AI40" s="225">
        <f t="shared" si="24"/>
        <v>-1.3636843374701375E-3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x14ac:dyDescent="0.2">
      <c r="A41" s="56">
        <f t="shared" si="18"/>
        <v>44588</v>
      </c>
      <c r="B41" s="1140">
        <v>27.342000000000002</v>
      </c>
      <c r="C41" s="841"/>
      <c r="D41" s="393">
        <f t="shared" si="0"/>
        <v>28.149590603251884</v>
      </c>
      <c r="E41" s="385">
        <f t="shared" si="1"/>
        <v>28.91592972461682</v>
      </c>
      <c r="F41" s="385">
        <f t="shared" si="2"/>
        <v>28.920232617261767</v>
      </c>
      <c r="G41" s="110">
        <f t="shared" si="19"/>
        <v>0.89165069833534738</v>
      </c>
      <c r="H41" s="414" t="b">
        <f>Wh_hp&gt;='2021'!Maxi_hp</f>
        <v>1</v>
      </c>
      <c r="I41" s="380">
        <f>IF(H41,Wh_hp,'2021'!Maxi_hp)</f>
        <v>28.920232617261767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2.8689248615878182E-2</v>
      </c>
      <c r="M41" s="845"/>
      <c r="N41" s="845"/>
      <c r="O41" s="48">
        <f>IF(t&lt;Tnet,'2021'!Resal+('2021'!Salim-'2021'!Resal)*(1-EXP(('2021'!Tnet-t)/('2021'!Tau_j))),Resal+(Salim-Resal)*(1-EXP((Tnet-t)/(Tau_j))))*Salcycl</f>
        <v>2.6502316496935401E-2</v>
      </c>
      <c r="P41" s="339">
        <f>(INDEX(Models!$BJ41:$BT41,,T41)*(1-R41)+INDEX(Models!$BJ41:$BT41,,T41+1)*R41-ERP_i)*Q41*Ramure*Pc/MaxiM</f>
        <v>1.7602467700879971E-4</v>
      </c>
      <c r="Q41" s="305">
        <f t="shared" si="4"/>
        <v>0.5</v>
      </c>
      <c r="R41" s="177">
        <f t="shared" si="5"/>
        <v>0.99871752034435157</v>
      </c>
      <c r="S41" s="811">
        <f t="shared" si="6"/>
        <v>-1</v>
      </c>
      <c r="T41" s="176">
        <f t="shared" si="7"/>
        <v>5</v>
      </c>
      <c r="U41" s="251">
        <f t="shared" si="20"/>
        <v>-1.2824796556483954E-3</v>
      </c>
      <c r="V41" s="383">
        <f t="shared" si="8"/>
        <v>30.663638966500756</v>
      </c>
      <c r="W41" s="402">
        <f t="shared" si="9"/>
        <v>0</v>
      </c>
      <c r="X41" s="157">
        <f t="shared" si="10"/>
        <v>44588</v>
      </c>
      <c r="Y41" s="385">
        <f t="shared" si="11"/>
        <v>26.22383021136385</v>
      </c>
      <c r="Z41" s="385">
        <f t="shared" si="21"/>
        <v>26.998393844601004</v>
      </c>
      <c r="AA41" s="386">
        <f t="shared" si="12"/>
        <v>28.91592972461682</v>
      </c>
      <c r="AB41" s="197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6.6314170019004193E-2</v>
      </c>
      <c r="AD41" s="231">
        <f>(INDEX(Models!$BJ41:$BT41,,AH41)*(1-AF41)+INDEX(Models!$BJ41:$BT41,,AH41+1)*AF41-ERP_i)*AE41*Ramure*Pc/MaxiM</f>
        <v>1.7602467700879971E-4</v>
      </c>
      <c r="AE41" s="305">
        <f t="shared" si="14"/>
        <v>0.5</v>
      </c>
      <c r="AF41" s="177">
        <f t="shared" si="22"/>
        <v>0.99871752034435157</v>
      </c>
      <c r="AG41" s="811">
        <f t="shared" si="23"/>
        <v>-1</v>
      </c>
      <c r="AH41" s="176">
        <f t="shared" si="15"/>
        <v>5</v>
      </c>
      <c r="AI41" s="225">
        <f t="shared" si="24"/>
        <v>-1.2824796556483954E-3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44589</v>
      </c>
      <c r="B42" s="1140">
        <v>4.4660000000000002</v>
      </c>
      <c r="C42" s="841"/>
      <c r="D42" s="393">
        <f t="shared" si="0"/>
        <v>4.5980113085744874</v>
      </c>
      <c r="E42" s="385">
        <f t="shared" si="1"/>
        <v>4.7235118202699429</v>
      </c>
      <c r="F42" s="385">
        <f t="shared" si="2"/>
        <v>4.7235118202699429</v>
      </c>
      <c r="G42" s="110">
        <f t="shared" si="19"/>
        <v>0.14412296653231677</v>
      </c>
      <c r="H42" s="414" t="b">
        <f>Wh_hp&gt;='2021'!Maxi_hp</f>
        <v>0</v>
      </c>
      <c r="I42" s="380">
        <f>IF(H42,Wh_hp,'2021'!Maxi_hp)</f>
        <v>18.517028420857695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2.8710522814136885E-2</v>
      </c>
      <c r="M42" s="845"/>
      <c r="N42" s="845"/>
      <c r="O42" s="48">
        <f>IF(t&lt;Tnet,'2021'!Resal+('2021'!Salim-'2021'!Resal)*(1-EXP(('2021'!Tnet-t)/('2021'!Tau_j))),Resal+(Salim-Resal)*(1-EXP((Tnet-t)/(Tau_j))))*Salcycl</f>
        <v>2.656932309492618E-2</v>
      </c>
      <c r="P42" s="339">
        <f>(INDEX(Models!$BJ42:$BT42,,T42)*(1-R42)+INDEX(Models!$BJ42:$BT42,,T42+1)*R42-ERP_i)*Q42*Ramure*Pc/MaxiM</f>
        <v>1.6819191759855827E-4</v>
      </c>
      <c r="Q42" s="305">
        <f t="shared" si="4"/>
        <v>0.5</v>
      </c>
      <c r="R42" s="177">
        <f t="shared" si="5"/>
        <v>0.99880210361019761</v>
      </c>
      <c r="S42" s="811">
        <f t="shared" si="6"/>
        <v>-1</v>
      </c>
      <c r="T42" s="176">
        <f t="shared" si="7"/>
        <v>5</v>
      </c>
      <c r="U42" s="251">
        <f t="shared" si="20"/>
        <v>-1.1978963898024431E-3</v>
      </c>
      <c r="V42" s="383">
        <f t="shared" si="8"/>
        <v>30.982215828139786</v>
      </c>
      <c r="W42" s="402">
        <f t="shared" si="9"/>
        <v>0</v>
      </c>
      <c r="X42" s="157">
        <f t="shared" si="10"/>
        <v>44589</v>
      </c>
      <c r="Y42" s="385">
        <f t="shared" si="11"/>
        <v>4.2835146135986957</v>
      </c>
      <c r="Z42" s="385">
        <f t="shared" si="21"/>
        <v>4.410131803352189</v>
      </c>
      <c r="AA42" s="386">
        <f t="shared" si="12"/>
        <v>4.7235118202699429</v>
      </c>
      <c r="AB42" s="197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6.6344708945778638E-2</v>
      </c>
      <c r="AD42" s="231">
        <f>(INDEX(Models!$BJ42:$BT42,,AH42)*(1-AF42)+INDEX(Models!$BJ42:$BT42,,AH42+1)*AF42-ERP_i)*AE42*Ramure*Pc/MaxiM</f>
        <v>1.6819191759855827E-4</v>
      </c>
      <c r="AE42" s="305">
        <f t="shared" si="14"/>
        <v>0.5</v>
      </c>
      <c r="AF42" s="177">
        <f t="shared" si="22"/>
        <v>0.99880210361019761</v>
      </c>
      <c r="AG42" s="811">
        <f t="shared" si="23"/>
        <v>-1</v>
      </c>
      <c r="AH42" s="176">
        <f t="shared" si="15"/>
        <v>5</v>
      </c>
      <c r="AI42" s="225">
        <f t="shared" si="24"/>
        <v>-1.1978963898024431E-3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x14ac:dyDescent="0.2">
      <c r="A43" s="56">
        <f t="shared" si="18"/>
        <v>44590</v>
      </c>
      <c r="B43" s="1140">
        <v>9.793000000000001</v>
      </c>
      <c r="C43" s="841"/>
      <c r="D43" s="393">
        <f t="shared" si="0"/>
        <v>10.082693910063947</v>
      </c>
      <c r="E43" s="385">
        <f t="shared" si="1"/>
        <v>10.35860903193676</v>
      </c>
      <c r="F43" s="385">
        <f t="shared" si="2"/>
        <v>10.358639552060666</v>
      </c>
      <c r="G43" s="110">
        <f t="shared" si="19"/>
        <v>0.31278021592959032</v>
      </c>
      <c r="H43" s="414" t="b">
        <f>Wh_hp&gt;='2021'!Maxi_hp</f>
        <v>0</v>
      </c>
      <c r="I43" s="380">
        <f>IF(H43,Wh_hp,'2021'!Maxi_hp)</f>
        <v>20.355528257182332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2.8731796546435984E-2</v>
      </c>
      <c r="M43" s="845"/>
      <c r="N43" s="845"/>
      <c r="O43" s="48">
        <f>IF(t&lt;Tnet,'2021'!Resal+('2021'!Salim-'2021'!Resal)*(1-EXP(('2021'!Tnet-t)/('2021'!Tau_j))),Resal+(Salim-Resal)*(1-EXP((Tnet-t)/(Tau_j))))*Salcycl</f>
        <v>2.6636310051102036E-2</v>
      </c>
      <c r="P43" s="339">
        <f>(INDEX(Models!$BJ43:$BT43,,T43)*(1-R43)+INDEX(Models!$BJ43:$BT43,,T43+1)*R43-ERP_i)*Q43*Ramure*Pc/MaxiM</f>
        <v>1.6075668531526563E-4</v>
      </c>
      <c r="Q43" s="305">
        <f t="shared" si="4"/>
        <v>0.5</v>
      </c>
      <c r="R43" s="177">
        <f t="shared" si="5"/>
        <v>0.99889020480548285</v>
      </c>
      <c r="S43" s="811">
        <f t="shared" si="6"/>
        <v>-1</v>
      </c>
      <c r="T43" s="176">
        <f t="shared" si="7"/>
        <v>5</v>
      </c>
      <c r="U43" s="251">
        <f t="shared" si="20"/>
        <v>-1.10979519451717E-3</v>
      </c>
      <c r="V43" s="383">
        <f t="shared" si="8"/>
        <v>31.304584050118429</v>
      </c>
      <c r="W43" s="402">
        <f t="shared" si="9"/>
        <v>0</v>
      </c>
      <c r="X43" s="157">
        <f t="shared" si="10"/>
        <v>44590</v>
      </c>
      <c r="Y43" s="385">
        <f t="shared" si="11"/>
        <v>9.3931862706630387</v>
      </c>
      <c r="Z43" s="385">
        <f t="shared" si="21"/>
        <v>9.6710529977852033</v>
      </c>
      <c r="AA43" s="386">
        <f t="shared" si="12"/>
        <v>10.35860903193676</v>
      </c>
      <c r="AB43" s="197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6.6375324334738819E-2</v>
      </c>
      <c r="AD43" s="231">
        <f>(INDEX(Models!$BJ43:$BT43,,AH43)*(1-AF43)+INDEX(Models!$BJ43:$BT43,,AH43+1)*AF43-ERP_i)*AE43*Ramure*Pc/MaxiM</f>
        <v>1.6075668531526563E-4</v>
      </c>
      <c r="AE43" s="305">
        <f t="shared" si="14"/>
        <v>0.5</v>
      </c>
      <c r="AF43" s="177">
        <f t="shared" si="22"/>
        <v>0.99889020480548285</v>
      </c>
      <c r="AG43" s="811">
        <f t="shared" si="23"/>
        <v>-1</v>
      </c>
      <c r="AH43" s="176">
        <f t="shared" si="15"/>
        <v>5</v>
      </c>
      <c r="AI43" s="225">
        <f t="shared" si="24"/>
        <v>-1.10979519451717E-3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44591</v>
      </c>
      <c r="B44" s="1140">
        <v>4.6580000000000004</v>
      </c>
      <c r="C44" s="841"/>
      <c r="D44" s="393">
        <f t="shared" si="0"/>
        <v>4.7958967541880826</v>
      </c>
      <c r="E44" s="385">
        <f t="shared" si="1"/>
        <v>4.9274765267753207</v>
      </c>
      <c r="F44" s="385">
        <f t="shared" si="2"/>
        <v>4.9274765267753207</v>
      </c>
      <c r="G44" s="110">
        <f t="shared" si="19"/>
        <v>0.14724388530443536</v>
      </c>
      <c r="H44" s="414" t="b">
        <f>Wh_hp&gt;='2021'!Maxi_hp</f>
        <v>0</v>
      </c>
      <c r="I44" s="380">
        <f>IF(H44,Wh_hp,'2021'!Maxi_hp)</f>
        <v>12.271638358981564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2.8753069812785692E-2</v>
      </c>
      <c r="M44" s="845"/>
      <c r="N44" s="845"/>
      <c r="O44" s="48">
        <f>IF(t&lt;Tnet,'2021'!Resal+('2021'!Salim-'2021'!Resal)*(1-EXP(('2021'!Tnet-t)/('2021'!Tau_j))),Resal+(Salim-Resal)*(1-EXP((Tnet-t)/(Tau_j))))*Salcycl</f>
        <v>2.6703277402185394E-2</v>
      </c>
      <c r="P44" s="339">
        <f>(INDEX(Models!$BJ44:$BT44,,T44)*(1-R44)+INDEX(Models!$BJ44:$BT44,,T44+1)*R44-ERP_i)*Q44*Ramure*Pc/MaxiM</f>
        <v>1.5391730464140723E-4</v>
      </c>
      <c r="Q44" s="305">
        <f t="shared" si="4"/>
        <v>0.5</v>
      </c>
      <c r="R44" s="177">
        <f t="shared" si="5"/>
        <v>0.99898196891847635</v>
      </c>
      <c r="S44" s="811">
        <f t="shared" si="6"/>
        <v>-1</v>
      </c>
      <c r="T44" s="176">
        <f t="shared" si="7"/>
        <v>5</v>
      </c>
      <c r="U44" s="251">
        <f t="shared" si="20"/>
        <v>-1.0180310815236984E-3</v>
      </c>
      <c r="V44" s="383">
        <f t="shared" si="8"/>
        <v>31.629721285646429</v>
      </c>
      <c r="W44" s="402">
        <f t="shared" si="9"/>
        <v>0</v>
      </c>
      <c r="X44" s="157">
        <f t="shared" si="10"/>
        <v>44591</v>
      </c>
      <c r="Y44" s="385">
        <f t="shared" si="11"/>
        <v>4.4679907768543483</v>
      </c>
      <c r="Z44" s="385">
        <f t="shared" si="21"/>
        <v>4.6002624440657058</v>
      </c>
      <c r="AA44" s="386">
        <f t="shared" si="12"/>
        <v>4.9274765267753207</v>
      </c>
      <c r="AB44" s="197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6.6406015519621872E-2</v>
      </c>
      <c r="AD44" s="231">
        <f>(INDEX(Models!$BJ44:$BT44,,AH44)*(1-AF44)+INDEX(Models!$BJ44:$BT44,,AH44+1)*AF44-ERP_i)*AE44*Ramure*Pc/MaxiM</f>
        <v>1.5391730464140723E-4</v>
      </c>
      <c r="AE44" s="305">
        <f t="shared" si="14"/>
        <v>0.5</v>
      </c>
      <c r="AF44" s="177">
        <f t="shared" si="22"/>
        <v>0.99898196891847635</v>
      </c>
      <c r="AG44" s="811">
        <f t="shared" si="23"/>
        <v>-1</v>
      </c>
      <c r="AH44" s="176">
        <f t="shared" si="15"/>
        <v>5</v>
      </c>
      <c r="AI44" s="225">
        <f t="shared" si="24"/>
        <v>-1.0180310815236984E-3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44592</v>
      </c>
      <c r="B45" s="1140">
        <v>9.527000000000001</v>
      </c>
      <c r="C45" s="841"/>
      <c r="D45" s="393">
        <f t="shared" si="0"/>
        <v>9.8092548601254101</v>
      </c>
      <c r="E45" s="385">
        <f t="shared" si="1"/>
        <v>10.079073936113666</v>
      </c>
      <c r="F45" s="385">
        <f t="shared" si="2"/>
        <v>10.079073936113666</v>
      </c>
      <c r="G45" s="110">
        <f t="shared" si="19"/>
        <v>0.29807894617882846</v>
      </c>
      <c r="H45" s="414" t="b">
        <f>Wh_hp&gt;='2021'!Maxi_hp</f>
        <v>0</v>
      </c>
      <c r="I45" s="380">
        <f>IF(H45,Wh_hp,'2021'!Maxi_hp)</f>
        <v>23.585730416186674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2.8774342613196335E-2</v>
      </c>
      <c r="M45" s="845"/>
      <c r="N45" s="845"/>
      <c r="O45" s="48">
        <f>IF(t&lt;Tnet,'2021'!Resal+('2021'!Salim-'2021'!Resal)*(1-EXP(('2021'!Tnet-t)/('2021'!Tau_j))),Resal+(Salim-Resal)*(1-EXP((Tnet-t)/(Tau_j))))*Salcycl</f>
        <v>2.6770224893527646E-2</v>
      </c>
      <c r="P45" s="339">
        <f>(INDEX(Models!$BJ45:$BT45,,T45)*(1-R45)+INDEX(Models!$BJ45:$BT45,,T45+1)*R45-ERP_i)*Q45*Ramure*Pc/MaxiM</f>
        <v>1.4760667472956974E-4</v>
      </c>
      <c r="Q45" s="305">
        <f t="shared" si="4"/>
        <v>0.5</v>
      </c>
      <c r="R45" s="177">
        <f t="shared" si="5"/>
        <v>0.99907754679990635</v>
      </c>
      <c r="S45" s="811">
        <f t="shared" si="6"/>
        <v>-1</v>
      </c>
      <c r="T45" s="176">
        <f t="shared" si="7"/>
        <v>5</v>
      </c>
      <c r="U45" s="251">
        <f t="shared" si="20"/>
        <v>-9.22453200093638E-4</v>
      </c>
      <c r="V45" s="383">
        <f t="shared" si="8"/>
        <v>31.956613753911693</v>
      </c>
      <c r="W45" s="402">
        <f t="shared" si="9"/>
        <v>0</v>
      </c>
      <c r="X45" s="157">
        <f t="shared" si="10"/>
        <v>44592</v>
      </c>
      <c r="Y45" s="385">
        <f t="shared" si="11"/>
        <v>9.1387018911384246</v>
      </c>
      <c r="Z45" s="385">
        <f t="shared" si="21"/>
        <v>9.4094527071362304</v>
      </c>
      <c r="AA45" s="386">
        <f t="shared" si="12"/>
        <v>10.079073936113666</v>
      </c>
      <c r="AB45" s="197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6.6436781119162167E-2</v>
      </c>
      <c r="AD45" s="231">
        <f>(INDEX(Models!$BJ45:$BT45,,AH45)*(1-AF45)+INDEX(Models!$BJ45:$BT45,,AH45+1)*AF45-ERP_i)*AE45*Ramure*Pc/MaxiM</f>
        <v>1.4760667472956974E-4</v>
      </c>
      <c r="AE45" s="305">
        <f t="shared" si="14"/>
        <v>0.5</v>
      </c>
      <c r="AF45" s="177">
        <f t="shared" si="22"/>
        <v>0.99907754679990635</v>
      </c>
      <c r="AG45" s="811">
        <f t="shared" si="23"/>
        <v>-1</v>
      </c>
      <c r="AH45" s="176">
        <f t="shared" si="15"/>
        <v>5</v>
      </c>
      <c r="AI45" s="225">
        <f t="shared" si="24"/>
        <v>-9.22453200093638E-4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44593</v>
      </c>
      <c r="B46" s="1140">
        <v>13.831</v>
      </c>
      <c r="C46" s="841"/>
      <c r="D46" s="393">
        <f t="shared" si="0"/>
        <v>14.241080675572606</v>
      </c>
      <c r="E46" s="385">
        <f t="shared" si="1"/>
        <v>14.633810471123871</v>
      </c>
      <c r="F46" s="385">
        <f t="shared" si="2"/>
        <v>14.634191186375247</v>
      </c>
      <c r="G46" s="110">
        <f t="shared" si="19"/>
        <v>0.4283636738327416</v>
      </c>
      <c r="H46" s="414" t="b">
        <f>Wh_hp&gt;='2021'!Maxi_hp</f>
        <v>0</v>
      </c>
      <c r="I46" s="380">
        <f>IF(H46,Wh_hp,'2021'!Maxi_hp)</f>
        <v>27.944973498874095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2.8795614947678017E-2</v>
      </c>
      <c r="M46" s="845"/>
      <c r="N46" s="845"/>
      <c r="O46" s="48">
        <f>IF(t&lt;Tnet,'2021'!Resal+('2021'!Salim-'2021'!Resal)*(1-EXP(('2021'!Tnet-t)/('2021'!Tau_j))),Resal+(Salim-Resal)*(1-EXP((Tnet-t)/(Tau_j))))*Salcycl</f>
        <v>2.6837151972565115E-2</v>
      </c>
      <c r="P46" s="339">
        <f>(INDEX(Models!$BJ46:$BT46,,T46)*(1-R46)+INDEX(Models!$BJ46:$BT46,,T46+1)*R46-ERP_i)*Q46*Ramure*Pc/MaxiM</f>
        <v>1.4181417244371719E-4</v>
      </c>
      <c r="Q46" s="305">
        <f t="shared" si="4"/>
        <v>0.5</v>
      </c>
      <c r="R46" s="177">
        <f t="shared" si="5"/>
        <v>0.99917709539034683</v>
      </c>
      <c r="S46" s="811">
        <f t="shared" si="6"/>
        <v>-1</v>
      </c>
      <c r="T46" s="176">
        <f t="shared" si="7"/>
        <v>5</v>
      </c>
      <c r="U46" s="251">
        <f t="shared" si="20"/>
        <v>-8.2290460965316341E-4</v>
      </c>
      <c r="V46" s="383">
        <f t="shared" si="8"/>
        <v>32.284246286892675</v>
      </c>
      <c r="W46" s="402">
        <f t="shared" si="9"/>
        <v>0</v>
      </c>
      <c r="X46" s="157">
        <f t="shared" si="10"/>
        <v>44593</v>
      </c>
      <c r="Y46" s="385">
        <f t="shared" si="11"/>
        <v>13.267755121759686</v>
      </c>
      <c r="Z46" s="385">
        <f t="shared" si="21"/>
        <v>13.661135931799679</v>
      </c>
      <c r="AA46" s="386">
        <f t="shared" si="12"/>
        <v>14.633810471123871</v>
      </c>
      <c r="AB46" s="197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6.646761902810755E-2</v>
      </c>
      <c r="AD46" s="231">
        <f>(INDEX(Models!$BJ46:$BT46,,AH46)*(1-AF46)+INDEX(Models!$BJ46:$BT46,,AH46+1)*AF46-ERP_i)*AE46*Ramure*Pc/MaxiM</f>
        <v>1.4181417244371719E-4</v>
      </c>
      <c r="AE46" s="305">
        <f t="shared" si="14"/>
        <v>0.5</v>
      </c>
      <c r="AF46" s="177">
        <f t="shared" si="22"/>
        <v>0.99917709539034683</v>
      </c>
      <c r="AG46" s="811">
        <f t="shared" si="23"/>
        <v>-1</v>
      </c>
      <c r="AH46" s="176">
        <f t="shared" si="15"/>
        <v>5</v>
      </c>
      <c r="AI46" s="225">
        <f t="shared" si="24"/>
        <v>-8.2290460965316341E-4</v>
      </c>
      <c r="AJ46" s="265" t="b">
        <f t="shared" si="16"/>
        <v>0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44594</v>
      </c>
      <c r="B47" s="1140">
        <v>5.556</v>
      </c>
      <c r="C47" s="841"/>
      <c r="D47" s="393">
        <f t="shared" si="0"/>
        <v>5.7208572972260292</v>
      </c>
      <c r="E47" s="385">
        <f t="shared" si="1"/>
        <v>5.8791372798723627</v>
      </c>
      <c r="F47" s="385">
        <f t="shared" si="2"/>
        <v>5.8791372798723627</v>
      </c>
      <c r="G47" s="110">
        <f t="shared" si="19"/>
        <v>0.17034874017523327</v>
      </c>
      <c r="H47" s="414" t="b">
        <f>Wh_hp&gt;='2021'!Maxi_hp</f>
        <v>0</v>
      </c>
      <c r="I47" s="380">
        <f>IF(H47,Wh_hp,'2021'!Maxi_hp)</f>
        <v>29.540538398179784</v>
      </c>
      <c r="J47" s="85">
        <f>IF(H47,An,'2021'!An_max)</f>
        <v>2020</v>
      </c>
      <c r="K47" s="197">
        <f t="shared" si="3"/>
        <v>44594</v>
      </c>
      <c r="L47" s="147">
        <f>IF(t&lt;Tvie,1-EXP((T0-t)*PertePVj)+'2021'!Pspv,1-EXP((T0-t)*PertePVj)+Pspv)</f>
        <v>2.8816886816241061E-2</v>
      </c>
      <c r="M47" s="845"/>
      <c r="N47" s="845"/>
      <c r="O47" s="48">
        <f>IF(t&lt;Tnet,'2021'!Resal+('2021'!Salim-'2021'!Resal)*(1-EXP(('2021'!Tnet-t)/('2021'!Tau_j))),Resal+(Salim-Resal)*(1-EXP((Tnet-t)/(Tau_j))))*Salcycl</f>
        <v>2.6922314467501117E-2</v>
      </c>
      <c r="P47" s="339">
        <f>(INDEX(Models!$BJ47:$BT47,,T47)*(1-R47)+INDEX(Models!$BJ47:$BT47,,T47+1)*R47-ERP_i)*Q47*Ramure*Pc/MaxiM</f>
        <v>1.3652876100632736E-4</v>
      </c>
      <c r="Q47" s="305">
        <f t="shared" si="4"/>
        <v>0.5</v>
      </c>
      <c r="R47" s="177">
        <f t="shared" si="5"/>
        <v>0.99928077795559167</v>
      </c>
      <c r="S47" s="811">
        <f t="shared" si="6"/>
        <v>-1</v>
      </c>
      <c r="T47" s="176">
        <f t="shared" si="7"/>
        <v>5</v>
      </c>
      <c r="U47" s="251">
        <f t="shared" si="20"/>
        <v>-7.1922204440828287E-4</v>
      </c>
      <c r="V47" s="383">
        <f t="shared" si="8"/>
        <v>32.610992253240724</v>
      </c>
      <c r="W47" s="402">
        <f t="shared" si="9"/>
        <v>0</v>
      </c>
      <c r="X47" s="157">
        <f t="shared" si="10"/>
        <v>44594</v>
      </c>
      <c r="Y47" s="385">
        <f t="shared" si="11"/>
        <v>5.3299267162342607</v>
      </c>
      <c r="Z47" s="385">
        <f t="shared" si="21"/>
        <v>5.4880759806063244</v>
      </c>
      <c r="AA47" s="386">
        <f t="shared" si="12"/>
        <v>5.8791372798723627</v>
      </c>
      <c r="AB47" s="197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6.6516783100959972E-2</v>
      </c>
      <c r="AD47" s="231">
        <f>(INDEX(Models!$BJ47:$BT47,,AH47)*(1-AF47)+INDEX(Models!$BJ47:$BT47,,AH47+1)*AF47-ERP_i)*AE47*Ramure*Pc/MaxiM</f>
        <v>1.3652876100632736E-4</v>
      </c>
      <c r="AE47" s="305">
        <f t="shared" si="14"/>
        <v>0.5</v>
      </c>
      <c r="AF47" s="177">
        <f t="shared" si="22"/>
        <v>0.99928077795559167</v>
      </c>
      <c r="AG47" s="811">
        <f t="shared" si="23"/>
        <v>-1</v>
      </c>
      <c r="AH47" s="176">
        <f t="shared" si="15"/>
        <v>5</v>
      </c>
      <c r="AI47" s="225">
        <f t="shared" si="24"/>
        <v>-7.1922204440828287E-4</v>
      </c>
      <c r="AJ47" s="265" t="b">
        <f t="shared" si="16"/>
        <v>0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44595</v>
      </c>
      <c r="B48" s="1140">
        <v>10.472</v>
      </c>
      <c r="C48" s="841"/>
      <c r="D48" s="393">
        <f t="shared" si="0"/>
        <v>10.782960727528607</v>
      </c>
      <c r="E48" s="385">
        <f t="shared" si="1"/>
        <v>11.082264294467912</v>
      </c>
      <c r="F48" s="385">
        <f t="shared" si="2"/>
        <v>11.082301723473584</v>
      </c>
      <c r="G48" s="110">
        <f t="shared" si="19"/>
        <v>0.31790492969692002</v>
      </c>
      <c r="H48" s="414" t="b">
        <f>Wh_hp&gt;='2021'!Maxi_hp</f>
        <v>0</v>
      </c>
      <c r="I48" s="380">
        <f>IF(H48,Wh_hp,'2021'!Maxi_hp)</f>
        <v>27.40840746637317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2.8838158218895571E-2</v>
      </c>
      <c r="M48" s="845"/>
      <c r="N48" s="845"/>
      <c r="O48" s="48">
        <f>IF(t&lt;Tnet,'2021'!Resal+('2021'!Salim-'2021'!Resal)*(1-EXP(('2021'!Tnet-t)/('2021'!Tau_j))),Resal+(Salim-Resal)*(1-EXP((Tnet-t)/(Tau_j))))*Salcycl</f>
        <v>2.7007438099875707E-2</v>
      </c>
      <c r="P48" s="339">
        <f>(INDEX(Models!$BJ48:$BT48,,T48)*(1-R48)+INDEX(Models!$BJ48:$BT48,,T48+1)*R48-ERP_i)*Q48*Ramure*Pc/MaxiM</f>
        <v>1.3173917580407059E-4</v>
      </c>
      <c r="Q48" s="305">
        <f t="shared" si="4"/>
        <v>0.5</v>
      </c>
      <c r="R48" s="177">
        <f t="shared" si="5"/>
        <v>0.99938876433022472</v>
      </c>
      <c r="S48" s="811">
        <f t="shared" si="6"/>
        <v>-1</v>
      </c>
      <c r="T48" s="176">
        <f t="shared" si="7"/>
        <v>5</v>
      </c>
      <c r="U48" s="251">
        <f t="shared" si="20"/>
        <v>-6.1123566977529936E-4</v>
      </c>
      <c r="V48" s="383">
        <f t="shared" si="8"/>
        <v>32.936437319754461</v>
      </c>
      <c r="W48" s="402">
        <f t="shared" si="9"/>
        <v>0</v>
      </c>
      <c r="X48" s="157">
        <f t="shared" si="10"/>
        <v>44595</v>
      </c>
      <c r="Y48" s="385">
        <f t="shared" si="11"/>
        <v>10.046244201200068</v>
      </c>
      <c r="Z48" s="385">
        <f t="shared" si="21"/>
        <v>10.344562326270276</v>
      </c>
      <c r="AA48" s="386">
        <f t="shared" si="12"/>
        <v>11.082264294467912</v>
      </c>
      <c r="AB48" s="197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6.6565996676860056E-2</v>
      </c>
      <c r="AD48" s="231">
        <f>(INDEX(Models!$BJ48:$BT48,,AH48)*(1-AF48)+INDEX(Models!$BJ48:$BT48,,AH48+1)*AF48-ERP_i)*AE48*Ramure*Pc/MaxiM</f>
        <v>1.3173917580407059E-4</v>
      </c>
      <c r="AE48" s="305">
        <f t="shared" si="14"/>
        <v>0.5</v>
      </c>
      <c r="AF48" s="177">
        <f t="shared" si="22"/>
        <v>0.99938876433022472</v>
      </c>
      <c r="AG48" s="811">
        <f t="shared" si="23"/>
        <v>-1</v>
      </c>
      <c r="AH48" s="176">
        <f t="shared" si="15"/>
        <v>5</v>
      </c>
      <c r="AI48" s="225">
        <f t="shared" si="24"/>
        <v>-6.1123566977529936E-4</v>
      </c>
      <c r="AJ48" s="265" t="b">
        <f t="shared" si="16"/>
        <v>0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44596</v>
      </c>
      <c r="B49" s="1140">
        <v>10.369</v>
      </c>
      <c r="C49" s="841"/>
      <c r="D49" s="393">
        <f t="shared" si="0"/>
        <v>10.677136051462435</v>
      </c>
      <c r="E49" s="385">
        <f t="shared" si="1"/>
        <v>10.974461896595534</v>
      </c>
      <c r="F49" s="385">
        <f t="shared" si="2"/>
        <v>10.974485391623857</v>
      </c>
      <c r="G49" s="110">
        <f t="shared" si="19"/>
        <v>0.31172085452598347</v>
      </c>
      <c r="H49" s="414" t="b">
        <f>Wh_hp&gt;='2021'!Maxi_hp</f>
        <v>0</v>
      </c>
      <c r="I49" s="380">
        <f>IF(H49,Wh_hp,'2021'!Maxi_hp)</f>
        <v>27.911356460515268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2.8859429155651761E-2</v>
      </c>
      <c r="M49" s="845"/>
      <c r="N49" s="845"/>
      <c r="O49" s="48">
        <f>IF(t&lt;Tnet,'2021'!Resal+('2021'!Salim-'2021'!Resal)*(1-EXP(('2021'!Tnet-t)/('2021'!Tau_j))),Resal+(Salim-Resal)*(1-EXP((Tnet-t)/(Tau_j))))*Salcycl</f>
        <v>2.7092521522657457E-2</v>
      </c>
      <c r="P49" s="339">
        <f>(INDEX(Models!$BJ49:$BT49,,T49)*(1-R49)+INDEX(Models!$BJ49:$BT49,,T49+1)*R49-ERP_i)*Q49*Ramure*Pc/MaxiM</f>
        <v>1.2743409179121471E-4</v>
      </c>
      <c r="Q49" s="305">
        <f t="shared" si="4"/>
        <v>0.5</v>
      </c>
      <c r="R49" s="177">
        <f t="shared" si="5"/>
        <v>0.99950123116959066</v>
      </c>
      <c r="S49" s="811">
        <f t="shared" si="6"/>
        <v>-1</v>
      </c>
      <c r="T49" s="176">
        <f t="shared" si="7"/>
        <v>5</v>
      </c>
      <c r="U49" s="251">
        <f t="shared" si="20"/>
        <v>-4.987688304093317E-4</v>
      </c>
      <c r="V49" s="383">
        <f t="shared" si="8"/>
        <v>33.259567595003361</v>
      </c>
      <c r="W49" s="402">
        <f t="shared" si="9"/>
        <v>0</v>
      </c>
      <c r="X49" s="157">
        <f t="shared" si="10"/>
        <v>44596</v>
      </c>
      <c r="Y49" s="385">
        <f t="shared" si="11"/>
        <v>9.9477767705595586</v>
      </c>
      <c r="Z49" s="385">
        <f t="shared" si="21"/>
        <v>10.243395311875979</v>
      </c>
      <c r="AA49" s="386">
        <f t="shared" si="12"/>
        <v>10.974461896595534</v>
      </c>
      <c r="AB49" s="197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6.6615255636938694E-2</v>
      </c>
      <c r="AD49" s="231">
        <f>(INDEX(Models!$BJ49:$BT49,,AH49)*(1-AF49)+INDEX(Models!$BJ49:$BT49,,AH49+1)*AF49-ERP_i)*AE49*Ramure*Pc/MaxiM</f>
        <v>1.2743409179121471E-4</v>
      </c>
      <c r="AE49" s="305">
        <f t="shared" si="14"/>
        <v>0.5</v>
      </c>
      <c r="AF49" s="177">
        <f t="shared" si="22"/>
        <v>0.99950123116959066</v>
      </c>
      <c r="AG49" s="811">
        <f t="shared" si="23"/>
        <v>-1</v>
      </c>
      <c r="AH49" s="176">
        <f t="shared" si="15"/>
        <v>5</v>
      </c>
      <c r="AI49" s="225">
        <f t="shared" si="24"/>
        <v>-4.987688304093317E-4</v>
      </c>
      <c r="AJ49" s="265" t="b">
        <f t="shared" si="16"/>
        <v>0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44597</v>
      </c>
      <c r="B50" s="1140">
        <v>10.032</v>
      </c>
      <c r="C50" s="841"/>
      <c r="D50" s="393">
        <f t="shared" si="0"/>
        <v>10.330347668038128</v>
      </c>
      <c r="E50" s="385">
        <f t="shared" si="1"/>
        <v>10.618944707989318</v>
      </c>
      <c r="F50" s="385">
        <f t="shared" si="2"/>
        <v>10.618944707989318</v>
      </c>
      <c r="G50" s="110">
        <f t="shared" si="19"/>
        <v>0.2987179368976387</v>
      </c>
      <c r="H50" s="414" t="b">
        <f>Wh_hp&gt;='2021'!Maxi_hp</f>
        <v>0</v>
      </c>
      <c r="I50" s="380">
        <f>IF(H50,Wh_hp,'2021'!Maxi_hp)</f>
        <v>35.533389786711119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2.8880699626519735E-2</v>
      </c>
      <c r="M50" s="845"/>
      <c r="N50" s="845"/>
      <c r="O50" s="48">
        <f>IF(t&lt;Tnet,'2021'!Resal+('2021'!Salim-'2021'!Resal)*(1-EXP(('2021'!Tnet-t)/('2021'!Tau_j))),Resal+(Salim-Resal)*(1-EXP((Tnet-t)/(Tau_j))))*Salcycl</f>
        <v>2.7177563108889729E-2</v>
      </c>
      <c r="P50" s="339">
        <f>(INDEX(Models!$BJ50:$BT50,,T50)*(1-R50)+INDEX(Models!$BJ50:$BT50,,T50+1)*R50-ERP_i)*Q50*Ramure*Pc/MaxiM</f>
        <v>1.2360227361569396E-4</v>
      </c>
      <c r="Q50" s="305">
        <f t="shared" si="4"/>
        <v>0.5</v>
      </c>
      <c r="R50" s="177">
        <f t="shared" si="5"/>
        <v>0.99961836221037148</v>
      </c>
      <c r="S50" s="811">
        <f t="shared" si="6"/>
        <v>-1</v>
      </c>
      <c r="T50" s="176">
        <f t="shared" si="7"/>
        <v>5</v>
      </c>
      <c r="U50" s="251">
        <f t="shared" si="20"/>
        <v>-3.8163778962848217E-4</v>
      </c>
      <c r="V50" s="383">
        <f t="shared" si="8"/>
        <v>33.579369642701813</v>
      </c>
      <c r="W50" s="402">
        <f t="shared" si="9"/>
        <v>0</v>
      </c>
      <c r="X50" s="157">
        <f t="shared" si="10"/>
        <v>44597</v>
      </c>
      <c r="Y50" s="385">
        <f t="shared" si="11"/>
        <v>9.6247997856294596</v>
      </c>
      <c r="Z50" s="385">
        <f t="shared" si="21"/>
        <v>9.9110374821382727</v>
      </c>
      <c r="AA50" s="386">
        <f t="shared" si="12"/>
        <v>10.618944707989318</v>
      </c>
      <c r="AB50" s="197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6.6664555218791194E-2</v>
      </c>
      <c r="AD50" s="231">
        <f>(INDEX(Models!$BJ50:$BT50,,AH50)*(1-AF50)+INDEX(Models!$BJ50:$BT50,,AH50+1)*AF50-ERP_i)*AE50*Ramure*Pc/MaxiM</f>
        <v>1.2360227361569396E-4</v>
      </c>
      <c r="AE50" s="305">
        <f t="shared" si="14"/>
        <v>0.5</v>
      </c>
      <c r="AF50" s="177">
        <f t="shared" si="22"/>
        <v>0.99961836221037148</v>
      </c>
      <c r="AG50" s="811">
        <f t="shared" si="23"/>
        <v>-1</v>
      </c>
      <c r="AH50" s="176">
        <f t="shared" si="15"/>
        <v>5</v>
      </c>
      <c r="AI50" s="225">
        <f t="shared" si="24"/>
        <v>-3.8163778962848217E-4</v>
      </c>
      <c r="AJ50" s="265" t="b">
        <f t="shared" si="16"/>
        <v>0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44598</v>
      </c>
      <c r="B51" s="1140">
        <v>22.951000000000001</v>
      </c>
      <c r="C51" s="841"/>
      <c r="D51" s="393">
        <f t="shared" si="0"/>
        <v>23.634071208332159</v>
      </c>
      <c r="E51" s="385">
        <f t="shared" si="1"/>
        <v>24.296454788321039</v>
      </c>
      <c r="F51" s="385">
        <f t="shared" si="2"/>
        <v>24.298028425562677</v>
      </c>
      <c r="G51" s="110">
        <f t="shared" si="19"/>
        <v>0.67704448316844978</v>
      </c>
      <c r="H51" s="414" t="b">
        <f>Wh_hp&gt;='2021'!Maxi_hp</f>
        <v>0</v>
      </c>
      <c r="I51" s="380">
        <f>IF(H51,Wh_hp,'2021'!Maxi_hp)</f>
        <v>37.103452774243969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2.8901969631509927E-2</v>
      </c>
      <c r="M51" s="845"/>
      <c r="N51" s="845"/>
      <c r="O51" s="48">
        <f>IF(t&lt;Tnet,'2021'!Resal+('2021'!Salim-'2021'!Resal)*(1-EXP(('2021'!Tnet-t)/('2021'!Tau_j))),Resal+(Salim-Resal)*(1-EXP((Tnet-t)/(Tau_j))))*Salcycl</f>
        <v>2.7262560968659443E-2</v>
      </c>
      <c r="P51" s="339">
        <f>(INDEX(Models!$BJ51:$BT51,,T51)*(1-R51)+INDEX(Models!$BJ51:$BT51,,T51+1)*R51-ERP_i)*Q51*Ramure*Pc/MaxiM</f>
        <v>1.2022527641778221E-4</v>
      </c>
      <c r="Q51" s="305">
        <f t="shared" si="4"/>
        <v>0.5</v>
      </c>
      <c r="R51" s="177">
        <f t="shared" si="5"/>
        <v>0.99974034853996563</v>
      </c>
      <c r="S51" s="811">
        <f t="shared" si="6"/>
        <v>-1</v>
      </c>
      <c r="T51" s="176">
        <f t="shared" si="7"/>
        <v>5</v>
      </c>
      <c r="U51" s="251">
        <f t="shared" si="20"/>
        <v>-2.5965146003433274E-4</v>
      </c>
      <c r="V51" s="383">
        <f t="shared" si="8"/>
        <v>33.896926414856893</v>
      </c>
      <c r="W51" s="402">
        <f t="shared" si="9"/>
        <v>0</v>
      </c>
      <c r="X51" s="157">
        <f t="shared" si="10"/>
        <v>44598</v>
      </c>
      <c r="Y51" s="385">
        <f t="shared" si="11"/>
        <v>22.020175897042606</v>
      </c>
      <c r="Z51" s="385">
        <f t="shared" si="21"/>
        <v>22.675543774593891</v>
      </c>
      <c r="AA51" s="386">
        <f t="shared" si="12"/>
        <v>24.296454788321039</v>
      </c>
      <c r="AB51" s="197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6.6713890065405609E-2</v>
      </c>
      <c r="AD51" s="231">
        <f>(INDEX(Models!$BJ51:$BT51,,AH51)*(1-AF51)+INDEX(Models!$BJ51:$BT51,,AH51+1)*AF51-ERP_i)*AE51*Ramure*Pc/MaxiM</f>
        <v>1.2022527641778221E-4</v>
      </c>
      <c r="AE51" s="305">
        <f t="shared" si="14"/>
        <v>0.5</v>
      </c>
      <c r="AF51" s="177">
        <f t="shared" si="22"/>
        <v>0.99974034853996563</v>
      </c>
      <c r="AG51" s="811">
        <f t="shared" si="23"/>
        <v>-1</v>
      </c>
      <c r="AH51" s="176">
        <f t="shared" si="15"/>
        <v>5</v>
      </c>
      <c r="AI51" s="225">
        <f t="shared" si="24"/>
        <v>-2.5965146003433274E-4</v>
      </c>
      <c r="AJ51" s="265" t="b">
        <f t="shared" si="16"/>
        <v>0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44599</v>
      </c>
      <c r="B52" s="1140">
        <v>9.8480000000000008</v>
      </c>
      <c r="C52" s="841"/>
      <c r="D52" s="393">
        <f t="shared" si="0"/>
        <v>10.141319818619817</v>
      </c>
      <c r="E52" s="385">
        <f t="shared" si="1"/>
        <v>10.42645750034691</v>
      </c>
      <c r="F52" s="385">
        <f t="shared" si="2"/>
        <v>10.42645750034691</v>
      </c>
      <c r="G52" s="110">
        <f t="shared" si="19"/>
        <v>0.28780052342651685</v>
      </c>
      <c r="H52" s="414" t="b">
        <f>Wh_hp&gt;='2021'!Maxi_hp</f>
        <v>0</v>
      </c>
      <c r="I52" s="380">
        <f>IF(H52,Wh_hp,'2021'!Maxi_hp)</f>
        <v>25.358898167859724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2.8923239170632442E-2</v>
      </c>
      <c r="M52" s="845"/>
      <c r="N52" s="845"/>
      <c r="O52" s="48">
        <f>IF(t&lt;Tnet,'2021'!Resal+('2021'!Salim-'2021'!Resal)*(1-EXP(('2021'!Tnet-t)/('2021'!Tau_j))),Resal+(Salim-Resal)*(1-EXP((Tnet-t)/(Tau_j))))*Salcycl</f>
        <v>2.7347512970498981E-2</v>
      </c>
      <c r="P52" s="339">
        <f>(INDEX(Models!$BJ52:$BT52,,T52)*(1-R52)+INDEX(Models!$BJ52:$BT52,,T52+1)*R52-ERP_i)*Q52*Ramure*Pc/MaxiM</f>
        <v>1.176445692424985E-4</v>
      </c>
      <c r="Q52" s="305">
        <f t="shared" si="4"/>
        <v>0.5</v>
      </c>
      <c r="R52" s="177">
        <f t="shared" si="5"/>
        <v>0.99986738887486715</v>
      </c>
      <c r="S52" s="811">
        <f t="shared" si="6"/>
        <v>-1</v>
      </c>
      <c r="T52" s="176">
        <f t="shared" si="7"/>
        <v>5</v>
      </c>
      <c r="U52" s="251">
        <f t="shared" si="20"/>
        <v>-1.326111251328658E-4</v>
      </c>
      <c r="V52" s="383">
        <f t="shared" si="8"/>
        <v>34.214119276250244</v>
      </c>
      <c r="W52" s="402">
        <f t="shared" si="9"/>
        <v>0</v>
      </c>
      <c r="X52" s="157">
        <f t="shared" si="10"/>
        <v>44599</v>
      </c>
      <c r="Y52" s="385">
        <f t="shared" si="11"/>
        <v>9.4489199322129345</v>
      </c>
      <c r="Z52" s="385">
        <f t="shared" si="21"/>
        <v>9.7303532669682014</v>
      </c>
      <c r="AA52" s="386">
        <f t="shared" si="12"/>
        <v>10.42645750034691</v>
      </c>
      <c r="AB52" s="197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6.6763254284165699E-2</v>
      </c>
      <c r="AD52" s="231">
        <f>(INDEX(Models!$BJ52:$BT52,,AH52)*(1-AF52)+INDEX(Models!$BJ52:$BT52,,AH52+1)*AF52-ERP_i)*AE52*Ramure*Pc/MaxiM</f>
        <v>1.176445692424985E-4</v>
      </c>
      <c r="AE52" s="305">
        <f t="shared" si="14"/>
        <v>0.5</v>
      </c>
      <c r="AF52" s="177">
        <f t="shared" si="22"/>
        <v>0.99986738887486715</v>
      </c>
      <c r="AG52" s="811">
        <f t="shared" si="23"/>
        <v>-1</v>
      </c>
      <c r="AH52" s="176">
        <f t="shared" si="15"/>
        <v>5</v>
      </c>
      <c r="AI52" s="225">
        <f t="shared" si="24"/>
        <v>-1.326111251328658E-4</v>
      </c>
      <c r="AJ52" s="265" t="b">
        <f t="shared" si="16"/>
        <v>0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44600</v>
      </c>
      <c r="B53" s="1140">
        <v>34.517000000000003</v>
      </c>
      <c r="C53" s="841"/>
      <c r="D53" s="393">
        <f t="shared" si="0"/>
        <v>35.545857361434443</v>
      </c>
      <c r="E53" s="385">
        <f t="shared" si="1"/>
        <v>36.548470228949753</v>
      </c>
      <c r="F53" s="385">
        <f t="shared" si="2"/>
        <v>36.552695320269571</v>
      </c>
      <c r="G53" s="110">
        <f t="shared" si="19"/>
        <v>0.99958994093194287</v>
      </c>
      <c r="H53" s="414" t="b">
        <f>Wh_hp&gt;='2021'!Maxi_hp</f>
        <v>1</v>
      </c>
      <c r="I53" s="380">
        <f>IF(H53,Wh_hp,'2021'!Maxi_hp)</f>
        <v>36.552695320269571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2.8944508243897382E-2</v>
      </c>
      <c r="M53" s="845"/>
      <c r="N53" s="845"/>
      <c r="O53" s="48">
        <f>IF(t&lt;Tnet,'2021'!Resal+('2021'!Salim-'2021'!Resal)*(1-EXP(('2021'!Tnet-t)/('2021'!Tau_j))),Resal+(Salim-Resal)*(1-EXP((Tnet-t)/(Tau_j))))*Salcycl</f>
        <v>2.7432416766958203E-2</v>
      </c>
      <c r="P53" s="339">
        <f>(INDEX(Models!$BJ53:$BT53,,T53)*(1-R53)+INDEX(Models!$BJ53:$BT53,,T53+1)*R53-ERP_i)*Q53*Ramure*Pc/MaxiM</f>
        <v>1.1565679020791483E-4</v>
      </c>
      <c r="Q53" s="305">
        <f t="shared" si="4"/>
        <v>0.5</v>
      </c>
      <c r="R53" s="177">
        <f t="shared" si="5"/>
        <v>0.9999996898482334</v>
      </c>
      <c r="S53" s="811">
        <f t="shared" si="6"/>
        <v>-1</v>
      </c>
      <c r="T53" s="176">
        <f t="shared" si="7"/>
        <v>5</v>
      </c>
      <c r="U53" s="251">
        <f t="shared" si="20"/>
        <v>-3.1015176660351834E-7</v>
      </c>
      <c r="V53" s="383">
        <f t="shared" si="8"/>
        <v>34.531157475787609</v>
      </c>
      <c r="W53" s="402">
        <f t="shared" si="9"/>
        <v>0</v>
      </c>
      <c r="X53" s="157">
        <f t="shared" si="10"/>
        <v>44600</v>
      </c>
      <c r="Y53" s="385">
        <f t="shared" si="11"/>
        <v>33.119372481803296</v>
      </c>
      <c r="Z53" s="385">
        <f t="shared" si="21"/>
        <v>34.106570389616621</v>
      </c>
      <c r="AA53" s="386">
        <f t="shared" si="12"/>
        <v>36.548470228949753</v>
      </c>
      <c r="AB53" s="197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6.6812641515127599E-2</v>
      </c>
      <c r="AD53" s="231">
        <f>(INDEX(Models!$BJ53:$BT53,,AH53)*(1-AF53)+INDEX(Models!$BJ53:$BT53,,AH53+1)*AF53-ERP_i)*AE53*Ramure*Pc/MaxiM</f>
        <v>1.1565679020791483E-4</v>
      </c>
      <c r="AE53" s="305">
        <f t="shared" si="14"/>
        <v>0.5</v>
      </c>
      <c r="AF53" s="177">
        <f t="shared" si="22"/>
        <v>0.9999996898482334</v>
      </c>
      <c r="AG53" s="811">
        <f t="shared" si="23"/>
        <v>-1</v>
      </c>
      <c r="AH53" s="176">
        <f t="shared" si="15"/>
        <v>5</v>
      </c>
      <c r="AI53" s="225">
        <f t="shared" si="24"/>
        <v>-3.1015176660351834E-7</v>
      </c>
      <c r="AJ53" s="265" t="b">
        <f t="shared" si="16"/>
        <v>0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44601</v>
      </c>
      <c r="B54" s="1140">
        <v>34.743000000000002</v>
      </c>
      <c r="C54" s="841"/>
      <c r="D54" s="393">
        <f t="shared" si="0"/>
        <v>35.77937746348632</v>
      </c>
      <c r="E54" s="385">
        <f t="shared" si="1"/>
        <v>36.791786993495052</v>
      </c>
      <c r="F54" s="385">
        <f t="shared" si="2"/>
        <v>36.795972708739512</v>
      </c>
      <c r="G54" s="110">
        <f t="shared" si="19"/>
        <v>0.99697944657186344</v>
      </c>
      <c r="H54" s="414" t="b">
        <f>Wh_hp&gt;='2021'!Maxi_hp</f>
        <v>1</v>
      </c>
      <c r="I54" s="380">
        <f>IF(H54,Wh_hp,'2021'!Maxi_hp)</f>
        <v>36.795972708739512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2.8965776851315073E-2</v>
      </c>
      <c r="M54" s="845"/>
      <c r="N54" s="845"/>
      <c r="O54" s="48">
        <f>IF(t&lt;Tnet,'2021'!Resal+('2021'!Salim-'2021'!Resal)*(1-EXP(('2021'!Tnet-t)/('2021'!Tau_j))),Resal+(Salim-Resal)*(1-EXP((Tnet-t)/(Tau_j))))*Salcycl</f>
        <v>2.7517269824043344E-2</v>
      </c>
      <c r="P54" s="339">
        <f>(INDEX(Models!$BJ54:$BT54,,T54)*(1-R54)+INDEX(Models!$BJ54:$BT54,,T54+1)*R54-ERP_i)*Q54*Ramure*Pc/MaxiM</f>
        <v>1.142476180600553E-4</v>
      </c>
      <c r="Q54" s="305">
        <f t="shared" si="4"/>
        <v>0.5</v>
      </c>
      <c r="R54" s="177">
        <f t="shared" si="5"/>
        <v>1.3746630682452904E-4</v>
      </c>
      <c r="S54" s="811">
        <f t="shared" si="6"/>
        <v>0</v>
      </c>
      <c r="T54" s="176">
        <f t="shared" si="7"/>
        <v>6</v>
      </c>
      <c r="U54" s="251">
        <f t="shared" si="20"/>
        <v>1.3746630682452904E-4</v>
      </c>
      <c r="V54" s="383">
        <f t="shared" si="8"/>
        <v>34.848243855426631</v>
      </c>
      <c r="W54" s="402">
        <f t="shared" si="9"/>
        <v>0</v>
      </c>
      <c r="X54" s="157">
        <f t="shared" si="10"/>
        <v>44601</v>
      </c>
      <c r="Y54" s="385">
        <f t="shared" si="11"/>
        <v>33.337365244966293</v>
      </c>
      <c r="Z54" s="385">
        <f t="shared" si="21"/>
        <v>34.331812875622688</v>
      </c>
      <c r="AA54" s="386">
        <f t="shared" si="12"/>
        <v>36.791786993495052</v>
      </c>
      <c r="AB54" s="197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6.6862045007688775E-2</v>
      </c>
      <c r="AD54" s="231">
        <f>(INDEX(Models!$BJ54:$BT54,,AH54)*(1-AF54)+INDEX(Models!$BJ54:$BT54,,AH54+1)*AF54-ERP_i)*AE54*Ramure*Pc/MaxiM</f>
        <v>1.142476180600553E-4</v>
      </c>
      <c r="AE54" s="305">
        <f t="shared" si="14"/>
        <v>0.5</v>
      </c>
      <c r="AF54" s="177">
        <f t="shared" si="22"/>
        <v>1.3746630682452904E-4</v>
      </c>
      <c r="AG54" s="811">
        <f t="shared" si="23"/>
        <v>0</v>
      </c>
      <c r="AH54" s="176">
        <f t="shared" si="15"/>
        <v>6</v>
      </c>
      <c r="AI54" s="225">
        <f t="shared" si="24"/>
        <v>1.3746630682452904E-4</v>
      </c>
      <c r="AJ54" s="265" t="b">
        <f t="shared" si="16"/>
        <v>0</v>
      </c>
      <c r="AK54" s="265" t="b">
        <f t="shared" si="17"/>
        <v>0</v>
      </c>
      <c r="AL54" s="265"/>
      <c r="AM54" s="265"/>
      <c r="AN54" s="75"/>
    </row>
    <row r="55" spans="1:40" s="6" customFormat="1" ht="11.25" x14ac:dyDescent="0.2">
      <c r="A55" s="56">
        <f t="shared" si="18"/>
        <v>44602</v>
      </c>
      <c r="B55" s="1140">
        <v>32.297000000000004</v>
      </c>
      <c r="C55" s="841"/>
      <c r="D55" s="393">
        <f t="shared" si="0"/>
        <v>33.261142226226738</v>
      </c>
      <c r="E55" s="385">
        <f t="shared" si="1"/>
        <v>34.205278704734539</v>
      </c>
      <c r="F55" s="385">
        <f t="shared" si="2"/>
        <v>34.208705851140202</v>
      </c>
      <c r="G55" s="110">
        <f t="shared" si="19"/>
        <v>0.91841431067943868</v>
      </c>
      <c r="H55" s="414" t="b">
        <f>Wh_hp&gt;='2021'!Maxi_hp</f>
        <v>1</v>
      </c>
      <c r="I55" s="380">
        <f>IF(H55,Wh_hp,'2021'!Maxi_hp)</f>
        <v>34.208705851140202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2.8987044992895616E-2</v>
      </c>
      <c r="M55" s="845"/>
      <c r="N55" s="845"/>
      <c r="O55" s="48">
        <f>IF(t&lt;Tnet,'2021'!Resal+('2021'!Salim-'2021'!Resal)*(1-EXP(('2021'!Tnet-t)/('2021'!Tau_j))),Resal+(Salim-Resal)*(1-EXP((Tnet-t)/(Tau_j))))*Salcycl</f>
        <v>2.7602069454183826E-2</v>
      </c>
      <c r="P55" s="339">
        <f>(INDEX(Models!$BJ55:$BT55,,T55)*(1-R55)+INDEX(Models!$BJ55:$BT55,,T55+1)*R55-ERP_i)*Q55*Ramure*Pc/MaxiM</f>
        <v>1.1339815742507788E-4</v>
      </c>
      <c r="Q55" s="305">
        <f t="shared" si="4"/>
        <v>0.5</v>
      </c>
      <c r="R55" s="177">
        <f t="shared" si="5"/>
        <v>2.8094161748703616E-4</v>
      </c>
      <c r="S55" s="811">
        <f t="shared" si="6"/>
        <v>0</v>
      </c>
      <c r="T55" s="176">
        <f t="shared" si="7"/>
        <v>6</v>
      </c>
      <c r="U55" s="251">
        <f t="shared" si="20"/>
        <v>2.8094161748703616E-4</v>
      </c>
      <c r="V55" s="383">
        <f t="shared" si="8"/>
        <v>35.165581357459203</v>
      </c>
      <c r="W55" s="402">
        <f t="shared" si="9"/>
        <v>0</v>
      </c>
      <c r="X55" s="157">
        <f t="shared" si="10"/>
        <v>44602</v>
      </c>
      <c r="Y55" s="385">
        <f t="shared" si="11"/>
        <v>30.991387068867756</v>
      </c>
      <c r="Z55" s="385">
        <f t="shared" si="21"/>
        <v>31.916553645405283</v>
      </c>
      <c r="AA55" s="386">
        <f t="shared" si="12"/>
        <v>34.205278704734539</v>
      </c>
      <c r="AB55" s="197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6.6911457704698113E-2</v>
      </c>
      <c r="AD55" s="231">
        <f>(INDEX(Models!$BJ55:$BT55,,AH55)*(1-AF55)+INDEX(Models!$BJ55:$BT55,,AH55+1)*AF55-ERP_i)*AE55*Ramure*Pc/MaxiM</f>
        <v>1.1339815742507788E-4</v>
      </c>
      <c r="AE55" s="305">
        <f t="shared" si="14"/>
        <v>0.5</v>
      </c>
      <c r="AF55" s="177">
        <f t="shared" si="22"/>
        <v>2.8094161748703616E-4</v>
      </c>
      <c r="AG55" s="811">
        <f t="shared" si="23"/>
        <v>0</v>
      </c>
      <c r="AH55" s="176">
        <f t="shared" si="15"/>
        <v>6</v>
      </c>
      <c r="AI55" s="225">
        <f t="shared" si="24"/>
        <v>2.8094161748703616E-4</v>
      </c>
      <c r="AJ55" s="265" t="b">
        <f t="shared" si="16"/>
        <v>0</v>
      </c>
      <c r="AK55" s="265" t="b">
        <f t="shared" si="17"/>
        <v>0</v>
      </c>
      <c r="AL55" s="265"/>
      <c r="AM55" s="265"/>
      <c r="AN55" s="75"/>
    </row>
    <row r="56" spans="1:40" s="6" customFormat="1" ht="11.25" x14ac:dyDescent="0.2">
      <c r="A56" s="56">
        <f t="shared" si="18"/>
        <v>44603</v>
      </c>
      <c r="B56" s="1140">
        <v>18.029</v>
      </c>
      <c r="C56" s="841"/>
      <c r="D56" s="393">
        <f t="shared" si="0"/>
        <v>18.567615186851345</v>
      </c>
      <c r="E56" s="385">
        <f t="shared" si="1"/>
        <v>19.096331750185211</v>
      </c>
      <c r="F56" s="385">
        <f t="shared" si="2"/>
        <v>19.096973798556299</v>
      </c>
      <c r="G56" s="110">
        <f t="shared" si="19"/>
        <v>0.50805675296767039</v>
      </c>
      <c r="H56" s="414" t="b">
        <f>Wh_hp&gt;='2021'!Maxi_hp</f>
        <v>0</v>
      </c>
      <c r="I56" s="380">
        <f>IF(H56,Wh_hp,'2021'!Maxi_hp)</f>
        <v>30.625815125737557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2.9008312668649339E-2</v>
      </c>
      <c r="M56" s="845"/>
      <c r="N56" s="845"/>
      <c r="O56" s="48">
        <f>IF(t&lt;Tnet,'2021'!Resal+('2021'!Salim-'2021'!Resal)*(1-EXP(('2021'!Tnet-t)/('2021'!Tau_j))),Resal+(Salim-Resal)*(1-EXP((Tnet-t)/(Tau_j))))*Salcycl</f>
        <v>2.7686812852355212E-2</v>
      </c>
      <c r="P56" s="339">
        <f>(INDEX(Models!$BJ56:$BT56,,T56)*(1-R56)+INDEX(Models!$BJ56:$BT56,,T56+1)*R56-ERP_i)*Q56*Ramure*Pc/MaxiM</f>
        <v>1.1309284702065104E-4</v>
      </c>
      <c r="Q56" s="305">
        <f t="shared" si="4"/>
        <v>0.5</v>
      </c>
      <c r="R56" s="177">
        <f t="shared" si="5"/>
        <v>4.3034798334824157E-4</v>
      </c>
      <c r="S56" s="811">
        <f t="shared" si="6"/>
        <v>0</v>
      </c>
      <c r="T56" s="176">
        <f t="shared" si="7"/>
        <v>6</v>
      </c>
      <c r="U56" s="251">
        <f t="shared" si="20"/>
        <v>4.3034798334824157E-4</v>
      </c>
      <c r="V56" s="383">
        <f t="shared" si="8"/>
        <v>35.483372749644978</v>
      </c>
      <c r="W56" s="402">
        <f t="shared" si="9"/>
        <v>0</v>
      </c>
      <c r="X56" s="157">
        <f t="shared" si="10"/>
        <v>44603</v>
      </c>
      <c r="Y56" s="385">
        <f t="shared" si="11"/>
        <v>17.30076548900497</v>
      </c>
      <c r="Z56" s="385">
        <f t="shared" si="21"/>
        <v>17.817624717832512</v>
      </c>
      <c r="AA56" s="386">
        <f t="shared" si="12"/>
        <v>19.096331750185211</v>
      </c>
      <c r="AB56" s="197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6.6960872332996552E-2</v>
      </c>
      <c r="AD56" s="231">
        <f>(INDEX(Models!$BJ56:$BT56,,AH56)*(1-AF56)+INDEX(Models!$BJ56:$BT56,,AH56+1)*AF56-ERP_i)*AE56*Ramure*Pc/MaxiM</f>
        <v>1.1309284702065104E-4</v>
      </c>
      <c r="AE56" s="305">
        <f t="shared" si="14"/>
        <v>0.5</v>
      </c>
      <c r="AF56" s="177">
        <f t="shared" si="22"/>
        <v>4.3034798334824157E-4</v>
      </c>
      <c r="AG56" s="811">
        <f t="shared" si="23"/>
        <v>0</v>
      </c>
      <c r="AH56" s="176">
        <f t="shared" si="15"/>
        <v>6</v>
      </c>
      <c r="AI56" s="225">
        <f t="shared" si="24"/>
        <v>4.3034798334824157E-4</v>
      </c>
      <c r="AJ56" s="265" t="b">
        <f t="shared" si="16"/>
        <v>0</v>
      </c>
      <c r="AK56" s="265" t="b">
        <f t="shared" si="17"/>
        <v>0</v>
      </c>
      <c r="AL56" s="265"/>
      <c r="AM56" s="265"/>
      <c r="AN56" s="75"/>
    </row>
    <row r="57" spans="1:40" s="6" customFormat="1" ht="11.25" x14ac:dyDescent="0.2">
      <c r="A57" s="56">
        <f t="shared" si="18"/>
        <v>44604</v>
      </c>
      <c r="B57" s="1140">
        <v>27.39</v>
      </c>
      <c r="C57" s="841"/>
      <c r="D57" s="393">
        <f t="shared" si="0"/>
        <v>28.208892292079359</v>
      </c>
      <c r="E57" s="385">
        <f t="shared" si="1"/>
        <v>29.014673205888482</v>
      </c>
      <c r="F57" s="385">
        <f t="shared" si="2"/>
        <v>29.016857650833213</v>
      </c>
      <c r="G57" s="110">
        <f t="shared" si="19"/>
        <v>0.76501578974062401</v>
      </c>
      <c r="H57" s="414" t="b">
        <f>Wh_hp&gt;='2021'!Maxi_hp</f>
        <v>0</v>
      </c>
      <c r="I57" s="380">
        <f>IF(H57,Wh_hp,'2021'!Maxi_hp)</f>
        <v>38.463815462769276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2.9029579878586453E-2</v>
      </c>
      <c r="M57" s="845"/>
      <c r="N57" s="845"/>
      <c r="O57" s="48">
        <f>IF(t&lt;Tnet,'2021'!Resal+('2021'!Salim-'2021'!Resal)*(1-EXP(('2021'!Tnet-t)/('2021'!Tau_j))),Resal+(Salim-Resal)*(1-EXP((Tnet-t)/(Tau_j))))*Salcycl</f>
        <v>2.7771497134959668E-2</v>
      </c>
      <c r="P57" s="339">
        <f>(INDEX(Models!$BJ57:$BT57,,T57)*(1-R57)+INDEX(Models!$BJ57:$BT57,,T57+1)*R57-ERP_i)*Q57*Ramure*Pc/MaxiM</f>
        <v>1.1331669189739582E-4</v>
      </c>
      <c r="Q57" s="305">
        <f t="shared" si="4"/>
        <v>0.5</v>
      </c>
      <c r="R57" s="177">
        <f t="shared" si="5"/>
        <v>5.8592676987108318E-4</v>
      </c>
      <c r="S57" s="811">
        <f t="shared" si="6"/>
        <v>0</v>
      </c>
      <c r="T57" s="176">
        <f t="shared" si="7"/>
        <v>6</v>
      </c>
      <c r="U57" s="251">
        <f t="shared" si="20"/>
        <v>5.8592676987108318E-4</v>
      </c>
      <c r="V57" s="383">
        <f t="shared" si="8"/>
        <v>35.801820716183109</v>
      </c>
      <c r="W57" s="402">
        <f t="shared" si="9"/>
        <v>0</v>
      </c>
      <c r="X57" s="157">
        <f t="shared" si="10"/>
        <v>44604</v>
      </c>
      <c r="Y57" s="385">
        <f t="shared" si="11"/>
        <v>26.284549686032662</v>
      </c>
      <c r="Z57" s="385">
        <f t="shared" si="21"/>
        <v>27.070391786750776</v>
      </c>
      <c r="AA57" s="386">
        <f t="shared" si="12"/>
        <v>29.014673205888482</v>
      </c>
      <c r="AB57" s="197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6.7010281499331747E-2</v>
      </c>
      <c r="AD57" s="231">
        <f>(INDEX(Models!$BJ57:$BT57,,AH57)*(1-AF57)+INDEX(Models!$BJ57:$BT57,,AH57+1)*AF57-ERP_i)*AE57*Ramure*Pc/MaxiM</f>
        <v>1.1331669189739582E-4</v>
      </c>
      <c r="AE57" s="305">
        <f t="shared" si="14"/>
        <v>0.5</v>
      </c>
      <c r="AF57" s="177">
        <f t="shared" si="22"/>
        <v>5.8592676987108318E-4</v>
      </c>
      <c r="AG57" s="811">
        <f t="shared" si="23"/>
        <v>0</v>
      </c>
      <c r="AH57" s="176">
        <f t="shared" si="15"/>
        <v>6</v>
      </c>
      <c r="AI57" s="225">
        <f t="shared" si="24"/>
        <v>5.8592676987108318E-4</v>
      </c>
      <c r="AJ57" s="265" t="b">
        <f t="shared" si="16"/>
        <v>0</v>
      </c>
      <c r="AK57" s="265" t="b">
        <f t="shared" si="17"/>
        <v>0</v>
      </c>
      <c r="AL57" s="265"/>
      <c r="AM57" s="265"/>
      <c r="AN57" s="75"/>
    </row>
    <row r="58" spans="1:40" s="6" customFormat="1" ht="11.25" x14ac:dyDescent="0.2">
      <c r="A58" s="56">
        <f t="shared" si="18"/>
        <v>44605</v>
      </c>
      <c r="B58" s="1140">
        <v>32.377000000000002</v>
      </c>
      <c r="C58" s="841"/>
      <c r="D58" s="393">
        <f t="shared" si="0"/>
        <v>33.345721439049676</v>
      </c>
      <c r="E58" s="385">
        <f t="shared" si="1"/>
        <v>34.301220327405304</v>
      </c>
      <c r="F58" s="385">
        <f t="shared" si="2"/>
        <v>34.304560177817805</v>
      </c>
      <c r="G58" s="110">
        <f t="shared" si="19"/>
        <v>0.89633024459869148</v>
      </c>
      <c r="H58" s="414" t="b">
        <f>Wh_hp&gt;='2021'!Maxi_hp</f>
        <v>0</v>
      </c>
      <c r="I58" s="380">
        <f>IF(H58,Wh_hp,'2021'!Maxi_hp)</f>
        <v>39.79279391744533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2.9050846622716953E-2</v>
      </c>
      <c r="M58" s="845"/>
      <c r="N58" s="845"/>
      <c r="O58" s="48">
        <f>IF(t&lt;Tnet,'2021'!Resal+('2021'!Salim-'2021'!Resal)*(1-EXP(('2021'!Tnet-t)/('2021'!Tau_j))),Resal+(Salim-Resal)*(1-EXP((Tnet-t)/(Tau_j))))*Salcycl</f>
        <v>2.7856119381041954E-2</v>
      </c>
      <c r="P58" s="339">
        <f>(INDEX(Models!$BJ58:$BT58,,T58)*(1-R58)+INDEX(Models!$BJ58:$BT58,,T58+1)*R58-ERP_i)*Q58*Ramure*Pc/MaxiM</f>
        <v>1.142813378936273E-4</v>
      </c>
      <c r="Q58" s="305">
        <f t="shared" si="4"/>
        <v>0.5</v>
      </c>
      <c r="R58" s="177">
        <f t="shared" si="5"/>
        <v>7.479288409102656E-4</v>
      </c>
      <c r="S58" s="811">
        <f t="shared" si="6"/>
        <v>0</v>
      </c>
      <c r="T58" s="176">
        <f t="shared" si="7"/>
        <v>6</v>
      </c>
      <c r="U58" s="251">
        <f t="shared" si="20"/>
        <v>7.479288409102656E-4</v>
      </c>
      <c r="V58" s="383">
        <f t="shared" si="8"/>
        <v>36.121119688156583</v>
      </c>
      <c r="W58" s="402">
        <f t="shared" si="9"/>
        <v>0</v>
      </c>
      <c r="X58" s="157">
        <f t="shared" si="10"/>
        <v>44605</v>
      </c>
      <c r="Y58" s="385">
        <f t="shared" si="11"/>
        <v>31.071335647294667</v>
      </c>
      <c r="Z58" s="385">
        <f t="shared" si="21"/>
        <v>32.000991544426668</v>
      </c>
      <c r="AA58" s="386">
        <f t="shared" si="12"/>
        <v>34.301220327405304</v>
      </c>
      <c r="AB58" s="197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6.7059677790554939E-2</v>
      </c>
      <c r="AD58" s="231">
        <f>(INDEX(Models!$BJ58:$BT58,,AH58)*(1-AF58)+INDEX(Models!$BJ58:$BT58,,AH58+1)*AF58-ERP_i)*AE58*Ramure*Pc/MaxiM</f>
        <v>1.142813378936273E-4</v>
      </c>
      <c r="AE58" s="305">
        <f t="shared" si="14"/>
        <v>0.5</v>
      </c>
      <c r="AF58" s="177">
        <f t="shared" si="22"/>
        <v>7.479288409102656E-4</v>
      </c>
      <c r="AG58" s="811">
        <f t="shared" si="23"/>
        <v>0</v>
      </c>
      <c r="AH58" s="176">
        <f t="shared" si="15"/>
        <v>6</v>
      </c>
      <c r="AI58" s="225">
        <f t="shared" si="24"/>
        <v>7.479288409102656E-4</v>
      </c>
      <c r="AJ58" s="265" t="b">
        <f t="shared" si="16"/>
        <v>0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44606</v>
      </c>
      <c r="B59" s="1140">
        <v>15.857000000000001</v>
      </c>
      <c r="C59" s="841"/>
      <c r="D59" s="393">
        <f t="shared" si="0"/>
        <v>16.331799931485531</v>
      </c>
      <c r="E59" s="385">
        <f t="shared" si="1"/>
        <v>16.801237887033633</v>
      </c>
      <c r="F59" s="385">
        <f t="shared" si="2"/>
        <v>16.80161346387936</v>
      </c>
      <c r="G59" s="110">
        <f t="shared" si="19"/>
        <v>0.43509536235030083</v>
      </c>
      <c r="H59" s="414" t="b">
        <f>Wh_hp&gt;='2021'!Maxi_hp</f>
        <v>0</v>
      </c>
      <c r="I59" s="380">
        <f>IF(H59,Wh_hp,'2021'!Maxi_hp)</f>
        <v>40.073233720515397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2.9072112901051272E-2</v>
      </c>
      <c r="M59" s="845"/>
      <c r="N59" s="845"/>
      <c r="O59" s="48">
        <f>IF(t&lt;Tnet,'2021'!Resal+('2021'!Salim-'2021'!Resal)*(1-EXP(('2021'!Tnet-t)/('2021'!Tau_j))),Resal+(Salim-Resal)*(1-EXP((Tnet-t)/(Tau_j))))*Salcycl</f>
        <v>2.7940676675400899E-2</v>
      </c>
      <c r="P59" s="339">
        <f>(INDEX(Models!$BJ59:$BT59,,T59)*(1-R59)+INDEX(Models!$BJ59:$BT59,,T59+1)*R59-ERP_i)*Q59*Ramure*Pc/MaxiM</f>
        <v>1.1579098093713751E-4</v>
      </c>
      <c r="Q59" s="305">
        <f t="shared" si="4"/>
        <v>0.5</v>
      </c>
      <c r="R59" s="177">
        <f t="shared" si="5"/>
        <v>9.166149048919687E-4</v>
      </c>
      <c r="S59" s="811">
        <f t="shared" si="6"/>
        <v>0</v>
      </c>
      <c r="T59" s="176">
        <f t="shared" si="7"/>
        <v>6</v>
      </c>
      <c r="U59" s="251">
        <f t="shared" si="20"/>
        <v>9.166149048919687E-4</v>
      </c>
      <c r="V59" s="383">
        <f t="shared" si="8"/>
        <v>36.441478587506801</v>
      </c>
      <c r="W59" s="402">
        <f t="shared" si="9"/>
        <v>0</v>
      </c>
      <c r="X59" s="157">
        <f t="shared" si="10"/>
        <v>44606</v>
      </c>
      <c r="Y59" s="385">
        <f t="shared" si="11"/>
        <v>15.218054472312152</v>
      </c>
      <c r="Z59" s="385">
        <f t="shared" si="21"/>
        <v>15.67372270847264</v>
      </c>
      <c r="AA59" s="386">
        <f t="shared" si="12"/>
        <v>16.801237887033633</v>
      </c>
      <c r="AB59" s="197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6.7109053876985569E-2</v>
      </c>
      <c r="AD59" s="231">
        <f>(INDEX(Models!$BJ59:$BT59,,AH59)*(1-AF59)+INDEX(Models!$BJ59:$BT59,,AH59+1)*AF59-ERP_i)*AE59*Ramure*Pc/MaxiM</f>
        <v>1.1579098093713751E-4</v>
      </c>
      <c r="AE59" s="305">
        <f t="shared" si="14"/>
        <v>0.5</v>
      </c>
      <c r="AF59" s="177">
        <f t="shared" si="22"/>
        <v>9.166149048919687E-4</v>
      </c>
      <c r="AG59" s="811">
        <f t="shared" si="23"/>
        <v>0</v>
      </c>
      <c r="AH59" s="176">
        <f t="shared" si="15"/>
        <v>6</v>
      </c>
      <c r="AI59" s="225">
        <f t="shared" si="24"/>
        <v>9.166149048919687E-4</v>
      </c>
      <c r="AJ59" s="265" t="b">
        <f t="shared" si="16"/>
        <v>0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44607</v>
      </c>
      <c r="B60" s="1140">
        <v>19.936</v>
      </c>
      <c r="C60" s="841"/>
      <c r="D60" s="393">
        <f t="shared" si="0"/>
        <v>20.533385562440433</v>
      </c>
      <c r="E60" s="385">
        <f t="shared" si="1"/>
        <v>21.125429226571576</v>
      </c>
      <c r="F60" s="385">
        <f t="shared" si="2"/>
        <v>21.126290830854114</v>
      </c>
      <c r="G60" s="110">
        <f t="shared" si="19"/>
        <v>0.54224110611295995</v>
      </c>
      <c r="H60" s="414" t="b">
        <f>Wh_hp&gt;='2021'!Maxi_hp</f>
        <v>0</v>
      </c>
      <c r="I60" s="380">
        <f>IF(H60,Wh_hp,'2021'!Maxi_hp)</f>
        <v>40.326165520091415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2.9093378713599405E-2</v>
      </c>
      <c r="M60" s="845"/>
      <c r="N60" s="845"/>
      <c r="O60" s="48">
        <f>IF(t&lt;Tnet,'2021'!Resal+('2021'!Salim-'2021'!Resal)*(1-EXP(('2021'!Tnet-t)/('2021'!Tau_j))),Resal+(Salim-Resal)*(1-EXP((Tnet-t)/(Tau_j))))*Salcycl</f>
        <v>2.802516615314354E-2</v>
      </c>
      <c r="P60" s="339">
        <f>(INDEX(Models!$BJ60:$BT60,,T60)*(1-R60)+INDEX(Models!$BJ60:$BT60,,T60+1)*R60-ERP_i)*Q60*Ramure*Pc/MaxiM</f>
        <v>1.1783108874033658E-4</v>
      </c>
      <c r="Q60" s="305">
        <f t="shared" si="4"/>
        <v>0.5</v>
      </c>
      <c r="R60" s="177">
        <f t="shared" si="5"/>
        <v>1.0922558712224083E-3</v>
      </c>
      <c r="S60" s="811">
        <f t="shared" si="6"/>
        <v>0</v>
      </c>
      <c r="T60" s="176">
        <f t="shared" si="7"/>
        <v>6</v>
      </c>
      <c r="U60" s="251">
        <f t="shared" si="20"/>
        <v>1.0922558712224083E-3</v>
      </c>
      <c r="V60" s="383">
        <f t="shared" si="8"/>
        <v>36.763099831572696</v>
      </c>
      <c r="W60" s="402">
        <f t="shared" si="9"/>
        <v>0</v>
      </c>
      <c r="X60" s="157">
        <f t="shared" si="10"/>
        <v>44607</v>
      </c>
      <c r="Y60" s="385">
        <f t="shared" si="11"/>
        <v>19.133345265543483</v>
      </c>
      <c r="Z60" s="385">
        <f t="shared" si="21"/>
        <v>19.706679145099248</v>
      </c>
      <c r="AA60" s="386">
        <f t="shared" si="12"/>
        <v>21.125429226571576</v>
      </c>
      <c r="AB60" s="197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6.7158402617818844E-2</v>
      </c>
      <c r="AD60" s="231">
        <f>(INDEX(Models!$BJ60:$BT60,,AH60)*(1-AF60)+INDEX(Models!$BJ60:$BT60,,AH60+1)*AF60-ERP_i)*AE60*Ramure*Pc/MaxiM</f>
        <v>1.1783108874033658E-4</v>
      </c>
      <c r="AE60" s="305">
        <f t="shared" si="14"/>
        <v>0.5</v>
      </c>
      <c r="AF60" s="177">
        <f t="shared" si="22"/>
        <v>1.0922558712224083E-3</v>
      </c>
      <c r="AG60" s="811">
        <f t="shared" si="23"/>
        <v>0</v>
      </c>
      <c r="AH60" s="176">
        <f t="shared" si="15"/>
        <v>6</v>
      </c>
      <c r="AI60" s="225">
        <f t="shared" si="24"/>
        <v>1.0922558712224083E-3</v>
      </c>
      <c r="AJ60" s="265" t="b">
        <f t="shared" si="16"/>
        <v>0</v>
      </c>
      <c r="AK60" s="265" t="b">
        <f t="shared" si="17"/>
        <v>0</v>
      </c>
      <c r="AL60" s="265"/>
      <c r="AM60" s="265"/>
      <c r="AN60" s="75"/>
    </row>
    <row r="61" spans="1:40" s="6" customFormat="1" ht="11.25" x14ac:dyDescent="0.2">
      <c r="A61" s="56">
        <f t="shared" si="18"/>
        <v>44608</v>
      </c>
      <c r="B61" s="1140">
        <v>10.443</v>
      </c>
      <c r="C61" s="841"/>
      <c r="D61" s="393">
        <f t="shared" si="0"/>
        <v>10.756161822930377</v>
      </c>
      <c r="E61" s="385">
        <f t="shared" si="1"/>
        <v>11.067257848644227</v>
      </c>
      <c r="F61" s="385">
        <f t="shared" si="2"/>
        <v>11.067257848644227</v>
      </c>
      <c r="G61" s="110">
        <f t="shared" si="19"/>
        <v>0.28155342973140118</v>
      </c>
      <c r="H61" s="414" t="b">
        <f>Wh_hp&gt;='2021'!Maxi_hp</f>
        <v>0</v>
      </c>
      <c r="I61" s="380">
        <f>IF(H61,Wh_hp,'2021'!Maxi_hp)</f>
        <v>40.772992464506032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2.9114644060371786E-2</v>
      </c>
      <c r="M61" s="845"/>
      <c r="N61" s="845"/>
      <c r="O61" s="48">
        <f>IF(t&lt;Tnet,'2021'!Resal+('2021'!Salim-'2021'!Resal)*(1-EXP(('2021'!Tnet-t)/('2021'!Tau_j))),Resal+(Salim-Resal)*(1-EXP((Tnet-t)/(Tau_j))))*Salcycl</f>
        <v>2.8109585045220535E-2</v>
      </c>
      <c r="P61" s="339">
        <f>(INDEX(Models!$BJ61:$BT61,,T61)*(1-R61)+INDEX(Models!$BJ61:$BT61,,T61+1)*R61-ERP_i)*Q61*Ramure*Pc/MaxiM</f>
        <v>1.2038755149559768E-4</v>
      </c>
      <c r="Q61" s="305">
        <f t="shared" si="4"/>
        <v>0.5</v>
      </c>
      <c r="R61" s="177">
        <f t="shared" si="5"/>
        <v>1.2751332170104872E-3</v>
      </c>
      <c r="S61" s="811">
        <f t="shared" si="6"/>
        <v>0</v>
      </c>
      <c r="T61" s="176">
        <f t="shared" si="7"/>
        <v>6</v>
      </c>
      <c r="U61" s="251">
        <f t="shared" si="20"/>
        <v>1.2751332170104872E-3</v>
      </c>
      <c r="V61" s="383">
        <f t="shared" si="8"/>
        <v>37.0861857472702</v>
      </c>
      <c r="W61" s="402">
        <f t="shared" si="9"/>
        <v>0</v>
      </c>
      <c r="X61" s="157">
        <f t="shared" si="10"/>
        <v>44608</v>
      </c>
      <c r="Y61" s="385">
        <f t="shared" si="11"/>
        <v>10.022889062110496</v>
      </c>
      <c r="Z61" s="385">
        <f t="shared" si="21"/>
        <v>10.323452713333273</v>
      </c>
      <c r="AA61" s="386">
        <f t="shared" si="12"/>
        <v>11.067257848644227</v>
      </c>
      <c r="AB61" s="197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6.7207717167452885E-2</v>
      </c>
      <c r="AD61" s="231">
        <f>(INDEX(Models!$BJ61:$BT61,,AH61)*(1-AF61)+INDEX(Models!$BJ61:$BT61,,AH61+1)*AF61-ERP_i)*AE61*Ramure*Pc/MaxiM</f>
        <v>1.2038755149559768E-4</v>
      </c>
      <c r="AE61" s="305">
        <f t="shared" si="14"/>
        <v>0.5</v>
      </c>
      <c r="AF61" s="177">
        <f t="shared" si="22"/>
        <v>1.2751332170104872E-3</v>
      </c>
      <c r="AG61" s="811">
        <f t="shared" si="23"/>
        <v>0</v>
      </c>
      <c r="AH61" s="176">
        <f t="shared" si="15"/>
        <v>6</v>
      </c>
      <c r="AI61" s="225">
        <f t="shared" si="24"/>
        <v>1.2751332170104872E-3</v>
      </c>
      <c r="AJ61" s="265" t="b">
        <f t="shared" si="16"/>
        <v>0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44609</v>
      </c>
      <c r="B62" s="1140">
        <v>11.298</v>
      </c>
      <c r="C62" s="841"/>
      <c r="D62" s="393">
        <f t="shared" si="0"/>
        <v>11.637056210082671</v>
      </c>
      <c r="E62" s="385">
        <f t="shared" si="1"/>
        <v>11.974669204070794</v>
      </c>
      <c r="F62" s="385">
        <f t="shared" si="2"/>
        <v>11.974673421754998</v>
      </c>
      <c r="G62" s="110">
        <f t="shared" si="19"/>
        <v>0.30196006062129221</v>
      </c>
      <c r="H62" s="414" t="b">
        <f>Wh_hp&gt;='2021'!Maxi_hp</f>
        <v>0</v>
      </c>
      <c r="I62" s="380">
        <f>IF(H62,Wh_hp,'2021'!Maxi_hp)</f>
        <v>41.216821259374889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2.9135908941378408E-2</v>
      </c>
      <c r="M62" s="845"/>
      <c r="N62" s="845"/>
      <c r="O62" s="48">
        <f>IF(t&lt;Tnet,'2021'!Resal+('2021'!Salim-'2021'!Resal)*(1-EXP(('2021'!Tnet-t)/('2021'!Tau_j))),Resal+(Salim-Resal)*(1-EXP((Tnet-t)/(Tau_j))))*Salcycl</f>
        <v>2.8193930724478906E-2</v>
      </c>
      <c r="P62" s="339">
        <f>(INDEX(Models!$BJ62:$BT62,,T62)*(1-R62)+INDEX(Models!$BJ62:$BT62,,T62+1)*R62-ERP_i)*Q62*Ramure*Pc/MaxiM</f>
        <v>1.2344664579876034E-4</v>
      </c>
      <c r="Q62" s="305">
        <f t="shared" si="4"/>
        <v>0.5</v>
      </c>
      <c r="R62" s="177">
        <f t="shared" si="5"/>
        <v>1.4655393641668218E-3</v>
      </c>
      <c r="S62" s="811">
        <f t="shared" si="6"/>
        <v>0</v>
      </c>
      <c r="T62" s="176">
        <f t="shared" si="7"/>
        <v>6</v>
      </c>
      <c r="U62" s="251">
        <f t="shared" si="20"/>
        <v>1.4655393641668218E-3</v>
      </c>
      <c r="V62" s="383">
        <f t="shared" si="8"/>
        <v>37.41093857052185</v>
      </c>
      <c r="W62" s="402">
        <f t="shared" si="9"/>
        <v>0</v>
      </c>
      <c r="X62" s="157">
        <f t="shared" si="10"/>
        <v>44609</v>
      </c>
      <c r="Y62" s="385">
        <f t="shared" si="11"/>
        <v>10.843861597423393</v>
      </c>
      <c r="Z62" s="385">
        <f t="shared" si="21"/>
        <v>11.169288984207194</v>
      </c>
      <c r="AA62" s="386">
        <f t="shared" si="12"/>
        <v>11.974669204070794</v>
      </c>
      <c r="AB62" s="197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6.7256991081625084E-2</v>
      </c>
      <c r="AD62" s="231">
        <f>(INDEX(Models!$BJ62:$BT62,,AH62)*(1-AF62)+INDEX(Models!$BJ62:$BT62,,AH62+1)*AF62-ERP_i)*AE62*Ramure*Pc/MaxiM</f>
        <v>1.2344664579876034E-4</v>
      </c>
      <c r="AE62" s="305">
        <f t="shared" si="14"/>
        <v>0.5</v>
      </c>
      <c r="AF62" s="177">
        <f t="shared" si="22"/>
        <v>1.4655393641668218E-3</v>
      </c>
      <c r="AG62" s="811">
        <f t="shared" si="23"/>
        <v>0</v>
      </c>
      <c r="AH62" s="176">
        <f t="shared" si="15"/>
        <v>6</v>
      </c>
      <c r="AI62" s="225">
        <f t="shared" si="24"/>
        <v>1.4655393641668218E-3</v>
      </c>
      <c r="AJ62" s="265" t="b">
        <f t="shared" si="16"/>
        <v>0</v>
      </c>
      <c r="AK62" s="265" t="b">
        <f t="shared" si="17"/>
        <v>0</v>
      </c>
      <c r="AL62" s="265"/>
      <c r="AM62" s="265"/>
      <c r="AN62" s="75"/>
    </row>
    <row r="63" spans="1:40" s="6" customFormat="1" ht="11.25" x14ac:dyDescent="0.2">
      <c r="A63" s="56">
        <f t="shared" si="18"/>
        <v>44610</v>
      </c>
      <c r="B63" s="1140">
        <v>28.771000000000001</v>
      </c>
      <c r="C63" s="841"/>
      <c r="D63" s="393">
        <f t="shared" si="0"/>
        <v>29.635075019788705</v>
      </c>
      <c r="E63" s="385">
        <f t="shared" si="1"/>
        <v>30.497489140117878</v>
      </c>
      <c r="F63" s="385">
        <f t="shared" si="2"/>
        <v>30.500047749852541</v>
      </c>
      <c r="G63" s="110">
        <f t="shared" si="19"/>
        <v>0.76236405711898181</v>
      </c>
      <c r="H63" s="414" t="b">
        <f>Wh_hp&gt;='2021'!Maxi_hp</f>
        <v>0</v>
      </c>
      <c r="I63" s="380">
        <f>IF(H63,Wh_hp,'2021'!Maxi_hp)</f>
        <v>40.739227562492772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2.9157173356629595E-2</v>
      </c>
      <c r="M63" s="845"/>
      <c r="N63" s="845"/>
      <c r="O63" s="48">
        <f>IF(t&lt;Tnet,'2021'!Resal+('2021'!Salim-'2021'!Resal)*(1-EXP(('2021'!Tnet-t)/('2021'!Tau_j))),Resal+(Salim-Resal)*(1-EXP((Tnet-t)/(Tau_j))))*Salcycl</f>
        <v>2.8278200751769823E-2</v>
      </c>
      <c r="P63" s="339">
        <f>(INDEX(Models!$BJ63:$BT63,,T63)*(1-R63)+INDEX(Models!$BJ63:$BT63,,T63+1)*R63-ERP_i)*Q63*Ramure*Pc/MaxiM</f>
        <v>1.2699500289223116E-4</v>
      </c>
      <c r="Q63" s="305">
        <f t="shared" si="4"/>
        <v>0.5</v>
      </c>
      <c r="R63" s="177">
        <f t="shared" si="5"/>
        <v>1.6637780669150936E-3</v>
      </c>
      <c r="S63" s="811">
        <f t="shared" si="6"/>
        <v>0</v>
      </c>
      <c r="T63" s="176">
        <f t="shared" si="7"/>
        <v>6</v>
      </c>
      <c r="U63" s="251">
        <f t="shared" si="20"/>
        <v>1.6637780669150936E-3</v>
      </c>
      <c r="V63" s="383">
        <f t="shared" si="8"/>
        <v>37.737560442698665</v>
      </c>
      <c r="W63" s="402">
        <f t="shared" si="9"/>
        <v>0</v>
      </c>
      <c r="X63" s="157">
        <f t="shared" si="10"/>
        <v>44610</v>
      </c>
      <c r="Y63" s="385">
        <f t="shared" si="11"/>
        <v>27.615447971356875</v>
      </c>
      <c r="Z63" s="385">
        <f t="shared" si="21"/>
        <v>28.444818474722211</v>
      </c>
      <c r="AA63" s="386">
        <f t="shared" si="12"/>
        <v>30.497489140117878</v>
      </c>
      <c r="AB63" s="197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6.7306218422272801E-2</v>
      </c>
      <c r="AD63" s="231">
        <f>(INDEX(Models!$BJ63:$BT63,,AH63)*(1-AF63)+INDEX(Models!$BJ63:$BT63,,AH63+1)*AF63-ERP_i)*AE63*Ramure*Pc/MaxiM</f>
        <v>1.2699500289223116E-4</v>
      </c>
      <c r="AE63" s="305">
        <f t="shared" si="14"/>
        <v>0.5</v>
      </c>
      <c r="AF63" s="177">
        <f t="shared" si="22"/>
        <v>1.6637780669150936E-3</v>
      </c>
      <c r="AG63" s="811">
        <f t="shared" si="23"/>
        <v>0</v>
      </c>
      <c r="AH63" s="176">
        <f t="shared" si="15"/>
        <v>6</v>
      </c>
      <c r="AI63" s="225">
        <f t="shared" si="24"/>
        <v>1.6637780669150936E-3</v>
      </c>
      <c r="AJ63" s="265" t="b">
        <f t="shared" si="16"/>
        <v>0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44611</v>
      </c>
      <c r="B64" s="1140">
        <v>20.85</v>
      </c>
      <c r="C64" s="841"/>
      <c r="D64" s="393">
        <f t="shared" si="0"/>
        <v>21.47665523841972</v>
      </c>
      <c r="E64" s="385">
        <f t="shared" si="1"/>
        <v>22.103565240747255</v>
      </c>
      <c r="F64" s="385">
        <f t="shared" si="2"/>
        <v>22.104590179471852</v>
      </c>
      <c r="G64" s="110">
        <f t="shared" si="19"/>
        <v>0.54768287024034323</v>
      </c>
      <c r="H64" s="414" t="b">
        <f>Wh_hp&gt;='2021'!Maxi_hp</f>
        <v>0</v>
      </c>
      <c r="I64" s="380">
        <f>IF(H64,Wh_hp,'2021'!Maxi_hp)</f>
        <v>38.479174675338513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2.9178437306135563E-2</v>
      </c>
      <c r="M64" s="845"/>
      <c r="N64" s="845"/>
      <c r="O64" s="48">
        <f>IF(t&lt;Tnet,'2021'!Resal+('2021'!Salim-'2021'!Resal)*(1-EXP(('2021'!Tnet-t)/('2021'!Tau_j))),Resal+(Salim-Resal)*(1-EXP((Tnet-t)/(Tau_j))))*Salcycl</f>
        <v>2.8362392921656113E-2</v>
      </c>
      <c r="P64" s="339">
        <f>(INDEX(Models!$BJ64:$BT64,,T64)*(1-R64)+INDEX(Models!$BJ64:$BT64,,T64+1)*R64-ERP_i)*Q64*Ramure*Pc/MaxiM</f>
        <v>1.3101958112000407E-4</v>
      </c>
      <c r="Q64" s="305">
        <f t="shared" si="4"/>
        <v>0.5</v>
      </c>
      <c r="R64" s="177">
        <f t="shared" si="5"/>
        <v>1.8701648097240583E-3</v>
      </c>
      <c r="S64" s="811">
        <f t="shared" si="6"/>
        <v>0</v>
      </c>
      <c r="T64" s="176">
        <f t="shared" si="7"/>
        <v>6</v>
      </c>
      <c r="U64" s="251">
        <f t="shared" si="20"/>
        <v>1.8701648097240583E-3</v>
      </c>
      <c r="V64" s="383">
        <f t="shared" si="8"/>
        <v>38.066253408695808</v>
      </c>
      <c r="W64" s="402">
        <f t="shared" si="9"/>
        <v>0</v>
      </c>
      <c r="X64" s="157">
        <f t="shared" si="10"/>
        <v>44611</v>
      </c>
      <c r="Y64" s="385">
        <f t="shared" si="11"/>
        <v>20.013264098010225</v>
      </c>
      <c r="Z64" s="385">
        <f t="shared" si="21"/>
        <v>20.614770898245016</v>
      </c>
      <c r="AA64" s="386">
        <f t="shared" si="12"/>
        <v>22.103565240747255</v>
      </c>
      <c r="AB64" s="197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6.7355393860067891E-2</v>
      </c>
      <c r="AD64" s="231">
        <f>(INDEX(Models!$BJ64:$BT64,,AH64)*(1-AF64)+INDEX(Models!$BJ64:$BT64,,AH64+1)*AF64-ERP_i)*AE64*Ramure*Pc/MaxiM</f>
        <v>1.3101958112000407E-4</v>
      </c>
      <c r="AE64" s="305">
        <f t="shared" si="14"/>
        <v>0.5</v>
      </c>
      <c r="AF64" s="177">
        <f t="shared" si="22"/>
        <v>1.8701648097240583E-3</v>
      </c>
      <c r="AG64" s="811">
        <f t="shared" si="23"/>
        <v>0</v>
      </c>
      <c r="AH64" s="176">
        <f t="shared" si="15"/>
        <v>6</v>
      </c>
      <c r="AI64" s="225">
        <f t="shared" si="24"/>
        <v>1.8701648097240583E-3</v>
      </c>
      <c r="AJ64" s="265" t="b">
        <f t="shared" si="16"/>
        <v>0</v>
      </c>
      <c r="AK64" s="265" t="b">
        <f t="shared" si="17"/>
        <v>0</v>
      </c>
      <c r="AL64" s="265"/>
      <c r="AM64" s="265"/>
      <c r="AN64" s="75"/>
    </row>
    <row r="65" spans="1:40" s="6" customFormat="1" ht="11.25" x14ac:dyDescent="0.2">
      <c r="A65" s="56">
        <f t="shared" si="18"/>
        <v>44612</v>
      </c>
      <c r="B65" s="1140">
        <v>19.887</v>
      </c>
      <c r="C65" s="841"/>
      <c r="D65" s="393">
        <f t="shared" si="0"/>
        <v>20.485160558954668</v>
      </c>
      <c r="E65" s="385">
        <f t="shared" si="1"/>
        <v>21.084953809397348</v>
      </c>
      <c r="F65" s="385">
        <f t="shared" si="2"/>
        <v>21.085843346801287</v>
      </c>
      <c r="G65" s="110">
        <f t="shared" si="19"/>
        <v>0.51787774467152914</v>
      </c>
      <c r="H65" s="414" t="b">
        <f>Wh_hp&gt;='2021'!Maxi_hp</f>
        <v>0</v>
      </c>
      <c r="I65" s="380">
        <f>IF(H65,Wh_hp,'2021'!Maxi_hp)</f>
        <v>40.655100676030095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2.9199700789906413E-2</v>
      </c>
      <c r="M65" s="845"/>
      <c r="N65" s="845"/>
      <c r="O65" s="48">
        <f>IF(t&lt;Tnet,'2021'!Resal+('2021'!Salim-'2021'!Resal)*(1-EXP(('2021'!Tnet-t)/('2021'!Tau_j))),Resal+(Salim-Resal)*(1-EXP((Tnet-t)/(Tau_j))))*Salcycl</f>
        <v>2.8446505307275573E-2</v>
      </c>
      <c r="P65" s="339">
        <f>(INDEX(Models!$BJ65:$BT65,,T65)*(1-R65)+INDEX(Models!$BJ65:$BT65,,T65+1)*R65-ERP_i)*Q65*Ramure*Pc/MaxiM</f>
        <v>1.3550710652942145E-4</v>
      </c>
      <c r="Q65" s="305">
        <f t="shared" si="4"/>
        <v>0.5</v>
      </c>
      <c r="R65" s="177">
        <f t="shared" si="5"/>
        <v>2.0850272156343443E-3</v>
      </c>
      <c r="S65" s="811">
        <f t="shared" si="6"/>
        <v>0</v>
      </c>
      <c r="T65" s="176">
        <f t="shared" si="7"/>
        <v>6</v>
      </c>
      <c r="U65" s="251">
        <f t="shared" si="20"/>
        <v>2.0850272156343443E-3</v>
      </c>
      <c r="V65" s="383">
        <f t="shared" si="8"/>
        <v>38.397371308006441</v>
      </c>
      <c r="W65" s="402">
        <f t="shared" si="9"/>
        <v>0</v>
      </c>
      <c r="X65" s="157">
        <f t="shared" si="10"/>
        <v>44612</v>
      </c>
      <c r="Y65" s="385">
        <f t="shared" si="11"/>
        <v>19.089557657694129</v>
      </c>
      <c r="Z65" s="385">
        <f t="shared" si="21"/>
        <v>19.663732771020609</v>
      </c>
      <c r="AA65" s="386">
        <f t="shared" si="12"/>
        <v>21.084953809397348</v>
      </c>
      <c r="AB65" s="197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6.7404512773621361E-2</v>
      </c>
      <c r="AD65" s="231">
        <f>(INDEX(Models!$BJ65:$BT65,,AH65)*(1-AF65)+INDEX(Models!$BJ65:$BT65,,AH65+1)*AF65-ERP_i)*AE65*Ramure*Pc/MaxiM</f>
        <v>1.3550710652942145E-4</v>
      </c>
      <c r="AE65" s="305">
        <f t="shared" si="14"/>
        <v>0.5</v>
      </c>
      <c r="AF65" s="177">
        <f t="shared" si="22"/>
        <v>2.0850272156343443E-3</v>
      </c>
      <c r="AG65" s="811">
        <f t="shared" si="23"/>
        <v>0</v>
      </c>
      <c r="AH65" s="176">
        <f t="shared" si="15"/>
        <v>6</v>
      </c>
      <c r="AI65" s="225">
        <f t="shared" si="24"/>
        <v>2.0850272156343443E-3</v>
      </c>
      <c r="AJ65" s="265" t="b">
        <f t="shared" si="16"/>
        <v>0</v>
      </c>
      <c r="AK65" s="265" t="b">
        <f t="shared" si="17"/>
        <v>0</v>
      </c>
      <c r="AL65" s="265"/>
      <c r="AM65" s="265"/>
      <c r="AN65" s="75"/>
    </row>
    <row r="66" spans="1:40" s="6" customFormat="1" ht="11.25" x14ac:dyDescent="0.2">
      <c r="A66" s="56">
        <f t="shared" si="18"/>
        <v>44613</v>
      </c>
      <c r="B66" s="1140">
        <v>21.984000000000002</v>
      </c>
      <c r="C66" s="841"/>
      <c r="D66" s="393">
        <f t="shared" si="0"/>
        <v>22.645730058442407</v>
      </c>
      <c r="E66" s="385">
        <f t="shared" si="1"/>
        <v>23.3107996748391</v>
      </c>
      <c r="F66" s="385">
        <f t="shared" si="2"/>
        <v>23.312045548193435</v>
      </c>
      <c r="G66" s="110">
        <f t="shared" si="19"/>
        <v>0.56755897831069735</v>
      </c>
      <c r="H66" s="414" t="b">
        <f>Wh_hp&gt;='2021'!Maxi_hp</f>
        <v>0</v>
      </c>
      <c r="I66" s="380">
        <f>IF(H66,Wh_hp,'2021'!Maxi_hp)</f>
        <v>38.737384022485628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2.922096380795236E-2</v>
      </c>
      <c r="M66" s="845"/>
      <c r="N66" s="845"/>
      <c r="O66" s="48">
        <f>IF(t&lt;Tnet,'2021'!Resal+('2021'!Salim-'2021'!Resal)*(1-EXP(('2021'!Tnet-t)/('2021'!Tau_j))),Resal+(Salim-Resal)*(1-EXP((Tnet-t)/(Tau_j))))*Salcycl</f>
        <v>2.8530536303932475E-2</v>
      </c>
      <c r="P66" s="339">
        <f>(INDEX(Models!$BJ66:$BT66,,T66)*(1-R66)+INDEX(Models!$BJ66:$BT66,,T66+1)*R66-ERP_i)*Q66*Ramure*Pc/MaxiM</f>
        <v>1.3979526783915283E-4</v>
      </c>
      <c r="Q66" s="305">
        <f t="shared" si="4"/>
        <v>0.5</v>
      </c>
      <c r="R66" s="177">
        <f t="shared" si="5"/>
        <v>2.3087054649209657E-3</v>
      </c>
      <c r="S66" s="811">
        <f t="shared" si="6"/>
        <v>0</v>
      </c>
      <c r="T66" s="176">
        <f t="shared" si="7"/>
        <v>6</v>
      </c>
      <c r="U66" s="251">
        <f t="shared" si="20"/>
        <v>2.3087054649209657E-3</v>
      </c>
      <c r="V66" s="383">
        <f t="shared" si="8"/>
        <v>38.730955508759976</v>
      </c>
      <c r="W66" s="402">
        <f t="shared" si="9"/>
        <v>0</v>
      </c>
      <c r="X66" s="157">
        <f t="shared" si="10"/>
        <v>44613</v>
      </c>
      <c r="Y66" s="385">
        <f t="shared" si="11"/>
        <v>21.103185898984108</v>
      </c>
      <c r="Z66" s="385">
        <f t="shared" si="21"/>
        <v>21.738402985877105</v>
      </c>
      <c r="AA66" s="386">
        <f t="shared" si="12"/>
        <v>23.3107996748391</v>
      </c>
      <c r="AB66" s="197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6.7453571344409421E-2</v>
      </c>
      <c r="AD66" s="231">
        <f>(INDEX(Models!$BJ66:$BT66,,AH66)*(1-AF66)+INDEX(Models!$BJ66:$BT66,,AH66+1)*AF66-ERP_i)*AE66*Ramure*Pc/MaxiM</f>
        <v>1.3979526783915283E-4</v>
      </c>
      <c r="AE66" s="305">
        <f t="shared" si="14"/>
        <v>0.5</v>
      </c>
      <c r="AF66" s="177">
        <f t="shared" si="22"/>
        <v>2.3087054649209657E-3</v>
      </c>
      <c r="AG66" s="811">
        <f t="shared" si="23"/>
        <v>0</v>
      </c>
      <c r="AH66" s="176">
        <f t="shared" si="15"/>
        <v>6</v>
      </c>
      <c r="AI66" s="225">
        <f t="shared" si="24"/>
        <v>2.3087054649209657E-3</v>
      </c>
      <c r="AJ66" s="265" t="b">
        <f t="shared" si="16"/>
        <v>0</v>
      </c>
      <c r="AK66" s="265" t="b">
        <f t="shared" si="17"/>
        <v>0</v>
      </c>
      <c r="AL66" s="265"/>
      <c r="AM66" s="265"/>
      <c r="AN66" s="75"/>
    </row>
    <row r="67" spans="1:40" s="6" customFormat="1" ht="11.25" x14ac:dyDescent="0.2">
      <c r="A67" s="56">
        <f t="shared" si="18"/>
        <v>44614</v>
      </c>
      <c r="B67" s="1140">
        <v>33.978000000000002</v>
      </c>
      <c r="C67" s="841"/>
      <c r="D67" s="393">
        <f t="shared" si="0"/>
        <v>35.001522442209648</v>
      </c>
      <c r="E67" s="385">
        <f t="shared" si="1"/>
        <v>36.032576036873763</v>
      </c>
      <c r="F67" s="385">
        <f t="shared" si="2"/>
        <v>36.036787158344616</v>
      </c>
      <c r="G67" s="110">
        <f t="shared" si="19"/>
        <v>0.86971973464946917</v>
      </c>
      <c r="H67" s="414" t="b">
        <f>Wh_hp&gt;='2021'!Maxi_hp</f>
        <v>0</v>
      </c>
      <c r="I67" s="380">
        <f>IF(H67,Wh_hp,'2021'!Maxi_hp)</f>
        <v>40.196901311599696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2.924222636028373E-2</v>
      </c>
      <c r="M67" s="845"/>
      <c r="N67" s="845"/>
      <c r="O67" s="48">
        <f>IF(t&lt;Tnet,'2021'!Resal+('2021'!Salim-'2021'!Resal)*(1-EXP(('2021'!Tnet-t)/('2021'!Tau_j))),Resal+(Salim-Resal)*(1-EXP((Tnet-t)/(Tau_j))))*Salcycl</f>
        <v>2.8614484671009674E-2</v>
      </c>
      <c r="P67" s="339">
        <f>(INDEX(Models!$BJ67:$BT67,,T67)*(1-R67)+INDEX(Models!$BJ67:$BT67,,T67+1)*R67-ERP_i)*Q67*Ramure*Pc/MaxiM</f>
        <v>1.4357233590003897E-4</v>
      </c>
      <c r="Q67" s="305">
        <f t="shared" si="4"/>
        <v>0.5</v>
      </c>
      <c r="R67" s="177">
        <f t="shared" si="5"/>
        <v>2.5415527239902548E-3</v>
      </c>
      <c r="S67" s="811">
        <f t="shared" si="6"/>
        <v>0</v>
      </c>
      <c r="T67" s="176">
        <f t="shared" si="7"/>
        <v>6</v>
      </c>
      <c r="U67" s="251">
        <f t="shared" si="20"/>
        <v>2.5415527239902548E-3</v>
      </c>
      <c r="V67" s="383">
        <f t="shared" si="8"/>
        <v>39.066713998656745</v>
      </c>
      <c r="W67" s="402">
        <f t="shared" si="9"/>
        <v>0</v>
      </c>
      <c r="X67" s="157">
        <f t="shared" si="10"/>
        <v>44614</v>
      </c>
      <c r="Y67" s="385">
        <f t="shared" si="11"/>
        <v>32.617737541364392</v>
      </c>
      <c r="Z67" s="385">
        <f t="shared" si="21"/>
        <v>33.600284671498315</v>
      </c>
      <c r="AA67" s="386">
        <f t="shared" si="12"/>
        <v>36.032576036873763</v>
      </c>
      <c r="AB67" s="197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6.7502566646536019E-2</v>
      </c>
      <c r="AD67" s="231">
        <f>(INDEX(Models!$BJ67:$BT67,,AH67)*(1-AF67)+INDEX(Models!$BJ67:$BT67,,AH67+1)*AF67-ERP_i)*AE67*Ramure*Pc/MaxiM</f>
        <v>1.4357233590003897E-4</v>
      </c>
      <c r="AE67" s="305">
        <f t="shared" si="14"/>
        <v>0.5</v>
      </c>
      <c r="AF67" s="177">
        <f t="shared" si="22"/>
        <v>2.5415527239902548E-3</v>
      </c>
      <c r="AG67" s="811">
        <f t="shared" si="23"/>
        <v>0</v>
      </c>
      <c r="AH67" s="176">
        <f t="shared" si="15"/>
        <v>6</v>
      </c>
      <c r="AI67" s="225">
        <f t="shared" si="24"/>
        <v>2.5415527239902548E-3</v>
      </c>
      <c r="AJ67" s="265" t="b">
        <f t="shared" si="16"/>
        <v>0</v>
      </c>
      <c r="AK67" s="265" t="b">
        <f t="shared" si="17"/>
        <v>0</v>
      </c>
      <c r="AL67" s="265"/>
      <c r="AM67" s="265"/>
      <c r="AN67" s="75"/>
    </row>
    <row r="68" spans="1:40" s="6" customFormat="1" ht="11.25" x14ac:dyDescent="0.2">
      <c r="A68" s="56">
        <f t="shared" si="18"/>
        <v>44615</v>
      </c>
      <c r="B68" s="1140">
        <v>35.155999999999999</v>
      </c>
      <c r="C68" s="841"/>
      <c r="D68" s="393">
        <f t="shared" si="0"/>
        <v>36.21580066433642</v>
      </c>
      <c r="E68" s="385">
        <f t="shared" si="1"/>
        <v>37.285842815536554</v>
      </c>
      <c r="F68" s="385">
        <f t="shared" si="2"/>
        <v>37.290475536570945</v>
      </c>
      <c r="G68" s="110">
        <f t="shared" si="19"/>
        <v>0.89216574875681398</v>
      </c>
      <c r="H68" s="414" t="b">
        <f>Wh_hp&gt;='2021'!Maxi_hp</f>
        <v>0</v>
      </c>
      <c r="I68" s="380">
        <f>IF(H68,Wh_hp,'2021'!Maxi_hp)</f>
        <v>40.899659056750139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2.9263488446910513E-2</v>
      </c>
      <c r="M68" s="845"/>
      <c r="N68" s="845"/>
      <c r="O68" s="48">
        <f>IF(t&lt;Tnet,'2021'!Resal+('2021'!Salim-'2021'!Resal)*(1-EXP(('2021'!Tnet-t)/('2021'!Tau_j))),Resal+(Salim-Resal)*(1-EXP((Tnet-t)/(Tau_j))))*Salcycl</f>
        <v>2.8698349571818323E-2</v>
      </c>
      <c r="P68" s="339">
        <f>(INDEX(Models!$BJ68:$BT68,,T68)*(1-R68)+INDEX(Models!$BJ68:$BT68,,T68+1)*R68-ERP_i)*Q68*Ramure*Pc/MaxiM</f>
        <v>1.4685143090077682E-4</v>
      </c>
      <c r="Q68" s="305">
        <f t="shared" si="4"/>
        <v>0.5</v>
      </c>
      <c r="R68" s="177">
        <f t="shared" si="5"/>
        <v>2.7839355843681203E-3</v>
      </c>
      <c r="S68" s="811">
        <f t="shared" si="6"/>
        <v>0</v>
      </c>
      <c r="T68" s="176">
        <f t="shared" si="7"/>
        <v>6</v>
      </c>
      <c r="U68" s="251">
        <f t="shared" si="20"/>
        <v>2.7839355843681203E-3</v>
      </c>
      <c r="V68" s="383">
        <f t="shared" si="8"/>
        <v>39.404342510630087</v>
      </c>
      <c r="W68" s="402">
        <f t="shared" si="9"/>
        <v>0</v>
      </c>
      <c r="X68" s="157">
        <f t="shared" si="10"/>
        <v>44615</v>
      </c>
      <c r="Y68" s="385">
        <f t="shared" si="11"/>
        <v>33.749720868373728</v>
      </c>
      <c r="Z68" s="385">
        <f t="shared" si="21"/>
        <v>34.767128326488169</v>
      </c>
      <c r="AA68" s="386">
        <f t="shared" si="12"/>
        <v>37.285842815536554</v>
      </c>
      <c r="AB68" s="197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6.7551496730519661E-2</v>
      </c>
      <c r="AD68" s="231">
        <f>(INDEX(Models!$BJ68:$BT68,,AH68)*(1-AF68)+INDEX(Models!$BJ68:$BT68,,AH68+1)*AF68-ERP_i)*AE68*Ramure*Pc/MaxiM</f>
        <v>1.4685143090077682E-4</v>
      </c>
      <c r="AE68" s="305">
        <f t="shared" si="14"/>
        <v>0.5</v>
      </c>
      <c r="AF68" s="177">
        <f t="shared" si="22"/>
        <v>2.7839355843681203E-3</v>
      </c>
      <c r="AG68" s="811">
        <f t="shared" si="23"/>
        <v>0</v>
      </c>
      <c r="AH68" s="176">
        <f t="shared" si="15"/>
        <v>6</v>
      </c>
      <c r="AI68" s="225">
        <f t="shared" si="24"/>
        <v>2.7839355843681203E-3</v>
      </c>
      <c r="AJ68" s="265" t="b">
        <f t="shared" si="16"/>
        <v>0</v>
      </c>
      <c r="AK68" s="265" t="b">
        <f t="shared" si="17"/>
        <v>0</v>
      </c>
      <c r="AL68" s="265"/>
      <c r="AM68" s="265"/>
      <c r="AN68" s="75"/>
    </row>
    <row r="69" spans="1:40" s="6" customFormat="1" ht="11.25" x14ac:dyDescent="0.2">
      <c r="A69" s="56">
        <f t="shared" si="18"/>
        <v>44616</v>
      </c>
      <c r="B69" s="1140">
        <v>21.613</v>
      </c>
      <c r="C69" s="841"/>
      <c r="D69" s="393">
        <f t="shared" si="0"/>
        <v>22.265025713267129</v>
      </c>
      <c r="E69" s="385">
        <f t="shared" si="1"/>
        <v>22.924851791776536</v>
      </c>
      <c r="F69" s="385">
        <f t="shared" si="2"/>
        <v>22.926046746007955</v>
      </c>
      <c r="G69" s="110">
        <f t="shared" si="19"/>
        <v>0.54375865379067134</v>
      </c>
      <c r="H69" s="414" t="b">
        <f>Wh_hp&gt;='2021'!Maxi_hp</f>
        <v>0</v>
      </c>
      <c r="I69" s="380">
        <f>IF(H69,Wh_hp,'2021'!Maxi_hp)</f>
        <v>41.03378848015074</v>
      </c>
      <c r="J69" s="85">
        <f>IF(H69,An,'2021'!An_max)</f>
        <v>2019</v>
      </c>
      <c r="K69" s="197">
        <f t="shared" si="3"/>
        <v>44616</v>
      </c>
      <c r="L69" s="147">
        <f>IF(t&lt;Tvie,1-EXP((T0-t)*PertePVj)+'2021'!Pspv,1-EXP((T0-t)*PertePVj)+Pspv)</f>
        <v>2.9284750067843146E-2</v>
      </c>
      <c r="M69" s="845"/>
      <c r="N69" s="845"/>
      <c r="O69" s="48">
        <f>IF(t&lt;Tnet,'2021'!Resal+('2021'!Salim-'2021'!Resal)*(1-EXP(('2021'!Tnet-t)/('2021'!Tau_j))),Resal+(Salim-Resal)*(1-EXP((Tnet-t)/(Tau_j))))*Salcycl</f>
        <v>2.8782130611029532E-2</v>
      </c>
      <c r="P69" s="339">
        <f>(INDEX(Models!$BJ69:$BT69,,T69)*(1-R69)+INDEX(Models!$BJ69:$BT69,,T69+1)*R69-ERP_i)*Q69*Ramure*Pc/MaxiM</f>
        <v>1.4964617160804705E-4</v>
      </c>
      <c r="Q69" s="305">
        <f t="shared" si="4"/>
        <v>0.5</v>
      </c>
      <c r="R69" s="177">
        <f t="shared" si="5"/>
        <v>3.0362345115864066E-3</v>
      </c>
      <c r="S69" s="811">
        <f t="shared" si="6"/>
        <v>0</v>
      </c>
      <c r="T69" s="176">
        <f t="shared" si="7"/>
        <v>6</v>
      </c>
      <c r="U69" s="251">
        <f t="shared" si="20"/>
        <v>3.0362345115864066E-3</v>
      </c>
      <c r="V69" s="383">
        <f t="shared" si="8"/>
        <v>39.743536865514734</v>
      </c>
      <c r="W69" s="402">
        <f t="shared" si="9"/>
        <v>0</v>
      </c>
      <c r="X69" s="157">
        <f t="shared" si="10"/>
        <v>44616</v>
      </c>
      <c r="Y69" s="385">
        <f t="shared" si="11"/>
        <v>20.749158391063428</v>
      </c>
      <c r="Z69" s="385">
        <f t="shared" si="21"/>
        <v>21.375123541649916</v>
      </c>
      <c r="AA69" s="386">
        <f t="shared" si="12"/>
        <v>22.924851791776536</v>
      </c>
      <c r="AB69" s="197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6.7600360700370177E-2</v>
      </c>
      <c r="AD69" s="231">
        <f>(INDEX(Models!$BJ69:$BT69,,AH69)*(1-AF69)+INDEX(Models!$BJ69:$BT69,,AH69+1)*AF69-ERP_i)*AE69*Ramure*Pc/MaxiM</f>
        <v>1.4964617160804705E-4</v>
      </c>
      <c r="AE69" s="305">
        <f t="shared" si="14"/>
        <v>0.5</v>
      </c>
      <c r="AF69" s="177">
        <f t="shared" si="22"/>
        <v>3.0362345115864066E-3</v>
      </c>
      <c r="AG69" s="811">
        <f t="shared" si="23"/>
        <v>0</v>
      </c>
      <c r="AH69" s="176">
        <f t="shared" si="15"/>
        <v>6</v>
      </c>
      <c r="AI69" s="225">
        <f t="shared" si="24"/>
        <v>3.0362345115864066E-3</v>
      </c>
      <c r="AJ69" s="265" t="b">
        <f t="shared" si="16"/>
        <v>0</v>
      </c>
      <c r="AK69" s="265" t="b">
        <f t="shared" si="17"/>
        <v>0</v>
      </c>
      <c r="AL69" s="265"/>
      <c r="AM69" s="265"/>
      <c r="AN69" s="75"/>
    </row>
    <row r="70" spans="1:40" s="6" customFormat="1" ht="11.25" x14ac:dyDescent="0.2">
      <c r="A70" s="56">
        <f t="shared" si="18"/>
        <v>44617</v>
      </c>
      <c r="B70" s="1140">
        <v>31.478000000000002</v>
      </c>
      <c r="C70" s="841"/>
      <c r="D70" s="393">
        <f t="shared" si="0"/>
        <v>32.428345455876205</v>
      </c>
      <c r="E70" s="385">
        <f t="shared" si="1"/>
        <v>33.392240111095568</v>
      </c>
      <c r="F70" s="385">
        <f t="shared" si="2"/>
        <v>33.395758649262511</v>
      </c>
      <c r="G70" s="110">
        <f t="shared" si="19"/>
        <v>0.78526439776649859</v>
      </c>
      <c r="H70" s="414" t="b">
        <f>Wh_hp&gt;='2021'!Maxi_hp</f>
        <v>0</v>
      </c>
      <c r="I70" s="380">
        <f>IF(H70,Wh_hp,'2021'!Maxi_hp)</f>
        <v>42.028165575806206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2.9306011223091732E-2</v>
      </c>
      <c r="M70" s="845"/>
      <c r="N70" s="845"/>
      <c r="O70" s="48">
        <f>IF(t&lt;Tnet,'2021'!Resal+('2021'!Salim-'2021'!Resal)*(1-EXP(('2021'!Tnet-t)/('2021'!Tau_j))),Resal+(Salim-Resal)*(1-EXP((Tnet-t)/(Tau_j))))*Salcycl</f>
        <v>2.886582786936406E-2</v>
      </c>
      <c r="P70" s="339">
        <f>(INDEX(Models!$BJ70:$BT70,,T70)*(1-R70)+INDEX(Models!$BJ70:$BT70,,T70+1)*R70-ERP_i)*Q70*Ramure*Pc/MaxiM</f>
        <v>1.519699783378548E-4</v>
      </c>
      <c r="Q70" s="305">
        <f t="shared" si="4"/>
        <v>0.5</v>
      </c>
      <c r="R70" s="177">
        <f t="shared" si="5"/>
        <v>3.2988443037224591E-3</v>
      </c>
      <c r="S70" s="811">
        <f t="shared" si="6"/>
        <v>0</v>
      </c>
      <c r="T70" s="176">
        <f t="shared" si="7"/>
        <v>6</v>
      </c>
      <c r="U70" s="251">
        <f t="shared" si="20"/>
        <v>3.2988443037224591E-3</v>
      </c>
      <c r="V70" s="383">
        <f t="shared" si="8"/>
        <v>40.083992995609201</v>
      </c>
      <c r="W70" s="402">
        <f t="shared" si="9"/>
        <v>0</v>
      </c>
      <c r="X70" s="157">
        <f t="shared" si="10"/>
        <v>44617</v>
      </c>
      <c r="Y70" s="385">
        <f t="shared" si="11"/>
        <v>30.220890812058816</v>
      </c>
      <c r="Z70" s="385">
        <f t="shared" si="21"/>
        <v>31.133283157689764</v>
      </c>
      <c r="AA70" s="386">
        <f t="shared" si="12"/>
        <v>33.392240111095568</v>
      </c>
      <c r="AB70" s="197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6.7649158783306601E-2</v>
      </c>
      <c r="AD70" s="231">
        <f>(INDEX(Models!$BJ70:$BT70,,AH70)*(1-AF70)+INDEX(Models!$BJ70:$BT70,,AH70+1)*AF70-ERP_i)*AE70*Ramure*Pc/MaxiM</f>
        <v>1.519699783378548E-4</v>
      </c>
      <c r="AE70" s="305">
        <f t="shared" si="14"/>
        <v>0.5</v>
      </c>
      <c r="AF70" s="177">
        <f t="shared" si="22"/>
        <v>3.2988443037224591E-3</v>
      </c>
      <c r="AG70" s="811">
        <f t="shared" si="23"/>
        <v>0</v>
      </c>
      <c r="AH70" s="176">
        <f t="shared" si="15"/>
        <v>6</v>
      </c>
      <c r="AI70" s="225">
        <f t="shared" si="24"/>
        <v>3.2988443037224591E-3</v>
      </c>
      <c r="AJ70" s="265" t="b">
        <f t="shared" si="16"/>
        <v>0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44618</v>
      </c>
      <c r="B71" s="1192">
        <f>42.67*0.95</f>
        <v>40.536499999999997</v>
      </c>
      <c r="C71" s="841"/>
      <c r="D71" s="393">
        <f t="shared" si="0"/>
        <v>41.761243338808256</v>
      </c>
      <c r="E71" s="385">
        <f t="shared" si="1"/>
        <v>43.006250284265398</v>
      </c>
      <c r="F71" s="385">
        <f t="shared" si="2"/>
        <v>43.012867213846995</v>
      </c>
      <c r="G71" s="110">
        <f t="shared" si="19"/>
        <v>1.0027480999671898</v>
      </c>
      <c r="H71" s="414" t="b">
        <f>Wh_hp&gt;='2021'!Maxi_hp</f>
        <v>1</v>
      </c>
      <c r="I71" s="380">
        <f>IF(H71,Wh_hp,'2021'!Maxi_hp)</f>
        <v>43.012867213846995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2.9327271912666375E-2</v>
      </c>
      <c r="M71" s="845"/>
      <c r="N71" s="845"/>
      <c r="O71" s="48">
        <f>IF(t&lt;Tnet,'2021'!Resal+('2021'!Salim-'2021'!Resal)*(1-EXP(('2021'!Tnet-t)/('2021'!Tau_j))),Resal+(Salim-Resal)*(1-EXP((Tnet-t)/(Tau_j))))*Salcycl</f>
        <v>2.8949441935249318E-2</v>
      </c>
      <c r="P71" s="339">
        <f>(INDEX(Models!$BJ71:$BT71,,T71)*(1-R71)+INDEX(Models!$BJ71:$BT71,,T71+1)*R71-ERP_i)*Q71*Ramure*Pc/MaxiM</f>
        <v>1.538360497733015E-4</v>
      </c>
      <c r="Q71" s="305">
        <f t="shared" si="4"/>
        <v>0.5</v>
      </c>
      <c r="R71" s="177">
        <f t="shared" si="5"/>
        <v>3.5721745592877593E-3</v>
      </c>
      <c r="S71" s="811">
        <f t="shared" si="6"/>
        <v>0</v>
      </c>
      <c r="T71" s="176">
        <f t="shared" si="7"/>
        <v>6</v>
      </c>
      <c r="U71" s="251">
        <f t="shared" si="20"/>
        <v>3.5721745592877593E-3</v>
      </c>
      <c r="V71" s="383">
        <f t="shared" si="8"/>
        <v>40.425406940513135</v>
      </c>
      <c r="W71" s="402">
        <f t="shared" si="9"/>
        <v>0</v>
      </c>
      <c r="X71" s="157">
        <f t="shared" si="10"/>
        <v>44618</v>
      </c>
      <c r="Y71" s="385">
        <f t="shared" si="11"/>
        <v>38.918946157023527</v>
      </c>
      <c r="Z71" s="385">
        <f t="shared" si="21"/>
        <v>40.094817780356863</v>
      </c>
      <c r="AA71" s="386">
        <f t="shared" si="12"/>
        <v>43.006250284265398</v>
      </c>
      <c r="AB71" s="197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6.7697892391556241E-2</v>
      </c>
      <c r="AD71" s="231">
        <f>(INDEX(Models!$BJ71:$BT71,,AH71)*(1-AF71)+INDEX(Models!$BJ71:$BT71,,AH71+1)*AF71-ERP_i)*AE71*Ramure*Pc/MaxiM</f>
        <v>1.538360497733015E-4</v>
      </c>
      <c r="AE71" s="305">
        <f t="shared" si="14"/>
        <v>0.5</v>
      </c>
      <c r="AF71" s="177">
        <f t="shared" si="22"/>
        <v>3.5721745592877593E-3</v>
      </c>
      <c r="AG71" s="811">
        <f t="shared" si="23"/>
        <v>0</v>
      </c>
      <c r="AH71" s="176">
        <f t="shared" si="15"/>
        <v>6</v>
      </c>
      <c r="AI71" s="225">
        <f t="shared" si="24"/>
        <v>3.5721745592877593E-3</v>
      </c>
      <c r="AJ71" s="265" t="b">
        <f t="shared" si="16"/>
        <v>0</v>
      </c>
      <c r="AK71" s="265" t="b">
        <f t="shared" si="17"/>
        <v>0</v>
      </c>
      <c r="AL71" s="265"/>
      <c r="AM71" s="265"/>
      <c r="AN71" s="75"/>
    </row>
    <row r="72" spans="1:40" s="6" customFormat="1" ht="11.25" x14ac:dyDescent="0.2">
      <c r="A72" s="56">
        <f t="shared" si="18"/>
        <v>44619</v>
      </c>
      <c r="B72" s="1140">
        <v>28.249000000000002</v>
      </c>
      <c r="C72" s="841"/>
      <c r="D72" s="393">
        <f t="shared" si="0"/>
        <v>29.103134271440499</v>
      </c>
      <c r="E72" s="385">
        <f t="shared" si="1"/>
        <v>29.973349753524968</v>
      </c>
      <c r="F72" s="385">
        <f t="shared" si="2"/>
        <v>29.975950198340552</v>
      </c>
      <c r="G72" s="110">
        <f t="shared" si="19"/>
        <v>0.69288237019004317</v>
      </c>
      <c r="H72" s="414" t="b">
        <f>Wh_hp&gt;='2021'!Maxi_hp</f>
        <v>0</v>
      </c>
      <c r="I72" s="380">
        <f>IF(H72,Wh_hp,'2021'!Maxi_hp)</f>
        <v>42.246597609719124</v>
      </c>
      <c r="J72" s="85">
        <f>IF(H72,An,'2021'!An_max)</f>
        <v>2019</v>
      </c>
      <c r="K72" s="197">
        <f t="shared" si="3"/>
        <v>44619</v>
      </c>
      <c r="L72" s="147">
        <f>IF(t&lt;Tvie,1-EXP((T0-t)*PertePVj)+'2021'!Pspv,1-EXP((T0-t)*PertePVj)+Pspv)</f>
        <v>2.9348532136577399E-2</v>
      </c>
      <c r="M72" s="845"/>
      <c r="N72" s="845"/>
      <c r="O72" s="48">
        <f>IF(t&lt;Tnet,'2021'!Resal+('2021'!Salim-'2021'!Resal)*(1-EXP(('2021'!Tnet-t)/('2021'!Tau_j))),Resal+(Salim-Resal)*(1-EXP((Tnet-t)/(Tau_j))))*Salcycl</f>
        <v>2.9032973933189748E-2</v>
      </c>
      <c r="P72" s="339">
        <f>(INDEX(Models!$BJ72:$BT72,,T72)*(1-R72)+INDEX(Models!$BJ72:$BT72,,T72+1)*R72-ERP_i)*Q72*Ramure*Pc/MaxiM</f>
        <v>1.5454617186099544E-4</v>
      </c>
      <c r="Q72" s="305">
        <f t="shared" si="4"/>
        <v>0.5</v>
      </c>
      <c r="R72" s="177">
        <f t="shared" si="5"/>
        <v>3.8566501540978904E-3</v>
      </c>
      <c r="S72" s="811">
        <f t="shared" si="6"/>
        <v>0</v>
      </c>
      <c r="T72" s="176">
        <f t="shared" si="7"/>
        <v>6</v>
      </c>
      <c r="U72" s="251">
        <f t="shared" si="20"/>
        <v>3.8566501540978904E-3</v>
      </c>
      <c r="V72" s="383">
        <f t="shared" si="8"/>
        <v>40.767503842507075</v>
      </c>
      <c r="W72" s="402">
        <f t="shared" si="9"/>
        <v>0</v>
      </c>
      <c r="X72" s="157">
        <f t="shared" si="10"/>
        <v>44619</v>
      </c>
      <c r="Y72" s="385">
        <f t="shared" si="11"/>
        <v>27.122679351200382</v>
      </c>
      <c r="Z72" s="385">
        <f t="shared" si="21"/>
        <v>27.942758290885035</v>
      </c>
      <c r="AA72" s="386">
        <f t="shared" si="12"/>
        <v>29.973349753524968</v>
      </c>
      <c r="AB72" s="197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6.7746564175768409E-2</v>
      </c>
      <c r="AD72" s="231">
        <f>(INDEX(Models!$BJ72:$BT72,,AH72)*(1-AF72)+INDEX(Models!$BJ72:$BT72,,AH72+1)*AF72-ERP_i)*AE72*Ramure*Pc/MaxiM</f>
        <v>1.5454617186099544E-4</v>
      </c>
      <c r="AE72" s="305">
        <f t="shared" si="14"/>
        <v>0.5</v>
      </c>
      <c r="AF72" s="177">
        <f t="shared" si="22"/>
        <v>3.8566501540978904E-3</v>
      </c>
      <c r="AG72" s="811">
        <f t="shared" si="23"/>
        <v>0</v>
      </c>
      <c r="AH72" s="176">
        <f t="shared" si="15"/>
        <v>6</v>
      </c>
      <c r="AI72" s="225">
        <f t="shared" si="24"/>
        <v>3.8566501540978904E-3</v>
      </c>
      <c r="AJ72" s="265" t="b">
        <f t="shared" si="16"/>
        <v>0</v>
      </c>
      <c r="AK72" s="265" t="b">
        <f t="shared" si="17"/>
        <v>0</v>
      </c>
      <c r="AL72" s="265"/>
      <c r="AM72" s="265"/>
      <c r="AN72" s="75"/>
    </row>
    <row r="73" spans="1:40" s="6" customFormat="1" ht="11.25" x14ac:dyDescent="0.2">
      <c r="A73" s="56">
        <f t="shared" si="18"/>
        <v>44620</v>
      </c>
      <c r="B73" s="1140">
        <v>34.905999999999999</v>
      </c>
      <c r="C73" s="841"/>
      <c r="D73" s="393">
        <f t="shared" si="0"/>
        <v>35.962202400585113</v>
      </c>
      <c r="E73" s="385">
        <f t="shared" si="1"/>
        <v>37.040695039986552</v>
      </c>
      <c r="F73" s="385">
        <f t="shared" si="2"/>
        <v>37.045168016322464</v>
      </c>
      <c r="G73" s="110">
        <f t="shared" si="19"/>
        <v>0.84905987539312799</v>
      </c>
      <c r="H73" s="414" t="b">
        <f>Wh_hp&gt;='2021'!Maxi_hp</f>
        <v>1</v>
      </c>
      <c r="I73" s="380">
        <f>IF(H73,Wh_hp,'2021'!Maxi_hp)</f>
        <v>37.045168016322464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2.9369791894834907E-2</v>
      </c>
      <c r="M73" s="845"/>
      <c r="N73" s="845"/>
      <c r="O73" s="48">
        <f>IF(t&lt;Tnet,'2021'!Resal+('2021'!Salim-'2021'!Resal)*(1-EXP(('2021'!Tnet-t)/('2021'!Tau_j))),Resal+(Salim-Resal)*(1-EXP((Tnet-t)/(Tau_j))))*Salcycl</f>
        <v>2.9116425548634403E-2</v>
      </c>
      <c r="P73" s="339">
        <f>(INDEX(Models!$BJ73:$BT73,,T73)*(1-R73)+INDEX(Models!$BJ73:$BT73,,T73+1)*R73-ERP_i)*Q73*Ramure*Pc/MaxiM</f>
        <v>1.5392922216629846E-4</v>
      </c>
      <c r="Q73" s="305">
        <f t="shared" si="4"/>
        <v>0.5</v>
      </c>
      <c r="R73" s="177">
        <f t="shared" si="5"/>
        <v>4.1527117266855493E-3</v>
      </c>
      <c r="S73" s="811">
        <f t="shared" si="6"/>
        <v>0</v>
      </c>
      <c r="T73" s="176">
        <f t="shared" si="7"/>
        <v>6</v>
      </c>
      <c r="U73" s="251">
        <f t="shared" si="20"/>
        <v>4.1527117266855493E-3</v>
      </c>
      <c r="V73" s="383">
        <f t="shared" si="8"/>
        <v>41.109988239019508</v>
      </c>
      <c r="W73" s="402">
        <f t="shared" si="9"/>
        <v>0</v>
      </c>
      <c r="X73" s="157">
        <f t="shared" si="10"/>
        <v>44620</v>
      </c>
      <c r="Y73" s="385">
        <f t="shared" si="11"/>
        <v>33.51538986812885</v>
      </c>
      <c r="Z73" s="385">
        <f t="shared" si="21"/>
        <v>34.529514523926245</v>
      </c>
      <c r="AA73" s="386">
        <f t="shared" si="12"/>
        <v>37.040695039986552</v>
      </c>
      <c r="AB73" s="197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6.7795178069672016E-2</v>
      </c>
      <c r="AD73" s="231">
        <f>(INDEX(Models!$BJ73:$BT73,,AH73)*(1-AF73)+INDEX(Models!$BJ73:$BT73,,AH73+1)*AF73-ERP_i)*AE73*Ramure*Pc/MaxiM</f>
        <v>1.5392922216629846E-4</v>
      </c>
      <c r="AE73" s="305">
        <f t="shared" si="14"/>
        <v>0.5</v>
      </c>
      <c r="AF73" s="177">
        <f t="shared" si="22"/>
        <v>4.1527117266855493E-3</v>
      </c>
      <c r="AG73" s="811">
        <f t="shared" si="23"/>
        <v>0</v>
      </c>
      <c r="AH73" s="176">
        <f t="shared" si="15"/>
        <v>6</v>
      </c>
      <c r="AI73" s="225">
        <f t="shared" si="24"/>
        <v>4.1527117266855493E-3</v>
      </c>
      <c r="AJ73" s="265" t="b">
        <f t="shared" si="16"/>
        <v>0</v>
      </c>
      <c r="AK73" s="265" t="b">
        <f t="shared" si="17"/>
        <v>0</v>
      </c>
      <c r="AL73" s="265"/>
      <c r="AM73" s="265"/>
      <c r="AN73" s="75"/>
    </row>
    <row r="74" spans="1:40" s="6" customFormat="1" ht="11.25" x14ac:dyDescent="0.2">
      <c r="A74" s="56">
        <f t="shared" si="18"/>
        <v>44621</v>
      </c>
      <c r="B74" s="1140">
        <v>40.518999999999998</v>
      </c>
      <c r="C74" s="841"/>
      <c r="D74" s="393">
        <f t="shared" si="0"/>
        <v>41.745957575984846</v>
      </c>
      <c r="E74" s="385">
        <f t="shared" si="1"/>
        <v>43.001595524081509</v>
      </c>
      <c r="F74" s="385">
        <f t="shared" si="2"/>
        <v>43.00792316495</v>
      </c>
      <c r="G74" s="110">
        <f t="shared" si="19"/>
        <v>0.97747413368377245</v>
      </c>
      <c r="H74" s="414" t="b">
        <f>Wh_hp&gt;='2021'!Maxi_hp</f>
        <v>1</v>
      </c>
      <c r="I74" s="380">
        <f>IF(H74,Wh_hp,'2021'!Maxi_hp)</f>
        <v>43.00792316495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2.9391051187449113E-2</v>
      </c>
      <c r="M74" s="845"/>
      <c r="N74" s="845"/>
      <c r="O74" s="48">
        <f>IF(t&lt;Tnet,'2021'!Resal+('2021'!Salim-'2021'!Resal)*(1-EXP(('2021'!Tnet-t)/('2021'!Tau_j))),Resal+(Salim-Resal)*(1-EXP((Tnet-t)/(Tau_j))))*Salcycl</f>
        <v>2.9199799049165264E-2</v>
      </c>
      <c r="P74" s="339">
        <f>(INDEX(Models!$BJ74:$BT74,,T74)*(1-R74)+INDEX(Models!$BJ74:$BT74,,T74+1)*R74-ERP_i)*Q74*Ramure*Pc/MaxiM</f>
        <v>1.5201820768472193E-4</v>
      </c>
      <c r="Q74" s="305">
        <f t="shared" si="4"/>
        <v>0.5</v>
      </c>
      <c r="R74" s="177">
        <f t="shared" si="5"/>
        <v>4.4608161717443317E-3</v>
      </c>
      <c r="S74" s="811">
        <f t="shared" si="6"/>
        <v>0</v>
      </c>
      <c r="T74" s="176">
        <f t="shared" si="7"/>
        <v>6</v>
      </c>
      <c r="U74" s="251">
        <f t="shared" si="20"/>
        <v>4.4608161717443317E-3</v>
      </c>
      <c r="V74" s="383">
        <f t="shared" si="8"/>
        <v>41.452556544520235</v>
      </c>
      <c r="W74" s="402">
        <f t="shared" si="9"/>
        <v>0</v>
      </c>
      <c r="X74" s="157">
        <f t="shared" si="10"/>
        <v>44621</v>
      </c>
      <c r="Y74" s="385">
        <f t="shared" si="11"/>
        <v>38.906089522095876</v>
      </c>
      <c r="Z74" s="385">
        <f t="shared" si="21"/>
        <v>40.084206486756415</v>
      </c>
      <c r="AA74" s="386">
        <f t="shared" si="12"/>
        <v>43.001595524081509</v>
      </c>
      <c r="AB74" s="197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6.7843739325702729E-2</v>
      </c>
      <c r="AD74" s="231">
        <f>(INDEX(Models!$BJ74:$BT74,,AH74)*(1-AF74)+INDEX(Models!$BJ74:$BT74,,AH74+1)*AF74-ERP_i)*AE74*Ramure*Pc/MaxiM</f>
        <v>1.5201820768472193E-4</v>
      </c>
      <c r="AE74" s="305">
        <f t="shared" si="14"/>
        <v>0.5</v>
      </c>
      <c r="AF74" s="177">
        <f t="shared" si="22"/>
        <v>4.4608161717443317E-3</v>
      </c>
      <c r="AG74" s="811">
        <f t="shared" si="23"/>
        <v>0</v>
      </c>
      <c r="AH74" s="176">
        <f t="shared" si="15"/>
        <v>6</v>
      </c>
      <c r="AI74" s="225">
        <f t="shared" si="24"/>
        <v>4.4608161717443317E-3</v>
      </c>
      <c r="AJ74" s="265" t="b">
        <f t="shared" si="16"/>
        <v>0</v>
      </c>
      <c r="AK74" s="265" t="b">
        <f t="shared" si="17"/>
        <v>0</v>
      </c>
      <c r="AL74" s="265"/>
      <c r="AM74" s="265"/>
      <c r="AN74" s="75"/>
    </row>
    <row r="75" spans="1:40" s="6" customFormat="1" ht="11.25" x14ac:dyDescent="0.2">
      <c r="A75" s="56">
        <f t="shared" si="18"/>
        <v>44622</v>
      </c>
      <c r="B75" s="1140">
        <v>11.157999999999999</v>
      </c>
      <c r="C75" s="841"/>
      <c r="D75" s="393">
        <f t="shared" si="0"/>
        <v>11.496127671025677</v>
      </c>
      <c r="E75" s="385">
        <f t="shared" si="1"/>
        <v>11.842925202056266</v>
      </c>
      <c r="F75" s="385">
        <f t="shared" si="2"/>
        <v>11.842925202056266</v>
      </c>
      <c r="G75" s="110">
        <f t="shared" si="19"/>
        <v>0.26693060107860378</v>
      </c>
      <c r="H75" s="414" t="b">
        <f>Wh_hp&gt;='2021'!Maxi_hp</f>
        <v>0</v>
      </c>
      <c r="I75" s="380">
        <f>IF(H75,Wh_hp,'2021'!Maxi_hp)</f>
        <v>29.154269715170336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2.9412310014430343E-2</v>
      </c>
      <c r="M75" s="845"/>
      <c r="N75" s="845"/>
      <c r="O75" s="48">
        <f>IF(t&lt;Tnet,'2021'!Resal+('2021'!Salim-'2021'!Resal)*(1-EXP(('2021'!Tnet-t)/('2021'!Tau_j))),Resal+(Salim-Resal)*(1-EXP((Tnet-t)/(Tau_j))))*Salcycl</f>
        <v>2.9283097301870498E-2</v>
      </c>
      <c r="P75" s="339">
        <f>(INDEX(Models!$BJ75:$BT75,,T75)*(1-R75)+INDEX(Models!$BJ75:$BT75,,T75+1)*R75-ERP_i)*Q75*Ramure*Pc/MaxiM</f>
        <v>1.4884499181947949E-4</v>
      </c>
      <c r="Q75" s="305">
        <f t="shared" si="4"/>
        <v>0.5</v>
      </c>
      <c r="R75" s="177">
        <f t="shared" si="5"/>
        <v>4.7814371410058844E-3</v>
      </c>
      <c r="S75" s="811">
        <f t="shared" si="6"/>
        <v>0</v>
      </c>
      <c r="T75" s="176">
        <f t="shared" si="7"/>
        <v>6</v>
      </c>
      <c r="U75" s="251">
        <f t="shared" si="20"/>
        <v>4.7814371410058844E-3</v>
      </c>
      <c r="V75" s="383">
        <f t="shared" si="8"/>
        <v>41.794905276881465</v>
      </c>
      <c r="W75" s="402">
        <f t="shared" si="9"/>
        <v>0</v>
      </c>
      <c r="X75" s="157">
        <f t="shared" si="10"/>
        <v>44622</v>
      </c>
      <c r="Y75" s="385">
        <f t="shared" si="11"/>
        <v>10.714203281016831</v>
      </c>
      <c r="Z75" s="385">
        <f t="shared" si="21"/>
        <v>11.03888230972322</v>
      </c>
      <c r="AA75" s="386">
        <f t="shared" si="12"/>
        <v>11.842925202056266</v>
      </c>
      <c r="AB75" s="197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6.7892254541423697E-2</v>
      </c>
      <c r="AD75" s="231">
        <f>(INDEX(Models!$BJ75:$BT75,,AH75)*(1-AF75)+INDEX(Models!$BJ75:$BT75,,AH75+1)*AF75-ERP_i)*AE75*Ramure*Pc/MaxiM</f>
        <v>1.4884499181947949E-4</v>
      </c>
      <c r="AE75" s="305">
        <f t="shared" si="14"/>
        <v>0.5</v>
      </c>
      <c r="AF75" s="177">
        <f t="shared" si="22"/>
        <v>4.7814371410058844E-3</v>
      </c>
      <c r="AG75" s="811">
        <f t="shared" si="23"/>
        <v>0</v>
      </c>
      <c r="AH75" s="176">
        <f t="shared" si="15"/>
        <v>6</v>
      </c>
      <c r="AI75" s="225">
        <f t="shared" si="24"/>
        <v>4.7814371410058844E-3</v>
      </c>
      <c r="AJ75" s="265" t="b">
        <f t="shared" si="16"/>
        <v>0</v>
      </c>
      <c r="AK75" s="265" t="b">
        <f t="shared" si="17"/>
        <v>0</v>
      </c>
      <c r="AL75" s="265"/>
      <c r="AM75" s="265"/>
      <c r="AN75" s="75"/>
    </row>
    <row r="76" spans="1:40" s="6" customFormat="1" ht="11.25" x14ac:dyDescent="0.2">
      <c r="A76" s="56">
        <f t="shared" si="18"/>
        <v>44623</v>
      </c>
      <c r="B76" s="1140">
        <v>35.96</v>
      </c>
      <c r="C76" s="841"/>
      <c r="D76" s="393">
        <f t="shared" si="0"/>
        <v>37.050529287131958</v>
      </c>
      <c r="E76" s="385">
        <f t="shared" si="1"/>
        <v>38.171485489438219</v>
      </c>
      <c r="F76" s="385">
        <f t="shared" si="2"/>
        <v>38.175844897448719</v>
      </c>
      <c r="G76" s="110">
        <f t="shared" si="19"/>
        <v>0.85338637521788829</v>
      </c>
      <c r="H76" s="414" t="b">
        <f>Wh_hp&gt;='2021'!Maxi_hp</f>
        <v>0</v>
      </c>
      <c r="I76" s="380">
        <f>IF(H76,Wh_hp,'2021'!Maxi_hp)</f>
        <v>39.010447727103518</v>
      </c>
      <c r="J76" s="85">
        <f>IF(H76,An,'2021'!An_max)</f>
        <v>2019</v>
      </c>
      <c r="K76" s="197">
        <f t="shared" si="3"/>
        <v>44623</v>
      </c>
      <c r="L76" s="147">
        <f>IF(t&lt;Tvie,1-EXP((T0-t)*PertePVj)+'2021'!Pspv,1-EXP((T0-t)*PertePVj)+Pspv)</f>
        <v>2.9433568375788699E-2</v>
      </c>
      <c r="M76" s="845"/>
      <c r="N76" s="845"/>
      <c r="O76" s="48">
        <f>IF(t&lt;Tnet,'2021'!Resal+('2021'!Salim-'2021'!Resal)*(1-EXP(('2021'!Tnet-t)/('2021'!Tau_j))),Resal+(Salim-Resal)*(1-EXP((Tnet-t)/(Tau_j))))*Salcycl</f>
        <v>2.9366323786807275E-2</v>
      </c>
      <c r="P76" s="339">
        <f>(INDEX(Models!$BJ76:$BT76,,T76)*(1-R76)+INDEX(Models!$BJ76:$BT76,,T76+1)*R76-ERP_i)*Q76*Ramure*Pc/MaxiM</f>
        <v>1.4444023221522192E-4</v>
      </c>
      <c r="Q76" s="305">
        <f t="shared" si="4"/>
        <v>0.5</v>
      </c>
      <c r="R76" s="177">
        <f t="shared" si="5"/>
        <v>5.1150655508637672E-3</v>
      </c>
      <c r="S76" s="811">
        <f t="shared" si="6"/>
        <v>0</v>
      </c>
      <c r="T76" s="176">
        <f t="shared" si="7"/>
        <v>6</v>
      </c>
      <c r="U76" s="251">
        <f t="shared" si="20"/>
        <v>5.1150655508637672E-3</v>
      </c>
      <c r="V76" s="383">
        <f t="shared" si="8"/>
        <v>42.136731056016423</v>
      </c>
      <c r="W76" s="402">
        <f t="shared" si="9"/>
        <v>0</v>
      </c>
      <c r="X76" s="157">
        <f t="shared" si="10"/>
        <v>44623</v>
      </c>
      <c r="Y76" s="385">
        <f t="shared" si="11"/>
        <v>34.530896784530697</v>
      </c>
      <c r="Z76" s="385">
        <f t="shared" si="21"/>
        <v>35.578086836100816</v>
      </c>
      <c r="AA76" s="386">
        <f t="shared" si="12"/>
        <v>38.171485489438219</v>
      </c>
      <c r="AB76" s="197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6.7940731676659025E-2</v>
      </c>
      <c r="AD76" s="231">
        <f>(INDEX(Models!$BJ76:$BT76,,AH76)*(1-AF76)+INDEX(Models!$BJ76:$BT76,,AH76+1)*AF76-ERP_i)*AE76*Ramure*Pc/MaxiM</f>
        <v>1.4444023221522192E-4</v>
      </c>
      <c r="AE76" s="305">
        <f t="shared" si="14"/>
        <v>0.5</v>
      </c>
      <c r="AF76" s="177">
        <f t="shared" si="22"/>
        <v>5.1150655508637672E-3</v>
      </c>
      <c r="AG76" s="811">
        <f t="shared" si="23"/>
        <v>0</v>
      </c>
      <c r="AH76" s="176">
        <f t="shared" si="15"/>
        <v>6</v>
      </c>
      <c r="AI76" s="225">
        <f t="shared" si="24"/>
        <v>5.1150655508637672E-3</v>
      </c>
      <c r="AJ76" s="265" t="b">
        <f t="shared" si="16"/>
        <v>0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44624</v>
      </c>
      <c r="B77" s="1140">
        <v>4.1360000000000001</v>
      </c>
      <c r="C77" s="841"/>
      <c r="D77" s="393">
        <f t="shared" si="0"/>
        <v>4.2615224020032576</v>
      </c>
      <c r="E77" s="385">
        <f t="shared" si="1"/>
        <v>4.3908300759531382</v>
      </c>
      <c r="F77" s="385">
        <f t="shared" si="2"/>
        <v>4.3908300759531382</v>
      </c>
      <c r="G77" s="110">
        <f t="shared" si="19"/>
        <v>9.7355148842814099E-2</v>
      </c>
      <c r="H77" s="414" t="b">
        <f>Wh_hp&gt;='2021'!Maxi_hp</f>
        <v>0</v>
      </c>
      <c r="I77" s="380">
        <f>IF(H77,Wh_hp,'2021'!Maxi_hp)</f>
        <v>30.286197485540761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2.9454826271534285E-2</v>
      </c>
      <c r="M77" s="845"/>
      <c r="N77" s="845"/>
      <c r="O77" s="48">
        <f>IF(t&lt;Tnet,'2021'!Resal+('2021'!Salim-'2021'!Resal)*(1-EXP(('2021'!Tnet-t)/('2021'!Tau_j))),Resal+(Salim-Resal)*(1-EXP((Tnet-t)/(Tau_j))))*Salcycl</f>
        <v>2.9449482606500339E-2</v>
      </c>
      <c r="P77" s="339">
        <f>(INDEX(Models!$BJ77:$BT77,,T77)*(1-R77)+INDEX(Models!$BJ77:$BT77,,T77+1)*R77-ERP_i)*Q77*Ramure*Pc/MaxiM</f>
        <v>1.3883332040817326E-4</v>
      </c>
      <c r="Q77" s="305">
        <f t="shared" si="4"/>
        <v>0.5</v>
      </c>
      <c r="R77" s="177">
        <f t="shared" si="5"/>
        <v>5.4622100959620529E-3</v>
      </c>
      <c r="S77" s="811">
        <f t="shared" si="6"/>
        <v>0</v>
      </c>
      <c r="T77" s="176">
        <f t="shared" si="7"/>
        <v>6</v>
      </c>
      <c r="U77" s="251">
        <f t="shared" si="20"/>
        <v>5.4622100959620529E-3</v>
      </c>
      <c r="V77" s="383">
        <f t="shared" si="8"/>
        <v>42.477730603274942</v>
      </c>
      <c r="W77" s="402">
        <f t="shared" si="9"/>
        <v>0</v>
      </c>
      <c r="X77" s="157">
        <f t="shared" si="10"/>
        <v>44624</v>
      </c>
      <c r="Y77" s="385">
        <f t="shared" si="11"/>
        <v>3.9717631201914547</v>
      </c>
      <c r="Z77" s="385">
        <f t="shared" si="21"/>
        <v>4.0923011393003481</v>
      </c>
      <c r="AA77" s="386">
        <f t="shared" si="12"/>
        <v>4.3908300759531382</v>
      </c>
      <c r="AB77" s="197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6.798918006135489E-2</v>
      </c>
      <c r="AD77" s="231">
        <f>(INDEX(Models!$BJ77:$BT77,,AH77)*(1-AF77)+INDEX(Models!$BJ77:$BT77,,AH77+1)*AF77-ERP_i)*AE77*Ramure*Pc/MaxiM</f>
        <v>1.3883332040817326E-4</v>
      </c>
      <c r="AE77" s="305">
        <f t="shared" si="14"/>
        <v>0.5</v>
      </c>
      <c r="AF77" s="177">
        <f t="shared" si="22"/>
        <v>5.4622100959620529E-3</v>
      </c>
      <c r="AG77" s="811">
        <f t="shared" si="23"/>
        <v>0</v>
      </c>
      <c r="AH77" s="176">
        <f t="shared" si="15"/>
        <v>6</v>
      </c>
      <c r="AI77" s="225">
        <f t="shared" si="24"/>
        <v>5.4622100959620529E-3</v>
      </c>
      <c r="AJ77" s="265" t="b">
        <f t="shared" si="16"/>
        <v>0</v>
      </c>
      <c r="AK77" s="265" t="b">
        <f t="shared" si="17"/>
        <v>0</v>
      </c>
      <c r="AL77" s="265"/>
      <c r="AM77" s="265"/>
      <c r="AN77" s="75"/>
    </row>
    <row r="78" spans="1:40" s="6" customFormat="1" ht="11.25" x14ac:dyDescent="0.2">
      <c r="A78" s="56">
        <f t="shared" si="18"/>
        <v>44625</v>
      </c>
      <c r="B78" s="1140">
        <v>13.692</v>
      </c>
      <c r="C78" s="841"/>
      <c r="D78" s="393">
        <f t="shared" si="0"/>
        <v>14.107843990308544</v>
      </c>
      <c r="E78" s="385">
        <f t="shared" si="1"/>
        <v>14.537163924965851</v>
      </c>
      <c r="F78" s="385">
        <f t="shared" si="2"/>
        <v>14.537218155850486</v>
      </c>
      <c r="G78" s="110">
        <f t="shared" si="19"/>
        <v>0.31973400597030865</v>
      </c>
      <c r="H78" s="414" t="b">
        <f>Wh_hp&gt;='2021'!Maxi_hp</f>
        <v>0</v>
      </c>
      <c r="I78" s="380">
        <f>IF(H78,Wh_hp,'2021'!Maxi_hp)</f>
        <v>44.531611979407565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2.9476083701677536E-2</v>
      </c>
      <c r="M78" s="845"/>
      <c r="N78" s="845"/>
      <c r="O78" s="48">
        <f>IF(t&lt;Tnet,'2021'!Resal+('2021'!Salim-'2021'!Resal)*(1-EXP(('2021'!Tnet-t)/('2021'!Tau_j))),Resal+(Salim-Resal)*(1-EXP((Tnet-t)/(Tau_j))))*Salcycl</f>
        <v>2.9532578491462326E-2</v>
      </c>
      <c r="P78" s="339">
        <f>(INDEX(Models!$BJ78:$BT78,,T78)*(1-R78)+INDEX(Models!$BJ78:$BT78,,T78+1)*R78-ERP_i)*Q78*Ramure*Pc/MaxiM</f>
        <v>1.3205232286215066E-4</v>
      </c>
      <c r="Q78" s="305">
        <f t="shared" si="4"/>
        <v>0.5</v>
      </c>
      <c r="R78" s="177">
        <f t="shared" si="5"/>
        <v>5.8233977678576951E-3</v>
      </c>
      <c r="S78" s="811">
        <f t="shared" si="6"/>
        <v>0</v>
      </c>
      <c r="T78" s="176">
        <f t="shared" si="7"/>
        <v>6</v>
      </c>
      <c r="U78" s="251">
        <f t="shared" si="20"/>
        <v>5.8233977678576951E-3</v>
      </c>
      <c r="V78" s="383">
        <f t="shared" si="8"/>
        <v>42.817600740668922</v>
      </c>
      <c r="W78" s="402">
        <f t="shared" si="9"/>
        <v>0</v>
      </c>
      <c r="X78" s="157">
        <f t="shared" si="10"/>
        <v>44625</v>
      </c>
      <c r="Y78" s="385">
        <f t="shared" si="11"/>
        <v>13.148745393890941</v>
      </c>
      <c r="Z78" s="385">
        <f t="shared" si="21"/>
        <v>13.548090029601333</v>
      </c>
      <c r="AA78" s="386">
        <f t="shared" si="12"/>
        <v>14.537163924965851</v>
      </c>
      <c r="AB78" s="197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6.8037610394273709E-2</v>
      </c>
      <c r="AD78" s="231">
        <f>(INDEX(Models!$BJ78:$BT78,,AH78)*(1-AF78)+INDEX(Models!$BJ78:$BT78,,AH78+1)*AF78-ERP_i)*AE78*Ramure*Pc/MaxiM</f>
        <v>1.3205232286215066E-4</v>
      </c>
      <c r="AE78" s="305">
        <f t="shared" si="14"/>
        <v>0.5</v>
      </c>
      <c r="AF78" s="177">
        <f t="shared" si="22"/>
        <v>5.8233977678576951E-3</v>
      </c>
      <c r="AG78" s="811">
        <f t="shared" si="23"/>
        <v>0</v>
      </c>
      <c r="AH78" s="176">
        <f t="shared" si="15"/>
        <v>6</v>
      </c>
      <c r="AI78" s="225">
        <f t="shared" si="24"/>
        <v>5.8233977678576951E-3</v>
      </c>
      <c r="AJ78" s="265" t="b">
        <f t="shared" si="16"/>
        <v>0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44626</v>
      </c>
      <c r="B79" s="1140">
        <v>16.359000000000002</v>
      </c>
      <c r="C79" s="841"/>
      <c r="D79" s="393">
        <f t="shared" ref="D79:D142" si="25">Wh/(1-Ppv)</f>
        <v>16.8562134710997</v>
      </c>
      <c r="E79" s="385">
        <f t="shared" si="1"/>
        <v>17.370656167759211</v>
      </c>
      <c r="F79" s="385">
        <f t="shared" ref="F79:F142" si="26">Wh_sa/(1-Pvg*MEDIAN((-Sdif+Wh/Env_an)/Csdif,0,1))</f>
        <v>17.370899669147359</v>
      </c>
      <c r="G79" s="110">
        <f t="shared" si="19"/>
        <v>0.37901406016736156</v>
      </c>
      <c r="H79" s="414" t="b">
        <f>Wh_hp&gt;='2021'!Maxi_hp</f>
        <v>0</v>
      </c>
      <c r="I79" s="380">
        <f>IF(H79,Wh_hp,'2021'!Maxi_hp)</f>
        <v>23.382336400970807</v>
      </c>
      <c r="J79" s="85">
        <f>IF(H79,An,'2021'!An_max)</f>
        <v>2019</v>
      </c>
      <c r="K79" s="197">
        <f t="shared" ref="K79:K142" si="27">t</f>
        <v>44626</v>
      </c>
      <c r="L79" s="147">
        <f>IF(t&lt;Tvie,1-EXP((T0-t)*PertePVj)+'2021'!Pspv,1-EXP((T0-t)*PertePVj)+Pspv)</f>
        <v>2.9497340666228444E-2</v>
      </c>
      <c r="M79" s="845"/>
      <c r="N79" s="845"/>
      <c r="O79" s="48">
        <f>IF(t&lt;Tnet,'2021'!Resal+('2021'!Salim-'2021'!Resal)*(1-EXP(('2021'!Tnet-t)/('2021'!Tau_j))),Resal+(Salim-Resal)*(1-EXP((Tnet-t)/(Tau_j))))*Salcycl</f>
        <v>2.961561680176154E-2</v>
      </c>
      <c r="P79" s="339">
        <f>(INDEX(Models!$BJ79:$BT79,,T79)*(1-R79)+INDEX(Models!$BJ79:$BT79,,T79+1)*R79-ERP_i)*Q79*Ramure*Pc/MaxiM</f>
        <v>1.241204823380808E-4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6.1991743777558197E-3</v>
      </c>
      <c r="S79" s="811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6.1991743777558197E-3</v>
      </c>
      <c r="V79" s="383">
        <f t="shared" ref="V79:V142" si="33">MaxiM*(1-Ppv)*(1-Pvg)*(1-Psa)</f>
        <v>43.157234846017644</v>
      </c>
      <c r="W79" s="402">
        <f t="shared" ref="W79:W142" si="34">Wh*(A79&gt;Tmaj)</f>
        <v>0</v>
      </c>
      <c r="X79" s="157">
        <f t="shared" ref="X79:X142" si="35">t</f>
        <v>44626</v>
      </c>
      <c r="Y79" s="385">
        <f t="shared" ref="Y79:Y142" si="36">Wh_pvt_s*(1-Ppv)</f>
        <v>15.710455384248601</v>
      </c>
      <c r="Z79" s="385">
        <f t="shared" ref="Z79:Z142" si="37">Wh_sa_s*(1-Psa_s)</f>
        <v>16.187957068591114</v>
      </c>
      <c r="AA79" s="386">
        <f t="shared" ref="AA79:AA142" si="38">Wh_hp*(1-Pvg_s*MEDIAN((-Sdif+Wh/Env_an)/Csdif,0,1))</f>
        <v>17.370656167759211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6.8086034732714712E-2</v>
      </c>
      <c r="AD79" s="231">
        <f>(INDEX(Models!$BJ79:$BT79,,AH79)*(1-AF79)+INDEX(Models!$BJ79:$BT79,,AH79+1)*AF79-ERP_i)*AE79*Ramure*Pc/MaxiM</f>
        <v>1.241204823380808E-4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6.1991743777558197E-3</v>
      </c>
      <c r="AG79" s="811">
        <f t="shared" si="23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6.1991743777558197E-3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44627</v>
      </c>
      <c r="B80" s="1140">
        <v>38.209000000000003</v>
      </c>
      <c r="C80" s="841"/>
      <c r="D80" s="393">
        <f t="shared" si="25"/>
        <v>39.3711820632425</v>
      </c>
      <c r="E80" s="385">
        <f t="shared" ref="E80:E143" si="47">Wh_pvt/(1-Psa)</f>
        <v>40.5762397191858</v>
      </c>
      <c r="F80" s="385">
        <f t="shared" si="26"/>
        <v>40.580108794602943</v>
      </c>
      <c r="G80" s="110">
        <f t="shared" ref="G80:G143" si="48">+Wh_hp/MaxiM</f>
        <v>0.87839909522697535</v>
      </c>
      <c r="H80" s="414" t="b">
        <f>Wh_hp&gt;='2021'!Maxi_hp</f>
        <v>0</v>
      </c>
      <c r="I80" s="380">
        <f>IF(H80,Wh_hp,'2021'!Maxi_hp)</f>
        <v>42.685529835046331</v>
      </c>
      <c r="J80" s="85">
        <f>IF(H80,An,'2021'!An_max)</f>
        <v>2019</v>
      </c>
      <c r="K80" s="197">
        <f t="shared" si="27"/>
        <v>44627</v>
      </c>
      <c r="L80" s="147">
        <f>IF(t&lt;Tvie,1-EXP((T0-t)*PertePVj)+'2021'!Pspv,1-EXP((T0-t)*PertePVj)+Pspv)</f>
        <v>2.9518597165197225E-2</v>
      </c>
      <c r="M80" s="845"/>
      <c r="N80" s="845"/>
      <c r="O80" s="48">
        <f>IF(t&lt;Tnet,'2021'!Resal+('2021'!Salim-'2021'!Resal)*(1-EXP(('2021'!Tnet-t)/('2021'!Tau_j))),Resal+(Salim-Resal)*(1-EXP((Tnet-t)/(Tau_j))))*Salcycl</f>
        <v>2.9698603524700495E-2</v>
      </c>
      <c r="P80" s="339">
        <f>(INDEX(Models!$BJ80:$BT80,,T80)*(1-R80)+INDEX(Models!$BJ80:$BT80,,T80+1)*R80-ERP_i)*Q80*Ramure*Pc/MaxiM</f>
        <v>1.1538549130975972E-4</v>
      </c>
      <c r="Q80" s="305">
        <f t="shared" si="28"/>
        <v>0.5</v>
      </c>
      <c r="R80" s="177">
        <f t="shared" si="29"/>
        <v>6.590105082191388E-3</v>
      </c>
      <c r="S80" s="811">
        <f t="shared" si="30"/>
        <v>0</v>
      </c>
      <c r="T80" s="176">
        <f t="shared" si="31"/>
        <v>6</v>
      </c>
      <c r="U80" s="251">
        <f t="shared" si="32"/>
        <v>6.590105082191388E-3</v>
      </c>
      <c r="V80" s="383">
        <f t="shared" si="33"/>
        <v>43.497579146491972</v>
      </c>
      <c r="W80" s="402">
        <f t="shared" si="34"/>
        <v>0</v>
      </c>
      <c r="X80" s="157">
        <f t="shared" si="35"/>
        <v>44627</v>
      </c>
      <c r="Y80" s="385">
        <f t="shared" si="36"/>
        <v>36.695453907263378</v>
      </c>
      <c r="Z80" s="385">
        <f t="shared" si="37"/>
        <v>37.81159927441675</v>
      </c>
      <c r="AA80" s="386">
        <f t="shared" si="38"/>
        <v>40.5762397191858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6.8134466473536631E-2</v>
      </c>
      <c r="AD80" s="231">
        <f>(INDEX(Models!$BJ80:$BT80,,AH80)*(1-AF80)+INDEX(Models!$BJ80:$BT80,,AH80+1)*AF80-ERP_i)*AE80*Ramure*Pc/MaxiM</f>
        <v>1.1538549130975972E-4</v>
      </c>
      <c r="AE80" s="305">
        <f t="shared" si="40"/>
        <v>0.5</v>
      </c>
      <c r="AF80" s="177">
        <f t="shared" si="41"/>
        <v>6.590105082191388E-3</v>
      </c>
      <c r="AG80" s="811">
        <f t="shared" ref="AG80:AG143" si="49">INDEX(Echel_vg,AH80)</f>
        <v>0</v>
      </c>
      <c r="AH80" s="176">
        <f t="shared" si="42"/>
        <v>6</v>
      </c>
      <c r="AI80" s="225">
        <f t="shared" si="43"/>
        <v>6.590105082191388E-3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44628</v>
      </c>
      <c r="B81" s="1140">
        <v>33.020000000000003</v>
      </c>
      <c r="C81" s="841"/>
      <c r="D81" s="393">
        <f t="shared" si="25"/>
        <v>34.025096351284986</v>
      </c>
      <c r="E81" s="385">
        <f t="shared" si="47"/>
        <v>35.069520874768699</v>
      </c>
      <c r="F81" s="385">
        <f t="shared" si="26"/>
        <v>35.07193791062771</v>
      </c>
      <c r="G81" s="110">
        <f t="shared" si="48"/>
        <v>0.75319255430198095</v>
      </c>
      <c r="H81" s="414" t="b">
        <f>Wh_hp&gt;='2021'!Maxi_hp</f>
        <v>1</v>
      </c>
      <c r="I81" s="380">
        <f>IF(H81,Wh_hp,'2021'!Maxi_hp)</f>
        <v>35.07193791062771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2.9539853198594201E-2</v>
      </c>
      <c r="M81" s="845"/>
      <c r="N81" s="845"/>
      <c r="O81" s="48">
        <f>IF(t&lt;Tnet,'2021'!Resal+('2021'!Salim-'2021'!Resal)*(1-EXP(('2021'!Tnet-t)/('2021'!Tau_j))),Resal+(Salim-Resal)*(1-EXP((Tnet-t)/(Tau_j))))*Salcycl</f>
        <v>2.9781545268704943E-2</v>
      </c>
      <c r="P81" s="339">
        <f>(INDEX(Models!$BJ81:$BT81,,T81)*(1-R81)+INDEX(Models!$BJ81:$BT81,,T81+1)*R81-ERP_i)*Q81*Ramure*Pc/MaxiM</f>
        <v>1.0644163009244516E-4</v>
      </c>
      <c r="Q81" s="305">
        <f t="shared" si="28"/>
        <v>0.5</v>
      </c>
      <c r="R81" s="177">
        <f t="shared" si="29"/>
        <v>6.9967749104014685E-3</v>
      </c>
      <c r="S81" s="811">
        <f t="shared" si="30"/>
        <v>0</v>
      </c>
      <c r="T81" s="176">
        <f t="shared" si="31"/>
        <v>6</v>
      </c>
      <c r="U81" s="251">
        <f t="shared" si="32"/>
        <v>6.9967749104014685E-3</v>
      </c>
      <c r="V81" s="383">
        <f t="shared" si="33"/>
        <v>43.838405792549885</v>
      </c>
      <c r="W81" s="402">
        <f t="shared" si="34"/>
        <v>0</v>
      </c>
      <c r="X81" s="157">
        <f t="shared" si="35"/>
        <v>44628</v>
      </c>
      <c r="Y81" s="385">
        <f t="shared" si="36"/>
        <v>31.713064022640541</v>
      </c>
      <c r="Z81" s="385">
        <f t="shared" si="37"/>
        <v>32.678378527099142</v>
      </c>
      <c r="AA81" s="386">
        <f t="shared" si="38"/>
        <v>35.069520874768699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6.8182920325834895E-2</v>
      </c>
      <c r="AD81" s="231">
        <f>(INDEX(Models!$BJ81:$BT81,,AH81)*(1-AF81)+INDEX(Models!$BJ81:$BT81,,AH81+1)*AF81-ERP_i)*AE81*Ramure*Pc/MaxiM</f>
        <v>1.0644163009244516E-4</v>
      </c>
      <c r="AE81" s="305">
        <f t="shared" si="40"/>
        <v>0.5</v>
      </c>
      <c r="AF81" s="177">
        <f t="shared" si="41"/>
        <v>6.9967749104014685E-3</v>
      </c>
      <c r="AG81" s="811">
        <f t="shared" si="49"/>
        <v>0</v>
      </c>
      <c r="AH81" s="176">
        <f t="shared" si="42"/>
        <v>6</v>
      </c>
      <c r="AI81" s="225">
        <f t="shared" si="43"/>
        <v>6.9967749104014685E-3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44629</v>
      </c>
      <c r="B82" s="1140">
        <v>29.463000000000001</v>
      </c>
      <c r="C82" s="841"/>
      <c r="D82" s="393">
        <f t="shared" si="25"/>
        <v>30.360489739388118</v>
      </c>
      <c r="E82" s="385">
        <f t="shared" si="47"/>
        <v>31.295100685701183</v>
      </c>
      <c r="F82" s="385">
        <f t="shared" si="26"/>
        <v>31.296696643934716</v>
      </c>
      <c r="G82" s="110">
        <f t="shared" si="48"/>
        <v>0.66686195340258991</v>
      </c>
      <c r="H82" s="414" t="b">
        <f>Wh_hp&gt;='2021'!Maxi_hp</f>
        <v>0</v>
      </c>
      <c r="I82" s="380">
        <f>IF(H82,Wh_hp,'2021'!Maxi_hp)</f>
        <v>44.010087492548095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2.9561108766429478E-2</v>
      </c>
      <c r="M82" s="845"/>
      <c r="N82" s="845"/>
      <c r="O82" s="48">
        <f>IF(t&lt;Tnet,'2021'!Resal+('2021'!Salim-'2021'!Resal)*(1-EXP(('2021'!Tnet-t)/('2021'!Tau_j))),Resal+(Salim-Resal)*(1-EXP((Tnet-t)/(Tau_j))))*Salcycl</f>
        <v>2.986444925355651E-2</v>
      </c>
      <c r="P82" s="339">
        <f>(INDEX(Models!$BJ82:$BT82,,T82)*(1-R82)+INDEX(Models!$BJ82:$BT82,,T82+1)*R82-ERP_i)*Q82*Ramure*Pc/MaxiM</f>
        <v>9.7293053839900032E-5</v>
      </c>
      <c r="Q82" s="305">
        <f t="shared" si="28"/>
        <v>0.5</v>
      </c>
      <c r="R82" s="177">
        <f t="shared" si="29"/>
        <v>7.4197892919883931E-3</v>
      </c>
      <c r="S82" s="811">
        <f t="shared" si="30"/>
        <v>0</v>
      </c>
      <c r="T82" s="176">
        <f t="shared" si="31"/>
        <v>6</v>
      </c>
      <c r="U82" s="251">
        <f t="shared" si="32"/>
        <v>7.4197892919883931E-3</v>
      </c>
      <c r="V82" s="383">
        <f t="shared" si="33"/>
        <v>44.179512243461019</v>
      </c>
      <c r="W82" s="402">
        <f t="shared" si="34"/>
        <v>0</v>
      </c>
      <c r="X82" s="157">
        <f t="shared" si="35"/>
        <v>44629</v>
      </c>
      <c r="Y82" s="385">
        <f t="shared" si="36"/>
        <v>28.297795992527497</v>
      </c>
      <c r="Z82" s="385">
        <f t="shared" si="37"/>
        <v>29.159791768605686</v>
      </c>
      <c r="AA82" s="386">
        <f t="shared" si="38"/>
        <v>31.295100685701183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6.8231412275696096E-2</v>
      </c>
      <c r="AD82" s="231">
        <f>(INDEX(Models!$BJ82:$BT82,,AH82)*(1-AF82)+INDEX(Models!$BJ82:$BT82,,AH82+1)*AF82-ERP_i)*AE82*Ramure*Pc/MaxiM</f>
        <v>9.7293053839900032E-5</v>
      </c>
      <c r="AE82" s="305">
        <f t="shared" si="40"/>
        <v>0.5</v>
      </c>
      <c r="AF82" s="177">
        <f t="shared" si="41"/>
        <v>7.4197892919883931E-3</v>
      </c>
      <c r="AG82" s="811">
        <f t="shared" si="49"/>
        <v>0</v>
      </c>
      <c r="AH82" s="176">
        <f t="shared" si="42"/>
        <v>6</v>
      </c>
      <c r="AI82" s="225">
        <f t="shared" si="43"/>
        <v>7.4197892919883931E-3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44630</v>
      </c>
      <c r="B83" s="1140">
        <v>25.594000000000001</v>
      </c>
      <c r="C83" s="841"/>
      <c r="D83" s="393">
        <f t="shared" si="25"/>
        <v>26.374211521994038</v>
      </c>
      <c r="E83" s="385">
        <f t="shared" si="47"/>
        <v>27.188432293839877</v>
      </c>
      <c r="F83" s="385">
        <f t="shared" si="26"/>
        <v>27.189371250713076</v>
      </c>
      <c r="G83" s="110">
        <f t="shared" si="48"/>
        <v>0.57484799836649769</v>
      </c>
      <c r="H83" s="414" t="b">
        <f>Wh_hp&gt;='2021'!Maxi_hp</f>
        <v>0</v>
      </c>
      <c r="I83" s="380">
        <f>IF(H83,Wh_hp,'2021'!Maxi_hp)</f>
        <v>43.468612982947825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2.9582363868713268E-2</v>
      </c>
      <c r="M83" s="845"/>
      <c r="N83" s="845"/>
      <c r="O83" s="48">
        <f>IF(t&lt;Tnet,'2021'!Resal+('2021'!Salim-'2021'!Resal)*(1-EXP(('2021'!Tnet-t)/('2021'!Tau_j))),Resal+(Salim-Resal)*(1-EXP((Tnet-t)/(Tau_j))))*Salcycl</f>
        <v>2.9947323297133236E-2</v>
      </c>
      <c r="P83" s="339">
        <f>(INDEX(Models!$BJ83:$BT83,,T83)*(1-R83)+INDEX(Models!$BJ83:$BT83,,T83+1)*R83-ERP_i)*Q83*Ramure*Pc/MaxiM</f>
        <v>8.7943435454424019E-5</v>
      </c>
      <c r="Q83" s="305">
        <f t="shared" si="28"/>
        <v>0.5</v>
      </c>
      <c r="R83" s="177">
        <f t="shared" si="29"/>
        <v>7.859774583325152E-3</v>
      </c>
      <c r="S83" s="811">
        <f t="shared" si="30"/>
        <v>0</v>
      </c>
      <c r="T83" s="176">
        <f t="shared" si="31"/>
        <v>6</v>
      </c>
      <c r="U83" s="251">
        <f t="shared" si="32"/>
        <v>7.859774583325152E-3</v>
      </c>
      <c r="V83" s="383">
        <f t="shared" si="33"/>
        <v>44.520696016343578</v>
      </c>
      <c r="W83" s="402">
        <f t="shared" si="34"/>
        <v>0</v>
      </c>
      <c r="X83" s="157">
        <f t="shared" si="35"/>
        <v>44630</v>
      </c>
      <c r="Y83" s="385">
        <f t="shared" si="36"/>
        <v>24.582626581162046</v>
      </c>
      <c r="Z83" s="385">
        <f t="shared" si="37"/>
        <v>25.332007236764902</v>
      </c>
      <c r="AA83" s="386">
        <f t="shared" si="38"/>
        <v>27.188432293839877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6.8279959543514748E-2</v>
      </c>
      <c r="AD83" s="231">
        <f>(INDEX(Models!$BJ83:$BT83,,AH83)*(1-AF83)+INDEX(Models!$BJ83:$BT83,,AH83+1)*AF83-ERP_i)*AE83*Ramure*Pc/MaxiM</f>
        <v>8.7943435454424019E-5</v>
      </c>
      <c r="AE83" s="305">
        <f t="shared" si="40"/>
        <v>0.5</v>
      </c>
      <c r="AF83" s="177">
        <f t="shared" si="41"/>
        <v>7.859774583325152E-3</v>
      </c>
      <c r="AG83" s="811">
        <f t="shared" si="49"/>
        <v>0</v>
      </c>
      <c r="AH83" s="176">
        <f t="shared" si="42"/>
        <v>6</v>
      </c>
      <c r="AI83" s="225">
        <f t="shared" si="43"/>
        <v>7.859774583325152E-3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44631</v>
      </c>
      <c r="B84" s="1140">
        <v>16.240000000000002</v>
      </c>
      <c r="C84" s="841"/>
      <c r="D84" s="393">
        <f t="shared" si="25"/>
        <v>16.735429263439915</v>
      </c>
      <c r="E84" s="385">
        <f t="shared" si="47"/>
        <v>17.253556601333376</v>
      </c>
      <c r="F84" s="385">
        <f t="shared" si="26"/>
        <v>17.253676406599791</v>
      </c>
      <c r="G84" s="110">
        <f t="shared" si="48"/>
        <v>0.36197513275000687</v>
      </c>
      <c r="H84" s="414" t="b">
        <f>Wh_hp&gt;='2021'!Maxi_hp</f>
        <v>0</v>
      </c>
      <c r="I84" s="380">
        <f>IF(H84,Wh_hp,'2021'!Maxi_hp)</f>
        <v>34.137173352401021</v>
      </c>
      <c r="J84" s="85">
        <f>IF(H84,An,'2021'!An_max)</f>
        <v>2021</v>
      </c>
      <c r="K84" s="197">
        <f t="shared" si="27"/>
        <v>44631</v>
      </c>
      <c r="L84" s="147">
        <f>IF(t&lt;Tvie,1-EXP((T0-t)*PertePVj)+'2021'!Pspv,1-EXP((T0-t)*PertePVj)+Pspv)</f>
        <v>2.9603618505455676E-2</v>
      </c>
      <c r="M84" s="845"/>
      <c r="N84" s="845"/>
      <c r="O84" s="48">
        <f>IF(t&lt;Tnet,'2021'!Resal+('2021'!Salim-'2021'!Resal)*(1-EXP(('2021'!Tnet-t)/('2021'!Tau_j))),Resal+(Salim-Resal)*(1-EXP((Tnet-t)/(Tau_j))))*Salcycl</f>
        <v>3.0030175798850631E-2</v>
      </c>
      <c r="P84" s="339">
        <f>(INDEX(Models!$BJ84:$BT84,,T84)*(1-R84)+INDEX(Models!$BJ84:$BT84,,T84+1)*R84-ERP_i)*Q84*Ramure*Pc/MaxiM</f>
        <v>7.8395947902163267E-5</v>
      </c>
      <c r="Q84" s="305">
        <f t="shared" si="28"/>
        <v>0.5</v>
      </c>
      <c r="R84" s="177">
        <f t="shared" si="29"/>
        <v>8.3173785909900003E-3</v>
      </c>
      <c r="S84" s="811">
        <f t="shared" si="30"/>
        <v>0</v>
      </c>
      <c r="T84" s="176">
        <f t="shared" si="31"/>
        <v>6</v>
      </c>
      <c r="U84" s="251">
        <f t="shared" si="32"/>
        <v>8.3173785909900003E-3</v>
      </c>
      <c r="V84" s="383">
        <f t="shared" si="33"/>
        <v>44.861754687197276</v>
      </c>
      <c r="W84" s="402">
        <f t="shared" si="34"/>
        <v>0</v>
      </c>
      <c r="X84" s="157">
        <f t="shared" si="35"/>
        <v>44631</v>
      </c>
      <c r="Y84" s="385">
        <f t="shared" si="36"/>
        <v>15.598777894541433</v>
      </c>
      <c r="Z84" s="385">
        <f t="shared" si="37"/>
        <v>16.074645569594111</v>
      </c>
      <c r="AA84" s="386">
        <f t="shared" si="38"/>
        <v>17.253556601333376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6.8328580534413222E-2</v>
      </c>
      <c r="AD84" s="231">
        <f>(INDEX(Models!$BJ84:$BT84,,AH84)*(1-AF84)+INDEX(Models!$BJ84:$BT84,,AH84+1)*AF84-ERP_i)*AE84*Ramure*Pc/MaxiM</f>
        <v>7.8395947902163267E-5</v>
      </c>
      <c r="AE84" s="305">
        <f t="shared" si="40"/>
        <v>0.5</v>
      </c>
      <c r="AF84" s="177">
        <f t="shared" si="41"/>
        <v>8.3173785909900003E-3</v>
      </c>
      <c r="AG84" s="811">
        <f t="shared" si="49"/>
        <v>0</v>
      </c>
      <c r="AH84" s="176">
        <f t="shared" si="42"/>
        <v>6</v>
      </c>
      <c r="AI84" s="225">
        <f t="shared" si="43"/>
        <v>8.3173785909900003E-3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44632</v>
      </c>
      <c r="B85" s="1140">
        <v>15.089</v>
      </c>
      <c r="C85" s="841"/>
      <c r="D85" s="393">
        <f t="shared" si="25"/>
        <v>15.549656596847505</v>
      </c>
      <c r="E85" s="385">
        <f t="shared" si="47"/>
        <v>16.032441767832562</v>
      </c>
      <c r="F85" s="385">
        <f t="shared" si="26"/>
        <v>16.032494929358535</v>
      </c>
      <c r="G85" s="110">
        <f t="shared" si="48"/>
        <v>0.3337872646422636</v>
      </c>
      <c r="H85" s="414" t="b">
        <f>Wh_hp&gt;='2021'!Maxi_hp</f>
        <v>0</v>
      </c>
      <c r="I85" s="380">
        <f>IF(H85,Wh_hp,'2021'!Maxi_hp)</f>
        <v>42.294025676295831</v>
      </c>
      <c r="J85" s="85">
        <f>IF(H85,An,'2021'!An_max)</f>
        <v>2019</v>
      </c>
      <c r="K85" s="197">
        <f t="shared" si="27"/>
        <v>44632</v>
      </c>
      <c r="L85" s="147">
        <f>IF(t&lt;Tvie,1-EXP((T0-t)*PertePVj)+'2021'!Pspv,1-EXP((T0-t)*PertePVj)+Pspv)</f>
        <v>2.9624872676667136E-2</v>
      </c>
      <c r="M85" s="845"/>
      <c r="N85" s="845"/>
      <c r="O85" s="48">
        <f>IF(t&lt;Tnet,'2021'!Resal+('2021'!Salim-'2021'!Resal)*(1-EXP(('2021'!Tnet-t)/('2021'!Tau_j))),Resal+(Salim-Resal)*(1-EXP((Tnet-t)/(Tau_j))))*Salcycl</f>
        <v>3.0113015720020543E-2</v>
      </c>
      <c r="P85" s="339">
        <f>(INDEX(Models!$BJ85:$BT85,,T85)*(1-R85)+INDEX(Models!$BJ85:$BT85,,T85+1)*R85-ERP_i)*Q85*Ramure*Pc/MaxiM</f>
        <v>6.8653246561651773E-5</v>
      </c>
      <c r="Q85" s="305">
        <f t="shared" si="28"/>
        <v>0.5</v>
      </c>
      <c r="R85" s="177">
        <f t="shared" si="29"/>
        <v>8.7932710903452435E-3</v>
      </c>
      <c r="S85" s="811">
        <f t="shared" si="30"/>
        <v>0</v>
      </c>
      <c r="T85" s="176">
        <f t="shared" si="31"/>
        <v>6</v>
      </c>
      <c r="U85" s="251">
        <f t="shared" si="32"/>
        <v>8.7932710903452435E-3</v>
      </c>
      <c r="V85" s="383">
        <f t="shared" si="33"/>
        <v>45.202485892000773</v>
      </c>
      <c r="W85" s="402">
        <f t="shared" si="34"/>
        <v>0</v>
      </c>
      <c r="X85" s="157">
        <f t="shared" si="35"/>
        <v>44632</v>
      </c>
      <c r="Y85" s="385">
        <f t="shared" si="36"/>
        <v>14.493704139627013</v>
      </c>
      <c r="Z85" s="385">
        <f t="shared" si="37"/>
        <v>14.936186770992588</v>
      </c>
      <c r="AA85" s="386">
        <f t="shared" si="38"/>
        <v>16.032441767832562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6.8377294782351702E-2</v>
      </c>
      <c r="AD85" s="231">
        <f>(INDEX(Models!$BJ85:$BT85,,AH85)*(1-AF85)+INDEX(Models!$BJ85:$BT85,,AH85+1)*AF85-ERP_i)*AE85*Ramure*Pc/MaxiM</f>
        <v>6.8653246561651773E-5</v>
      </c>
      <c r="AE85" s="305">
        <f t="shared" si="40"/>
        <v>0.5</v>
      </c>
      <c r="AF85" s="177">
        <f t="shared" si="41"/>
        <v>8.7932710903452435E-3</v>
      </c>
      <c r="AG85" s="811">
        <f t="shared" si="49"/>
        <v>0</v>
      </c>
      <c r="AH85" s="176">
        <f t="shared" si="42"/>
        <v>6</v>
      </c>
      <c r="AI85" s="225">
        <f t="shared" si="43"/>
        <v>8.7932710903452435E-3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44633</v>
      </c>
      <c r="B86" s="1140">
        <v>10.242000000000001</v>
      </c>
      <c r="C86" s="841"/>
      <c r="D86" s="393">
        <f t="shared" si="25"/>
        <v>10.55491226290065</v>
      </c>
      <c r="E86" s="385">
        <f t="shared" si="47"/>
        <v>10.883550344445743</v>
      </c>
      <c r="F86" s="385">
        <f t="shared" si="26"/>
        <v>10.883550344445743</v>
      </c>
      <c r="G86" s="110">
        <f t="shared" si="48"/>
        <v>0.22487471022836769</v>
      </c>
      <c r="H86" s="414" t="b">
        <f>Wh_hp&gt;='2021'!Maxi_hp</f>
        <v>0</v>
      </c>
      <c r="I86" s="380">
        <f>IF(H86,Wh_hp,'2021'!Maxi_hp)</f>
        <v>41.647039184319176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2.964612638235764E-2</v>
      </c>
      <c r="M86" s="845"/>
      <c r="N86" s="845"/>
      <c r="O86" s="48">
        <f>IF(t&lt;Tnet,'2021'!Resal+('2021'!Salim-'2021'!Resal)*(1-EXP(('2021'!Tnet-t)/('2021'!Tau_j))),Resal+(Salim-Resal)*(1-EXP((Tnet-t)/(Tau_j))))*Salcycl</f>
        <v>3.0195852561366487E-2</v>
      </c>
      <c r="P86" s="339">
        <f>(INDEX(Models!$BJ86:$BT86,,T86)*(1-R86)+INDEX(Models!$BJ86:$BT86,,T86+1)*R86-ERP_i)*Q86*Ramure*Pc/MaxiM</f>
        <v>5.913753359140902E-5</v>
      </c>
      <c r="Q86" s="305">
        <f t="shared" si="28"/>
        <v>0.5</v>
      </c>
      <c r="R86" s="177">
        <f t="shared" si="29"/>
        <v>9.2881443371910268E-3</v>
      </c>
      <c r="S86" s="811">
        <f t="shared" si="30"/>
        <v>0</v>
      </c>
      <c r="T86" s="176">
        <f t="shared" si="31"/>
        <v>6</v>
      </c>
      <c r="U86" s="251">
        <f t="shared" si="32"/>
        <v>9.2881443371910268E-3</v>
      </c>
      <c r="V86" s="383">
        <f t="shared" si="33"/>
        <v>45.542668195016162</v>
      </c>
      <c r="W86" s="402">
        <f t="shared" si="34"/>
        <v>0</v>
      </c>
      <c r="X86" s="157">
        <f t="shared" si="35"/>
        <v>44633</v>
      </c>
      <c r="Y86" s="385">
        <f t="shared" si="36"/>
        <v>9.8382541202518166</v>
      </c>
      <c r="Z86" s="385">
        <f t="shared" si="37"/>
        <v>10.13883119111294</v>
      </c>
      <c r="AA86" s="386">
        <f t="shared" si="38"/>
        <v>10.883550344445743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6.8426122888553473E-2</v>
      </c>
      <c r="AD86" s="231">
        <f>(INDEX(Models!$BJ86:$BT86,,AH86)*(1-AF86)+INDEX(Models!$BJ86:$BT86,,AH86+1)*AF86-ERP_i)*AE86*Ramure*Pc/MaxiM</f>
        <v>5.913753359140902E-5</v>
      </c>
      <c r="AE86" s="305">
        <f t="shared" si="40"/>
        <v>0.5</v>
      </c>
      <c r="AF86" s="177">
        <f t="shared" si="41"/>
        <v>9.2881443371910268E-3</v>
      </c>
      <c r="AG86" s="811">
        <f t="shared" si="49"/>
        <v>0</v>
      </c>
      <c r="AH86" s="176">
        <f t="shared" si="42"/>
        <v>6</v>
      </c>
      <c r="AI86" s="225">
        <f t="shared" si="43"/>
        <v>9.2881443371910268E-3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44634</v>
      </c>
      <c r="B87" s="1140">
        <v>14.759</v>
      </c>
      <c r="C87" s="841"/>
      <c r="D87" s="393">
        <f t="shared" si="25"/>
        <v>15.210248207731798</v>
      </c>
      <c r="E87" s="385">
        <f t="shared" si="47"/>
        <v>15.685174854148229</v>
      </c>
      <c r="F87" s="385">
        <f t="shared" si="26"/>
        <v>15.68519936867326</v>
      </c>
      <c r="G87" s="110">
        <f t="shared" si="48"/>
        <v>0.32165676088725209</v>
      </c>
      <c r="H87" s="414" t="b">
        <f>Wh_hp&gt;='2021'!Maxi_hp</f>
        <v>0</v>
      </c>
      <c r="I87" s="380">
        <f>IF(H87,Wh_hp,'2021'!Maxi_hp)</f>
        <v>41.178376020580401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2.9667379622537404E-2</v>
      </c>
      <c r="M87" s="845"/>
      <c r="N87" s="845"/>
      <c r="O87" s="48">
        <f>IF(t&lt;Tnet,'2021'!Resal+('2021'!Salim-'2021'!Resal)*(1-EXP(('2021'!Tnet-t)/('2021'!Tau_j))),Resal+(Salim-Resal)*(1-EXP((Tnet-t)/(Tau_j))))*Salcycl</f>
        <v>3.027869633795173E-2</v>
      </c>
      <c r="P87" s="339">
        <f>(INDEX(Models!$BJ87:$BT87,,T87)*(1-R87)+INDEX(Models!$BJ87:$BT87,,T87+1)*R87-ERP_i)*Q87*Ramure*Pc/MaxiM</f>
        <v>5.0480371485785531E-5</v>
      </c>
      <c r="Q87" s="305">
        <f t="shared" si="28"/>
        <v>0.5</v>
      </c>
      <c r="R87" s="177">
        <f t="shared" si="29"/>
        <v>9.8027135702286605E-3</v>
      </c>
      <c r="S87" s="811">
        <f t="shared" si="30"/>
        <v>0</v>
      </c>
      <c r="T87" s="176">
        <f t="shared" si="31"/>
        <v>6</v>
      </c>
      <c r="U87" s="251">
        <f t="shared" si="32"/>
        <v>9.8027135702286605E-3</v>
      </c>
      <c r="V87" s="383">
        <f t="shared" si="33"/>
        <v>45.882070021847021</v>
      </c>
      <c r="W87" s="402">
        <f t="shared" si="34"/>
        <v>0</v>
      </c>
      <c r="X87" s="157">
        <f t="shared" si="35"/>
        <v>44634</v>
      </c>
      <c r="Y87" s="385">
        <f t="shared" si="36"/>
        <v>14.177657175409959</v>
      </c>
      <c r="Z87" s="385">
        <f t="shared" si="37"/>
        <v>14.611131149950213</v>
      </c>
      <c r="AA87" s="386">
        <f t="shared" si="38"/>
        <v>15.685174854148229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6.847508645489947E-2</v>
      </c>
      <c r="AD87" s="231">
        <f>(INDEX(Models!$BJ87:$BT87,,AH87)*(1-AF87)+INDEX(Models!$BJ87:$BT87,,AH87+1)*AF87-ERP_i)*AE87*Ramure*Pc/MaxiM</f>
        <v>5.0480371485785531E-5</v>
      </c>
      <c r="AE87" s="305">
        <f t="shared" si="40"/>
        <v>0.5</v>
      </c>
      <c r="AF87" s="177">
        <f t="shared" si="41"/>
        <v>9.8027135702286605E-3</v>
      </c>
      <c r="AG87" s="811">
        <f t="shared" si="49"/>
        <v>0</v>
      </c>
      <c r="AH87" s="176">
        <f t="shared" si="42"/>
        <v>6</v>
      </c>
      <c r="AI87" s="225">
        <f t="shared" si="43"/>
        <v>9.8027135702286605E-3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44635</v>
      </c>
      <c r="B88" s="1140">
        <v>14.782999999999999</v>
      </c>
      <c r="C88" s="841"/>
      <c r="D88" s="393">
        <f t="shared" si="25"/>
        <v>15.23531568688343</v>
      </c>
      <c r="E88" s="385">
        <f t="shared" si="47"/>
        <v>15.71236764129964</v>
      </c>
      <c r="F88" s="385">
        <f t="shared" si="26"/>
        <v>15.712386637127235</v>
      </c>
      <c r="G88" s="110">
        <f t="shared" si="48"/>
        <v>0.31982325348042734</v>
      </c>
      <c r="H88" s="414" t="b">
        <f>Wh_hp&gt;='2021'!Maxi_hp</f>
        <v>0</v>
      </c>
      <c r="I88" s="380">
        <f>IF(H88,Wh_hp,'2021'!Maxi_hp)</f>
        <v>31.428093358036886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2.9688632397216641E-2</v>
      </c>
      <c r="M88" s="845"/>
      <c r="N88" s="845"/>
      <c r="O88" s="48">
        <f>IF(t&lt;Tnet,'2021'!Resal+('2021'!Salim-'2021'!Resal)*(1-EXP(('2021'!Tnet-t)/('2021'!Tau_j))),Resal+(Salim-Resal)*(1-EXP((Tnet-t)/(Tau_j))))*Salcycl</f>
        <v>3.0361557551790489E-2</v>
      </c>
      <c r="P88" s="339">
        <f>(INDEX(Models!$BJ88:$BT88,,T88)*(1-R88)+INDEX(Models!$BJ88:$BT88,,T88+1)*R88-ERP_i)*Q88*Ramure*Pc/MaxiM</f>
        <v>4.2662744893979478E-5</v>
      </c>
      <c r="Q88" s="305">
        <f t="shared" si="28"/>
        <v>0.5</v>
      </c>
      <c r="R88" s="177">
        <f t="shared" si="29"/>
        <v>1.0337717501860261E-2</v>
      </c>
      <c r="S88" s="811">
        <f t="shared" si="30"/>
        <v>0</v>
      </c>
      <c r="T88" s="176">
        <f t="shared" si="31"/>
        <v>6</v>
      </c>
      <c r="U88" s="251">
        <f t="shared" si="32"/>
        <v>1.0337717501860261E-2</v>
      </c>
      <c r="V88" s="383">
        <f t="shared" si="33"/>
        <v>46.220489058440712</v>
      </c>
      <c r="W88" s="402">
        <f t="shared" si="34"/>
        <v>0</v>
      </c>
      <c r="X88" s="157">
        <f t="shared" si="35"/>
        <v>44635</v>
      </c>
      <c r="Y88" s="385">
        <f t="shared" si="36"/>
        <v>14.201176469630122</v>
      </c>
      <c r="Z88" s="385">
        <f t="shared" si="37"/>
        <v>14.635690092671018</v>
      </c>
      <c r="AA88" s="386">
        <f t="shared" si="38"/>
        <v>15.71236764129964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6.8524208012966589E-2</v>
      </c>
      <c r="AD88" s="231">
        <f>(INDEX(Models!$BJ88:$BT88,,AH88)*(1-AF88)+INDEX(Models!$BJ88:$BT88,,AH88+1)*AF88-ERP_i)*AE88*Ramure*Pc/MaxiM</f>
        <v>4.2662744893979478E-5</v>
      </c>
      <c r="AE88" s="305">
        <f t="shared" si="40"/>
        <v>0.5</v>
      </c>
      <c r="AF88" s="177">
        <f t="shared" si="41"/>
        <v>1.0337717501860261E-2</v>
      </c>
      <c r="AG88" s="811">
        <f t="shared" si="49"/>
        <v>0</v>
      </c>
      <c r="AH88" s="176">
        <f t="shared" si="42"/>
        <v>6</v>
      </c>
      <c r="AI88" s="225">
        <f t="shared" si="43"/>
        <v>1.0337717501860261E-2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44636</v>
      </c>
      <c r="B89" s="1140">
        <v>13.324</v>
      </c>
      <c r="C89" s="841"/>
      <c r="D89" s="393">
        <f t="shared" si="25"/>
        <v>13.731975406106626</v>
      </c>
      <c r="E89" s="385">
        <f t="shared" si="47"/>
        <v>14.163165138828344</v>
      </c>
      <c r="F89" s="385">
        <f t="shared" si="26"/>
        <v>14.163165138828344</v>
      </c>
      <c r="G89" s="110">
        <f t="shared" si="48"/>
        <v>0.28617217325143546</v>
      </c>
      <c r="H89" s="414" t="b">
        <f>Wh_hp&gt;='2021'!Maxi_hp</f>
        <v>0</v>
      </c>
      <c r="I89" s="380">
        <f>IF(H89,Wh_hp,'2021'!Maxi_hp)</f>
        <v>50.491533478793343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2.9709884706405676E-2</v>
      </c>
      <c r="M89" s="845"/>
      <c r="N89" s="845"/>
      <c r="O89" s="48">
        <f>IF(t&lt;Tnet,'2021'!Resal+('2021'!Salim-'2021'!Resal)*(1-EXP(('2021'!Tnet-t)/('2021'!Tau_j))),Resal+(Salim-Resal)*(1-EXP((Tnet-t)/(Tau_j))))*Salcycl</f>
        <v>3.0444447162422079E-2</v>
      </c>
      <c r="P89" s="339">
        <f>(INDEX(Models!$BJ89:$BT89,,T89)*(1-R89)+INDEX(Models!$BJ89:$BT89,,T89+1)*R89-ERP_i)*Q89*Ramure*Pc/MaxiM</f>
        <v>3.5666207579034494E-5</v>
      </c>
      <c r="Q89" s="305">
        <f t="shared" si="28"/>
        <v>0.5</v>
      </c>
      <c r="R89" s="177">
        <f t="shared" si="29"/>
        <v>1.0893918794632189E-2</v>
      </c>
      <c r="S89" s="811">
        <f t="shared" si="30"/>
        <v>0</v>
      </c>
      <c r="T89" s="176">
        <f t="shared" si="31"/>
        <v>6</v>
      </c>
      <c r="U89" s="251">
        <f t="shared" si="32"/>
        <v>1.0893918794632189E-2</v>
      </c>
      <c r="V89" s="383">
        <f t="shared" si="33"/>
        <v>46.55772303809551</v>
      </c>
      <c r="W89" s="402">
        <f t="shared" si="34"/>
        <v>0</v>
      </c>
      <c r="X89" s="157">
        <f t="shared" si="35"/>
        <v>44636</v>
      </c>
      <c r="Y89" s="385">
        <f t="shared" si="36"/>
        <v>12.800015949358681</v>
      </c>
      <c r="Z89" s="385">
        <f t="shared" si="37"/>
        <v>13.191947179102819</v>
      </c>
      <c r="AA89" s="386">
        <f t="shared" si="38"/>
        <v>14.163165138828344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6.8573510949394331E-2</v>
      </c>
      <c r="AD89" s="231">
        <f>(INDEX(Models!$BJ89:$BT89,,AH89)*(1-AF89)+INDEX(Models!$BJ89:$BT89,,AH89+1)*AF89-ERP_i)*AE89*Ramure*Pc/MaxiM</f>
        <v>3.5666207579034494E-5</v>
      </c>
      <c r="AE89" s="305">
        <f t="shared" si="40"/>
        <v>0.5</v>
      </c>
      <c r="AF89" s="177">
        <f t="shared" si="41"/>
        <v>1.0893918794632189E-2</v>
      </c>
      <c r="AG89" s="811">
        <f t="shared" si="49"/>
        <v>0</v>
      </c>
      <c r="AH89" s="176">
        <f t="shared" si="42"/>
        <v>6</v>
      </c>
      <c r="AI89" s="225">
        <f t="shared" si="43"/>
        <v>1.0893918794632189E-2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44637</v>
      </c>
      <c r="B90" s="1140">
        <v>11.115</v>
      </c>
      <c r="C90" s="841"/>
      <c r="D90" s="393">
        <f t="shared" si="25"/>
        <v>11.455587640398491</v>
      </c>
      <c r="E90" s="385">
        <f t="shared" si="47"/>
        <v>11.816308540719778</v>
      </c>
      <c r="F90" s="385">
        <f t="shared" si="26"/>
        <v>11.816308540719778</v>
      </c>
      <c r="G90" s="110">
        <f t="shared" si="48"/>
        <v>0.23701911520036806</v>
      </c>
      <c r="H90" s="414" t="b">
        <f>Wh_hp&gt;='2021'!Maxi_hp</f>
        <v>0</v>
      </c>
      <c r="I90" s="380">
        <f>IF(H90,Wh_hp,'2021'!Maxi_hp)</f>
        <v>27.136616542417517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2.9731136550114501E-2</v>
      </c>
      <c r="M90" s="845"/>
      <c r="N90" s="845"/>
      <c r="O90" s="48">
        <f>IF(t&lt;Tnet,'2021'!Resal+('2021'!Salim-'2021'!Resal)*(1-EXP(('2021'!Tnet-t)/('2021'!Tau_j))),Resal+(Salim-Resal)*(1-EXP((Tnet-t)/(Tau_j))))*Salcycl</f>
        <v>3.0527376555733867E-2</v>
      </c>
      <c r="P90" s="339">
        <f>(INDEX(Models!$BJ90:$BT90,,T90)*(1-R90)+INDEX(Models!$BJ90:$BT90,,T90+1)*R90-ERP_i)*Q90*Ramure*Pc/MaxiM</f>
        <v>2.9472918216633162E-5</v>
      </c>
      <c r="Q90" s="305">
        <f t="shared" si="28"/>
        <v>0.5</v>
      </c>
      <c r="R90" s="177">
        <f t="shared" si="29"/>
        <v>1.1472104520396438E-2</v>
      </c>
      <c r="S90" s="811">
        <f t="shared" si="30"/>
        <v>0</v>
      </c>
      <c r="T90" s="176">
        <f t="shared" si="31"/>
        <v>6</v>
      </c>
      <c r="U90" s="251">
        <f t="shared" si="32"/>
        <v>1.1472104520396438E-2</v>
      </c>
      <c r="V90" s="383">
        <f t="shared" si="33"/>
        <v>46.893569740643265</v>
      </c>
      <c r="W90" s="402">
        <f t="shared" si="34"/>
        <v>0</v>
      </c>
      <c r="X90" s="157">
        <f t="shared" si="35"/>
        <v>44637</v>
      </c>
      <c r="Y90" s="385">
        <f t="shared" si="36"/>
        <v>10.678233597021173</v>
      </c>
      <c r="Z90" s="385">
        <f t="shared" si="37"/>
        <v>11.005437770159574</v>
      </c>
      <c r="AA90" s="386">
        <f t="shared" si="38"/>
        <v>11.816308540719778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6.8623019428266402E-2</v>
      </c>
      <c r="AD90" s="231">
        <f>(INDEX(Models!$BJ90:$BT90,,AH90)*(1-AF90)+INDEX(Models!$BJ90:$BT90,,AH90+1)*AF90-ERP_i)*AE90*Ramure*Pc/MaxiM</f>
        <v>2.9472918216633162E-5</v>
      </c>
      <c r="AE90" s="305">
        <f t="shared" si="40"/>
        <v>0.5</v>
      </c>
      <c r="AF90" s="177">
        <f t="shared" si="41"/>
        <v>1.1472104520396438E-2</v>
      </c>
      <c r="AG90" s="811">
        <f t="shared" si="49"/>
        <v>0</v>
      </c>
      <c r="AH90" s="176">
        <f t="shared" si="42"/>
        <v>6</v>
      </c>
      <c r="AI90" s="225">
        <f t="shared" si="43"/>
        <v>1.1472104520396438E-2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44638</v>
      </c>
      <c r="B91" s="1140">
        <v>14.819000000000001</v>
      </c>
      <c r="C91" s="841"/>
      <c r="D91" s="393">
        <f t="shared" si="25"/>
        <v>15.273420738814158</v>
      </c>
      <c r="E91" s="385">
        <f t="shared" si="47"/>
        <v>15.755708612280257</v>
      </c>
      <c r="F91" s="385">
        <f t="shared" si="26"/>
        <v>15.75571607485859</v>
      </c>
      <c r="G91" s="110">
        <f t="shared" si="48"/>
        <v>0.31376947305988118</v>
      </c>
      <c r="H91" s="414" t="b">
        <f>Wh_hp&gt;='2021'!Maxi_hp</f>
        <v>0</v>
      </c>
      <c r="I91" s="380">
        <f>IF(H91,Wh_hp,'2021'!Maxi_hp)</f>
        <v>35.441978382349127</v>
      </c>
      <c r="J91" s="85">
        <f>IF(H91,An,'2021'!An_max)</f>
        <v>2019</v>
      </c>
      <c r="K91" s="197">
        <f t="shared" si="27"/>
        <v>44638</v>
      </c>
      <c r="L91" s="147">
        <f>IF(t&lt;Tvie,1-EXP((T0-t)*PertePVj)+'2021'!Pspv,1-EXP((T0-t)*PertePVj)+Pspv)</f>
        <v>2.9752387928353441E-2</v>
      </c>
      <c r="M91" s="845"/>
      <c r="N91" s="845"/>
      <c r="O91" s="48">
        <f>IF(t&lt;Tnet,'2021'!Resal+('2021'!Salim-'2021'!Resal)*(1-EXP(('2021'!Tnet-t)/('2021'!Tau_j))),Resal+(Salim-Resal)*(1-EXP((Tnet-t)/(Tau_j))))*Salcycl</f>
        <v>3.0610357511320994E-2</v>
      </c>
      <c r="P91" s="339">
        <f>(INDEX(Models!$BJ91:$BT91,,T91)*(1-R91)+INDEX(Models!$BJ91:$BT91,,T91+1)*R91-ERP_i)*Q91*Ramure*Pc/MaxiM</f>
        <v>2.4065675524729617E-5</v>
      </c>
      <c r="Q91" s="305">
        <f t="shared" si="28"/>
        <v>0.5</v>
      </c>
      <c r="R91" s="177">
        <f t="shared" si="29"/>
        <v>1.2073086599021865E-2</v>
      </c>
      <c r="S91" s="811">
        <f t="shared" si="30"/>
        <v>0</v>
      </c>
      <c r="T91" s="176">
        <f t="shared" si="31"/>
        <v>6</v>
      </c>
      <c r="U91" s="251">
        <f t="shared" si="32"/>
        <v>1.2073086599021865E-2</v>
      </c>
      <c r="V91" s="383">
        <f t="shared" si="33"/>
        <v>47.227826993451487</v>
      </c>
      <c r="W91" s="402">
        <f t="shared" si="34"/>
        <v>0</v>
      </c>
      <c r="X91" s="157">
        <f t="shared" si="35"/>
        <v>44638</v>
      </c>
      <c r="Y91" s="385">
        <f t="shared" si="36"/>
        <v>14.237142413812919</v>
      </c>
      <c r="Z91" s="385">
        <f t="shared" si="37"/>
        <v>14.673720642727639</v>
      </c>
      <c r="AA91" s="386">
        <f t="shared" si="38"/>
        <v>15.755708612280257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6.867275831118741E-2</v>
      </c>
      <c r="AD91" s="231">
        <f>(INDEX(Models!$BJ91:$BT91,,AH91)*(1-AF91)+INDEX(Models!$BJ91:$BT91,,AH91+1)*AF91-ERP_i)*AE91*Ramure*Pc/MaxiM</f>
        <v>2.4065675524729617E-5</v>
      </c>
      <c r="AE91" s="305">
        <f t="shared" si="40"/>
        <v>0.5</v>
      </c>
      <c r="AF91" s="177">
        <f t="shared" si="41"/>
        <v>1.2073086599021865E-2</v>
      </c>
      <c r="AG91" s="811">
        <f t="shared" si="49"/>
        <v>0</v>
      </c>
      <c r="AH91" s="176">
        <f t="shared" si="42"/>
        <v>6</v>
      </c>
      <c r="AI91" s="225">
        <f t="shared" si="43"/>
        <v>1.2073086599021865E-2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44639</v>
      </c>
      <c r="B92" s="1140">
        <v>30.073</v>
      </c>
      <c r="C92" s="841"/>
      <c r="D92" s="393">
        <f t="shared" si="25"/>
        <v>30.995859527131291</v>
      </c>
      <c r="E92" s="385">
        <f t="shared" si="47"/>
        <v>31.97735329201263</v>
      </c>
      <c r="F92" s="385">
        <f t="shared" si="26"/>
        <v>31.977648224821198</v>
      </c>
      <c r="G92" s="110">
        <f t="shared" si="48"/>
        <v>0.63230672938185362</v>
      </c>
      <c r="H92" s="414" t="b">
        <f>Wh_hp&gt;='2021'!Maxi_hp</f>
        <v>0</v>
      </c>
      <c r="I92" s="380">
        <f>IF(H92,Wh_hp,'2021'!Maxi_hp)</f>
        <v>46.110957889709681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2.977363884113271E-2</v>
      </c>
      <c r="M92" s="845"/>
      <c r="N92" s="845"/>
      <c r="O92" s="48">
        <f>IF(t&lt;Tnet,'2021'!Resal+('2021'!Salim-'2021'!Resal)*(1-EXP(('2021'!Tnet-t)/('2021'!Tau_j))),Resal+(Salim-Resal)*(1-EXP((Tnet-t)/(Tau_j))))*Salcycl</f>
        <v>3.0693402168668397E-2</v>
      </c>
      <c r="P92" s="339">
        <f>(INDEX(Models!$BJ92:$BT92,,T92)*(1-R92)+INDEX(Models!$BJ92:$BT92,,T92+1)*R92-ERP_i)*Q92*Ramure*Pc/MaxiM</f>
        <v>1.9427952668832048E-5</v>
      </c>
      <c r="Q92" s="305">
        <f t="shared" si="28"/>
        <v>0.5</v>
      </c>
      <c r="R92" s="177">
        <f t="shared" si="29"/>
        <v>1.2697702213228452E-2</v>
      </c>
      <c r="S92" s="811">
        <f t="shared" si="30"/>
        <v>0</v>
      </c>
      <c r="T92" s="176">
        <f t="shared" si="31"/>
        <v>6</v>
      </c>
      <c r="U92" s="251">
        <f t="shared" si="32"/>
        <v>1.2697702213228452E-2</v>
      </c>
      <c r="V92" s="383">
        <f t="shared" si="33"/>
        <v>47.560292669682411</v>
      </c>
      <c r="W92" s="402">
        <f t="shared" si="34"/>
        <v>0</v>
      </c>
      <c r="X92" s="157">
        <f t="shared" si="35"/>
        <v>44639</v>
      </c>
      <c r="Y92" s="385">
        <f t="shared" si="36"/>
        <v>28.893129077439024</v>
      </c>
      <c r="Z92" s="385">
        <f t="shared" si="37"/>
        <v>29.779781537710655</v>
      </c>
      <c r="AA92" s="386">
        <f t="shared" si="38"/>
        <v>31.97735329201263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6.8722753075717805E-2</v>
      </c>
      <c r="AD92" s="231">
        <f>(INDEX(Models!$BJ92:$BT92,,AH92)*(1-AF92)+INDEX(Models!$BJ92:$BT92,,AH92+1)*AF92-ERP_i)*AE92*Ramure*Pc/MaxiM</f>
        <v>1.9427952668832048E-5</v>
      </c>
      <c r="AE92" s="305">
        <f t="shared" si="40"/>
        <v>0.5</v>
      </c>
      <c r="AF92" s="177">
        <f t="shared" si="41"/>
        <v>1.2697702213228452E-2</v>
      </c>
      <c r="AG92" s="811">
        <f t="shared" si="49"/>
        <v>0</v>
      </c>
      <c r="AH92" s="176">
        <f t="shared" si="42"/>
        <v>6</v>
      </c>
      <c r="AI92" s="225">
        <f t="shared" si="43"/>
        <v>1.2697702213228452E-2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44640</v>
      </c>
      <c r="B93" s="1140">
        <v>31.060000000000002</v>
      </c>
      <c r="C93" s="841"/>
      <c r="D93" s="393">
        <f t="shared" si="25"/>
        <v>32.013849089313645</v>
      </c>
      <c r="E93" s="385">
        <f t="shared" si="47"/>
        <v>33.030410270451767</v>
      </c>
      <c r="F93" s="385">
        <f t="shared" si="26"/>
        <v>33.030665885827439</v>
      </c>
      <c r="G93" s="110">
        <f t="shared" si="48"/>
        <v>0.64851776467520528</v>
      </c>
      <c r="H93" s="414" t="b">
        <f>Wh_hp&gt;='2021'!Maxi_hp</f>
        <v>0</v>
      </c>
      <c r="I93" s="380">
        <f>IF(H93,Wh_hp,'2021'!Maxi_hp)</f>
        <v>51.145293953169229</v>
      </c>
      <c r="J93" s="85">
        <f>IF(H93,An,'2021'!An_max)</f>
        <v>2019</v>
      </c>
      <c r="K93" s="197">
        <f t="shared" si="27"/>
        <v>44640</v>
      </c>
      <c r="L93" s="147">
        <f>IF(t&lt;Tvie,1-EXP((T0-t)*PertePVj)+'2021'!Pspv,1-EXP((T0-t)*PertePVj)+Pspv)</f>
        <v>2.9794889288462412E-2</v>
      </c>
      <c r="M93" s="845"/>
      <c r="N93" s="845"/>
      <c r="O93" s="48">
        <f>IF(t&lt;Tnet,'2021'!Resal+('2021'!Salim-'2021'!Resal)*(1-EXP(('2021'!Tnet-t)/('2021'!Tau_j))),Resal+(Salim-Resal)*(1-EXP((Tnet-t)/(Tau_j))))*Salcycl</f>
        <v>3.0776522992435138E-2</v>
      </c>
      <c r="P93" s="339">
        <f>(INDEX(Models!$BJ93:$BT93,,T93)*(1-R93)+INDEX(Models!$BJ93:$BT93,,T93+1)*R93-ERP_i)*Q93*Ramure*Pc/MaxiM</f>
        <v>1.5543057653995923E-5</v>
      </c>
      <c r="Q93" s="305">
        <f t="shared" si="28"/>
        <v>0.5</v>
      </c>
      <c r="R93" s="177">
        <f t="shared" si="29"/>
        <v>1.3346814195849929E-2</v>
      </c>
      <c r="S93" s="811">
        <f t="shared" si="30"/>
        <v>0</v>
      </c>
      <c r="T93" s="176">
        <f t="shared" si="31"/>
        <v>6</v>
      </c>
      <c r="U93" s="251">
        <f t="shared" si="32"/>
        <v>1.3346814195849929E-2</v>
      </c>
      <c r="V93" s="383">
        <f t="shared" si="33"/>
        <v>47.893456875826864</v>
      </c>
      <c r="W93" s="402">
        <f t="shared" si="34"/>
        <v>0</v>
      </c>
      <c r="X93" s="157">
        <f t="shared" si="35"/>
        <v>44640</v>
      </c>
      <c r="Y93" s="385">
        <f t="shared" si="36"/>
        <v>29.842353577526097</v>
      </c>
      <c r="Z93" s="385">
        <f t="shared" si="37"/>
        <v>30.758808882835144</v>
      </c>
      <c r="AA93" s="386">
        <f t="shared" si="38"/>
        <v>33.030410270451767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6.8773029732807953E-2</v>
      </c>
      <c r="AD93" s="231">
        <f>(INDEX(Models!$BJ93:$BT93,,AH93)*(1-AF93)+INDEX(Models!$BJ93:$BT93,,AH93+1)*AF93-ERP_i)*AE93*Ramure*Pc/MaxiM</f>
        <v>1.5543057653995923E-5</v>
      </c>
      <c r="AE93" s="305">
        <f t="shared" si="40"/>
        <v>0.5</v>
      </c>
      <c r="AF93" s="177">
        <f t="shared" si="41"/>
        <v>1.3346814195849929E-2</v>
      </c>
      <c r="AG93" s="811">
        <f t="shared" si="49"/>
        <v>0</v>
      </c>
      <c r="AH93" s="176">
        <f t="shared" si="42"/>
        <v>6</v>
      </c>
      <c r="AI93" s="225">
        <f t="shared" si="43"/>
        <v>1.3346814195849929E-2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44641</v>
      </c>
      <c r="B94" s="1140">
        <v>45.286000000000001</v>
      </c>
      <c r="C94" s="841"/>
      <c r="D94" s="393">
        <f t="shared" si="25"/>
        <v>46.677750303887464</v>
      </c>
      <c r="E94" s="385">
        <f t="shared" si="47"/>
        <v>48.164080970155041</v>
      </c>
      <c r="F94" s="385">
        <f t="shared" si="26"/>
        <v>48.164627116823063</v>
      </c>
      <c r="G94" s="110">
        <f t="shared" si="48"/>
        <v>0.93897236955465402</v>
      </c>
      <c r="H94" s="414" t="b">
        <f>Wh_hp&gt;='2021'!Maxi_hp</f>
        <v>0</v>
      </c>
      <c r="I94" s="380">
        <f>IF(H94,Wh_hp,'2021'!Maxi_hp)</f>
        <v>51.378117175877115</v>
      </c>
      <c r="J94" s="85">
        <f>IF(H94,An,'2021'!An_max)</f>
        <v>2019</v>
      </c>
      <c r="K94" s="197">
        <f t="shared" si="27"/>
        <v>44641</v>
      </c>
      <c r="L94" s="147">
        <f>IF(t&lt;Tvie,1-EXP((T0-t)*PertePVj)+'2021'!Pspv,1-EXP((T0-t)*PertePVj)+Pspv)</f>
        <v>2.9816139270352759E-2</v>
      </c>
      <c r="M94" s="845"/>
      <c r="N94" s="845"/>
      <c r="O94" s="48">
        <f>IF(t&lt;Tnet,'2021'!Resal+('2021'!Salim-'2021'!Resal)*(1-EXP(('2021'!Tnet-t)/('2021'!Tau_j))),Resal+(Salim-Resal)*(1-EXP((Tnet-t)/(Tau_j))))*Salcycl</f>
        <v>3.0859732737111404E-2</v>
      </c>
      <c r="P94" s="339">
        <f>(INDEX(Models!$BJ94:$BT94,,T94)*(1-R94)+INDEX(Models!$BJ94:$BT94,,T94+1)*R94-ERP_i)*Q94*Ramure*Pc/MaxiM</f>
        <v>1.2422138185308937E-5</v>
      </c>
      <c r="Q94" s="305">
        <f t="shared" si="28"/>
        <v>0.5</v>
      </c>
      <c r="R94" s="177">
        <f t="shared" si="29"/>
        <v>1.4021311385550135E-2</v>
      </c>
      <c r="S94" s="811">
        <f t="shared" si="30"/>
        <v>0</v>
      </c>
      <c r="T94" s="176">
        <f t="shared" si="31"/>
        <v>6</v>
      </c>
      <c r="U94" s="251">
        <f t="shared" si="32"/>
        <v>1.4021311385550135E-2</v>
      </c>
      <c r="V94" s="383">
        <f t="shared" si="33"/>
        <v>48.229268958587213</v>
      </c>
      <c r="W94" s="402">
        <f t="shared" si="34"/>
        <v>0</v>
      </c>
      <c r="X94" s="157">
        <f t="shared" si="35"/>
        <v>44641</v>
      </c>
      <c r="Y94" s="385">
        <f t="shared" si="36"/>
        <v>43.512023189179551</v>
      </c>
      <c r="Z94" s="385">
        <f t="shared" si="37"/>
        <v>44.849254816973989</v>
      </c>
      <c r="AA94" s="386">
        <f t="shared" si="38"/>
        <v>48.164080970155041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6.8823614743839676E-2</v>
      </c>
      <c r="AD94" s="231">
        <f>(INDEX(Models!$BJ94:$BT94,,AH94)*(1-AF94)+INDEX(Models!$BJ94:$BT94,,AH94+1)*AF94-ERP_i)*AE94*Ramure*Pc/MaxiM</f>
        <v>1.2422138185308937E-5</v>
      </c>
      <c r="AE94" s="305">
        <f t="shared" si="40"/>
        <v>0.5</v>
      </c>
      <c r="AF94" s="177">
        <f t="shared" si="41"/>
        <v>1.4021311385550135E-2</v>
      </c>
      <c r="AG94" s="811">
        <f t="shared" si="49"/>
        <v>0</v>
      </c>
      <c r="AH94" s="176">
        <f t="shared" si="42"/>
        <v>6</v>
      </c>
      <c r="AI94" s="225">
        <f t="shared" si="43"/>
        <v>1.4021311385550135E-2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44642</v>
      </c>
      <c r="B95" s="1140">
        <v>42.612000000000002</v>
      </c>
      <c r="C95" s="841"/>
      <c r="D95" s="393">
        <f t="shared" si="25"/>
        <v>43.922533714955058</v>
      </c>
      <c r="E95" s="385">
        <f t="shared" si="47"/>
        <v>45.325028071515632</v>
      </c>
      <c r="F95" s="385">
        <f t="shared" si="26"/>
        <v>45.325392930608068</v>
      </c>
      <c r="G95" s="110">
        <f t="shared" si="48"/>
        <v>0.87738921993061436</v>
      </c>
      <c r="H95" s="414" t="b">
        <f>Wh_hp&gt;='2021'!Maxi_hp</f>
        <v>0</v>
      </c>
      <c r="I95" s="380">
        <f>IF(H95,Wh_hp,'2021'!Maxi_hp)</f>
        <v>50.23936086110939</v>
      </c>
      <c r="J95" s="85">
        <f>IF(H95,An,'2021'!An_max)</f>
        <v>2019</v>
      </c>
      <c r="K95" s="197">
        <f t="shared" si="27"/>
        <v>44642</v>
      </c>
      <c r="L95" s="147">
        <f>IF(t&lt;Tvie,1-EXP((T0-t)*PertePVj)+'2021'!Pspv,1-EXP((T0-t)*PertePVj)+Pspv)</f>
        <v>2.9837388786813968E-2</v>
      </c>
      <c r="M95" s="845"/>
      <c r="N95" s="845"/>
      <c r="O95" s="48">
        <f>IF(t&lt;Tnet,'2021'!Resal+('2021'!Salim-'2021'!Resal)*(1-EXP(('2021'!Tnet-t)/('2021'!Tau_j))),Resal+(Salim-Resal)*(1-EXP((Tnet-t)/(Tau_j))))*Salcycl</f>
        <v>3.0943044411305489E-2</v>
      </c>
      <c r="P95" s="339">
        <f>(INDEX(Models!$BJ95:$BT95,,T95)*(1-R95)+INDEX(Models!$BJ95:$BT95,,T95+1)*R95-ERP_i)*Q95*Ramure*Pc/MaxiM</f>
        <v>9.7591464782326983E-6</v>
      </c>
      <c r="Q95" s="305">
        <f t="shared" si="28"/>
        <v>0.5</v>
      </c>
      <c r="R95" s="177">
        <f t="shared" si="29"/>
        <v>1.4722108946724845E-2</v>
      </c>
      <c r="S95" s="811">
        <f t="shared" si="30"/>
        <v>0</v>
      </c>
      <c r="T95" s="176">
        <f t="shared" si="31"/>
        <v>6</v>
      </c>
      <c r="U95" s="251">
        <f t="shared" si="32"/>
        <v>1.4722108946724845E-2</v>
      </c>
      <c r="V95" s="383">
        <f t="shared" si="33"/>
        <v>48.566732063258023</v>
      </c>
      <c r="W95" s="402">
        <f t="shared" si="34"/>
        <v>0</v>
      </c>
      <c r="X95" s="157">
        <f t="shared" si="35"/>
        <v>44642</v>
      </c>
      <c r="Y95" s="385">
        <f t="shared" si="36"/>
        <v>40.944051934620269</v>
      </c>
      <c r="Z95" s="385">
        <f t="shared" si="37"/>
        <v>42.203287842045192</v>
      </c>
      <c r="AA95" s="386">
        <f t="shared" si="38"/>
        <v>45.325028071515632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6.8874534937845719E-2</v>
      </c>
      <c r="AD95" s="231">
        <f>(INDEX(Models!$BJ95:$BT95,,AH95)*(1-AF95)+INDEX(Models!$BJ95:$BT95,,AH95+1)*AF95-ERP_i)*AE95*Ramure*Pc/MaxiM</f>
        <v>9.7591464782326983E-6</v>
      </c>
      <c r="AE95" s="305">
        <f t="shared" si="40"/>
        <v>0.5</v>
      </c>
      <c r="AF95" s="177">
        <f t="shared" si="41"/>
        <v>1.4722108946724845E-2</v>
      </c>
      <c r="AG95" s="811">
        <f t="shared" si="49"/>
        <v>0</v>
      </c>
      <c r="AH95" s="176">
        <f t="shared" si="42"/>
        <v>6</v>
      </c>
      <c r="AI95" s="225">
        <f t="shared" si="43"/>
        <v>1.4722108946724845E-2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44643</v>
      </c>
      <c r="B96" s="1140">
        <v>48.892000000000003</v>
      </c>
      <c r="C96" s="841"/>
      <c r="D96" s="393">
        <f t="shared" si="25"/>
        <v>50.396779177660171</v>
      </c>
      <c r="E96" s="385">
        <f t="shared" si="47"/>
        <v>52.010480866543482</v>
      </c>
      <c r="F96" s="385">
        <f t="shared" si="26"/>
        <v>52.010873192692713</v>
      </c>
      <c r="G96" s="110">
        <f t="shared" si="48"/>
        <v>0.99973753717377523</v>
      </c>
      <c r="H96" s="414" t="b">
        <f>Wh_hp&gt;='2021'!Maxi_hp</f>
        <v>1</v>
      </c>
      <c r="I96" s="380">
        <f>IF(H96,Wh_hp,'2021'!Maxi_hp)</f>
        <v>52.010873192692713</v>
      </c>
      <c r="J96" s="85">
        <f>IF(H96,An,'2021'!An_max)</f>
        <v>2022</v>
      </c>
      <c r="K96" s="197">
        <f t="shared" si="27"/>
        <v>44643</v>
      </c>
      <c r="L96" s="147">
        <f>IF(t&lt;Tvie,1-EXP((T0-t)*PertePVj)+'2021'!Pspv,1-EXP((T0-t)*PertePVj)+Pspv)</f>
        <v>2.985863783785625E-2</v>
      </c>
      <c r="M96" s="845"/>
      <c r="N96" s="845"/>
      <c r="O96" s="48">
        <f>IF(t&lt;Tnet,'2021'!Resal+('2021'!Salim-'2021'!Resal)*(1-EXP(('2021'!Tnet-t)/('2021'!Tau_j))),Resal+(Salim-Resal)*(1-EXP((Tnet-t)/(Tau_j))))*Salcycl</f>
        <v>3.1026471241902068E-2</v>
      </c>
      <c r="P96" s="339">
        <f>(INDEX(Models!$BJ96:$BT96,,T96)*(1-R96)+INDEX(Models!$BJ96:$BT96,,T96+1)*R96-ERP_i)*Q96*Ramure*Pc/MaxiM</f>
        <v>7.5459856796348941E-6</v>
      </c>
      <c r="Q96" s="305">
        <f t="shared" si="28"/>
        <v>0.5</v>
      </c>
      <c r="R96" s="177">
        <f t="shared" si="29"/>
        <v>1.5450148649019488E-2</v>
      </c>
      <c r="S96" s="811">
        <f t="shared" si="30"/>
        <v>0</v>
      </c>
      <c r="T96" s="176">
        <f t="shared" si="31"/>
        <v>6</v>
      </c>
      <c r="U96" s="251">
        <f t="shared" si="32"/>
        <v>1.5450148649019488E-2</v>
      </c>
      <c r="V96" s="383">
        <f t="shared" si="33"/>
        <v>48.90483556302609</v>
      </c>
      <c r="W96" s="402">
        <f t="shared" si="34"/>
        <v>0</v>
      </c>
      <c r="X96" s="157">
        <f t="shared" si="35"/>
        <v>44643</v>
      </c>
      <c r="Y96" s="385">
        <f t="shared" si="36"/>
        <v>46.979693028956483</v>
      </c>
      <c r="Z96" s="385">
        <f t="shared" si="37"/>
        <v>48.425615957919099</v>
      </c>
      <c r="AA96" s="386">
        <f t="shared" si="38"/>
        <v>52.010480866543482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6.8925817429432837E-2</v>
      </c>
      <c r="AD96" s="231">
        <f>(INDEX(Models!$BJ96:$BT96,,AH96)*(1-AF96)+INDEX(Models!$BJ96:$BT96,,AH96+1)*AF96-ERP_i)*AE96*Ramure*Pc/MaxiM</f>
        <v>7.5459856796348941E-6</v>
      </c>
      <c r="AE96" s="305">
        <f t="shared" si="40"/>
        <v>0.5</v>
      </c>
      <c r="AF96" s="177">
        <f t="shared" si="41"/>
        <v>1.5450148649019488E-2</v>
      </c>
      <c r="AG96" s="811">
        <f t="shared" si="49"/>
        <v>0</v>
      </c>
      <c r="AH96" s="176">
        <f t="shared" si="42"/>
        <v>6</v>
      </c>
      <c r="AI96" s="225">
        <f t="shared" si="43"/>
        <v>1.5450148649019488E-2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44644</v>
      </c>
      <c r="B97" s="1140">
        <v>47.844000000000001</v>
      </c>
      <c r="C97" s="841"/>
      <c r="D97" s="393">
        <f t="shared" si="25"/>
        <v>49.317604418709642</v>
      </c>
      <c r="E97" s="385">
        <f t="shared" si="47"/>
        <v>50.901140247737303</v>
      </c>
      <c r="F97" s="385">
        <f t="shared" si="26"/>
        <v>50.901422264451256</v>
      </c>
      <c r="G97" s="110">
        <f t="shared" si="48"/>
        <v>0.97159814239015585</v>
      </c>
      <c r="H97" s="414" t="b">
        <f>Wh_hp&gt;='2021'!Maxi_hp</f>
        <v>0</v>
      </c>
      <c r="I97" s="380">
        <f>IF(H97,Wh_hp,'2021'!Maxi_hp)</f>
        <v>51.495753799818651</v>
      </c>
      <c r="J97" s="85">
        <f>IF(H97,An,'2021'!An_max)</f>
        <v>2019</v>
      </c>
      <c r="K97" s="197">
        <f t="shared" si="27"/>
        <v>44644</v>
      </c>
      <c r="L97" s="147">
        <f>IF(t&lt;Tvie,1-EXP((T0-t)*PertePVj)+'2021'!Pspv,1-EXP((T0-t)*PertePVj)+Pspv)</f>
        <v>2.9879886423489821E-2</v>
      </c>
      <c r="M97" s="845"/>
      <c r="N97" s="845"/>
      <c r="O97" s="48">
        <f>IF(t&lt;Tnet,'2021'!Resal+('2021'!Salim-'2021'!Resal)*(1-EXP(('2021'!Tnet-t)/('2021'!Tau_j))),Resal+(Salim-Resal)*(1-EXP((Tnet-t)/(Tau_j))))*Salcycl</f>
        <v>3.1110026638313967E-2</v>
      </c>
      <c r="P97" s="339">
        <f>(INDEX(Models!$BJ97:$BT97,,T97)*(1-R97)+INDEX(Models!$BJ97:$BT97,,T97+1)*R97-ERP_i)*Q97*Ramure*Pc/MaxiM</f>
        <v>5.7747519890548559E-6</v>
      </c>
      <c r="Q97" s="305">
        <f t="shared" si="28"/>
        <v>0.5</v>
      </c>
      <c r="R97" s="177">
        <f t="shared" si="29"/>
        <v>1.6206399101579304E-2</v>
      </c>
      <c r="S97" s="811">
        <f t="shared" si="30"/>
        <v>0</v>
      </c>
      <c r="T97" s="176">
        <f t="shared" si="31"/>
        <v>6</v>
      </c>
      <c r="U97" s="251">
        <f t="shared" si="32"/>
        <v>1.6206399101579304E-2</v>
      </c>
      <c r="V97" s="383">
        <f t="shared" si="33"/>
        <v>49.242569229526673</v>
      </c>
      <c r="W97" s="402">
        <f t="shared" si="34"/>
        <v>0</v>
      </c>
      <c r="X97" s="157">
        <f t="shared" si="35"/>
        <v>44644</v>
      </c>
      <c r="Y97" s="385">
        <f t="shared" si="36"/>
        <v>45.974096352756163</v>
      </c>
      <c r="Z97" s="385">
        <f t="shared" si="37"/>
        <v>47.390107378832667</v>
      </c>
      <c r="AA97" s="386">
        <f t="shared" si="38"/>
        <v>50.901140247737303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6.8977489537883435E-2</v>
      </c>
      <c r="AD97" s="231">
        <f>(INDEX(Models!$BJ97:$BT97,,AH97)*(1-AF97)+INDEX(Models!$BJ97:$BT97,,AH97+1)*AF97-ERP_i)*AE97*Ramure*Pc/MaxiM</f>
        <v>5.7747519890548559E-6</v>
      </c>
      <c r="AE97" s="305">
        <f t="shared" si="40"/>
        <v>0.5</v>
      </c>
      <c r="AF97" s="177">
        <f t="shared" si="41"/>
        <v>1.6206399101579304E-2</v>
      </c>
      <c r="AG97" s="811">
        <f t="shared" si="49"/>
        <v>0</v>
      </c>
      <c r="AH97" s="176">
        <f t="shared" si="42"/>
        <v>6</v>
      </c>
      <c r="AI97" s="225">
        <f t="shared" si="43"/>
        <v>1.6206399101579304E-2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44645</v>
      </c>
      <c r="B98" s="1140">
        <v>41.908000000000001</v>
      </c>
      <c r="C98" s="841"/>
      <c r="D98" s="393">
        <f t="shared" si="25"/>
        <v>43.199720659696929</v>
      </c>
      <c r="E98" s="385">
        <f t="shared" si="47"/>
        <v>44.590669710627367</v>
      </c>
      <c r="F98" s="385">
        <f t="shared" si="26"/>
        <v>44.590823858594582</v>
      </c>
      <c r="G98" s="110">
        <f t="shared" si="48"/>
        <v>0.84527771401104812</v>
      </c>
      <c r="H98" s="414" t="b">
        <f>Wh_hp&gt;='2021'!Maxi_hp</f>
        <v>0</v>
      </c>
      <c r="I98" s="380">
        <f>IF(H98,Wh_hp,'2021'!Maxi_hp)</f>
        <v>48.049790210842104</v>
      </c>
      <c r="J98" s="85">
        <f>IF(H98,An,'2021'!An_max)</f>
        <v>2020</v>
      </c>
      <c r="K98" s="197">
        <f t="shared" si="27"/>
        <v>44645</v>
      </c>
      <c r="L98" s="147">
        <f>IF(t&lt;Tvie,1-EXP((T0-t)*PertePVj)+'2021'!Pspv,1-EXP((T0-t)*PertePVj)+Pspv)</f>
        <v>2.9901134543724783E-2</v>
      </c>
      <c r="M98" s="845"/>
      <c r="N98" s="845"/>
      <c r="O98" s="48">
        <f>IF(t&lt;Tnet,'2021'!Resal+('2021'!Salim-'2021'!Resal)*(1-EXP(('2021'!Tnet-t)/('2021'!Tau_j))),Resal+(Salim-Resal)*(1-EXP((Tnet-t)/(Tau_j))))*Salcycl</f>
        <v>3.1193724157027751E-2</v>
      </c>
      <c r="P98" s="339">
        <f>(INDEX(Models!$BJ98:$BT98,,T98)*(1-R98)+INDEX(Models!$BJ98:$BT98,,T98+1)*R98-ERP_i)*Q98*Ramure*Pc/MaxiM</f>
        <v>4.437843033048157E-6</v>
      </c>
      <c r="Q98" s="305">
        <f t="shared" si="28"/>
        <v>0.5</v>
      </c>
      <c r="R98" s="177">
        <f t="shared" si="29"/>
        <v>1.6991855936826544E-2</v>
      </c>
      <c r="S98" s="811">
        <f t="shared" si="30"/>
        <v>0</v>
      </c>
      <c r="T98" s="176">
        <f t="shared" si="31"/>
        <v>6</v>
      </c>
      <c r="U98" s="251">
        <f t="shared" si="32"/>
        <v>1.6991855936826544E-2</v>
      </c>
      <c r="V98" s="383">
        <f t="shared" si="33"/>
        <v>49.578923231590743</v>
      </c>
      <c r="W98" s="402">
        <f t="shared" si="34"/>
        <v>0</v>
      </c>
      <c r="X98" s="157">
        <f t="shared" si="35"/>
        <v>44645</v>
      </c>
      <c r="Y98" s="385">
        <f t="shared" si="36"/>
        <v>40.271320890818508</v>
      </c>
      <c r="Z98" s="385">
        <f t="shared" si="37"/>
        <v>41.512594566201599</v>
      </c>
      <c r="AA98" s="386">
        <f t="shared" si="38"/>
        <v>44.590669710627367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6.9029578707856046E-2</v>
      </c>
      <c r="AD98" s="231">
        <f>(INDEX(Models!$BJ98:$BT98,,AH98)*(1-AF98)+INDEX(Models!$BJ98:$BT98,,AH98+1)*AF98-ERP_i)*AE98*Ramure*Pc/MaxiM</f>
        <v>4.437843033048157E-6</v>
      </c>
      <c r="AE98" s="305">
        <f t="shared" si="40"/>
        <v>0.5</v>
      </c>
      <c r="AF98" s="177">
        <f t="shared" si="41"/>
        <v>1.6991855936826544E-2</v>
      </c>
      <c r="AG98" s="811">
        <f t="shared" si="49"/>
        <v>0</v>
      </c>
      <c r="AH98" s="176">
        <f t="shared" si="42"/>
        <v>6</v>
      </c>
      <c r="AI98" s="225">
        <f t="shared" si="43"/>
        <v>1.6991855936826544E-2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44646</v>
      </c>
      <c r="B99" s="1140">
        <v>47.164000000000001</v>
      </c>
      <c r="C99" s="841"/>
      <c r="D99" s="393">
        <f t="shared" si="25"/>
        <v>48.618790016918318</v>
      </c>
      <c r="E99" s="385">
        <f t="shared" si="47"/>
        <v>50.188566803038995</v>
      </c>
      <c r="F99" s="385">
        <f t="shared" si="26"/>
        <v>50.188729940656373</v>
      </c>
      <c r="G99" s="110">
        <f t="shared" si="48"/>
        <v>0.94492602344939947</v>
      </c>
      <c r="H99" s="414" t="b">
        <f>Wh_hp&gt;='2021'!Maxi_hp</f>
        <v>0</v>
      </c>
      <c r="I99" s="380">
        <f>IF(H99,Wh_hp,'2021'!Maxi_hp)</f>
        <v>54.932815887950575</v>
      </c>
      <c r="J99" s="85">
        <f>IF(H99,An,'2021'!An_max)</f>
        <v>2019</v>
      </c>
      <c r="K99" s="197">
        <f t="shared" si="27"/>
        <v>44646</v>
      </c>
      <c r="L99" s="147">
        <f>IF(t&lt;Tvie,1-EXP((T0-t)*PertePVj)+'2021'!Pspv,1-EXP((T0-t)*PertePVj)+Pspv)</f>
        <v>2.9922382198571351E-2</v>
      </c>
      <c r="M99" s="845"/>
      <c r="N99" s="845"/>
      <c r="O99" s="48">
        <f>IF(t&lt;Tnet,'2021'!Resal+('2021'!Salim-'2021'!Resal)*(1-EXP(('2021'!Tnet-t)/('2021'!Tau_j))),Resal+(Salim-Resal)*(1-EXP((Tnet-t)/(Tau_j))))*Salcycl</f>
        <v>3.1277577466619876E-2</v>
      </c>
      <c r="P99" s="339">
        <f>(INDEX(Models!$BJ99:$BT99,,T99)*(1-R99)+INDEX(Models!$BJ99:$BT99,,T99+1)*R99-ERP_i)*Q99*Ramure*Pc/MaxiM</f>
        <v>3.528059260213361E-6</v>
      </c>
      <c r="Q99" s="305">
        <f t="shared" si="28"/>
        <v>0.5</v>
      </c>
      <c r="R99" s="177">
        <f t="shared" si="29"/>
        <v>1.780754193823016E-2</v>
      </c>
      <c r="S99" s="811">
        <f t="shared" si="30"/>
        <v>0</v>
      </c>
      <c r="T99" s="176">
        <f t="shared" si="31"/>
        <v>6</v>
      </c>
      <c r="U99" s="251">
        <f t="shared" si="32"/>
        <v>1.780754193823016E-2</v>
      </c>
      <c r="V99" s="383">
        <f t="shared" si="33"/>
        <v>49.912888139311583</v>
      </c>
      <c r="W99" s="402">
        <f t="shared" si="34"/>
        <v>0</v>
      </c>
      <c r="X99" s="157">
        <f t="shared" si="35"/>
        <v>44646</v>
      </c>
      <c r="Y99" s="385">
        <f t="shared" si="36"/>
        <v>45.323417965730123</v>
      </c>
      <c r="Z99" s="385">
        <f t="shared" si="37"/>
        <v>46.721434588348231</v>
      </c>
      <c r="AA99" s="386">
        <f t="shared" si="38"/>
        <v>50.188566803038995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6.908211243204547E-2</v>
      </c>
      <c r="AD99" s="231">
        <f>(INDEX(Models!$BJ99:$BT99,,AH99)*(1-AF99)+INDEX(Models!$BJ99:$BT99,,AH99+1)*AF99-ERP_i)*AE99*Ramure*Pc/MaxiM</f>
        <v>3.528059260213361E-6</v>
      </c>
      <c r="AE99" s="305">
        <f t="shared" si="40"/>
        <v>0.5</v>
      </c>
      <c r="AF99" s="177">
        <f t="shared" si="41"/>
        <v>1.780754193823016E-2</v>
      </c>
      <c r="AG99" s="811">
        <f t="shared" si="49"/>
        <v>0</v>
      </c>
      <c r="AH99" s="176">
        <f t="shared" si="42"/>
        <v>6</v>
      </c>
      <c r="AI99" s="225">
        <f t="shared" si="43"/>
        <v>1.780754193823016E-2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44647</v>
      </c>
      <c r="B100" s="1140">
        <v>45.939</v>
      </c>
      <c r="C100" s="841"/>
      <c r="D100" s="393">
        <f t="shared" si="25"/>
        <v>47.357041705750945</v>
      </c>
      <c r="E100" s="385">
        <f t="shared" si="47"/>
        <v>48.890320393113548</v>
      </c>
      <c r="F100" s="385">
        <f t="shared" si="26"/>
        <v>48.890451751886708</v>
      </c>
      <c r="G100" s="110">
        <f t="shared" si="48"/>
        <v>0.91432772491054737</v>
      </c>
      <c r="H100" s="414" t="b">
        <f>Wh_hp&gt;='2021'!Maxi_hp</f>
        <v>0</v>
      </c>
      <c r="I100" s="380">
        <f>IF(H100,Wh_hp,'2021'!Maxi_hp)</f>
        <v>54.175577399192605</v>
      </c>
      <c r="J100" s="85">
        <f>IF(H100,An,'2021'!An_max)</f>
        <v>2019</v>
      </c>
      <c r="K100" s="197">
        <f t="shared" si="27"/>
        <v>44647</v>
      </c>
      <c r="L100" s="147">
        <f>IF(t&lt;Tvie,1-EXP((T0-t)*PertePVj)+'2021'!Pspv,1-EXP((T0-t)*PertePVj)+Pspv)</f>
        <v>2.9943629388039739E-2</v>
      </c>
      <c r="M100" s="845"/>
      <c r="N100" s="845"/>
      <c r="O100" s="48">
        <f>IF(t&lt;Tnet,'2021'!Resal+('2021'!Salim-'2021'!Resal)*(1-EXP(('2021'!Tnet-t)/('2021'!Tau_j))),Resal+(Salim-Resal)*(1-EXP((Tnet-t)/(Tau_j))))*Salcycl</f>
        <v>3.136160031339405E-2</v>
      </c>
      <c r="P100" s="339">
        <f>(INDEX(Models!$BJ100:$BT100,,T100)*(1-R100)+INDEX(Models!$BJ100:$BT100,,T100+1)*R100-ERP_i)*Q100*Ramure*Pc/MaxiM</f>
        <v>3.0614890864436143E-6</v>
      </c>
      <c r="Q100" s="305">
        <f t="shared" si="28"/>
        <v>0.5</v>
      </c>
      <c r="R100" s="177">
        <f t="shared" si="29"/>
        <v>1.8654507106194738E-2</v>
      </c>
      <c r="S100" s="811">
        <f t="shared" si="30"/>
        <v>0</v>
      </c>
      <c r="T100" s="176">
        <f t="shared" si="31"/>
        <v>6</v>
      </c>
      <c r="U100" s="251">
        <f t="shared" si="32"/>
        <v>1.8654507106194738E-2</v>
      </c>
      <c r="V100" s="383">
        <f t="shared" si="33"/>
        <v>50.243453780775589</v>
      </c>
      <c r="W100" s="402">
        <f t="shared" si="34"/>
        <v>0</v>
      </c>
      <c r="X100" s="157">
        <f t="shared" si="35"/>
        <v>44647</v>
      </c>
      <c r="Y100" s="385">
        <f t="shared" si="36"/>
        <v>44.147539288080715</v>
      </c>
      <c r="Z100" s="385">
        <f t="shared" si="37"/>
        <v>45.510282315068174</v>
      </c>
      <c r="AA100" s="386">
        <f t="shared" si="38"/>
        <v>48.890320393113548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6.913511817610149E-2</v>
      </c>
      <c r="AD100" s="231">
        <f>(INDEX(Models!$BJ100:$BT100,,AH100)*(1-AF100)+INDEX(Models!$BJ100:$BT100,,AH100+1)*AF100-ERP_i)*AE100*Ramure*Pc/MaxiM</f>
        <v>3.0614890864436143E-6</v>
      </c>
      <c r="AE100" s="305">
        <f t="shared" si="40"/>
        <v>0.5</v>
      </c>
      <c r="AF100" s="177">
        <f t="shared" si="41"/>
        <v>1.8654507106194738E-2</v>
      </c>
      <c r="AG100" s="811">
        <f t="shared" si="49"/>
        <v>0</v>
      </c>
      <c r="AH100" s="176">
        <f t="shared" si="42"/>
        <v>6</v>
      </c>
      <c r="AI100" s="225">
        <f t="shared" si="43"/>
        <v>1.8654507106194738E-2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44648</v>
      </c>
      <c r="B101" s="1140">
        <v>35.966999999999999</v>
      </c>
      <c r="C101" s="841"/>
      <c r="D101" s="393">
        <f t="shared" si="25"/>
        <v>37.078038840331665</v>
      </c>
      <c r="E101" s="385">
        <f t="shared" si="47"/>
        <v>38.281842243516373</v>
      </c>
      <c r="F101" s="385">
        <f t="shared" si="26"/>
        <v>38.281901753115605</v>
      </c>
      <c r="G101" s="110">
        <f t="shared" si="48"/>
        <v>0.71123636871823726</v>
      </c>
      <c r="H101" s="414" t="b">
        <f>Wh_hp&gt;='2021'!Maxi_hp</f>
        <v>0</v>
      </c>
      <c r="I101" s="380">
        <f>IF(H101,Wh_hp,'2021'!Maxi_hp)</f>
        <v>52.923988977147388</v>
      </c>
      <c r="J101" s="85">
        <f>IF(H101,An,'2021'!An_max)</f>
        <v>2019</v>
      </c>
      <c r="K101" s="197">
        <f t="shared" si="27"/>
        <v>44648</v>
      </c>
      <c r="L101" s="147">
        <f>IF(t&lt;Tvie,1-EXP((T0-t)*PertePVj)+'2021'!Pspv,1-EXP((T0-t)*PertePVj)+Pspv)</f>
        <v>2.9964876112140271E-2</v>
      </c>
      <c r="M101" s="845"/>
      <c r="N101" s="845"/>
      <c r="O101" s="48">
        <f>IF(t&lt;Tnet,'2021'!Resal+('2021'!Salim-'2021'!Resal)*(1-EXP(('2021'!Tnet-t)/('2021'!Tau_j))),Resal+(Salim-Resal)*(1-EXP((Tnet-t)/(Tau_j))))*Salcycl</f>
        <v>3.1445806487763552E-2</v>
      </c>
      <c r="P101" s="339">
        <f>(INDEX(Models!$BJ101:$BT101,,T101)*(1-R101)+INDEX(Models!$BJ101:$BT101,,T101+1)*R101-ERP_i)*Q101*Ramure*Pc/MaxiM</f>
        <v>2.6460571851902791E-6</v>
      </c>
      <c r="Q101" s="305">
        <f t="shared" si="28"/>
        <v>0.5</v>
      </c>
      <c r="R101" s="177">
        <f t="shared" si="29"/>
        <v>1.9533828655858978E-2</v>
      </c>
      <c r="S101" s="811">
        <f t="shared" si="30"/>
        <v>0</v>
      </c>
      <c r="T101" s="176">
        <f t="shared" si="31"/>
        <v>6</v>
      </c>
      <c r="U101" s="251">
        <f t="shared" si="32"/>
        <v>1.9533828655858978E-2</v>
      </c>
      <c r="V101" s="383">
        <f t="shared" si="33"/>
        <v>50.569631028682863</v>
      </c>
      <c r="W101" s="402">
        <f t="shared" si="34"/>
        <v>0</v>
      </c>
      <c r="X101" s="157">
        <f t="shared" si="35"/>
        <v>44648</v>
      </c>
      <c r="Y101" s="385">
        <f t="shared" si="36"/>
        <v>34.565430628253907</v>
      </c>
      <c r="Z101" s="385">
        <f t="shared" si="37"/>
        <v>35.633174281068428</v>
      </c>
      <c r="AA101" s="386">
        <f t="shared" si="38"/>
        <v>38.281842243516373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6.9188623306041169E-2</v>
      </c>
      <c r="AD101" s="231">
        <f>(INDEX(Models!$BJ101:$BT101,,AH101)*(1-AF101)+INDEX(Models!$BJ101:$BT101,,AH101+1)*AF101-ERP_i)*AE101*Ramure*Pc/MaxiM</f>
        <v>2.6460571851902791E-6</v>
      </c>
      <c r="AE101" s="305">
        <f t="shared" si="40"/>
        <v>0.5</v>
      </c>
      <c r="AF101" s="177">
        <f t="shared" si="41"/>
        <v>1.9533828655858978E-2</v>
      </c>
      <c r="AG101" s="811">
        <f t="shared" si="49"/>
        <v>0</v>
      </c>
      <c r="AH101" s="176">
        <f t="shared" si="42"/>
        <v>6</v>
      </c>
      <c r="AI101" s="225">
        <f t="shared" si="43"/>
        <v>1.9533828655858978E-2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44649</v>
      </c>
      <c r="B102" s="1140">
        <v>28.327000000000002</v>
      </c>
      <c r="C102" s="841"/>
      <c r="D102" s="393">
        <f t="shared" si="25"/>
        <v>29.202674985677653</v>
      </c>
      <c r="E102" s="385">
        <f t="shared" si="47"/>
        <v>30.153418600067923</v>
      </c>
      <c r="F102" s="385">
        <f t="shared" si="26"/>
        <v>30.153443815609545</v>
      </c>
      <c r="G102" s="110">
        <f t="shared" si="48"/>
        <v>0.55662664308560272</v>
      </c>
      <c r="H102" s="414" t="b">
        <f>Wh_hp&gt;='2021'!Maxi_hp</f>
        <v>0</v>
      </c>
      <c r="I102" s="380">
        <f>IF(H102,Wh_hp,'2021'!Maxi_hp)</f>
        <v>54.418783965233558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2.9986122370882939E-2</v>
      </c>
      <c r="M102" s="845"/>
      <c r="N102" s="845"/>
      <c r="O102" s="48">
        <f>IF(t&lt;Tnet,'2021'!Resal+('2021'!Salim-'2021'!Resal)*(1-EXP(('2021'!Tnet-t)/('2021'!Tau_j))),Resal+(Salim-Resal)*(1-EXP((Tnet-t)/(Tau_j))))*Salcycl</f>
        <v>3.1530209791473834E-2</v>
      </c>
      <c r="P102" s="339">
        <f>(INDEX(Models!$BJ102:$BT102,,T102)*(1-R102)+INDEX(Models!$BJ102:$BT102,,T102+1)*R102-ERP_i)*Q102*Ramure*Pc/MaxiM</f>
        <v>2.2810054200911734E-6</v>
      </c>
      <c r="Q102" s="305">
        <f t="shared" si="28"/>
        <v>0.5</v>
      </c>
      <c r="R102" s="177">
        <f t="shared" si="29"/>
        <v>2.0446610940245361E-2</v>
      </c>
      <c r="S102" s="811">
        <f t="shared" si="30"/>
        <v>0</v>
      </c>
      <c r="T102" s="176">
        <f t="shared" si="31"/>
        <v>6</v>
      </c>
      <c r="U102" s="251">
        <f t="shared" si="32"/>
        <v>2.0446610940245361E-2</v>
      </c>
      <c r="V102" s="383">
        <f t="shared" si="33"/>
        <v>50.890411779594906</v>
      </c>
      <c r="W102" s="402">
        <f t="shared" si="34"/>
        <v>0</v>
      </c>
      <c r="X102" s="157">
        <f t="shared" si="35"/>
        <v>44649</v>
      </c>
      <c r="Y102" s="385">
        <f t="shared" si="36"/>
        <v>27.223939845990472</v>
      </c>
      <c r="Z102" s="385">
        <f t="shared" si="37"/>
        <v>28.065515838320298</v>
      </c>
      <c r="AA102" s="386">
        <f t="shared" si="38"/>
        <v>30.153418600067923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6.9242655018324245E-2</v>
      </c>
      <c r="AD102" s="231">
        <f>(INDEX(Models!$BJ102:$BT102,,AH102)*(1-AF102)+INDEX(Models!$BJ102:$BT102,,AH102+1)*AF102-ERP_i)*AE102*Ramure*Pc/MaxiM</f>
        <v>2.2810054200911734E-6</v>
      </c>
      <c r="AE102" s="305">
        <f t="shared" si="40"/>
        <v>0.5</v>
      </c>
      <c r="AF102" s="177">
        <f t="shared" si="41"/>
        <v>2.0446610940245361E-2</v>
      </c>
      <c r="AG102" s="811">
        <f t="shared" si="49"/>
        <v>0</v>
      </c>
      <c r="AH102" s="176">
        <f t="shared" si="42"/>
        <v>6</v>
      </c>
      <c r="AI102" s="225">
        <f t="shared" si="43"/>
        <v>2.0446610940245361E-2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44650</v>
      </c>
      <c r="B103" s="1140">
        <v>7.9660000000000002</v>
      </c>
      <c r="C103" s="841"/>
      <c r="D103" s="393">
        <f t="shared" si="25"/>
        <v>8.2124335160404822</v>
      </c>
      <c r="E103" s="385">
        <f t="shared" si="47"/>
        <v>8.4805444358527584</v>
      </c>
      <c r="F103" s="385">
        <f t="shared" si="26"/>
        <v>8.4805444358527584</v>
      </c>
      <c r="G103" s="110">
        <f t="shared" si="48"/>
        <v>0.15557108225992797</v>
      </c>
      <c r="H103" s="414" t="b">
        <f>Wh_hp&gt;='2021'!Maxi_hp</f>
        <v>0</v>
      </c>
      <c r="I103" s="380">
        <f>IF(H103,Wh_hp,'2021'!Maxi_hp)</f>
        <v>55.483183570295765</v>
      </c>
      <c r="J103" s="85">
        <f>IF(H103,An,'2021'!An_max)</f>
        <v>2019</v>
      </c>
      <c r="K103" s="197">
        <f t="shared" si="27"/>
        <v>44650</v>
      </c>
      <c r="L103" s="147">
        <f>IF(t&lt;Tvie,1-EXP((T0-t)*PertePVj)+'2021'!Pspv,1-EXP((T0-t)*PertePVj)+Pspv)</f>
        <v>3.0007368164277959E-2</v>
      </c>
      <c r="M103" s="845"/>
      <c r="N103" s="845"/>
      <c r="O103" s="48">
        <f>IF(t&lt;Tnet,'2021'!Resal+('2021'!Salim-'2021'!Resal)*(1-EXP(('2021'!Tnet-t)/('2021'!Tau_j))),Resal+(Salim-Resal)*(1-EXP((Tnet-t)/(Tau_j))))*Salcycl</f>
        <v>3.1614824005732185E-2</v>
      </c>
      <c r="P103" s="339">
        <f>(INDEX(Models!$BJ103:$BT103,,T103)*(1-R103)+INDEX(Models!$BJ103:$BT103,,T103+1)*R103-ERP_i)*Q103*Ramure*Pc/MaxiM</f>
        <v>1.9656408478728191E-6</v>
      </c>
      <c r="Q103" s="305">
        <f t="shared" si="28"/>
        <v>0.5</v>
      </c>
      <c r="R103" s="177">
        <f t="shared" si="29"/>
        <v>2.1393985291863701E-2</v>
      </c>
      <c r="S103" s="811">
        <f t="shared" si="30"/>
        <v>0</v>
      </c>
      <c r="T103" s="176">
        <f t="shared" si="31"/>
        <v>6</v>
      </c>
      <c r="U103" s="251">
        <f t="shared" si="32"/>
        <v>2.1393985291863701E-2</v>
      </c>
      <c r="V103" s="383">
        <f t="shared" si="33"/>
        <v>51.204788357745358</v>
      </c>
      <c r="W103" s="402">
        <f t="shared" si="34"/>
        <v>0</v>
      </c>
      <c r="X103" s="157">
        <f t="shared" si="35"/>
        <v>44650</v>
      </c>
      <c r="Y103" s="385">
        <f t="shared" si="36"/>
        <v>7.6560219711909214</v>
      </c>
      <c r="Z103" s="385">
        <f t="shared" si="37"/>
        <v>7.8928661104381925</v>
      </c>
      <c r="AA103" s="386">
        <f t="shared" si="38"/>
        <v>8.4805444358527584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6.9297240272696195E-2</v>
      </c>
      <c r="AD103" s="231">
        <f>(INDEX(Models!$BJ103:$BT103,,AH103)*(1-AF103)+INDEX(Models!$BJ103:$BT103,,AH103+1)*AF103-ERP_i)*AE103*Ramure*Pc/MaxiM</f>
        <v>1.9656408478728191E-6</v>
      </c>
      <c r="AE103" s="305">
        <f t="shared" si="40"/>
        <v>0.5</v>
      </c>
      <c r="AF103" s="177">
        <f t="shared" si="41"/>
        <v>2.1393985291863701E-2</v>
      </c>
      <c r="AG103" s="811">
        <f t="shared" si="49"/>
        <v>0</v>
      </c>
      <c r="AH103" s="176">
        <f t="shared" si="42"/>
        <v>6</v>
      </c>
      <c r="AI103" s="225">
        <f t="shared" si="43"/>
        <v>2.1393985291863701E-2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44651</v>
      </c>
      <c r="B104" s="1140">
        <v>29.029</v>
      </c>
      <c r="C104" s="841"/>
      <c r="D104" s="393">
        <f t="shared" si="25"/>
        <v>29.927686943959788</v>
      </c>
      <c r="E104" s="385">
        <f t="shared" si="47"/>
        <v>30.907442449481938</v>
      </c>
      <c r="F104" s="385">
        <f t="shared" si="26"/>
        <v>30.907462223547146</v>
      </c>
      <c r="G104" s="110">
        <f t="shared" si="48"/>
        <v>0.56354069238860038</v>
      </c>
      <c r="H104" s="414" t="b">
        <f>Wh_hp&gt;='2021'!Maxi_hp</f>
        <v>0</v>
      </c>
      <c r="I104" s="380">
        <f>IF(H104,Wh_hp,'2021'!Maxi_hp)</f>
        <v>49.250450204262727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3.0028613492335654E-2</v>
      </c>
      <c r="M104" s="845"/>
      <c r="N104" s="845"/>
      <c r="O104" s="48">
        <f>IF(t&lt;Tnet,'2021'!Resal+('2021'!Salim-'2021'!Resal)*(1-EXP(('2021'!Tnet-t)/('2021'!Tau_j))),Resal+(Salim-Resal)*(1-EXP((Tnet-t)/(Tau_j))))*Salcycl</f>
        <v>3.1699662860282141E-2</v>
      </c>
      <c r="P104" s="339">
        <f>(INDEX(Models!$BJ104:$BT104,,T104)*(1-R104)+INDEX(Models!$BJ104:$BT104,,T104+1)*R104-ERP_i)*Q104*Ramure*Pc/MaxiM</f>
        <v>1.6993466836466785E-6</v>
      </c>
      <c r="Q104" s="305">
        <f t="shared" si="28"/>
        <v>0.5</v>
      </c>
      <c r="R104" s="177">
        <f t="shared" si="29"/>
        <v>2.2377109775527957E-2</v>
      </c>
      <c r="S104" s="811">
        <f t="shared" si="30"/>
        <v>0</v>
      </c>
      <c r="T104" s="176">
        <f t="shared" si="31"/>
        <v>6</v>
      </c>
      <c r="U104" s="251">
        <f t="shared" si="32"/>
        <v>2.2377109775527957E-2</v>
      </c>
      <c r="V104" s="383">
        <f t="shared" si="33"/>
        <v>51.51175351483792</v>
      </c>
      <c r="W104" s="402">
        <f t="shared" si="34"/>
        <v>0</v>
      </c>
      <c r="X104" s="157">
        <f t="shared" si="35"/>
        <v>44651</v>
      </c>
      <c r="Y104" s="385">
        <f t="shared" si="36"/>
        <v>27.900195815204395</v>
      </c>
      <c r="Z104" s="385">
        <f t="shared" si="37"/>
        <v>28.763936960715633</v>
      </c>
      <c r="AA104" s="386">
        <f t="shared" si="38"/>
        <v>30.907442449481938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6.935240572783892E-2</v>
      </c>
      <c r="AD104" s="231">
        <f>(INDEX(Models!$BJ104:$BT104,,AH104)*(1-AF104)+INDEX(Models!$BJ104:$BT104,,AH104+1)*AF104-ERP_i)*AE104*Ramure*Pc/MaxiM</f>
        <v>1.6993466836466785E-6</v>
      </c>
      <c r="AE104" s="305">
        <f t="shared" si="40"/>
        <v>0.5</v>
      </c>
      <c r="AF104" s="177">
        <f t="shared" si="41"/>
        <v>2.2377109775527957E-2</v>
      </c>
      <c r="AG104" s="811">
        <f t="shared" si="49"/>
        <v>0</v>
      </c>
      <c r="AH104" s="176">
        <f t="shared" si="42"/>
        <v>6</v>
      </c>
      <c r="AI104" s="225">
        <f t="shared" si="43"/>
        <v>2.2377109775527957E-2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44652</v>
      </c>
      <c r="B105" s="1140">
        <v>31.766999999999999</v>
      </c>
      <c r="C105" s="841"/>
      <c r="D105" s="393">
        <f t="shared" si="25"/>
        <v>32.751167958104006</v>
      </c>
      <c r="E105" s="385">
        <f t="shared" si="47"/>
        <v>33.826329031645393</v>
      </c>
      <c r="F105" s="385">
        <f t="shared" si="26"/>
        <v>33.826351451118676</v>
      </c>
      <c r="G105" s="110">
        <f t="shared" si="48"/>
        <v>0.61314012310856392</v>
      </c>
      <c r="H105" s="414" t="b">
        <f>Wh_hp&gt;='2021'!Maxi_hp</f>
        <v>0</v>
      </c>
      <c r="I105" s="380">
        <f>IF(H105,Wh_hp,'2021'!Maxi_hp)</f>
        <v>50.405835504746996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3.0049858355066128E-2</v>
      </c>
      <c r="M105" s="845"/>
      <c r="N105" s="845"/>
      <c r="O105" s="48">
        <f>IF(t&lt;Tnet,'2021'!Resal+('2021'!Salim-'2021'!Resal)*(1-EXP(('2021'!Tnet-t)/('2021'!Tau_j))),Resal+(Salim-Resal)*(1-EXP((Tnet-t)/(Tau_j))))*Salcycl</f>
        <v>3.1784740003431837E-2</v>
      </c>
      <c r="P105" s="339">
        <f>(INDEX(Models!$BJ105:$BT105,,T105)*(1-R105)+INDEX(Models!$BJ105:$BT105,,T105+1)*R105-ERP_i)*Q105*Ramure*Pc/MaxiM</f>
        <v>1.4815928520854866E-6</v>
      </c>
      <c r="Q105" s="305">
        <f t="shared" si="28"/>
        <v>0.5</v>
      </c>
      <c r="R105" s="177">
        <f t="shared" si="29"/>
        <v>2.3397168844813195E-2</v>
      </c>
      <c r="S105" s="811">
        <f t="shared" si="30"/>
        <v>0</v>
      </c>
      <c r="T105" s="176">
        <f t="shared" si="31"/>
        <v>6</v>
      </c>
      <c r="U105" s="251">
        <f t="shared" si="32"/>
        <v>2.3397168844813195E-2</v>
      </c>
      <c r="V105" s="383">
        <f t="shared" si="33"/>
        <v>51.81030043791727</v>
      </c>
      <c r="W105" s="402">
        <f t="shared" si="34"/>
        <v>0</v>
      </c>
      <c r="X105" s="157">
        <f t="shared" si="35"/>
        <v>44652</v>
      </c>
      <c r="Y105" s="385">
        <f t="shared" si="36"/>
        <v>30.532580554194499</v>
      </c>
      <c r="Z105" s="385">
        <f t="shared" si="37"/>
        <v>31.478505175961352</v>
      </c>
      <c r="AA105" s="386">
        <f t="shared" si="38"/>
        <v>33.826329031645393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6.9408177679806601E-2</v>
      </c>
      <c r="AD105" s="231">
        <f>(INDEX(Models!$BJ105:$BT105,,AH105)*(1-AF105)+INDEX(Models!$BJ105:$BT105,,AH105+1)*AF105-ERP_i)*AE105*Ramure*Pc/MaxiM</f>
        <v>1.4815928520854866E-6</v>
      </c>
      <c r="AE105" s="305">
        <f t="shared" si="40"/>
        <v>0.5</v>
      </c>
      <c r="AF105" s="177">
        <f t="shared" si="41"/>
        <v>2.3397168844813195E-2</v>
      </c>
      <c r="AG105" s="811">
        <f t="shared" si="49"/>
        <v>0</v>
      </c>
      <c r="AH105" s="176">
        <f t="shared" si="42"/>
        <v>6</v>
      </c>
      <c r="AI105" s="225">
        <f t="shared" si="43"/>
        <v>2.3397168844813195E-2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44653</v>
      </c>
      <c r="B106" s="1140">
        <v>21.655999999999999</v>
      </c>
      <c r="C106" s="841"/>
      <c r="D106" s="393">
        <f t="shared" si="25"/>
        <v>22.327409835355702</v>
      </c>
      <c r="E106" s="385">
        <f t="shared" si="47"/>
        <v>23.062410446985169</v>
      </c>
      <c r="F106" s="385">
        <f t="shared" si="26"/>
        <v>23.062415446541667</v>
      </c>
      <c r="G106" s="110">
        <f t="shared" si="48"/>
        <v>0.41566633826013211</v>
      </c>
      <c r="H106" s="414" t="b">
        <f>Wh_hp&gt;='2021'!Maxi_hp</f>
        <v>0</v>
      </c>
      <c r="I106" s="380">
        <f>IF(H106,Wh_hp,'2021'!Maxi_hp)</f>
        <v>45.758995612636852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3.0071102752479484E-2</v>
      </c>
      <c r="M106" s="845"/>
      <c r="N106" s="845"/>
      <c r="O106" s="48">
        <f>IF(t&lt;Tnet,'2021'!Resal+('2021'!Salim-'2021'!Resal)*(1-EXP(('2021'!Tnet-t)/('2021'!Tau_j))),Resal+(Salim-Resal)*(1-EXP((Tnet-t)/(Tau_j))))*Salcycl</f>
        <v>3.1870068973017869E-2</v>
      </c>
      <c r="P106" s="339">
        <f>(INDEX(Models!$BJ106:$BT106,,T106)*(1-R106)+INDEX(Models!$BJ106:$BT106,,T106+1)*R106-ERP_i)*Q106*Ramure*Pc/MaxiM</f>
        <v>1.3119462214494056E-6</v>
      </c>
      <c r="Q106" s="305">
        <f t="shared" si="28"/>
        <v>0.5</v>
      </c>
      <c r="R106" s="177">
        <f t="shared" si="29"/>
        <v>2.4455372894252557E-2</v>
      </c>
      <c r="S106" s="811">
        <f t="shared" si="30"/>
        <v>0</v>
      </c>
      <c r="T106" s="176">
        <f t="shared" si="31"/>
        <v>6</v>
      </c>
      <c r="U106" s="251">
        <f t="shared" si="32"/>
        <v>2.4455372894252557E-2</v>
      </c>
      <c r="V106" s="383">
        <f t="shared" si="33"/>
        <v>52.099422757690967</v>
      </c>
      <c r="W106" s="402">
        <f t="shared" si="34"/>
        <v>0</v>
      </c>
      <c r="X106" s="157">
        <f t="shared" si="35"/>
        <v>44653</v>
      </c>
      <c r="Y106" s="385">
        <f t="shared" si="36"/>
        <v>20.815052160160768</v>
      </c>
      <c r="Z106" s="385">
        <f t="shared" si="37"/>
        <v>21.460389745299938</v>
      </c>
      <c r="AA106" s="386">
        <f t="shared" si="38"/>
        <v>23.062410446985169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6.9464582003164146E-2</v>
      </c>
      <c r="AD106" s="231">
        <f>(INDEX(Models!$BJ106:$BT106,,AH106)*(1-AF106)+INDEX(Models!$BJ106:$BT106,,AH106+1)*AF106-ERP_i)*AE106*Ramure*Pc/MaxiM</f>
        <v>1.3119462214494056E-6</v>
      </c>
      <c r="AE106" s="305">
        <f t="shared" si="40"/>
        <v>0.5</v>
      </c>
      <c r="AF106" s="177">
        <f t="shared" si="41"/>
        <v>2.4455372894252557E-2</v>
      </c>
      <c r="AG106" s="811">
        <f t="shared" si="49"/>
        <v>0</v>
      </c>
      <c r="AH106" s="176">
        <f t="shared" si="42"/>
        <v>6</v>
      </c>
      <c r="AI106" s="225">
        <f t="shared" si="43"/>
        <v>2.4455372894252557E-2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44654</v>
      </c>
      <c r="B107" s="1140">
        <v>23.461000000000002</v>
      </c>
      <c r="C107" s="841"/>
      <c r="D107" s="393">
        <f t="shared" si="25"/>
        <v>24.188900788444947</v>
      </c>
      <c r="E107" s="385">
        <f t="shared" si="47"/>
        <v>24.987389387155012</v>
      </c>
      <c r="F107" s="385">
        <f t="shared" si="26"/>
        <v>24.987395669521607</v>
      </c>
      <c r="G107" s="110">
        <f t="shared" si="48"/>
        <v>0.4478922472851723</v>
      </c>
      <c r="H107" s="414" t="b">
        <f>Wh_hp&gt;='2021'!Maxi_hp</f>
        <v>0</v>
      </c>
      <c r="I107" s="380">
        <f>IF(H107,Wh_hp,'2021'!Maxi_hp)</f>
        <v>53.35954700357199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3.0092346684586158E-2</v>
      </c>
      <c r="M107" s="845"/>
      <c r="N107" s="845"/>
      <c r="O107" s="48">
        <f>IF(t&lt;Tnet,'2021'!Resal+('2021'!Salim-'2021'!Resal)*(1-EXP(('2021'!Tnet-t)/('2021'!Tau_j))),Resal+(Salim-Resal)*(1-EXP((Tnet-t)/(Tau_j))))*Salcycl</f>
        <v>3.1955663168259332E-2</v>
      </c>
      <c r="P107" s="339">
        <f>(INDEX(Models!$BJ107:$BT107,,T107)*(1-R107)+INDEX(Models!$BJ107:$BT107,,T107+1)*R107-ERP_i)*Q107*Ramure*Pc/MaxiM</f>
        <v>1.1900184053303928E-6</v>
      </c>
      <c r="Q107" s="305">
        <f t="shared" si="28"/>
        <v>0.5</v>
      </c>
      <c r="R107" s="177">
        <f t="shared" si="29"/>
        <v>2.5552957699066126E-2</v>
      </c>
      <c r="S107" s="811">
        <f t="shared" si="30"/>
        <v>0</v>
      </c>
      <c r="T107" s="176">
        <f t="shared" si="31"/>
        <v>6</v>
      </c>
      <c r="U107" s="251">
        <f t="shared" si="32"/>
        <v>2.5552957699066126E-2</v>
      </c>
      <c r="V107" s="383">
        <f t="shared" si="33"/>
        <v>52.380853032790071</v>
      </c>
      <c r="W107" s="402">
        <f t="shared" si="34"/>
        <v>0</v>
      </c>
      <c r="X107" s="157">
        <f t="shared" si="35"/>
        <v>44654</v>
      </c>
      <c r="Y107" s="385">
        <f t="shared" si="36"/>
        <v>22.550571164271815</v>
      </c>
      <c r="Z107" s="385">
        <f t="shared" si="37"/>
        <v>23.250224995325791</v>
      </c>
      <c r="AA107" s="386">
        <f t="shared" si="38"/>
        <v>24.987389387155012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6.9521644094689902E-2</v>
      </c>
      <c r="AD107" s="231">
        <f>(INDEX(Models!$BJ107:$BT107,,AH107)*(1-AF107)+INDEX(Models!$BJ107:$BT107,,AH107+1)*AF107-ERP_i)*AE107*Ramure*Pc/MaxiM</f>
        <v>1.1900184053303928E-6</v>
      </c>
      <c r="AE107" s="305">
        <f t="shared" si="40"/>
        <v>0.5</v>
      </c>
      <c r="AF107" s="177">
        <f t="shared" si="41"/>
        <v>2.5552957699066126E-2</v>
      </c>
      <c r="AG107" s="811">
        <f t="shared" si="49"/>
        <v>0</v>
      </c>
      <c r="AH107" s="176">
        <f t="shared" si="42"/>
        <v>6</v>
      </c>
      <c r="AI107" s="225">
        <f t="shared" si="43"/>
        <v>2.5552957699066126E-2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44655</v>
      </c>
      <c r="B108" s="1140">
        <v>49.338000000000001</v>
      </c>
      <c r="C108" s="841"/>
      <c r="D108" s="393">
        <f t="shared" si="25"/>
        <v>50.869874553352595</v>
      </c>
      <c r="E108" s="385">
        <f t="shared" si="47"/>
        <v>52.55377832412934</v>
      </c>
      <c r="F108" s="385">
        <f t="shared" si="26"/>
        <v>52.55383294725624</v>
      </c>
      <c r="G108" s="110">
        <f t="shared" si="48"/>
        <v>0.93697065683747849</v>
      </c>
      <c r="H108" s="414" t="b">
        <f>Wh_hp&gt;='2021'!Maxi_hp</f>
        <v>0</v>
      </c>
      <c r="I108" s="380">
        <f>IF(H108,Wh_hp,'2021'!Maxi_hp)</f>
        <v>56.536713073450201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3.0113590151396141E-2</v>
      </c>
      <c r="M108" s="845"/>
      <c r="N108" s="845"/>
      <c r="O108" s="48">
        <f>IF(t&lt;Tnet,'2021'!Resal+('2021'!Salim-'2021'!Resal)*(1-EXP(('2021'!Tnet-t)/('2021'!Tau_j))),Resal+(Salim-Resal)*(1-EXP((Tnet-t)/(Tau_j))))*Salcycl</f>
        <v>3.2041535822432084E-2</v>
      </c>
      <c r="P108" s="339">
        <f>(INDEX(Models!$BJ108:$BT108,,T108)*(1-R108)+INDEX(Models!$BJ108:$BT108,,T108+1)*R108-ERP_i)*Q108*Ramure*Pc/MaxiM</f>
        <v>1.1422224964796455E-6</v>
      </c>
      <c r="Q108" s="305">
        <f t="shared" si="28"/>
        <v>0.5</v>
      </c>
      <c r="R108" s="177">
        <f t="shared" si="29"/>
        <v>2.6691183733918798E-2</v>
      </c>
      <c r="S108" s="811">
        <f t="shared" si="30"/>
        <v>0</v>
      </c>
      <c r="T108" s="176">
        <f t="shared" si="31"/>
        <v>6</v>
      </c>
      <c r="U108" s="251">
        <f t="shared" si="32"/>
        <v>2.6691183733918798E-2</v>
      </c>
      <c r="V108" s="383">
        <f t="shared" si="33"/>
        <v>52.656926410290367</v>
      </c>
      <c r="W108" s="402">
        <f t="shared" si="34"/>
        <v>0</v>
      </c>
      <c r="X108" s="157">
        <f t="shared" si="35"/>
        <v>44655</v>
      </c>
      <c r="Y108" s="385">
        <f t="shared" si="36"/>
        <v>47.424650760639238</v>
      </c>
      <c r="Z108" s="385">
        <f t="shared" si="37"/>
        <v>48.897118548183464</v>
      </c>
      <c r="AA108" s="386">
        <f t="shared" si="38"/>
        <v>52.55377832412934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6.9579388819451846E-2</v>
      </c>
      <c r="AD108" s="231">
        <f>(INDEX(Models!$BJ108:$BT108,,AH108)*(1-AF108)+INDEX(Models!$BJ108:$BT108,,AH108+1)*AF108-ERP_i)*AE108*Ramure*Pc/MaxiM</f>
        <v>1.1422224964796455E-6</v>
      </c>
      <c r="AE108" s="305">
        <f t="shared" si="40"/>
        <v>0.5</v>
      </c>
      <c r="AF108" s="177">
        <f t="shared" si="41"/>
        <v>2.6691183733918798E-2</v>
      </c>
      <c r="AG108" s="811">
        <f t="shared" si="49"/>
        <v>0</v>
      </c>
      <c r="AH108" s="176">
        <f t="shared" si="42"/>
        <v>6</v>
      </c>
      <c r="AI108" s="225">
        <f t="shared" si="43"/>
        <v>2.6691183733918798E-2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44656</v>
      </c>
      <c r="B109" s="1140">
        <v>52.441000000000003</v>
      </c>
      <c r="C109" s="841"/>
      <c r="D109" s="393">
        <f t="shared" si="25"/>
        <v>54.070402559646141</v>
      </c>
      <c r="E109" s="385">
        <f t="shared" si="47"/>
        <v>55.865223705979041</v>
      </c>
      <c r="F109" s="385">
        <f t="shared" si="26"/>
        <v>55.865286724032039</v>
      </c>
      <c r="G109" s="110">
        <f t="shared" si="48"/>
        <v>0.99080733875368621</v>
      </c>
      <c r="H109" s="414" t="b">
        <f>Wh_hp&gt;='2021'!Maxi_hp</f>
        <v>0</v>
      </c>
      <c r="I109" s="380">
        <f>IF(H109,Wh_hp,'2021'!Maxi_hp)</f>
        <v>58.623693621493487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3.0134833152919649E-2</v>
      </c>
      <c r="M109" s="845"/>
      <c r="N109" s="845"/>
      <c r="O109" s="48">
        <f>IF(t&lt;Tnet,'2021'!Resal+('2021'!Salim-'2021'!Resal)*(1-EXP(('2021'!Tnet-t)/('2021'!Tau_j))),Resal+(Salim-Resal)*(1-EXP((Tnet-t)/(Tau_j))))*Salcycl</f>
        <v>3.2127699976270005E-2</v>
      </c>
      <c r="P109" s="339">
        <f>(INDEX(Models!$BJ109:$BT109,,T109)*(1-R109)+INDEX(Models!$BJ109:$BT109,,T109+1)*R109-ERP_i)*Q109*Ramure*Pc/MaxiM</f>
        <v>1.1430468655226983E-6</v>
      </c>
      <c r="Q109" s="305">
        <f t="shared" si="28"/>
        <v>0.5</v>
      </c>
      <c r="R109" s="177">
        <f t="shared" si="29"/>
        <v>2.7871335361937526E-2</v>
      </c>
      <c r="S109" s="811">
        <f t="shared" si="30"/>
        <v>0</v>
      </c>
      <c r="T109" s="176">
        <f t="shared" si="31"/>
        <v>6</v>
      </c>
      <c r="U109" s="251">
        <f t="shared" si="32"/>
        <v>2.7871335361937526E-2</v>
      </c>
      <c r="V109" s="383">
        <f t="shared" si="33"/>
        <v>52.927544197217159</v>
      </c>
      <c r="W109" s="402">
        <f t="shared" si="34"/>
        <v>0</v>
      </c>
      <c r="X109" s="157">
        <f t="shared" si="35"/>
        <v>44656</v>
      </c>
      <c r="Y109" s="385">
        <f t="shared" si="36"/>
        <v>50.408635526910231</v>
      </c>
      <c r="Z109" s="385">
        <f t="shared" si="37"/>
        <v>51.974890170334589</v>
      </c>
      <c r="AA109" s="386">
        <f t="shared" si="38"/>
        <v>55.865223705979041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6.9637840459020467E-2</v>
      </c>
      <c r="AD109" s="231">
        <f>(INDEX(Models!$BJ109:$BT109,,AH109)*(1-AF109)+INDEX(Models!$BJ109:$BT109,,AH109+1)*AF109-ERP_i)*AE109*Ramure*Pc/MaxiM</f>
        <v>1.1430468655226983E-6</v>
      </c>
      <c r="AE109" s="305">
        <f t="shared" si="40"/>
        <v>0.5</v>
      </c>
      <c r="AF109" s="177">
        <f t="shared" si="41"/>
        <v>2.7871335361937526E-2</v>
      </c>
      <c r="AG109" s="811">
        <f t="shared" si="49"/>
        <v>0</v>
      </c>
      <c r="AH109" s="176">
        <f t="shared" si="42"/>
        <v>6</v>
      </c>
      <c r="AI109" s="225">
        <f t="shared" si="43"/>
        <v>2.7871335361937526E-2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44657</v>
      </c>
      <c r="B110" s="1140">
        <v>11.488</v>
      </c>
      <c r="C110" s="841"/>
      <c r="D110" s="393">
        <f t="shared" si="25"/>
        <v>11.84520489537873</v>
      </c>
      <c r="E110" s="385">
        <f t="shared" si="47"/>
        <v>12.239489884277134</v>
      </c>
      <c r="F110" s="385">
        <f t="shared" si="26"/>
        <v>12.239489884277134</v>
      </c>
      <c r="G110" s="110">
        <f t="shared" si="48"/>
        <v>0.21596960692520559</v>
      </c>
      <c r="H110" s="414" t="b">
        <f>Wh_hp&gt;='2021'!Maxi_hp</f>
        <v>0</v>
      </c>
      <c r="I110" s="380">
        <f>IF(H110,Wh_hp,'2021'!Maxi_hp)</f>
        <v>59.354429100482541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3.0156075689166895E-2</v>
      </c>
      <c r="M110" s="845"/>
      <c r="N110" s="845"/>
      <c r="O110" s="48">
        <f>IF(t&lt;Tnet,'2021'!Resal+('2021'!Salim-'2021'!Resal)*(1-EXP(('2021'!Tnet-t)/('2021'!Tau_j))),Resal+(Salim-Resal)*(1-EXP((Tnet-t)/(Tau_j))))*Salcycl</f>
        <v>3.221416845197967E-2</v>
      </c>
      <c r="P110" s="339">
        <f>(INDEX(Models!$BJ110:$BT110,,T110)*(1-R110)+INDEX(Models!$BJ110:$BT110,,T110+1)*R110-ERP_i)*Q110*Ramure*Pc/MaxiM</f>
        <v>1.1924119263760243E-6</v>
      </c>
      <c r="Q110" s="305">
        <f t="shared" si="28"/>
        <v>0.5</v>
      </c>
      <c r="R110" s="177">
        <f t="shared" si="29"/>
        <v>2.9094719884977728E-2</v>
      </c>
      <c r="S110" s="811">
        <f t="shared" si="30"/>
        <v>0</v>
      </c>
      <c r="T110" s="176">
        <f t="shared" si="31"/>
        <v>6</v>
      </c>
      <c r="U110" s="251">
        <f t="shared" si="32"/>
        <v>2.9094719884977728E-2</v>
      </c>
      <c r="V110" s="383">
        <f t="shared" si="33"/>
        <v>53.192606427951212</v>
      </c>
      <c r="W110" s="402">
        <f t="shared" si="34"/>
        <v>0</v>
      </c>
      <c r="X110" s="157">
        <f t="shared" si="35"/>
        <v>44657</v>
      </c>
      <c r="Y110" s="385">
        <f t="shared" si="36"/>
        <v>11.043063718518525</v>
      </c>
      <c r="Z110" s="385">
        <f t="shared" si="37"/>
        <v>11.386433880446978</v>
      </c>
      <c r="AA110" s="386">
        <f t="shared" si="38"/>
        <v>12.239489884277134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6.9697022661540375E-2</v>
      </c>
      <c r="AD110" s="231">
        <f>(INDEX(Models!$BJ110:$BT110,,AH110)*(1-AF110)+INDEX(Models!$BJ110:$BT110,,AH110+1)*AF110-ERP_i)*AE110*Ramure*Pc/MaxiM</f>
        <v>1.1924119263760243E-6</v>
      </c>
      <c r="AE110" s="305">
        <f t="shared" si="40"/>
        <v>0.5</v>
      </c>
      <c r="AF110" s="177">
        <f t="shared" si="41"/>
        <v>2.9094719884977728E-2</v>
      </c>
      <c r="AG110" s="811">
        <f t="shared" si="49"/>
        <v>0</v>
      </c>
      <c r="AH110" s="176">
        <f t="shared" si="42"/>
        <v>6</v>
      </c>
      <c r="AI110" s="225">
        <f t="shared" si="43"/>
        <v>2.9094719884977728E-2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44658</v>
      </c>
      <c r="B111" s="1140">
        <v>39.268999999999998</v>
      </c>
      <c r="C111" s="841"/>
      <c r="D111" s="393">
        <f t="shared" si="25"/>
        <v>40.490906965906767</v>
      </c>
      <c r="E111" s="385">
        <f t="shared" si="47"/>
        <v>41.842458278809616</v>
      </c>
      <c r="F111" s="385">
        <f t="shared" si="26"/>
        <v>41.842491804083579</v>
      </c>
      <c r="G111" s="110">
        <f t="shared" si="48"/>
        <v>0.73465859287701896</v>
      </c>
      <c r="H111" s="414" t="b">
        <f>Wh_hp&gt;='2021'!Maxi_hp</f>
        <v>0</v>
      </c>
      <c r="I111" s="380">
        <f>IF(H111,Wh_hp,'2021'!Maxi_hp)</f>
        <v>56.351753523847592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3.0177317760148203E-2</v>
      </c>
      <c r="M111" s="845"/>
      <c r="N111" s="845"/>
      <c r="O111" s="48">
        <f>IF(t&lt;Tnet,'2021'!Resal+('2021'!Salim-'2021'!Resal)*(1-EXP(('2021'!Tnet-t)/('2021'!Tau_j))),Resal+(Salim-Resal)*(1-EXP((Tnet-t)/(Tau_j))))*Salcycl</f>
        <v>3.2300953827737115E-2</v>
      </c>
      <c r="P111" s="339">
        <f>(INDEX(Models!$BJ111:$BT111,,T111)*(1-R111)+INDEX(Models!$BJ111:$BT111,,T111+1)*R111-ERP_i)*Q111*Ramure*Pc/MaxiM</f>
        <v>1.290340138403465E-6</v>
      </c>
      <c r="Q111" s="305">
        <f t="shared" si="28"/>
        <v>0.5</v>
      </c>
      <c r="R111" s="177">
        <f t="shared" si="29"/>
        <v>3.0362666445926736E-2</v>
      </c>
      <c r="S111" s="811">
        <f t="shared" si="30"/>
        <v>0</v>
      </c>
      <c r="T111" s="176">
        <f t="shared" si="31"/>
        <v>6</v>
      </c>
      <c r="U111" s="251">
        <f t="shared" si="32"/>
        <v>3.0362666445926736E-2</v>
      </c>
      <c r="V111" s="383">
        <f t="shared" si="33"/>
        <v>53.452013185011303</v>
      </c>
      <c r="W111" s="402">
        <f t="shared" si="34"/>
        <v>0</v>
      </c>
      <c r="X111" s="157">
        <f t="shared" si="35"/>
        <v>44658</v>
      </c>
      <c r="Y111" s="385">
        <f t="shared" si="36"/>
        <v>37.749044132413886</v>
      </c>
      <c r="Z111" s="385">
        <f t="shared" si="37"/>
        <v>38.923655657579246</v>
      </c>
      <c r="AA111" s="386">
        <f t="shared" si="38"/>
        <v>41.842458278809616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6.9756958393349125E-2</v>
      </c>
      <c r="AD111" s="231">
        <f>(INDEX(Models!$BJ111:$BT111,,AH111)*(1-AF111)+INDEX(Models!$BJ111:$BT111,,AH111+1)*AF111-ERP_i)*AE111*Ramure*Pc/MaxiM</f>
        <v>1.290340138403465E-6</v>
      </c>
      <c r="AE111" s="305">
        <f t="shared" si="40"/>
        <v>0.5</v>
      </c>
      <c r="AF111" s="177">
        <f t="shared" si="41"/>
        <v>3.0362666445926736E-2</v>
      </c>
      <c r="AG111" s="811">
        <f t="shared" si="49"/>
        <v>0</v>
      </c>
      <c r="AH111" s="176">
        <f t="shared" si="42"/>
        <v>6</v>
      </c>
      <c r="AI111" s="225">
        <f t="shared" si="43"/>
        <v>3.0362666445926736E-2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44659</v>
      </c>
      <c r="B112" s="1140">
        <v>32.346000000000004</v>
      </c>
      <c r="C112" s="841"/>
      <c r="D112" s="393">
        <f t="shared" si="25"/>
        <v>33.353219169121715</v>
      </c>
      <c r="E112" s="385">
        <f t="shared" si="47"/>
        <v>34.469623699660126</v>
      </c>
      <c r="F112" s="385">
        <f t="shared" si="26"/>
        <v>34.469645088954124</v>
      </c>
      <c r="G112" s="110">
        <f t="shared" si="48"/>
        <v>0.60228234447679652</v>
      </c>
      <c r="H112" s="414" t="b">
        <f>Wh_hp&gt;='2021'!Maxi_hp</f>
        <v>0</v>
      </c>
      <c r="I112" s="380">
        <f>IF(H112,Wh_hp,'2021'!Maxi_hp)</f>
        <v>55.793489046232402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3.0198559365873567E-2</v>
      </c>
      <c r="M112" s="845"/>
      <c r="N112" s="845"/>
      <c r="O112" s="48">
        <f>IF(t&lt;Tnet,'2021'!Resal+('2021'!Salim-'2021'!Resal)*(1-EXP(('2021'!Tnet-t)/('2021'!Tau_j))),Resal+(Salim-Resal)*(1-EXP((Tnet-t)/(Tau_j))))*Salcycl</f>
        <v>3.2388068412519934E-2</v>
      </c>
      <c r="P112" s="339">
        <f>(INDEX(Models!$BJ112:$BT112,,T112)*(1-R112)+INDEX(Models!$BJ112:$BT112,,T112+1)*R112-ERP_i)*Q112*Ramure*Pc/MaxiM</f>
        <v>1.43695838111755E-6</v>
      </c>
      <c r="Q112" s="305">
        <f t="shared" si="28"/>
        <v>0.5</v>
      </c>
      <c r="R112" s="177">
        <f t="shared" si="29"/>
        <v>3.167652477367032E-2</v>
      </c>
      <c r="S112" s="811">
        <f t="shared" si="30"/>
        <v>0</v>
      </c>
      <c r="T112" s="176">
        <f t="shared" si="31"/>
        <v>6</v>
      </c>
      <c r="U112" s="251">
        <f t="shared" si="32"/>
        <v>3.167652477367032E-2</v>
      </c>
      <c r="V112" s="383">
        <f t="shared" si="33"/>
        <v>53.705664607759445</v>
      </c>
      <c r="W112" s="402">
        <f t="shared" si="34"/>
        <v>0</v>
      </c>
      <c r="X112" s="157">
        <f t="shared" si="35"/>
        <v>44659</v>
      </c>
      <c r="Y112" s="385">
        <f t="shared" si="36"/>
        <v>31.094777428299576</v>
      </c>
      <c r="Z112" s="385">
        <f t="shared" si="37"/>
        <v>32.063034890902571</v>
      </c>
      <c r="AA112" s="386">
        <f t="shared" si="38"/>
        <v>34.469623699660126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6.9817669891803449E-2</v>
      </c>
      <c r="AD112" s="231">
        <f>(INDEX(Models!$BJ112:$BT112,,AH112)*(1-AF112)+INDEX(Models!$BJ112:$BT112,,AH112+1)*AF112-ERP_i)*AE112*Ramure*Pc/MaxiM</f>
        <v>1.43695838111755E-6</v>
      </c>
      <c r="AE112" s="305">
        <f t="shared" si="40"/>
        <v>0.5</v>
      </c>
      <c r="AF112" s="177">
        <f t="shared" si="41"/>
        <v>3.167652477367032E-2</v>
      </c>
      <c r="AG112" s="811">
        <f t="shared" si="49"/>
        <v>0</v>
      </c>
      <c r="AH112" s="176">
        <f t="shared" si="42"/>
        <v>6</v>
      </c>
      <c r="AI112" s="225">
        <f t="shared" si="43"/>
        <v>3.167652477367032E-2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44660</v>
      </c>
      <c r="B113" s="1140">
        <v>36.015000000000001</v>
      </c>
      <c r="C113" s="841"/>
      <c r="D113" s="393">
        <f t="shared" si="25"/>
        <v>37.137281230122639</v>
      </c>
      <c r="E113" s="385">
        <f t="shared" si="47"/>
        <v>38.383815768821918</v>
      </c>
      <c r="F113" s="385">
        <f t="shared" si="26"/>
        <v>38.383848667955164</v>
      </c>
      <c r="G113" s="110">
        <f t="shared" si="48"/>
        <v>0.66751921901800881</v>
      </c>
      <c r="H113" s="414" t="b">
        <f>Wh_hp&gt;='2021'!Maxi_hp</f>
        <v>0</v>
      </c>
      <c r="I113" s="380">
        <f>IF(H113,Wh_hp,'2021'!Maxi_hp)</f>
        <v>41.648731192226585</v>
      </c>
      <c r="J113" s="85">
        <f>IF(H113,An,'2021'!An_max)</f>
        <v>2019</v>
      </c>
      <c r="K113" s="197">
        <f t="shared" si="27"/>
        <v>44660</v>
      </c>
      <c r="L113" s="147">
        <f>IF(t&lt;Tvie,1-EXP((T0-t)*PertePVj)+'2021'!Pspv,1-EXP((T0-t)*PertePVj)+Pspv)</f>
        <v>3.02198005063532E-2</v>
      </c>
      <c r="M113" s="845"/>
      <c r="N113" s="845"/>
      <c r="O113" s="48">
        <f>IF(t&lt;Tnet,'2021'!Resal+('2021'!Salim-'2021'!Resal)*(1-EXP(('2021'!Tnet-t)/('2021'!Tau_j))),Resal+(Salim-Resal)*(1-EXP((Tnet-t)/(Tau_j))))*Salcycl</f>
        <v>3.2475524221117352E-2</v>
      </c>
      <c r="P113" s="339">
        <f>(INDEX(Models!$BJ113:$BT113,,T113)*(1-R113)+INDEX(Models!$BJ113:$BT113,,T113+1)*R113-ERP_i)*Q113*Ramure*Pc/MaxiM</f>
        <v>1.6325004561440989E-6</v>
      </c>
      <c r="Q113" s="305">
        <f t="shared" si="28"/>
        <v>0.5</v>
      </c>
      <c r="R113" s="177">
        <f t="shared" si="29"/>
        <v>3.3037663761236354E-2</v>
      </c>
      <c r="S113" s="811">
        <f t="shared" si="30"/>
        <v>0</v>
      </c>
      <c r="T113" s="176">
        <f t="shared" si="31"/>
        <v>6</v>
      </c>
      <c r="U113" s="251">
        <f t="shared" si="32"/>
        <v>3.3037663761236354E-2</v>
      </c>
      <c r="V113" s="383">
        <f t="shared" si="33"/>
        <v>53.953460886453932</v>
      </c>
      <c r="W113" s="402">
        <f t="shared" si="34"/>
        <v>0</v>
      </c>
      <c r="X113" s="157">
        <f t="shared" si="35"/>
        <v>44660</v>
      </c>
      <c r="Y113" s="385">
        <f t="shared" si="36"/>
        <v>34.622691436380805</v>
      </c>
      <c r="Z113" s="385">
        <f t="shared" si="37"/>
        <v>35.701586250635366</v>
      </c>
      <c r="AA113" s="386">
        <f t="shared" si="38"/>
        <v>38.383815768821918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6.9879178618954652E-2</v>
      </c>
      <c r="AD113" s="231">
        <f>(INDEX(Models!$BJ113:$BT113,,AH113)*(1-AF113)+INDEX(Models!$BJ113:$BT113,,AH113+1)*AF113-ERP_i)*AE113*Ramure*Pc/MaxiM</f>
        <v>1.6325004561440989E-6</v>
      </c>
      <c r="AE113" s="305">
        <f t="shared" si="40"/>
        <v>0.5</v>
      </c>
      <c r="AF113" s="177">
        <f t="shared" si="41"/>
        <v>3.3037663761236354E-2</v>
      </c>
      <c r="AG113" s="811">
        <f t="shared" si="49"/>
        <v>0</v>
      </c>
      <c r="AH113" s="176">
        <f t="shared" si="42"/>
        <v>6</v>
      </c>
      <c r="AI113" s="225">
        <f t="shared" si="43"/>
        <v>3.3037663761236354E-2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44661</v>
      </c>
      <c r="B114" s="1140">
        <v>54.231000000000002</v>
      </c>
      <c r="C114" s="841"/>
      <c r="D114" s="393">
        <f t="shared" si="25"/>
        <v>55.922143855291075</v>
      </c>
      <c r="E114" s="385">
        <f t="shared" si="47"/>
        <v>57.804449386609654</v>
      </c>
      <c r="F114" s="385">
        <f t="shared" si="26"/>
        <v>57.804561838176738</v>
      </c>
      <c r="G114" s="110">
        <f t="shared" si="48"/>
        <v>1.0006587548321233</v>
      </c>
      <c r="H114" s="414" t="b">
        <f>Wh_hp&gt;='2021'!Maxi_hp</f>
        <v>0</v>
      </c>
      <c r="I114" s="380">
        <f>IF(H114,Wh_hp,'2021'!Maxi_hp)</f>
        <v>58.06042842516851</v>
      </c>
      <c r="J114" s="85">
        <f>IF(H114,An,'2021'!An_max)</f>
        <v>2020</v>
      </c>
      <c r="K114" s="197">
        <f t="shared" si="27"/>
        <v>44661</v>
      </c>
      <c r="L114" s="147">
        <f>IF(t&lt;Tvie,1-EXP((T0-t)*PertePVj)+'2021'!Pspv,1-EXP((T0-t)*PertePVj)+Pspv)</f>
        <v>3.0241041181597428E-2</v>
      </c>
      <c r="M114" s="845"/>
      <c r="N114" s="845"/>
      <c r="O114" s="48">
        <f>IF(t&lt;Tnet,'2021'!Resal+('2021'!Salim-'2021'!Resal)*(1-EXP(('2021'!Tnet-t)/('2021'!Tau_j))),Resal+(Salim-Resal)*(1-EXP((Tnet-t)/(Tau_j))))*Salcycl</f>
        <v>3.2563332949152063E-2</v>
      </c>
      <c r="P114" s="339">
        <f>(INDEX(Models!$BJ114:$BT114,,T114)*(1-R114)+INDEX(Models!$BJ114:$BT114,,T114+1)*R114-ERP_i)*Q114*Ramure*Pc/MaxiM</f>
        <v>1.9453753044281275E-6</v>
      </c>
      <c r="Q114" s="305">
        <f t="shared" si="28"/>
        <v>0.5</v>
      </c>
      <c r="R114" s="177">
        <f t="shared" si="29"/>
        <v>3.4447469867578878E-2</v>
      </c>
      <c r="S114" s="811">
        <f t="shared" si="30"/>
        <v>0</v>
      </c>
      <c r="T114" s="176">
        <f t="shared" si="31"/>
        <v>6</v>
      </c>
      <c r="U114" s="251">
        <f t="shared" si="32"/>
        <v>3.4447469867578878E-2</v>
      </c>
      <c r="V114" s="383">
        <f t="shared" si="33"/>
        <v>54.195298585178648</v>
      </c>
      <c r="W114" s="402">
        <f t="shared" si="34"/>
        <v>0</v>
      </c>
      <c r="X114" s="157">
        <f t="shared" si="35"/>
        <v>44661</v>
      </c>
      <c r="Y114" s="385">
        <f t="shared" si="36"/>
        <v>52.135714872585297</v>
      </c>
      <c r="Z114" s="385">
        <f t="shared" si="37"/>
        <v>53.761519188345289</v>
      </c>
      <c r="AA114" s="386">
        <f t="shared" si="38"/>
        <v>57.804449386609654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6.994150521570236E-2</v>
      </c>
      <c r="AD114" s="231">
        <f>(INDEX(Models!$BJ114:$BT114,,AH114)*(1-AF114)+INDEX(Models!$BJ114:$BT114,,AH114+1)*AF114-ERP_i)*AE114*Ramure*Pc/MaxiM</f>
        <v>1.9453753044281275E-6</v>
      </c>
      <c r="AE114" s="305">
        <f t="shared" si="40"/>
        <v>0.5</v>
      </c>
      <c r="AF114" s="177">
        <f t="shared" si="41"/>
        <v>3.4447469867578878E-2</v>
      </c>
      <c r="AG114" s="811">
        <f t="shared" si="49"/>
        <v>0</v>
      </c>
      <c r="AH114" s="176">
        <f t="shared" si="42"/>
        <v>6</v>
      </c>
      <c r="AI114" s="225">
        <f t="shared" si="43"/>
        <v>3.4447469867578878E-2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44662</v>
      </c>
      <c r="B115" s="1140">
        <v>45.539000000000001</v>
      </c>
      <c r="C115" s="841"/>
      <c r="D115" s="393">
        <f t="shared" si="25"/>
        <v>46.960120377033974</v>
      </c>
      <c r="E115" s="385">
        <f t="shared" si="47"/>
        <v>48.545194069953119</v>
      </c>
      <c r="F115" s="385">
        <f t="shared" si="26"/>
        <v>48.545281638526603</v>
      </c>
      <c r="G115" s="110">
        <f t="shared" si="48"/>
        <v>0.83663553331576745</v>
      </c>
      <c r="H115" s="414" t="b">
        <f>Wh_hp&gt;='2021'!Maxi_hp</f>
        <v>0</v>
      </c>
      <c r="I115" s="380">
        <f>IF(H115,Wh_hp,'2021'!Maxi_hp)</f>
        <v>59.123099904366789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3.0262281391616241E-2</v>
      </c>
      <c r="M115" s="845"/>
      <c r="N115" s="845"/>
      <c r="O115" s="48">
        <f>IF(t&lt;Tnet,'2021'!Resal+('2021'!Salim-'2021'!Resal)*(1-EXP(('2021'!Tnet-t)/('2021'!Tau_j))),Resal+(Salim-Resal)*(1-EXP((Tnet-t)/(Tau_j))))*Salcycl</f>
        <v>3.2651505947943547E-2</v>
      </c>
      <c r="P115" s="339">
        <f>(INDEX(Models!$BJ115:$BT115,,T115)*(1-R115)+INDEX(Models!$BJ115:$BT115,,T115+1)*R115-ERP_i)*Q115*Ramure*Pc/MaxiM</f>
        <v>2.3529868066550127E-6</v>
      </c>
      <c r="Q115" s="305">
        <f t="shared" si="28"/>
        <v>0.5</v>
      </c>
      <c r="R115" s="177">
        <f t="shared" si="29"/>
        <v>3.5907345333475983E-2</v>
      </c>
      <c r="S115" s="811">
        <f t="shared" si="30"/>
        <v>0</v>
      </c>
      <c r="T115" s="176">
        <f t="shared" si="31"/>
        <v>6</v>
      </c>
      <c r="U115" s="251">
        <f t="shared" si="32"/>
        <v>3.5907345333475983E-2</v>
      </c>
      <c r="V115" s="383">
        <f t="shared" si="33"/>
        <v>54.431079220948099</v>
      </c>
      <c r="W115" s="402">
        <f t="shared" si="34"/>
        <v>0</v>
      </c>
      <c r="X115" s="157">
        <f t="shared" si="35"/>
        <v>44662</v>
      </c>
      <c r="Y115" s="385">
        <f t="shared" si="36"/>
        <v>43.780558524714884</v>
      </c>
      <c r="Z115" s="385">
        <f t="shared" si="37"/>
        <v>45.146803805406179</v>
      </c>
      <c r="AA115" s="386">
        <f t="shared" si="38"/>
        <v>48.545194069953119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7.000466945605148E-2</v>
      </c>
      <c r="AD115" s="231">
        <f>(INDEX(Models!$BJ115:$BT115,,AH115)*(1-AF115)+INDEX(Models!$BJ115:$BT115,,AH115+1)*AF115-ERP_i)*AE115*Ramure*Pc/MaxiM</f>
        <v>2.3529868066550127E-6</v>
      </c>
      <c r="AE115" s="305">
        <f t="shared" si="40"/>
        <v>0.5</v>
      </c>
      <c r="AF115" s="177">
        <f t="shared" si="41"/>
        <v>3.5907345333475983E-2</v>
      </c>
      <c r="AG115" s="811">
        <f t="shared" si="49"/>
        <v>0</v>
      </c>
      <c r="AH115" s="176">
        <f t="shared" si="42"/>
        <v>6</v>
      </c>
      <c r="AI115" s="225">
        <f t="shared" si="43"/>
        <v>3.5907345333475983E-2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44663</v>
      </c>
      <c r="B116" s="1140">
        <v>36.93</v>
      </c>
      <c r="C116" s="841"/>
      <c r="D116" s="393">
        <f t="shared" si="25"/>
        <v>38.08329630870935</v>
      </c>
      <c r="E116" s="385">
        <f t="shared" si="47"/>
        <v>39.372349153953394</v>
      </c>
      <c r="F116" s="385">
        <f t="shared" si="26"/>
        <v>39.372409486062331</v>
      </c>
      <c r="G116" s="110">
        <f t="shared" si="48"/>
        <v>0.67562158918017146</v>
      </c>
      <c r="H116" s="414" t="b">
        <f>Wh_hp&gt;='2021'!Maxi_hp</f>
        <v>0</v>
      </c>
      <c r="I116" s="380">
        <f>IF(H116,Wh_hp,'2021'!Maxi_hp)</f>
        <v>58.323508945597986</v>
      </c>
      <c r="J116" s="85">
        <f>IF(H116,An,'2021'!An_max)</f>
        <v>2019</v>
      </c>
      <c r="K116" s="197">
        <f t="shared" si="27"/>
        <v>44663</v>
      </c>
      <c r="L116" s="147">
        <f>IF(t&lt;Tvie,1-EXP((T0-t)*PertePVj)+'2021'!Pspv,1-EXP((T0-t)*PertePVj)+Pspv)</f>
        <v>3.0283521136420077E-2</v>
      </c>
      <c r="M116" s="845"/>
      <c r="N116" s="845"/>
      <c r="O116" s="48">
        <f>IF(t&lt;Tnet,'2021'!Resal+('2021'!Salim-'2021'!Resal)*(1-EXP(('2021'!Tnet-t)/('2021'!Tau_j))),Resal+(Salim-Resal)*(1-EXP((Tnet-t)/(Tau_j))))*Salcycl</f>
        <v>3.27400541990421E-2</v>
      </c>
      <c r="P116" s="339">
        <f>(INDEX(Models!$BJ116:$BT116,,T116)*(1-R116)+INDEX(Models!$BJ116:$BT116,,T116+1)*R116-ERP_i)*Q116*Ramure*Pc/MaxiM</f>
        <v>2.8556368254349492E-6</v>
      </c>
      <c r="Q116" s="305">
        <f t="shared" si="28"/>
        <v>0.5</v>
      </c>
      <c r="R116" s="177">
        <f t="shared" si="29"/>
        <v>3.7418706202104308E-2</v>
      </c>
      <c r="S116" s="811">
        <f t="shared" si="30"/>
        <v>0</v>
      </c>
      <c r="T116" s="176">
        <f t="shared" si="31"/>
        <v>6</v>
      </c>
      <c r="U116" s="251">
        <f t="shared" si="32"/>
        <v>3.7418706202104308E-2</v>
      </c>
      <c r="V116" s="383">
        <f t="shared" si="33"/>
        <v>54.660703154209287</v>
      </c>
      <c r="W116" s="402">
        <f t="shared" si="34"/>
        <v>0</v>
      </c>
      <c r="X116" s="157">
        <f t="shared" si="35"/>
        <v>44663</v>
      </c>
      <c r="Y116" s="385">
        <f t="shared" si="36"/>
        <v>35.504792088165551</v>
      </c>
      <c r="Z116" s="385">
        <f t="shared" si="37"/>
        <v>36.613580218595395</v>
      </c>
      <c r="AA116" s="386">
        <f t="shared" si="38"/>
        <v>39.372349153953394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7.0068690201102568E-2</v>
      </c>
      <c r="AD116" s="231">
        <f>(INDEX(Models!$BJ116:$BT116,,AH116)*(1-AF116)+INDEX(Models!$BJ116:$BT116,,AH116+1)*AF116-ERP_i)*AE116*Ramure*Pc/MaxiM</f>
        <v>2.8556368254349492E-6</v>
      </c>
      <c r="AE116" s="305">
        <f t="shared" si="40"/>
        <v>0.5</v>
      </c>
      <c r="AF116" s="177">
        <f t="shared" si="41"/>
        <v>3.7418706202104308E-2</v>
      </c>
      <c r="AG116" s="811">
        <f t="shared" si="49"/>
        <v>0</v>
      </c>
      <c r="AH116" s="176">
        <f t="shared" si="42"/>
        <v>6</v>
      </c>
      <c r="AI116" s="225">
        <f t="shared" si="43"/>
        <v>3.7418706202104308E-2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44664</v>
      </c>
      <c r="B117" s="1140">
        <v>7.4050000000000002</v>
      </c>
      <c r="C117" s="841"/>
      <c r="D117" s="393">
        <f t="shared" si="25"/>
        <v>7.6364198747401248</v>
      </c>
      <c r="E117" s="385">
        <f t="shared" si="47"/>
        <v>7.8956252640625726</v>
      </c>
      <c r="F117" s="385">
        <f t="shared" si="26"/>
        <v>7.8956252640625726</v>
      </c>
      <c r="G117" s="110">
        <f t="shared" si="48"/>
        <v>0.13492028407044807</v>
      </c>
      <c r="H117" s="414" t="b">
        <f>Wh_hp&gt;='2021'!Maxi_hp</f>
        <v>0</v>
      </c>
      <c r="I117" s="380">
        <f>IF(H117,Wh_hp,'2021'!Maxi_hp)</f>
        <v>59.034851740298983</v>
      </c>
      <c r="J117" s="85">
        <f>IF(H117,An,'2021'!An_max)</f>
        <v>2019</v>
      </c>
      <c r="K117" s="197">
        <f t="shared" si="27"/>
        <v>44664</v>
      </c>
      <c r="L117" s="147">
        <f>IF(t&lt;Tvie,1-EXP((T0-t)*PertePVj)+'2021'!Pspv,1-EXP((T0-t)*PertePVj)+Pspv)</f>
        <v>3.0304760416018928E-2</v>
      </c>
      <c r="M117" s="845"/>
      <c r="N117" s="845"/>
      <c r="O117" s="48">
        <f>IF(t&lt;Tnet,'2021'!Resal+('2021'!Salim-'2021'!Resal)*(1-EXP(('2021'!Tnet-t)/('2021'!Tau_j))),Resal+(Salim-Resal)*(1-EXP((Tnet-t)/(Tau_j))))*Salcycl</f>
        <v>3.2828988288266039E-2</v>
      </c>
      <c r="P117" s="339">
        <f>(INDEX(Models!$BJ117:$BT117,,T117)*(1-R117)+INDEX(Models!$BJ117:$BT117,,T117+1)*R117-ERP_i)*Q117*Ramure*Pc/MaxiM</f>
        <v>3.4538091864637475E-6</v>
      </c>
      <c r="Q117" s="305">
        <f t="shared" si="28"/>
        <v>0.5</v>
      </c>
      <c r="R117" s="177">
        <f t="shared" si="29"/>
        <v>3.8982980135025859E-2</v>
      </c>
      <c r="S117" s="811">
        <f t="shared" si="30"/>
        <v>0</v>
      </c>
      <c r="T117" s="176">
        <f t="shared" si="31"/>
        <v>6</v>
      </c>
      <c r="U117" s="251">
        <f t="shared" si="32"/>
        <v>3.8982980135025859E-2</v>
      </c>
      <c r="V117" s="383">
        <f t="shared" si="33"/>
        <v>54.884070809371387</v>
      </c>
      <c r="W117" s="402">
        <f t="shared" si="34"/>
        <v>0</v>
      </c>
      <c r="X117" s="157">
        <f t="shared" si="35"/>
        <v>44664</v>
      </c>
      <c r="Y117" s="385">
        <f t="shared" si="36"/>
        <v>7.1193829396094728</v>
      </c>
      <c r="Z117" s="385">
        <f t="shared" si="37"/>
        <v>7.3418767556947406</v>
      </c>
      <c r="AA117" s="386">
        <f t="shared" si="38"/>
        <v>7.8956252640625726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7.0133585352416941E-2</v>
      </c>
      <c r="AD117" s="231">
        <f>(INDEX(Models!$BJ117:$BT117,,AH117)*(1-AF117)+INDEX(Models!$BJ117:$BT117,,AH117+1)*AF117-ERP_i)*AE117*Ramure*Pc/MaxiM</f>
        <v>3.4538091864637475E-6</v>
      </c>
      <c r="AE117" s="305">
        <f t="shared" si="40"/>
        <v>0.5</v>
      </c>
      <c r="AF117" s="177">
        <f t="shared" si="41"/>
        <v>3.8982980135025859E-2</v>
      </c>
      <c r="AG117" s="811">
        <f t="shared" si="49"/>
        <v>0</v>
      </c>
      <c r="AH117" s="176">
        <f t="shared" si="42"/>
        <v>6</v>
      </c>
      <c r="AI117" s="225">
        <f t="shared" si="43"/>
        <v>3.8982980135025859E-2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44665</v>
      </c>
      <c r="B118" s="1140">
        <v>40.027000000000001</v>
      </c>
      <c r="C118" s="841"/>
      <c r="D118" s="393">
        <f t="shared" si="25"/>
        <v>41.278821509324544</v>
      </c>
      <c r="E118" s="385">
        <f t="shared" si="47"/>
        <v>42.683903845782091</v>
      </c>
      <c r="F118" s="385">
        <f t="shared" si="26"/>
        <v>42.684011708219742</v>
      </c>
      <c r="G118" s="110">
        <f t="shared" si="48"/>
        <v>0.72642737971296556</v>
      </c>
      <c r="H118" s="414" t="b">
        <f>Wh_hp&gt;='2021'!Maxi_hp</f>
        <v>0</v>
      </c>
      <c r="I118" s="380">
        <f>IF(H118,Wh_hp,'2021'!Maxi_hp)</f>
        <v>57.514245582008527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3.0325999230423006E-2</v>
      </c>
      <c r="M118" s="845"/>
      <c r="N118" s="845"/>
      <c r="O118" s="48">
        <f>IF(t&lt;Tnet,'2021'!Resal+('2021'!Salim-'2021'!Resal)*(1-EXP(('2021'!Tnet-t)/('2021'!Tau_j))),Resal+(Salim-Resal)*(1-EXP((Tnet-t)/(Tau_j))))*Salcycl</f>
        <v>3.2918318379081365E-2</v>
      </c>
      <c r="P118" s="339">
        <f>(INDEX(Models!$BJ118:$BT118,,T118)*(1-R118)+INDEX(Models!$BJ118:$BT118,,T118+1)*R118-ERP_i)*Q118*Ramure*Pc/MaxiM</f>
        <v>4.1481720359632601E-6</v>
      </c>
      <c r="Q118" s="305">
        <f t="shared" si="28"/>
        <v>0.5</v>
      </c>
      <c r="R118" s="177">
        <f t="shared" si="29"/>
        <v>4.0601604014589433E-2</v>
      </c>
      <c r="S118" s="811">
        <f t="shared" si="30"/>
        <v>0</v>
      </c>
      <c r="T118" s="176">
        <f t="shared" si="31"/>
        <v>6</v>
      </c>
      <c r="U118" s="251">
        <f t="shared" si="32"/>
        <v>4.0601604014589433E-2</v>
      </c>
      <c r="V118" s="383">
        <f t="shared" si="33"/>
        <v>55.101082677999607</v>
      </c>
      <c r="W118" s="402">
        <f t="shared" si="34"/>
        <v>0</v>
      </c>
      <c r="X118" s="157">
        <f t="shared" si="35"/>
        <v>44665</v>
      </c>
      <c r="Y118" s="385">
        <f t="shared" si="36"/>
        <v>38.483956890182377</v>
      </c>
      <c r="Z118" s="385">
        <f t="shared" si="37"/>
        <v>39.687520609647954</v>
      </c>
      <c r="AA118" s="386">
        <f t="shared" si="38"/>
        <v>42.683903845782091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7.0199371804419139E-2</v>
      </c>
      <c r="AD118" s="231">
        <f>(INDEX(Models!$BJ118:$BT118,,AH118)*(1-AF118)+INDEX(Models!$BJ118:$BT118,,AH118+1)*AF118-ERP_i)*AE118*Ramure*Pc/MaxiM</f>
        <v>4.1481720359632601E-6</v>
      </c>
      <c r="AE118" s="305">
        <f t="shared" si="40"/>
        <v>0.5</v>
      </c>
      <c r="AF118" s="177">
        <f t="shared" si="41"/>
        <v>4.0601604014589433E-2</v>
      </c>
      <c r="AG118" s="811">
        <f t="shared" si="49"/>
        <v>0</v>
      </c>
      <c r="AH118" s="176">
        <f t="shared" si="42"/>
        <v>6</v>
      </c>
      <c r="AI118" s="225">
        <f t="shared" si="43"/>
        <v>4.0601604014589433E-2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44666</v>
      </c>
      <c r="B119" s="1140">
        <v>45.87</v>
      </c>
      <c r="C119" s="841"/>
      <c r="D119" s="393">
        <f t="shared" si="25"/>
        <v>47.305594103092695</v>
      </c>
      <c r="E119" s="385">
        <f t="shared" si="47"/>
        <v>48.920359996619361</v>
      </c>
      <c r="F119" s="385">
        <f t="shared" si="26"/>
        <v>48.920542716591271</v>
      </c>
      <c r="G119" s="110">
        <f t="shared" si="48"/>
        <v>0.82930004080272202</v>
      </c>
      <c r="H119" s="414" t="b">
        <f>Wh_hp&gt;='2021'!Maxi_hp</f>
        <v>0</v>
      </c>
      <c r="I119" s="380">
        <f>IF(H119,Wh_hp,'2021'!Maxi_hp)</f>
        <v>58.00017289991299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3.0347237579642639E-2</v>
      </c>
      <c r="M119" s="845"/>
      <c r="N119" s="845"/>
      <c r="O119" s="48">
        <f>IF(t&lt;Tnet,'2021'!Resal+('2021'!Salim-'2021'!Resal)*(1-EXP(('2021'!Tnet-t)/('2021'!Tau_j))),Resal+(Salim-Resal)*(1-EXP((Tnet-t)/(Tau_j))))*Salcycl</f>
        <v>3.3008054185174759E-2</v>
      </c>
      <c r="P119" s="339">
        <f>(INDEX(Models!$BJ119:$BT119,,T119)*(1-R119)+INDEX(Models!$BJ119:$BT119,,T119+1)*R119-ERP_i)*Q119*Ramure*Pc/MaxiM</f>
        <v>4.9395802593220417E-6</v>
      </c>
      <c r="Q119" s="305">
        <f t="shared" si="28"/>
        <v>0.5</v>
      </c>
      <c r="R119" s="177">
        <f t="shared" si="29"/>
        <v>4.2276021324120935E-2</v>
      </c>
      <c r="S119" s="811">
        <f t="shared" si="30"/>
        <v>0</v>
      </c>
      <c r="T119" s="176">
        <f t="shared" si="31"/>
        <v>6</v>
      </c>
      <c r="U119" s="251">
        <f t="shared" si="32"/>
        <v>4.2276021324120935E-2</v>
      </c>
      <c r="V119" s="383">
        <f t="shared" si="33"/>
        <v>55.311639322884055</v>
      </c>
      <c r="W119" s="402">
        <f t="shared" si="34"/>
        <v>0</v>
      </c>
      <c r="X119" s="157">
        <f t="shared" si="35"/>
        <v>44666</v>
      </c>
      <c r="Y119" s="385">
        <f t="shared" si="36"/>
        <v>44.102637839833555</v>
      </c>
      <c r="Z119" s="385">
        <f t="shared" si="37"/>
        <v>45.482918781924198</v>
      </c>
      <c r="AA119" s="386">
        <f t="shared" si="38"/>
        <v>48.920359996619361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7.0266065395526753E-2</v>
      </c>
      <c r="AD119" s="231">
        <f>(INDEX(Models!$BJ119:$BT119,,AH119)*(1-AF119)+INDEX(Models!$BJ119:$BT119,,AH119+1)*AF119-ERP_i)*AE119*Ramure*Pc/MaxiM</f>
        <v>4.9395802593220417E-6</v>
      </c>
      <c r="AE119" s="305">
        <f t="shared" si="40"/>
        <v>0.5</v>
      </c>
      <c r="AF119" s="177">
        <f t="shared" si="41"/>
        <v>4.2276021324120935E-2</v>
      </c>
      <c r="AG119" s="811">
        <f t="shared" si="49"/>
        <v>0</v>
      </c>
      <c r="AH119" s="176">
        <f t="shared" si="42"/>
        <v>6</v>
      </c>
      <c r="AI119" s="225">
        <f t="shared" si="43"/>
        <v>4.2276021324120935E-2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44667</v>
      </c>
      <c r="B120" s="1140">
        <v>44.261000000000003</v>
      </c>
      <c r="C120" s="841"/>
      <c r="D120" s="393">
        <f t="shared" si="25"/>
        <v>45.647236996720039</v>
      </c>
      <c r="E120" s="385">
        <f t="shared" si="47"/>
        <v>47.209796517117738</v>
      </c>
      <c r="F120" s="385">
        <f t="shared" si="26"/>
        <v>47.209992008992373</v>
      </c>
      <c r="G120" s="110">
        <f t="shared" si="48"/>
        <v>0.79726945736949117</v>
      </c>
      <c r="H120" s="414" t="b">
        <f>Wh_hp&gt;='2021'!Maxi_hp</f>
        <v>0</v>
      </c>
      <c r="I120" s="380">
        <f>IF(H120,Wh_hp,'2021'!Maxi_hp)</f>
        <v>52.848516926149152</v>
      </c>
      <c r="J120" s="85">
        <f>IF(H120,An,'2021'!An_max)</f>
        <v>2020</v>
      </c>
      <c r="K120" s="197">
        <f t="shared" si="27"/>
        <v>44667</v>
      </c>
      <c r="L120" s="147">
        <f>IF(t&lt;Tvie,1-EXP((T0-t)*PertePVj)+'2021'!Pspv,1-EXP((T0-t)*PertePVj)+Pspv)</f>
        <v>3.0368475463687816E-2</v>
      </c>
      <c r="M120" s="845"/>
      <c r="N120" s="845"/>
      <c r="O120" s="48">
        <f>IF(t&lt;Tnet,'2021'!Resal+('2021'!Salim-'2021'!Resal)*(1-EXP(('2021'!Tnet-t)/('2021'!Tau_j))),Resal+(Salim-Resal)*(1-EXP((Tnet-t)/(Tau_j))))*Salcycl</f>
        <v>3.3098204942085041E-2</v>
      </c>
      <c r="P120" s="339">
        <f>(INDEX(Models!$BJ120:$BT120,,T120)*(1-R120)+INDEX(Models!$BJ120:$BT120,,T120+1)*R120-ERP_i)*Q120*Ramure*Pc/MaxiM</f>
        <v>5.8290779559670757E-6</v>
      </c>
      <c r="Q120" s="305">
        <f t="shared" si="28"/>
        <v>0.5</v>
      </c>
      <c r="R120" s="177">
        <f t="shared" si="29"/>
        <v>4.4007679297763329E-2</v>
      </c>
      <c r="S120" s="811">
        <f t="shared" si="30"/>
        <v>0</v>
      </c>
      <c r="T120" s="176">
        <f t="shared" si="31"/>
        <v>6</v>
      </c>
      <c r="U120" s="251">
        <f t="shared" si="32"/>
        <v>4.4007679297763329E-2</v>
      </c>
      <c r="V120" s="383">
        <f t="shared" si="33"/>
        <v>55.51564138089276</v>
      </c>
      <c r="W120" s="402">
        <f t="shared" si="34"/>
        <v>0</v>
      </c>
      <c r="X120" s="157">
        <f t="shared" si="35"/>
        <v>44667</v>
      </c>
      <c r="Y120" s="385">
        <f t="shared" si="36"/>
        <v>42.556504871408563</v>
      </c>
      <c r="Z120" s="385">
        <f t="shared" si="37"/>
        <v>43.889357755524216</v>
      </c>
      <c r="AA120" s="386">
        <f t="shared" si="38"/>
        <v>47.209796517117738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7.0333680857734032E-2</v>
      </c>
      <c r="AD120" s="231">
        <f>(INDEX(Models!$BJ120:$BT120,,AH120)*(1-AF120)+INDEX(Models!$BJ120:$BT120,,AH120+1)*AF120-ERP_i)*AE120*Ramure*Pc/MaxiM</f>
        <v>5.8290779559670757E-6</v>
      </c>
      <c r="AE120" s="305">
        <f t="shared" si="40"/>
        <v>0.5</v>
      </c>
      <c r="AF120" s="177">
        <f t="shared" si="41"/>
        <v>4.4007679297763329E-2</v>
      </c>
      <c r="AG120" s="811">
        <f t="shared" si="49"/>
        <v>0</v>
      </c>
      <c r="AH120" s="176">
        <f t="shared" si="42"/>
        <v>6</v>
      </c>
      <c r="AI120" s="225">
        <f t="shared" si="43"/>
        <v>4.4007679297763329E-2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44668</v>
      </c>
      <c r="B121" s="1140">
        <v>54.061</v>
      </c>
      <c r="C121" s="841"/>
      <c r="D121" s="393">
        <f t="shared" si="25"/>
        <v>55.755390302962596</v>
      </c>
      <c r="E121" s="385">
        <f t="shared" si="47"/>
        <v>57.669366173759727</v>
      </c>
      <c r="F121" s="385">
        <f t="shared" si="26"/>
        <v>57.669742711750253</v>
      </c>
      <c r="G121" s="110">
        <f t="shared" si="48"/>
        <v>0.97035494690915869</v>
      </c>
      <c r="H121" s="414" t="b">
        <f>Wh_hp&gt;='2021'!Maxi_hp</f>
        <v>1</v>
      </c>
      <c r="I121" s="380">
        <f>IF(H121,Wh_hp,'2021'!Maxi_hp)</f>
        <v>57.669742711750253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3.0389712882568864E-2</v>
      </c>
      <c r="M121" s="845"/>
      <c r="N121" s="845"/>
      <c r="O121" s="48">
        <f>IF(t&lt;Tnet,'2021'!Resal+('2021'!Salim-'2021'!Resal)*(1-EXP(('2021'!Tnet-t)/('2021'!Tau_j))),Resal+(Salim-Resal)*(1-EXP((Tnet-t)/(Tau_j))))*Salcycl</f>
        <v>3.3188779377776791E-2</v>
      </c>
      <c r="P121" s="339">
        <f>(INDEX(Models!$BJ121:$BT121,,T121)*(1-R121)+INDEX(Models!$BJ121:$BT121,,T121+1)*R121-ERP_i)*Q121*Ramure*Pc/MaxiM</f>
        <v>6.8179502296900841E-6</v>
      </c>
      <c r="Q121" s="305">
        <f t="shared" si="28"/>
        <v>0.5</v>
      </c>
      <c r="R121" s="177">
        <f t="shared" si="29"/>
        <v>4.5798025832440116E-2</v>
      </c>
      <c r="S121" s="811">
        <f t="shared" si="30"/>
        <v>0</v>
      </c>
      <c r="T121" s="176">
        <f t="shared" si="31"/>
        <v>6</v>
      </c>
      <c r="U121" s="251">
        <f t="shared" si="32"/>
        <v>4.5798025832440116E-2</v>
      </c>
      <c r="V121" s="383">
        <f t="shared" si="33"/>
        <v>55.712586989567981</v>
      </c>
      <c r="W121" s="402">
        <f t="shared" si="34"/>
        <v>0</v>
      </c>
      <c r="X121" s="157">
        <f t="shared" si="35"/>
        <v>44668</v>
      </c>
      <c r="Y121" s="385">
        <f t="shared" si="36"/>
        <v>51.980142427640175</v>
      </c>
      <c r="Z121" s="385">
        <f t="shared" si="37"/>
        <v>53.609314090687626</v>
      </c>
      <c r="AA121" s="386">
        <f t="shared" si="38"/>
        <v>57.669366173759727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7.040223176441765E-2</v>
      </c>
      <c r="AD121" s="231">
        <f>(INDEX(Models!$BJ121:$BT121,,AH121)*(1-AF121)+INDEX(Models!$BJ121:$BT121,,AH121+1)*AF121-ERP_i)*AE121*Ramure*Pc/MaxiM</f>
        <v>6.8179502296900841E-6</v>
      </c>
      <c r="AE121" s="305">
        <f t="shared" si="40"/>
        <v>0.5</v>
      </c>
      <c r="AF121" s="177">
        <f t="shared" si="41"/>
        <v>4.5798025832440116E-2</v>
      </c>
      <c r="AG121" s="811">
        <f t="shared" si="49"/>
        <v>0</v>
      </c>
      <c r="AH121" s="176">
        <f t="shared" si="42"/>
        <v>6</v>
      </c>
      <c r="AI121" s="225">
        <f t="shared" si="43"/>
        <v>4.5798025832440116E-2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44669</v>
      </c>
      <c r="B122" s="1140">
        <v>37.393999999999998</v>
      </c>
      <c r="C122" s="841"/>
      <c r="D122" s="393">
        <f t="shared" si="25"/>
        <v>38.566854683111828</v>
      </c>
      <c r="E122" s="385">
        <f t="shared" si="47"/>
        <v>39.894536301097581</v>
      </c>
      <c r="F122" s="385">
        <f t="shared" si="26"/>
        <v>39.89470501233572</v>
      </c>
      <c r="G122" s="110">
        <f t="shared" si="48"/>
        <v>0.66891524370422628</v>
      </c>
      <c r="H122" s="414" t="b">
        <f>Wh_hp&gt;='2021'!Maxi_hp</f>
        <v>0</v>
      </c>
      <c r="I122" s="380">
        <f>IF(H122,Wh_hp,'2021'!Maxi_hp)</f>
        <v>42.565319321773202</v>
      </c>
      <c r="J122" s="85">
        <f>IF(H122,An,'2021'!An_max)</f>
        <v>2021</v>
      </c>
      <c r="K122" s="197">
        <f t="shared" si="27"/>
        <v>44669</v>
      </c>
      <c r="L122" s="147">
        <f>IF(t&lt;Tvie,1-EXP((T0-t)*PertePVj)+'2021'!Pspv,1-EXP((T0-t)*PertePVj)+Pspv)</f>
        <v>3.0410949836295886E-2</v>
      </c>
      <c r="M122" s="845"/>
      <c r="N122" s="845"/>
      <c r="O122" s="48">
        <f>IF(t&lt;Tnet,'2021'!Resal+('2021'!Salim-'2021'!Resal)*(1-EXP(('2021'!Tnet-t)/('2021'!Tau_j))),Resal+(Salim-Resal)*(1-EXP((Tnet-t)/(Tau_j))))*Salcycl</f>
        <v>3.3279785682061629E-2</v>
      </c>
      <c r="P122" s="339">
        <f>(INDEX(Models!$BJ122:$BT122,,T122)*(1-R122)+INDEX(Models!$BJ122:$BT122,,T122+1)*R122-ERP_i)*Q122*Ramure*Pc/MaxiM</f>
        <v>8.0241161235100317E-6</v>
      </c>
      <c r="Q122" s="305">
        <f t="shared" si="28"/>
        <v>0.5</v>
      </c>
      <c r="R122" s="177">
        <f t="shared" si="29"/>
        <v>4.7648506155163028E-2</v>
      </c>
      <c r="S122" s="811">
        <f t="shared" si="30"/>
        <v>0</v>
      </c>
      <c r="T122" s="176">
        <f t="shared" si="31"/>
        <v>6</v>
      </c>
      <c r="U122" s="251">
        <f t="shared" si="32"/>
        <v>4.7648506155163028E-2</v>
      </c>
      <c r="V122" s="383">
        <f t="shared" si="33"/>
        <v>55.902236394705398</v>
      </c>
      <c r="W122" s="402">
        <f t="shared" si="34"/>
        <v>0</v>
      </c>
      <c r="X122" s="157">
        <f t="shared" si="35"/>
        <v>44669</v>
      </c>
      <c r="Y122" s="385">
        <f t="shared" si="36"/>
        <v>35.955367019088762</v>
      </c>
      <c r="Z122" s="385">
        <f t="shared" si="37"/>
        <v>37.083099291414342</v>
      </c>
      <c r="AA122" s="386">
        <f t="shared" si="38"/>
        <v>39.894536301097581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7.0471730476182715E-2</v>
      </c>
      <c r="AD122" s="231">
        <f>(INDEX(Models!$BJ122:$BT122,,AH122)*(1-AF122)+INDEX(Models!$BJ122:$BT122,,AH122+1)*AF122-ERP_i)*AE122*Ramure*Pc/MaxiM</f>
        <v>8.0241161235100317E-6</v>
      </c>
      <c r="AE122" s="305">
        <f t="shared" si="40"/>
        <v>0.5</v>
      </c>
      <c r="AF122" s="177">
        <f t="shared" si="41"/>
        <v>4.7648506155163028E-2</v>
      </c>
      <c r="AG122" s="811">
        <f t="shared" si="49"/>
        <v>0</v>
      </c>
      <c r="AH122" s="176">
        <f t="shared" si="42"/>
        <v>6</v>
      </c>
      <c r="AI122" s="225">
        <f t="shared" si="43"/>
        <v>4.7648506155163028E-2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44670</v>
      </c>
      <c r="B123" s="1140">
        <v>8.9390000000000001</v>
      </c>
      <c r="C123" s="841"/>
      <c r="D123" s="393">
        <f t="shared" si="25"/>
        <v>9.2195717245573157</v>
      </c>
      <c r="E123" s="385">
        <f t="shared" si="47"/>
        <v>9.5378619225493679</v>
      </c>
      <c r="F123" s="385">
        <f t="shared" si="26"/>
        <v>9.5378619225493679</v>
      </c>
      <c r="G123" s="110">
        <f t="shared" si="48"/>
        <v>0.1593818770657108</v>
      </c>
      <c r="H123" s="414" t="b">
        <f>Wh_hp&gt;='2021'!Maxi_hp</f>
        <v>0</v>
      </c>
      <c r="I123" s="380">
        <f>IF(H123,Wh_hp,'2021'!Maxi_hp)</f>
        <v>57.730407119667383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3.0432186324879207E-2</v>
      </c>
      <c r="M123" s="845"/>
      <c r="N123" s="845"/>
      <c r="O123" s="48">
        <f>IF(t&lt;Tnet,'2021'!Resal+('2021'!Salim-'2021'!Resal)*(1-EXP(('2021'!Tnet-t)/('2021'!Tau_j))),Resal+(Salim-Resal)*(1-EXP((Tnet-t)/(Tau_j))))*Salcycl</f>
        <v>3.3371231474797577E-2</v>
      </c>
      <c r="P123" s="339">
        <f>(INDEX(Models!$BJ123:$BT123,,T123)*(1-R123)+INDEX(Models!$BJ123:$BT123,,T123+1)*R123-ERP_i)*Q123*Ramure*Pc/MaxiM</f>
        <v>9.4225141199939399E-6</v>
      </c>
      <c r="Q123" s="305">
        <f t="shared" si="28"/>
        <v>0.5</v>
      </c>
      <c r="R123" s="177">
        <f t="shared" si="29"/>
        <v>4.9560559239799885E-2</v>
      </c>
      <c r="S123" s="811">
        <f t="shared" si="30"/>
        <v>0</v>
      </c>
      <c r="T123" s="176">
        <f t="shared" si="31"/>
        <v>6</v>
      </c>
      <c r="U123" s="251">
        <f t="shared" si="32"/>
        <v>4.9560559239799885E-2</v>
      </c>
      <c r="V123" s="383">
        <f t="shared" si="33"/>
        <v>56.084894573433196</v>
      </c>
      <c r="W123" s="402">
        <f t="shared" si="34"/>
        <v>0</v>
      </c>
      <c r="X123" s="157">
        <f t="shared" si="35"/>
        <v>44670</v>
      </c>
      <c r="Y123" s="385">
        <f t="shared" si="36"/>
        <v>8.5952577155217789</v>
      </c>
      <c r="Z123" s="385">
        <f t="shared" si="37"/>
        <v>8.8650402728837339</v>
      </c>
      <c r="AA123" s="386">
        <f t="shared" si="38"/>
        <v>9.5378619225493679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7.054218808462219E-2</v>
      </c>
      <c r="AD123" s="231">
        <f>(INDEX(Models!$BJ123:$BT123,,AH123)*(1-AF123)+INDEX(Models!$BJ123:$BT123,,AH123+1)*AF123-ERP_i)*AE123*Ramure*Pc/MaxiM</f>
        <v>9.4225141199939399E-6</v>
      </c>
      <c r="AE123" s="305">
        <f t="shared" si="40"/>
        <v>0.5</v>
      </c>
      <c r="AF123" s="177">
        <f t="shared" si="41"/>
        <v>4.9560559239799885E-2</v>
      </c>
      <c r="AG123" s="811">
        <f t="shared" si="49"/>
        <v>0</v>
      </c>
      <c r="AH123" s="176">
        <f t="shared" si="42"/>
        <v>6</v>
      </c>
      <c r="AI123" s="225">
        <f t="shared" si="43"/>
        <v>4.9560559239799885E-2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44671</v>
      </c>
      <c r="B124" s="1140">
        <v>10.229000000000001</v>
      </c>
      <c r="C124" s="841"/>
      <c r="D124" s="393">
        <f t="shared" si="25"/>
        <v>10.55029251382183</v>
      </c>
      <c r="E124" s="385">
        <f t="shared" si="47"/>
        <v>10.915561292399239</v>
      </c>
      <c r="F124" s="385">
        <f t="shared" si="26"/>
        <v>10.915561292399239</v>
      </c>
      <c r="G124" s="110">
        <f t="shared" si="48"/>
        <v>0.18181176812835251</v>
      </c>
      <c r="H124" s="414" t="b">
        <f>Wh_hp&gt;='2021'!Maxi_hp</f>
        <v>0</v>
      </c>
      <c r="I124" s="380">
        <f>IF(H124,Wh_hp,'2021'!Maxi_hp)</f>
        <v>54.953153725787914</v>
      </c>
      <c r="J124" s="85">
        <f>IF(H124,An,'2021'!An_max)</f>
        <v>2019</v>
      </c>
      <c r="K124" s="197">
        <f t="shared" si="27"/>
        <v>44671</v>
      </c>
      <c r="L124" s="147">
        <f>IF(t&lt;Tvie,1-EXP((T0-t)*PertePVj)+'2021'!Pspv,1-EXP((T0-t)*PertePVj)+Pspv)</f>
        <v>3.0453422348328929E-2</v>
      </c>
      <c r="M124" s="845"/>
      <c r="N124" s="845"/>
      <c r="O124" s="48">
        <f>IF(t&lt;Tnet,'2021'!Resal+('2021'!Salim-'2021'!Resal)*(1-EXP(('2021'!Tnet-t)/('2021'!Tau_j))),Resal+(Salim-Resal)*(1-EXP((Tnet-t)/(Tau_j))))*Salcycl</f>
        <v>3.3463123772824628E-2</v>
      </c>
      <c r="P124" s="339">
        <f>(INDEX(Models!$BJ124:$BT124,,T124)*(1-R124)+INDEX(Models!$BJ124:$BT124,,T124+1)*R124-ERP_i)*Q124*Ramure*Pc/MaxiM</f>
        <v>1.1015342453798868E-5</v>
      </c>
      <c r="Q124" s="305">
        <f t="shared" si="28"/>
        <v>0.5</v>
      </c>
      <c r="R124" s="177">
        <f t="shared" si="29"/>
        <v>5.1535613968469098E-2</v>
      </c>
      <c r="S124" s="811">
        <f t="shared" si="30"/>
        <v>0</v>
      </c>
      <c r="T124" s="176">
        <f t="shared" si="31"/>
        <v>6</v>
      </c>
      <c r="U124" s="251">
        <f t="shared" si="32"/>
        <v>5.1535613968469098E-2</v>
      </c>
      <c r="V124" s="383">
        <f t="shared" si="33"/>
        <v>56.260864900894738</v>
      </c>
      <c r="W124" s="402">
        <f t="shared" si="34"/>
        <v>0</v>
      </c>
      <c r="X124" s="157">
        <f t="shared" si="35"/>
        <v>44671</v>
      </c>
      <c r="Y124" s="385">
        <f t="shared" si="36"/>
        <v>9.835830967859799</v>
      </c>
      <c r="Z124" s="385">
        <f t="shared" si="37"/>
        <v>10.144774056841152</v>
      </c>
      <c r="AA124" s="386">
        <f t="shared" si="38"/>
        <v>10.915561292399239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7.0613614353922868E-2</v>
      </c>
      <c r="AD124" s="231">
        <f>(INDEX(Models!$BJ124:$BT124,,AH124)*(1-AF124)+INDEX(Models!$BJ124:$BT124,,AH124+1)*AF124-ERP_i)*AE124*Ramure*Pc/MaxiM</f>
        <v>1.1015342453798868E-5</v>
      </c>
      <c r="AE124" s="305">
        <f t="shared" si="40"/>
        <v>0.5</v>
      </c>
      <c r="AF124" s="177">
        <f t="shared" si="41"/>
        <v>5.1535613968469098E-2</v>
      </c>
      <c r="AG124" s="811">
        <f t="shared" si="49"/>
        <v>0</v>
      </c>
      <c r="AH124" s="176">
        <f t="shared" si="42"/>
        <v>6</v>
      </c>
      <c r="AI124" s="225">
        <f t="shared" si="43"/>
        <v>5.1535613968469098E-2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44672</v>
      </c>
      <c r="B125" s="1140">
        <v>9.4550000000000001</v>
      </c>
      <c r="C125" s="841"/>
      <c r="D125" s="393">
        <f t="shared" si="25"/>
        <v>9.7521948003806624</v>
      </c>
      <c r="E125" s="385">
        <f t="shared" si="47"/>
        <v>10.090796198972836</v>
      </c>
      <c r="F125" s="385">
        <f t="shared" si="26"/>
        <v>10.090796198972836</v>
      </c>
      <c r="G125" s="110">
        <f t="shared" si="48"/>
        <v>0.16754923660875537</v>
      </c>
      <c r="H125" s="414" t="b">
        <f>Wh_hp&gt;='2021'!Maxi_hp</f>
        <v>0</v>
      </c>
      <c r="I125" s="380">
        <f>IF(H125,Wh_hp,'2021'!Maxi_hp)</f>
        <v>55.659407422413302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3.0474657906655156E-2</v>
      </c>
      <c r="M125" s="845"/>
      <c r="N125" s="845"/>
      <c r="O125" s="48">
        <f>IF(t&lt;Tnet,'2021'!Resal+('2021'!Salim-'2021'!Resal)*(1-EXP(('2021'!Tnet-t)/('2021'!Tau_j))),Resal+(Salim-Resal)*(1-EXP((Tnet-t)/(Tau_j))))*Salcycl</f>
        <v>3.3555468955625271E-2</v>
      </c>
      <c r="P125" s="339">
        <f>(INDEX(Models!$BJ125:$BT125,,T125)*(1-R125)+INDEX(Models!$BJ125:$BT125,,T125+1)*R125-ERP_i)*Q125*Ramure*Pc/MaxiM</f>
        <v>1.2805143539752076E-5</v>
      </c>
      <c r="Q125" s="305">
        <f t="shared" si="28"/>
        <v>0.5</v>
      </c>
      <c r="R125" s="177">
        <f t="shared" si="29"/>
        <v>5.3575085033942163E-2</v>
      </c>
      <c r="S125" s="811">
        <f t="shared" si="30"/>
        <v>0</v>
      </c>
      <c r="T125" s="176">
        <f t="shared" si="31"/>
        <v>6</v>
      </c>
      <c r="U125" s="251">
        <f t="shared" si="32"/>
        <v>5.3575085033942163E-2</v>
      </c>
      <c r="V125" s="383">
        <f t="shared" si="33"/>
        <v>56.430450646850403</v>
      </c>
      <c r="W125" s="402">
        <f t="shared" si="34"/>
        <v>0</v>
      </c>
      <c r="X125" s="157">
        <f t="shared" si="35"/>
        <v>44672</v>
      </c>
      <c r="Y125" s="385">
        <f t="shared" si="36"/>
        <v>9.0917413475624151</v>
      </c>
      <c r="Z125" s="385">
        <f t="shared" si="37"/>
        <v>9.3775180006455905</v>
      </c>
      <c r="AA125" s="386">
        <f t="shared" si="38"/>
        <v>10.090796198972836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7.0686017660316125E-2</v>
      </c>
      <c r="AD125" s="231">
        <f>(INDEX(Models!$BJ125:$BT125,,AH125)*(1-AF125)+INDEX(Models!$BJ125:$BT125,,AH125+1)*AF125-ERP_i)*AE125*Ramure*Pc/MaxiM</f>
        <v>1.2805143539752076E-5</v>
      </c>
      <c r="AE125" s="305">
        <f t="shared" si="40"/>
        <v>0.5</v>
      </c>
      <c r="AF125" s="177">
        <f t="shared" si="41"/>
        <v>5.3575085033942163E-2</v>
      </c>
      <c r="AG125" s="811">
        <f t="shared" si="49"/>
        <v>0</v>
      </c>
      <c r="AH125" s="176">
        <f t="shared" si="42"/>
        <v>6</v>
      </c>
      <c r="AI125" s="225">
        <f t="shared" si="43"/>
        <v>5.3575085033942163E-2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44673</v>
      </c>
      <c r="B126" s="1140">
        <v>27.67</v>
      </c>
      <c r="C126" s="841"/>
      <c r="D126" s="393">
        <f t="shared" si="25"/>
        <v>28.540363883158093</v>
      </c>
      <c r="E126" s="385">
        <f t="shared" si="47"/>
        <v>29.534136565139015</v>
      </c>
      <c r="F126" s="385">
        <f t="shared" si="26"/>
        <v>29.534254493383138</v>
      </c>
      <c r="G126" s="110">
        <f t="shared" si="48"/>
        <v>0.48891619470501163</v>
      </c>
      <c r="H126" s="414" t="b">
        <f>Wh_hp&gt;='2021'!Maxi_hp</f>
        <v>0</v>
      </c>
      <c r="I126" s="380">
        <f>IF(H126,Wh_hp,'2021'!Maxi_hp)</f>
        <v>61.619887493232405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3.0495892999868213E-2</v>
      </c>
      <c r="M126" s="845"/>
      <c r="N126" s="845"/>
      <c r="O126" s="48">
        <f>IF(t&lt;Tnet,'2021'!Resal+('2021'!Salim-'2021'!Resal)*(1-EXP(('2021'!Tnet-t)/('2021'!Tau_j))),Resal+(Salim-Resal)*(1-EXP((Tnet-t)/(Tau_j))))*Salcycl</f>
        <v>3.3648272729731157E-2</v>
      </c>
      <c r="P126" s="339">
        <f>(INDEX(Models!$BJ126:$BT126,,T126)*(1-R126)+INDEX(Models!$BJ126:$BT126,,T126+1)*R126-ERP_i)*Q126*Ramure*Pc/MaxiM</f>
        <v>1.4794780611388615E-5</v>
      </c>
      <c r="Q126" s="305">
        <f t="shared" si="28"/>
        <v>0.5</v>
      </c>
      <c r="R126" s="177">
        <f t="shared" si="29"/>
        <v>5.5680368580824618E-2</v>
      </c>
      <c r="S126" s="811">
        <f t="shared" si="30"/>
        <v>0</v>
      </c>
      <c r="T126" s="176">
        <f t="shared" si="31"/>
        <v>6</v>
      </c>
      <c r="U126" s="251">
        <f t="shared" si="32"/>
        <v>5.5680368580824618E-2</v>
      </c>
      <c r="V126" s="383">
        <f t="shared" si="33"/>
        <v>56.593954978983511</v>
      </c>
      <c r="W126" s="402">
        <f t="shared" si="34"/>
        <v>0</v>
      </c>
      <c r="X126" s="157">
        <f t="shared" si="35"/>
        <v>44673</v>
      </c>
      <c r="Y126" s="385">
        <f t="shared" si="36"/>
        <v>26.607379632086325</v>
      </c>
      <c r="Z126" s="385">
        <f t="shared" si="37"/>
        <v>27.444318636684958</v>
      </c>
      <c r="AA126" s="386">
        <f t="shared" si="38"/>
        <v>29.534136565139015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7.0759404929440176E-2</v>
      </c>
      <c r="AD126" s="231">
        <f>(INDEX(Models!$BJ126:$BT126,,AH126)*(1-AF126)+INDEX(Models!$BJ126:$BT126,,AH126+1)*AF126-ERP_i)*AE126*Ramure*Pc/MaxiM</f>
        <v>1.4794780611388615E-5</v>
      </c>
      <c r="AE126" s="305">
        <f t="shared" si="40"/>
        <v>0.5</v>
      </c>
      <c r="AF126" s="177">
        <f t="shared" si="41"/>
        <v>5.5680368580824618E-2</v>
      </c>
      <c r="AG126" s="811">
        <f t="shared" si="49"/>
        <v>0</v>
      </c>
      <c r="AH126" s="176">
        <f t="shared" si="42"/>
        <v>6</v>
      </c>
      <c r="AI126" s="225">
        <f t="shared" si="43"/>
        <v>5.5680368580824618E-2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44674</v>
      </c>
      <c r="B127" s="1140">
        <v>9.5739999999999998</v>
      </c>
      <c r="C127" s="841"/>
      <c r="D127" s="393">
        <f t="shared" si="25"/>
        <v>9.8753678613995639</v>
      </c>
      <c r="E127" s="385">
        <f t="shared" si="47"/>
        <v>10.220213608623022</v>
      </c>
      <c r="F127" s="385">
        <f t="shared" si="26"/>
        <v>10.220213608623022</v>
      </c>
      <c r="G127" s="110">
        <f t="shared" si="48"/>
        <v>0.16869698307714207</v>
      </c>
      <c r="H127" s="414" t="b">
        <f>Wh_hp&gt;='2021'!Maxi_hp</f>
        <v>0</v>
      </c>
      <c r="I127" s="380">
        <f>IF(H127,Wh_hp,'2021'!Maxi_hp)</f>
        <v>61.960154457717145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3.0517127627978202E-2</v>
      </c>
      <c r="M127" s="845"/>
      <c r="N127" s="845"/>
      <c r="O127" s="48">
        <f>IF(t&lt;Tnet,'2021'!Resal+('2021'!Salim-'2021'!Resal)*(1-EXP(('2021'!Tnet-t)/('2021'!Tau_j))),Resal+(Salim-Resal)*(1-EXP((Tnet-t)/(Tau_j))))*Salcycl</f>
        <v>3.374154009193147E-2</v>
      </c>
      <c r="P127" s="339">
        <f>(INDEX(Models!$BJ127:$BT127,,T127)*(1-R127)+INDEX(Models!$BJ127:$BT127,,T127+1)*R127-ERP_i)*Q127*Ramure*Pc/MaxiM</f>
        <v>1.6987384304353702E-5</v>
      </c>
      <c r="Q127" s="305">
        <f t="shared" si="28"/>
        <v>0.5</v>
      </c>
      <c r="R127" s="177">
        <f t="shared" si="29"/>
        <v>5.7852837584858006E-2</v>
      </c>
      <c r="S127" s="811">
        <f t="shared" si="30"/>
        <v>0</v>
      </c>
      <c r="T127" s="176">
        <f t="shared" si="31"/>
        <v>6</v>
      </c>
      <c r="U127" s="251">
        <f t="shared" si="32"/>
        <v>5.7852837584858006E-2</v>
      </c>
      <c r="V127" s="383">
        <f t="shared" si="33"/>
        <v>56.751680961625304</v>
      </c>
      <c r="W127" s="402">
        <f t="shared" si="34"/>
        <v>0</v>
      </c>
      <c r="X127" s="157">
        <f t="shared" si="35"/>
        <v>44674</v>
      </c>
      <c r="Y127" s="385">
        <f t="shared" si="36"/>
        <v>9.2064781260268855</v>
      </c>
      <c r="Z127" s="385">
        <f t="shared" si="37"/>
        <v>9.4962772302531846</v>
      </c>
      <c r="AA127" s="386">
        <f t="shared" si="38"/>
        <v>10.220213608623022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7.0833781571750729E-2</v>
      </c>
      <c r="AD127" s="231">
        <f>(INDEX(Models!$BJ127:$BT127,,AH127)*(1-AF127)+INDEX(Models!$BJ127:$BT127,,AH127+1)*AF127-ERP_i)*AE127*Ramure*Pc/MaxiM</f>
        <v>1.6987384304353702E-5</v>
      </c>
      <c r="AE127" s="305">
        <f t="shared" si="40"/>
        <v>0.5</v>
      </c>
      <c r="AF127" s="177">
        <f t="shared" si="41"/>
        <v>5.7852837584858006E-2</v>
      </c>
      <c r="AG127" s="811">
        <f t="shared" si="49"/>
        <v>0</v>
      </c>
      <c r="AH127" s="176">
        <f t="shared" si="42"/>
        <v>6</v>
      </c>
      <c r="AI127" s="225">
        <f t="shared" si="43"/>
        <v>5.7852837584858006E-2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44675</v>
      </c>
      <c r="B128" s="1140">
        <v>30.378</v>
      </c>
      <c r="C128" s="841"/>
      <c r="D128" s="393">
        <f t="shared" si="25"/>
        <v>31.334917033045979</v>
      </c>
      <c r="E128" s="385">
        <f t="shared" si="47"/>
        <v>32.432271880445541</v>
      </c>
      <c r="F128" s="385">
        <f t="shared" si="26"/>
        <v>32.432483859940596</v>
      </c>
      <c r="G128" s="110">
        <f t="shared" si="48"/>
        <v>0.53384026014660491</v>
      </c>
      <c r="H128" s="414" t="b">
        <f>Wh_hp&gt;='2021'!Maxi_hp</f>
        <v>0</v>
      </c>
      <c r="I128" s="380">
        <f>IF(H128,Wh_hp,'2021'!Maxi_hp)</f>
        <v>59.446721075347604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3.0538361790995339E-2</v>
      </c>
      <c r="M128" s="845"/>
      <c r="N128" s="845"/>
      <c r="O128" s="48">
        <f>IF(t&lt;Tnet,'2021'!Resal+('2021'!Salim-'2021'!Resal)*(1-EXP(('2021'!Tnet-t)/('2021'!Tau_j))),Resal+(Salim-Resal)*(1-EXP((Tnet-t)/(Tau_j))))*Salcycl</f>
        <v>3.3835275291373992E-2</v>
      </c>
      <c r="P128" s="339">
        <f>(INDEX(Models!$BJ128:$BT128,,T128)*(1-R128)+INDEX(Models!$BJ128:$BT128,,T128+1)*R128-ERP_i)*Q128*Ramure*Pc/MaxiM</f>
        <v>1.9564983204044962E-5</v>
      </c>
      <c r="Q128" s="305">
        <f t="shared" si="28"/>
        <v>0.5</v>
      </c>
      <c r="R128" s="177">
        <f t="shared" si="29"/>
        <v>6.009383697143951E-2</v>
      </c>
      <c r="S128" s="811">
        <f t="shared" si="30"/>
        <v>0</v>
      </c>
      <c r="T128" s="176">
        <f t="shared" si="31"/>
        <v>6</v>
      </c>
      <c r="U128" s="251">
        <f t="shared" si="32"/>
        <v>6.009383697143951E-2</v>
      </c>
      <c r="V128" s="383">
        <f t="shared" si="33"/>
        <v>56.903921400289292</v>
      </c>
      <c r="W128" s="402">
        <f t="shared" si="34"/>
        <v>0</v>
      </c>
      <c r="X128" s="157">
        <f t="shared" si="35"/>
        <v>44675</v>
      </c>
      <c r="Y128" s="385">
        <f t="shared" si="36"/>
        <v>29.212328991612349</v>
      </c>
      <c r="Z128" s="385">
        <f t="shared" si="37"/>
        <v>30.132527002903966</v>
      </c>
      <c r="AA128" s="386">
        <f t="shared" si="38"/>
        <v>32.432271880445541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7.0909151416190572E-2</v>
      </c>
      <c r="AD128" s="231">
        <f>(INDEX(Models!$BJ128:$BT128,,AH128)*(1-AF128)+INDEX(Models!$BJ128:$BT128,,AH128+1)*AF128-ERP_i)*AE128*Ramure*Pc/MaxiM</f>
        <v>1.9564983204044962E-5</v>
      </c>
      <c r="AE128" s="305">
        <f t="shared" si="40"/>
        <v>0.5</v>
      </c>
      <c r="AF128" s="177">
        <f t="shared" si="41"/>
        <v>6.009383697143951E-2</v>
      </c>
      <c r="AG128" s="811">
        <f t="shared" si="49"/>
        <v>0</v>
      </c>
      <c r="AH128" s="176">
        <f t="shared" si="42"/>
        <v>6</v>
      </c>
      <c r="AI128" s="225">
        <f t="shared" si="43"/>
        <v>6.009383697143951E-2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44676</v>
      </c>
      <c r="B129" s="1140">
        <v>46.747</v>
      </c>
      <c r="C129" s="841"/>
      <c r="D129" s="393">
        <f t="shared" si="25"/>
        <v>48.220602094232383</v>
      </c>
      <c r="E129" s="385">
        <f t="shared" si="47"/>
        <v>49.914163806191929</v>
      </c>
      <c r="F129" s="385">
        <f t="shared" si="26"/>
        <v>49.914995765297931</v>
      </c>
      <c r="G129" s="110">
        <f t="shared" si="48"/>
        <v>0.81938516453635213</v>
      </c>
      <c r="H129" s="414" t="b">
        <f>Wh_hp&gt;='2021'!Maxi_hp</f>
        <v>0</v>
      </c>
      <c r="I129" s="380">
        <f>IF(H129,Wh_hp,'2021'!Maxi_hp)</f>
        <v>54.184367462537033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3.0559595488929836E-2</v>
      </c>
      <c r="M129" s="845"/>
      <c r="N129" s="845"/>
      <c r="O129" s="48">
        <f>IF(t&lt;Tnet,'2021'!Resal+('2021'!Salim-'2021'!Resal)*(1-EXP(('2021'!Tnet-t)/('2021'!Tau_j))),Resal+(Salim-Resal)*(1-EXP((Tnet-t)/(Tau_j))))*Salcycl</f>
        <v>3.3929481790686819E-2</v>
      </c>
      <c r="P129" s="339">
        <f>(INDEX(Models!$BJ129:$BT129,,T129)*(1-R129)+INDEX(Models!$BJ129:$BT129,,T129+1)*R129-ERP_i)*Q129*Ramure*Pc/MaxiM</f>
        <v>2.2463398905405861E-5</v>
      </c>
      <c r="Q129" s="305">
        <f t="shared" si="28"/>
        <v>0.5</v>
      </c>
      <c r="R129" s="177">
        <f t="shared" si="29"/>
        <v>6.2404678476405351E-2</v>
      </c>
      <c r="S129" s="811">
        <f t="shared" si="30"/>
        <v>0</v>
      </c>
      <c r="T129" s="176">
        <f t="shared" si="31"/>
        <v>6</v>
      </c>
      <c r="U129" s="251">
        <f t="shared" si="32"/>
        <v>6.2404678476405351E-2</v>
      </c>
      <c r="V129" s="383">
        <f t="shared" si="33"/>
        <v>57.050982954890976</v>
      </c>
      <c r="W129" s="402">
        <f t="shared" si="34"/>
        <v>0</v>
      </c>
      <c r="X129" s="157">
        <f t="shared" si="35"/>
        <v>44676</v>
      </c>
      <c r="Y129" s="385">
        <f t="shared" si="36"/>
        <v>44.953902675775716</v>
      </c>
      <c r="Z129" s="385">
        <f t="shared" si="37"/>
        <v>46.370981100635959</v>
      </c>
      <c r="AA129" s="386">
        <f t="shared" si="38"/>
        <v>49.914163806191929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7.0985516642401061E-2</v>
      </c>
      <c r="AD129" s="231">
        <f>(INDEX(Models!$BJ129:$BT129,,AH129)*(1-AF129)+INDEX(Models!$BJ129:$BT129,,AH129+1)*AF129-ERP_i)*AE129*Ramure*Pc/MaxiM</f>
        <v>2.2463398905405861E-5</v>
      </c>
      <c r="AE129" s="305">
        <f t="shared" si="40"/>
        <v>0.5</v>
      </c>
      <c r="AF129" s="177">
        <f t="shared" si="41"/>
        <v>6.2404678476405351E-2</v>
      </c>
      <c r="AG129" s="811">
        <f t="shared" si="49"/>
        <v>0</v>
      </c>
      <c r="AH129" s="176">
        <f t="shared" si="42"/>
        <v>6</v>
      </c>
      <c r="AI129" s="225">
        <f t="shared" si="43"/>
        <v>6.2404678476405351E-2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44677</v>
      </c>
      <c r="B130" s="1140">
        <v>54.419000000000004</v>
      </c>
      <c r="C130" s="841"/>
      <c r="D130" s="393">
        <f t="shared" si="25"/>
        <v>56.135675476942474</v>
      </c>
      <c r="E130" s="385">
        <f t="shared" si="47"/>
        <v>58.112918855525827</v>
      </c>
      <c r="F130" s="385">
        <f t="shared" si="26"/>
        <v>58.114308236973073</v>
      </c>
      <c r="G130" s="110">
        <f t="shared" si="48"/>
        <v>0.95149306743915485</v>
      </c>
      <c r="H130" s="414" t="b">
        <f>Wh_hp&gt;='2021'!Maxi_hp</f>
        <v>1</v>
      </c>
      <c r="I130" s="380">
        <f>IF(H130,Wh_hp,'2021'!Maxi_hp)</f>
        <v>58.114308236973073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3.0580828721791908E-2</v>
      </c>
      <c r="M130" s="845"/>
      <c r="N130" s="845"/>
      <c r="O130" s="48">
        <f>IF(t&lt;Tnet,'2021'!Resal+('2021'!Salim-'2021'!Resal)*(1-EXP(('2021'!Tnet-t)/('2021'!Tau_j))),Resal+(Salim-Resal)*(1-EXP((Tnet-t)/(Tau_j))))*Salcycl</f>
        <v>3.4024162226285112E-2</v>
      </c>
      <c r="P130" s="339">
        <f>(INDEX(Models!$BJ130:$BT130,,T130)*(1-R130)+INDEX(Models!$BJ130:$BT130,,T130+1)*R130-ERP_i)*Q130*Ramure*Pc/MaxiM</f>
        <v>2.5687718599709681E-5</v>
      </c>
      <c r="Q130" s="305">
        <f t="shared" si="28"/>
        <v>0.5</v>
      </c>
      <c r="R130" s="177">
        <f t="shared" si="29"/>
        <v>6.4786635254264313E-2</v>
      </c>
      <c r="S130" s="811">
        <f t="shared" si="30"/>
        <v>0</v>
      </c>
      <c r="T130" s="176">
        <f t="shared" si="31"/>
        <v>6</v>
      </c>
      <c r="U130" s="251">
        <f t="shared" si="32"/>
        <v>6.4786635254264313E-2</v>
      </c>
      <c r="V130" s="383">
        <f t="shared" si="33"/>
        <v>57.193168289904428</v>
      </c>
      <c r="W130" s="402">
        <f t="shared" si="34"/>
        <v>0</v>
      </c>
      <c r="X130" s="157">
        <f t="shared" si="35"/>
        <v>44677</v>
      </c>
      <c r="Y130" s="385">
        <f t="shared" si="36"/>
        <v>52.332395160428263</v>
      </c>
      <c r="Z130" s="385">
        <f t="shared" si="37"/>
        <v>53.983247609417958</v>
      </c>
      <c r="AA130" s="386">
        <f t="shared" si="38"/>
        <v>58.112918855525827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7.1062877711832409E-2</v>
      </c>
      <c r="AD130" s="231">
        <f>(INDEX(Models!$BJ130:$BT130,,AH130)*(1-AF130)+INDEX(Models!$BJ130:$BT130,,AH130+1)*AF130-ERP_i)*AE130*Ramure*Pc/MaxiM</f>
        <v>2.5687718599709681E-5</v>
      </c>
      <c r="AE130" s="305">
        <f t="shared" si="40"/>
        <v>0.5</v>
      </c>
      <c r="AF130" s="177">
        <f t="shared" si="41"/>
        <v>6.4786635254264313E-2</v>
      </c>
      <c r="AG130" s="811">
        <f t="shared" si="49"/>
        <v>0</v>
      </c>
      <c r="AH130" s="176">
        <f t="shared" si="42"/>
        <v>6</v>
      </c>
      <c r="AI130" s="225">
        <f t="shared" si="43"/>
        <v>6.4786635254264313E-2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44678</v>
      </c>
      <c r="B131" s="1140">
        <v>40.991</v>
      </c>
      <c r="C131" s="841"/>
      <c r="D131" s="393">
        <f t="shared" si="25"/>
        <v>42.285008428001603</v>
      </c>
      <c r="E131" s="385">
        <f t="shared" si="47"/>
        <v>43.778708107669736</v>
      </c>
      <c r="F131" s="385">
        <f t="shared" si="26"/>
        <v>43.779467103843352</v>
      </c>
      <c r="G131" s="110">
        <f t="shared" si="48"/>
        <v>0.71498263149730257</v>
      </c>
      <c r="H131" s="414" t="b">
        <f>Wh_hp&gt;='2021'!Maxi_hp</f>
        <v>1</v>
      </c>
      <c r="I131" s="380">
        <f>IF(H131,Wh_hp,'2021'!Maxi_hp)</f>
        <v>43.779467103843352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3.0602061489591548E-2</v>
      </c>
      <c r="M131" s="845"/>
      <c r="N131" s="845"/>
      <c r="O131" s="48">
        <f>IF(t&lt;Tnet,'2021'!Resal+('2021'!Salim-'2021'!Resal)*(1-EXP(('2021'!Tnet-t)/('2021'!Tau_j))),Resal+(Salim-Resal)*(1-EXP((Tnet-t)/(Tau_j))))*Salcycl</f>
        <v>3.4119318368064103E-2</v>
      </c>
      <c r="P131" s="339">
        <f>(INDEX(Models!$BJ131:$BT131,,T131)*(1-R131)+INDEX(Models!$BJ131:$BT131,,T131+1)*R131-ERP_i)*Q131*Ramure*Pc/MaxiM</f>
        <v>2.9243431053201445E-5</v>
      </c>
      <c r="Q131" s="305">
        <f t="shared" si="28"/>
        <v>0.5</v>
      </c>
      <c r="R131" s="177">
        <f t="shared" si="29"/>
        <v>6.7240936241399263E-2</v>
      </c>
      <c r="S131" s="811">
        <f t="shared" si="30"/>
        <v>0</v>
      </c>
      <c r="T131" s="176">
        <f t="shared" si="31"/>
        <v>6</v>
      </c>
      <c r="U131" s="251">
        <f t="shared" si="32"/>
        <v>6.7240936241399263E-2</v>
      </c>
      <c r="V131" s="383">
        <f t="shared" si="33"/>
        <v>57.330779967720396</v>
      </c>
      <c r="W131" s="402">
        <f t="shared" si="34"/>
        <v>0</v>
      </c>
      <c r="X131" s="157">
        <f t="shared" si="35"/>
        <v>44678</v>
      </c>
      <c r="Y131" s="385">
        <f t="shared" si="36"/>
        <v>39.419827345075021</v>
      </c>
      <c r="Z131" s="385">
        <f t="shared" si="37"/>
        <v>40.664236820689062</v>
      </c>
      <c r="AA131" s="386">
        <f t="shared" si="38"/>
        <v>43.778708107669736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7.1141233298180326E-2</v>
      </c>
      <c r="AD131" s="231">
        <f>(INDEX(Models!$BJ131:$BT131,,AH131)*(1-AF131)+INDEX(Models!$BJ131:$BT131,,AH131+1)*AF131-ERP_i)*AE131*Ramure*Pc/MaxiM</f>
        <v>2.9243431053201445E-5</v>
      </c>
      <c r="AE131" s="305">
        <f t="shared" si="40"/>
        <v>0.5</v>
      </c>
      <c r="AF131" s="177">
        <f t="shared" si="41"/>
        <v>6.7240936241399263E-2</v>
      </c>
      <c r="AG131" s="811">
        <f t="shared" si="49"/>
        <v>0</v>
      </c>
      <c r="AH131" s="176">
        <f t="shared" si="42"/>
        <v>6</v>
      </c>
      <c r="AI131" s="225">
        <f t="shared" si="43"/>
        <v>6.7240936241399263E-2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44679</v>
      </c>
      <c r="B132" s="1140">
        <v>20.402999999999999</v>
      </c>
      <c r="C132" s="841"/>
      <c r="D132" s="393">
        <f t="shared" si="25"/>
        <v>21.04754515901195</v>
      </c>
      <c r="E132" s="385">
        <f t="shared" si="47"/>
        <v>21.793198375270585</v>
      </c>
      <c r="F132" s="385">
        <f t="shared" si="26"/>
        <v>21.793255173754734</v>
      </c>
      <c r="G132" s="110">
        <f t="shared" si="48"/>
        <v>0.35504549501158</v>
      </c>
      <c r="H132" s="414" t="b">
        <f>Wh_hp&gt;='2021'!Maxi_hp</f>
        <v>0</v>
      </c>
      <c r="I132" s="380">
        <f>IF(H132,Wh_hp,'2021'!Maxi_hp)</f>
        <v>46.870510731346037</v>
      </c>
      <c r="J132" s="85">
        <f>IF(H132,An,'2021'!An_max)</f>
        <v>2019</v>
      </c>
      <c r="K132" s="197">
        <f t="shared" si="27"/>
        <v>44679</v>
      </c>
      <c r="L132" s="147">
        <f>IF(t&lt;Tvie,1-EXP((T0-t)*PertePVj)+'2021'!Pspv,1-EXP((T0-t)*PertePVj)+Pspv)</f>
        <v>3.062329379233919E-2</v>
      </c>
      <c r="M132" s="845"/>
      <c r="N132" s="845"/>
      <c r="O132" s="48">
        <f>IF(t&lt;Tnet,'2021'!Resal+('2021'!Salim-'2021'!Resal)*(1-EXP(('2021'!Tnet-t)/('2021'!Tau_j))),Resal+(Salim-Resal)*(1-EXP((Tnet-t)/(Tau_j))))*Salcycl</f>
        <v>3.4214951078716006E-2</v>
      </c>
      <c r="P132" s="339">
        <f>(INDEX(Models!$BJ132:$BT132,,T132)*(1-R132)+INDEX(Models!$BJ132:$BT132,,T132+1)*R132-ERP_i)*Q132*Ramure*Pc/MaxiM</f>
        <v>3.3136404554440372E-5</v>
      </c>
      <c r="Q132" s="305">
        <f t="shared" si="28"/>
        <v>0.5</v>
      </c>
      <c r="R132" s="177">
        <f t="shared" si="29"/>
        <v>6.9768760284276574E-2</v>
      </c>
      <c r="S132" s="811">
        <f t="shared" si="30"/>
        <v>0</v>
      </c>
      <c r="T132" s="176">
        <f t="shared" si="31"/>
        <v>6</v>
      </c>
      <c r="U132" s="251">
        <f t="shared" si="32"/>
        <v>6.9768760284276574E-2</v>
      </c>
      <c r="V132" s="383">
        <f t="shared" si="33"/>
        <v>57.464120452486043</v>
      </c>
      <c r="W132" s="402">
        <f t="shared" si="34"/>
        <v>0</v>
      </c>
      <c r="X132" s="157">
        <f t="shared" si="35"/>
        <v>44679</v>
      </c>
      <c r="Y132" s="385">
        <f t="shared" si="36"/>
        <v>19.621225782056872</v>
      </c>
      <c r="Z132" s="385">
        <f t="shared" si="37"/>
        <v>20.241074142185539</v>
      </c>
      <c r="AA132" s="386">
        <f t="shared" si="38"/>
        <v>21.793198375270585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7.1220580217646698E-2</v>
      </c>
      <c r="AD132" s="231">
        <f>(INDEX(Models!$BJ132:$BT132,,AH132)*(1-AF132)+INDEX(Models!$BJ132:$BT132,,AH132+1)*AF132-ERP_i)*AE132*Ramure*Pc/MaxiM</f>
        <v>3.3136404554440372E-5</v>
      </c>
      <c r="AE132" s="305">
        <f t="shared" si="40"/>
        <v>0.5</v>
      </c>
      <c r="AF132" s="177">
        <f t="shared" si="41"/>
        <v>6.9768760284276574E-2</v>
      </c>
      <c r="AG132" s="811">
        <f t="shared" si="49"/>
        <v>0</v>
      </c>
      <c r="AH132" s="176">
        <f t="shared" si="42"/>
        <v>6</v>
      </c>
      <c r="AI132" s="225">
        <f t="shared" si="43"/>
        <v>6.9768760284276574E-2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44680</v>
      </c>
      <c r="B133" s="1140">
        <v>41.057000000000002</v>
      </c>
      <c r="C133" s="841"/>
      <c r="D133" s="393">
        <f t="shared" si="25"/>
        <v>42.3549472670854</v>
      </c>
      <c r="E133" s="385">
        <f t="shared" si="47"/>
        <v>43.859824343702869</v>
      </c>
      <c r="F133" s="385">
        <f t="shared" si="26"/>
        <v>43.860791182566068</v>
      </c>
      <c r="G133" s="110">
        <f t="shared" si="48"/>
        <v>0.71286475427687568</v>
      </c>
      <c r="H133" s="414" t="b">
        <f>Wh_hp&gt;='2021'!Maxi_hp</f>
        <v>0</v>
      </c>
      <c r="I133" s="380">
        <f>IF(H133,Wh_hp,'2021'!Maxi_hp)</f>
        <v>52.731591737433121</v>
      </c>
      <c r="J133" s="85">
        <f>IF(H133,An,'2021'!An_max)</f>
        <v>2019</v>
      </c>
      <c r="K133" s="197">
        <f t="shared" si="27"/>
        <v>44680</v>
      </c>
      <c r="L133" s="147">
        <f>IF(t&lt;Tvie,1-EXP((T0-t)*PertePVj)+'2021'!Pspv,1-EXP((T0-t)*PertePVj)+Pspv)</f>
        <v>3.0644525630044828E-2</v>
      </c>
      <c r="M133" s="845"/>
      <c r="N133" s="845"/>
      <c r="O133" s="48">
        <f>IF(t&lt;Tnet,'2021'!Resal+('2021'!Salim-'2021'!Resal)*(1-EXP(('2021'!Tnet-t)/('2021'!Tau_j))),Resal+(Salim-Resal)*(1-EXP((Tnet-t)/(Tau_j))))*Salcycl</f>
        <v>3.4311060272942583E-2</v>
      </c>
      <c r="P133" s="339">
        <f>(INDEX(Models!$BJ133:$BT133,,T133)*(1-R133)+INDEX(Models!$BJ133:$BT133,,T133+1)*R133-ERP_i)*Q133*Ramure*Pc/MaxiM</f>
        <v>3.7372863354361378E-5</v>
      </c>
      <c r="Q133" s="305">
        <f t="shared" si="28"/>
        <v>0.5</v>
      </c>
      <c r="R133" s="177">
        <f t="shared" si="29"/>
        <v>7.2371230045408658E-2</v>
      </c>
      <c r="S133" s="811">
        <f t="shared" si="30"/>
        <v>0</v>
      </c>
      <c r="T133" s="176">
        <f t="shared" si="31"/>
        <v>6</v>
      </c>
      <c r="U133" s="251">
        <f t="shared" si="32"/>
        <v>7.2371230045408658E-2</v>
      </c>
      <c r="V133" s="383">
        <f t="shared" si="33"/>
        <v>57.593492112019838</v>
      </c>
      <c r="W133" s="402">
        <f t="shared" si="34"/>
        <v>0</v>
      </c>
      <c r="X133" s="157">
        <f t="shared" si="35"/>
        <v>44680</v>
      </c>
      <c r="Y133" s="385">
        <f t="shared" si="36"/>
        <v>39.484348252939917</v>
      </c>
      <c r="Z133" s="385">
        <f t="shared" si="37"/>
        <v>40.732578808205801</v>
      </c>
      <c r="AA133" s="386">
        <f t="shared" si="38"/>
        <v>43.859824343702869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7.1300913359587131E-2</v>
      </c>
      <c r="AD133" s="231">
        <f>(INDEX(Models!$BJ133:$BT133,,AH133)*(1-AF133)+INDEX(Models!$BJ133:$BT133,,AH133+1)*AF133-ERP_i)*AE133*Ramure*Pc/MaxiM</f>
        <v>3.7372863354361378E-5</v>
      </c>
      <c r="AE133" s="305">
        <f t="shared" si="40"/>
        <v>0.5</v>
      </c>
      <c r="AF133" s="177">
        <f t="shared" si="41"/>
        <v>7.2371230045408658E-2</v>
      </c>
      <c r="AG133" s="811">
        <f t="shared" si="49"/>
        <v>0</v>
      </c>
      <c r="AH133" s="176">
        <f t="shared" si="42"/>
        <v>6</v>
      </c>
      <c r="AI133" s="225">
        <f t="shared" si="43"/>
        <v>7.2371230045408658E-2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44681</v>
      </c>
      <c r="B134" s="1140">
        <v>43.640999999999998</v>
      </c>
      <c r="C134" s="841"/>
      <c r="D134" s="393">
        <f t="shared" si="25"/>
        <v>45.021622123920366</v>
      </c>
      <c r="E134" s="385">
        <f t="shared" si="47"/>
        <v>46.625909872887604</v>
      </c>
      <c r="F134" s="385">
        <f t="shared" si="26"/>
        <v>46.627184614328122</v>
      </c>
      <c r="G134" s="110">
        <f t="shared" si="48"/>
        <v>0.7560805423351058</v>
      </c>
      <c r="H134" s="414" t="b">
        <f>Wh_hp&gt;='2021'!Maxi_hp</f>
        <v>0</v>
      </c>
      <c r="I134" s="380">
        <f>IF(H134,Wh_hp,'2021'!Maxi_hp)</f>
        <v>62.081683557920357</v>
      </c>
      <c r="J134" s="85">
        <f>IF(H134,An,'2021'!An_max)</f>
        <v>2019</v>
      </c>
      <c r="K134" s="197">
        <f t="shared" si="27"/>
        <v>44681</v>
      </c>
      <c r="L134" s="147">
        <f>IF(t&lt;Tvie,1-EXP((T0-t)*PertePVj)+'2021'!Pspv,1-EXP((T0-t)*PertePVj)+Pspv)</f>
        <v>3.0665757002718785E-2</v>
      </c>
      <c r="M134" s="845"/>
      <c r="N134" s="845"/>
      <c r="O134" s="48">
        <f>IF(t&lt;Tnet,'2021'!Resal+('2021'!Salim-'2021'!Resal)*(1-EXP(('2021'!Tnet-t)/('2021'!Tau_j))),Resal+(Salim-Resal)*(1-EXP((Tnet-t)/(Tau_j))))*Salcycl</f>
        <v>3.4407644876869398E-2</v>
      </c>
      <c r="P134" s="339">
        <f>(INDEX(Models!$BJ134:$BT134,,T134)*(1-R134)+INDEX(Models!$BJ134:$BT134,,T134+1)*R134-ERP_i)*Q134*Ramure*Pc/MaxiM</f>
        <v>4.1959362425326921E-5</v>
      </c>
      <c r="Q134" s="305">
        <f t="shared" si="28"/>
        <v>0.5</v>
      </c>
      <c r="R134" s="177">
        <f t="shared" si="29"/>
        <v>7.5049405702687783E-2</v>
      </c>
      <c r="S134" s="811">
        <f t="shared" si="30"/>
        <v>0</v>
      </c>
      <c r="T134" s="176">
        <f t="shared" si="31"/>
        <v>6</v>
      </c>
      <c r="U134" s="251">
        <f t="shared" si="32"/>
        <v>7.5049405702687783E-2</v>
      </c>
      <c r="V134" s="383">
        <f t="shared" si="33"/>
        <v>57.71919721849401</v>
      </c>
      <c r="W134" s="402">
        <f t="shared" si="34"/>
        <v>0</v>
      </c>
      <c r="X134" s="157">
        <f t="shared" si="35"/>
        <v>44681</v>
      </c>
      <c r="Y134" s="385">
        <f t="shared" si="36"/>
        <v>41.969893482254896</v>
      </c>
      <c r="Z134" s="385">
        <f t="shared" si="37"/>
        <v>43.297648654688672</v>
      </c>
      <c r="AA134" s="386">
        <f t="shared" si="38"/>
        <v>46.625909872887604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7.1382225618170161E-2</v>
      </c>
      <c r="AD134" s="231">
        <f>(INDEX(Models!$BJ134:$BT134,,AH134)*(1-AF134)+INDEX(Models!$BJ134:$BT134,,AH134+1)*AF134-ERP_i)*AE134*Ramure*Pc/MaxiM</f>
        <v>4.1959362425326921E-5</v>
      </c>
      <c r="AE134" s="305">
        <f t="shared" si="40"/>
        <v>0.5</v>
      </c>
      <c r="AF134" s="177">
        <f t="shared" si="41"/>
        <v>7.5049405702687783E-2</v>
      </c>
      <c r="AG134" s="811">
        <f t="shared" si="49"/>
        <v>0</v>
      </c>
      <c r="AH134" s="176">
        <f t="shared" si="42"/>
        <v>6</v>
      </c>
      <c r="AI134" s="225">
        <f t="shared" si="43"/>
        <v>7.5049405702687783E-2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44682</v>
      </c>
      <c r="B135" s="1140">
        <v>47.298000000000002</v>
      </c>
      <c r="C135" s="841"/>
      <c r="D135" s="393">
        <f t="shared" si="25"/>
        <v>48.795383338593339</v>
      </c>
      <c r="E135" s="385">
        <f t="shared" si="47"/>
        <v>50.539224250492559</v>
      </c>
      <c r="F135" s="385">
        <f t="shared" si="26"/>
        <v>50.540977545953808</v>
      </c>
      <c r="G135" s="110">
        <f t="shared" si="48"/>
        <v>0.81772059032772904</v>
      </c>
      <c r="H135" s="414" t="b">
        <f>Wh_hp&gt;='2021'!Maxi_hp</f>
        <v>0</v>
      </c>
      <c r="I135" s="380">
        <f>IF(H135,Wh_hp,'2021'!Maxi_hp)</f>
        <v>57.93362071879104</v>
      </c>
      <c r="J135" s="85">
        <f>IF(H135,An,'2021'!An_max)</f>
        <v>2019</v>
      </c>
      <c r="K135" s="197">
        <f t="shared" si="27"/>
        <v>44682</v>
      </c>
      <c r="L135" s="147">
        <f>IF(t&lt;Tvie,1-EXP((T0-t)*PertePVj)+'2021'!Pspv,1-EXP((T0-t)*PertePVj)+Pspv)</f>
        <v>3.0686987910371166E-2</v>
      </c>
      <c r="M135" s="845"/>
      <c r="N135" s="845"/>
      <c r="O135" s="48">
        <f>IF(t&lt;Tnet,'2021'!Resal+('2021'!Salim-'2021'!Resal)*(1-EXP(('2021'!Tnet-t)/('2021'!Tau_j))),Resal+(Salim-Resal)*(1-EXP((Tnet-t)/(Tau_j))))*Salcycl</f>
        <v>3.4504702787997853E-2</v>
      </c>
      <c r="P135" s="339">
        <f>(INDEX(Models!$BJ135:$BT135,,T135)*(1-R135)+INDEX(Models!$BJ135:$BT135,,T135+1)*R135-ERP_i)*Q135*Ramure*Pc/MaxiM</f>
        <v>4.6903547935828994E-5</v>
      </c>
      <c r="Q135" s="305">
        <f t="shared" si="28"/>
        <v>0.5</v>
      </c>
      <c r="R135" s="177">
        <f t="shared" si="29"/>
        <v>7.7804278460747778E-2</v>
      </c>
      <c r="S135" s="811">
        <f t="shared" si="30"/>
        <v>0</v>
      </c>
      <c r="T135" s="176">
        <f t="shared" si="31"/>
        <v>6</v>
      </c>
      <c r="U135" s="251">
        <f t="shared" si="32"/>
        <v>7.7804278460747778E-2</v>
      </c>
      <c r="V135" s="383">
        <f t="shared" si="33"/>
        <v>57.840566680247832</v>
      </c>
      <c r="W135" s="402">
        <f t="shared" si="34"/>
        <v>0</v>
      </c>
      <c r="X135" s="157">
        <f t="shared" si="35"/>
        <v>44682</v>
      </c>
      <c r="Y135" s="385">
        <f t="shared" si="36"/>
        <v>45.48740095956704</v>
      </c>
      <c r="Z135" s="385">
        <f t="shared" si="37"/>
        <v>46.927463463536981</v>
      </c>
      <c r="AA135" s="386">
        <f t="shared" si="38"/>
        <v>50.539224250492559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7.1464507825728663E-2</v>
      </c>
      <c r="AD135" s="231">
        <f>(INDEX(Models!$BJ135:$BT135,,AH135)*(1-AF135)+INDEX(Models!$BJ135:$BT135,,AH135+1)*AF135-ERP_i)*AE135*Ramure*Pc/MaxiM</f>
        <v>4.6903547935828994E-5</v>
      </c>
      <c r="AE135" s="305">
        <f t="shared" si="40"/>
        <v>0.5</v>
      </c>
      <c r="AF135" s="177">
        <f t="shared" si="41"/>
        <v>7.7804278460747778E-2</v>
      </c>
      <c r="AG135" s="811">
        <f t="shared" si="49"/>
        <v>0</v>
      </c>
      <c r="AH135" s="176">
        <f t="shared" si="42"/>
        <v>6</v>
      </c>
      <c r="AI135" s="225">
        <f t="shared" si="43"/>
        <v>7.7804278460747778E-2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44683</v>
      </c>
      <c r="B136" s="1140">
        <v>30.405000000000001</v>
      </c>
      <c r="C136" s="841"/>
      <c r="D136" s="393">
        <f t="shared" si="25"/>
        <v>31.368263484434845</v>
      </c>
      <c r="E136" s="385">
        <f t="shared" si="47"/>
        <v>32.492579210743969</v>
      </c>
      <c r="F136" s="385">
        <f t="shared" si="26"/>
        <v>32.49312619900477</v>
      </c>
      <c r="G136" s="110">
        <f t="shared" si="48"/>
        <v>0.524596343973183</v>
      </c>
      <c r="H136" s="414" t="b">
        <f>Wh_hp&gt;='2021'!Maxi_hp</f>
        <v>0</v>
      </c>
      <c r="I136" s="380">
        <f>IF(H136,Wh_hp,'2021'!Maxi_hp)</f>
        <v>50.847443819946974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3.0708218353012184E-2</v>
      </c>
      <c r="M136" s="845"/>
      <c r="N136" s="845"/>
      <c r="O136" s="48">
        <f>IF(t&lt;Tnet,'2021'!Resal+('2021'!Salim-'2021'!Resal)*(1-EXP(('2021'!Tnet-t)/('2021'!Tau_j))),Resal+(Salim-Resal)*(1-EXP((Tnet-t)/(Tau_j))))*Salcycl</f>
        <v>3.4602230836059893E-2</v>
      </c>
      <c r="P136" s="339">
        <f>(INDEX(Models!$BJ136:$BT136,,T136)*(1-R136)+INDEX(Models!$BJ136:$BT136,,T136+1)*R136-ERP_i)*Q136*Ramure*Pc/MaxiM</f>
        <v>5.2462106495598534E-5</v>
      </c>
      <c r="Q136" s="305">
        <f t="shared" si="28"/>
        <v>0.5</v>
      </c>
      <c r="R136" s="177">
        <f t="shared" si="29"/>
        <v>8.0636763896182864E-2</v>
      </c>
      <c r="S136" s="811">
        <f t="shared" si="30"/>
        <v>0</v>
      </c>
      <c r="T136" s="176">
        <f t="shared" si="31"/>
        <v>6</v>
      </c>
      <c r="U136" s="251">
        <f t="shared" si="32"/>
        <v>8.0636763896182864E-2</v>
      </c>
      <c r="V136" s="383">
        <f t="shared" si="33"/>
        <v>57.956783453642238</v>
      </c>
      <c r="W136" s="402">
        <f t="shared" si="34"/>
        <v>0</v>
      </c>
      <c r="X136" s="157">
        <f t="shared" si="35"/>
        <v>44683</v>
      </c>
      <c r="Y136" s="385">
        <f t="shared" si="36"/>
        <v>29.241408674035689</v>
      </c>
      <c r="Z136" s="385">
        <f t="shared" si="37"/>
        <v>30.167808319131392</v>
      </c>
      <c r="AA136" s="386">
        <f t="shared" si="38"/>
        <v>32.492579210743969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7.1547748688533405E-2</v>
      </c>
      <c r="AD136" s="231">
        <f>(INDEX(Models!$BJ136:$BT136,,AH136)*(1-AF136)+INDEX(Models!$BJ136:$BT136,,AH136+1)*AF136-ERP_i)*AE136*Ramure*Pc/MaxiM</f>
        <v>5.2462106495598534E-5</v>
      </c>
      <c r="AE136" s="305">
        <f t="shared" si="40"/>
        <v>0.5</v>
      </c>
      <c r="AF136" s="177">
        <f t="shared" si="41"/>
        <v>8.0636763896182864E-2</v>
      </c>
      <c r="AG136" s="811">
        <f t="shared" si="49"/>
        <v>0</v>
      </c>
      <c r="AH136" s="176">
        <f t="shared" si="42"/>
        <v>6</v>
      </c>
      <c r="AI136" s="225">
        <f t="shared" si="43"/>
        <v>8.0636763896182864E-2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44684</v>
      </c>
      <c r="B137" s="1140">
        <v>36.227000000000004</v>
      </c>
      <c r="C137" s="841"/>
      <c r="D137" s="393">
        <f t="shared" si="25"/>
        <v>37.375529399513105</v>
      </c>
      <c r="E137" s="385">
        <f t="shared" si="47"/>
        <v>38.719090543293824</v>
      </c>
      <c r="F137" s="385">
        <f t="shared" si="26"/>
        <v>38.72013901713806</v>
      </c>
      <c r="G137" s="110">
        <f t="shared" si="48"/>
        <v>0.62385286352662606</v>
      </c>
      <c r="H137" s="414" t="b">
        <f>Wh_hp&gt;='2021'!Maxi_hp</f>
        <v>0</v>
      </c>
      <c r="I137" s="380">
        <f>IF(H137,Wh_hp,'2021'!Maxi_hp)</f>
        <v>60.514631083164147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3.0729448330652054E-2</v>
      </c>
      <c r="M137" s="845"/>
      <c r="N137" s="845"/>
      <c r="O137" s="48">
        <f>IF(t&lt;Tnet,'2021'!Resal+('2021'!Salim-'2021'!Resal)*(1-EXP(('2021'!Tnet-t)/('2021'!Tau_j))),Resal+(Salim-Resal)*(1-EXP((Tnet-t)/(Tau_j))))*Salcycl</f>
        <v>3.4700224745165709E-2</v>
      </c>
      <c r="P137" s="339">
        <f>(INDEX(Models!$BJ137:$BT137,,T137)*(1-R137)+INDEX(Models!$BJ137:$BT137,,T137+1)*R137-ERP_i)*Q137*Ramure*Pc/MaxiM</f>
        <v>5.8525439259696108E-5</v>
      </c>
      <c r="Q137" s="305">
        <f t="shared" si="28"/>
        <v>0.5</v>
      </c>
      <c r="R137" s="177">
        <f t="shared" si="29"/>
        <v>8.3547695161746635E-2</v>
      </c>
      <c r="S137" s="811">
        <f t="shared" si="30"/>
        <v>0</v>
      </c>
      <c r="T137" s="176">
        <f t="shared" si="31"/>
        <v>6</v>
      </c>
      <c r="U137" s="251">
        <f t="shared" si="32"/>
        <v>8.3547695161746635E-2</v>
      </c>
      <c r="V137" s="383">
        <f t="shared" si="33"/>
        <v>58.067956163999604</v>
      </c>
      <c r="W137" s="402">
        <f t="shared" si="34"/>
        <v>0</v>
      </c>
      <c r="X137" s="157">
        <f t="shared" si="35"/>
        <v>44684</v>
      </c>
      <c r="Y137" s="385">
        <f t="shared" si="36"/>
        <v>34.840979727578556</v>
      </c>
      <c r="Z137" s="385">
        <f t="shared" si="37"/>
        <v>35.945567176855725</v>
      </c>
      <c r="AA137" s="386">
        <f t="shared" si="38"/>
        <v>38.719090543293824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7.1631934725762153E-2</v>
      </c>
      <c r="AD137" s="231">
        <f>(INDEX(Models!$BJ137:$BT137,,AH137)*(1-AF137)+INDEX(Models!$BJ137:$BT137,,AH137+1)*AF137-ERP_i)*AE137*Ramure*Pc/MaxiM</f>
        <v>5.8525439259696108E-5</v>
      </c>
      <c r="AE137" s="305">
        <f t="shared" si="40"/>
        <v>0.5</v>
      </c>
      <c r="AF137" s="177">
        <f t="shared" si="41"/>
        <v>8.3547695161746635E-2</v>
      </c>
      <c r="AG137" s="811">
        <f t="shared" si="49"/>
        <v>0</v>
      </c>
      <c r="AH137" s="176">
        <f t="shared" si="42"/>
        <v>6</v>
      </c>
      <c r="AI137" s="225">
        <f t="shared" si="43"/>
        <v>8.3547695161746635E-2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44685</v>
      </c>
      <c r="B138" s="1140">
        <v>20.094999999999999</v>
      </c>
      <c r="C138" s="841"/>
      <c r="D138" s="393">
        <f t="shared" si="25"/>
        <v>20.732539647576075</v>
      </c>
      <c r="E138" s="385">
        <f t="shared" si="47"/>
        <v>21.480015825293012</v>
      </c>
      <c r="F138" s="385">
        <f t="shared" si="26"/>
        <v>21.480106582464238</v>
      </c>
      <c r="G138" s="110">
        <f t="shared" si="48"/>
        <v>0.34540709249491375</v>
      </c>
      <c r="H138" s="414" t="b">
        <f>Wh_hp&gt;='2021'!Maxi_hp</f>
        <v>0</v>
      </c>
      <c r="I138" s="380">
        <f>IF(H138,Wh_hp,'2021'!Maxi_hp)</f>
        <v>57.253924122877009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3.0750677843300989E-2</v>
      </c>
      <c r="M138" s="845"/>
      <c r="N138" s="845"/>
      <c r="O138" s="48">
        <f>IF(t&lt;Tnet,'2021'!Resal+('2021'!Salim-'2021'!Resal)*(1-EXP(('2021'!Tnet-t)/('2021'!Tau_j))),Resal+(Salim-Resal)*(1-EXP((Tnet-t)/(Tau_j))))*Salcycl</f>
        <v>3.4798679097655709E-2</v>
      </c>
      <c r="P138" s="339">
        <f>(INDEX(Models!$BJ138:$BT138,,T138)*(1-R138)+INDEX(Models!$BJ138:$BT138,,T138+1)*R138-ERP_i)*Q138*Ramure*Pc/MaxiM</f>
        <v>6.510551403502999E-5</v>
      </c>
      <c r="Q138" s="305">
        <f t="shared" si="28"/>
        <v>0.5</v>
      </c>
      <c r="R138" s="177">
        <f t="shared" si="29"/>
        <v>8.6537816078037039E-2</v>
      </c>
      <c r="S138" s="811">
        <f t="shared" si="30"/>
        <v>0</v>
      </c>
      <c r="T138" s="176">
        <f t="shared" si="31"/>
        <v>6</v>
      </c>
      <c r="U138" s="251">
        <f t="shared" si="32"/>
        <v>8.6537816078037039E-2</v>
      </c>
      <c r="V138" s="383">
        <f t="shared" si="33"/>
        <v>58.17418646282799</v>
      </c>
      <c r="W138" s="402">
        <f t="shared" si="34"/>
        <v>0</v>
      </c>
      <c r="X138" s="157">
        <f t="shared" si="35"/>
        <v>44685</v>
      </c>
      <c r="Y138" s="385">
        <f t="shared" si="36"/>
        <v>19.326378313014882</v>
      </c>
      <c r="Z138" s="385">
        <f t="shared" si="37"/>
        <v>19.939532451785791</v>
      </c>
      <c r="AA138" s="386">
        <f t="shared" si="38"/>
        <v>21.480015825293012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7.1717050212471573E-2</v>
      </c>
      <c r="AD138" s="231">
        <f>(INDEX(Models!$BJ138:$BT138,,AH138)*(1-AF138)+INDEX(Models!$BJ138:$BT138,,AH138+1)*AF138-ERP_i)*AE138*Ramure*Pc/MaxiM</f>
        <v>6.510551403502999E-5</v>
      </c>
      <c r="AE138" s="305">
        <f t="shared" si="40"/>
        <v>0.5</v>
      </c>
      <c r="AF138" s="177">
        <f t="shared" si="41"/>
        <v>8.6537816078037039E-2</v>
      </c>
      <c r="AG138" s="811">
        <f t="shared" si="49"/>
        <v>0</v>
      </c>
      <c r="AH138" s="176">
        <f t="shared" si="42"/>
        <v>6</v>
      </c>
      <c r="AI138" s="225">
        <f t="shared" si="43"/>
        <v>8.6537816078037039E-2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44686</v>
      </c>
      <c r="B139" s="1140">
        <v>42.119</v>
      </c>
      <c r="C139" s="841"/>
      <c r="D139" s="393">
        <f t="shared" si="25"/>
        <v>43.456231097154053</v>
      </c>
      <c r="E139" s="385">
        <f t="shared" si="47"/>
        <v>45.027585181953349</v>
      </c>
      <c r="F139" s="385">
        <f t="shared" si="26"/>
        <v>45.029549065948487</v>
      </c>
      <c r="G139" s="110">
        <f t="shared" si="48"/>
        <v>0.72273494586121245</v>
      </c>
      <c r="H139" s="414" t="b">
        <f>Wh_hp&gt;='2021'!Maxi_hp</f>
        <v>0</v>
      </c>
      <c r="I139" s="380">
        <f>IF(H139,Wh_hp,'2021'!Maxi_hp)</f>
        <v>60.369568048217943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3.0771906890968981E-2</v>
      </c>
      <c r="M139" s="845"/>
      <c r="N139" s="845"/>
      <c r="O139" s="48">
        <f>IF(t&lt;Tnet,'2021'!Resal+('2021'!Salim-'2021'!Resal)*(1-EXP(('2021'!Tnet-t)/('2021'!Tau_j))),Resal+(Salim-Resal)*(1-EXP((Tnet-t)/(Tau_j))))*Salcycl</f>
        <v>3.4897587300086436E-2</v>
      </c>
      <c r="P139" s="339">
        <f>(INDEX(Models!$BJ139:$BT139,,T139)*(1-R139)+INDEX(Models!$BJ139:$BT139,,T139+1)*R139-ERP_i)*Q139*Ramure*Pc/MaxiM</f>
        <v>7.221491169023269E-5</v>
      </c>
      <c r="Q139" s="305">
        <f t="shared" si="28"/>
        <v>0.5</v>
      </c>
      <c r="R139" s="177">
        <f t="shared" si="29"/>
        <v>8.9607774144613433E-2</v>
      </c>
      <c r="S139" s="811">
        <f t="shared" si="30"/>
        <v>0</v>
      </c>
      <c r="T139" s="176">
        <f t="shared" si="31"/>
        <v>6</v>
      </c>
      <c r="U139" s="251">
        <f t="shared" si="32"/>
        <v>8.9607774144613433E-2</v>
      </c>
      <c r="V139" s="383">
        <f t="shared" si="33"/>
        <v>58.275576010731903</v>
      </c>
      <c r="W139" s="402">
        <f t="shared" si="34"/>
        <v>0</v>
      </c>
      <c r="X139" s="157">
        <f t="shared" si="35"/>
        <v>44686</v>
      </c>
      <c r="Y139" s="385">
        <f t="shared" si="36"/>
        <v>40.508370593646838</v>
      </c>
      <c r="Z139" s="385">
        <f t="shared" si="37"/>
        <v>41.794466010272714</v>
      </c>
      <c r="AA139" s="386">
        <f t="shared" si="38"/>
        <v>45.027585181953349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7.1803077127405829E-2</v>
      </c>
      <c r="AD139" s="231">
        <f>(INDEX(Models!$BJ139:$BT139,,AH139)*(1-AF139)+INDEX(Models!$BJ139:$BT139,,AH139+1)*AF139-ERP_i)*AE139*Ramure*Pc/MaxiM</f>
        <v>7.221491169023269E-5</v>
      </c>
      <c r="AE139" s="305">
        <f t="shared" si="40"/>
        <v>0.5</v>
      </c>
      <c r="AF139" s="177">
        <f t="shared" si="41"/>
        <v>8.9607774144613433E-2</v>
      </c>
      <c r="AG139" s="811">
        <f t="shared" si="49"/>
        <v>0</v>
      </c>
      <c r="AH139" s="176">
        <f t="shared" si="42"/>
        <v>6</v>
      </c>
      <c r="AI139" s="225">
        <f t="shared" si="43"/>
        <v>8.9607774144613433E-2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44687</v>
      </c>
      <c r="B140" s="1140">
        <v>38.53</v>
      </c>
      <c r="C140" s="841"/>
      <c r="D140" s="393">
        <f t="shared" si="25"/>
        <v>39.754155083115521</v>
      </c>
      <c r="E140" s="385">
        <f t="shared" si="47"/>
        <v>41.195885064906427</v>
      </c>
      <c r="F140" s="385">
        <f t="shared" si="26"/>
        <v>41.197577577560416</v>
      </c>
      <c r="G140" s="110">
        <f t="shared" si="48"/>
        <v>0.66004858669533972</v>
      </c>
      <c r="H140" s="414" t="b">
        <f>Wh_hp&gt;='2021'!Maxi_hp</f>
        <v>0</v>
      </c>
      <c r="I140" s="380">
        <f>IF(H140,Wh_hp,'2021'!Maxi_hp)</f>
        <v>64.189889106761925</v>
      </c>
      <c r="J140" s="85">
        <f>IF(H140,An,'2021'!An_max)</f>
        <v>2019</v>
      </c>
      <c r="K140" s="197">
        <f t="shared" si="27"/>
        <v>44687</v>
      </c>
      <c r="L140" s="147">
        <f>IF(t&lt;Tvie,1-EXP((T0-t)*PertePVj)+'2021'!Pspv,1-EXP((T0-t)*PertePVj)+Pspv)</f>
        <v>3.0793135473666355E-2</v>
      </c>
      <c r="M140" s="845"/>
      <c r="N140" s="845"/>
      <c r="O140" s="48">
        <f>IF(t&lt;Tnet,'2021'!Resal+('2021'!Salim-'2021'!Resal)*(1-EXP(('2021'!Tnet-t)/('2021'!Tau_j))),Resal+(Salim-Resal)*(1-EXP((Tnet-t)/(Tau_j))))*Salcycl</f>
        <v>3.4996941551792754E-2</v>
      </c>
      <c r="P140" s="339">
        <f>(INDEX(Models!$BJ140:$BT140,,T140)*(1-R140)+INDEX(Models!$BJ140:$BT140,,T140+1)*R140-ERP_i)*Q140*Ramure*Pc/MaxiM</f>
        <v>7.9866801851303818E-5</v>
      </c>
      <c r="Q140" s="305">
        <f t="shared" si="28"/>
        <v>0.5</v>
      </c>
      <c r="R140" s="177">
        <f t="shared" si="29"/>
        <v>9.2758113505954809E-2</v>
      </c>
      <c r="S140" s="811">
        <f t="shared" si="30"/>
        <v>0</v>
      </c>
      <c r="T140" s="176">
        <f t="shared" si="31"/>
        <v>6</v>
      </c>
      <c r="U140" s="251">
        <f t="shared" si="32"/>
        <v>9.2758113505954809E-2</v>
      </c>
      <c r="V140" s="383">
        <f t="shared" si="33"/>
        <v>58.372226482107529</v>
      </c>
      <c r="W140" s="402">
        <f t="shared" si="34"/>
        <v>0</v>
      </c>
      <c r="X140" s="157">
        <f t="shared" si="35"/>
        <v>44687</v>
      </c>
      <c r="Y140" s="385">
        <f t="shared" si="36"/>
        <v>37.056958706484927</v>
      </c>
      <c r="Z140" s="385">
        <f t="shared" si="37"/>
        <v>38.234313089182706</v>
      </c>
      <c r="AA140" s="386">
        <f t="shared" si="38"/>
        <v>41.195885064906427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7.1889995106491827E-2</v>
      </c>
      <c r="AD140" s="231">
        <f>(INDEX(Models!$BJ140:$BT140,,AH140)*(1-AF140)+INDEX(Models!$BJ140:$BT140,,AH140+1)*AF140-ERP_i)*AE140*Ramure*Pc/MaxiM</f>
        <v>7.9866801851303818E-5</v>
      </c>
      <c r="AE140" s="305">
        <f t="shared" si="40"/>
        <v>0.5</v>
      </c>
      <c r="AF140" s="177">
        <f t="shared" si="41"/>
        <v>9.2758113505954809E-2</v>
      </c>
      <c r="AG140" s="811">
        <f t="shared" si="49"/>
        <v>0</v>
      </c>
      <c r="AH140" s="176">
        <f t="shared" si="42"/>
        <v>6</v>
      </c>
      <c r="AI140" s="225">
        <f t="shared" si="43"/>
        <v>9.2758113505954809E-2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44688</v>
      </c>
      <c r="B141" s="1140">
        <v>52.39</v>
      </c>
      <c r="C141" s="841"/>
      <c r="D141" s="393">
        <f t="shared" si="25"/>
        <v>54.055691739444043</v>
      </c>
      <c r="E141" s="385">
        <f t="shared" si="47"/>
        <v>56.021876573419021</v>
      </c>
      <c r="F141" s="385">
        <f t="shared" si="26"/>
        <v>56.026078669464731</v>
      </c>
      <c r="G141" s="110">
        <f t="shared" si="48"/>
        <v>0.89609161900610756</v>
      </c>
      <c r="H141" s="414" t="b">
        <f>Wh_hp&gt;='2021'!Maxi_hp</f>
        <v>0</v>
      </c>
      <c r="I141" s="380">
        <f>IF(H141,Wh_hp,'2021'!Maxi_hp)</f>
        <v>60.114108347336412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3.0814363591403326E-2</v>
      </c>
      <c r="M141" s="845"/>
      <c r="N141" s="845"/>
      <c r="O141" s="48">
        <f>IF(t&lt;Tnet,'2021'!Resal+('2021'!Salim-'2021'!Resal)*(1-EXP(('2021'!Tnet-t)/('2021'!Tau_j))),Resal+(Salim-Resal)*(1-EXP((Tnet-t)/(Tau_j))))*Salcycl</f>
        <v>3.5096732816477787E-2</v>
      </c>
      <c r="P141" s="339">
        <f>(INDEX(Models!$BJ141:$BT141,,T141)*(1-R141)+INDEX(Models!$BJ141:$BT141,,T141+1)*R141-ERP_i)*Q141*Ramure*Pc/MaxiM</f>
        <v>8.8074915871697598E-5</v>
      </c>
      <c r="Q141" s="305">
        <f t="shared" si="28"/>
        <v>0.5</v>
      </c>
      <c r="R141" s="177">
        <f t="shared" si="29"/>
        <v>9.5989267911107137E-2</v>
      </c>
      <c r="S141" s="811">
        <f t="shared" si="30"/>
        <v>0</v>
      </c>
      <c r="T141" s="176">
        <f t="shared" si="31"/>
        <v>6</v>
      </c>
      <c r="U141" s="251">
        <f t="shared" si="32"/>
        <v>9.5989267911107137E-2</v>
      </c>
      <c r="V141" s="383">
        <f t="shared" si="33"/>
        <v>58.464239563968228</v>
      </c>
      <c r="W141" s="402">
        <f t="shared" si="34"/>
        <v>0</v>
      </c>
      <c r="X141" s="157">
        <f t="shared" si="35"/>
        <v>44688</v>
      </c>
      <c r="Y141" s="385">
        <f t="shared" si="36"/>
        <v>50.387521408460408</v>
      </c>
      <c r="Z141" s="385">
        <f t="shared" si="37"/>
        <v>51.989546187638354</v>
      </c>
      <c r="AA141" s="386">
        <f t="shared" si="38"/>
        <v>56.021876573419021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7.1977781402879804E-2</v>
      </c>
      <c r="AD141" s="231">
        <f>(INDEX(Models!$BJ141:$BT141,,AH141)*(1-AF141)+INDEX(Models!$BJ141:$BT141,,AH141+1)*AF141-ERP_i)*AE141*Ramure*Pc/MaxiM</f>
        <v>8.8074915871697598E-5</v>
      </c>
      <c r="AE141" s="305">
        <f t="shared" si="40"/>
        <v>0.5</v>
      </c>
      <c r="AF141" s="177">
        <f t="shared" si="41"/>
        <v>9.5989267911107137E-2</v>
      </c>
      <c r="AG141" s="811">
        <f t="shared" si="49"/>
        <v>0</v>
      </c>
      <c r="AH141" s="176">
        <f t="shared" si="42"/>
        <v>6</v>
      </c>
      <c r="AI141" s="225">
        <f t="shared" si="43"/>
        <v>9.5989267911107137E-2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44689</v>
      </c>
      <c r="B142" s="1140">
        <v>49.856999999999999</v>
      </c>
      <c r="C142" s="841"/>
      <c r="D142" s="393">
        <f t="shared" si="25"/>
        <v>51.443284080154392</v>
      </c>
      <c r="E142" s="385">
        <f t="shared" si="47"/>
        <v>53.319984967569944</v>
      </c>
      <c r="F142" s="385">
        <f t="shared" si="26"/>
        <v>53.324033438085962</v>
      </c>
      <c r="G142" s="110">
        <f t="shared" si="48"/>
        <v>0.85148581336298812</v>
      </c>
      <c r="H142" s="414" t="b">
        <f>Wh_hp&gt;='2021'!Maxi_hp</f>
        <v>0</v>
      </c>
      <c r="I142" s="380">
        <f>IF(H142,Wh_hp,'2021'!Maxi_hp)</f>
        <v>60.745186891784464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3.0835591244190108E-2</v>
      </c>
      <c r="M142" s="845"/>
      <c r="N142" s="845"/>
      <c r="O142" s="48">
        <f>IF(t&lt;Tnet,'2021'!Resal+('2021'!Salim-'2021'!Resal)*(1-EXP(('2021'!Tnet-t)/('2021'!Tau_j))),Resal+(Salim-Resal)*(1-EXP((Tnet-t)/(Tau_j))))*Salcycl</f>
        <v>3.519695079728536E-2</v>
      </c>
      <c r="P142" s="339">
        <f>(INDEX(Models!$BJ142:$BT142,,T142)*(1-R142)+INDEX(Models!$BJ142:$BT142,,T142+1)*R142-ERP_i)*Q142*Ramure*Pc/MaxiM</f>
        <v>9.6364700273486606E-5</v>
      </c>
      <c r="Q142" s="305">
        <f t="shared" si="28"/>
        <v>0.5</v>
      </c>
      <c r="R142" s="177">
        <f t="shared" si="29"/>
        <v>9.9301553709240084E-2</v>
      </c>
      <c r="S142" s="811">
        <f t="shared" si="30"/>
        <v>0</v>
      </c>
      <c r="T142" s="176">
        <f t="shared" si="31"/>
        <v>6</v>
      </c>
      <c r="U142" s="251">
        <f t="shared" si="32"/>
        <v>9.9301553709240084E-2</v>
      </c>
      <c r="V142" s="383">
        <f t="shared" si="33"/>
        <v>58.55174558579597</v>
      </c>
      <c r="W142" s="402">
        <f t="shared" si="34"/>
        <v>0</v>
      </c>
      <c r="X142" s="157">
        <f t="shared" si="35"/>
        <v>44689</v>
      </c>
      <c r="Y142" s="385">
        <f t="shared" si="36"/>
        <v>47.951739986999684</v>
      </c>
      <c r="Z142" s="385">
        <f t="shared" si="37"/>
        <v>49.477405024147536</v>
      </c>
      <c r="AA142" s="386">
        <f t="shared" si="38"/>
        <v>53.319984967569944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7.2066410854382645E-2</v>
      </c>
      <c r="AD142" s="231">
        <f>(INDEX(Models!$BJ142:$BT142,,AH142)*(1-AF142)+INDEX(Models!$BJ142:$BT142,,AH142+1)*AF142-ERP_i)*AE142*Ramure*Pc/MaxiM</f>
        <v>9.6364700273486606E-5</v>
      </c>
      <c r="AE142" s="305">
        <f t="shared" si="40"/>
        <v>0.5</v>
      </c>
      <c r="AF142" s="177">
        <f t="shared" si="41"/>
        <v>9.9301553709240084E-2</v>
      </c>
      <c r="AG142" s="811">
        <f t="shared" si="49"/>
        <v>0</v>
      </c>
      <c r="AH142" s="176">
        <f t="shared" si="42"/>
        <v>6</v>
      </c>
      <c r="AI142" s="225">
        <f t="shared" si="43"/>
        <v>9.9301553709240084E-2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44690</v>
      </c>
      <c r="B143" s="1140">
        <v>52.170999999999999</v>
      </c>
      <c r="C143" s="841"/>
      <c r="D143" s="393">
        <f t="shared" ref="D143:D206" si="50">Wh/(1-Ppv)</f>
        <v>53.832086932287197</v>
      </c>
      <c r="E143" s="385">
        <f t="shared" si="47"/>
        <v>55.801754027730304</v>
      </c>
      <c r="F143" s="385">
        <f t="shared" ref="F143:F206" si="51">Wh_sa/(1-Pvg*MEDIAN((-Sdif+Wh/Env_an)/Csdif,0,1))</f>
        <v>55.806669798350285</v>
      </c>
      <c r="G143" s="110">
        <f t="shared" si="48"/>
        <v>0.88974617804801126</v>
      </c>
      <c r="H143" s="414" t="b">
        <f>Wh_hp&gt;='2021'!Maxi_hp</f>
        <v>1</v>
      </c>
      <c r="I143" s="380">
        <f>IF(H143,Wh_hp,'2021'!Maxi_hp)</f>
        <v>55.806669798350285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3.0856818432036692E-2</v>
      </c>
      <c r="M143" s="845"/>
      <c r="N143" s="845"/>
      <c r="O143" s="48">
        <f>IF(t&lt;Tnet,'2021'!Resal+('2021'!Salim-'2021'!Resal)*(1-EXP(('2021'!Tnet-t)/('2021'!Tau_j))),Resal+(Salim-Resal)*(1-EXP((Tnet-t)/(Tau_j))))*Salcycl</f>
        <v>3.5297583915808395E-2</v>
      </c>
      <c r="P143" s="339">
        <f>(INDEX(Models!$BJ143:$BT143,,T143)*(1-R143)+INDEX(Models!$BJ143:$BT143,,T143+1)*R143-ERP_i)*Q143*Ramure*Pc/MaxiM</f>
        <v>1.0455086206199107E-4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0.10269516292658548</v>
      </c>
      <c r="S143" s="811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0.10269516292658548</v>
      </c>
      <c r="V143" s="383">
        <f t="shared" ref="V143:V206" si="58">MaxiM*(1-Ppv)*(1-Pvg)*(1-Psa)</f>
        <v>58.634858129753425</v>
      </c>
      <c r="W143" s="402">
        <f t="shared" ref="W143:W206" si="59">Wh*(A143&gt;Tmaj)</f>
        <v>0</v>
      </c>
      <c r="X143" s="157">
        <f t="shared" ref="X143:X206" si="60">t</f>
        <v>44690</v>
      </c>
      <c r="Y143" s="385">
        <f t="shared" ref="Y143:Y206" si="61">Wh_pvt_s*(1-Ppv)</f>
        <v>50.177708728519882</v>
      </c>
      <c r="Z143" s="385">
        <f t="shared" ref="Z143:Z206" si="62">Wh_sa_s*(1-Psa_s)</f>
        <v>51.775330707417311</v>
      </c>
      <c r="AA143" s="386">
        <f t="shared" ref="AA143:AA206" si="63">Wh_hp*(1-Pvg_s*MEDIAN((-Sdif+Wh/Env_an)/Csdif,0,1))</f>
        <v>55.801754027730304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7.2155855859156223E-2</v>
      </c>
      <c r="AD143" s="231">
        <f>(INDEX(Models!$BJ143:$BT143,,AH143)*(1-AF143)+INDEX(Models!$BJ143:$BT143,,AH143+1)*AF143-ERP_i)*AE143*Ramure*Pc/MaxiM</f>
        <v>1.0455086206199107E-4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0.10269516292658548</v>
      </c>
      <c r="AG143" s="811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0.10269516292658548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44691</v>
      </c>
      <c r="B144" s="1140">
        <v>51.835999999999999</v>
      </c>
      <c r="C144" s="841"/>
      <c r="D144" s="393">
        <f t="shared" si="50"/>
        <v>53.487592289959096</v>
      </c>
      <c r="E144" s="385">
        <f t="shared" ref="E144:E169" si="72">Wh_pvt/(1-Psa)</f>
        <v>55.450462087140224</v>
      </c>
      <c r="F144" s="385">
        <f t="shared" si="51"/>
        <v>55.455663117094851</v>
      </c>
      <c r="G144" s="110">
        <f t="shared" ref="G144:G169" si="73">+Wh_hp/MaxiM</f>
        <v>0.88284404921683379</v>
      </c>
      <c r="H144" s="414" t="b">
        <f>Wh_hp&gt;='2021'!Maxi_hp</f>
        <v>1</v>
      </c>
      <c r="I144" s="380">
        <f>IF(H144,Wh_hp,'2021'!Maxi_hp)</f>
        <v>55.455663117094851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3.0878045154953515E-2</v>
      </c>
      <c r="M144" s="845"/>
      <c r="N144" s="845"/>
      <c r="O144" s="48">
        <f>IF(t&lt;Tnet,'2021'!Resal+('2021'!Salim-'2021'!Resal)*(1-EXP(('2021'!Tnet-t)/('2021'!Tau_j))),Resal+(Salim-Resal)*(1-EXP((Tnet-t)/(Tau_j))))*Salcycl</f>
        <v>3.5398619295480105E-2</v>
      </c>
      <c r="P144" s="339">
        <f>(INDEX(Models!$BJ144:$BT144,,T144)*(1-R144)+INDEX(Models!$BJ144:$BT144,,T144+1)*R144-ERP_i)*Q144*Ramure*Pc/MaxiM</f>
        <v>1.1263587185128502E-4</v>
      </c>
      <c r="Q144" s="305">
        <f t="shared" si="53"/>
        <v>0.5</v>
      </c>
      <c r="R144" s="177">
        <f t="shared" si="54"/>
        <v>0.10617015647330372</v>
      </c>
      <c r="S144" s="811">
        <f t="shared" si="55"/>
        <v>0</v>
      </c>
      <c r="T144" s="176">
        <f t="shared" si="56"/>
        <v>6</v>
      </c>
      <c r="U144" s="251">
        <f t="shared" si="57"/>
        <v>0.10617015647330372</v>
      </c>
      <c r="V144" s="383">
        <f t="shared" si="58"/>
        <v>58.713679854629987</v>
      </c>
      <c r="W144" s="402">
        <f t="shared" si="59"/>
        <v>0</v>
      </c>
      <c r="X144" s="157">
        <f t="shared" si="60"/>
        <v>44691</v>
      </c>
      <c r="Y144" s="385">
        <f t="shared" si="61"/>
        <v>49.85588122660149</v>
      </c>
      <c r="Z144" s="385">
        <f t="shared" si="62"/>
        <v>51.444383214466519</v>
      </c>
      <c r="AA144" s="386">
        <f t="shared" si="63"/>
        <v>55.450462087140224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7.2246086360437625E-2</v>
      </c>
      <c r="AD144" s="231">
        <f>(INDEX(Models!$BJ144:$BT144,,AH144)*(1-AF144)+INDEX(Models!$BJ144:$BT144,,AH144+1)*AF144-ERP_i)*AE144*Ramure*Pc/MaxiM</f>
        <v>1.1263587185128502E-4</v>
      </c>
      <c r="AE144" s="305">
        <f t="shared" si="65"/>
        <v>0.5</v>
      </c>
      <c r="AF144" s="177">
        <f t="shared" si="66"/>
        <v>0.10617015647330372</v>
      </c>
      <c r="AG144" s="811">
        <f t="shared" ref="AG144:AG207" si="74">INDEX(Echel_vg,AH144)</f>
        <v>0</v>
      </c>
      <c r="AH144" s="176">
        <f t="shared" si="67"/>
        <v>6</v>
      </c>
      <c r="AI144" s="225">
        <f t="shared" si="68"/>
        <v>0.10617015647330372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44692</v>
      </c>
      <c r="B145" s="1140">
        <v>55.953000000000003</v>
      </c>
      <c r="C145" s="841"/>
      <c r="D145" s="393">
        <f t="shared" si="50"/>
        <v>57.737032229435599</v>
      </c>
      <c r="E145" s="385">
        <f t="shared" si="72"/>
        <v>59.862140786447974</v>
      </c>
      <c r="F145" s="385">
        <f t="shared" si="51"/>
        <v>59.868864727425738</v>
      </c>
      <c r="G145" s="110">
        <f t="shared" si="73"/>
        <v>0.95176288677536858</v>
      </c>
      <c r="H145" s="414" t="b">
        <f>Wh_hp&gt;='2021'!Maxi_hp</f>
        <v>1</v>
      </c>
      <c r="I145" s="380">
        <f>IF(H145,Wh_hp,'2021'!Maxi_hp)</f>
        <v>59.868864727425738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3.0899271412950458E-2</v>
      </c>
      <c r="M145" s="845"/>
      <c r="N145" s="845"/>
      <c r="O145" s="48">
        <f>IF(t&lt;Tnet,'2021'!Resal+('2021'!Salim-'2021'!Resal)*(1-EXP(('2021'!Tnet-t)/('2021'!Tau_j))),Resal+(Salim-Resal)*(1-EXP((Tnet-t)/(Tau_j))))*Salcycl</f>
        <v>3.5500042749782044E-2</v>
      </c>
      <c r="P145" s="339">
        <f>(INDEX(Models!$BJ145:$BT145,,T145)*(1-R145)+INDEX(Models!$BJ145:$BT145,,T145+1)*R145-ERP_i)*Q145*Ramure*Pc/MaxiM</f>
        <v>1.2062185739018113E-4</v>
      </c>
      <c r="Q145" s="305">
        <f t="shared" si="53"/>
        <v>0.5</v>
      </c>
      <c r="R145" s="177">
        <f t="shared" si="54"/>
        <v>0.10972645753166797</v>
      </c>
      <c r="S145" s="811">
        <f t="shared" si="55"/>
        <v>0</v>
      </c>
      <c r="T145" s="176">
        <f t="shared" si="56"/>
        <v>6</v>
      </c>
      <c r="U145" s="251">
        <f t="shared" si="57"/>
        <v>0.10972645753166797</v>
      </c>
      <c r="V145" s="383">
        <f t="shared" si="58"/>
        <v>58.788313471923686</v>
      </c>
      <c r="W145" s="402">
        <f t="shared" si="59"/>
        <v>0</v>
      </c>
      <c r="X145" s="157">
        <f t="shared" si="60"/>
        <v>44692</v>
      </c>
      <c r="Y145" s="385">
        <f t="shared" si="61"/>
        <v>53.815994019493637</v>
      </c>
      <c r="Z145" s="385">
        <f t="shared" si="62"/>
        <v>55.531888927539498</v>
      </c>
      <c r="AA145" s="386">
        <f t="shared" si="63"/>
        <v>59.862140786447974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7.2337069841123924E-2</v>
      </c>
      <c r="AD145" s="231">
        <f>(INDEX(Models!$BJ145:$BT145,,AH145)*(1-AF145)+INDEX(Models!$BJ145:$BT145,,AH145+1)*AF145-ERP_i)*AE145*Ramure*Pc/MaxiM</f>
        <v>1.2062185739018113E-4</v>
      </c>
      <c r="AE145" s="305">
        <f t="shared" si="65"/>
        <v>0.5</v>
      </c>
      <c r="AF145" s="177">
        <f t="shared" si="66"/>
        <v>0.10972645753166797</v>
      </c>
      <c r="AG145" s="811">
        <f t="shared" si="74"/>
        <v>0</v>
      </c>
      <c r="AH145" s="176">
        <f t="shared" si="67"/>
        <v>6</v>
      </c>
      <c r="AI145" s="225">
        <f t="shared" si="68"/>
        <v>0.10972645753166797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44693</v>
      </c>
      <c r="B146" s="1140">
        <v>40.797000000000004</v>
      </c>
      <c r="C146" s="841"/>
      <c r="D146" s="393">
        <f t="shared" si="50"/>
        <v>42.098713142087725</v>
      </c>
      <c r="E146" s="385">
        <f t="shared" si="72"/>
        <v>43.652834311341856</v>
      </c>
      <c r="F146" s="385">
        <f t="shared" si="51"/>
        <v>43.655985133297463</v>
      </c>
      <c r="G146" s="110">
        <f t="shared" si="73"/>
        <v>0.6930936183104458</v>
      </c>
      <c r="H146" s="414" t="b">
        <f>Wh_hp&gt;='2021'!Maxi_hp</f>
        <v>0</v>
      </c>
      <c r="I146" s="380">
        <f>IF(H146,Wh_hp,'2021'!Maxi_hp)</f>
        <v>59.238727729135654</v>
      </c>
      <c r="J146" s="85">
        <f>IF(H146,An,'2021'!An_max)</f>
        <v>2019</v>
      </c>
      <c r="K146" s="197">
        <f t="shared" si="52"/>
        <v>44693</v>
      </c>
      <c r="L146" s="147">
        <f>IF(t&lt;Tvie,1-EXP((T0-t)*PertePVj)+'2021'!Pspv,1-EXP((T0-t)*PertePVj)+Pspv)</f>
        <v>3.0920497206038067E-2</v>
      </c>
      <c r="M146" s="845"/>
      <c r="N146" s="845"/>
      <c r="O146" s="48">
        <f>IF(t&lt;Tnet,'2021'!Resal+('2021'!Salim-'2021'!Resal)*(1-EXP(('2021'!Tnet-t)/('2021'!Tau_j))),Resal+(Salim-Resal)*(1-EXP((Tnet-t)/(Tau_j))))*Salcycl</f>
        <v>3.5601838775686137E-2</v>
      </c>
      <c r="P146" s="339">
        <f>(INDEX(Models!$BJ146:$BT146,,T146)*(1-R146)+INDEX(Models!$BJ146:$BT146,,T146+1)*R146-ERP_i)*Q146*Ramure*Pc/MaxiM</f>
        <v>1.2851060682237807E-4</v>
      </c>
      <c r="Q146" s="305">
        <f t="shared" si="53"/>
        <v>0.5</v>
      </c>
      <c r="R146" s="177">
        <f t="shared" si="54"/>
        <v>0.11336384517949671</v>
      </c>
      <c r="S146" s="811">
        <f t="shared" si="55"/>
        <v>0</v>
      </c>
      <c r="T146" s="176">
        <f t="shared" si="56"/>
        <v>6</v>
      </c>
      <c r="U146" s="251">
        <f t="shared" si="57"/>
        <v>0.11336384517949671</v>
      </c>
      <c r="V146" s="383">
        <f t="shared" si="58"/>
        <v>58.858861756976054</v>
      </c>
      <c r="W146" s="402">
        <f t="shared" si="59"/>
        <v>0</v>
      </c>
      <c r="X146" s="157">
        <f t="shared" si="60"/>
        <v>44693</v>
      </c>
      <c r="Y146" s="385">
        <f t="shared" si="61"/>
        <v>39.239107805901121</v>
      </c>
      <c r="Z146" s="385">
        <f t="shared" si="62"/>
        <v>40.491113157146025</v>
      </c>
      <c r="AA146" s="386">
        <f t="shared" si="63"/>
        <v>43.652834311341856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7.242877132892965E-2</v>
      </c>
      <c r="AD146" s="231">
        <f>(INDEX(Models!$BJ146:$BT146,,AH146)*(1-AF146)+INDEX(Models!$BJ146:$BT146,,AH146+1)*AF146-ERP_i)*AE146*Ramure*Pc/MaxiM</f>
        <v>1.2851060682237807E-4</v>
      </c>
      <c r="AE146" s="305">
        <f t="shared" si="65"/>
        <v>0.5</v>
      </c>
      <c r="AF146" s="177">
        <f t="shared" si="66"/>
        <v>0.11336384517949671</v>
      </c>
      <c r="AG146" s="811">
        <f t="shared" si="74"/>
        <v>0</v>
      </c>
      <c r="AH146" s="176">
        <f t="shared" si="67"/>
        <v>6</v>
      </c>
      <c r="AI146" s="225">
        <f t="shared" si="68"/>
        <v>0.11336384517949671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44694</v>
      </c>
      <c r="B147" s="1140">
        <v>41.497</v>
      </c>
      <c r="C147" s="841"/>
      <c r="D147" s="393">
        <f t="shared" si="50"/>
        <v>42.821986009469526</v>
      </c>
      <c r="E147" s="385">
        <f t="shared" si="72"/>
        <v>44.407511376112218</v>
      </c>
      <c r="F147" s="385">
        <f t="shared" si="51"/>
        <v>44.411007021573944</v>
      </c>
      <c r="G147" s="110">
        <f t="shared" si="73"/>
        <v>0.70418852499574558</v>
      </c>
      <c r="H147" s="414" t="b">
        <f>Wh_hp&gt;='2021'!Maxi_hp</f>
        <v>0</v>
      </c>
      <c r="I147" s="380">
        <f>IF(H147,Wh_hp,'2021'!Maxi_hp)</f>
        <v>65.408960512497771</v>
      </c>
      <c r="J147" s="85">
        <f>IF(H147,An,'2021'!An_max)</f>
        <v>2019</v>
      </c>
      <c r="K147" s="197">
        <f t="shared" si="52"/>
        <v>44694</v>
      </c>
      <c r="L147" s="147">
        <f>IF(t&lt;Tvie,1-EXP((T0-t)*PertePVj)+'2021'!Pspv,1-EXP((T0-t)*PertePVj)+Pspv)</f>
        <v>3.0941722534226224E-2</v>
      </c>
      <c r="M147" s="845"/>
      <c r="N147" s="845"/>
      <c r="O147" s="48">
        <f>IF(t&lt;Tnet,'2021'!Resal+('2021'!Salim-'2021'!Resal)*(1-EXP(('2021'!Tnet-t)/('2021'!Tau_j))),Resal+(Salim-Resal)*(1-EXP((Tnet-t)/(Tau_j))))*Salcycl</f>
        <v>3.5703990552723996E-2</v>
      </c>
      <c r="P147" s="339">
        <f>(INDEX(Models!$BJ147:$BT147,,T147)*(1-R147)+INDEX(Models!$BJ147:$BT147,,T147+1)*R147-ERP_i)*Q147*Ramure*Pc/MaxiM</f>
        <v>1.3630357220584919E-4</v>
      </c>
      <c r="Q147" s="305">
        <f t="shared" si="53"/>
        <v>0.5</v>
      </c>
      <c r="R147" s="177">
        <f t="shared" si="54"/>
        <v>0.11708194830494882</v>
      </c>
      <c r="S147" s="811">
        <f t="shared" si="55"/>
        <v>0</v>
      </c>
      <c r="T147" s="176">
        <f t="shared" si="56"/>
        <v>6</v>
      </c>
      <c r="U147" s="251">
        <f t="shared" si="57"/>
        <v>0.11708194830494882</v>
      </c>
      <c r="V147" s="383">
        <f t="shared" si="58"/>
        <v>58.925427538230778</v>
      </c>
      <c r="W147" s="402">
        <f t="shared" si="59"/>
        <v>0</v>
      </c>
      <c r="X147" s="157">
        <f t="shared" si="60"/>
        <v>44694</v>
      </c>
      <c r="Y147" s="385">
        <f t="shared" si="61"/>
        <v>39.912629856147099</v>
      </c>
      <c r="Z147" s="385">
        <f t="shared" si="62"/>
        <v>41.187027430924324</v>
      </c>
      <c r="AA147" s="386">
        <f t="shared" si="63"/>
        <v>44.407511376112218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7.2521153412804559E-2</v>
      </c>
      <c r="AD147" s="231">
        <f>(INDEX(Models!$BJ147:$BT147,,AH147)*(1-AF147)+INDEX(Models!$BJ147:$BT147,,AH147+1)*AF147-ERP_i)*AE147*Ramure*Pc/MaxiM</f>
        <v>1.3630357220584919E-4</v>
      </c>
      <c r="AE147" s="305">
        <f t="shared" si="65"/>
        <v>0.5</v>
      </c>
      <c r="AF147" s="177">
        <f t="shared" si="66"/>
        <v>0.11708194830494882</v>
      </c>
      <c r="AG147" s="811">
        <f t="shared" si="74"/>
        <v>0</v>
      </c>
      <c r="AH147" s="176">
        <f t="shared" si="67"/>
        <v>6</v>
      </c>
      <c r="AI147" s="225">
        <f t="shared" si="68"/>
        <v>0.11708194830494882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44695</v>
      </c>
      <c r="B148" s="1140">
        <v>50.204999999999998</v>
      </c>
      <c r="C148" s="841"/>
      <c r="D148" s="393">
        <f t="shared" si="50"/>
        <v>51.80916443305027</v>
      </c>
      <c r="E148" s="385">
        <f t="shared" si="72"/>
        <v>53.733159739819413</v>
      </c>
      <c r="F148" s="385">
        <f t="shared" si="51"/>
        <v>53.739252232597877</v>
      </c>
      <c r="G148" s="110">
        <f t="shared" si="73"/>
        <v>0.85107759629861512</v>
      </c>
      <c r="H148" s="414" t="b">
        <f>Wh_hp&gt;='2021'!Maxi_hp</f>
        <v>0</v>
      </c>
      <c r="I148" s="380">
        <f>IF(H148,Wh_hp,'2021'!Maxi_hp)</f>
        <v>63.832836981428784</v>
      </c>
      <c r="J148" s="85">
        <f>IF(H148,An,'2021'!An_max)</f>
        <v>2019</v>
      </c>
      <c r="K148" s="197">
        <f t="shared" si="52"/>
        <v>44695</v>
      </c>
      <c r="L148" s="147">
        <f>IF(t&lt;Tvie,1-EXP((T0-t)*PertePVj)+'2021'!Pspv,1-EXP((T0-t)*PertePVj)+Pspv)</f>
        <v>3.0962947397525253E-2</v>
      </c>
      <c r="M148" s="845"/>
      <c r="N148" s="845"/>
      <c r="O148" s="48">
        <f>IF(t&lt;Tnet,'2021'!Resal+('2021'!Salim-'2021'!Resal)*(1-EXP(('2021'!Tnet-t)/('2021'!Tau_j))),Resal+(Salim-Resal)*(1-EXP((Tnet-t)/(Tau_j))))*Salcycl</f>
        <v>3.5806479948048711E-2</v>
      </c>
      <c r="P148" s="339">
        <f>(INDEX(Models!$BJ148:$BT148,,T148)*(1-R148)+INDEX(Models!$BJ148:$BT148,,T148+1)*R148-ERP_i)*Q148*Ramure*Pc/MaxiM</f>
        <v>1.4400187325981745E-4</v>
      </c>
      <c r="Q148" s="305">
        <f t="shared" si="53"/>
        <v>0.5</v>
      </c>
      <c r="R148" s="177">
        <f t="shared" si="54"/>
        <v>0.12088023987055119</v>
      </c>
      <c r="S148" s="811">
        <f t="shared" si="55"/>
        <v>0</v>
      </c>
      <c r="T148" s="176">
        <f t="shared" si="56"/>
        <v>6</v>
      </c>
      <c r="U148" s="251">
        <f t="shared" si="57"/>
        <v>0.12088023987055119</v>
      </c>
      <c r="V148" s="383">
        <f t="shared" si="58"/>
        <v>58.988113703944649</v>
      </c>
      <c r="W148" s="402">
        <f t="shared" si="59"/>
        <v>0</v>
      </c>
      <c r="X148" s="157">
        <f t="shared" si="60"/>
        <v>44695</v>
      </c>
      <c r="Y148" s="385">
        <f t="shared" si="61"/>
        <v>48.288444500015196</v>
      </c>
      <c r="Z148" s="385">
        <f t="shared" si="62"/>
        <v>49.831370606862052</v>
      </c>
      <c r="AA148" s="386">
        <f t="shared" si="63"/>
        <v>53.733159739819413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7.2614176271229083E-2</v>
      </c>
      <c r="AD148" s="231">
        <f>(INDEX(Models!$BJ148:$BT148,,AH148)*(1-AF148)+INDEX(Models!$BJ148:$BT148,,AH148+1)*AF148-ERP_i)*AE148*Ramure*Pc/MaxiM</f>
        <v>1.4400187325981745E-4</v>
      </c>
      <c r="AE148" s="305">
        <f t="shared" si="65"/>
        <v>0.5</v>
      </c>
      <c r="AF148" s="177">
        <f t="shared" si="66"/>
        <v>0.12088023987055119</v>
      </c>
      <c r="AG148" s="811">
        <f t="shared" si="74"/>
        <v>0</v>
      </c>
      <c r="AH148" s="176">
        <f t="shared" si="67"/>
        <v>6</v>
      </c>
      <c r="AI148" s="225">
        <f t="shared" si="68"/>
        <v>0.12088023987055119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44696</v>
      </c>
      <c r="B149" s="1140">
        <v>53.114000000000004</v>
      </c>
      <c r="C149" s="841"/>
      <c r="D149" s="393">
        <f t="shared" si="50"/>
        <v>54.812314158417742</v>
      </c>
      <c r="E149" s="385">
        <f t="shared" si="72"/>
        <v>56.853897096326861</v>
      </c>
      <c r="F149" s="385">
        <f t="shared" si="51"/>
        <v>56.861280428264635</v>
      </c>
      <c r="G149" s="110">
        <f t="shared" si="73"/>
        <v>0.8995112323490676</v>
      </c>
      <c r="H149" s="414" t="b">
        <f>Wh_hp&gt;='2021'!Maxi_hp</f>
        <v>0</v>
      </c>
      <c r="I149" s="380">
        <f>IF(H149,Wh_hp,'2021'!Maxi_hp)</f>
        <v>64.337487236928794</v>
      </c>
      <c r="J149" s="85">
        <f>IF(H149,An,'2021'!An_max)</f>
        <v>2019</v>
      </c>
      <c r="K149" s="197">
        <f t="shared" si="52"/>
        <v>44696</v>
      </c>
      <c r="L149" s="147">
        <f>IF(t&lt;Tvie,1-EXP((T0-t)*PertePVj)+'2021'!Pspv,1-EXP((T0-t)*PertePVj)+Pspv)</f>
        <v>3.0984171795945259E-2</v>
      </c>
      <c r="M149" s="845"/>
      <c r="N149" s="845"/>
      <c r="O149" s="48">
        <f>IF(t&lt;Tnet,'2021'!Resal+('2021'!Salim-'2021'!Resal)*(1-EXP(('2021'!Tnet-t)/('2021'!Tau_j))),Resal+(Salim-Resal)*(1-EXP((Tnet-t)/(Tau_j))))*Salcycl</f>
        <v>3.5909287527820501E-2</v>
      </c>
      <c r="P149" s="339">
        <f>(INDEX(Models!$BJ149:$BT149,,T149)*(1-R149)+INDEX(Models!$BJ149:$BT149,,T149+1)*R149-ERP_i)*Q149*Ramure*Pc/MaxiM</f>
        <v>1.5160806094519693E-4</v>
      </c>
      <c r="Q149" s="305">
        <f t="shared" si="53"/>
        <v>0.5</v>
      </c>
      <c r="R149" s="177">
        <f t="shared" si="54"/>
        <v>0.12475803158559082</v>
      </c>
      <c r="S149" s="811">
        <f t="shared" si="55"/>
        <v>0</v>
      </c>
      <c r="T149" s="176">
        <f t="shared" si="56"/>
        <v>6</v>
      </c>
      <c r="U149" s="251">
        <f t="shared" si="57"/>
        <v>0.12475803158559082</v>
      </c>
      <c r="V149" s="383">
        <f t="shared" si="58"/>
        <v>59.046337815226842</v>
      </c>
      <c r="W149" s="402">
        <f t="shared" si="59"/>
        <v>0</v>
      </c>
      <c r="X149" s="157">
        <f t="shared" si="60"/>
        <v>44696</v>
      </c>
      <c r="Y149" s="385">
        <f t="shared" si="61"/>
        <v>51.086684473891509</v>
      </c>
      <c r="Z149" s="385">
        <f t="shared" si="62"/>
        <v>52.720175447055453</v>
      </c>
      <c r="AA149" s="386">
        <f t="shared" si="63"/>
        <v>56.853897096326861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7.2707797712928859E-2</v>
      </c>
      <c r="AD149" s="231">
        <f>(INDEX(Models!$BJ149:$BT149,,AH149)*(1-AF149)+INDEX(Models!$BJ149:$BT149,,AH149+1)*AF149-ERP_i)*AE149*Ramure*Pc/MaxiM</f>
        <v>1.5160806094519693E-4</v>
      </c>
      <c r="AE149" s="305">
        <f t="shared" si="65"/>
        <v>0.5</v>
      </c>
      <c r="AF149" s="177">
        <f t="shared" si="66"/>
        <v>0.12475803158559082</v>
      </c>
      <c r="AG149" s="811">
        <f t="shared" si="74"/>
        <v>0</v>
      </c>
      <c r="AH149" s="176">
        <f t="shared" si="67"/>
        <v>6</v>
      </c>
      <c r="AI149" s="225">
        <f t="shared" si="68"/>
        <v>0.12475803158559082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44697</v>
      </c>
      <c r="B150" s="1140">
        <v>50.628</v>
      </c>
      <c r="C150" s="841"/>
      <c r="D150" s="393">
        <f t="shared" si="50"/>
        <v>52.247968953464614</v>
      </c>
      <c r="E150" s="385">
        <f t="shared" si="72"/>
        <v>54.199834677377758</v>
      </c>
      <c r="F150" s="385">
        <f t="shared" si="51"/>
        <v>54.206653478110738</v>
      </c>
      <c r="G150" s="110">
        <f t="shared" si="73"/>
        <v>0.85662720841654139</v>
      </c>
      <c r="H150" s="414" t="b">
        <f>Wh_hp&gt;='2021'!Maxi_hp</f>
        <v>0</v>
      </c>
      <c r="I150" s="380">
        <f>IF(H150,Wh_hp,'2021'!Maxi_hp)</f>
        <v>55.759884023555387</v>
      </c>
      <c r="J150" s="85">
        <f>IF(H150,An,'2021'!An_max)</f>
        <v>2019</v>
      </c>
      <c r="K150" s="197">
        <f t="shared" si="52"/>
        <v>44697</v>
      </c>
      <c r="L150" s="147">
        <f>IF(t&lt;Tvie,1-EXP((T0-t)*PertePVj)+'2021'!Pspv,1-EXP((T0-t)*PertePVj)+Pspv)</f>
        <v>3.1005395729496454E-2</v>
      </c>
      <c r="M150" s="845"/>
      <c r="N150" s="845"/>
      <c r="O150" s="48">
        <f>IF(t&lt;Tnet,'2021'!Resal+('2021'!Salim-'2021'!Resal)*(1-EXP(('2021'!Tnet-t)/('2021'!Tau_j))),Resal+(Salim-Resal)*(1-EXP((Tnet-t)/(Tau_j))))*Salcycl</f>
        <v>3.6012392575208829E-2</v>
      </c>
      <c r="P150" s="339">
        <f>(INDEX(Models!$BJ150:$BT150,,T150)*(1-R150)+INDEX(Models!$BJ150:$BT150,,T150+1)*R150-ERP_i)*Q150*Ramure*Pc/MaxiM</f>
        <v>1.5818575018245633E-4</v>
      </c>
      <c r="Q150" s="305">
        <f t="shared" si="53"/>
        <v>0.5</v>
      </c>
      <c r="R150" s="177">
        <f t="shared" si="54"/>
        <v>0.12871446904671693</v>
      </c>
      <c r="S150" s="811">
        <f t="shared" si="55"/>
        <v>0</v>
      </c>
      <c r="T150" s="176">
        <f t="shared" si="56"/>
        <v>6</v>
      </c>
      <c r="U150" s="251">
        <f t="shared" si="57"/>
        <v>0.12871446904671693</v>
      </c>
      <c r="V150" s="383">
        <f t="shared" si="58"/>
        <v>59.099640193991874</v>
      </c>
      <c r="W150" s="402">
        <f t="shared" si="59"/>
        <v>0</v>
      </c>
      <c r="X150" s="157">
        <f t="shared" si="60"/>
        <v>44697</v>
      </c>
      <c r="Y150" s="385">
        <f t="shared" si="61"/>
        <v>48.695835234531579</v>
      </c>
      <c r="Z150" s="385">
        <f t="shared" si="62"/>
        <v>50.253979764099597</v>
      </c>
      <c r="AA150" s="386">
        <f t="shared" si="63"/>
        <v>54.199834677377758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7.2801973230466402E-2</v>
      </c>
      <c r="AD150" s="231">
        <f>(INDEX(Models!$BJ150:$BT150,,AH150)*(1-AF150)+INDEX(Models!$BJ150:$BT150,,AH150+1)*AF150-ERP_i)*AE150*Ramure*Pc/MaxiM</f>
        <v>1.5818575018245633E-4</v>
      </c>
      <c r="AE150" s="305">
        <f t="shared" si="65"/>
        <v>0.5</v>
      </c>
      <c r="AF150" s="177">
        <f t="shared" si="66"/>
        <v>0.12871446904671693</v>
      </c>
      <c r="AG150" s="811">
        <f t="shared" si="74"/>
        <v>0</v>
      </c>
      <c r="AH150" s="176">
        <f t="shared" si="67"/>
        <v>6</v>
      </c>
      <c r="AI150" s="225">
        <f t="shared" si="68"/>
        <v>0.12871446904671693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44698</v>
      </c>
      <c r="B151" s="1140">
        <v>53.911999999999999</v>
      </c>
      <c r="C151" s="841"/>
      <c r="D151" s="393">
        <f t="shared" si="50"/>
        <v>55.638267333400456</v>
      </c>
      <c r="E151" s="385">
        <f t="shared" si="72"/>
        <v>57.722977284546445</v>
      </c>
      <c r="F151" s="385">
        <f t="shared" si="51"/>
        <v>57.731219072647256</v>
      </c>
      <c r="G151" s="110">
        <f t="shared" si="73"/>
        <v>0.91145371264614827</v>
      </c>
      <c r="H151" s="414" t="b">
        <f>Wh_hp&gt;='2021'!Maxi_hp</f>
        <v>0</v>
      </c>
      <c r="I151" s="380">
        <f>IF(H151,Wh_hp,'2021'!Maxi_hp)</f>
        <v>59.143869986274652</v>
      </c>
      <c r="J151" s="85">
        <f>IF(H151,An,'2021'!An_max)</f>
        <v>2021</v>
      </c>
      <c r="K151" s="197">
        <f t="shared" si="52"/>
        <v>44698</v>
      </c>
      <c r="L151" s="147">
        <f>IF(t&lt;Tvie,1-EXP((T0-t)*PertePVj)+'2021'!Pspv,1-EXP((T0-t)*PertePVj)+Pspv)</f>
        <v>3.1026619198189054E-2</v>
      </c>
      <c r="M151" s="845"/>
      <c r="N151" s="845"/>
      <c r="O151" s="48">
        <f>IF(t&lt;Tnet,'2021'!Resal+('2021'!Salim-'2021'!Resal)*(1-EXP(('2021'!Tnet-t)/('2021'!Tau_j))),Resal+(Salim-Resal)*(1-EXP((Tnet-t)/(Tau_j))))*Salcycl</f>
        <v>3.6115773115260069E-2</v>
      </c>
      <c r="P151" s="339">
        <f>(INDEX(Models!$BJ151:$BT151,,T151)*(1-R151)+INDEX(Models!$BJ151:$BT151,,T151+1)*R151-ERP_i)*Q151*Ramure*Pc/MaxiM</f>
        <v>1.6343000257675622E-4</v>
      </c>
      <c r="Q151" s="305">
        <f t="shared" si="53"/>
        <v>0.5</v>
      </c>
      <c r="R151" s="177">
        <f t="shared" si="54"/>
        <v>0.13274852740669074</v>
      </c>
      <c r="S151" s="811">
        <f t="shared" si="55"/>
        <v>0</v>
      </c>
      <c r="T151" s="176">
        <f t="shared" si="56"/>
        <v>6</v>
      </c>
      <c r="U151" s="251">
        <f t="shared" si="57"/>
        <v>0.13274852740669074</v>
      </c>
      <c r="V151" s="383">
        <f t="shared" si="58"/>
        <v>59.148242862743217</v>
      </c>
      <c r="W151" s="402">
        <f t="shared" si="59"/>
        <v>0</v>
      </c>
      <c r="X151" s="157">
        <f t="shared" si="60"/>
        <v>44698</v>
      </c>
      <c r="Y151" s="385">
        <f t="shared" si="61"/>
        <v>51.85477060834674</v>
      </c>
      <c r="Z151" s="385">
        <f t="shared" si="62"/>
        <v>53.51516526226726</v>
      </c>
      <c r="AA151" s="386">
        <f t="shared" si="63"/>
        <v>57.722977284546445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7.289665606707528E-2</v>
      </c>
      <c r="AD151" s="231">
        <f>(INDEX(Models!$BJ151:$BT151,,AH151)*(1-AF151)+INDEX(Models!$BJ151:$BT151,,AH151+1)*AF151-ERP_i)*AE151*Ramure*Pc/MaxiM</f>
        <v>1.6343000257675622E-4</v>
      </c>
      <c r="AE151" s="305">
        <f t="shared" si="65"/>
        <v>0.5</v>
      </c>
      <c r="AF151" s="177">
        <f t="shared" si="66"/>
        <v>0.13274852740669074</v>
      </c>
      <c r="AG151" s="811">
        <f t="shared" si="74"/>
        <v>0</v>
      </c>
      <c r="AH151" s="176">
        <f t="shared" si="67"/>
        <v>6</v>
      </c>
      <c r="AI151" s="225">
        <f t="shared" si="68"/>
        <v>0.13274852740669074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44699</v>
      </c>
      <c r="B152" s="1140">
        <v>51.861000000000004</v>
      </c>
      <c r="C152" s="841"/>
      <c r="D152" s="393">
        <f t="shared" si="50"/>
        <v>53.522766405576633</v>
      </c>
      <c r="E152" s="385">
        <f t="shared" si="72"/>
        <v>55.534181468094609</v>
      </c>
      <c r="F152" s="385">
        <f t="shared" si="51"/>
        <v>55.541829801356108</v>
      </c>
      <c r="G152" s="110">
        <f t="shared" si="73"/>
        <v>0.8761176566544836</v>
      </c>
      <c r="H152" s="414" t="b">
        <f>Wh_hp&gt;='2021'!Maxi_hp</f>
        <v>0</v>
      </c>
      <c r="I152" s="380">
        <f>IF(H152,Wh_hp,'2021'!Maxi_hp)</f>
        <v>63.972000087795209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3.1047842202033271E-2</v>
      </c>
      <c r="M152" s="845"/>
      <c r="N152" s="845"/>
      <c r="O152" s="48">
        <f>IF(t&lt;Tnet,'2021'!Resal+('2021'!Salim-'2021'!Resal)*(1-EXP(('2021'!Tnet-t)/('2021'!Tau_j))),Resal+(Salim-Resal)*(1-EXP((Tnet-t)/(Tau_j))))*Salcycl</f>
        <v>3.6219405946832345E-2</v>
      </c>
      <c r="P152" s="339">
        <f>(INDEX(Models!$BJ152:$BT152,,T152)*(1-R152)+INDEX(Models!$BJ152:$BT152,,T152+1)*R152-ERP_i)*Q152*Ramure*Pc/MaxiM</f>
        <v>1.6730692628228356E-4</v>
      </c>
      <c r="Q152" s="305">
        <f t="shared" si="53"/>
        <v>0.5</v>
      </c>
      <c r="R152" s="177">
        <f t="shared" si="54"/>
        <v>0.13685900763064784</v>
      </c>
      <c r="S152" s="811">
        <f t="shared" si="55"/>
        <v>0</v>
      </c>
      <c r="T152" s="176">
        <f t="shared" si="56"/>
        <v>6</v>
      </c>
      <c r="U152" s="251">
        <f t="shared" si="57"/>
        <v>0.13685900763064784</v>
      </c>
      <c r="V152" s="383">
        <f t="shared" si="58"/>
        <v>59.192351801568918</v>
      </c>
      <c r="W152" s="402">
        <f t="shared" si="59"/>
        <v>0</v>
      </c>
      <c r="X152" s="157">
        <f t="shared" si="60"/>
        <v>44699</v>
      </c>
      <c r="Y152" s="385">
        <f t="shared" si="61"/>
        <v>49.882278909766072</v>
      </c>
      <c r="Z152" s="385">
        <f t="shared" si="62"/>
        <v>51.480641751320476</v>
      </c>
      <c r="AA152" s="386">
        <f t="shared" si="63"/>
        <v>55.534181468094609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7.2991797297002739E-2</v>
      </c>
      <c r="AD152" s="231">
        <f>(INDEX(Models!$BJ152:$BT152,,AH152)*(1-AF152)+INDEX(Models!$BJ152:$BT152,,AH152+1)*AF152-ERP_i)*AE152*Ramure*Pc/MaxiM</f>
        <v>1.6730692628228356E-4</v>
      </c>
      <c r="AE152" s="305">
        <f t="shared" si="65"/>
        <v>0.5</v>
      </c>
      <c r="AF152" s="177">
        <f t="shared" si="66"/>
        <v>0.13685900763064784</v>
      </c>
      <c r="AG152" s="811">
        <f t="shared" si="74"/>
        <v>0</v>
      </c>
      <c r="AH152" s="176">
        <f t="shared" si="67"/>
        <v>6</v>
      </c>
      <c r="AI152" s="225">
        <f t="shared" si="68"/>
        <v>0.13685900763064784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44700</v>
      </c>
      <c r="B153" s="1140">
        <v>54.736000000000004</v>
      </c>
      <c r="C153" s="841"/>
      <c r="D153" s="393">
        <f t="shared" si="50"/>
        <v>56.491126465449284</v>
      </c>
      <c r="E153" s="385">
        <f t="shared" si="72"/>
        <v>58.620411298020969</v>
      </c>
      <c r="F153" s="385">
        <f t="shared" si="51"/>
        <v>58.629286007196384</v>
      </c>
      <c r="G153" s="110">
        <f t="shared" si="73"/>
        <v>0.9240753680111643</v>
      </c>
      <c r="H153" s="414" t="b">
        <f>Wh_hp&gt;='2021'!Maxi_hp</f>
        <v>0</v>
      </c>
      <c r="I153" s="380">
        <f>IF(H153,Wh_hp,'2021'!Maxi_hp)</f>
        <v>63.050548226982031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3.106906474103921E-2</v>
      </c>
      <c r="M153" s="845"/>
      <c r="N153" s="845"/>
      <c r="O153" s="48">
        <f>IF(t&lt;Tnet,'2021'!Resal+('2021'!Salim-'2021'!Resal)*(1-EXP(('2021'!Tnet-t)/('2021'!Tau_j))),Resal+(Salim-Resal)*(1-EXP((Tnet-t)/(Tau_j))))*Salcycl</f>
        <v>3.6323266681746555E-2</v>
      </c>
      <c r="P153" s="339">
        <f>(INDEX(Models!$BJ153:$BT153,,T153)*(1-R153)+INDEX(Models!$BJ153:$BT153,,T153+1)*R153-ERP_i)*Q153*Ramure*Pc/MaxiM</f>
        <v>1.6978084158884285E-4</v>
      </c>
      <c r="Q153" s="305">
        <f t="shared" si="53"/>
        <v>0.5</v>
      </c>
      <c r="R153" s="177">
        <f t="shared" si="54"/>
        <v>0.14104453339794432</v>
      </c>
      <c r="S153" s="811">
        <f t="shared" si="55"/>
        <v>0</v>
      </c>
      <c r="T153" s="176">
        <f t="shared" si="56"/>
        <v>6</v>
      </c>
      <c r="U153" s="251">
        <f t="shared" si="57"/>
        <v>0.14104453339794432</v>
      </c>
      <c r="V153" s="383">
        <f t="shared" si="58"/>
        <v>59.232173046614022</v>
      </c>
      <c r="W153" s="402">
        <f t="shared" si="59"/>
        <v>0</v>
      </c>
      <c r="X153" s="157">
        <f t="shared" si="60"/>
        <v>44700</v>
      </c>
      <c r="Y153" s="385">
        <f t="shared" si="61"/>
        <v>52.647832286092786</v>
      </c>
      <c r="Z153" s="385">
        <f t="shared" si="62"/>
        <v>54.336001019537981</v>
      </c>
      <c r="AA153" s="386">
        <f t="shared" si="63"/>
        <v>58.620411298020969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7.3087345919519806E-2</v>
      </c>
      <c r="AD153" s="231">
        <f>(INDEX(Models!$BJ153:$BT153,,AH153)*(1-AF153)+INDEX(Models!$BJ153:$BT153,,AH153+1)*AF153-ERP_i)*AE153*Ramure*Pc/MaxiM</f>
        <v>1.6978084158884285E-4</v>
      </c>
      <c r="AE153" s="305">
        <f t="shared" si="65"/>
        <v>0.5</v>
      </c>
      <c r="AF153" s="177">
        <f t="shared" si="66"/>
        <v>0.14104453339794432</v>
      </c>
      <c r="AG153" s="811">
        <f t="shared" si="74"/>
        <v>0</v>
      </c>
      <c r="AH153" s="176">
        <f t="shared" si="67"/>
        <v>6</v>
      </c>
      <c r="AI153" s="225">
        <f t="shared" si="68"/>
        <v>0.14104453339794432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44701</v>
      </c>
      <c r="B154" s="1140">
        <v>49.588000000000001</v>
      </c>
      <c r="C154" s="841"/>
      <c r="D154" s="393">
        <f t="shared" si="50"/>
        <v>51.1791752370873</v>
      </c>
      <c r="E154" s="385">
        <f t="shared" si="72"/>
        <v>53.113975540630115</v>
      </c>
      <c r="F154" s="385">
        <f t="shared" si="51"/>
        <v>53.120932248824822</v>
      </c>
      <c r="G154" s="110">
        <f t="shared" si="73"/>
        <v>0.83664197364368298</v>
      </c>
      <c r="H154" s="414" t="b">
        <f>Wh_hp&gt;='2021'!Maxi_hp</f>
        <v>0</v>
      </c>
      <c r="I154" s="380">
        <f>IF(H154,Wh_hp,'2021'!Maxi_hp)</f>
        <v>62.803447200223168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3.1090286815217083E-2</v>
      </c>
      <c r="M154" s="845"/>
      <c r="N154" s="845"/>
      <c r="O154" s="48">
        <f>IF(t&lt;Tnet,'2021'!Resal+('2021'!Salim-'2021'!Resal)*(1-EXP(('2021'!Tnet-t)/('2021'!Tau_j))),Resal+(Salim-Resal)*(1-EXP((Tnet-t)/(Tau_j))))*Salcycl</f>
        <v>3.6427329791248096E-2</v>
      </c>
      <c r="P154" s="339">
        <f>(INDEX(Models!$BJ154:$BT154,,T154)*(1-R154)+INDEX(Models!$BJ154:$BT154,,T154+1)*R154-ERP_i)*Q154*Ramure*Pc/MaxiM</f>
        <v>1.7081441272323423E-4</v>
      </c>
      <c r="Q154" s="305">
        <f t="shared" si="53"/>
        <v>0.5</v>
      </c>
      <c r="R154" s="177">
        <f t="shared" si="54"/>
        <v>0.145303548705605</v>
      </c>
      <c r="S154" s="811">
        <f t="shared" si="55"/>
        <v>0</v>
      </c>
      <c r="T154" s="176">
        <f t="shared" si="56"/>
        <v>6</v>
      </c>
      <c r="U154" s="251">
        <f t="shared" si="57"/>
        <v>0.145303548705605</v>
      </c>
      <c r="V154" s="383">
        <f t="shared" si="58"/>
        <v>59.267912672477472</v>
      </c>
      <c r="W154" s="402">
        <f t="shared" si="59"/>
        <v>0</v>
      </c>
      <c r="X154" s="157">
        <f t="shared" si="60"/>
        <v>44701</v>
      </c>
      <c r="Y154" s="385">
        <f t="shared" si="61"/>
        <v>47.696443113403397</v>
      </c>
      <c r="Z154" s="385">
        <f t="shared" si="62"/>
        <v>49.22692224503183</v>
      </c>
      <c r="AA154" s="386">
        <f t="shared" si="63"/>
        <v>53.113975540630115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7.3183248966646033E-2</v>
      </c>
      <c r="AD154" s="231">
        <f>(INDEX(Models!$BJ154:$BT154,,AH154)*(1-AF154)+INDEX(Models!$BJ154:$BT154,,AH154+1)*AF154-ERP_i)*AE154*Ramure*Pc/MaxiM</f>
        <v>1.7081441272323423E-4</v>
      </c>
      <c r="AE154" s="305">
        <f t="shared" si="65"/>
        <v>0.5</v>
      </c>
      <c r="AF154" s="177">
        <f t="shared" si="66"/>
        <v>0.145303548705605</v>
      </c>
      <c r="AG154" s="811">
        <f t="shared" si="74"/>
        <v>0</v>
      </c>
      <c r="AH154" s="176">
        <f t="shared" si="67"/>
        <v>6</v>
      </c>
      <c r="AI154" s="225">
        <f t="shared" si="68"/>
        <v>0.145303548705605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44702</v>
      </c>
      <c r="B155" s="1140">
        <v>49.503999999999998</v>
      </c>
      <c r="C155" s="841"/>
      <c r="D155" s="393">
        <f t="shared" si="50"/>
        <v>51.093598933666726</v>
      </c>
      <c r="E155" s="385">
        <f t="shared" si="72"/>
        <v>53.030900932161813</v>
      </c>
      <c r="F155" s="385">
        <f t="shared" si="51"/>
        <v>53.037804544829292</v>
      </c>
      <c r="G155" s="110">
        <f t="shared" si="73"/>
        <v>0.83477564546387772</v>
      </c>
      <c r="H155" s="414" t="b">
        <f>Wh_hp&gt;='2021'!Maxi_hp</f>
        <v>0</v>
      </c>
      <c r="I155" s="380">
        <f>IF(H155,Wh_hp,'2021'!Maxi_hp)</f>
        <v>61.178268574854386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3.1111508424576995E-2</v>
      </c>
      <c r="M155" s="845"/>
      <c r="N155" s="845"/>
      <c r="O155" s="48">
        <f>IF(t&lt;Tnet,'2021'!Resal+('2021'!Salim-'2021'!Resal)*(1-EXP(('2021'!Tnet-t)/('2021'!Tau_j))),Resal+(Salim-Resal)*(1-EXP((Tnet-t)/(Tau_j))))*Salcycl</f>
        <v>3.6531568659814391E-2</v>
      </c>
      <c r="P155" s="339">
        <f>(INDEX(Models!$BJ155:$BT155,,T155)*(1-R155)+INDEX(Models!$BJ155:$BT155,,T155+1)*R155-ERP_i)*Q155*Ramure*Pc/MaxiM</f>
        <v>1.703687897105562E-4</v>
      </c>
      <c r="Q155" s="305">
        <f t="shared" si="53"/>
        <v>0.5</v>
      </c>
      <c r="R155" s="177">
        <f t="shared" si="54"/>
        <v>0.14963431622654785</v>
      </c>
      <c r="S155" s="811">
        <f t="shared" si="55"/>
        <v>0</v>
      </c>
      <c r="T155" s="176">
        <f t="shared" si="56"/>
        <v>6</v>
      </c>
      <c r="U155" s="251">
        <f t="shared" si="57"/>
        <v>0.14963431622654785</v>
      </c>
      <c r="V155" s="383">
        <f t="shared" si="58"/>
        <v>59.299776786574036</v>
      </c>
      <c r="W155" s="402">
        <f t="shared" si="59"/>
        <v>0</v>
      </c>
      <c r="X155" s="157">
        <f t="shared" si="60"/>
        <v>44702</v>
      </c>
      <c r="Y155" s="385">
        <f t="shared" si="61"/>
        <v>47.615855937247154</v>
      </c>
      <c r="Z155" s="385">
        <f t="shared" si="62"/>
        <v>49.144825592698766</v>
      </c>
      <c r="AA155" s="386">
        <f t="shared" si="63"/>
        <v>53.030900932161813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7.3279451624519598E-2</v>
      </c>
      <c r="AD155" s="231">
        <f>(INDEX(Models!$BJ155:$BT155,,AH155)*(1-AF155)+INDEX(Models!$BJ155:$BT155,,AH155+1)*AF155-ERP_i)*AE155*Ramure*Pc/MaxiM</f>
        <v>1.703687897105562E-4</v>
      </c>
      <c r="AE155" s="305">
        <f t="shared" si="65"/>
        <v>0.5</v>
      </c>
      <c r="AF155" s="177">
        <f t="shared" si="66"/>
        <v>0.14963431622654785</v>
      </c>
      <c r="AG155" s="811">
        <f t="shared" si="74"/>
        <v>0</v>
      </c>
      <c r="AH155" s="176">
        <f t="shared" si="67"/>
        <v>6</v>
      </c>
      <c r="AI155" s="225">
        <f t="shared" si="68"/>
        <v>0.14963431622654785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44703</v>
      </c>
      <c r="B156" s="1140">
        <v>37.466000000000001</v>
      </c>
      <c r="C156" s="841"/>
      <c r="D156" s="393">
        <f t="shared" si="50"/>
        <v>38.669899524357213</v>
      </c>
      <c r="E156" s="385">
        <f t="shared" si="72"/>
        <v>40.140484535417059</v>
      </c>
      <c r="F156" s="385">
        <f t="shared" si="51"/>
        <v>40.143689222548225</v>
      </c>
      <c r="G156" s="110">
        <f t="shared" si="73"/>
        <v>0.6314505669068009</v>
      </c>
      <c r="H156" s="414" t="b">
        <f>Wh_hp&gt;='2021'!Maxi_hp</f>
        <v>0</v>
      </c>
      <c r="I156" s="380">
        <f>IF(H156,Wh_hp,'2021'!Maxi_hp)</f>
        <v>62.875998222350205</v>
      </c>
      <c r="J156" s="85">
        <f>IF(H156,An,'2021'!An_max)</f>
        <v>2019</v>
      </c>
      <c r="K156" s="197">
        <f t="shared" si="52"/>
        <v>44703</v>
      </c>
      <c r="L156" s="147">
        <f>IF(t&lt;Tvie,1-EXP((T0-t)*PertePVj)+'2021'!Pspv,1-EXP((T0-t)*PertePVj)+Pspv)</f>
        <v>3.1132729569129269E-2</v>
      </c>
      <c r="M156" s="845"/>
      <c r="N156" s="845"/>
      <c r="O156" s="48">
        <f>IF(t&lt;Tnet,'2021'!Resal+('2021'!Salim-'2021'!Resal)*(1-EXP(('2021'!Tnet-t)/('2021'!Tau_j))),Resal+(Salim-Resal)*(1-EXP((Tnet-t)/(Tau_j))))*Salcycl</f>
        <v>3.6635955646282969E-2</v>
      </c>
      <c r="P156" s="339">
        <f>(INDEX(Models!$BJ156:$BT156,,T156)*(1-R156)+INDEX(Models!$BJ156:$BT156,,T156+1)*R156-ERP_i)*Q156*Ramure*Pc/MaxiM</f>
        <v>1.6856763854669257E-4</v>
      </c>
      <c r="Q156" s="305">
        <f t="shared" si="53"/>
        <v>0.5</v>
      </c>
      <c r="R156" s="177">
        <f t="shared" si="54"/>
        <v>0.15403491647210343</v>
      </c>
      <c r="S156" s="811">
        <f t="shared" si="55"/>
        <v>0</v>
      </c>
      <c r="T156" s="176">
        <f t="shared" si="56"/>
        <v>6</v>
      </c>
      <c r="U156" s="251">
        <f t="shared" si="57"/>
        <v>0.15403491647210343</v>
      </c>
      <c r="V156" s="383">
        <f t="shared" si="58"/>
        <v>59.327961789701064</v>
      </c>
      <c r="W156" s="402">
        <f t="shared" si="59"/>
        <v>0</v>
      </c>
      <c r="X156" s="157">
        <f t="shared" si="60"/>
        <v>44703</v>
      </c>
      <c r="Y156" s="385">
        <f t="shared" si="61"/>
        <v>36.037154212551471</v>
      </c>
      <c r="Z156" s="385">
        <f t="shared" si="62"/>
        <v>37.195140461835578</v>
      </c>
      <c r="AA156" s="386">
        <f t="shared" si="63"/>
        <v>40.140484535417059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7.3375897368222517E-2</v>
      </c>
      <c r="AD156" s="231">
        <f>(INDEX(Models!$BJ156:$BT156,,AH156)*(1-AF156)+INDEX(Models!$BJ156:$BT156,,AH156+1)*AF156-ERP_i)*AE156*Ramure*Pc/MaxiM</f>
        <v>1.6856763854669257E-4</v>
      </c>
      <c r="AE156" s="305">
        <f t="shared" si="65"/>
        <v>0.5</v>
      </c>
      <c r="AF156" s="177">
        <f t="shared" si="66"/>
        <v>0.15403491647210343</v>
      </c>
      <c r="AG156" s="811">
        <f t="shared" si="74"/>
        <v>0</v>
      </c>
      <c r="AH156" s="176">
        <f t="shared" si="67"/>
        <v>6</v>
      </c>
      <c r="AI156" s="225">
        <f t="shared" si="68"/>
        <v>0.15403491647210343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44704</v>
      </c>
      <c r="B157" s="1140">
        <v>19.533000000000001</v>
      </c>
      <c r="C157" s="841"/>
      <c r="D157" s="393">
        <f t="shared" si="50"/>
        <v>20.161097839040348</v>
      </c>
      <c r="E157" s="385">
        <f t="shared" si="72"/>
        <v>20.930078599674498</v>
      </c>
      <c r="F157" s="385">
        <f t="shared" si="51"/>
        <v>20.930222962966589</v>
      </c>
      <c r="G157" s="110">
        <f t="shared" si="73"/>
        <v>0.32904843693160218</v>
      </c>
      <c r="H157" s="414" t="b">
        <f>Wh_hp&gt;='2021'!Maxi_hp</f>
        <v>0</v>
      </c>
      <c r="I157" s="380">
        <f>IF(H157,Wh_hp,'2021'!Maxi_hp)</f>
        <v>58.76828057791041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3.115395024888401E-2</v>
      </c>
      <c r="M157" s="845"/>
      <c r="N157" s="845"/>
      <c r="O157" s="48">
        <f>IF(t&lt;Tnet,'2021'!Resal+('2021'!Salim-'2021'!Resal)*(1-EXP(('2021'!Tnet-t)/('2021'!Tau_j))),Resal+(Salim-Resal)*(1-EXP((Tnet-t)/(Tau_j))))*Salcycl</f>
        <v>3.6740462152211426E-2</v>
      </c>
      <c r="P157" s="339">
        <f>(INDEX(Models!$BJ157:$BT157,,T157)*(1-R157)+INDEX(Models!$BJ157:$BT157,,T157+1)*R157-ERP_i)*Q157*Ramure*Pc/MaxiM</f>
        <v>1.6591150291043203E-4</v>
      </c>
      <c r="Q157" s="305">
        <f t="shared" si="53"/>
        <v>0.5</v>
      </c>
      <c r="R157" s="177">
        <f t="shared" si="54"/>
        <v>0.15850324780387579</v>
      </c>
      <c r="S157" s="811">
        <f t="shared" si="55"/>
        <v>0</v>
      </c>
      <c r="T157" s="176">
        <f t="shared" si="56"/>
        <v>6</v>
      </c>
      <c r="U157" s="251">
        <f t="shared" si="57"/>
        <v>0.15850324780387579</v>
      </c>
      <c r="V157" s="383">
        <f t="shared" si="58"/>
        <v>59.352641627625843</v>
      </c>
      <c r="W157" s="402">
        <f t="shared" si="59"/>
        <v>0</v>
      </c>
      <c r="X157" s="157">
        <f t="shared" si="60"/>
        <v>44704</v>
      </c>
      <c r="Y157" s="385">
        <f t="shared" si="61"/>
        <v>18.788146285961865</v>
      </c>
      <c r="Z157" s="385">
        <f t="shared" si="62"/>
        <v>19.392292811420656</v>
      </c>
      <c r="AA157" s="386">
        <f t="shared" si="63"/>
        <v>20.930078599674498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7.3472528109748997E-2</v>
      </c>
      <c r="AD157" s="231">
        <f>(INDEX(Models!$BJ157:$BT157,,AH157)*(1-AF157)+INDEX(Models!$BJ157:$BT157,,AH157+1)*AF157-ERP_i)*AE157*Ramure*Pc/MaxiM</f>
        <v>1.6591150291043203E-4</v>
      </c>
      <c r="AE157" s="305">
        <f t="shared" si="65"/>
        <v>0.5</v>
      </c>
      <c r="AF157" s="177">
        <f t="shared" si="66"/>
        <v>0.15850324780387579</v>
      </c>
      <c r="AG157" s="811">
        <f t="shared" si="74"/>
        <v>0</v>
      </c>
      <c r="AH157" s="176">
        <f t="shared" si="67"/>
        <v>6</v>
      </c>
      <c r="AI157" s="225">
        <f t="shared" si="68"/>
        <v>0.15850324780387579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44705</v>
      </c>
      <c r="B158" s="1140">
        <v>16.936</v>
      </c>
      <c r="C158" s="841"/>
      <c r="D158" s="393">
        <f t="shared" si="50"/>
        <v>17.480972291047262</v>
      </c>
      <c r="E158" s="385">
        <f t="shared" si="72"/>
        <v>18.149699016654527</v>
      </c>
      <c r="F158" s="385">
        <f t="shared" si="51"/>
        <v>18.149699016654527</v>
      </c>
      <c r="G158" s="110">
        <f t="shared" si="73"/>
        <v>0.28519627991500257</v>
      </c>
      <c r="H158" s="414" t="b">
        <f>Wh_hp&gt;='2021'!Maxi_hp</f>
        <v>0</v>
      </c>
      <c r="I158" s="380">
        <f>IF(H158,Wh_hp,'2021'!Maxi_hp)</f>
        <v>30.554357090064354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3.1175170463851432E-2</v>
      </c>
      <c r="M158" s="845"/>
      <c r="N158" s="845"/>
      <c r="O158" s="48">
        <f>IF(t&lt;Tnet,'2021'!Resal+('2021'!Salim-'2021'!Resal)*(1-EXP(('2021'!Tnet-t)/('2021'!Tau_j))),Resal+(Salim-Resal)*(1-EXP((Tnet-t)/(Tau_j))))*Salcycl</f>
        <v>3.684505869731642E-2</v>
      </c>
      <c r="P158" s="339">
        <f>(INDEX(Models!$BJ158:$BT158,,T158)*(1-R158)+INDEX(Models!$BJ158:$BT158,,T158+1)*R158-ERP_i)*Q158*Ramure*Pc/MaxiM</f>
        <v>1.6237147043852778E-4</v>
      </c>
      <c r="Q158" s="305">
        <f t="shared" si="53"/>
        <v>0.5</v>
      </c>
      <c r="R158" s="177">
        <f t="shared" si="54"/>
        <v>0.16303702733470529</v>
      </c>
      <c r="S158" s="811">
        <f t="shared" si="55"/>
        <v>0</v>
      </c>
      <c r="T158" s="176">
        <f t="shared" si="56"/>
        <v>6</v>
      </c>
      <c r="U158" s="251">
        <f t="shared" si="57"/>
        <v>0.16303702733470529</v>
      </c>
      <c r="V158" s="383">
        <f t="shared" si="58"/>
        <v>59.374021574977391</v>
      </c>
      <c r="W158" s="402">
        <f t="shared" si="59"/>
        <v>0</v>
      </c>
      <c r="X158" s="157">
        <f t="shared" si="60"/>
        <v>44705</v>
      </c>
      <c r="Y158" s="385">
        <f t="shared" si="61"/>
        <v>16.290245657547416</v>
      </c>
      <c r="Z158" s="385">
        <f t="shared" si="62"/>
        <v>16.814438648673793</v>
      </c>
      <c r="AA158" s="386">
        <f t="shared" si="63"/>
        <v>18.149699016654527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7.3569284358681111E-2</v>
      </c>
      <c r="AD158" s="231">
        <f>(INDEX(Models!$BJ158:$BT158,,AH158)*(1-AF158)+INDEX(Models!$BJ158:$BT158,,AH158+1)*AF158-ERP_i)*AE158*Ramure*Pc/MaxiM</f>
        <v>1.6237147043852778E-4</v>
      </c>
      <c r="AE158" s="305">
        <f t="shared" si="65"/>
        <v>0.5</v>
      </c>
      <c r="AF158" s="177">
        <f t="shared" si="66"/>
        <v>0.16303702733470529</v>
      </c>
      <c r="AG158" s="811">
        <f t="shared" si="74"/>
        <v>0</v>
      </c>
      <c r="AH158" s="176">
        <f t="shared" si="67"/>
        <v>6</v>
      </c>
      <c r="AI158" s="225">
        <f t="shared" si="68"/>
        <v>0.16303702733470529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44706</v>
      </c>
      <c r="B159" s="1140">
        <v>39.722000000000001</v>
      </c>
      <c r="C159" s="841"/>
      <c r="D159" s="393">
        <f t="shared" si="50"/>
        <v>41.001085874128755</v>
      </c>
      <c r="E159" s="385">
        <f t="shared" si="72"/>
        <v>42.574190063402838</v>
      </c>
      <c r="F159" s="385">
        <f t="shared" si="51"/>
        <v>42.577732632611685</v>
      </c>
      <c r="G159" s="110">
        <f t="shared" si="73"/>
        <v>0.66875718399033335</v>
      </c>
      <c r="H159" s="414" t="b">
        <f>Wh_hp&gt;='2021'!Maxi_hp</f>
        <v>0</v>
      </c>
      <c r="I159" s="380">
        <f>IF(H159,Wh_hp,'2021'!Maxi_hp)</f>
        <v>59.691953884707942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3.1196390214041636E-2</v>
      </c>
      <c r="M159" s="845"/>
      <c r="N159" s="845"/>
      <c r="O159" s="48">
        <f>IF(t&lt;Tnet,'2021'!Resal+('2021'!Salim-'2021'!Resal)*(1-EXP(('2021'!Tnet-t)/('2021'!Tau_j))),Resal+(Salim-Resal)*(1-EXP((Tnet-t)/(Tau_j))))*Salcycl</f>
        <v>3.6949715001773645E-2</v>
      </c>
      <c r="P159" s="339">
        <f>(INDEX(Models!$BJ159:$BT159,,T159)*(1-R159)+INDEX(Models!$BJ159:$BT159,,T159+1)*R159-ERP_i)*Q159*Ramure*Pc/MaxiM</f>
        <v>1.5791904544050074E-4</v>
      </c>
      <c r="Q159" s="305">
        <f t="shared" si="53"/>
        <v>0.5</v>
      </c>
      <c r="R159" s="177">
        <f t="shared" si="54"/>
        <v>0.16763379275242238</v>
      </c>
      <c r="S159" s="811">
        <f t="shared" si="55"/>
        <v>0</v>
      </c>
      <c r="T159" s="176">
        <f t="shared" si="56"/>
        <v>6</v>
      </c>
      <c r="U159" s="251">
        <f t="shared" si="57"/>
        <v>0.16763379275242238</v>
      </c>
      <c r="V159" s="383">
        <f t="shared" si="58"/>
        <v>59.392306817771711</v>
      </c>
      <c r="W159" s="402">
        <f t="shared" si="59"/>
        <v>0</v>
      </c>
      <c r="X159" s="157">
        <f t="shared" si="60"/>
        <v>44706</v>
      </c>
      <c r="Y159" s="385">
        <f t="shared" si="61"/>
        <v>38.207594696435912</v>
      </c>
      <c r="Z159" s="385">
        <f t="shared" si="62"/>
        <v>39.437915291084913</v>
      </c>
      <c r="AA159" s="386">
        <f t="shared" si="63"/>
        <v>42.574190063402838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7.366610539501256E-2</v>
      </c>
      <c r="AD159" s="231">
        <f>(INDEX(Models!$BJ159:$BT159,,AH159)*(1-AF159)+INDEX(Models!$BJ159:$BT159,,AH159+1)*AF159-ERP_i)*AE159*Ramure*Pc/MaxiM</f>
        <v>1.5791904544050074E-4</v>
      </c>
      <c r="AE159" s="305">
        <f t="shared" si="65"/>
        <v>0.5</v>
      </c>
      <c r="AF159" s="177">
        <f t="shared" si="66"/>
        <v>0.16763379275242238</v>
      </c>
      <c r="AG159" s="811">
        <f t="shared" si="74"/>
        <v>0</v>
      </c>
      <c r="AH159" s="176">
        <f t="shared" si="67"/>
        <v>6</v>
      </c>
      <c r="AI159" s="225">
        <f t="shared" si="68"/>
        <v>0.16763379275242238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44707</v>
      </c>
      <c r="B160" s="1140">
        <v>24.085000000000001</v>
      </c>
      <c r="C160" s="841"/>
      <c r="D160" s="393">
        <f t="shared" si="50"/>
        <v>24.861104244015156</v>
      </c>
      <c r="E160" s="385">
        <f t="shared" si="72"/>
        <v>25.817766077288237</v>
      </c>
      <c r="F160" s="385">
        <f t="shared" si="51"/>
        <v>25.818359126001486</v>
      </c>
      <c r="G160" s="110">
        <f t="shared" si="73"/>
        <v>0.40536628376552758</v>
      </c>
      <c r="H160" s="414" t="b">
        <f>Wh_hp&gt;='2021'!Maxi_hp</f>
        <v>0</v>
      </c>
      <c r="I160" s="380">
        <f>IF(H160,Wh_hp,'2021'!Maxi_hp)</f>
        <v>61.991403277896538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3.1217609499464949E-2</v>
      </c>
      <c r="M160" s="845"/>
      <c r="N160" s="845"/>
      <c r="O160" s="48">
        <f>IF(t&lt;Tnet,'2021'!Resal+('2021'!Salim-'2021'!Resal)*(1-EXP(('2021'!Tnet-t)/('2021'!Tau_j))),Resal+(Salim-Resal)*(1-EXP((Tnet-t)/(Tau_j))))*Salcycl</f>
        <v>3.7054400075095924E-2</v>
      </c>
      <c r="P160" s="339">
        <f>(INDEX(Models!$BJ160:$BT160,,T160)*(1-R160)+INDEX(Models!$BJ160:$BT160,,T160+1)*R160-ERP_i)*Q160*Ramure*Pc/MaxiM</f>
        <v>1.5252522168129087E-4</v>
      </c>
      <c r="Q160" s="305">
        <f t="shared" si="53"/>
        <v>0.5</v>
      </c>
      <c r="R160" s="177">
        <f t="shared" si="54"/>
        <v>0.1722909050932547</v>
      </c>
      <c r="S160" s="811">
        <f t="shared" si="55"/>
        <v>0</v>
      </c>
      <c r="T160" s="176">
        <f t="shared" si="56"/>
        <v>6</v>
      </c>
      <c r="U160" s="251">
        <f t="shared" si="57"/>
        <v>0.1722909050932547</v>
      </c>
      <c r="V160" s="383">
        <f t="shared" si="58"/>
        <v>59.407702505608704</v>
      </c>
      <c r="W160" s="402">
        <f t="shared" si="59"/>
        <v>0</v>
      </c>
      <c r="X160" s="157">
        <f t="shared" si="60"/>
        <v>44707</v>
      </c>
      <c r="Y160" s="385">
        <f t="shared" si="61"/>
        <v>23.166853709964141</v>
      </c>
      <c r="Z160" s="385">
        <f t="shared" si="62"/>
        <v>23.913372019483816</v>
      </c>
      <c r="AA160" s="386">
        <f t="shared" si="63"/>
        <v>25.817766077288237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7.3762929453439707E-2</v>
      </c>
      <c r="AD160" s="231">
        <f>(INDEX(Models!$BJ160:$BT160,,AH160)*(1-AF160)+INDEX(Models!$BJ160:$BT160,,AH160+1)*AF160-ERP_i)*AE160*Ramure*Pc/MaxiM</f>
        <v>1.5252522168129087E-4</v>
      </c>
      <c r="AE160" s="305">
        <f t="shared" si="65"/>
        <v>0.5</v>
      </c>
      <c r="AF160" s="177">
        <f t="shared" si="66"/>
        <v>0.1722909050932547</v>
      </c>
      <c r="AG160" s="811">
        <f t="shared" si="74"/>
        <v>0</v>
      </c>
      <c r="AH160" s="176">
        <f t="shared" si="67"/>
        <v>6</v>
      </c>
      <c r="AI160" s="225">
        <f t="shared" si="68"/>
        <v>0.1722909050932547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44708</v>
      </c>
      <c r="B161" s="1140">
        <v>44.800000000000004</v>
      </c>
      <c r="C161" s="841"/>
      <c r="D161" s="393">
        <f t="shared" si="50"/>
        <v>46.244627994653321</v>
      </c>
      <c r="E161" s="385">
        <f t="shared" si="72"/>
        <v>48.029354740823393</v>
      </c>
      <c r="F161" s="385">
        <f t="shared" si="51"/>
        <v>48.033907637985472</v>
      </c>
      <c r="G161" s="110">
        <f t="shared" si="73"/>
        <v>0.75391090940848016</v>
      </c>
      <c r="H161" s="414" t="b">
        <f>Wh_hp&gt;='2021'!Maxi_hp</f>
        <v>0</v>
      </c>
      <c r="I161" s="380">
        <f>IF(H161,Wh_hp,'2021'!Maxi_hp)</f>
        <v>62.096546618278133</v>
      </c>
      <c r="J161" s="85">
        <f>IF(H161,An,'2021'!An_max)</f>
        <v>2021</v>
      </c>
      <c r="K161" s="197">
        <f t="shared" si="52"/>
        <v>44708</v>
      </c>
      <c r="L161" s="147">
        <f>IF(t&lt;Tvie,1-EXP((T0-t)*PertePVj)+'2021'!Pspv,1-EXP((T0-t)*PertePVj)+Pspv)</f>
        <v>3.1238828320131362E-2</v>
      </c>
      <c r="M161" s="845"/>
      <c r="N161" s="845"/>
      <c r="O161" s="48">
        <f>IF(t&lt;Tnet,'2021'!Resal+('2021'!Salim-'2021'!Resal)*(1-EXP(('2021'!Tnet-t)/('2021'!Tau_j))),Resal+(Salim-Resal)*(1-EXP((Tnet-t)/(Tau_j))))*Salcycl</f>
        <v>3.7159082311241383E-2</v>
      </c>
      <c r="P161" s="339">
        <f>(INDEX(Models!$BJ161:$BT161,,T161)*(1-R161)+INDEX(Models!$BJ161:$BT161,,T161+1)*R161-ERP_i)*Q161*Ramure*Pc/MaxiM</f>
        <v>1.4616058712057966E-4</v>
      </c>
      <c r="Q161" s="305">
        <f t="shared" si="53"/>
        <v>0.5</v>
      </c>
      <c r="R161" s="177">
        <f t="shared" si="54"/>
        <v>0.17700555248423055</v>
      </c>
      <c r="S161" s="811">
        <f t="shared" si="55"/>
        <v>0</v>
      </c>
      <c r="T161" s="176">
        <f t="shared" si="56"/>
        <v>6</v>
      </c>
      <c r="U161" s="251">
        <f t="shared" si="57"/>
        <v>0.17700555248423055</v>
      </c>
      <c r="V161" s="383">
        <f t="shared" si="58"/>
        <v>59.420413737844086</v>
      </c>
      <c r="W161" s="402">
        <f t="shared" si="59"/>
        <v>0</v>
      </c>
      <c r="X161" s="157">
        <f t="shared" si="60"/>
        <v>44708</v>
      </c>
      <c r="Y161" s="385">
        <f t="shared" si="61"/>
        <v>43.092358197713622</v>
      </c>
      <c r="Z161" s="385">
        <f t="shared" si="62"/>
        <v>44.481921300571777</v>
      </c>
      <c r="AA161" s="386">
        <f t="shared" si="63"/>
        <v>48.029354740823393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7.3859693918319716E-2</v>
      </c>
      <c r="AD161" s="231">
        <f>(INDEX(Models!$BJ161:$BT161,,AH161)*(1-AF161)+INDEX(Models!$BJ161:$BT161,,AH161+1)*AF161-ERP_i)*AE161*Ramure*Pc/MaxiM</f>
        <v>1.4616058712057966E-4</v>
      </c>
      <c r="AE161" s="305">
        <f t="shared" si="65"/>
        <v>0.5</v>
      </c>
      <c r="AF161" s="177">
        <f t="shared" si="66"/>
        <v>0.17700555248423055</v>
      </c>
      <c r="AG161" s="811">
        <f t="shared" si="74"/>
        <v>0</v>
      </c>
      <c r="AH161" s="176">
        <f t="shared" si="67"/>
        <v>6</v>
      </c>
      <c r="AI161" s="225">
        <f t="shared" si="68"/>
        <v>0.17700555248423055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44709</v>
      </c>
      <c r="B162" s="1140">
        <v>53.978999999999999</v>
      </c>
      <c r="C162" s="841"/>
      <c r="D162" s="393">
        <f t="shared" si="50"/>
        <v>55.720835932064936</v>
      </c>
      <c r="E162" s="385">
        <f t="shared" si="72"/>
        <v>57.877570051773972</v>
      </c>
      <c r="F162" s="385">
        <f t="shared" si="51"/>
        <v>57.884551336316093</v>
      </c>
      <c r="G162" s="110">
        <f t="shared" si="73"/>
        <v>0.90825225925391717</v>
      </c>
      <c r="H162" s="414" t="b">
        <f>Wh_hp&gt;='2021'!Maxi_hp</f>
        <v>0</v>
      </c>
      <c r="I162" s="380">
        <f>IF(H162,Wh_hp,'2021'!Maxi_hp)</f>
        <v>61.293375317013549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3.126004667605109E-2</v>
      </c>
      <c r="M162" s="845"/>
      <c r="N162" s="845"/>
      <c r="O162" s="48">
        <f>IF(t&lt;Tnet,'2021'!Resal+('2021'!Salim-'2021'!Resal)*(1-EXP(('2021'!Tnet-t)/('2021'!Tau_j))),Resal+(Salim-Resal)*(1-EXP((Tnet-t)/(Tau_j))))*Salcycl</f>
        <v>3.7263729589541293E-2</v>
      </c>
      <c r="P162" s="339">
        <f>(INDEX(Models!$BJ162:$BT162,,T162)*(1-R162)+INDEX(Models!$BJ162:$BT162,,T162+1)*R162-ERP_i)*Q162*Ramure*Pc/MaxiM</f>
        <v>1.387954344329188E-4</v>
      </c>
      <c r="Q162" s="305">
        <f t="shared" si="53"/>
        <v>0.5</v>
      </c>
      <c r="R162" s="177">
        <f t="shared" si="54"/>
        <v>0.18177475486577294</v>
      </c>
      <c r="S162" s="811">
        <f t="shared" si="55"/>
        <v>0</v>
      </c>
      <c r="T162" s="176">
        <f t="shared" si="56"/>
        <v>6</v>
      </c>
      <c r="U162" s="251">
        <f t="shared" si="57"/>
        <v>0.18177475486577294</v>
      </c>
      <c r="V162" s="383">
        <f t="shared" si="58"/>
        <v>59.430645550726069</v>
      </c>
      <c r="W162" s="402">
        <f t="shared" si="59"/>
        <v>0</v>
      </c>
      <c r="X162" s="157">
        <f t="shared" si="60"/>
        <v>44709</v>
      </c>
      <c r="Y162" s="385">
        <f t="shared" si="61"/>
        <v>51.921707430012781</v>
      </c>
      <c r="Z162" s="385">
        <f t="shared" si="62"/>
        <v>53.597157061457587</v>
      </c>
      <c r="AA162" s="386">
        <f t="shared" si="63"/>
        <v>57.877570051773972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7.3956335528381198E-2</v>
      </c>
      <c r="AD162" s="231">
        <f>(INDEX(Models!$BJ162:$BT162,,AH162)*(1-AF162)+INDEX(Models!$BJ162:$BT162,,AH162+1)*AF162-ERP_i)*AE162*Ramure*Pc/MaxiM</f>
        <v>1.387954344329188E-4</v>
      </c>
      <c r="AE162" s="305">
        <f t="shared" si="65"/>
        <v>0.5</v>
      </c>
      <c r="AF162" s="177">
        <f t="shared" si="66"/>
        <v>0.18177475486577294</v>
      </c>
      <c r="AG162" s="811">
        <f t="shared" si="74"/>
        <v>0</v>
      </c>
      <c r="AH162" s="176">
        <f t="shared" si="67"/>
        <v>6</v>
      </c>
      <c r="AI162" s="225">
        <f t="shared" si="68"/>
        <v>0.18177475486577294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44710</v>
      </c>
      <c r="B163" s="1140">
        <v>58.178000000000004</v>
      </c>
      <c r="C163" s="841"/>
      <c r="D163" s="393">
        <f t="shared" si="50"/>
        <v>60.056647891722207</v>
      </c>
      <c r="E163" s="385">
        <f t="shared" si="72"/>
        <v>62.387981277764176</v>
      </c>
      <c r="F163" s="385">
        <f t="shared" si="51"/>
        <v>62.395871267870142</v>
      </c>
      <c r="G163" s="110">
        <f t="shared" si="73"/>
        <v>0.97879231630549479</v>
      </c>
      <c r="H163" s="414" t="b">
        <f>Wh_hp&gt;='2021'!Maxi_hp</f>
        <v>1</v>
      </c>
      <c r="I163" s="380">
        <f>IF(H163,Wh_hp,'2021'!Maxi_hp)</f>
        <v>62.395871267870142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3.1281264567234457E-2</v>
      </c>
      <c r="M163" s="845"/>
      <c r="N163" s="845"/>
      <c r="O163" s="48">
        <f>IF(t&lt;Tnet,'2021'!Resal+('2021'!Salim-'2021'!Resal)*(1-EXP(('2021'!Tnet-t)/('2021'!Tau_j))),Resal+(Salim-Resal)*(1-EXP((Tnet-t)/(Tau_j))))*Salcycl</f>
        <v>3.7368309380975052E-2</v>
      </c>
      <c r="P163" s="339">
        <f>(INDEX(Models!$BJ163:$BT163,,T163)*(1-R163)+INDEX(Models!$BJ163:$BT163,,T163+1)*R163-ERP_i)*Q163*Ramure*Pc/MaxiM</f>
        <v>1.3040049911554392E-4</v>
      </c>
      <c r="Q163" s="305">
        <f t="shared" si="53"/>
        <v>0.5</v>
      </c>
      <c r="R163" s="177">
        <f t="shared" si="54"/>
        <v>0.18659536969699492</v>
      </c>
      <c r="S163" s="811">
        <f t="shared" si="55"/>
        <v>0</v>
      </c>
      <c r="T163" s="176">
        <f t="shared" si="56"/>
        <v>6</v>
      </c>
      <c r="U163" s="251">
        <f t="shared" si="57"/>
        <v>0.18659536969699492</v>
      </c>
      <c r="V163" s="383">
        <f t="shared" si="58"/>
        <v>59.43831924263965</v>
      </c>
      <c r="W163" s="402">
        <f t="shared" si="59"/>
        <v>0</v>
      </c>
      <c r="X163" s="157">
        <f t="shared" si="60"/>
        <v>44710</v>
      </c>
      <c r="Y163" s="385">
        <f t="shared" si="61"/>
        <v>55.960921787651003</v>
      </c>
      <c r="Z163" s="385">
        <f t="shared" si="62"/>
        <v>57.767977164858912</v>
      </c>
      <c r="AA163" s="386">
        <f t="shared" si="63"/>
        <v>62.387981277764176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7.4052790590162648E-2</v>
      </c>
      <c r="AD163" s="231">
        <f>(INDEX(Models!$BJ163:$BT163,,AH163)*(1-AF163)+INDEX(Models!$BJ163:$BT163,,AH163+1)*AF163-ERP_i)*AE163*Ramure*Pc/MaxiM</f>
        <v>1.3040049911554392E-4</v>
      </c>
      <c r="AE163" s="305">
        <f t="shared" si="65"/>
        <v>0.5</v>
      </c>
      <c r="AF163" s="177">
        <f t="shared" si="66"/>
        <v>0.18659536969699492</v>
      </c>
      <c r="AG163" s="811">
        <f t="shared" si="74"/>
        <v>0</v>
      </c>
      <c r="AH163" s="176">
        <f t="shared" si="67"/>
        <v>6</v>
      </c>
      <c r="AI163" s="225">
        <f t="shared" si="68"/>
        <v>0.18659536969699492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44711</v>
      </c>
      <c r="B164" s="1140">
        <v>49.542000000000002</v>
      </c>
      <c r="C164" s="841"/>
      <c r="D164" s="393">
        <f t="shared" si="50"/>
        <v>51.142899696866337</v>
      </c>
      <c r="E164" s="385">
        <f t="shared" si="72"/>
        <v>53.133978037103368</v>
      </c>
      <c r="F164" s="385">
        <f t="shared" si="51"/>
        <v>53.138898078491394</v>
      </c>
      <c r="G164" s="110">
        <f t="shared" si="73"/>
        <v>0.83341125041992647</v>
      </c>
      <c r="H164" s="414" t="b">
        <f>Wh_hp&gt;='2021'!Maxi_hp</f>
        <v>0</v>
      </c>
      <c r="I164" s="380">
        <f>IF(H164,Wh_hp,'2021'!Maxi_hp)</f>
        <v>57.223999787813696</v>
      </c>
      <c r="J164" s="85">
        <f>IF(H164,An,'2021'!An_max)</f>
        <v>2019</v>
      </c>
      <c r="K164" s="197">
        <f t="shared" si="52"/>
        <v>44711</v>
      </c>
      <c r="L164" s="147">
        <f>IF(t&lt;Tvie,1-EXP((T0-t)*PertePVj)+'2021'!Pspv,1-EXP((T0-t)*PertePVj)+Pspv)</f>
        <v>3.1302481993691567E-2</v>
      </c>
      <c r="M164" s="845"/>
      <c r="N164" s="845"/>
      <c r="O164" s="48">
        <f>IF(t&lt;Tnet,'2021'!Resal+('2021'!Salim-'2021'!Resal)*(1-EXP(('2021'!Tnet-t)/('2021'!Tau_j))),Resal+(Salim-Resal)*(1-EXP((Tnet-t)/(Tau_j))))*Salcycl</f>
        <v>3.7472788859261863E-2</v>
      </c>
      <c r="P164" s="339">
        <f>(INDEX(Models!$BJ164:$BT164,,T164)*(1-R164)+INDEX(Models!$BJ164:$BT164,,T164+1)*R164-ERP_i)*Q164*Ramure*Pc/MaxiM</f>
        <v>1.2149893221977004E-4</v>
      </c>
      <c r="Q164" s="305">
        <f t="shared" si="53"/>
        <v>0.5</v>
      </c>
      <c r="R164" s="177">
        <f t="shared" si="54"/>
        <v>0.19146409863708247</v>
      </c>
      <c r="S164" s="811">
        <f t="shared" si="55"/>
        <v>0</v>
      </c>
      <c r="T164" s="176">
        <f t="shared" si="56"/>
        <v>6</v>
      </c>
      <c r="U164" s="251">
        <f t="shared" si="57"/>
        <v>0.19146409863708247</v>
      </c>
      <c r="V164" s="383">
        <f t="shared" si="58"/>
        <v>59.443123131520508</v>
      </c>
      <c r="W164" s="402">
        <f t="shared" si="59"/>
        <v>0</v>
      </c>
      <c r="X164" s="157">
        <f t="shared" si="60"/>
        <v>44711</v>
      </c>
      <c r="Y164" s="385">
        <f t="shared" si="61"/>
        <v>47.65424805547844</v>
      </c>
      <c r="Z164" s="385">
        <f t="shared" si="62"/>
        <v>49.194146954723699</v>
      </c>
      <c r="AA164" s="386">
        <f t="shared" si="63"/>
        <v>53.133978037103368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7.4148995199051174E-2</v>
      </c>
      <c r="AD164" s="231">
        <f>(INDEX(Models!$BJ164:$BT164,,AH164)*(1-AF164)+INDEX(Models!$BJ164:$BT164,,AH164+1)*AF164-ERP_i)*AE164*Ramure*Pc/MaxiM</f>
        <v>1.2149893221977004E-4</v>
      </c>
      <c r="AE164" s="305">
        <f t="shared" si="65"/>
        <v>0.5</v>
      </c>
      <c r="AF164" s="177">
        <f t="shared" si="66"/>
        <v>0.19146409863708247</v>
      </c>
      <c r="AG164" s="811">
        <f t="shared" si="74"/>
        <v>0</v>
      </c>
      <c r="AH164" s="176">
        <f t="shared" si="67"/>
        <v>6</v>
      </c>
      <c r="AI164" s="225">
        <f t="shared" si="68"/>
        <v>0.19146409863708247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44712</v>
      </c>
      <c r="B165" s="1140">
        <v>52.612000000000002</v>
      </c>
      <c r="C165" s="841"/>
      <c r="D165" s="393">
        <f t="shared" si="50"/>
        <v>54.313293246945449</v>
      </c>
      <c r="E165" s="385">
        <f t="shared" si="72"/>
        <v>56.433918211054468</v>
      </c>
      <c r="F165" s="385">
        <f t="shared" si="51"/>
        <v>56.439255802655147</v>
      </c>
      <c r="G165" s="110">
        <f t="shared" si="73"/>
        <v>0.88503849640380305</v>
      </c>
      <c r="H165" s="414" t="b">
        <f>Wh_hp&gt;='2021'!Maxi_hp</f>
        <v>0</v>
      </c>
      <c r="I165" s="380">
        <f>IF(H165,Wh_hp,'2021'!Maxi_hp)</f>
        <v>63.126585406149495</v>
      </c>
      <c r="J165" s="85">
        <f>IF(H165,An,'2021'!An_max)</f>
        <v>2019</v>
      </c>
      <c r="K165" s="197">
        <f t="shared" si="52"/>
        <v>44712</v>
      </c>
      <c r="L165" s="147">
        <f>IF(t&lt;Tvie,1-EXP((T0-t)*PertePVj)+'2021'!Pspv,1-EXP((T0-t)*PertePVj)+Pspv)</f>
        <v>3.1323698955432522E-2</v>
      </c>
      <c r="M165" s="845"/>
      <c r="N165" s="845"/>
      <c r="O165" s="48">
        <f>IF(t&lt;Tnet,'2021'!Resal+('2021'!Salim-'2021'!Resal)*(1-EXP(('2021'!Tnet-t)/('2021'!Tau_j))),Resal+(Salim-Resal)*(1-EXP((Tnet-t)/(Tau_j))))*Salcycl</f>
        <v>3.7577135016182955E-2</v>
      </c>
      <c r="P165" s="339">
        <f>(INDEX(Models!$BJ165:$BT165,,T165)*(1-R165)+INDEX(Models!$BJ165:$BT165,,T165+1)*R165-ERP_i)*Q165*Ramure*Pc/MaxiM</f>
        <v>1.1315283770025795E-4</v>
      </c>
      <c r="Q165" s="305">
        <f t="shared" si="53"/>
        <v>0.5</v>
      </c>
      <c r="R165" s="177">
        <f t="shared" si="54"/>
        <v>0.19637749518670913</v>
      </c>
      <c r="S165" s="811">
        <f t="shared" si="55"/>
        <v>0</v>
      </c>
      <c r="T165" s="176">
        <f t="shared" si="56"/>
        <v>6</v>
      </c>
      <c r="U165" s="251">
        <f t="shared" si="57"/>
        <v>0.19637749518670913</v>
      </c>
      <c r="V165" s="383">
        <f t="shared" si="58"/>
        <v>59.444897101474893</v>
      </c>
      <c r="W165" s="402">
        <f t="shared" si="59"/>
        <v>0</v>
      </c>
      <c r="X165" s="157">
        <f t="shared" si="60"/>
        <v>44712</v>
      </c>
      <c r="Y165" s="385">
        <f t="shared" si="61"/>
        <v>50.60751345163127</v>
      </c>
      <c r="Z165" s="385">
        <f t="shared" si="62"/>
        <v>52.243988417037663</v>
      </c>
      <c r="AA165" s="386">
        <f t="shared" si="63"/>
        <v>56.433918211054468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7.4244885466699162E-2</v>
      </c>
      <c r="AD165" s="231">
        <f>(INDEX(Models!$BJ165:$BT165,,AH165)*(1-AF165)+INDEX(Models!$BJ165:$BT165,,AH165+1)*AF165-ERP_i)*AE165*Ramure*Pc/MaxiM</f>
        <v>1.1315283770025795E-4</v>
      </c>
      <c r="AE165" s="305">
        <f t="shared" si="65"/>
        <v>0.5</v>
      </c>
      <c r="AF165" s="177">
        <f t="shared" si="66"/>
        <v>0.19637749518670913</v>
      </c>
      <c r="AG165" s="811">
        <f t="shared" si="74"/>
        <v>0</v>
      </c>
      <c r="AH165" s="176">
        <f t="shared" si="67"/>
        <v>6</v>
      </c>
      <c r="AI165" s="225">
        <f t="shared" si="68"/>
        <v>0.19637749518670913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44713</v>
      </c>
      <c r="B166" s="1140">
        <v>54.963999999999999</v>
      </c>
      <c r="C166" s="841"/>
      <c r="D166" s="393">
        <f t="shared" si="50"/>
        <v>56.742591740665027</v>
      </c>
      <c r="E166" s="385">
        <f t="shared" si="72"/>
        <v>58.964449731870403</v>
      </c>
      <c r="F166" s="385">
        <f t="shared" si="51"/>
        <v>58.969994849857763</v>
      </c>
      <c r="G166" s="110">
        <f t="shared" si="73"/>
        <v>0.92463156342695008</v>
      </c>
      <c r="H166" s="414" t="b">
        <f>Wh_hp&gt;='2021'!Maxi_hp</f>
        <v>0</v>
      </c>
      <c r="I166" s="380">
        <f>IF(H166,Wh_hp,'2021'!Maxi_hp)</f>
        <v>64.729267905613341</v>
      </c>
      <c r="J166" s="85">
        <f>IF(H166,An,'2021'!An_max)</f>
        <v>2019</v>
      </c>
      <c r="K166" s="197">
        <f t="shared" si="52"/>
        <v>44713</v>
      </c>
      <c r="L166" s="147">
        <f>IF(t&lt;Tvie,1-EXP((T0-t)*PertePVj)+'2021'!Pspv,1-EXP((T0-t)*PertePVj)+Pspv)</f>
        <v>3.1344915452467537E-2</v>
      </c>
      <c r="M166" s="845"/>
      <c r="N166" s="845"/>
      <c r="O166" s="48">
        <f>IF(t&lt;Tnet,'2021'!Resal+('2021'!Salim-'2021'!Resal)*(1-EXP(('2021'!Tnet-t)/('2021'!Tau_j))),Resal+(Salim-Resal)*(1-EXP((Tnet-t)/(Tau_j))))*Salcycl</f>
        <v>3.7681314780496605E-2</v>
      </c>
      <c r="P166" s="339">
        <f>(INDEX(Models!$BJ166:$BT166,,T166)*(1-R166)+INDEX(Models!$BJ166:$BT166,,T166+1)*R166-ERP_i)*Q166*Ramure*Pc/MaxiM</f>
        <v>1.0537716779262461E-4</v>
      </c>
      <c r="Q166" s="305">
        <f t="shared" si="53"/>
        <v>0.5</v>
      </c>
      <c r="R166" s="177">
        <f t="shared" si="54"/>
        <v>0.20133197326379149</v>
      </c>
      <c r="S166" s="811">
        <f t="shared" si="55"/>
        <v>0</v>
      </c>
      <c r="T166" s="176">
        <f t="shared" si="56"/>
        <v>6</v>
      </c>
      <c r="U166" s="251">
        <f t="shared" si="57"/>
        <v>0.20133197326379149</v>
      </c>
      <c r="V166" s="383">
        <f t="shared" si="58"/>
        <v>59.443543339346441</v>
      </c>
      <c r="W166" s="402">
        <f t="shared" si="59"/>
        <v>0</v>
      </c>
      <c r="X166" s="157">
        <f t="shared" si="60"/>
        <v>44713</v>
      </c>
      <c r="Y166" s="385">
        <f t="shared" si="61"/>
        <v>52.870171970391432</v>
      </c>
      <c r="Z166" s="385">
        <f t="shared" si="62"/>
        <v>54.581009085486365</v>
      </c>
      <c r="AA166" s="386">
        <f t="shared" si="63"/>
        <v>58.964449731870403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7.4340397753509049E-2</v>
      </c>
      <c r="AD166" s="231">
        <f>(INDEX(Models!$BJ166:$BT166,,AH166)*(1-AF166)+INDEX(Models!$BJ166:$BT166,,AH166+1)*AF166-ERP_i)*AE166*Ramure*Pc/MaxiM</f>
        <v>1.0537716779262461E-4</v>
      </c>
      <c r="AE166" s="305">
        <f t="shared" si="65"/>
        <v>0.5</v>
      </c>
      <c r="AF166" s="177">
        <f t="shared" si="66"/>
        <v>0.20133197326379149</v>
      </c>
      <c r="AG166" s="811">
        <f t="shared" si="74"/>
        <v>0</v>
      </c>
      <c r="AH166" s="176">
        <f t="shared" si="67"/>
        <v>6</v>
      </c>
      <c r="AI166" s="225">
        <f t="shared" si="68"/>
        <v>0.20133197326379149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44714</v>
      </c>
      <c r="B167" s="1140">
        <v>44.152999999999999</v>
      </c>
      <c r="C167" s="841"/>
      <c r="D167" s="393">
        <f t="shared" si="50"/>
        <v>45.58275467662677</v>
      </c>
      <c r="E167" s="385">
        <f t="shared" si="72"/>
        <v>47.372747939086715</v>
      </c>
      <c r="F167" s="385">
        <f t="shared" si="51"/>
        <v>47.375690656771134</v>
      </c>
      <c r="G167" s="110">
        <f t="shared" si="73"/>
        <v>0.7428024340062036</v>
      </c>
      <c r="H167" s="414" t="b">
        <f>Wh_hp&gt;='2021'!Maxi_hp</f>
        <v>0</v>
      </c>
      <c r="I167" s="380">
        <f>IF(H167,Wh_hp,'2021'!Maxi_hp)</f>
        <v>63.739845271535835</v>
      </c>
      <c r="J167" s="85">
        <f>IF(H167,An,'2021'!An_max)</f>
        <v>2019</v>
      </c>
      <c r="K167" s="197">
        <f t="shared" si="52"/>
        <v>44714</v>
      </c>
      <c r="L167" s="147">
        <f>IF(t&lt;Tvie,1-EXP((T0-t)*PertePVj)+'2021'!Pspv,1-EXP((T0-t)*PertePVj)+Pspv)</f>
        <v>3.1366131484806936E-2</v>
      </c>
      <c r="M167" s="845"/>
      <c r="N167" s="845"/>
      <c r="O167" s="48">
        <f>IF(t&lt;Tnet,'2021'!Resal+('2021'!Salim-'2021'!Resal)*(1-EXP(('2021'!Tnet-t)/('2021'!Tau_j))),Resal+(Salim-Resal)*(1-EXP((Tnet-t)/(Tau_j))))*Salcycl</f>
        <v>3.7785295139762011E-2</v>
      </c>
      <c r="P167" s="339">
        <f>(INDEX(Models!$BJ167:$BT167,,T167)*(1-R167)+INDEX(Models!$BJ167:$BT167,,T167+1)*R167-ERP_i)*Q167*Ramure*Pc/MaxiM</f>
        <v>9.8187183760857619E-5</v>
      </c>
      <c r="Q167" s="305">
        <f t="shared" si="53"/>
        <v>0.5</v>
      </c>
      <c r="R167" s="177">
        <f t="shared" si="54"/>
        <v>0.20632381667820404</v>
      </c>
      <c r="S167" s="811">
        <f t="shared" si="55"/>
        <v>0</v>
      </c>
      <c r="T167" s="176">
        <f t="shared" si="56"/>
        <v>6</v>
      </c>
      <c r="U167" s="251">
        <f t="shared" si="57"/>
        <v>0.20632381667820404</v>
      </c>
      <c r="V167" s="383">
        <f t="shared" si="58"/>
        <v>59.438964067545996</v>
      </c>
      <c r="W167" s="402">
        <f t="shared" si="59"/>
        <v>0</v>
      </c>
      <c r="X167" s="157">
        <f t="shared" si="60"/>
        <v>44714</v>
      </c>
      <c r="Y167" s="385">
        <f t="shared" si="61"/>
        <v>42.471239043662472</v>
      </c>
      <c r="Z167" s="385">
        <f t="shared" si="62"/>
        <v>43.846535232931828</v>
      </c>
      <c r="AA167" s="386">
        <f t="shared" si="63"/>
        <v>47.372747939086715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7.4435468904801461E-2</v>
      </c>
      <c r="AD167" s="231">
        <f>(INDEX(Models!$BJ167:$BT167,,AH167)*(1-AF167)+INDEX(Models!$BJ167:$BT167,,AH167+1)*AF167-ERP_i)*AE167*Ramure*Pc/MaxiM</f>
        <v>9.8187183760857619E-5</v>
      </c>
      <c r="AE167" s="305">
        <f t="shared" si="65"/>
        <v>0.5</v>
      </c>
      <c r="AF167" s="177">
        <f t="shared" si="66"/>
        <v>0.20632381667820404</v>
      </c>
      <c r="AG167" s="811">
        <f t="shared" si="74"/>
        <v>0</v>
      </c>
      <c r="AH167" s="176">
        <f t="shared" si="67"/>
        <v>6</v>
      </c>
      <c r="AI167" s="225">
        <f t="shared" si="68"/>
        <v>0.20632381667820404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44715</v>
      </c>
      <c r="B168" s="1140">
        <v>53.808</v>
      </c>
      <c r="C168" s="841"/>
      <c r="D168" s="393">
        <f t="shared" si="50"/>
        <v>55.551617910688471</v>
      </c>
      <c r="E168" s="385">
        <f t="shared" si="72"/>
        <v>57.739304933361851</v>
      </c>
      <c r="F168" s="385">
        <f t="shared" si="51"/>
        <v>57.743879265054304</v>
      </c>
      <c r="G168" s="110">
        <f t="shared" si="73"/>
        <v>0.90537393020874979</v>
      </c>
      <c r="H168" s="414" t="b">
        <f>Wh_hp&gt;='2021'!Maxi_hp</f>
        <v>1</v>
      </c>
      <c r="I168" s="380">
        <f>IF(H168,Wh_hp,'2021'!Maxi_hp)</f>
        <v>57.743879265054304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3.1387347052460712E-2</v>
      </c>
      <c r="M168" s="845"/>
      <c r="N168" s="845"/>
      <c r="O168" s="48">
        <f>IF(t&lt;Tnet,'2021'!Resal+('2021'!Salim-'2021'!Resal)*(1-EXP(('2021'!Tnet-t)/('2021'!Tau_j))),Resal+(Salim-Resal)*(1-EXP((Tnet-t)/(Tau_j))))*Salcycl</f>
        <v>3.7889043264345348E-2</v>
      </c>
      <c r="P168" s="339">
        <f>(INDEX(Models!$BJ168:$BT168,,T168)*(1-R168)+INDEX(Models!$BJ168:$BT168,,T168+1)*R168-ERP_i)*Q168*Ramure*Pc/MaxiM</f>
        <v>9.1598419350554525E-5</v>
      </c>
      <c r="Q168" s="305">
        <f t="shared" si="53"/>
        <v>0.5</v>
      </c>
      <c r="R168" s="177">
        <f t="shared" si="54"/>
        <v>0.21134918946047596</v>
      </c>
      <c r="S168" s="811">
        <f t="shared" si="55"/>
        <v>0</v>
      </c>
      <c r="T168" s="176">
        <f t="shared" si="56"/>
        <v>6</v>
      </c>
      <c r="U168" s="251">
        <f t="shared" si="57"/>
        <v>0.21134918946047596</v>
      </c>
      <c r="V168" s="383">
        <f t="shared" si="58"/>
        <v>59.431061537015502</v>
      </c>
      <c r="W168" s="402">
        <f t="shared" si="59"/>
        <v>0</v>
      </c>
      <c r="X168" s="157">
        <f t="shared" si="60"/>
        <v>44715</v>
      </c>
      <c r="Y168" s="385">
        <f t="shared" si="61"/>
        <v>51.758778390329184</v>
      </c>
      <c r="Z168" s="385">
        <f t="shared" si="62"/>
        <v>53.435992429816494</v>
      </c>
      <c r="AA168" s="386">
        <f t="shared" si="63"/>
        <v>57.739304933361851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7.453003648921469E-2</v>
      </c>
      <c r="AD168" s="231">
        <f>(INDEX(Models!$BJ168:$BT168,,AH168)*(1-AF168)+INDEX(Models!$BJ168:$BT168,,AH168+1)*AF168-ERP_i)*AE168*Ramure*Pc/MaxiM</f>
        <v>9.1598419350554525E-5</v>
      </c>
      <c r="AE168" s="305">
        <f t="shared" si="65"/>
        <v>0.5</v>
      </c>
      <c r="AF168" s="177">
        <f t="shared" si="66"/>
        <v>0.21134918946047596</v>
      </c>
      <c r="AG168" s="811">
        <f t="shared" si="74"/>
        <v>0</v>
      </c>
      <c r="AH168" s="176">
        <f t="shared" si="67"/>
        <v>6</v>
      </c>
      <c r="AI168" s="225">
        <f t="shared" si="68"/>
        <v>0.21134918946047596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44716</v>
      </c>
      <c r="B169" s="1140">
        <v>24.298000000000002</v>
      </c>
      <c r="C169" s="841"/>
      <c r="D169" s="393">
        <f t="shared" si="50"/>
        <v>25.08591244010081</v>
      </c>
      <c r="E169" s="385">
        <f t="shared" si="72"/>
        <v>26.076629480119092</v>
      </c>
      <c r="F169" s="385">
        <f t="shared" si="51"/>
        <v>26.07697692120453</v>
      </c>
      <c r="G169" s="110">
        <f t="shared" si="73"/>
        <v>0.4088917919689708</v>
      </c>
      <c r="H169" s="414" t="b">
        <f>Wh_hp&gt;='2021'!Maxi_hp</f>
        <v>0</v>
      </c>
      <c r="I169" s="380">
        <f>IF(H169,Wh_hp,'2021'!Maxi_hp)</f>
        <v>59.953702782585943</v>
      </c>
      <c r="J169" s="85">
        <f>IF(H169,An,'2021'!An_max)</f>
        <v>2019</v>
      </c>
      <c r="K169" s="197">
        <f t="shared" si="52"/>
        <v>44716</v>
      </c>
      <c r="L169" s="147">
        <f>IF(t&lt;Tvie,1-EXP((T0-t)*PertePVj)+'2021'!Pspv,1-EXP((T0-t)*PertePVj)+Pspv)</f>
        <v>3.1408562155439079E-2</v>
      </c>
      <c r="M169" s="845"/>
      <c r="N169" s="845"/>
      <c r="O169" s="48">
        <f>IF(t&lt;Tnet,'2021'!Resal+('2021'!Salim-'2021'!Resal)*(1-EXP(('2021'!Tnet-t)/('2021'!Tau_j))),Resal+(Salim-Resal)*(1-EXP((Tnet-t)/(Tau_j))))*Salcycl</f>
        <v>3.7992526632846038E-2</v>
      </c>
      <c r="P169" s="339">
        <f>(INDEX(Models!$BJ169:$BT169,,T169)*(1-R169)+INDEX(Models!$BJ169:$BT169,,T169+1)*R169-ERP_i)*Q169*Ramure*Pc/MaxiM</f>
        <v>8.5626643588653951E-5</v>
      </c>
      <c r="Q169" s="305">
        <f t="shared" si="53"/>
        <v>0.5</v>
      </c>
      <c r="R169" s="177">
        <f t="shared" si="54"/>
        <v>0.21640414699013574</v>
      </c>
      <c r="S169" s="811">
        <f t="shared" si="55"/>
        <v>0</v>
      </c>
      <c r="T169" s="176">
        <f t="shared" si="56"/>
        <v>6</v>
      </c>
      <c r="U169" s="251">
        <f t="shared" si="57"/>
        <v>0.21640414699013574</v>
      </c>
      <c r="V169" s="383">
        <f t="shared" si="58"/>
        <v>59.419738024065843</v>
      </c>
      <c r="W169" s="402">
        <f t="shared" si="59"/>
        <v>0</v>
      </c>
      <c r="X169" s="157">
        <f t="shared" si="60"/>
        <v>44716</v>
      </c>
      <c r="Y169" s="385">
        <f t="shared" si="61"/>
        <v>23.372775910730759</v>
      </c>
      <c r="Z169" s="385">
        <f t="shared" si="62"/>
        <v>24.130686063819624</v>
      </c>
      <c r="AA169" s="386">
        <f t="shared" si="63"/>
        <v>26.076629480119092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7.4624039037831269E-2</v>
      </c>
      <c r="AD169" s="231">
        <f>(INDEX(Models!$BJ169:$BT169,,AH169)*(1-AF169)+INDEX(Models!$BJ169:$BT169,,AH169+1)*AF169-ERP_i)*AE169*Ramure*Pc/MaxiM</f>
        <v>8.5626643588653951E-5</v>
      </c>
      <c r="AE169" s="305">
        <f t="shared" si="65"/>
        <v>0.5</v>
      </c>
      <c r="AF169" s="177">
        <f t="shared" si="66"/>
        <v>0.21640414699013574</v>
      </c>
      <c r="AG169" s="811">
        <f t="shared" si="74"/>
        <v>0</v>
      </c>
      <c r="AH169" s="176">
        <f t="shared" si="67"/>
        <v>6</v>
      </c>
      <c r="AI169" s="225">
        <f t="shared" si="68"/>
        <v>0.21640414699013574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44717</v>
      </c>
      <c r="B170" s="1140">
        <v>33.518000000000001</v>
      </c>
      <c r="C170" s="841"/>
      <c r="D170" s="393">
        <f t="shared" si="50"/>
        <v>34.605647785708008</v>
      </c>
      <c r="E170" s="385">
        <f t="shared" ref="E170:E232" si="75">Wh_pvt/(1-Psa)</f>
        <v>35.976186257913675</v>
      </c>
      <c r="F170" s="385">
        <f t="shared" si="51"/>
        <v>35.977277924834134</v>
      </c>
      <c r="G170" s="110">
        <f t="shared" ref="G170:G232" si="76">+Wh_hp/MaxiM</f>
        <v>0.56420140871104763</v>
      </c>
      <c r="H170" s="414" t="b">
        <f>Wh_hp&gt;='2021'!Maxi_hp</f>
        <v>0</v>
      </c>
      <c r="I170" s="380">
        <f>IF(H170,Wh_hp,'2021'!Maxi_hp)</f>
        <v>43.180770881481472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3.1429776793752251E-2</v>
      </c>
      <c r="M170" s="845"/>
      <c r="N170" s="845"/>
      <c r="O170" s="48">
        <f>IF(t&lt;Tnet,'2021'!Resal+('2021'!Salim-'2021'!Resal)*(1-EXP(('2021'!Tnet-t)/('2021'!Tau_j))),Resal+(Salim-Resal)*(1-EXP((Tnet-t)/(Tau_j))))*Salcycl</f>
        <v>3.8095713158150295E-2</v>
      </c>
      <c r="P170" s="339">
        <f>(INDEX(Models!$BJ170:$BT170,,T170)*(1-R170)+INDEX(Models!$BJ170:$BT170,,T170+1)*R170-ERP_i)*Q170*Ramure*Pc/MaxiM</f>
        <v>8.0385616760900175E-5</v>
      </c>
      <c r="Q170" s="305">
        <f t="shared" si="53"/>
        <v>0.5</v>
      </c>
      <c r="R170" s="177">
        <f t="shared" si="54"/>
        <v>0.2214846478604077</v>
      </c>
      <c r="S170" s="811">
        <f t="shared" si="55"/>
        <v>0</v>
      </c>
      <c r="T170" s="176">
        <f t="shared" si="56"/>
        <v>6</v>
      </c>
      <c r="U170" s="251">
        <f t="shared" si="57"/>
        <v>0.2214846478604077</v>
      </c>
      <c r="V170" s="383">
        <f t="shared" si="58"/>
        <v>59.404890010906584</v>
      </c>
      <c r="W170" s="402">
        <f t="shared" si="59"/>
        <v>0</v>
      </c>
      <c r="X170" s="157">
        <f t="shared" si="60"/>
        <v>44717</v>
      </c>
      <c r="Y170" s="385">
        <f t="shared" si="61"/>
        <v>32.241899807795285</v>
      </c>
      <c r="Z170" s="385">
        <f t="shared" si="62"/>
        <v>33.288138573024952</v>
      </c>
      <c r="AA170" s="386">
        <f t="shared" si="63"/>
        <v>35.976186257913675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7.4717416282484142E-2</v>
      </c>
      <c r="AD170" s="231">
        <f>(INDEX(Models!$BJ170:$BT170,,AH170)*(1-AF170)+INDEX(Models!$BJ170:$BT170,,AH170+1)*AF170-ERP_i)*AE170*Ramure*Pc/MaxiM</f>
        <v>8.0385616760900175E-5</v>
      </c>
      <c r="AE170" s="305">
        <f t="shared" si="65"/>
        <v>0.5</v>
      </c>
      <c r="AF170" s="177">
        <f t="shared" si="66"/>
        <v>0.2214846478604077</v>
      </c>
      <c r="AG170" s="811">
        <f t="shared" si="74"/>
        <v>0</v>
      </c>
      <c r="AH170" s="176">
        <f t="shared" si="67"/>
        <v>6</v>
      </c>
      <c r="AI170" s="225">
        <f t="shared" si="68"/>
        <v>0.2214846478604077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44718</v>
      </c>
      <c r="B171" s="1140">
        <v>47.204999999999998</v>
      </c>
      <c r="C171" s="841"/>
      <c r="D171" s="393">
        <f t="shared" si="50"/>
        <v>48.737853799622911</v>
      </c>
      <c r="E171" s="385">
        <f t="shared" si="75"/>
        <v>50.673509464601473</v>
      </c>
      <c r="F171" s="385">
        <f t="shared" si="51"/>
        <v>50.67622224718091</v>
      </c>
      <c r="G171" s="110">
        <f t="shared" si="76"/>
        <v>0.79486092278395715</v>
      </c>
      <c r="H171" s="414" t="b">
        <f>Wh_hp&gt;='2021'!Maxi_hp</f>
        <v>0</v>
      </c>
      <c r="I171" s="380">
        <f>IF(H171,Wh_hp,'2021'!Maxi_hp)</f>
        <v>62.343880742671914</v>
      </c>
      <c r="J171" s="85">
        <f>IF(H171,An,'2021'!An_max)</f>
        <v>2019</v>
      </c>
      <c r="K171" s="197">
        <f t="shared" si="52"/>
        <v>44718</v>
      </c>
      <c r="L171" s="147">
        <f>IF(t&lt;Tvie,1-EXP((T0-t)*PertePVj)+'2021'!Pspv,1-EXP((T0-t)*PertePVj)+Pspv)</f>
        <v>3.1450990967410442E-2</v>
      </c>
      <c r="M171" s="845"/>
      <c r="N171" s="845"/>
      <c r="O171" s="48">
        <f>IF(t&lt;Tnet,'2021'!Resal+('2021'!Salim-'2021'!Resal)*(1-EXP(('2021'!Tnet-t)/('2021'!Tau_j))),Resal+(Salim-Resal)*(1-EXP((Tnet-t)/(Tau_j))))*Salcycl</f>
        <v>3.8198571313296022E-2</v>
      </c>
      <c r="P171" s="339">
        <f>(INDEX(Models!$BJ171:$BT171,,T171)*(1-R171)+INDEX(Models!$BJ171:$BT171,,T171+1)*R171-ERP_i)*Q171*Ramure*Pc/MaxiM</f>
        <v>7.5719921701792605E-5</v>
      </c>
      <c r="Q171" s="305">
        <f t="shared" si="53"/>
        <v>0.5</v>
      </c>
      <c r="R171" s="177">
        <f t="shared" si="54"/>
        <v>0.22658656640754765</v>
      </c>
      <c r="S171" s="811">
        <f t="shared" si="55"/>
        <v>0</v>
      </c>
      <c r="T171" s="176">
        <f t="shared" si="56"/>
        <v>6</v>
      </c>
      <c r="U171" s="251">
        <f t="shared" si="57"/>
        <v>0.22658656640754765</v>
      </c>
      <c r="V171" s="383">
        <f t="shared" si="58"/>
        <v>59.386429995785981</v>
      </c>
      <c r="W171" s="402">
        <f t="shared" si="59"/>
        <v>0</v>
      </c>
      <c r="X171" s="157">
        <f t="shared" si="60"/>
        <v>44718</v>
      </c>
      <c r="Y171" s="385">
        <f t="shared" si="61"/>
        <v>45.408113861715286</v>
      </c>
      <c r="Z171" s="385">
        <f t="shared" si="62"/>
        <v>46.882618678294889</v>
      </c>
      <c r="AA171" s="386">
        <f t="shared" si="63"/>
        <v>50.673509464601473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7.4810109391668489E-2</v>
      </c>
      <c r="AD171" s="231">
        <f>(INDEX(Models!$BJ171:$BT171,,AH171)*(1-AF171)+INDEX(Models!$BJ171:$BT171,,AH171+1)*AF171-ERP_i)*AE171*Ramure*Pc/MaxiM</f>
        <v>7.5719921701792605E-5</v>
      </c>
      <c r="AE171" s="305">
        <f t="shared" si="65"/>
        <v>0.5</v>
      </c>
      <c r="AF171" s="177">
        <f t="shared" si="66"/>
        <v>0.22658656640754765</v>
      </c>
      <c r="AG171" s="811">
        <f t="shared" si="74"/>
        <v>0</v>
      </c>
      <c r="AH171" s="176">
        <f t="shared" si="67"/>
        <v>6</v>
      </c>
      <c r="AI171" s="225">
        <f t="shared" si="68"/>
        <v>0.22658656640754765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44719</v>
      </c>
      <c r="B172" s="1140">
        <v>24.609000000000002</v>
      </c>
      <c r="C172" s="841"/>
      <c r="D172" s="393">
        <f t="shared" si="50"/>
        <v>25.408666760852601</v>
      </c>
      <c r="E172" s="385">
        <f t="shared" si="75"/>
        <v>26.42060417767609</v>
      </c>
      <c r="F172" s="385">
        <f t="shared" si="51"/>
        <v>26.420913928960747</v>
      </c>
      <c r="G172" s="110">
        <f t="shared" si="76"/>
        <v>0.41451751004859155</v>
      </c>
      <c r="H172" s="414" t="b">
        <f>Wh_hp&gt;='2021'!Maxi_hp</f>
        <v>0</v>
      </c>
      <c r="I172" s="380">
        <f>IF(H172,Wh_hp,'2021'!Maxi_hp)</f>
        <v>54.813719171232592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3.1472204676423754E-2</v>
      </c>
      <c r="M172" s="845"/>
      <c r="N172" s="845"/>
      <c r="O172" s="48">
        <f>IF(t&lt;Tnet,'2021'!Resal+('2021'!Salim-'2021'!Resal)*(1-EXP(('2021'!Tnet-t)/('2021'!Tau_j))),Resal+(Salim-Resal)*(1-EXP((Tnet-t)/(Tau_j))))*Salcycl</f>
        <v>3.8301070256315996E-2</v>
      </c>
      <c r="P172" s="339">
        <f>(INDEX(Models!$BJ172:$BT172,,T172)*(1-R172)+INDEX(Models!$BJ172:$BT172,,T172+1)*R172-ERP_i)*Q172*Ramure*Pc/MaxiM</f>
        <v>7.1646870776428555E-5</v>
      </c>
      <c r="Q172" s="305">
        <f t="shared" si="53"/>
        <v>0.5</v>
      </c>
      <c r="R172" s="177">
        <f t="shared" si="54"/>
        <v>0.23170570582537364</v>
      </c>
      <c r="S172" s="811">
        <f t="shared" si="55"/>
        <v>0</v>
      </c>
      <c r="T172" s="176">
        <f t="shared" si="56"/>
        <v>6</v>
      </c>
      <c r="U172" s="251">
        <f t="shared" si="57"/>
        <v>0.23170570582537364</v>
      </c>
      <c r="V172" s="383">
        <f t="shared" si="58"/>
        <v>59.364260223662676</v>
      </c>
      <c r="W172" s="402">
        <f t="shared" si="59"/>
        <v>0</v>
      </c>
      <c r="X172" s="157">
        <f t="shared" si="60"/>
        <v>44719</v>
      </c>
      <c r="Y172" s="385">
        <f t="shared" si="61"/>
        <v>23.672413966329426</v>
      </c>
      <c r="Z172" s="385">
        <f t="shared" si="62"/>
        <v>24.441646466553589</v>
      </c>
      <c r="AA172" s="386">
        <f t="shared" si="63"/>
        <v>26.42060417767609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7.4902061202468867E-2</v>
      </c>
      <c r="AD172" s="231">
        <f>(INDEX(Models!$BJ172:$BT172,,AH172)*(1-AF172)+INDEX(Models!$BJ172:$BT172,,AH172+1)*AF172-ERP_i)*AE172*Ramure*Pc/MaxiM</f>
        <v>7.1646870776428555E-5</v>
      </c>
      <c r="AE172" s="305">
        <f t="shared" si="65"/>
        <v>0.5</v>
      </c>
      <c r="AF172" s="177">
        <f t="shared" si="66"/>
        <v>0.23170570582537364</v>
      </c>
      <c r="AG172" s="811">
        <f t="shared" si="74"/>
        <v>0</v>
      </c>
      <c r="AH172" s="176">
        <f t="shared" si="67"/>
        <v>6</v>
      </c>
      <c r="AI172" s="225">
        <f t="shared" si="68"/>
        <v>0.23170570582537364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44720</v>
      </c>
      <c r="B173" s="1140">
        <v>20.119</v>
      </c>
      <c r="C173" s="841"/>
      <c r="D173" s="393">
        <f t="shared" si="50"/>
        <v>20.773219689233677</v>
      </c>
      <c r="E173" s="385">
        <f t="shared" si="75"/>
        <v>21.602837339065896</v>
      </c>
      <c r="F173" s="385">
        <f t="shared" si="51"/>
        <v>21.602919522469019</v>
      </c>
      <c r="G173" s="110">
        <f t="shared" si="76"/>
        <v>0.33903415714047369</v>
      </c>
      <c r="H173" s="414" t="b">
        <f>Wh_hp&gt;='2021'!Maxi_hp</f>
        <v>0</v>
      </c>
      <c r="I173" s="380">
        <f>IF(H173,Wh_hp,'2021'!Maxi_hp)</f>
        <v>64.469263284236831</v>
      </c>
      <c r="J173" s="85">
        <f>IF(H173,An,'2021'!An_max)</f>
        <v>2019</v>
      </c>
      <c r="K173" s="197">
        <f t="shared" si="52"/>
        <v>44720</v>
      </c>
      <c r="L173" s="147">
        <f>IF(t&lt;Tvie,1-EXP((T0-t)*PertePVj)+'2021'!Pspv,1-EXP((T0-t)*PertePVj)+Pspv)</f>
        <v>3.1493417920802402E-2</v>
      </c>
      <c r="M173" s="845"/>
      <c r="N173" s="845"/>
      <c r="O173" s="48">
        <f>IF(t&lt;Tnet,'2021'!Resal+('2021'!Salim-'2021'!Resal)*(1-EXP(('2021'!Tnet-t)/('2021'!Tau_j))),Resal+(Salim-Resal)*(1-EXP((Tnet-t)/(Tau_j))))*Salcycl</f>
        <v>3.8403179953216703E-2</v>
      </c>
      <c r="P173" s="339">
        <f>(INDEX(Models!$BJ173:$BT173,,T173)*(1-R173)+INDEX(Models!$BJ173:$BT173,,T173+1)*R173-ERP_i)*Q173*Ramure*Pc/MaxiM</f>
        <v>6.8183942932954463E-5</v>
      </c>
      <c r="Q173" s="305">
        <f t="shared" si="53"/>
        <v>0.5</v>
      </c>
      <c r="R173" s="177">
        <f t="shared" si="54"/>
        <v>0.23683781177864013</v>
      </c>
      <c r="S173" s="811">
        <f t="shared" si="55"/>
        <v>0</v>
      </c>
      <c r="T173" s="176">
        <f t="shared" si="56"/>
        <v>6</v>
      </c>
      <c r="U173" s="251">
        <f t="shared" si="57"/>
        <v>0.23683781177864013</v>
      </c>
      <c r="V173" s="383">
        <f t="shared" si="58"/>
        <v>59.338282933413446</v>
      </c>
      <c r="W173" s="402">
        <f t="shared" si="59"/>
        <v>0</v>
      </c>
      <c r="X173" s="157">
        <f t="shared" si="60"/>
        <v>44720</v>
      </c>
      <c r="Y173" s="385">
        <f t="shared" si="61"/>
        <v>19.353445321708918</v>
      </c>
      <c r="Z173" s="385">
        <f t="shared" si="62"/>
        <v>19.982771082629906</v>
      </c>
      <c r="AA173" s="386">
        <f t="shared" si="63"/>
        <v>21.602837339065896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7.499321644691144E-2</v>
      </c>
      <c r="AD173" s="231">
        <f>(INDEX(Models!$BJ173:$BT173,,AH173)*(1-AF173)+INDEX(Models!$BJ173:$BT173,,AH173+1)*AF173-ERP_i)*AE173*Ramure*Pc/MaxiM</f>
        <v>6.8183942932954463E-5</v>
      </c>
      <c r="AE173" s="305">
        <f t="shared" si="65"/>
        <v>0.5</v>
      </c>
      <c r="AF173" s="177">
        <f t="shared" si="66"/>
        <v>0.23683781177864013</v>
      </c>
      <c r="AG173" s="811">
        <f t="shared" si="74"/>
        <v>0</v>
      </c>
      <c r="AH173" s="176">
        <f t="shared" si="67"/>
        <v>6</v>
      </c>
      <c r="AI173" s="225">
        <f t="shared" si="68"/>
        <v>0.23683781177864013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44721</v>
      </c>
      <c r="B174" s="1140">
        <v>45.975000000000001</v>
      </c>
      <c r="C174" s="841"/>
      <c r="D174" s="393">
        <f t="shared" si="50"/>
        <v>47.471032043835777</v>
      </c>
      <c r="E174" s="385">
        <f t="shared" si="75"/>
        <v>49.372098335987396</v>
      </c>
      <c r="F174" s="385">
        <f t="shared" si="51"/>
        <v>49.374288633216509</v>
      </c>
      <c r="G174" s="110">
        <f t="shared" si="76"/>
        <v>0.7751690279445459</v>
      </c>
      <c r="H174" s="414" t="b">
        <f>Wh_hp&gt;='2021'!Maxi_hp</f>
        <v>0</v>
      </c>
      <c r="I174" s="380">
        <f>IF(H174,Wh_hp,'2021'!Maxi_hp)</f>
        <v>60.601331416290115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3.1514630700556601E-2</v>
      </c>
      <c r="M174" s="845"/>
      <c r="N174" s="845"/>
      <c r="O174" s="48">
        <f>IF(t&lt;Tnet,'2021'!Resal+('2021'!Salim-'2021'!Resal)*(1-EXP(('2021'!Tnet-t)/('2021'!Tau_j))),Resal+(Salim-Resal)*(1-EXP((Tnet-t)/(Tau_j))))*Salcycl</f>
        <v>3.8504871298247645E-2</v>
      </c>
      <c r="P174" s="339">
        <f>(INDEX(Models!$BJ174:$BT174,,T174)*(1-R174)+INDEX(Models!$BJ174:$BT174,,T174+1)*R174-ERP_i)*Q174*Ramure*Pc/MaxiM</f>
        <v>6.5348744308632318E-5</v>
      </c>
      <c r="Q174" s="305">
        <f t="shared" si="53"/>
        <v>0.5</v>
      </c>
      <c r="R174" s="177">
        <f t="shared" si="54"/>
        <v>0.24197858642294601</v>
      </c>
      <c r="S174" s="811">
        <f t="shared" si="55"/>
        <v>0</v>
      </c>
      <c r="T174" s="176">
        <f t="shared" si="56"/>
        <v>6</v>
      </c>
      <c r="U174" s="251">
        <f t="shared" si="57"/>
        <v>0.24197858642294601</v>
      </c>
      <c r="V174" s="383">
        <f t="shared" si="58"/>
        <v>59.308400351936442</v>
      </c>
      <c r="W174" s="402">
        <f t="shared" si="59"/>
        <v>0</v>
      </c>
      <c r="X174" s="157">
        <f t="shared" si="60"/>
        <v>44721</v>
      </c>
      <c r="Y174" s="385">
        <f t="shared" si="61"/>
        <v>44.225949573755997</v>
      </c>
      <c r="Z174" s="385">
        <f t="shared" si="62"/>
        <v>45.665067305814816</v>
      </c>
      <c r="AA174" s="386">
        <f t="shared" si="63"/>
        <v>49.372098335987396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7.508352197116408E-2</v>
      </c>
      <c r="AD174" s="231">
        <f>(INDEX(Models!$BJ174:$BT174,,AH174)*(1-AF174)+INDEX(Models!$BJ174:$BT174,,AH174+1)*AF174-ERP_i)*AE174*Ramure*Pc/MaxiM</f>
        <v>6.5348744308632318E-5</v>
      </c>
      <c r="AE174" s="305">
        <f t="shared" si="65"/>
        <v>0.5</v>
      </c>
      <c r="AF174" s="177">
        <f t="shared" si="66"/>
        <v>0.24197858642294601</v>
      </c>
      <c r="AG174" s="811">
        <f t="shared" si="74"/>
        <v>0</v>
      </c>
      <c r="AH174" s="176">
        <f t="shared" si="67"/>
        <v>6</v>
      </c>
      <c r="AI174" s="225">
        <f t="shared" si="68"/>
        <v>0.24197858642294601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44722</v>
      </c>
      <c r="B175" s="1140">
        <v>56.106000000000002</v>
      </c>
      <c r="C175" s="841"/>
      <c r="D175" s="393">
        <f t="shared" si="50"/>
        <v>57.932964886081315</v>
      </c>
      <c r="E175" s="385">
        <f t="shared" si="75"/>
        <v>60.259344129526852</v>
      </c>
      <c r="F175" s="385">
        <f t="shared" si="51"/>
        <v>60.262859616914838</v>
      </c>
      <c r="G175" s="110">
        <f t="shared" si="76"/>
        <v>0.94654051027635289</v>
      </c>
      <c r="H175" s="414" t="b">
        <f>Wh_hp&gt;='2021'!Maxi_hp</f>
        <v>0</v>
      </c>
      <c r="I175" s="380">
        <f>IF(H175,Wh_hp,'2021'!Maxi_hp)</f>
        <v>61.199848181326935</v>
      </c>
      <c r="J175" s="85">
        <f>IF(H175,An,'2021'!An_max)</f>
        <v>2021</v>
      </c>
      <c r="K175" s="197">
        <f t="shared" si="52"/>
        <v>44722</v>
      </c>
      <c r="L175" s="147">
        <f>IF(t&lt;Tvie,1-EXP((T0-t)*PertePVj)+'2021'!Pspv,1-EXP((T0-t)*PertePVj)+Pspv)</f>
        <v>3.1535843015696452E-2</v>
      </c>
      <c r="M175" s="845"/>
      <c r="N175" s="845"/>
      <c r="O175" s="48">
        <f>IF(t&lt;Tnet,'2021'!Resal+('2021'!Salim-'2021'!Resal)*(1-EXP(('2021'!Tnet-t)/('2021'!Tau_j))),Resal+(Salim-Resal)*(1-EXP((Tnet-t)/(Tau_j))))*Salcycl</f>
        <v>3.8606116230621601E-2</v>
      </c>
      <c r="P175" s="339">
        <f>(INDEX(Models!$BJ175:$BT175,,T175)*(1-R175)+INDEX(Models!$BJ175:$BT175,,T175+1)*R175-ERP_i)*Q175*Ramure*Pc/MaxiM</f>
        <v>6.3158970115982074E-5</v>
      </c>
      <c r="Q175" s="305">
        <f t="shared" si="53"/>
        <v>0.5</v>
      </c>
      <c r="R175" s="177">
        <f t="shared" si="54"/>
        <v>0.24712370273395753</v>
      </c>
      <c r="S175" s="811">
        <f t="shared" si="55"/>
        <v>0</v>
      </c>
      <c r="T175" s="176">
        <f t="shared" si="56"/>
        <v>6</v>
      </c>
      <c r="U175" s="251">
        <f t="shared" si="57"/>
        <v>0.24712370273395753</v>
      </c>
      <c r="V175" s="383">
        <f t="shared" si="58"/>
        <v>59.274514689232831</v>
      </c>
      <c r="W175" s="402">
        <f t="shared" si="59"/>
        <v>0</v>
      </c>
      <c r="X175" s="157">
        <f t="shared" si="60"/>
        <v>44722</v>
      </c>
      <c r="Y175" s="385">
        <f t="shared" si="61"/>
        <v>53.971996948144607</v>
      </c>
      <c r="Z175" s="385">
        <f t="shared" si="62"/>
        <v>55.729472855461971</v>
      </c>
      <c r="AA175" s="386">
        <f t="shared" si="63"/>
        <v>60.259344129526852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7.5172926946034613E-2</v>
      </c>
      <c r="AD175" s="231">
        <f>(INDEX(Models!$BJ175:$BT175,,AH175)*(1-AF175)+INDEX(Models!$BJ175:$BT175,,AH175+1)*AF175-ERP_i)*AE175*Ramure*Pc/MaxiM</f>
        <v>6.3158970115982074E-5</v>
      </c>
      <c r="AE175" s="305">
        <f t="shared" si="65"/>
        <v>0.5</v>
      </c>
      <c r="AF175" s="177">
        <f t="shared" si="66"/>
        <v>0.24712370273395753</v>
      </c>
      <c r="AG175" s="811">
        <f t="shared" si="74"/>
        <v>0</v>
      </c>
      <c r="AH175" s="176">
        <f t="shared" si="67"/>
        <v>6</v>
      </c>
      <c r="AI175" s="225">
        <f t="shared" si="68"/>
        <v>0.24712370273395753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44723</v>
      </c>
      <c r="B176" s="1140">
        <v>54.858000000000004</v>
      </c>
      <c r="C176" s="841"/>
      <c r="D176" s="393">
        <f t="shared" si="50"/>
        <v>56.645567274407313</v>
      </c>
      <c r="E176" s="385">
        <f t="shared" si="75"/>
        <v>58.926425830234429</v>
      </c>
      <c r="F176" s="385">
        <f t="shared" si="51"/>
        <v>58.929674289697104</v>
      </c>
      <c r="G176" s="110">
        <f t="shared" si="76"/>
        <v>0.92607795707655438</v>
      </c>
      <c r="H176" s="414" t="b">
        <f>Wh_hp&gt;='2021'!Maxi_hp</f>
        <v>1</v>
      </c>
      <c r="I176" s="380">
        <f>IF(H176,Wh_hp,'2021'!Maxi_hp)</f>
        <v>58.929674289697104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3.1557054866232059E-2</v>
      </c>
      <c r="M176" s="845"/>
      <c r="N176" s="845"/>
      <c r="O176" s="48">
        <f>IF(t&lt;Tnet,'2021'!Resal+('2021'!Salim-'2021'!Resal)*(1-EXP(('2021'!Tnet-t)/('2021'!Tau_j))),Resal+(Salim-Resal)*(1-EXP((Tnet-t)/(Tau_j))))*Salcycl</f>
        <v>3.8706887846858655E-2</v>
      </c>
      <c r="P176" s="339">
        <f>(INDEX(Models!$BJ176:$BT176,,T176)*(1-R176)+INDEX(Models!$BJ176:$BT176,,T176+1)*R176-ERP_i)*Q176*Ramure*Pc/MaxiM</f>
        <v>6.1632368320022074E-5</v>
      </c>
      <c r="Q176" s="305">
        <f t="shared" si="53"/>
        <v>0.5</v>
      </c>
      <c r="R176" s="177">
        <f t="shared" si="54"/>
        <v>0.25226881904496906</v>
      </c>
      <c r="S176" s="811">
        <f t="shared" si="55"/>
        <v>0</v>
      </c>
      <c r="T176" s="176">
        <f t="shared" si="56"/>
        <v>6</v>
      </c>
      <c r="U176" s="251">
        <f t="shared" si="57"/>
        <v>0.25226881904496906</v>
      </c>
      <c r="V176" s="383">
        <f t="shared" si="58"/>
        <v>59.236528138659708</v>
      </c>
      <c r="W176" s="402">
        <f t="shared" si="59"/>
        <v>0</v>
      </c>
      <c r="X176" s="157">
        <f t="shared" si="60"/>
        <v>44723</v>
      </c>
      <c r="Y176" s="385">
        <f t="shared" si="61"/>
        <v>52.77194895745253</v>
      </c>
      <c r="Z176" s="385">
        <f t="shared" si="62"/>
        <v>54.491541523040688</v>
      </c>
      <c r="AA176" s="386">
        <f t="shared" si="63"/>
        <v>58.926425830234429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7.5261383067259685E-2</v>
      </c>
      <c r="AD176" s="231">
        <f>(INDEX(Models!$BJ176:$BT176,,AH176)*(1-AF176)+INDEX(Models!$BJ176:$BT176,,AH176+1)*AF176-ERP_i)*AE176*Ramure*Pc/MaxiM</f>
        <v>6.1632368320022074E-5</v>
      </c>
      <c r="AE176" s="305">
        <f t="shared" si="65"/>
        <v>0.5</v>
      </c>
      <c r="AF176" s="177">
        <f t="shared" si="66"/>
        <v>0.25226881904496906</v>
      </c>
      <c r="AG176" s="811">
        <f t="shared" si="74"/>
        <v>0</v>
      </c>
      <c r="AH176" s="176">
        <f t="shared" si="67"/>
        <v>6</v>
      </c>
      <c r="AI176" s="225">
        <f t="shared" si="68"/>
        <v>0.25226881904496906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44724</v>
      </c>
      <c r="B177" s="1140">
        <v>41.975000000000001</v>
      </c>
      <c r="C177" s="841"/>
      <c r="D177" s="393">
        <f t="shared" si="50"/>
        <v>43.343719515210871</v>
      </c>
      <c r="E177" s="385">
        <f t="shared" si="75"/>
        <v>45.093677079529712</v>
      </c>
      <c r="F177" s="385">
        <f t="shared" si="51"/>
        <v>45.095279176179524</v>
      </c>
      <c r="G177" s="110">
        <f t="shared" si="76"/>
        <v>0.70909439353993164</v>
      </c>
      <c r="H177" s="414" t="b">
        <f>Wh_hp&gt;='2021'!Maxi_hp</f>
        <v>0</v>
      </c>
      <c r="I177" s="380">
        <f>IF(H177,Wh_hp,'2021'!Maxi_hp)</f>
        <v>58.244062693126686</v>
      </c>
      <c r="J177" s="85">
        <f>IF(H177,An,'2021'!An_max)</f>
        <v>2019</v>
      </c>
      <c r="K177" s="197">
        <f t="shared" si="52"/>
        <v>44724</v>
      </c>
      <c r="L177" s="147">
        <f>IF(t&lt;Tvie,1-EXP((T0-t)*PertePVj)+'2021'!Pspv,1-EXP((T0-t)*PertePVj)+Pspv)</f>
        <v>3.1578266252173859E-2</v>
      </c>
      <c r="M177" s="845"/>
      <c r="N177" s="845"/>
      <c r="O177" s="48">
        <f>IF(t&lt;Tnet,'2021'!Resal+('2021'!Salim-'2021'!Resal)*(1-EXP(('2021'!Tnet-t)/('2021'!Tau_j))),Resal+(Salim-Resal)*(1-EXP((Tnet-t)/(Tau_j))))*Salcycl</f>
        <v>3.8807160507946914E-2</v>
      </c>
      <c r="P177" s="339">
        <f>(INDEX(Models!$BJ177:$BT177,,T177)*(1-R177)+INDEX(Models!$BJ177:$BT177,,T177+1)*R177-ERP_i)*Q177*Ramure*Pc/MaxiM</f>
        <v>6.0787338468004471E-5</v>
      </c>
      <c r="Q177" s="305">
        <f t="shared" si="53"/>
        <v>0.5</v>
      </c>
      <c r="R177" s="177">
        <f t="shared" si="54"/>
        <v>0.25740959368927496</v>
      </c>
      <c r="S177" s="811">
        <f t="shared" si="55"/>
        <v>0</v>
      </c>
      <c r="T177" s="176">
        <f t="shared" si="56"/>
        <v>6</v>
      </c>
      <c r="U177" s="251">
        <f t="shared" si="57"/>
        <v>0.25740959368927496</v>
      </c>
      <c r="V177" s="383">
        <f t="shared" si="58"/>
        <v>59.193726588328374</v>
      </c>
      <c r="W177" s="402">
        <f t="shared" si="59"/>
        <v>0</v>
      </c>
      <c r="X177" s="157">
        <f t="shared" si="60"/>
        <v>44724</v>
      </c>
      <c r="Y177" s="385">
        <f t="shared" si="61"/>
        <v>40.379235723786273</v>
      </c>
      <c r="Z177" s="385">
        <f t="shared" si="62"/>
        <v>41.695920606322218</v>
      </c>
      <c r="AA177" s="386">
        <f t="shared" si="63"/>
        <v>45.093677079529712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7.5348844744131727E-2</v>
      </c>
      <c r="AD177" s="231">
        <f>(INDEX(Models!$BJ177:$BT177,,AH177)*(1-AF177)+INDEX(Models!$BJ177:$BT177,,AH177+1)*AF177-ERP_i)*AE177*Ramure*Pc/MaxiM</f>
        <v>6.0787338468004471E-5</v>
      </c>
      <c r="AE177" s="305">
        <f t="shared" si="65"/>
        <v>0.5</v>
      </c>
      <c r="AF177" s="177">
        <f t="shared" si="66"/>
        <v>0.25740959368927496</v>
      </c>
      <c r="AG177" s="811">
        <f t="shared" si="74"/>
        <v>0</v>
      </c>
      <c r="AH177" s="176">
        <f t="shared" si="67"/>
        <v>6</v>
      </c>
      <c r="AI177" s="225">
        <f t="shared" si="68"/>
        <v>0.25740959368927496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44725</v>
      </c>
      <c r="B178" s="1140">
        <v>53.146999999999998</v>
      </c>
      <c r="C178" s="841"/>
      <c r="D178" s="393">
        <f t="shared" si="50"/>
        <v>54.88121778877192</v>
      </c>
      <c r="E178" s="385">
        <f t="shared" si="75"/>
        <v>57.102915790786362</v>
      </c>
      <c r="F178" s="385">
        <f t="shared" si="51"/>
        <v>57.105877136927845</v>
      </c>
      <c r="G178" s="110">
        <f t="shared" si="76"/>
        <v>0.89856924127394222</v>
      </c>
      <c r="H178" s="414" t="b">
        <f>Wh_hp&gt;='2021'!Maxi_hp</f>
        <v>0</v>
      </c>
      <c r="I178" s="380">
        <f>IF(H178,Wh_hp,'2021'!Maxi_hp)</f>
        <v>66.115436428019962</v>
      </c>
      <c r="J178" s="85">
        <f>IF(H178,An,'2021'!An_max)</f>
        <v>2019</v>
      </c>
      <c r="K178" s="197">
        <f t="shared" si="52"/>
        <v>44725</v>
      </c>
      <c r="L178" s="147">
        <f>IF(t&lt;Tvie,1-EXP((T0-t)*PertePVj)+'2021'!Pspv,1-EXP((T0-t)*PertePVj)+Pspv)</f>
        <v>3.1599477173531731E-2</v>
      </c>
      <c r="M178" s="845"/>
      <c r="N178" s="845"/>
      <c r="O178" s="48">
        <f>IF(t&lt;Tnet,'2021'!Resal+('2021'!Salim-'2021'!Resal)*(1-EXP(('2021'!Tnet-t)/('2021'!Tau_j))),Resal+(Salim-Resal)*(1-EXP((Tnet-t)/(Tau_j))))*Salcycl</f>
        <v>3.8906909940541357E-2</v>
      </c>
      <c r="P178" s="339">
        <f>(INDEX(Models!$BJ178:$BT178,,T178)*(1-R178)+INDEX(Models!$BJ178:$BT178,,T178+1)*R178-ERP_i)*Q178*Ramure*Pc/MaxiM</f>
        <v>6.0643782589312664E-5</v>
      </c>
      <c r="Q178" s="305">
        <f t="shared" si="53"/>
        <v>0.5</v>
      </c>
      <c r="R178" s="177">
        <f t="shared" si="54"/>
        <v>0.26254169964254148</v>
      </c>
      <c r="S178" s="811">
        <f t="shared" si="55"/>
        <v>0</v>
      </c>
      <c r="T178" s="176">
        <f t="shared" si="56"/>
        <v>6</v>
      </c>
      <c r="U178" s="251">
        <f t="shared" si="57"/>
        <v>0.26254169964254148</v>
      </c>
      <c r="V178" s="383">
        <f t="shared" si="58"/>
        <v>59.145729176649844</v>
      </c>
      <c r="W178" s="402">
        <f t="shared" si="59"/>
        <v>0</v>
      </c>
      <c r="X178" s="157">
        <f t="shared" si="60"/>
        <v>44725</v>
      </c>
      <c r="Y178" s="385">
        <f t="shared" si="61"/>
        <v>51.127036758528028</v>
      </c>
      <c r="Z178" s="385">
        <f t="shared" si="62"/>
        <v>52.795341961716076</v>
      </c>
      <c r="AA178" s="386">
        <f t="shared" si="63"/>
        <v>57.102915790786362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7.5435269275081721E-2</v>
      </c>
      <c r="AD178" s="231">
        <f>(INDEX(Models!$BJ178:$BT178,,AH178)*(1-AF178)+INDEX(Models!$BJ178:$BT178,,AH178+1)*AF178-ERP_i)*AE178*Ramure*Pc/MaxiM</f>
        <v>6.0643782589312664E-5</v>
      </c>
      <c r="AE178" s="305">
        <f t="shared" si="65"/>
        <v>0.5</v>
      </c>
      <c r="AF178" s="177">
        <f t="shared" si="66"/>
        <v>0.26254169964254148</v>
      </c>
      <c r="AG178" s="811">
        <f t="shared" si="74"/>
        <v>0</v>
      </c>
      <c r="AH178" s="176">
        <f t="shared" si="67"/>
        <v>6</v>
      </c>
      <c r="AI178" s="225">
        <f t="shared" si="68"/>
        <v>0.26254169964254148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44726</v>
      </c>
      <c r="B179" s="1140">
        <v>48.472000000000001</v>
      </c>
      <c r="C179" s="841"/>
      <c r="D179" s="393">
        <f t="shared" si="50"/>
        <v>50.054766124016041</v>
      </c>
      <c r="E179" s="385">
        <f t="shared" si="75"/>
        <v>52.086456343171768</v>
      </c>
      <c r="F179" s="385">
        <f t="shared" si="51"/>
        <v>52.088802118417199</v>
      </c>
      <c r="G179" s="110">
        <f t="shared" si="76"/>
        <v>0.8202539453774188</v>
      </c>
      <c r="H179" s="414" t="b">
        <f>Wh_hp&gt;='2021'!Maxi_hp</f>
        <v>0</v>
      </c>
      <c r="I179" s="380">
        <f>IF(H179,Wh_hp,'2021'!Maxi_hp)</f>
        <v>57.514759839675243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3.1620687630316113E-2</v>
      </c>
      <c r="M179" s="845"/>
      <c r="N179" s="845"/>
      <c r="O179" s="48">
        <f>IF(t&lt;Tnet,'2021'!Resal+('2021'!Salim-'2021'!Resal)*(1-EXP(('2021'!Tnet-t)/('2021'!Tau_j))),Resal+(Salim-Resal)*(1-EXP((Tnet-t)/(Tau_j))))*Salcycl</f>
        <v>3.900611333145667E-2</v>
      </c>
      <c r="P179" s="339">
        <f>(INDEX(Models!$BJ179:$BT179,,T179)*(1-R179)+INDEX(Models!$BJ179:$BT179,,T179+1)*R179-ERP_i)*Q179*Ramure*Pc/MaxiM</f>
        <v>6.059182496036127E-5</v>
      </c>
      <c r="Q179" s="305">
        <f t="shared" si="53"/>
        <v>0.5</v>
      </c>
      <c r="R179" s="177">
        <f t="shared" si="54"/>
        <v>0.26766083906036742</v>
      </c>
      <c r="S179" s="811">
        <f t="shared" si="55"/>
        <v>0</v>
      </c>
      <c r="T179" s="176">
        <f t="shared" si="56"/>
        <v>6</v>
      </c>
      <c r="U179" s="251">
        <f t="shared" si="57"/>
        <v>0.26766083906036742</v>
      </c>
      <c r="V179" s="383">
        <f t="shared" si="58"/>
        <v>59.092974959614104</v>
      </c>
      <c r="W179" s="402">
        <f t="shared" si="59"/>
        <v>0</v>
      </c>
      <c r="X179" s="157">
        <f t="shared" si="60"/>
        <v>44726</v>
      </c>
      <c r="Y179" s="385">
        <f t="shared" si="61"/>
        <v>46.630228635158474</v>
      </c>
      <c r="Z179" s="385">
        <f t="shared" si="62"/>
        <v>48.152855022327387</v>
      </c>
      <c r="AA179" s="386">
        <f t="shared" si="63"/>
        <v>52.086456343171768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7.5520617008917601E-2</v>
      </c>
      <c r="AD179" s="231">
        <f>(INDEX(Models!$BJ179:$BT179,,AH179)*(1-AF179)+INDEX(Models!$BJ179:$BT179,,AH179+1)*AF179-ERP_i)*AE179*Ramure*Pc/MaxiM</f>
        <v>6.059182496036127E-5</v>
      </c>
      <c r="AE179" s="305">
        <f t="shared" si="65"/>
        <v>0.5</v>
      </c>
      <c r="AF179" s="177">
        <f t="shared" si="66"/>
        <v>0.26766083906036742</v>
      </c>
      <c r="AG179" s="811">
        <f t="shared" si="74"/>
        <v>0</v>
      </c>
      <c r="AH179" s="176">
        <f t="shared" si="67"/>
        <v>6</v>
      </c>
      <c r="AI179" s="225">
        <f t="shared" si="68"/>
        <v>0.26766083906036742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44727</v>
      </c>
      <c r="B180" s="1140">
        <v>52.874000000000002</v>
      </c>
      <c r="C180" s="841"/>
      <c r="D180" s="393">
        <f t="shared" si="50"/>
        <v>54.601701447208917</v>
      </c>
      <c r="E180" s="385">
        <f t="shared" si="75"/>
        <v>56.823781170687361</v>
      </c>
      <c r="F180" s="385">
        <f t="shared" si="51"/>
        <v>56.826713041719522</v>
      </c>
      <c r="G180" s="110">
        <f t="shared" si="76"/>
        <v>0.89561693893939964</v>
      </c>
      <c r="H180" s="414" t="b">
        <f>Wh_hp&gt;='2021'!Maxi_hp</f>
        <v>1</v>
      </c>
      <c r="I180" s="380">
        <f>IF(H180,Wh_hp,'2021'!Maxi_hp)</f>
        <v>56.826713041719522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3.1641897622536996E-2</v>
      </c>
      <c r="M180" s="845"/>
      <c r="N180" s="845"/>
      <c r="O180" s="48">
        <f>IF(t&lt;Tnet,'2021'!Resal+('2021'!Salim-'2021'!Resal)*(1-EXP(('2021'!Tnet-t)/('2021'!Tau_j))),Resal+(Salim-Resal)*(1-EXP((Tnet-t)/(Tau_j))))*Salcycl</f>
        <v>3.9104749414752178E-2</v>
      </c>
      <c r="P180" s="339">
        <f>(INDEX(Models!$BJ180:$BT180,,T180)*(1-R180)+INDEX(Models!$BJ180:$BT180,,T180+1)*R180-ERP_i)*Q180*Ramure*Pc/MaxiM</f>
        <v>6.0634167818528648E-5</v>
      </c>
      <c r="Q180" s="305">
        <f t="shared" si="53"/>
        <v>0.5</v>
      </c>
      <c r="R180" s="177">
        <f t="shared" si="54"/>
        <v>0.27276275760750746</v>
      </c>
      <c r="S180" s="811">
        <f t="shared" si="55"/>
        <v>0</v>
      </c>
      <c r="T180" s="176">
        <f t="shared" si="56"/>
        <v>6</v>
      </c>
      <c r="U180" s="251">
        <f t="shared" si="57"/>
        <v>0.27276275760750746</v>
      </c>
      <c r="V180" s="383">
        <f t="shared" si="58"/>
        <v>59.035866388305124</v>
      </c>
      <c r="W180" s="402">
        <f t="shared" si="59"/>
        <v>0</v>
      </c>
      <c r="X180" s="157">
        <f t="shared" si="60"/>
        <v>44727</v>
      </c>
      <c r="Y180" s="385">
        <f t="shared" si="61"/>
        <v>50.865553818193682</v>
      </c>
      <c r="Z180" s="385">
        <f t="shared" si="62"/>
        <v>52.527627634148146</v>
      </c>
      <c r="AA180" s="386">
        <f t="shared" si="63"/>
        <v>56.823781170687361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7.5604851490512784E-2</v>
      </c>
      <c r="AD180" s="231">
        <f>(INDEX(Models!$BJ180:$BT180,,AH180)*(1-AF180)+INDEX(Models!$BJ180:$BT180,,AH180+1)*AF180-ERP_i)*AE180*Ramure*Pc/MaxiM</f>
        <v>6.0634167818528648E-5</v>
      </c>
      <c r="AE180" s="305">
        <f t="shared" si="65"/>
        <v>0.5</v>
      </c>
      <c r="AF180" s="177">
        <f t="shared" si="66"/>
        <v>0.27276275760750746</v>
      </c>
      <c r="AG180" s="811">
        <f t="shared" si="74"/>
        <v>0</v>
      </c>
      <c r="AH180" s="176">
        <f t="shared" si="67"/>
        <v>6</v>
      </c>
      <c r="AI180" s="225">
        <f t="shared" si="68"/>
        <v>0.27276275760750746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44728</v>
      </c>
      <c r="B181" s="1140">
        <v>50.814</v>
      </c>
      <c r="C181" s="841"/>
      <c r="D181" s="393">
        <f t="shared" si="50"/>
        <v>52.47553860150412</v>
      </c>
      <c r="E181" s="385">
        <f t="shared" si="75"/>
        <v>54.616664705466754</v>
      </c>
      <c r="F181" s="385">
        <f t="shared" si="51"/>
        <v>54.619327925972314</v>
      </c>
      <c r="G181" s="110">
        <f t="shared" si="76"/>
        <v>0.86161181852748714</v>
      </c>
      <c r="H181" s="414" t="b">
        <f>Wh_hp&gt;='2021'!Maxi_hp</f>
        <v>0</v>
      </c>
      <c r="I181" s="380">
        <f>IF(H181,Wh_hp,'2021'!Maxi_hp)</f>
        <v>64.761857489550721</v>
      </c>
      <c r="J181" s="85">
        <f>IF(H181,An,'2021'!An_max)</f>
        <v>2019</v>
      </c>
      <c r="K181" s="197">
        <f t="shared" si="52"/>
        <v>44728</v>
      </c>
      <c r="L181" s="147">
        <f>IF(t&lt;Tvie,1-EXP((T0-t)*PertePVj)+'2021'!Pspv,1-EXP((T0-t)*PertePVj)+Pspv)</f>
        <v>3.1663107150204595E-2</v>
      </c>
      <c r="M181" s="845"/>
      <c r="N181" s="845"/>
      <c r="O181" s="48">
        <f>IF(t&lt;Tnet,'2021'!Resal+('2021'!Salim-'2021'!Resal)*(1-EXP(('2021'!Tnet-t)/('2021'!Tau_j))),Resal+(Salim-Resal)*(1-EXP((Tnet-t)/(Tau_j))))*Salcycl</f>
        <v>3.9202798550756569E-2</v>
      </c>
      <c r="P181" s="339">
        <f>(INDEX(Models!$BJ181:$BT181,,T181)*(1-R181)+INDEX(Models!$BJ181:$BT181,,T181+1)*R181-ERP_i)*Q181*Ramure*Pc/MaxiM</f>
        <v>6.0773545064313063E-5</v>
      </c>
      <c r="Q181" s="305">
        <f t="shared" si="53"/>
        <v>0.5</v>
      </c>
      <c r="R181" s="177">
        <f t="shared" si="54"/>
        <v>0.27784325847777935</v>
      </c>
      <c r="S181" s="811">
        <f t="shared" si="55"/>
        <v>0</v>
      </c>
      <c r="T181" s="176">
        <f t="shared" si="56"/>
        <v>6</v>
      </c>
      <c r="U181" s="251">
        <f t="shared" si="57"/>
        <v>0.27784325847777935</v>
      </c>
      <c r="V181" s="383">
        <f t="shared" si="58"/>
        <v>58.974805596468045</v>
      </c>
      <c r="W181" s="402">
        <f t="shared" si="59"/>
        <v>0</v>
      </c>
      <c r="X181" s="157">
        <f t="shared" si="60"/>
        <v>44728</v>
      </c>
      <c r="Y181" s="385">
        <f t="shared" si="61"/>
        <v>48.884398254736908</v>
      </c>
      <c r="Z181" s="385">
        <f t="shared" si="62"/>
        <v>50.482841886640443</v>
      </c>
      <c r="AA181" s="386">
        <f t="shared" si="63"/>
        <v>54.616664705466754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7.5687939589847181E-2</v>
      </c>
      <c r="AD181" s="231">
        <f>(INDEX(Models!$BJ181:$BT181,,AH181)*(1-AF181)+INDEX(Models!$BJ181:$BT181,,AH181+1)*AF181-ERP_i)*AE181*Ramure*Pc/MaxiM</f>
        <v>6.0773545064313063E-5</v>
      </c>
      <c r="AE181" s="305">
        <f t="shared" si="65"/>
        <v>0.5</v>
      </c>
      <c r="AF181" s="177">
        <f t="shared" si="66"/>
        <v>0.27784325847777935</v>
      </c>
      <c r="AG181" s="811">
        <f t="shared" si="74"/>
        <v>0</v>
      </c>
      <c r="AH181" s="176">
        <f t="shared" si="67"/>
        <v>6</v>
      </c>
      <c r="AI181" s="225">
        <f t="shared" si="68"/>
        <v>0.27784325847777935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44729</v>
      </c>
      <c r="B182" s="1140">
        <v>50.883000000000003</v>
      </c>
      <c r="C182" s="841"/>
      <c r="D182" s="393">
        <f t="shared" si="50"/>
        <v>52.547945728833213</v>
      </c>
      <c r="E182" s="385">
        <f t="shared" si="75"/>
        <v>54.697573653803545</v>
      </c>
      <c r="F182" s="385">
        <f t="shared" si="51"/>
        <v>54.70026140662894</v>
      </c>
      <c r="G182" s="110">
        <f t="shared" si="76"/>
        <v>0.86372819116429822</v>
      </c>
      <c r="H182" s="414" t="b">
        <f>Wh_hp&gt;='2021'!Maxi_hp</f>
        <v>0</v>
      </c>
      <c r="I182" s="380">
        <f>IF(H182,Wh_hp,'2021'!Maxi_hp)</f>
        <v>62.682408537874828</v>
      </c>
      <c r="J182" s="85">
        <f>IF(H182,An,'2021'!An_max)</f>
        <v>2019</v>
      </c>
      <c r="K182" s="197">
        <f t="shared" si="52"/>
        <v>44729</v>
      </c>
      <c r="L182" s="147">
        <f>IF(t&lt;Tvie,1-EXP((T0-t)*PertePVj)+'2021'!Pspv,1-EXP((T0-t)*PertePVj)+Pspv)</f>
        <v>3.1684316213329122E-2</v>
      </c>
      <c r="M182" s="845"/>
      <c r="N182" s="845"/>
      <c r="O182" s="48">
        <f>IF(t&lt;Tnet,'2021'!Resal+('2021'!Salim-'2021'!Resal)*(1-EXP(('2021'!Tnet-t)/('2021'!Tau_j))),Resal+(Salim-Resal)*(1-EXP((Tnet-t)/(Tau_j))))*Salcycl</f>
        <v>3.9300242796434348E-2</v>
      </c>
      <c r="P182" s="339">
        <f>(INDEX(Models!$BJ182:$BT182,,T182)*(1-R182)+INDEX(Models!$BJ182:$BT182,,T182+1)*R182-ERP_i)*Q182*Ramure*Pc/MaxiM</f>
        <v>6.1012708982074307E-5</v>
      </c>
      <c r="Q182" s="305">
        <f t="shared" si="53"/>
        <v>0.5</v>
      </c>
      <c r="R182" s="177">
        <f t="shared" si="54"/>
        <v>0.28289821600743914</v>
      </c>
      <c r="S182" s="811">
        <f t="shared" si="55"/>
        <v>0</v>
      </c>
      <c r="T182" s="176">
        <f t="shared" si="56"/>
        <v>6</v>
      </c>
      <c r="U182" s="251">
        <f t="shared" si="57"/>
        <v>0.28289821600743914</v>
      </c>
      <c r="V182" s="383">
        <f t="shared" si="58"/>
        <v>58.910194397914502</v>
      </c>
      <c r="W182" s="402">
        <f t="shared" si="59"/>
        <v>0</v>
      </c>
      <c r="X182" s="157">
        <f t="shared" si="60"/>
        <v>44729</v>
      </c>
      <c r="Y182" s="385">
        <f t="shared" si="61"/>
        <v>48.951404731530047</v>
      </c>
      <c r="Z182" s="385">
        <f t="shared" si="62"/>
        <v>50.553146614440777</v>
      </c>
      <c r="AA182" s="386">
        <f t="shared" si="63"/>
        <v>54.697573653803545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7.5769851613419301E-2</v>
      </c>
      <c r="AD182" s="231">
        <f>(INDEX(Models!$BJ182:$BT182,,AH182)*(1-AF182)+INDEX(Models!$BJ182:$BT182,,AH182+1)*AF182-ERP_i)*AE182*Ramure*Pc/MaxiM</f>
        <v>6.1012708982074307E-5</v>
      </c>
      <c r="AE182" s="305">
        <f t="shared" si="65"/>
        <v>0.5</v>
      </c>
      <c r="AF182" s="177">
        <f t="shared" si="66"/>
        <v>0.28289821600743914</v>
      </c>
      <c r="AG182" s="811">
        <f t="shared" si="74"/>
        <v>0</v>
      </c>
      <c r="AH182" s="176">
        <f t="shared" si="67"/>
        <v>6</v>
      </c>
      <c r="AI182" s="225">
        <f t="shared" si="68"/>
        <v>0.28289821600743914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44730</v>
      </c>
      <c r="B183" s="1140">
        <v>54.216000000000001</v>
      </c>
      <c r="C183" s="841"/>
      <c r="D183" s="393">
        <f t="shared" si="50"/>
        <v>55.991231375630036</v>
      </c>
      <c r="E183" s="385">
        <f t="shared" si="75"/>
        <v>58.287591461469347</v>
      </c>
      <c r="F183" s="385">
        <f t="shared" si="51"/>
        <v>58.29076615606067</v>
      </c>
      <c r="G183" s="110">
        <f t="shared" si="76"/>
        <v>0.92136953571045288</v>
      </c>
      <c r="H183" s="414" t="b">
        <f>Wh_hp&gt;='2021'!Maxi_hp</f>
        <v>0</v>
      </c>
      <c r="I183" s="380">
        <f>IF(H183,Wh_hp,'2021'!Maxi_hp)</f>
        <v>60.904385564297691</v>
      </c>
      <c r="J183" s="85">
        <f>IF(H183,An,'2021'!An_max)</f>
        <v>2019</v>
      </c>
      <c r="K183" s="197">
        <f t="shared" si="52"/>
        <v>44730</v>
      </c>
      <c r="L183" s="147">
        <f>IF(t&lt;Tvie,1-EXP((T0-t)*PertePVj)+'2021'!Pspv,1-EXP((T0-t)*PertePVj)+Pspv)</f>
        <v>3.1705524811920793E-2</v>
      </c>
      <c r="M183" s="845"/>
      <c r="N183" s="845"/>
      <c r="O183" s="48">
        <f>IF(t&lt;Tnet,'2021'!Resal+('2021'!Salim-'2021'!Resal)*(1-EXP(('2021'!Tnet-t)/('2021'!Tau_j))),Resal+(Salim-Resal)*(1-EXP((Tnet-t)/(Tau_j))))*Salcycl</f>
        <v>3.9397065966558363E-2</v>
      </c>
      <c r="P183" s="339">
        <f>(INDEX(Models!$BJ183:$BT183,,T183)*(1-R183)+INDEX(Models!$BJ183:$BT183,,T183+1)*R183-ERP_i)*Q183*Ramure*Pc/MaxiM</f>
        <v>6.135441695707322E-5</v>
      </c>
      <c r="Q183" s="305">
        <f t="shared" si="53"/>
        <v>0.5</v>
      </c>
      <c r="R183" s="177">
        <f t="shared" si="54"/>
        <v>0.28792358878971108</v>
      </c>
      <c r="S183" s="811">
        <f t="shared" si="55"/>
        <v>0</v>
      </c>
      <c r="T183" s="176">
        <f t="shared" si="56"/>
        <v>6</v>
      </c>
      <c r="U183" s="251">
        <f t="shared" si="57"/>
        <v>0.28792358878971108</v>
      </c>
      <c r="V183" s="383">
        <f t="shared" si="58"/>
        <v>58.84243428675645</v>
      </c>
      <c r="W183" s="402">
        <f t="shared" si="59"/>
        <v>0</v>
      </c>
      <c r="X183" s="157">
        <f t="shared" si="60"/>
        <v>44730</v>
      </c>
      <c r="Y183" s="385">
        <f t="shared" si="61"/>
        <v>52.158581020476454</v>
      </c>
      <c r="Z183" s="385">
        <f t="shared" si="62"/>
        <v>53.866444926627608</v>
      </c>
      <c r="AA183" s="386">
        <f t="shared" si="63"/>
        <v>58.287591461469347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7.5850561397176844E-2</v>
      </c>
      <c r="AD183" s="231">
        <f>(INDEX(Models!$BJ183:$BT183,,AH183)*(1-AF183)+INDEX(Models!$BJ183:$BT183,,AH183+1)*AF183-ERP_i)*AE183*Ramure*Pc/MaxiM</f>
        <v>6.135441695707322E-5</v>
      </c>
      <c r="AE183" s="305">
        <f t="shared" si="65"/>
        <v>0.5</v>
      </c>
      <c r="AF183" s="177">
        <f t="shared" si="66"/>
        <v>0.28792358878971108</v>
      </c>
      <c r="AG183" s="811">
        <f t="shared" si="74"/>
        <v>0</v>
      </c>
      <c r="AH183" s="176">
        <f t="shared" si="67"/>
        <v>6</v>
      </c>
      <c r="AI183" s="225">
        <f t="shared" si="68"/>
        <v>0.28792358878971108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44731</v>
      </c>
      <c r="B184" s="1140">
        <v>55.322000000000003</v>
      </c>
      <c r="C184" s="841"/>
      <c r="D184" s="393">
        <f t="shared" si="50"/>
        <v>57.134697282636161</v>
      </c>
      <c r="E184" s="385">
        <f t="shared" si="75"/>
        <v>59.483910448153942</v>
      </c>
      <c r="F184" s="385">
        <f t="shared" si="51"/>
        <v>59.487278705048723</v>
      </c>
      <c r="G184" s="110">
        <f t="shared" si="76"/>
        <v>0.94129487962378722</v>
      </c>
      <c r="H184" s="414" t="b">
        <f>Wh_hp&gt;='2021'!Maxi_hp</f>
        <v>1</v>
      </c>
      <c r="I184" s="380">
        <f>IF(H184,Wh_hp,'2021'!Maxi_hp)</f>
        <v>59.487278705048723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3.17267329459896E-2</v>
      </c>
      <c r="M184" s="845"/>
      <c r="N184" s="845"/>
      <c r="O184" s="48">
        <f>IF(t&lt;Tnet,'2021'!Resal+('2021'!Salim-'2021'!Resal)*(1-EXP(('2021'!Tnet-t)/('2021'!Tau_j))),Resal+(Salim-Resal)*(1-EXP((Tnet-t)/(Tau_j))))*Salcycl</f>
        <v>3.9493253685218874E-2</v>
      </c>
      <c r="P184" s="339">
        <f>(INDEX(Models!$BJ184:$BT184,,T184)*(1-R184)+INDEX(Models!$BJ184:$BT184,,T184+1)*R184-ERP_i)*Q184*Ramure*Pc/MaxiM</f>
        <v>6.1804211340165372E-5</v>
      </c>
      <c r="Q184" s="305">
        <f t="shared" si="53"/>
        <v>0.5</v>
      </c>
      <c r="R184" s="177">
        <f t="shared" si="54"/>
        <v>0.29291543220412358</v>
      </c>
      <c r="S184" s="811">
        <f t="shared" si="55"/>
        <v>0</v>
      </c>
      <c r="T184" s="176">
        <f t="shared" si="56"/>
        <v>6</v>
      </c>
      <c r="U184" s="251">
        <f t="shared" si="57"/>
        <v>0.29291543220412358</v>
      </c>
      <c r="V184" s="383">
        <f t="shared" si="58"/>
        <v>58.77192627033746</v>
      </c>
      <c r="W184" s="402">
        <f t="shared" si="59"/>
        <v>0</v>
      </c>
      <c r="X184" s="157">
        <f t="shared" si="60"/>
        <v>44731</v>
      </c>
      <c r="Y184" s="385">
        <f t="shared" si="61"/>
        <v>53.223361699739868</v>
      </c>
      <c r="Z184" s="385">
        <f t="shared" si="62"/>
        <v>54.967294368947051</v>
      </c>
      <c r="AA184" s="386">
        <f t="shared" si="63"/>
        <v>59.483910448153942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7.5930046380248695E-2</v>
      </c>
      <c r="AD184" s="231">
        <f>(INDEX(Models!$BJ184:$BT184,,AH184)*(1-AF184)+INDEX(Models!$BJ184:$BT184,,AH184+1)*AF184-ERP_i)*AE184*Ramure*Pc/MaxiM</f>
        <v>6.1804211340165372E-5</v>
      </c>
      <c r="AE184" s="305">
        <f t="shared" si="65"/>
        <v>0.5</v>
      </c>
      <c r="AF184" s="177">
        <f t="shared" si="66"/>
        <v>0.29291543220412358</v>
      </c>
      <c r="AG184" s="811">
        <f t="shared" si="74"/>
        <v>0</v>
      </c>
      <c r="AH184" s="176">
        <f t="shared" si="67"/>
        <v>6</v>
      </c>
      <c r="AI184" s="225">
        <f t="shared" si="68"/>
        <v>0.29291543220412358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44732</v>
      </c>
      <c r="B185" s="1140">
        <v>30.809000000000001</v>
      </c>
      <c r="C185" s="841"/>
      <c r="D185" s="393">
        <f t="shared" si="50"/>
        <v>31.819193877662578</v>
      </c>
      <c r="E185" s="385">
        <f t="shared" si="75"/>
        <v>33.130802368717468</v>
      </c>
      <c r="F185" s="385">
        <f t="shared" si="51"/>
        <v>33.131464921745142</v>
      </c>
      <c r="G185" s="110">
        <f t="shared" si="76"/>
        <v>0.52484126333859848</v>
      </c>
      <c r="H185" s="414" t="b">
        <f>Wh_hp&gt;='2021'!Maxi_hp</f>
        <v>0</v>
      </c>
      <c r="I185" s="380">
        <f>IF(H185,Wh_hp,'2021'!Maxi_hp)</f>
        <v>58.208712843769881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3.1747940615545978E-2</v>
      </c>
      <c r="M185" s="845"/>
      <c r="N185" s="845"/>
      <c r="O185" s="48">
        <f>IF(t&lt;Tnet,'2021'!Resal+('2021'!Salim-'2021'!Resal)*(1-EXP(('2021'!Tnet-t)/('2021'!Tau_j))),Resal+(Salim-Resal)*(1-EXP((Tnet-t)/(Tau_j))))*Salcycl</f>
        <v>3.9588793427270771E-2</v>
      </c>
      <c r="P185" s="339">
        <f>(INDEX(Models!$BJ185:$BT185,,T185)*(1-R185)+INDEX(Models!$BJ185:$BT185,,T185+1)*R185-ERP_i)*Q185*Ramure*Pc/MaxiM</f>
        <v>6.2252843026658721E-5</v>
      </c>
      <c r="Q185" s="305">
        <f t="shared" si="53"/>
        <v>0.5</v>
      </c>
      <c r="R185" s="177">
        <f t="shared" si="54"/>
        <v>0.29786991028120591</v>
      </c>
      <c r="S185" s="811">
        <f t="shared" si="55"/>
        <v>0</v>
      </c>
      <c r="T185" s="176">
        <f t="shared" si="56"/>
        <v>6</v>
      </c>
      <c r="U185" s="251">
        <f t="shared" si="57"/>
        <v>0.29786991028120591</v>
      </c>
      <c r="V185" s="383">
        <f t="shared" si="58"/>
        <v>58.699077773016455</v>
      </c>
      <c r="W185" s="402">
        <f t="shared" si="59"/>
        <v>0</v>
      </c>
      <c r="X185" s="157">
        <f t="shared" si="60"/>
        <v>44732</v>
      </c>
      <c r="Y185" s="385">
        <f t="shared" si="61"/>
        <v>29.640700223713047</v>
      </c>
      <c r="Z185" s="385">
        <f t="shared" si="62"/>
        <v>30.612586811905675</v>
      </c>
      <c r="AA185" s="386">
        <f t="shared" si="63"/>
        <v>33.130802368717468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7.6008287658904591E-2</v>
      </c>
      <c r="AD185" s="231">
        <f>(INDEX(Models!$BJ185:$BT185,,AH185)*(1-AF185)+INDEX(Models!$BJ185:$BT185,,AH185+1)*AF185-ERP_i)*AE185*Ramure*Pc/MaxiM</f>
        <v>6.2252843026658721E-5</v>
      </c>
      <c r="AE185" s="305">
        <f t="shared" si="65"/>
        <v>0.5</v>
      </c>
      <c r="AF185" s="177">
        <f t="shared" si="66"/>
        <v>0.29786991028120591</v>
      </c>
      <c r="AG185" s="811">
        <f t="shared" si="74"/>
        <v>0</v>
      </c>
      <c r="AH185" s="176">
        <f t="shared" si="67"/>
        <v>6</v>
      </c>
      <c r="AI185" s="225">
        <f t="shared" si="68"/>
        <v>0.29786991028120591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44733</v>
      </c>
      <c r="B186" s="1140">
        <v>23.007999999999999</v>
      </c>
      <c r="C186" s="841"/>
      <c r="D186" s="393">
        <f t="shared" si="50"/>
        <v>23.762927971372811</v>
      </c>
      <c r="E186" s="385">
        <f t="shared" si="75"/>
        <v>24.744896386326346</v>
      </c>
      <c r="F186" s="385">
        <f t="shared" si="51"/>
        <v>24.745101333570279</v>
      </c>
      <c r="G186" s="110">
        <f t="shared" si="76"/>
        <v>0.39244395372803348</v>
      </c>
      <c r="H186" s="414" t="b">
        <f>Wh_hp&gt;='2021'!Maxi_hp</f>
        <v>0</v>
      </c>
      <c r="I186" s="380">
        <f>IF(H186,Wh_hp,'2021'!Maxi_hp)</f>
        <v>54.428674381419142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3.1769147820599919E-2</v>
      </c>
      <c r="M186" s="845"/>
      <c r="N186" s="845"/>
      <c r="O186" s="48">
        <f>IF(t&lt;Tnet,'2021'!Resal+('2021'!Salim-'2021'!Resal)*(1-EXP(('2021'!Tnet-t)/('2021'!Tau_j))),Resal+(Salim-Resal)*(1-EXP((Tnet-t)/(Tau_j))))*Salcycl</f>
        <v>3.9683674549397419E-2</v>
      </c>
      <c r="P186" s="339">
        <f>(INDEX(Models!$BJ186:$BT186,,T186)*(1-R186)+INDEX(Models!$BJ186:$BT186,,T186+1)*R186-ERP_i)*Q186*Ramure*Pc/MaxiM</f>
        <v>6.2700651020392508E-5</v>
      </c>
      <c r="Q186" s="305">
        <f t="shared" si="53"/>
        <v>0.5</v>
      </c>
      <c r="R186" s="177">
        <f t="shared" si="54"/>
        <v>0.3027833068308326</v>
      </c>
      <c r="S186" s="811">
        <f t="shared" si="55"/>
        <v>0</v>
      </c>
      <c r="T186" s="176">
        <f t="shared" si="56"/>
        <v>6</v>
      </c>
      <c r="U186" s="251">
        <f t="shared" si="57"/>
        <v>0.3027833068308326</v>
      </c>
      <c r="V186" s="383">
        <f t="shared" si="58"/>
        <v>58.624289441804287</v>
      </c>
      <c r="W186" s="402">
        <f t="shared" si="59"/>
        <v>0</v>
      </c>
      <c r="X186" s="157">
        <f t="shared" si="60"/>
        <v>44733</v>
      </c>
      <c r="Y186" s="385">
        <f t="shared" si="61"/>
        <v>22.135862469481605</v>
      </c>
      <c r="Z186" s="385">
        <f t="shared" si="62"/>
        <v>22.862174263147864</v>
      </c>
      <c r="AA186" s="386">
        <f t="shared" si="63"/>
        <v>24.744896386326346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7.6085270020320062E-2</v>
      </c>
      <c r="AD186" s="231">
        <f>(INDEX(Models!$BJ186:$BT186,,AH186)*(1-AF186)+INDEX(Models!$BJ186:$BT186,,AH186+1)*AF186-ERP_i)*AE186*Ramure*Pc/MaxiM</f>
        <v>6.2700651020392508E-5</v>
      </c>
      <c r="AE186" s="305">
        <f t="shared" si="65"/>
        <v>0.5</v>
      </c>
      <c r="AF186" s="177">
        <f t="shared" si="66"/>
        <v>0.3027833068308326</v>
      </c>
      <c r="AG186" s="811">
        <f t="shared" si="74"/>
        <v>0</v>
      </c>
      <c r="AH186" s="176">
        <f t="shared" si="67"/>
        <v>6</v>
      </c>
      <c r="AI186" s="225">
        <f t="shared" si="68"/>
        <v>0.3027833068308326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44734</v>
      </c>
      <c r="B187" s="1140">
        <v>38.484000000000002</v>
      </c>
      <c r="C187" s="841"/>
      <c r="D187" s="393">
        <f t="shared" si="50"/>
        <v>39.747589978363862</v>
      </c>
      <c r="E187" s="385">
        <f t="shared" si="75"/>
        <v>41.394162344824984</v>
      </c>
      <c r="F187" s="385">
        <f t="shared" si="51"/>
        <v>41.395496653869174</v>
      </c>
      <c r="G187" s="110">
        <f t="shared" si="76"/>
        <v>0.65728693509118419</v>
      </c>
      <c r="H187" s="414" t="b">
        <f>Wh_hp&gt;='2021'!Maxi_hp</f>
        <v>0</v>
      </c>
      <c r="I187" s="380">
        <f>IF(H187,Wh_hp,'2021'!Maxi_hp)</f>
        <v>63.004166310746122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3.1790354561161638E-2</v>
      </c>
      <c r="M187" s="845"/>
      <c r="N187" s="845"/>
      <c r="O187" s="48">
        <f>IF(t&lt;Tnet,'2021'!Resal+('2021'!Salim-'2021'!Resal)*(1-EXP(('2021'!Tnet-t)/('2021'!Tau_j))),Resal+(Salim-Resal)*(1-EXP((Tnet-t)/(Tau_j))))*Salcycl</f>
        <v>3.9777888310547647E-2</v>
      </c>
      <c r="P187" s="339">
        <f>(INDEX(Models!$BJ187:$BT187,,T187)*(1-R187)+INDEX(Models!$BJ187:$BT187,,T187+1)*R187-ERP_i)*Q187*Ramure*Pc/MaxiM</f>
        <v>6.3147990682976108E-5</v>
      </c>
      <c r="Q187" s="305">
        <f t="shared" si="53"/>
        <v>0.5</v>
      </c>
      <c r="R187" s="177">
        <f t="shared" si="54"/>
        <v>0.30765203577092021</v>
      </c>
      <c r="S187" s="811">
        <f t="shared" si="55"/>
        <v>0</v>
      </c>
      <c r="T187" s="176">
        <f t="shared" si="56"/>
        <v>6</v>
      </c>
      <c r="U187" s="251">
        <f t="shared" si="57"/>
        <v>0.30765203577092021</v>
      </c>
      <c r="V187" s="383">
        <f t="shared" si="58"/>
        <v>58.547961601043951</v>
      </c>
      <c r="W187" s="402">
        <f t="shared" si="59"/>
        <v>0</v>
      </c>
      <c r="X187" s="157">
        <f t="shared" si="60"/>
        <v>44734</v>
      </c>
      <c r="Y187" s="385">
        <f t="shared" si="61"/>
        <v>37.025830104929199</v>
      </c>
      <c r="Z187" s="385">
        <f t="shared" si="62"/>
        <v>38.241542293402112</v>
      </c>
      <c r="AA187" s="386">
        <f t="shared" si="63"/>
        <v>41.394162344824984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7.6160981955877297E-2</v>
      </c>
      <c r="AD187" s="231">
        <f>(INDEX(Models!$BJ187:$BT187,,AH187)*(1-AF187)+INDEX(Models!$BJ187:$BT187,,AH187+1)*AF187-ERP_i)*AE187*Ramure*Pc/MaxiM</f>
        <v>6.3147990682976108E-5</v>
      </c>
      <c r="AE187" s="305">
        <f t="shared" si="65"/>
        <v>0.5</v>
      </c>
      <c r="AF187" s="177">
        <f t="shared" si="66"/>
        <v>0.30765203577092021</v>
      </c>
      <c r="AG187" s="811">
        <f t="shared" si="74"/>
        <v>0</v>
      </c>
      <c r="AH187" s="176">
        <f t="shared" si="67"/>
        <v>6</v>
      </c>
      <c r="AI187" s="225">
        <f t="shared" si="68"/>
        <v>0.30765203577092021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44735</v>
      </c>
      <c r="B188" s="1140">
        <v>41.103000000000002</v>
      </c>
      <c r="C188" s="841"/>
      <c r="D188" s="393">
        <f t="shared" si="50"/>
        <v>42.45351249550535</v>
      </c>
      <c r="E188" s="385">
        <f t="shared" si="75"/>
        <v>44.216486966778298</v>
      </c>
      <c r="F188" s="385">
        <f t="shared" si="51"/>
        <v>44.218105772968627</v>
      </c>
      <c r="G188" s="110">
        <f t="shared" si="76"/>
        <v>0.7029509719839292</v>
      </c>
      <c r="H188" s="414" t="b">
        <f>Wh_hp&gt;='2021'!Maxi_hp</f>
        <v>0</v>
      </c>
      <c r="I188" s="380">
        <f>IF(H188,Wh_hp,'2021'!Maxi_hp)</f>
        <v>55.386626209177535</v>
      </c>
      <c r="J188" s="85">
        <f>IF(H188,An,'2021'!An_max)</f>
        <v>2019</v>
      </c>
      <c r="K188" s="197">
        <f t="shared" si="52"/>
        <v>44735</v>
      </c>
      <c r="L188" s="147">
        <f>IF(t&lt;Tvie,1-EXP((T0-t)*PertePVj)+'2021'!Pspv,1-EXP((T0-t)*PertePVj)+Pspv)</f>
        <v>3.1811560837241237E-2</v>
      </c>
      <c r="M188" s="845"/>
      <c r="N188" s="845"/>
      <c r="O188" s="48">
        <f>IF(t&lt;Tnet,'2021'!Resal+('2021'!Salim-'2021'!Resal)*(1-EXP(('2021'!Tnet-t)/('2021'!Tau_j))),Resal+(Salim-Resal)*(1-EXP((Tnet-t)/(Tau_j))))*Salcycl</f>
        <v>3.9871427881585167E-2</v>
      </c>
      <c r="P188" s="339">
        <f>(INDEX(Models!$BJ188:$BT188,,T188)*(1-R188)+INDEX(Models!$BJ188:$BT188,,T188+1)*R188-ERP_i)*Q188*Ramure*Pc/MaxiM</f>
        <v>6.3594580828779036E-5</v>
      </c>
      <c r="Q188" s="305">
        <f t="shared" si="53"/>
        <v>0.5</v>
      </c>
      <c r="R188" s="177">
        <f t="shared" si="54"/>
        <v>0.31247265060214213</v>
      </c>
      <c r="S188" s="811">
        <f t="shared" si="55"/>
        <v>0</v>
      </c>
      <c r="T188" s="176">
        <f t="shared" si="56"/>
        <v>6</v>
      </c>
      <c r="U188" s="251">
        <f t="shared" si="57"/>
        <v>0.31247265060214213</v>
      </c>
      <c r="V188" s="383">
        <f t="shared" si="58"/>
        <v>58.470494291825261</v>
      </c>
      <c r="W188" s="402">
        <f t="shared" si="59"/>
        <v>0</v>
      </c>
      <c r="X188" s="157">
        <f t="shared" si="60"/>
        <v>44735</v>
      </c>
      <c r="Y188" s="385">
        <f t="shared" si="61"/>
        <v>39.5462616289011</v>
      </c>
      <c r="Z188" s="385">
        <f t="shared" si="62"/>
        <v>40.845624704111053</v>
      </c>
      <c r="AA188" s="386">
        <f t="shared" si="63"/>
        <v>44.216486966778298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7.623541565389208E-2</v>
      </c>
      <c r="AD188" s="231">
        <f>(INDEX(Models!$BJ188:$BT188,,AH188)*(1-AF188)+INDEX(Models!$BJ188:$BT188,,AH188+1)*AF188-ERP_i)*AE188*Ramure*Pc/MaxiM</f>
        <v>6.3594580828779036E-5</v>
      </c>
      <c r="AE188" s="305">
        <f t="shared" si="65"/>
        <v>0.5</v>
      </c>
      <c r="AF188" s="177">
        <f t="shared" si="66"/>
        <v>0.31247265060214213</v>
      </c>
      <c r="AG188" s="811">
        <f t="shared" si="74"/>
        <v>0</v>
      </c>
      <c r="AH188" s="176">
        <f t="shared" si="67"/>
        <v>6</v>
      </c>
      <c r="AI188" s="225">
        <f t="shared" si="68"/>
        <v>0.31247265060214213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44736</v>
      </c>
      <c r="B189" s="1140">
        <v>39.283000000000001</v>
      </c>
      <c r="C189" s="841"/>
      <c r="D189" s="393">
        <f t="shared" si="50"/>
        <v>40.574601831987628</v>
      </c>
      <c r="E189" s="385">
        <f t="shared" si="75"/>
        <v>42.263638049466053</v>
      </c>
      <c r="F189" s="385">
        <f t="shared" si="51"/>
        <v>42.265079318598083</v>
      </c>
      <c r="G189" s="110">
        <f t="shared" si="76"/>
        <v>0.67272281502187636</v>
      </c>
      <c r="H189" s="414" t="b">
        <f>Wh_hp&gt;='2021'!Maxi_hp</f>
        <v>0</v>
      </c>
      <c r="I189" s="380">
        <f>IF(H189,Wh_hp,'2021'!Maxi_hp)</f>
        <v>62.031075143124923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3.1832766648849042E-2</v>
      </c>
      <c r="M189" s="845"/>
      <c r="N189" s="845"/>
      <c r="O189" s="48">
        <f>IF(t&lt;Tnet,'2021'!Resal+('2021'!Salim-'2021'!Resal)*(1-EXP(('2021'!Tnet-t)/('2021'!Tau_j))),Resal+(Salim-Resal)*(1-EXP((Tnet-t)/(Tau_j))))*Salcycl</f>
        <v>3.9964288344073694E-2</v>
      </c>
      <c r="P189" s="339">
        <f>(INDEX(Models!$BJ189:$BT189,,T189)*(1-R189)+INDEX(Models!$BJ189:$BT189,,T189+1)*R189-ERP_i)*Q189*Ramure*Pc/MaxiM</f>
        <v>6.4040098402790423E-5</v>
      </c>
      <c r="Q189" s="305">
        <f t="shared" si="53"/>
        <v>0.5</v>
      </c>
      <c r="R189" s="177">
        <f t="shared" si="54"/>
        <v>0.31724185298368451</v>
      </c>
      <c r="S189" s="811">
        <f t="shared" si="55"/>
        <v>0</v>
      </c>
      <c r="T189" s="176">
        <f t="shared" si="56"/>
        <v>6</v>
      </c>
      <c r="U189" s="251">
        <f t="shared" si="57"/>
        <v>0.31724185298368451</v>
      </c>
      <c r="V189" s="383">
        <f t="shared" si="58"/>
        <v>58.392287244703027</v>
      </c>
      <c r="W189" s="402">
        <f t="shared" si="59"/>
        <v>0</v>
      </c>
      <c r="X189" s="157">
        <f t="shared" si="60"/>
        <v>44736</v>
      </c>
      <c r="Y189" s="385">
        <f t="shared" si="61"/>
        <v>37.795855011538045</v>
      </c>
      <c r="Z189" s="385">
        <f t="shared" si="62"/>
        <v>39.038560394895761</v>
      </c>
      <c r="AA189" s="386">
        <f t="shared" si="63"/>
        <v>42.263638049466053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7.6308566971816441E-2</v>
      </c>
      <c r="AD189" s="231">
        <f>(INDEX(Models!$BJ189:$BT189,,AH189)*(1-AF189)+INDEX(Models!$BJ189:$BT189,,AH189+1)*AF189-ERP_i)*AE189*Ramure*Pc/MaxiM</f>
        <v>6.4040098402790423E-5</v>
      </c>
      <c r="AE189" s="305">
        <f t="shared" si="65"/>
        <v>0.5</v>
      </c>
      <c r="AF189" s="177">
        <f t="shared" si="66"/>
        <v>0.31724185298368451</v>
      </c>
      <c r="AG189" s="811">
        <f t="shared" si="74"/>
        <v>0</v>
      </c>
      <c r="AH189" s="176">
        <f t="shared" si="67"/>
        <v>6</v>
      </c>
      <c r="AI189" s="225">
        <f t="shared" si="68"/>
        <v>0.31724185298368451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44737</v>
      </c>
      <c r="B190" s="1140">
        <v>34.57</v>
      </c>
      <c r="C190" s="841"/>
      <c r="D190" s="393">
        <f t="shared" si="50"/>
        <v>35.707423260592044</v>
      </c>
      <c r="E190" s="385">
        <f t="shared" si="75"/>
        <v>37.197420495172125</v>
      </c>
      <c r="F190" s="385">
        <f t="shared" si="51"/>
        <v>37.198423946594431</v>
      </c>
      <c r="G190" s="110">
        <f t="shared" si="76"/>
        <v>0.59280545829364717</v>
      </c>
      <c r="H190" s="414" t="b">
        <f>Wh_hp&gt;='2021'!Maxi_hp</f>
        <v>0</v>
      </c>
      <c r="I190" s="380">
        <f>IF(H190,Wh_hp,'2021'!Maxi_hp)</f>
        <v>59.517932616441065</v>
      </c>
      <c r="J190" s="85">
        <f>IF(H190,An,'2021'!An_max)</f>
        <v>2021</v>
      </c>
      <c r="K190" s="197">
        <f t="shared" si="52"/>
        <v>44737</v>
      </c>
      <c r="L190" s="147">
        <f>IF(t&lt;Tvie,1-EXP((T0-t)*PertePVj)+'2021'!Pspv,1-EXP((T0-t)*PertePVj)+Pspv)</f>
        <v>3.1853971995995156E-2</v>
      </c>
      <c r="M190" s="845"/>
      <c r="N190" s="845"/>
      <c r="O190" s="48">
        <f>IF(t&lt;Tnet,'2021'!Resal+('2021'!Salim-'2021'!Resal)*(1-EXP(('2021'!Tnet-t)/('2021'!Tau_j))),Resal+(Salim-Resal)*(1-EXP((Tnet-t)/(Tau_j))))*Salcycl</f>
        <v>4.0056466678206025E-2</v>
      </c>
      <c r="P190" s="339">
        <f>(INDEX(Models!$BJ190:$BT190,,T190)*(1-R190)+INDEX(Models!$BJ190:$BT190,,T190+1)*R190-ERP_i)*Q190*Ramure*Pc/MaxiM</f>
        <v>6.448485143798983E-5</v>
      </c>
      <c r="Q190" s="305">
        <f t="shared" si="53"/>
        <v>0.5</v>
      </c>
      <c r="R190" s="177">
        <f t="shared" si="54"/>
        <v>0.32195650037466039</v>
      </c>
      <c r="S190" s="811">
        <f t="shared" si="55"/>
        <v>0</v>
      </c>
      <c r="T190" s="176">
        <f t="shared" si="56"/>
        <v>6</v>
      </c>
      <c r="U190" s="251">
        <f t="shared" si="57"/>
        <v>0.32195650037466039</v>
      </c>
      <c r="V190" s="383">
        <f t="shared" si="58"/>
        <v>58.313739841742574</v>
      </c>
      <c r="W190" s="402">
        <f t="shared" si="59"/>
        <v>0</v>
      </c>
      <c r="X190" s="157">
        <f t="shared" si="60"/>
        <v>44737</v>
      </c>
      <c r="Y190" s="385">
        <f t="shared" si="61"/>
        <v>33.261881808967786</v>
      </c>
      <c r="Z190" s="385">
        <f t="shared" si="62"/>
        <v>34.356265322435632</v>
      </c>
      <c r="AA190" s="386">
        <f t="shared" si="63"/>
        <v>37.197420495172125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7.6380435388127138E-2</v>
      </c>
      <c r="AD190" s="231">
        <f>(INDEX(Models!$BJ190:$BT190,,AH190)*(1-AF190)+INDEX(Models!$BJ190:$BT190,,AH190+1)*AF190-ERP_i)*AE190*Ramure*Pc/MaxiM</f>
        <v>6.448485143798983E-5</v>
      </c>
      <c r="AE190" s="305">
        <f t="shared" si="65"/>
        <v>0.5</v>
      </c>
      <c r="AF190" s="177">
        <f t="shared" si="66"/>
        <v>0.32195650037466039</v>
      </c>
      <c r="AG190" s="811">
        <f t="shared" si="74"/>
        <v>0</v>
      </c>
      <c r="AH190" s="176">
        <f t="shared" si="67"/>
        <v>6</v>
      </c>
      <c r="AI190" s="225">
        <f t="shared" si="68"/>
        <v>0.32195650037466039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44738</v>
      </c>
      <c r="B191" s="1140">
        <v>11.599</v>
      </c>
      <c r="C191" s="841"/>
      <c r="D191" s="393">
        <f t="shared" si="50"/>
        <v>11.98089308629017</v>
      </c>
      <c r="E191" s="385">
        <f t="shared" si="75"/>
        <v>12.482020778961445</v>
      </c>
      <c r="F191" s="385">
        <f t="shared" si="51"/>
        <v>12.482020778961445</v>
      </c>
      <c r="G191" s="110">
        <f t="shared" si="76"/>
        <v>0.19916537394539693</v>
      </c>
      <c r="H191" s="414" t="b">
        <f>Wh_hp&gt;='2021'!Maxi_hp</f>
        <v>0</v>
      </c>
      <c r="I191" s="380">
        <f>IF(H191,Wh_hp,'2021'!Maxi_hp)</f>
        <v>61.557220620707511</v>
      </c>
      <c r="J191" s="85">
        <f>IF(H191,An,'2021'!An_max)</f>
        <v>2019</v>
      </c>
      <c r="K191" s="197">
        <f t="shared" si="52"/>
        <v>44738</v>
      </c>
      <c r="L191" s="147">
        <f>IF(t&lt;Tvie,1-EXP((T0-t)*PertePVj)+'2021'!Pspv,1-EXP((T0-t)*PertePVj)+Pspv)</f>
        <v>3.1875176878689682E-2</v>
      </c>
      <c r="M191" s="845"/>
      <c r="N191" s="845"/>
      <c r="O191" s="48">
        <f>IF(t&lt;Tnet,'2021'!Resal+('2021'!Salim-'2021'!Resal)*(1-EXP(('2021'!Tnet-t)/('2021'!Tau_j))),Resal+(Salim-Resal)*(1-EXP((Tnet-t)/(Tau_j))))*Salcycl</f>
        <v>4.0147961739971594E-2</v>
      </c>
      <c r="P191" s="339">
        <f>(INDEX(Models!$BJ191:$BT191,,T191)*(1-R191)+INDEX(Models!$BJ191:$BT191,,T191+1)*R191-ERP_i)*Q191*Ramure*Pc/MaxiM</f>
        <v>6.4930264273944881E-5</v>
      </c>
      <c r="Q191" s="305">
        <f t="shared" si="53"/>
        <v>0.5</v>
      </c>
      <c r="R191" s="177">
        <f t="shared" si="54"/>
        <v>0.32661361271549266</v>
      </c>
      <c r="S191" s="811">
        <f t="shared" si="55"/>
        <v>0</v>
      </c>
      <c r="T191" s="176">
        <f t="shared" si="56"/>
        <v>6</v>
      </c>
      <c r="U191" s="251">
        <f t="shared" si="57"/>
        <v>0.32661361271549266</v>
      </c>
      <c r="V191" s="383">
        <f t="shared" si="58"/>
        <v>58.234253495512007</v>
      </c>
      <c r="W191" s="402">
        <f t="shared" si="59"/>
        <v>0</v>
      </c>
      <c r="X191" s="157">
        <f t="shared" si="60"/>
        <v>44738</v>
      </c>
      <c r="Y191" s="385">
        <f t="shared" si="61"/>
        <v>11.160308200006558</v>
      </c>
      <c r="Z191" s="385">
        <f t="shared" si="62"/>
        <v>11.527757509641008</v>
      </c>
      <c r="AA191" s="386">
        <f t="shared" si="63"/>
        <v>12.482020778961445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7.6451023934270099E-2</v>
      </c>
      <c r="AD191" s="231">
        <f>(INDEX(Models!$BJ191:$BT191,,AH191)*(1-AF191)+INDEX(Models!$BJ191:$BT191,,AH191+1)*AF191-ERP_i)*AE191*Ramure*Pc/MaxiM</f>
        <v>6.4930264273944881E-5</v>
      </c>
      <c r="AE191" s="305">
        <f t="shared" si="65"/>
        <v>0.5</v>
      </c>
      <c r="AF191" s="177">
        <f t="shared" si="66"/>
        <v>0.32661361271549266</v>
      </c>
      <c r="AG191" s="811">
        <f t="shared" si="74"/>
        <v>0</v>
      </c>
      <c r="AH191" s="176">
        <f t="shared" si="67"/>
        <v>6</v>
      </c>
      <c r="AI191" s="225">
        <f t="shared" si="68"/>
        <v>0.32661361271549266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44739</v>
      </c>
      <c r="B192" s="1140">
        <v>12.661</v>
      </c>
      <c r="C192" s="841"/>
      <c r="D192" s="393">
        <f t="shared" si="50"/>
        <v>13.0781455160364</v>
      </c>
      <c r="E192" s="385">
        <f t="shared" si="75"/>
        <v>13.626457461347492</v>
      </c>
      <c r="F192" s="385">
        <f t="shared" si="51"/>
        <v>13.626457461347492</v>
      </c>
      <c r="G192" s="110">
        <f t="shared" si="76"/>
        <v>0.21770467793043244</v>
      </c>
      <c r="H192" s="414" t="b">
        <f>Wh_hp&gt;='2021'!Maxi_hp</f>
        <v>0</v>
      </c>
      <c r="I192" s="380">
        <f>IF(H192,Wh_hp,'2021'!Maxi_hp)</f>
        <v>61.321800192772599</v>
      </c>
      <c r="J192" s="85">
        <f>IF(H192,An,'2021'!An_max)</f>
        <v>2019</v>
      </c>
      <c r="K192" s="197">
        <f t="shared" si="52"/>
        <v>44739</v>
      </c>
      <c r="L192" s="147">
        <f>IF(t&lt;Tvie,1-EXP((T0-t)*PertePVj)+'2021'!Pspv,1-EXP((T0-t)*PertePVj)+Pspv)</f>
        <v>3.1896381296942944E-2</v>
      </c>
      <c r="M192" s="845"/>
      <c r="N192" s="845"/>
      <c r="O192" s="48">
        <f>IF(t&lt;Tnet,'2021'!Resal+('2021'!Salim-'2021'!Resal)*(1-EXP(('2021'!Tnet-t)/('2021'!Tau_j))),Resal+(Salim-Resal)*(1-EXP((Tnet-t)/(Tau_j))))*Salcycl</f>
        <v>4.0238774227741941E-2</v>
      </c>
      <c r="P192" s="339">
        <f>(INDEX(Models!$BJ192:$BT192,,T192)*(1-R192)+INDEX(Models!$BJ192:$BT192,,T192+1)*R192-ERP_i)*Q192*Ramure*Pc/MaxiM</f>
        <v>6.5496836300509798E-5</v>
      </c>
      <c r="Q192" s="305">
        <f t="shared" si="53"/>
        <v>0.5</v>
      </c>
      <c r="R192" s="177">
        <f t="shared" si="54"/>
        <v>0.3312103781332098</v>
      </c>
      <c r="S192" s="811">
        <f t="shared" si="55"/>
        <v>0</v>
      </c>
      <c r="T192" s="176">
        <f t="shared" si="56"/>
        <v>6</v>
      </c>
      <c r="U192" s="251">
        <f t="shared" si="57"/>
        <v>0.3312103781332098</v>
      </c>
      <c r="V192" s="383">
        <f t="shared" si="58"/>
        <v>58.152956862971763</v>
      </c>
      <c r="W192" s="402">
        <f t="shared" si="59"/>
        <v>0</v>
      </c>
      <c r="X192" s="157">
        <f t="shared" si="60"/>
        <v>44739</v>
      </c>
      <c r="Y192" s="385">
        <f t="shared" si="61"/>
        <v>12.182380025986115</v>
      </c>
      <c r="Z192" s="385">
        <f t="shared" si="62"/>
        <v>12.583756315575526</v>
      </c>
      <c r="AA192" s="386">
        <f t="shared" si="63"/>
        <v>13.626457461347492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7.6520339107186766E-2</v>
      </c>
      <c r="AD192" s="231">
        <f>(INDEX(Models!$BJ192:$BT192,,AH192)*(1-AF192)+INDEX(Models!$BJ192:$BT192,,AH192+1)*AF192-ERP_i)*AE192*Ramure*Pc/MaxiM</f>
        <v>6.5496836300509798E-5</v>
      </c>
      <c r="AE192" s="305">
        <f t="shared" si="65"/>
        <v>0.5</v>
      </c>
      <c r="AF192" s="177">
        <f t="shared" si="66"/>
        <v>0.3312103781332098</v>
      </c>
      <c r="AG192" s="811">
        <f t="shared" si="74"/>
        <v>0</v>
      </c>
      <c r="AH192" s="176">
        <f t="shared" si="67"/>
        <v>6</v>
      </c>
      <c r="AI192" s="225">
        <f t="shared" si="68"/>
        <v>0.3312103781332098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44740</v>
      </c>
      <c r="B193" s="1140">
        <v>57.475999999999999</v>
      </c>
      <c r="C193" s="841"/>
      <c r="D193" s="393">
        <f t="shared" si="50"/>
        <v>59.370978260036011</v>
      </c>
      <c r="E193" s="385">
        <f t="shared" si="75"/>
        <v>61.865964986061968</v>
      </c>
      <c r="F193" s="385">
        <f t="shared" si="51"/>
        <v>61.869999951616521</v>
      </c>
      <c r="G193" s="110">
        <f t="shared" si="76"/>
        <v>0.98977255947093934</v>
      </c>
      <c r="H193" s="414" t="b">
        <f>Wh_hp&gt;='2021'!Maxi_hp</f>
        <v>1</v>
      </c>
      <c r="I193" s="380">
        <f>IF(H193,Wh_hp,'2021'!Maxi_hp)</f>
        <v>61.869999951616521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3.1917585250764935E-2</v>
      </c>
      <c r="M193" s="845"/>
      <c r="N193" s="845"/>
      <c r="O193" s="48">
        <f>IF(t&lt;Tnet,'2021'!Resal+('2021'!Salim-'2021'!Resal)*(1-EXP(('2021'!Tnet-t)/('2021'!Tau_j))),Resal+(Salim-Resal)*(1-EXP((Tnet-t)/(Tau_j))))*Salcycl</f>
        <v>4.0328906638538067E-2</v>
      </c>
      <c r="P193" s="339">
        <f>(INDEX(Models!$BJ193:$BT193,,T193)*(1-R193)+INDEX(Models!$BJ193:$BT193,,T193+1)*R193-ERP_i)*Q193*Ramure*Pc/MaxiM</f>
        <v>6.6183730074618802E-5</v>
      </c>
      <c r="Q193" s="305">
        <f t="shared" si="53"/>
        <v>0.5</v>
      </c>
      <c r="R193" s="177">
        <f t="shared" si="54"/>
        <v>0.33574415766403931</v>
      </c>
      <c r="S193" s="811">
        <f t="shared" si="55"/>
        <v>0</v>
      </c>
      <c r="T193" s="176">
        <f t="shared" si="56"/>
        <v>6</v>
      </c>
      <c r="U193" s="251">
        <f t="shared" si="57"/>
        <v>0.33574415766403931</v>
      </c>
      <c r="V193" s="383">
        <f t="shared" si="58"/>
        <v>58.069850364223633</v>
      </c>
      <c r="W193" s="402">
        <f t="shared" si="59"/>
        <v>0</v>
      </c>
      <c r="X193" s="157">
        <f t="shared" si="60"/>
        <v>44740</v>
      </c>
      <c r="Y193" s="385">
        <f t="shared" si="61"/>
        <v>55.304370444874415</v>
      </c>
      <c r="Z193" s="385">
        <f t="shared" si="62"/>
        <v>57.127750284773072</v>
      </c>
      <c r="AA193" s="386">
        <f t="shared" si="63"/>
        <v>61.865964986061968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7.6588390763101921E-2</v>
      </c>
      <c r="AD193" s="231">
        <f>(INDEX(Models!$BJ193:$BT193,,AH193)*(1-AF193)+INDEX(Models!$BJ193:$BT193,,AH193+1)*AF193-ERP_i)*AE193*Ramure*Pc/MaxiM</f>
        <v>6.6183730074618802E-5</v>
      </c>
      <c r="AE193" s="305">
        <f t="shared" si="65"/>
        <v>0.5</v>
      </c>
      <c r="AF193" s="177">
        <f t="shared" si="66"/>
        <v>0.33574415766403931</v>
      </c>
      <c r="AG193" s="811">
        <f t="shared" si="74"/>
        <v>0</v>
      </c>
      <c r="AH193" s="176">
        <f t="shared" si="67"/>
        <v>6</v>
      </c>
      <c r="AI193" s="225">
        <f t="shared" si="68"/>
        <v>0.33574415766403931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44741</v>
      </c>
      <c r="B194" s="1140">
        <v>54.567</v>
      </c>
      <c r="C194" s="841"/>
      <c r="D194" s="393">
        <f t="shared" si="50"/>
        <v>56.367303394985278</v>
      </c>
      <c r="E194" s="385">
        <f t="shared" si="75"/>
        <v>58.741540306877603</v>
      </c>
      <c r="F194" s="385">
        <f t="shared" si="51"/>
        <v>58.745144461778843</v>
      </c>
      <c r="G194" s="110">
        <f t="shared" si="76"/>
        <v>0.94104948124777399</v>
      </c>
      <c r="H194" s="414" t="b">
        <f>Wh_hp&gt;='2021'!Maxi_hp</f>
        <v>1</v>
      </c>
      <c r="I194" s="380">
        <f>IF(H194,Wh_hp,'2021'!Maxi_hp)</f>
        <v>58.745144461778843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3.193878874016598E-2</v>
      </c>
      <c r="M194" s="845"/>
      <c r="N194" s="845"/>
      <c r="O194" s="48">
        <f>IF(t&lt;Tnet,'2021'!Resal+('2021'!Salim-'2021'!Resal)*(1-EXP(('2021'!Tnet-t)/('2021'!Tau_j))),Resal+(Salim-Resal)*(1-EXP((Tnet-t)/(Tau_j))))*Salcycl</f>
        <v>4.0418363214325521E-2</v>
      </c>
      <c r="P194" s="339">
        <f>(INDEX(Models!$BJ194:$BT194,,T194)*(1-R194)+INDEX(Models!$BJ194:$BT194,,T194+1)*R194-ERP_i)*Q194*Ramure*Pc/MaxiM</f>
        <v>6.6993761380392423E-5</v>
      </c>
      <c r="Q194" s="305">
        <f t="shared" si="53"/>
        <v>0.5</v>
      </c>
      <c r="R194" s="177">
        <f t="shared" si="54"/>
        <v>0.34021248899581163</v>
      </c>
      <c r="S194" s="811">
        <f t="shared" si="55"/>
        <v>0</v>
      </c>
      <c r="T194" s="176">
        <f t="shared" si="56"/>
        <v>6</v>
      </c>
      <c r="U194" s="251">
        <f t="shared" si="57"/>
        <v>0.34021248899581163</v>
      </c>
      <c r="V194" s="383">
        <f t="shared" si="58"/>
        <v>57.984934092885283</v>
      </c>
      <c r="W194" s="402">
        <f t="shared" si="59"/>
        <v>0</v>
      </c>
      <c r="X194" s="157">
        <f t="shared" si="60"/>
        <v>44741</v>
      </c>
      <c r="Y194" s="385">
        <f t="shared" si="61"/>
        <v>52.506377995382238</v>
      </c>
      <c r="Z194" s="385">
        <f t="shared" si="62"/>
        <v>54.238696256665925</v>
      </c>
      <c r="AA194" s="386">
        <f t="shared" si="63"/>
        <v>58.741540306877603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7.665519199339893E-2</v>
      </c>
      <c r="AD194" s="231">
        <f>(INDEX(Models!$BJ194:$BT194,,AH194)*(1-AF194)+INDEX(Models!$BJ194:$BT194,,AH194+1)*AF194-ERP_i)*AE194*Ramure*Pc/MaxiM</f>
        <v>6.6993761380392423E-5</v>
      </c>
      <c r="AE194" s="305">
        <f t="shared" si="65"/>
        <v>0.5</v>
      </c>
      <c r="AF194" s="177">
        <f t="shared" si="66"/>
        <v>0.34021248899581163</v>
      </c>
      <c r="AG194" s="811">
        <f t="shared" si="74"/>
        <v>0</v>
      </c>
      <c r="AH194" s="176">
        <f t="shared" si="67"/>
        <v>6</v>
      </c>
      <c r="AI194" s="225">
        <f t="shared" si="68"/>
        <v>0.34021248899581163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44742</v>
      </c>
      <c r="B195" s="1140">
        <v>13.567</v>
      </c>
      <c r="C195" s="841"/>
      <c r="D195" s="393">
        <f t="shared" si="50"/>
        <v>14.014916619756777</v>
      </c>
      <c r="E195" s="385">
        <f t="shared" si="75"/>
        <v>14.606587863563458</v>
      </c>
      <c r="F195" s="385">
        <f t="shared" si="51"/>
        <v>14.606587863563458</v>
      </c>
      <c r="G195" s="110">
        <f t="shared" si="76"/>
        <v>0.23430912383715674</v>
      </c>
      <c r="H195" s="414" t="b">
        <f>Wh_hp&gt;='2021'!Maxi_hp</f>
        <v>0</v>
      </c>
      <c r="I195" s="380">
        <f>IF(H195,Wh_hp,'2021'!Maxi_hp)</f>
        <v>52.467807817786799</v>
      </c>
      <c r="J195" s="85">
        <f>IF(H195,An,'2021'!An_max)</f>
        <v>2019</v>
      </c>
      <c r="K195" s="197">
        <f t="shared" si="52"/>
        <v>44742</v>
      </c>
      <c r="L195" s="147">
        <f>IF(t&lt;Tvie,1-EXP((T0-t)*PertePVj)+'2021'!Pspv,1-EXP((T0-t)*PertePVj)+Pspv)</f>
        <v>3.1959991765156182E-2</v>
      </c>
      <c r="M195" s="845"/>
      <c r="N195" s="845"/>
      <c r="O195" s="48">
        <f>IF(t&lt;Tnet,'2021'!Resal+('2021'!Salim-'2021'!Resal)*(1-EXP(('2021'!Tnet-t)/('2021'!Tau_j))),Resal+(Salim-Resal)*(1-EXP((Tnet-t)/(Tau_j))))*Salcycl</f>
        <v>4.0507149878762701E-2</v>
      </c>
      <c r="P195" s="339">
        <f>(INDEX(Models!$BJ195:$BT195,,T195)*(1-R195)+INDEX(Models!$BJ195:$BT195,,T195+1)*R195-ERP_i)*Q195*Ramure*Pc/MaxiM</f>
        <v>6.7929673098909027E-5</v>
      </c>
      <c r="Q195" s="305">
        <f t="shared" si="53"/>
        <v>0.5</v>
      </c>
      <c r="R195" s="177">
        <f t="shared" si="54"/>
        <v>0.34461308924136724</v>
      </c>
      <c r="S195" s="811">
        <f t="shared" si="55"/>
        <v>0</v>
      </c>
      <c r="T195" s="176">
        <f t="shared" si="56"/>
        <v>6</v>
      </c>
      <c r="U195" s="251">
        <f t="shared" si="57"/>
        <v>0.34461308924136724</v>
      </c>
      <c r="V195" s="383">
        <f t="shared" si="58"/>
        <v>57.898208042267271</v>
      </c>
      <c r="W195" s="402">
        <f t="shared" si="59"/>
        <v>0</v>
      </c>
      <c r="X195" s="157">
        <f t="shared" si="60"/>
        <v>44742</v>
      </c>
      <c r="Y195" s="385">
        <f t="shared" si="61"/>
        <v>13.054948206531657</v>
      </c>
      <c r="Z195" s="385">
        <f t="shared" si="62"/>
        <v>13.485959356510978</v>
      </c>
      <c r="AA195" s="386">
        <f t="shared" si="63"/>
        <v>14.606587863563458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7.6720758983548701E-2</v>
      </c>
      <c r="AD195" s="231">
        <f>(INDEX(Models!$BJ195:$BT195,,AH195)*(1-AF195)+INDEX(Models!$BJ195:$BT195,,AH195+1)*AF195-ERP_i)*AE195*Ramure*Pc/MaxiM</f>
        <v>6.7929673098909027E-5</v>
      </c>
      <c r="AE195" s="305">
        <f t="shared" si="65"/>
        <v>0.5</v>
      </c>
      <c r="AF195" s="177">
        <f t="shared" si="66"/>
        <v>0.34461308924136724</v>
      </c>
      <c r="AG195" s="811">
        <f t="shared" si="74"/>
        <v>0</v>
      </c>
      <c r="AH195" s="176">
        <f t="shared" si="67"/>
        <v>6</v>
      </c>
      <c r="AI195" s="225">
        <f t="shared" si="68"/>
        <v>0.34461308924136724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44743</v>
      </c>
      <c r="B196" s="1140">
        <v>48.838999999999999</v>
      </c>
      <c r="C196" s="841"/>
      <c r="D196" s="393">
        <f t="shared" si="50"/>
        <v>50.45253223772049</v>
      </c>
      <c r="E196" s="385">
        <f t="shared" si="75"/>
        <v>52.587329287757036</v>
      </c>
      <c r="F196" s="385">
        <f t="shared" si="51"/>
        <v>52.590153353600961</v>
      </c>
      <c r="G196" s="110">
        <f t="shared" si="76"/>
        <v>0.84481110518093694</v>
      </c>
      <c r="H196" s="414" t="b">
        <f>Wh_hp&gt;='2021'!Maxi_hp</f>
        <v>0</v>
      </c>
      <c r="I196" s="380">
        <f>IF(H196,Wh_hp,'2021'!Maxi_hp)</f>
        <v>60.470455322225597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3.1981194325745754E-2</v>
      </c>
      <c r="M196" s="845"/>
      <c r="N196" s="845"/>
      <c r="O196" s="48">
        <f>IF(t&lt;Tnet,'2021'!Resal+('2021'!Salim-'2021'!Resal)*(1-EXP(('2021'!Tnet-t)/('2021'!Tau_j))),Resal+(Salim-Resal)*(1-EXP((Tnet-t)/(Tau_j))))*Salcycl</f>
        <v>4.0595274164903272E-2</v>
      </c>
      <c r="P196" s="339">
        <f>(INDEX(Models!$BJ196:$BT196,,T196)*(1-R196)+INDEX(Models!$BJ196:$BT196,,T196+1)*R196-ERP_i)*Q196*Ramure*Pc/MaxiM</f>
        <v>6.8994134177952031E-5</v>
      </c>
      <c r="Q196" s="305">
        <f t="shared" si="53"/>
        <v>0.5</v>
      </c>
      <c r="R196" s="177">
        <f t="shared" si="54"/>
        <v>0.3489438567623101</v>
      </c>
      <c r="S196" s="811">
        <f t="shared" si="55"/>
        <v>0</v>
      </c>
      <c r="T196" s="176">
        <f t="shared" si="56"/>
        <v>6</v>
      </c>
      <c r="U196" s="251">
        <f t="shared" si="57"/>
        <v>0.3489438567623101</v>
      </c>
      <c r="V196" s="383">
        <f t="shared" si="58"/>
        <v>57.809672110816571</v>
      </c>
      <c r="W196" s="402">
        <f t="shared" si="59"/>
        <v>0</v>
      </c>
      <c r="X196" s="157">
        <f t="shared" si="60"/>
        <v>44743</v>
      </c>
      <c r="Y196" s="385">
        <f t="shared" si="61"/>
        <v>46.996737410947929</v>
      </c>
      <c r="Z196" s="385">
        <f t="shared" si="62"/>
        <v>48.549405378765641</v>
      </c>
      <c r="AA196" s="386">
        <f t="shared" si="63"/>
        <v>52.587329287757036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7.6785110856190053E-2</v>
      </c>
      <c r="AD196" s="231">
        <f>(INDEX(Models!$BJ196:$BT196,,AH196)*(1-AF196)+INDEX(Models!$BJ196:$BT196,,AH196+1)*AF196-ERP_i)*AE196*Ramure*Pc/MaxiM</f>
        <v>6.8994134177952031E-5</v>
      </c>
      <c r="AE196" s="305">
        <f t="shared" si="65"/>
        <v>0.5</v>
      </c>
      <c r="AF196" s="177">
        <f t="shared" si="66"/>
        <v>0.3489438567623101</v>
      </c>
      <c r="AG196" s="811">
        <f t="shared" si="74"/>
        <v>0</v>
      </c>
      <c r="AH196" s="176">
        <f t="shared" si="67"/>
        <v>6</v>
      </c>
      <c r="AI196" s="225">
        <f t="shared" si="68"/>
        <v>0.3489438567623101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44744</v>
      </c>
      <c r="B197" s="1140">
        <v>54.405000000000001</v>
      </c>
      <c r="C197" s="841"/>
      <c r="D197" s="393">
        <f t="shared" si="50"/>
        <v>56.203651536842898</v>
      </c>
      <c r="E197" s="385">
        <f t="shared" si="75"/>
        <v>58.587137103792109</v>
      </c>
      <c r="F197" s="385">
        <f t="shared" si="51"/>
        <v>58.590912235340006</v>
      </c>
      <c r="G197" s="110">
        <f t="shared" si="76"/>
        <v>0.94257314497096911</v>
      </c>
      <c r="H197" s="414" t="b">
        <f>Wh_hp&gt;='2021'!Maxi_hp</f>
        <v>1</v>
      </c>
      <c r="I197" s="380">
        <f>IF(H197,Wh_hp,'2021'!Maxi_hp)</f>
        <v>58.590912235340006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3.2002396421944801E-2</v>
      </c>
      <c r="M197" s="845"/>
      <c r="N197" s="845"/>
      <c r="O197" s="48">
        <f>IF(t&lt;Tnet,'2021'!Resal+('2021'!Salim-'2021'!Resal)*(1-EXP(('2021'!Tnet-t)/('2021'!Tau_j))),Resal+(Salim-Resal)*(1-EXP((Tnet-t)/(Tau_j))))*Salcycl</f>
        <v>4.0682745134425324E-2</v>
      </c>
      <c r="P197" s="339">
        <f>(INDEX(Models!$BJ197:$BT197,,T197)*(1-R197)+INDEX(Models!$BJ197:$BT197,,T197+1)*R197-ERP_i)*Q197*Ramure*Pc/MaxiM</f>
        <v>7.0189739474083883E-5</v>
      </c>
      <c r="Q197" s="305">
        <f t="shared" si="53"/>
        <v>0.5</v>
      </c>
      <c r="R197" s="177">
        <f t="shared" si="54"/>
        <v>0.35320287206997075</v>
      </c>
      <c r="S197" s="811">
        <f t="shared" si="55"/>
        <v>0</v>
      </c>
      <c r="T197" s="176">
        <f t="shared" si="56"/>
        <v>6</v>
      </c>
      <c r="U197" s="251">
        <f t="shared" si="57"/>
        <v>0.35320287206997075</v>
      </c>
      <c r="V197" s="383">
        <f t="shared" si="58"/>
        <v>57.71932610432129</v>
      </c>
      <c r="W197" s="402">
        <f t="shared" si="59"/>
        <v>0</v>
      </c>
      <c r="X197" s="157">
        <f t="shared" si="60"/>
        <v>44744</v>
      </c>
      <c r="Y197" s="385">
        <f t="shared" si="61"/>
        <v>52.35397324831083</v>
      </c>
      <c r="Z197" s="385">
        <f t="shared" si="62"/>
        <v>54.084817002430967</v>
      </c>
      <c r="AA197" s="386">
        <f t="shared" si="63"/>
        <v>58.587137103792109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7.6848269499581442E-2</v>
      </c>
      <c r="AD197" s="231">
        <f>(INDEX(Models!$BJ197:$BT197,,AH197)*(1-AF197)+INDEX(Models!$BJ197:$BT197,,AH197+1)*AF197-ERP_i)*AE197*Ramure*Pc/MaxiM</f>
        <v>7.0189739474083883E-5</v>
      </c>
      <c r="AE197" s="305">
        <f t="shared" si="65"/>
        <v>0.5</v>
      </c>
      <c r="AF197" s="177">
        <f t="shared" si="66"/>
        <v>0.35320287206997075</v>
      </c>
      <c r="AG197" s="811">
        <f t="shared" si="74"/>
        <v>0</v>
      </c>
      <c r="AH197" s="176">
        <f t="shared" si="67"/>
        <v>6</v>
      </c>
      <c r="AI197" s="225">
        <f t="shared" si="68"/>
        <v>0.35320287206997075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44745</v>
      </c>
      <c r="B198" s="1140">
        <v>45.334000000000003</v>
      </c>
      <c r="C198" s="841"/>
      <c r="D198" s="393">
        <f t="shared" si="50"/>
        <v>46.83378634938866</v>
      </c>
      <c r="E198" s="385">
        <f t="shared" si="75"/>
        <v>48.824333596227923</v>
      </c>
      <c r="F198" s="385">
        <f t="shared" si="51"/>
        <v>48.826785634058126</v>
      </c>
      <c r="G198" s="110">
        <f t="shared" si="76"/>
        <v>0.7866607807114927</v>
      </c>
      <c r="H198" s="414" t="b">
        <f>Wh_hp&gt;='2021'!Maxi_hp</f>
        <v>0</v>
      </c>
      <c r="I198" s="380">
        <f>IF(H198,Wh_hp,'2021'!Maxi_hp)</f>
        <v>53.763656051916264</v>
      </c>
      <c r="J198" s="85">
        <f>IF(H198,An,'2021'!An_max)</f>
        <v>2019</v>
      </c>
      <c r="K198" s="197">
        <f t="shared" si="52"/>
        <v>44745</v>
      </c>
      <c r="L198" s="147">
        <f>IF(t&lt;Tvie,1-EXP((T0-t)*PertePVj)+'2021'!Pspv,1-EXP((T0-t)*PertePVj)+Pspv)</f>
        <v>3.2023598053763536E-2</v>
      </c>
      <c r="M198" s="845"/>
      <c r="N198" s="845"/>
      <c r="O198" s="48">
        <f>IF(t&lt;Tnet,'2021'!Resal+('2021'!Salim-'2021'!Resal)*(1-EXP(('2021'!Tnet-t)/('2021'!Tau_j))),Resal+(Salim-Resal)*(1-EXP((Tnet-t)/(Tau_j))))*Salcycl</f>
        <v>4.076957328902589E-2</v>
      </c>
      <c r="P198" s="339">
        <f>(INDEX(Models!$BJ198:$BT198,,T198)*(1-R198)+INDEX(Models!$BJ198:$BT198,,T198+1)*R198-ERP_i)*Q198*Ramure*Pc/MaxiM</f>
        <v>7.2231273070000687E-5</v>
      </c>
      <c r="Q198" s="305">
        <f t="shared" si="53"/>
        <v>0.5</v>
      </c>
      <c r="R198" s="177">
        <f t="shared" si="54"/>
        <v>0.35738839783726722</v>
      </c>
      <c r="S198" s="811">
        <f t="shared" si="55"/>
        <v>0</v>
      </c>
      <c r="T198" s="176">
        <f t="shared" si="56"/>
        <v>6</v>
      </c>
      <c r="U198" s="251">
        <f t="shared" si="57"/>
        <v>0.35738839783726722</v>
      </c>
      <c r="V198" s="383">
        <f t="shared" si="58"/>
        <v>57.627128696546301</v>
      </c>
      <c r="W198" s="402">
        <f t="shared" si="59"/>
        <v>0</v>
      </c>
      <c r="X198" s="157">
        <f t="shared" si="60"/>
        <v>44745</v>
      </c>
      <c r="Y198" s="385">
        <f t="shared" si="61"/>
        <v>43.625962162844566</v>
      </c>
      <c r="Z198" s="385">
        <f t="shared" si="62"/>
        <v>45.069241435151895</v>
      </c>
      <c r="AA198" s="386">
        <f t="shared" si="63"/>
        <v>48.824333596227923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7.6910259382754656E-2</v>
      </c>
      <c r="AD198" s="231">
        <f>(INDEX(Models!$BJ198:$BT198,,AH198)*(1-AF198)+INDEX(Models!$BJ198:$BT198,,AH198+1)*AF198-ERP_i)*AE198*Ramure*Pc/MaxiM</f>
        <v>7.2231273070000687E-5</v>
      </c>
      <c r="AE198" s="305">
        <f t="shared" si="65"/>
        <v>0.5</v>
      </c>
      <c r="AF198" s="177">
        <f t="shared" si="66"/>
        <v>0.35738839783726722</v>
      </c>
      <c r="AG198" s="811">
        <f t="shared" si="74"/>
        <v>0</v>
      </c>
      <c r="AH198" s="176">
        <f t="shared" si="67"/>
        <v>6</v>
      </c>
      <c r="AI198" s="225">
        <f t="shared" si="68"/>
        <v>0.35738839783726722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44746</v>
      </c>
      <c r="B199" s="1140">
        <v>43.021000000000001</v>
      </c>
      <c r="C199" s="841"/>
      <c r="D199" s="393">
        <f t="shared" si="50"/>
        <v>44.445238752151532</v>
      </c>
      <c r="E199" s="385">
        <f t="shared" si="75"/>
        <v>46.338431055512352</v>
      </c>
      <c r="F199" s="385">
        <f t="shared" si="51"/>
        <v>46.340657991114433</v>
      </c>
      <c r="G199" s="110">
        <f t="shared" si="76"/>
        <v>0.74774087815935231</v>
      </c>
      <c r="H199" s="414" t="b">
        <f>Wh_hp&gt;='2021'!Maxi_hp</f>
        <v>0</v>
      </c>
      <c r="I199" s="380">
        <f>IF(H199,Wh_hp,'2021'!Maxi_hp)</f>
        <v>58.995697367701958</v>
      </c>
      <c r="J199" s="85">
        <f>IF(H199,An,'2021'!An_max)</f>
        <v>2019</v>
      </c>
      <c r="K199" s="197">
        <f t="shared" si="52"/>
        <v>44746</v>
      </c>
      <c r="L199" s="147">
        <f>IF(t&lt;Tvie,1-EXP((T0-t)*PertePVj)+'2021'!Pspv,1-EXP((T0-t)*PertePVj)+Pspv)</f>
        <v>3.2044799221212061E-2</v>
      </c>
      <c r="M199" s="845"/>
      <c r="N199" s="845"/>
      <c r="O199" s="48">
        <f>IF(t&lt;Tnet,'2021'!Resal+('2021'!Salim-'2021'!Resal)*(1-EXP(('2021'!Tnet-t)/('2021'!Tau_j))),Resal+(Salim-Resal)*(1-EXP((Tnet-t)/(Tau_j))))*Salcycl</f>
        <v>4.0855770474680461E-2</v>
      </c>
      <c r="P199" s="339">
        <f>(INDEX(Models!$BJ199:$BT199,,T199)*(1-R199)+INDEX(Models!$BJ199:$BT199,,T199+1)*R199-ERP_i)*Q199*Ramure*Pc/MaxiM</f>
        <v>7.5127185676471866E-5</v>
      </c>
      <c r="Q199" s="305">
        <f t="shared" si="53"/>
        <v>0.5</v>
      </c>
      <c r="R199" s="177">
        <f t="shared" si="54"/>
        <v>0.36149887806122433</v>
      </c>
      <c r="S199" s="811">
        <f t="shared" si="55"/>
        <v>0</v>
      </c>
      <c r="T199" s="176">
        <f t="shared" si="56"/>
        <v>6</v>
      </c>
      <c r="U199" s="251">
        <f t="shared" si="57"/>
        <v>0.36149887806122433</v>
      </c>
      <c r="V199" s="383">
        <f t="shared" si="58"/>
        <v>57.533079387317493</v>
      </c>
      <c r="W199" s="402">
        <f t="shared" si="59"/>
        <v>0</v>
      </c>
      <c r="X199" s="157">
        <f t="shared" si="60"/>
        <v>44746</v>
      </c>
      <c r="Y199" s="385">
        <f t="shared" si="61"/>
        <v>41.401099822045886</v>
      </c>
      <c r="Z199" s="385">
        <f t="shared" si="62"/>
        <v>42.771710703900133</v>
      </c>
      <c r="AA199" s="386">
        <f t="shared" si="63"/>
        <v>46.338431055512352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7.697110735880057E-2</v>
      </c>
      <c r="AD199" s="231">
        <f>(INDEX(Models!$BJ199:$BT199,,AH199)*(1-AF199)+INDEX(Models!$BJ199:$BT199,,AH199+1)*AF199-ERP_i)*AE199*Ramure*Pc/MaxiM</f>
        <v>7.5127185676471866E-5</v>
      </c>
      <c r="AE199" s="305">
        <f t="shared" si="65"/>
        <v>0.5</v>
      </c>
      <c r="AF199" s="177">
        <f t="shared" si="66"/>
        <v>0.36149887806122433</v>
      </c>
      <c r="AG199" s="811">
        <f t="shared" si="74"/>
        <v>0</v>
      </c>
      <c r="AH199" s="176">
        <f t="shared" si="67"/>
        <v>6</v>
      </c>
      <c r="AI199" s="225">
        <f t="shared" si="68"/>
        <v>0.36149887806122433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44747</v>
      </c>
      <c r="B200" s="1140">
        <v>53.902000000000001</v>
      </c>
      <c r="C200" s="841"/>
      <c r="D200" s="393">
        <f t="shared" si="50"/>
        <v>55.687681180519007</v>
      </c>
      <c r="E200" s="385">
        <f t="shared" si="75"/>
        <v>58.064938122102248</v>
      </c>
      <c r="F200" s="385">
        <f t="shared" si="51"/>
        <v>58.069116398594829</v>
      </c>
      <c r="G200" s="110">
        <f t="shared" si="76"/>
        <v>0.93844489829199207</v>
      </c>
      <c r="H200" s="414" t="b">
        <f>Wh_hp&gt;='2021'!Maxi_hp</f>
        <v>0</v>
      </c>
      <c r="I200" s="380">
        <f>IF(H200,Wh_hp,'2021'!Maxi_hp)</f>
        <v>61.322232788721351</v>
      </c>
      <c r="J200" s="85">
        <f>IF(H200,An,'2021'!An_max)</f>
        <v>2020</v>
      </c>
      <c r="K200" s="197">
        <f t="shared" si="52"/>
        <v>44747</v>
      </c>
      <c r="L200" s="147">
        <f>IF(t&lt;Tvie,1-EXP((T0-t)*PertePVj)+'2021'!Pspv,1-EXP((T0-t)*PertePVj)+Pspv)</f>
        <v>3.2065999924300703E-2</v>
      </c>
      <c r="M200" s="845"/>
      <c r="N200" s="845"/>
      <c r="O200" s="48">
        <f>IF(t&lt;Tnet,'2021'!Resal+('2021'!Salim-'2021'!Resal)*(1-EXP(('2021'!Tnet-t)/('2021'!Tau_j))),Resal+(Salim-Resal)*(1-EXP((Tnet-t)/(Tau_j))))*Salcycl</f>
        <v>4.0941349779521102E-2</v>
      </c>
      <c r="P200" s="339">
        <f>(INDEX(Models!$BJ200:$BT200,,T200)*(1-R200)+INDEX(Models!$BJ200:$BT200,,T200+1)*R200-ERP_i)*Q200*Ramure*Pc/MaxiM</f>
        <v>7.8890034962939267E-5</v>
      </c>
      <c r="Q200" s="305">
        <f t="shared" si="53"/>
        <v>0.5</v>
      </c>
      <c r="R200" s="177">
        <f t="shared" si="54"/>
        <v>0.36553293642119816</v>
      </c>
      <c r="S200" s="811">
        <f t="shared" si="55"/>
        <v>0</v>
      </c>
      <c r="T200" s="176">
        <f t="shared" si="56"/>
        <v>6</v>
      </c>
      <c r="U200" s="251">
        <f t="shared" si="57"/>
        <v>0.36553293642119816</v>
      </c>
      <c r="V200" s="383">
        <f t="shared" si="58"/>
        <v>57.437177375457175</v>
      </c>
      <c r="W200" s="402">
        <f t="shared" si="59"/>
        <v>0</v>
      </c>
      <c r="X200" s="157">
        <f t="shared" si="60"/>
        <v>44747</v>
      </c>
      <c r="Y200" s="385">
        <f t="shared" si="61"/>
        <v>51.873661238968509</v>
      </c>
      <c r="Z200" s="385">
        <f t="shared" si="62"/>
        <v>53.592147021296512</v>
      </c>
      <c r="AA200" s="386">
        <f t="shared" si="63"/>
        <v>58.064938122102248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7.7030842457803034E-2</v>
      </c>
      <c r="AD200" s="231">
        <f>(INDEX(Models!$BJ200:$BT200,,AH200)*(1-AF200)+INDEX(Models!$BJ200:$BT200,,AH200+1)*AF200-ERP_i)*AE200*Ramure*Pc/MaxiM</f>
        <v>7.8890034962939267E-5</v>
      </c>
      <c r="AE200" s="305">
        <f t="shared" si="65"/>
        <v>0.5</v>
      </c>
      <c r="AF200" s="177">
        <f t="shared" si="66"/>
        <v>0.36553293642119816</v>
      </c>
      <c r="AG200" s="811">
        <f t="shared" si="74"/>
        <v>0</v>
      </c>
      <c r="AH200" s="176">
        <f t="shared" si="67"/>
        <v>6</v>
      </c>
      <c r="AI200" s="225">
        <f t="shared" si="68"/>
        <v>0.36553293642119816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44748</v>
      </c>
      <c r="B201" s="1140">
        <v>46.289000000000001</v>
      </c>
      <c r="C201" s="841"/>
      <c r="D201" s="393">
        <f t="shared" si="50"/>
        <v>47.823522953511024</v>
      </c>
      <c r="E201" s="385">
        <f t="shared" si="75"/>
        <v>49.869484660006052</v>
      </c>
      <c r="F201" s="385">
        <f t="shared" si="51"/>
        <v>49.872503663820225</v>
      </c>
      <c r="G201" s="110">
        <f t="shared" si="76"/>
        <v>0.80726198359370371</v>
      </c>
      <c r="H201" s="414" t="b">
        <f>Wh_hp&gt;='2021'!Maxi_hp</f>
        <v>0</v>
      </c>
      <c r="I201" s="380">
        <f>IF(H201,Wh_hp,'2021'!Maxi_hp)</f>
        <v>60.73746121896113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3.2087200163039453E-2</v>
      </c>
      <c r="M201" s="845"/>
      <c r="N201" s="845"/>
      <c r="O201" s="48">
        <f>IF(t&lt;Tnet,'2021'!Resal+('2021'!Salim-'2021'!Resal)*(1-EXP(('2021'!Tnet-t)/('2021'!Tau_j))),Resal+(Salim-Resal)*(1-EXP((Tnet-t)/(Tau_j))))*Salcycl</f>
        <v>4.1026325426134359E-2</v>
      </c>
      <c r="P201" s="339">
        <f>(INDEX(Models!$BJ201:$BT201,,T201)*(1-R201)+INDEX(Models!$BJ201:$BT201,,T201+1)*R201-ERP_i)*Q201*Ramure*Pc/MaxiM</f>
        <v>8.3531892262499085E-5</v>
      </c>
      <c r="Q201" s="305">
        <f t="shared" si="53"/>
        <v>0.5</v>
      </c>
      <c r="R201" s="177">
        <f t="shared" si="54"/>
        <v>0.36948937388232428</v>
      </c>
      <c r="S201" s="811">
        <f t="shared" si="55"/>
        <v>0</v>
      </c>
      <c r="T201" s="176">
        <f t="shared" si="56"/>
        <v>6</v>
      </c>
      <c r="U201" s="251">
        <f t="shared" si="57"/>
        <v>0.36948937388232428</v>
      </c>
      <c r="V201" s="383">
        <f t="shared" si="58"/>
        <v>57.339421832029537</v>
      </c>
      <c r="W201" s="402">
        <f t="shared" si="59"/>
        <v>0</v>
      </c>
      <c r="X201" s="157">
        <f t="shared" si="60"/>
        <v>44748</v>
      </c>
      <c r="Y201" s="385">
        <f t="shared" si="61"/>
        <v>44.548255564854983</v>
      </c>
      <c r="Z201" s="385">
        <f t="shared" si="62"/>
        <v>46.025071238193036</v>
      </c>
      <c r="AA201" s="386">
        <f t="shared" si="63"/>
        <v>49.869484660006052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7.7089495671009506E-2</v>
      </c>
      <c r="AD201" s="231">
        <f>(INDEX(Models!$BJ201:$BT201,,AH201)*(1-AF201)+INDEX(Models!$BJ201:$BT201,,AH201+1)*AF201-ERP_i)*AE201*Ramure*Pc/MaxiM</f>
        <v>8.3531892262499085E-5</v>
      </c>
      <c r="AE201" s="305">
        <f t="shared" si="65"/>
        <v>0.5</v>
      </c>
      <c r="AF201" s="177">
        <f t="shared" si="66"/>
        <v>0.36948937388232428</v>
      </c>
      <c r="AG201" s="811">
        <f t="shared" si="74"/>
        <v>0</v>
      </c>
      <c r="AH201" s="176">
        <f t="shared" si="67"/>
        <v>6</v>
      </c>
      <c r="AI201" s="225">
        <f t="shared" si="68"/>
        <v>0.36948937388232428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44749</v>
      </c>
      <c r="B202" s="1140">
        <v>53.164000000000001</v>
      </c>
      <c r="C202" s="841"/>
      <c r="D202" s="393">
        <f t="shared" si="50"/>
        <v>54.927638587382766</v>
      </c>
      <c r="E202" s="385">
        <f t="shared" si="75"/>
        <v>57.282565685663251</v>
      </c>
      <c r="F202" s="385">
        <f t="shared" si="51"/>
        <v>57.287148915483868</v>
      </c>
      <c r="G202" s="110">
        <f t="shared" si="76"/>
        <v>0.9287856918806815</v>
      </c>
      <c r="H202" s="414" t="b">
        <f>Wh_hp&gt;='2021'!Maxi_hp</f>
        <v>1</v>
      </c>
      <c r="I202" s="380">
        <f>IF(H202,Wh_hp,'2021'!Maxi_hp)</f>
        <v>57.287148915483868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3.2108399937438525E-2</v>
      </c>
      <c r="M202" s="845"/>
      <c r="N202" s="845"/>
      <c r="O202" s="48">
        <f>IF(t&lt;Tnet,'2021'!Resal+('2021'!Salim-'2021'!Resal)*(1-EXP(('2021'!Tnet-t)/('2021'!Tau_j))),Resal+(Salim-Resal)*(1-EXP((Tnet-t)/(Tau_j))))*Salcycl</f>
        <v>4.1110712659120252E-2</v>
      </c>
      <c r="P202" s="339">
        <f>(INDEX(Models!$BJ202:$BT202,,T202)*(1-R202)+INDEX(Models!$BJ202:$BT202,,T202+1)*R202-ERP_i)*Q202*Ramure*Pc/MaxiM</f>
        <v>8.906437060555895E-5</v>
      </c>
      <c r="Q202" s="305">
        <f t="shared" si="53"/>
        <v>0.5</v>
      </c>
      <c r="R202" s="177">
        <f t="shared" si="54"/>
        <v>0.37336716559736388</v>
      </c>
      <c r="S202" s="811">
        <f t="shared" si="55"/>
        <v>0</v>
      </c>
      <c r="T202" s="176">
        <f t="shared" si="56"/>
        <v>6</v>
      </c>
      <c r="U202" s="251">
        <f t="shared" si="57"/>
        <v>0.37336716559736388</v>
      </c>
      <c r="V202" s="383">
        <f t="shared" si="58"/>
        <v>57.239811904249116</v>
      </c>
      <c r="W202" s="402">
        <f t="shared" si="59"/>
        <v>0</v>
      </c>
      <c r="X202" s="157">
        <f t="shared" si="60"/>
        <v>44749</v>
      </c>
      <c r="Y202" s="385">
        <f t="shared" si="61"/>
        <v>51.166023270656552</v>
      </c>
      <c r="Z202" s="385">
        <f t="shared" si="62"/>
        <v>52.863381878042276</v>
      </c>
      <c r="AA202" s="386">
        <f t="shared" si="63"/>
        <v>57.282565685663251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7.7147099727884763E-2</v>
      </c>
      <c r="AD202" s="231">
        <f>(INDEX(Models!$BJ202:$BT202,,AH202)*(1-AF202)+INDEX(Models!$BJ202:$BT202,,AH202+1)*AF202-ERP_i)*AE202*Ramure*Pc/MaxiM</f>
        <v>8.906437060555895E-5</v>
      </c>
      <c r="AE202" s="305">
        <f t="shared" si="65"/>
        <v>0.5</v>
      </c>
      <c r="AF202" s="177">
        <f t="shared" si="66"/>
        <v>0.37336716559736388</v>
      </c>
      <c r="AG202" s="811">
        <f t="shared" si="74"/>
        <v>0</v>
      </c>
      <c r="AH202" s="176">
        <f t="shared" si="67"/>
        <v>6</v>
      </c>
      <c r="AI202" s="225">
        <f t="shared" si="68"/>
        <v>0.37336716559736388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44750</v>
      </c>
      <c r="B203" s="1140">
        <v>55.911000000000001</v>
      </c>
      <c r="C203" s="841"/>
      <c r="D203" s="393">
        <f t="shared" si="50"/>
        <v>57.767031574197112</v>
      </c>
      <c r="E203" s="385">
        <f t="shared" si="75"/>
        <v>60.248958979483014</v>
      </c>
      <c r="F203" s="385">
        <f t="shared" si="51"/>
        <v>60.254536632039461</v>
      </c>
      <c r="G203" s="110">
        <f t="shared" si="76"/>
        <v>0.97851686901531199</v>
      </c>
      <c r="H203" s="414" t="b">
        <f>Wh_hp&gt;='2021'!Maxi_hp</f>
        <v>0</v>
      </c>
      <c r="I203" s="380">
        <f>IF(H203,Wh_hp,'2021'!Maxi_hp)</f>
        <v>63.132463716134929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3.2129599247508245E-2</v>
      </c>
      <c r="M203" s="845"/>
      <c r="N203" s="845"/>
      <c r="O203" s="48">
        <f>IF(t&lt;Tnet,'2021'!Resal+('2021'!Salim-'2021'!Resal)*(1-EXP(('2021'!Tnet-t)/('2021'!Tau_j))),Resal+(Salim-Resal)*(1-EXP((Tnet-t)/(Tau_j))))*Salcycl</f>
        <v>4.1194527628785928E-2</v>
      </c>
      <c r="P203" s="339">
        <f>(INDEX(Models!$BJ203:$BT203,,T203)*(1-R203)+INDEX(Models!$BJ203:$BT203,,T203+1)*R203-ERP_i)*Q203*Ramure*Pc/MaxiM</f>
        <v>9.5498656470728038E-5</v>
      </c>
      <c r="Q203" s="305">
        <f t="shared" si="53"/>
        <v>0.5</v>
      </c>
      <c r="R203" s="177">
        <f t="shared" si="54"/>
        <v>0.37716545716296629</v>
      </c>
      <c r="S203" s="811">
        <f t="shared" si="55"/>
        <v>0</v>
      </c>
      <c r="T203" s="176">
        <f t="shared" si="56"/>
        <v>6</v>
      </c>
      <c r="U203" s="251">
        <f t="shared" si="57"/>
        <v>0.37716545716296629</v>
      </c>
      <c r="V203" s="383">
        <f t="shared" si="58"/>
        <v>57.13834672569913</v>
      </c>
      <c r="W203" s="402">
        <f t="shared" si="59"/>
        <v>0</v>
      </c>
      <c r="X203" s="157">
        <f t="shared" si="60"/>
        <v>44750</v>
      </c>
      <c r="Y203" s="385">
        <f t="shared" si="61"/>
        <v>53.811191152380573</v>
      </c>
      <c r="Z203" s="385">
        <f t="shared" si="62"/>
        <v>55.59751709582595</v>
      </c>
      <c r="AA203" s="386">
        <f t="shared" si="63"/>
        <v>60.248958979483014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7.7203688867737125E-2</v>
      </c>
      <c r="AD203" s="231">
        <f>(INDEX(Models!$BJ203:$BT203,,AH203)*(1-AF203)+INDEX(Models!$BJ203:$BT203,,AH203+1)*AF203-ERP_i)*AE203*Ramure*Pc/MaxiM</f>
        <v>9.5498656470728038E-5</v>
      </c>
      <c r="AE203" s="305">
        <f t="shared" si="65"/>
        <v>0.5</v>
      </c>
      <c r="AF203" s="177">
        <f t="shared" si="66"/>
        <v>0.37716545716296629</v>
      </c>
      <c r="AG203" s="811">
        <f t="shared" si="74"/>
        <v>0</v>
      </c>
      <c r="AH203" s="176">
        <f t="shared" si="67"/>
        <v>6</v>
      </c>
      <c r="AI203" s="225">
        <f t="shared" si="68"/>
        <v>0.37716545716296629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44751</v>
      </c>
      <c r="B204" s="1140">
        <v>55.19</v>
      </c>
      <c r="C204" s="841"/>
      <c r="D204" s="393">
        <f t="shared" si="50"/>
        <v>57.023346086633353</v>
      </c>
      <c r="E204" s="385">
        <f t="shared" si="75"/>
        <v>59.478486395311961</v>
      </c>
      <c r="F204" s="385">
        <f t="shared" si="51"/>
        <v>59.484321376569305</v>
      </c>
      <c r="G204" s="110">
        <f t="shared" si="76"/>
        <v>0.96764641139317298</v>
      </c>
      <c r="H204" s="414" t="b">
        <f>Wh_hp&gt;='2021'!Maxi_hp</f>
        <v>0</v>
      </c>
      <c r="I204" s="380">
        <f>IF(H204,Wh_hp,'2021'!Maxi_hp)</f>
        <v>60.536567302517156</v>
      </c>
      <c r="J204" s="85">
        <f>IF(H204,An,'2021'!An_max)</f>
        <v>2020</v>
      </c>
      <c r="K204" s="197">
        <f t="shared" si="52"/>
        <v>44751</v>
      </c>
      <c r="L204" s="147">
        <f>IF(t&lt;Tvie,1-EXP((T0-t)*PertePVj)+'2021'!Pspv,1-EXP((T0-t)*PertePVj)+Pspv)</f>
        <v>3.2150798093258603E-2</v>
      </c>
      <c r="M204" s="845"/>
      <c r="N204" s="845"/>
      <c r="O204" s="48">
        <f>IF(t&lt;Tnet,'2021'!Resal+('2021'!Salim-'2021'!Resal)*(1-EXP(('2021'!Tnet-t)/('2021'!Tau_j))),Resal+(Salim-Resal)*(1-EXP((Tnet-t)/(Tau_j))))*Salcycl</f>
        <v>4.127778727187182E-2</v>
      </c>
      <c r="P204" s="339">
        <f>(INDEX(Models!$BJ204:$BT204,,T204)*(1-R204)+INDEX(Models!$BJ204:$BT204,,T204+1)*R204-ERP_i)*Q204*Ramure*Pc/MaxiM</f>
        <v>1.0284554481764892E-4</v>
      </c>
      <c r="Q204" s="305">
        <f t="shared" si="53"/>
        <v>0.5</v>
      </c>
      <c r="R204" s="177">
        <f t="shared" si="54"/>
        <v>0.38088356028841835</v>
      </c>
      <c r="S204" s="811">
        <f t="shared" si="55"/>
        <v>0</v>
      </c>
      <c r="T204" s="176">
        <f t="shared" si="56"/>
        <v>6</v>
      </c>
      <c r="U204" s="251">
        <f t="shared" si="57"/>
        <v>0.38088356028841835</v>
      </c>
      <c r="V204" s="383">
        <f t="shared" si="58"/>
        <v>57.035025416577952</v>
      </c>
      <c r="W204" s="402">
        <f t="shared" si="59"/>
        <v>0</v>
      </c>
      <c r="X204" s="157">
        <f t="shared" si="60"/>
        <v>44751</v>
      </c>
      <c r="Y204" s="385">
        <f t="shared" si="61"/>
        <v>53.118680921066904</v>
      </c>
      <c r="Z204" s="385">
        <f t="shared" si="62"/>
        <v>54.883220254166453</v>
      </c>
      <c r="AA204" s="386">
        <f t="shared" si="63"/>
        <v>59.478486395311961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7.7259298607634003E-2</v>
      </c>
      <c r="AD204" s="231">
        <f>(INDEX(Models!$BJ204:$BT204,,AH204)*(1-AF204)+INDEX(Models!$BJ204:$BT204,,AH204+1)*AF204-ERP_i)*AE204*Ramure*Pc/MaxiM</f>
        <v>1.0284554481764892E-4</v>
      </c>
      <c r="AE204" s="305">
        <f t="shared" si="65"/>
        <v>0.5</v>
      </c>
      <c r="AF204" s="177">
        <f t="shared" si="66"/>
        <v>0.38088356028841835</v>
      </c>
      <c r="AG204" s="811">
        <f t="shared" si="74"/>
        <v>0</v>
      </c>
      <c r="AH204" s="176">
        <f t="shared" si="67"/>
        <v>6</v>
      </c>
      <c r="AI204" s="225">
        <f t="shared" si="68"/>
        <v>0.38088356028841835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44752</v>
      </c>
      <c r="B205" s="1140">
        <v>54.487000000000002</v>
      </c>
      <c r="C205" s="841"/>
      <c r="D205" s="393">
        <f t="shared" si="50"/>
        <v>56.298226339320479</v>
      </c>
      <c r="E205" s="385">
        <f t="shared" si="75"/>
        <v>58.727213805645107</v>
      </c>
      <c r="F205" s="385">
        <f t="shared" si="51"/>
        <v>58.733339992825194</v>
      </c>
      <c r="G205" s="110">
        <f t="shared" si="76"/>
        <v>0.95708733119235911</v>
      </c>
      <c r="H205" s="414" t="b">
        <f>Wh_hp&gt;='2021'!Maxi_hp</f>
        <v>0</v>
      </c>
      <c r="I205" s="380">
        <f>IF(H205,Wh_hp,'2021'!Maxi_hp)</f>
        <v>59.982897259607313</v>
      </c>
      <c r="J205" s="85">
        <f>IF(H205,An,'2021'!An_max)</f>
        <v>2019</v>
      </c>
      <c r="K205" s="197">
        <f t="shared" si="52"/>
        <v>44752</v>
      </c>
      <c r="L205" s="147">
        <f>IF(t&lt;Tvie,1-EXP((T0-t)*PertePVj)+'2021'!Pspv,1-EXP((T0-t)*PertePVj)+Pspv)</f>
        <v>3.2171996474699927E-2</v>
      </c>
      <c r="M205" s="845"/>
      <c r="N205" s="845"/>
      <c r="O205" s="48">
        <f>IF(t&lt;Tnet,'2021'!Resal+('2021'!Salim-'2021'!Resal)*(1-EXP(('2021'!Tnet-t)/('2021'!Tau_j))),Resal+(Salim-Resal)*(1-EXP((Tnet-t)/(Tau_j))))*Salcycl</f>
        <v>4.1360509190223951E-2</v>
      </c>
      <c r="P205" s="339">
        <f>(INDEX(Models!$BJ205:$BT205,,T205)*(1-R205)+INDEX(Models!$BJ205:$BT205,,T205+1)*R205-ERP_i)*Q205*Ramure*Pc/MaxiM</f>
        <v>1.1111589809259638E-4</v>
      </c>
      <c r="Q205" s="305">
        <f t="shared" si="53"/>
        <v>0.5</v>
      </c>
      <c r="R205" s="177">
        <f t="shared" si="54"/>
        <v>0.38452094793624708</v>
      </c>
      <c r="S205" s="811">
        <f t="shared" si="55"/>
        <v>0</v>
      </c>
      <c r="T205" s="176">
        <f t="shared" si="56"/>
        <v>6</v>
      </c>
      <c r="U205" s="251">
        <f t="shared" si="57"/>
        <v>0.38452094793624708</v>
      </c>
      <c r="V205" s="383">
        <f t="shared" si="58"/>
        <v>56.929631273784359</v>
      </c>
      <c r="W205" s="402">
        <f t="shared" si="59"/>
        <v>0</v>
      </c>
      <c r="X205" s="157">
        <f t="shared" si="60"/>
        <v>44752</v>
      </c>
      <c r="Y205" s="385">
        <f t="shared" si="61"/>
        <v>52.443483127197148</v>
      </c>
      <c r="Z205" s="385">
        <f t="shared" si="62"/>
        <v>54.186780023074853</v>
      </c>
      <c r="AA205" s="386">
        <f t="shared" si="63"/>
        <v>58.727213805645107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7.7313965508334942E-2</v>
      </c>
      <c r="AD205" s="231">
        <f>(INDEX(Models!$BJ205:$BT205,,AH205)*(1-AF205)+INDEX(Models!$BJ205:$BT205,,AH205+1)*AF205-ERP_i)*AE205*Ramure*Pc/MaxiM</f>
        <v>1.1111589809259638E-4</v>
      </c>
      <c r="AE205" s="305">
        <f t="shared" si="65"/>
        <v>0.5</v>
      </c>
      <c r="AF205" s="177">
        <f t="shared" si="66"/>
        <v>0.38452094793624708</v>
      </c>
      <c r="AG205" s="811">
        <f t="shared" si="74"/>
        <v>0</v>
      </c>
      <c r="AH205" s="176">
        <f t="shared" si="67"/>
        <v>6</v>
      </c>
      <c r="AI205" s="225">
        <f t="shared" si="68"/>
        <v>0.38452094793624708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44753</v>
      </c>
      <c r="B206" s="1140">
        <v>53.045000000000002</v>
      </c>
      <c r="C206" s="841"/>
      <c r="D206" s="393">
        <f t="shared" si="50"/>
        <v>54.809492651446256</v>
      </c>
      <c r="E206" s="385">
        <f t="shared" si="75"/>
        <v>57.179151742547475</v>
      </c>
      <c r="F206" s="385">
        <f t="shared" si="51"/>
        <v>57.18538868998376</v>
      </c>
      <c r="G206" s="110">
        <f t="shared" si="76"/>
        <v>0.93351852753568276</v>
      </c>
      <c r="H206" s="414" t="b">
        <f>Wh_hp&gt;='2021'!Maxi_hp</f>
        <v>0</v>
      </c>
      <c r="I206" s="380">
        <f>IF(H206,Wh_hp,'2021'!Maxi_hp)</f>
        <v>61.452728703103304</v>
      </c>
      <c r="J206" s="85">
        <f>IF(H206,An,'2021'!An_max)</f>
        <v>2019</v>
      </c>
      <c r="K206" s="197">
        <f t="shared" si="52"/>
        <v>44753</v>
      </c>
      <c r="L206" s="147">
        <f>IF(t&lt;Tvie,1-EXP((T0-t)*PertePVj)+'2021'!Pspv,1-EXP((T0-t)*PertePVj)+Pspv)</f>
        <v>3.2193194391842206E-2</v>
      </c>
      <c r="M206" s="845"/>
      <c r="N206" s="845"/>
      <c r="O206" s="48">
        <f>IF(t&lt;Tnet,'2021'!Resal+('2021'!Salim-'2021'!Resal)*(1-EXP(('2021'!Tnet-t)/('2021'!Tau_j))),Resal+(Salim-Resal)*(1-EXP((Tnet-t)/(Tau_j))))*Salcycl</f>
        <v>4.1442711528333821E-2</v>
      </c>
      <c r="P206" s="339">
        <f>(INDEX(Models!$BJ206:$BT206,,T206)*(1-R206)+INDEX(Models!$BJ206:$BT206,,T206+1)*R206-ERP_i)*Q206*Ramure*Pc/MaxiM</f>
        <v>1.2050870015553226E-4</v>
      </c>
      <c r="Q206" s="305">
        <f t="shared" si="53"/>
        <v>0.5</v>
      </c>
      <c r="R206" s="177">
        <f t="shared" si="54"/>
        <v>0.38807724899461138</v>
      </c>
      <c r="S206" s="811">
        <f t="shared" si="55"/>
        <v>0</v>
      </c>
      <c r="T206" s="176">
        <f t="shared" si="56"/>
        <v>6</v>
      </c>
      <c r="U206" s="251">
        <f t="shared" si="57"/>
        <v>0.38807724899461138</v>
      </c>
      <c r="V206" s="383">
        <f t="shared" si="58"/>
        <v>56.822003376937673</v>
      </c>
      <c r="W206" s="402">
        <f t="shared" si="59"/>
        <v>0</v>
      </c>
      <c r="X206" s="157">
        <f t="shared" si="60"/>
        <v>44753</v>
      </c>
      <c r="Y206" s="385">
        <f t="shared" si="61"/>
        <v>51.056968126027769</v>
      </c>
      <c r="Z206" s="385">
        <f t="shared" si="62"/>
        <v>52.755330743871141</v>
      </c>
      <c r="AA206" s="386">
        <f t="shared" si="63"/>
        <v>57.179151742547475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7.7367726939966658E-2</v>
      </c>
      <c r="AD206" s="231">
        <f>(INDEX(Models!$BJ206:$BT206,,AH206)*(1-AF206)+INDEX(Models!$BJ206:$BT206,,AH206+1)*AF206-ERP_i)*AE206*Ramure*Pc/MaxiM</f>
        <v>1.2050870015553226E-4</v>
      </c>
      <c r="AE206" s="305">
        <f t="shared" si="65"/>
        <v>0.5</v>
      </c>
      <c r="AF206" s="177">
        <f t="shared" si="66"/>
        <v>0.38807724899461138</v>
      </c>
      <c r="AG206" s="811">
        <f t="shared" si="74"/>
        <v>0</v>
      </c>
      <c r="AH206" s="176">
        <f t="shared" si="67"/>
        <v>6</v>
      </c>
      <c r="AI206" s="225">
        <f t="shared" si="68"/>
        <v>0.38807724899461138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44754</v>
      </c>
      <c r="B207" s="1140">
        <v>53.140999999999998</v>
      </c>
      <c r="C207" s="841"/>
      <c r="D207" s="393">
        <f t="shared" ref="D207:D270" si="77">Wh/(1-Ppv)</f>
        <v>54.909888669756135</v>
      </c>
      <c r="E207" s="385">
        <f t="shared" si="75"/>
        <v>57.288771259231815</v>
      </c>
      <c r="F207" s="385">
        <f t="shared" ref="F207:F270" si="78">Wh_sa/(1-Pvg*MEDIAN((-Sdif+Wh/Env_an)/Csdif,0,1))</f>
        <v>57.295596798523157</v>
      </c>
      <c r="G207" s="110">
        <f t="shared" si="76"/>
        <v>0.93701759420450914</v>
      </c>
      <c r="H207" s="414" t="b">
        <f>Wh_hp&gt;='2021'!Maxi_hp</f>
        <v>0</v>
      </c>
      <c r="I207" s="380">
        <f>IF(H207,Wh_hp,'2021'!Maxi_hp)</f>
        <v>61.87528776158792</v>
      </c>
      <c r="J207" s="85">
        <f>IF(H207,An,'2021'!An_max)</f>
        <v>2019</v>
      </c>
      <c r="K207" s="197">
        <f t="shared" ref="K207:K270" si="79">t</f>
        <v>44754</v>
      </c>
      <c r="L207" s="147">
        <f>IF(t&lt;Tvie,1-EXP((T0-t)*PertePVj)+'2021'!Pspv,1-EXP((T0-t)*PertePVj)+Pspv)</f>
        <v>3.2214391844695656E-2</v>
      </c>
      <c r="M207" s="845"/>
      <c r="N207" s="845"/>
      <c r="O207" s="48">
        <f>IF(t&lt;Tnet,'2021'!Resal+('2021'!Salim-'2021'!Resal)*(1-EXP(('2021'!Tnet-t)/('2021'!Tau_j))),Resal+(Salim-Resal)*(1-EXP((Tnet-t)/(Tau_j))))*Salcycl</f>
        <v>4.1524412850665396E-2</v>
      </c>
      <c r="P207" s="339">
        <f>(INDEX(Models!$BJ207:$BT207,,T207)*(1-R207)+INDEX(Models!$BJ207:$BT207,,T207+1)*R207-ERP_i)*Q207*Ramure*Pc/MaxiM</f>
        <v>1.3090457115867333E-4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0.39155224254132959</v>
      </c>
      <c r="S207" s="811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0.39155224254132959</v>
      </c>
      <c r="V207" s="383">
        <f t="shared" ref="V207:V270" si="85">MaxiM*(1-Ppv)*(1-Pvg)*(1-Psa)</f>
        <v>56.712247947797728</v>
      </c>
      <c r="W207" s="402">
        <f t="shared" ref="W207:W270" si="86">Wh*(A207&gt;Tmaj)</f>
        <v>0</v>
      </c>
      <c r="X207" s="157">
        <f t="shared" ref="X207:X270" si="87">t</f>
        <v>44754</v>
      </c>
      <c r="Y207" s="385">
        <f t="shared" ref="Y207:Y270" si="88">Wh_pvt_s*(1-Ppv)</f>
        <v>51.150797625706311</v>
      </c>
      <c r="Z207" s="385">
        <f t="shared" ref="Z207:Z270" si="89">Wh_sa_s*(1-Psa_s)</f>
        <v>52.853439020657497</v>
      </c>
      <c r="AA207" s="386">
        <f t="shared" ref="AA207:AA270" si="90">Wh_hp*(1-Pvg_s*MEDIAN((-Sdif+Wh/Env_an)/Csdif,0,1))</f>
        <v>57.288771259231815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7.742062084914389E-2</v>
      </c>
      <c r="AD207" s="231">
        <f>(INDEX(Models!$BJ207:$BT207,,AH207)*(1-AF207)+INDEX(Models!$BJ207:$BT207,,AH207+1)*AF207-ERP_i)*AE207*Ramure*Pc/MaxiM</f>
        <v>1.3090457115867333E-4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0.39155224254132959</v>
      </c>
      <c r="AG207" s="811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0.39155224254132959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44755</v>
      </c>
      <c r="B208" s="1140">
        <v>52.514000000000003</v>
      </c>
      <c r="C208" s="841"/>
      <c r="D208" s="393">
        <f t="shared" si="77"/>
        <v>54.263206410627895</v>
      </c>
      <c r="E208" s="385">
        <f t="shared" si="75"/>
        <v>56.61887029342617</v>
      </c>
      <c r="F208" s="385">
        <f t="shared" si="78"/>
        <v>56.626097687284791</v>
      </c>
      <c r="G208" s="110">
        <f t="shared" si="76"/>
        <v>0.92778796310374112</v>
      </c>
      <c r="H208" s="414" t="b">
        <f>Wh_hp&gt;='2021'!Maxi_hp</f>
        <v>1</v>
      </c>
      <c r="I208" s="380">
        <f>IF(H208,Wh_hp,'2021'!Maxi_hp)</f>
        <v>56.626097687284791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3.2235588833270601E-2</v>
      </c>
      <c r="M208" s="845"/>
      <c r="N208" s="845"/>
      <c r="O208" s="48">
        <f>IF(t&lt;Tnet,'2021'!Resal+('2021'!Salim-'2021'!Resal)*(1-EXP(('2021'!Tnet-t)/('2021'!Tau_j))),Resal+(Salim-Resal)*(1-EXP((Tnet-t)/(Tau_j))))*Salcycl</f>
        <v>4.1605632019679879E-2</v>
      </c>
      <c r="P208" s="339">
        <f>(INDEX(Models!$BJ208:$BT208,,T208)*(1-R208)+INDEX(Models!$BJ208:$BT208,,T208+1)*R208-ERP_i)*Q208*Ramure*Pc/MaxiM</f>
        <v>1.4231173779781376E-4</v>
      </c>
      <c r="Q208" s="305">
        <f t="shared" si="80"/>
        <v>0.5</v>
      </c>
      <c r="R208" s="177">
        <f t="shared" si="81"/>
        <v>0.39494585175867503</v>
      </c>
      <c r="S208" s="811">
        <f t="shared" si="82"/>
        <v>0</v>
      </c>
      <c r="T208" s="176">
        <f t="shared" si="83"/>
        <v>6</v>
      </c>
      <c r="U208" s="251">
        <f t="shared" si="84"/>
        <v>0.39494585175867503</v>
      </c>
      <c r="V208" s="383">
        <f t="shared" si="85"/>
        <v>56.600463881076806</v>
      </c>
      <c r="W208" s="402">
        <f t="shared" si="86"/>
        <v>0</v>
      </c>
      <c r="X208" s="157">
        <f t="shared" si="87"/>
        <v>44755</v>
      </c>
      <c r="Y208" s="385">
        <f t="shared" si="88"/>
        <v>50.548710437657846</v>
      </c>
      <c r="Z208" s="385">
        <f t="shared" si="89"/>
        <v>52.232454360164688</v>
      </c>
      <c r="AA208" s="386">
        <f t="shared" si="90"/>
        <v>56.61887029342617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7.7472685529205526E-2</v>
      </c>
      <c r="AD208" s="231">
        <f>(INDEX(Models!$BJ208:$BT208,,AH208)*(1-AF208)+INDEX(Models!$BJ208:$BT208,,AH208+1)*AF208-ERP_i)*AE208*Ramure*Pc/MaxiM</f>
        <v>1.4231173779781376E-4</v>
      </c>
      <c r="AE208" s="305">
        <f t="shared" si="92"/>
        <v>0.5</v>
      </c>
      <c r="AF208" s="177">
        <f t="shared" si="93"/>
        <v>0.39494585175867503</v>
      </c>
      <c r="AG208" s="811">
        <f t="shared" ref="AG208:AG271" si="99">INDEX(Echel_vg,AH208)</f>
        <v>0</v>
      </c>
      <c r="AH208" s="176">
        <f t="shared" si="94"/>
        <v>6</v>
      </c>
      <c r="AI208" s="225">
        <f t="shared" si="95"/>
        <v>0.39494585175867503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44756</v>
      </c>
      <c r="B209" s="1140">
        <v>51.951999999999998</v>
      </c>
      <c r="C209" s="841"/>
      <c r="D209" s="393">
        <f t="shared" si="77"/>
        <v>53.683662374420308</v>
      </c>
      <c r="E209" s="385">
        <f t="shared" si="75"/>
        <v>56.018887456486368</v>
      </c>
      <c r="F209" s="385">
        <f t="shared" si="78"/>
        <v>56.026562647542619</v>
      </c>
      <c r="G209" s="110">
        <f t="shared" si="76"/>
        <v>0.91970378686250354</v>
      </c>
      <c r="H209" s="414" t="b">
        <f>Wh_hp&gt;='2021'!Maxi_hp</f>
        <v>0</v>
      </c>
      <c r="I209" s="380">
        <f>IF(H209,Wh_hp,'2021'!Maxi_hp)</f>
        <v>61.910407700916835</v>
      </c>
      <c r="J209" s="85">
        <f>IF(H209,An,'2021'!An_max)</f>
        <v>2019</v>
      </c>
      <c r="K209" s="197">
        <f t="shared" si="79"/>
        <v>44756</v>
      </c>
      <c r="L209" s="147">
        <f>IF(t&lt;Tvie,1-EXP((T0-t)*PertePVj)+'2021'!Pspv,1-EXP((T0-t)*PertePVj)+Pspv)</f>
        <v>3.2256785357577034E-2</v>
      </c>
      <c r="M209" s="845"/>
      <c r="N209" s="845"/>
      <c r="O209" s="48">
        <f>IF(t&lt;Tnet,'2021'!Resal+('2021'!Salim-'2021'!Resal)*(1-EXP(('2021'!Tnet-t)/('2021'!Tau_j))),Resal+(Salim-Resal)*(1-EXP((Tnet-t)/(Tau_j))))*Salcycl</f>
        <v>4.1686388075450179E-2</v>
      </c>
      <c r="P209" s="339">
        <f>(INDEX(Models!$BJ209:$BT209,,T209)*(1-R209)+INDEX(Models!$BJ209:$BT209,,T209+1)*R209-ERP_i)*Q209*Ramure*Pc/MaxiM</f>
        <v>1.5473824501195207E-4</v>
      </c>
      <c r="Q209" s="305">
        <f t="shared" si="80"/>
        <v>0.5</v>
      </c>
      <c r="R209" s="177">
        <f t="shared" si="81"/>
        <v>0.39825813755680795</v>
      </c>
      <c r="S209" s="811">
        <f t="shared" si="82"/>
        <v>0</v>
      </c>
      <c r="T209" s="176">
        <f t="shared" si="83"/>
        <v>6</v>
      </c>
      <c r="U209" s="251">
        <f t="shared" si="84"/>
        <v>0.39825813755680795</v>
      </c>
      <c r="V209" s="383">
        <f t="shared" si="85"/>
        <v>56.486750041729373</v>
      </c>
      <c r="W209" s="402">
        <f t="shared" si="86"/>
        <v>0</v>
      </c>
      <c r="X209" s="157">
        <f t="shared" si="87"/>
        <v>44756</v>
      </c>
      <c r="Y209" s="385">
        <f t="shared" si="88"/>
        <v>50.009177230881953</v>
      </c>
      <c r="Z209" s="385">
        <f t="shared" si="89"/>
        <v>51.676081499946378</v>
      </c>
      <c r="AA209" s="386">
        <f t="shared" si="90"/>
        <v>56.018887456486368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7.7523959395183292E-2</v>
      </c>
      <c r="AD209" s="231">
        <f>(INDEX(Models!$BJ209:$BT209,,AH209)*(1-AF209)+INDEX(Models!$BJ209:$BT209,,AH209+1)*AF209-ERP_i)*AE209*Ramure*Pc/MaxiM</f>
        <v>1.5473824501195207E-4</v>
      </c>
      <c r="AE209" s="305">
        <f t="shared" si="92"/>
        <v>0.5</v>
      </c>
      <c r="AF209" s="177">
        <f t="shared" si="93"/>
        <v>0.39825813755680795</v>
      </c>
      <c r="AG209" s="811">
        <f t="shared" si="99"/>
        <v>0</v>
      </c>
      <c r="AH209" s="176">
        <f t="shared" si="94"/>
        <v>6</v>
      </c>
      <c r="AI209" s="225">
        <f t="shared" si="95"/>
        <v>0.39825813755680795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44757</v>
      </c>
      <c r="B210" s="1140">
        <v>50.213999999999999</v>
      </c>
      <c r="C210" s="841"/>
      <c r="D210" s="393">
        <f t="shared" si="77"/>
        <v>51.888867914320031</v>
      </c>
      <c r="E210" s="385">
        <f t="shared" si="75"/>
        <v>54.150558032887382</v>
      </c>
      <c r="F210" s="385">
        <f t="shared" si="78"/>
        <v>54.158245675194586</v>
      </c>
      <c r="G210" s="110">
        <f t="shared" si="76"/>
        <v>0.8907505479689819</v>
      </c>
      <c r="H210" s="414" t="b">
        <f>Wh_hp&gt;='2021'!Maxi_hp</f>
        <v>0</v>
      </c>
      <c r="I210" s="380">
        <f>IF(H210,Wh_hp,'2021'!Maxi_hp)</f>
        <v>63.341573131215071</v>
      </c>
      <c r="J210" s="85">
        <f>IF(H210,An,'2021'!An_max)</f>
        <v>2019</v>
      </c>
      <c r="K210" s="197">
        <f t="shared" si="79"/>
        <v>44757</v>
      </c>
      <c r="L210" s="147">
        <f>IF(t&lt;Tvie,1-EXP((T0-t)*PertePVj)+'2021'!Pspv,1-EXP((T0-t)*PertePVj)+Pspv)</f>
        <v>3.2277981417625168E-2</v>
      </c>
      <c r="M210" s="845"/>
      <c r="N210" s="845"/>
      <c r="O210" s="48">
        <f>IF(t&lt;Tnet,'2021'!Resal+('2021'!Salim-'2021'!Resal)*(1-EXP(('2021'!Tnet-t)/('2021'!Tau_j))),Resal+(Salim-Resal)*(1-EXP((Tnet-t)/(Tau_j))))*Salcycl</f>
        <v>4.1766700117730253E-2</v>
      </c>
      <c r="P210" s="339">
        <f>(INDEX(Models!$BJ210:$BT210,,T210)*(1-R210)+INDEX(Models!$BJ210:$BT210,,T210+1)*R210-ERP_i)*Q210*Ramure*Pc/MaxiM</f>
        <v>1.6819198598215515E-4</v>
      </c>
      <c r="Q210" s="305">
        <f t="shared" si="80"/>
        <v>0.5</v>
      </c>
      <c r="R210" s="177">
        <f t="shared" si="81"/>
        <v>0.40148929196196032</v>
      </c>
      <c r="S210" s="811">
        <f t="shared" si="82"/>
        <v>0</v>
      </c>
      <c r="T210" s="176">
        <f t="shared" si="83"/>
        <v>6</v>
      </c>
      <c r="U210" s="251">
        <f t="shared" si="84"/>
        <v>0.40148929196196032</v>
      </c>
      <c r="V210" s="383">
        <f t="shared" si="85"/>
        <v>56.371205272272007</v>
      </c>
      <c r="W210" s="402">
        <f t="shared" si="86"/>
        <v>0</v>
      </c>
      <c r="X210" s="157">
        <f t="shared" si="87"/>
        <v>44757</v>
      </c>
      <c r="Y210" s="385">
        <f t="shared" si="88"/>
        <v>48.337576066866241</v>
      </c>
      <c r="Z210" s="385">
        <f t="shared" si="89"/>
        <v>49.9498566103481</v>
      </c>
      <c r="AA210" s="386">
        <f t="shared" si="90"/>
        <v>54.150558032887382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7.75744807650562E-2</v>
      </c>
      <c r="AD210" s="231">
        <f>(INDEX(Models!$BJ210:$BT210,,AH210)*(1-AF210)+INDEX(Models!$BJ210:$BT210,,AH210+1)*AF210-ERP_i)*AE210*Ramure*Pc/MaxiM</f>
        <v>1.6819198598215515E-4</v>
      </c>
      <c r="AE210" s="305">
        <f t="shared" si="92"/>
        <v>0.5</v>
      </c>
      <c r="AF210" s="177">
        <f t="shared" si="93"/>
        <v>0.40148929196196032</v>
      </c>
      <c r="AG210" s="811">
        <f t="shared" si="99"/>
        <v>0</v>
      </c>
      <c r="AH210" s="176">
        <f t="shared" si="94"/>
        <v>6</v>
      </c>
      <c r="AI210" s="225">
        <f t="shared" si="95"/>
        <v>0.40148929196196032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44758</v>
      </c>
      <c r="B211" s="1140">
        <v>51.599000000000004</v>
      </c>
      <c r="C211" s="841"/>
      <c r="D211" s="393">
        <f t="shared" si="77"/>
        <v>53.321231907969405</v>
      </c>
      <c r="E211" s="385">
        <f t="shared" si="75"/>
        <v>55.64999424430988</v>
      </c>
      <c r="F211" s="385">
        <f t="shared" si="78"/>
        <v>55.658960104039714</v>
      </c>
      <c r="G211" s="110">
        <f t="shared" si="76"/>
        <v>0.9172316851128367</v>
      </c>
      <c r="H211" s="414" t="b">
        <f>Wh_hp&gt;='2021'!Maxi_hp</f>
        <v>0</v>
      </c>
      <c r="I211" s="380">
        <f>IF(H211,Wh_hp,'2021'!Maxi_hp)</f>
        <v>61.340662594559738</v>
      </c>
      <c r="J211" s="85">
        <f>IF(H211,An,'2021'!An_max)</f>
        <v>2019</v>
      </c>
      <c r="K211" s="197">
        <f t="shared" si="79"/>
        <v>44758</v>
      </c>
      <c r="L211" s="147">
        <f>IF(t&lt;Tvie,1-EXP((T0-t)*PertePVj)+'2021'!Pspv,1-EXP((T0-t)*PertePVj)+Pspv)</f>
        <v>3.2299177013425218E-2</v>
      </c>
      <c r="M211" s="845"/>
      <c r="N211" s="845"/>
      <c r="O211" s="48">
        <f>IF(t&lt;Tnet,'2021'!Resal+('2021'!Salim-'2021'!Resal)*(1-EXP(('2021'!Tnet-t)/('2021'!Tau_j))),Resal+(Salim-Resal)*(1-EXP((Tnet-t)/(Tau_j))))*Salcycl</f>
        <v>4.184658719131102E-2</v>
      </c>
      <c r="P211" s="339">
        <f>(INDEX(Models!$BJ211:$BT211,,T211)*(1-R211)+INDEX(Models!$BJ211:$BT211,,T211+1)*R211-ERP_i)*Q211*Ramure*Pc/MaxiM</f>
        <v>1.82680730933205E-4</v>
      </c>
      <c r="Q211" s="305">
        <f t="shared" si="80"/>
        <v>0.5</v>
      </c>
      <c r="R211" s="177">
        <f t="shared" si="81"/>
        <v>0.40463963132330172</v>
      </c>
      <c r="S211" s="811">
        <f t="shared" si="82"/>
        <v>0</v>
      </c>
      <c r="T211" s="176">
        <f t="shared" si="83"/>
        <v>6</v>
      </c>
      <c r="U211" s="251">
        <f t="shared" si="84"/>
        <v>0.40463963132330172</v>
      </c>
      <c r="V211" s="383">
        <f t="shared" si="85"/>
        <v>56.253928394888675</v>
      </c>
      <c r="W211" s="402">
        <f t="shared" si="86"/>
        <v>0</v>
      </c>
      <c r="X211" s="157">
        <f t="shared" si="87"/>
        <v>44758</v>
      </c>
      <c r="Y211" s="385">
        <f t="shared" si="88"/>
        <v>49.672279767910496</v>
      </c>
      <c r="Z211" s="385">
        <f t="shared" si="89"/>
        <v>51.33020308343751</v>
      </c>
      <c r="AA211" s="386">
        <f t="shared" si="90"/>
        <v>55.64999424430988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7.7624287648763904E-2</v>
      </c>
      <c r="AD211" s="231">
        <f>(INDEX(Models!$BJ211:$BT211,,AH211)*(1-AF211)+INDEX(Models!$BJ211:$BT211,,AH211+1)*AF211-ERP_i)*AE211*Ramure*Pc/MaxiM</f>
        <v>1.82680730933205E-4</v>
      </c>
      <c r="AE211" s="305">
        <f t="shared" si="92"/>
        <v>0.5</v>
      </c>
      <c r="AF211" s="177">
        <f t="shared" si="93"/>
        <v>0.40463963132330172</v>
      </c>
      <c r="AG211" s="811">
        <f t="shared" si="99"/>
        <v>0</v>
      </c>
      <c r="AH211" s="176">
        <f t="shared" si="94"/>
        <v>6</v>
      </c>
      <c r="AI211" s="225">
        <f t="shared" si="95"/>
        <v>0.40463963132330172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44759</v>
      </c>
      <c r="B212" s="1140">
        <v>51.189</v>
      </c>
      <c r="C212" s="841"/>
      <c r="D212" s="393">
        <f t="shared" si="77"/>
        <v>52.898705859362828</v>
      </c>
      <c r="E212" s="385">
        <f t="shared" si="75"/>
        <v>55.213594799122575</v>
      </c>
      <c r="F212" s="385">
        <f t="shared" si="78"/>
        <v>55.223091428059746</v>
      </c>
      <c r="G212" s="110">
        <f t="shared" si="76"/>
        <v>0.91186674564747516</v>
      </c>
      <c r="H212" s="414" t="b">
        <f>Wh_hp&gt;='2021'!Maxi_hp</f>
        <v>0</v>
      </c>
      <c r="I212" s="380">
        <f>IF(H212,Wh_hp,'2021'!Maxi_hp)</f>
        <v>60.188178256844751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3.2320372144987286E-2</v>
      </c>
      <c r="M212" s="845"/>
      <c r="N212" s="845"/>
      <c r="O212" s="48">
        <f>IF(t&lt;Tnet,'2021'!Resal+('2021'!Salim-'2021'!Resal)*(1-EXP(('2021'!Tnet-t)/('2021'!Tau_j))),Resal+(Salim-Resal)*(1-EXP((Tnet-t)/(Tau_j))))*Salcycl</f>
        <v>4.1926068175451039E-2</v>
      </c>
      <c r="P212" s="339">
        <f>(INDEX(Models!$BJ212:$BT212,,T212)*(1-R212)+INDEX(Models!$BJ212:$BT212,,T212+1)*R212-ERP_i)*Q212*Ramure*Pc/MaxiM</f>
        <v>1.9673150457517641E-4</v>
      </c>
      <c r="Q212" s="305">
        <f t="shared" si="80"/>
        <v>0.5</v>
      </c>
      <c r="R212" s="177">
        <f t="shared" si="81"/>
        <v>0.40770958938987806</v>
      </c>
      <c r="S212" s="811">
        <f t="shared" si="82"/>
        <v>0</v>
      </c>
      <c r="T212" s="176">
        <f t="shared" si="83"/>
        <v>6</v>
      </c>
      <c r="U212" s="251">
        <f t="shared" si="84"/>
        <v>0.40770958938987806</v>
      </c>
      <c r="V212" s="383">
        <f t="shared" si="85"/>
        <v>56.135101350982801</v>
      </c>
      <c r="W212" s="402">
        <f t="shared" si="86"/>
        <v>0</v>
      </c>
      <c r="X212" s="157">
        <f t="shared" si="87"/>
        <v>44759</v>
      </c>
      <c r="Y212" s="385">
        <f t="shared" si="88"/>
        <v>49.279052337127418</v>
      </c>
      <c r="Z212" s="385">
        <f t="shared" si="89"/>
        <v>50.924966196054804</v>
      </c>
      <c r="AA212" s="386">
        <f t="shared" si="90"/>
        <v>55.213594799122575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7.7673417546359882E-2</v>
      </c>
      <c r="AD212" s="231">
        <f>(INDEX(Models!$BJ212:$BT212,,AH212)*(1-AF212)+INDEX(Models!$BJ212:$BT212,,AH212+1)*AF212-ERP_i)*AE212*Ramure*Pc/MaxiM</f>
        <v>1.9673150457517641E-4</v>
      </c>
      <c r="AE212" s="305">
        <f t="shared" si="92"/>
        <v>0.5</v>
      </c>
      <c r="AF212" s="177">
        <f t="shared" si="93"/>
        <v>0.40770958938987806</v>
      </c>
      <c r="AG212" s="811">
        <f t="shared" si="99"/>
        <v>0</v>
      </c>
      <c r="AH212" s="176">
        <f t="shared" si="94"/>
        <v>6</v>
      </c>
      <c r="AI212" s="225">
        <f t="shared" si="95"/>
        <v>0.40770958938987806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44760</v>
      </c>
      <c r="B213" s="1140">
        <v>53.048999999999999</v>
      </c>
      <c r="C213" s="841"/>
      <c r="D213" s="393">
        <f t="shared" si="77"/>
        <v>54.822030357597363</v>
      </c>
      <c r="E213" s="385">
        <f t="shared" si="75"/>
        <v>57.225809748233338</v>
      </c>
      <c r="F213" s="385">
        <f t="shared" si="78"/>
        <v>57.23689776410086</v>
      </c>
      <c r="G213" s="110">
        <f t="shared" si="76"/>
        <v>0.94703714695966679</v>
      </c>
      <c r="H213" s="414" t="b">
        <f>Wh_hp&gt;='2021'!Maxi_hp</f>
        <v>1</v>
      </c>
      <c r="I213" s="380">
        <f>IF(H213,Wh_hp,'2021'!Maxi_hp)</f>
        <v>57.23689776410086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3.2341566812321698E-2</v>
      </c>
      <c r="M213" s="845"/>
      <c r="N213" s="845"/>
      <c r="O213" s="48">
        <f>IF(t&lt;Tnet,'2021'!Resal+('2021'!Salim-'2021'!Resal)*(1-EXP(('2021'!Tnet-t)/('2021'!Tau_j))),Resal+(Salim-Resal)*(1-EXP((Tnet-t)/(Tau_j))))*Salcycl</f>
        <v>4.2005161678121739E-2</v>
      </c>
      <c r="P213" s="339">
        <f>(INDEX(Models!$BJ213:$BT213,,T213)*(1-R213)+INDEX(Models!$BJ213:$BT213,,T213+1)*R213-ERP_i)*Q213*Ramure*Pc/MaxiM</f>
        <v>2.0957356383384762E-4</v>
      </c>
      <c r="Q213" s="305">
        <f t="shared" si="80"/>
        <v>0.5</v>
      </c>
      <c r="R213" s="177">
        <f t="shared" si="81"/>
        <v>0.41069971030616848</v>
      </c>
      <c r="S213" s="811">
        <f t="shared" si="82"/>
        <v>0</v>
      </c>
      <c r="T213" s="176">
        <f t="shared" si="83"/>
        <v>6</v>
      </c>
      <c r="U213" s="251">
        <f t="shared" si="84"/>
        <v>0.41069971030616848</v>
      </c>
      <c r="V213" s="383">
        <f t="shared" si="85"/>
        <v>56.014866016122951</v>
      </c>
      <c r="W213" s="402">
        <f t="shared" si="86"/>
        <v>0</v>
      </c>
      <c r="X213" s="157">
        <f t="shared" si="87"/>
        <v>44760</v>
      </c>
      <c r="Y213" s="385">
        <f t="shared" si="88"/>
        <v>51.071183877826854</v>
      </c>
      <c r="Z213" s="385">
        <f t="shared" si="89"/>
        <v>52.778110670298418</v>
      </c>
      <c r="AA213" s="386">
        <f t="shared" si="90"/>
        <v>57.225809748233338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7.7721907256580625E-2</v>
      </c>
      <c r="AD213" s="231">
        <f>(INDEX(Models!$BJ213:$BT213,,AH213)*(1-AF213)+INDEX(Models!$BJ213:$BT213,,AH213+1)*AF213-ERP_i)*AE213*Ramure*Pc/MaxiM</f>
        <v>2.0957356383384762E-4</v>
      </c>
      <c r="AE213" s="305">
        <f t="shared" si="92"/>
        <v>0.5</v>
      </c>
      <c r="AF213" s="177">
        <f t="shared" si="93"/>
        <v>0.41069971030616848</v>
      </c>
      <c r="AG213" s="811">
        <f t="shared" si="99"/>
        <v>0</v>
      </c>
      <c r="AH213" s="176">
        <f t="shared" si="94"/>
        <v>6</v>
      </c>
      <c r="AI213" s="225">
        <f t="shared" si="95"/>
        <v>0.41069971030616848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44761</v>
      </c>
      <c r="B214" s="1140">
        <v>42.558999999999997</v>
      </c>
      <c r="C214" s="841"/>
      <c r="D214" s="393">
        <f t="shared" si="77"/>
        <v>43.982391629182651</v>
      </c>
      <c r="E214" s="385">
        <f t="shared" si="75"/>
        <v>45.914658896982132</v>
      </c>
      <c r="F214" s="385">
        <f t="shared" si="78"/>
        <v>45.921354478164567</v>
      </c>
      <c r="G214" s="110">
        <f t="shared" si="76"/>
        <v>0.76137523991933742</v>
      </c>
      <c r="H214" s="414" t="b">
        <f>Wh_hp&gt;='2021'!Maxi_hp</f>
        <v>0</v>
      </c>
      <c r="I214" s="380">
        <f>IF(H214,Wh_hp,'2021'!Maxi_hp)</f>
        <v>60.582660665176114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3.2362761015438335E-2</v>
      </c>
      <c r="M214" s="845"/>
      <c r="N214" s="845"/>
      <c r="O214" s="48">
        <f>IF(t&lt;Tnet,'2021'!Resal+('2021'!Salim-'2021'!Resal)*(1-EXP(('2021'!Tnet-t)/('2021'!Tau_j))),Resal+(Salim-Resal)*(1-EXP((Tnet-t)/(Tau_j))))*Salcycl</f>
        <v>4.2083885935750437E-2</v>
      </c>
      <c r="P214" s="339">
        <f>(INDEX(Models!$BJ214:$BT214,,T214)*(1-R214)+INDEX(Models!$BJ214:$BT214,,T214+1)*R214-ERP_i)*Q214*Ramure*Pc/MaxiM</f>
        <v>2.2118889136806696E-4</v>
      </c>
      <c r="Q214" s="305">
        <f t="shared" si="80"/>
        <v>0.5</v>
      </c>
      <c r="R214" s="177">
        <f t="shared" si="81"/>
        <v>0.41361064157173222</v>
      </c>
      <c r="S214" s="811">
        <f t="shared" si="82"/>
        <v>0</v>
      </c>
      <c r="T214" s="176">
        <f t="shared" si="83"/>
        <v>6</v>
      </c>
      <c r="U214" s="251">
        <f t="shared" si="84"/>
        <v>0.41361064157173222</v>
      </c>
      <c r="V214" s="383">
        <f t="shared" si="85"/>
        <v>55.89332178755371</v>
      </c>
      <c r="W214" s="402">
        <f t="shared" si="86"/>
        <v>0</v>
      </c>
      <c r="X214" s="157">
        <f t="shared" si="87"/>
        <v>44761</v>
      </c>
      <c r="Y214" s="385">
        <f t="shared" si="88"/>
        <v>40.973520349378127</v>
      </c>
      <c r="Z214" s="385">
        <f t="shared" si="89"/>
        <v>42.343885392810769</v>
      </c>
      <c r="AA214" s="386">
        <f t="shared" si="90"/>
        <v>45.914658896982132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7.7769792696991233E-2</v>
      </c>
      <c r="AD214" s="231">
        <f>(INDEX(Models!$BJ214:$BT214,,AH214)*(1-AF214)+INDEX(Models!$BJ214:$BT214,,AH214+1)*AF214-ERP_i)*AE214*Ramure*Pc/MaxiM</f>
        <v>2.2118889136806696E-4</v>
      </c>
      <c r="AE214" s="305">
        <f t="shared" si="92"/>
        <v>0.5</v>
      </c>
      <c r="AF214" s="177">
        <f t="shared" si="93"/>
        <v>0.41361064157173222</v>
      </c>
      <c r="AG214" s="811">
        <f t="shared" si="99"/>
        <v>0</v>
      </c>
      <c r="AH214" s="176">
        <f t="shared" si="94"/>
        <v>6</v>
      </c>
      <c r="AI214" s="225">
        <f t="shared" si="95"/>
        <v>0.41361064157173222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44762</v>
      </c>
      <c r="B215" s="1140">
        <v>42.986000000000004</v>
      </c>
      <c r="C215" s="841"/>
      <c r="D215" s="393">
        <f t="shared" si="77"/>
        <v>44.424645716873151</v>
      </c>
      <c r="E215" s="385">
        <f t="shared" si="75"/>
        <v>46.380137054804308</v>
      </c>
      <c r="F215" s="385">
        <f t="shared" si="78"/>
        <v>46.387360916895837</v>
      </c>
      <c r="G215" s="110">
        <f t="shared" si="76"/>
        <v>0.77070651001824053</v>
      </c>
      <c r="H215" s="414" t="b">
        <f>Wh_hp&gt;='2021'!Maxi_hp</f>
        <v>0</v>
      </c>
      <c r="I215" s="380">
        <f>IF(H215,Wh_hp,'2021'!Maxi_hp)</f>
        <v>59.347072848746947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3.2383954754347632E-2</v>
      </c>
      <c r="M215" s="845"/>
      <c r="N215" s="845"/>
      <c r="O215" s="48">
        <f>IF(t&lt;Tnet,'2021'!Resal+('2021'!Salim-'2021'!Resal)*(1-EXP(('2021'!Tnet-t)/('2021'!Tau_j))),Resal+(Salim-Resal)*(1-EXP((Tnet-t)/(Tau_j))))*Salcycl</f>
        <v>4.2162258719082274E-2</v>
      </c>
      <c r="P215" s="339">
        <f>(INDEX(Models!$BJ215:$BT215,,T215)*(1-R215)+INDEX(Models!$BJ215:$BT215,,T215+1)*R215-ERP_i)*Q215*Ramure*Pc/MaxiM</f>
        <v>2.3156007673861388E-4</v>
      </c>
      <c r="Q215" s="305">
        <f t="shared" si="80"/>
        <v>0.5</v>
      </c>
      <c r="R215" s="177">
        <f t="shared" si="81"/>
        <v>0.41644312700716735</v>
      </c>
      <c r="S215" s="811">
        <f t="shared" si="82"/>
        <v>0</v>
      </c>
      <c r="T215" s="176">
        <f t="shared" si="83"/>
        <v>6</v>
      </c>
      <c r="U215" s="251">
        <f t="shared" si="84"/>
        <v>0.41644312700716735</v>
      </c>
      <c r="V215" s="383">
        <f t="shared" si="85"/>
        <v>55.770567996146127</v>
      </c>
      <c r="W215" s="402">
        <f t="shared" si="86"/>
        <v>0</v>
      </c>
      <c r="X215" s="157">
        <f t="shared" si="87"/>
        <v>44762</v>
      </c>
      <c r="Y215" s="385">
        <f t="shared" si="88"/>
        <v>41.385875765169274</v>
      </c>
      <c r="Z215" s="385">
        <f t="shared" si="89"/>
        <v>42.770968886385596</v>
      </c>
      <c r="AA215" s="386">
        <f t="shared" si="90"/>
        <v>46.380137054804308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7.7817108736742233E-2</v>
      </c>
      <c r="AD215" s="231">
        <f>(INDEX(Models!$BJ215:$BT215,,AH215)*(1-AF215)+INDEX(Models!$BJ215:$BT215,,AH215+1)*AF215-ERP_i)*AE215*Ramure*Pc/MaxiM</f>
        <v>2.3156007673861388E-4</v>
      </c>
      <c r="AE215" s="305">
        <f t="shared" si="92"/>
        <v>0.5</v>
      </c>
      <c r="AF215" s="177">
        <f t="shared" si="93"/>
        <v>0.41644312700716735</v>
      </c>
      <c r="AG215" s="811">
        <f t="shared" si="99"/>
        <v>0</v>
      </c>
      <c r="AH215" s="176">
        <f t="shared" si="94"/>
        <v>6</v>
      </c>
      <c r="AI215" s="225">
        <f t="shared" si="95"/>
        <v>0.41644312700716735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44763</v>
      </c>
      <c r="B216" s="1140">
        <v>50.554000000000002</v>
      </c>
      <c r="C216" s="841"/>
      <c r="D216" s="393">
        <f t="shared" si="77"/>
        <v>52.247074172649988</v>
      </c>
      <c r="E216" s="385">
        <f t="shared" si="75"/>
        <v>54.551338944831372</v>
      </c>
      <c r="F216" s="385">
        <f t="shared" si="78"/>
        <v>54.562753738097314</v>
      </c>
      <c r="G216" s="110">
        <f t="shared" si="76"/>
        <v>0.90845288953217718</v>
      </c>
      <c r="H216" s="414" t="b">
        <f>Wh_hp&gt;='2021'!Maxi_hp</f>
        <v>1</v>
      </c>
      <c r="I216" s="380">
        <f>IF(H216,Wh_hp,'2021'!Maxi_hp)</f>
        <v>54.562753738097314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3.2405148029059694E-2</v>
      </c>
      <c r="M216" s="845"/>
      <c r="N216" s="845"/>
      <c r="O216" s="48">
        <f>IF(t&lt;Tnet,'2021'!Resal+('2021'!Salim-'2021'!Resal)*(1-EXP(('2021'!Tnet-t)/('2021'!Tau_j))),Resal+(Salim-Resal)*(1-EXP((Tnet-t)/(Tau_j))))*Salcycl</f>
        <v>4.2240297245714216E-2</v>
      </c>
      <c r="P216" s="339">
        <f>(INDEX(Models!$BJ216:$BT216,,T216)*(1-R216)+INDEX(Models!$BJ216:$BT216,,T216+1)*R216-ERP_i)*Q216*Ramure*Pc/MaxiM</f>
        <v>2.4067026955791975E-4</v>
      </c>
      <c r="Q216" s="305">
        <f t="shared" si="80"/>
        <v>0.5</v>
      </c>
      <c r="R216" s="177">
        <f t="shared" si="81"/>
        <v>0.41919799976522731</v>
      </c>
      <c r="S216" s="811">
        <f t="shared" si="82"/>
        <v>0</v>
      </c>
      <c r="T216" s="176">
        <f t="shared" si="83"/>
        <v>6</v>
      </c>
      <c r="U216" s="251">
        <f t="shared" si="84"/>
        <v>0.41919799976522731</v>
      </c>
      <c r="V216" s="383">
        <f t="shared" si="85"/>
        <v>55.646703915349995</v>
      </c>
      <c r="W216" s="402">
        <f t="shared" si="86"/>
        <v>0</v>
      </c>
      <c r="X216" s="157">
        <f t="shared" si="87"/>
        <v>44763</v>
      </c>
      <c r="Y216" s="385">
        <f t="shared" si="88"/>
        <v>48.673658767713036</v>
      </c>
      <c r="Z216" s="385">
        <f t="shared" si="89"/>
        <v>50.303759542092777</v>
      </c>
      <c r="AA216" s="386">
        <f t="shared" si="90"/>
        <v>54.551338944831372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7.7863889042837892E-2</v>
      </c>
      <c r="AD216" s="231">
        <f>(INDEX(Models!$BJ216:$BT216,,AH216)*(1-AF216)+INDEX(Models!$BJ216:$BT216,,AH216+1)*AF216-ERP_i)*AE216*Ramure*Pc/MaxiM</f>
        <v>2.4067026955791975E-4</v>
      </c>
      <c r="AE216" s="305">
        <f t="shared" si="92"/>
        <v>0.5</v>
      </c>
      <c r="AF216" s="177">
        <f t="shared" si="93"/>
        <v>0.41919799976522731</v>
      </c>
      <c r="AG216" s="811">
        <f t="shared" si="99"/>
        <v>0</v>
      </c>
      <c r="AH216" s="176">
        <f t="shared" si="94"/>
        <v>6</v>
      </c>
      <c r="AI216" s="225">
        <f t="shared" si="95"/>
        <v>0.41919799976522731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44764</v>
      </c>
      <c r="B217" s="1140">
        <v>40.298999999999999</v>
      </c>
      <c r="C217" s="841"/>
      <c r="D217" s="393">
        <f t="shared" si="77"/>
        <v>41.649542252905384</v>
      </c>
      <c r="E217" s="385">
        <f t="shared" si="75"/>
        <v>43.489950777047099</v>
      </c>
      <c r="F217" s="385">
        <f t="shared" si="78"/>
        <v>43.496526100819295</v>
      </c>
      <c r="G217" s="110">
        <f t="shared" si="76"/>
        <v>0.72575197591118001</v>
      </c>
      <c r="H217" s="414" t="b">
        <f>Wh_hp&gt;='2021'!Maxi_hp</f>
        <v>0</v>
      </c>
      <c r="I217" s="380">
        <f>IF(H217,Wh_hp,'2021'!Maxi_hp)</f>
        <v>55.563972127949256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3.2426340839584511E-2</v>
      </c>
      <c r="M217" s="845"/>
      <c r="N217" s="845"/>
      <c r="O217" s="48">
        <f>IF(t&lt;Tnet,'2021'!Resal+('2021'!Salim-'2021'!Resal)*(1-EXP(('2021'!Tnet-t)/('2021'!Tau_j))),Resal+(Salim-Resal)*(1-EXP((Tnet-t)/(Tau_j))))*Salcycl</f>
        <v>4.2318018099782147E-2</v>
      </c>
      <c r="P217" s="339">
        <f>(INDEX(Models!$BJ217:$BT217,,T217)*(1-R217)+INDEX(Models!$BJ217:$BT217,,T217+1)*R217-ERP_i)*Q217*Ramure*Pc/MaxiM</f>
        <v>2.4850313255124316E-4</v>
      </c>
      <c r="Q217" s="305">
        <f t="shared" si="80"/>
        <v>0.5</v>
      </c>
      <c r="R217" s="177">
        <f t="shared" si="81"/>
        <v>0.42187617542250644</v>
      </c>
      <c r="S217" s="811">
        <f t="shared" si="82"/>
        <v>0</v>
      </c>
      <c r="T217" s="176">
        <f t="shared" si="83"/>
        <v>6</v>
      </c>
      <c r="U217" s="251">
        <f t="shared" si="84"/>
        <v>0.42187617542250644</v>
      </c>
      <c r="V217" s="383">
        <f t="shared" si="85"/>
        <v>55.521828770447961</v>
      </c>
      <c r="W217" s="402">
        <f t="shared" si="86"/>
        <v>0</v>
      </c>
      <c r="X217" s="157">
        <f t="shared" si="87"/>
        <v>44764</v>
      </c>
      <c r="Y217" s="385">
        <f t="shared" si="88"/>
        <v>38.801291999903583</v>
      </c>
      <c r="Z217" s="385">
        <f t="shared" si="89"/>
        <v>40.101641495255564</v>
      </c>
      <c r="AA217" s="386">
        <f t="shared" si="90"/>
        <v>43.489950777047099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7.7910165940675152E-2</v>
      </c>
      <c r="AD217" s="231">
        <f>(INDEX(Models!$BJ217:$BT217,,AH217)*(1-AF217)+INDEX(Models!$BJ217:$BT217,,AH217+1)*AF217-ERP_i)*AE217*Ramure*Pc/MaxiM</f>
        <v>2.4850313255124316E-4</v>
      </c>
      <c r="AE217" s="305">
        <f t="shared" si="92"/>
        <v>0.5</v>
      </c>
      <c r="AF217" s="177">
        <f t="shared" si="93"/>
        <v>0.42187617542250644</v>
      </c>
      <c r="AG217" s="811">
        <f t="shared" si="99"/>
        <v>0</v>
      </c>
      <c r="AH217" s="176">
        <f t="shared" si="94"/>
        <v>6</v>
      </c>
      <c r="AI217" s="225">
        <f t="shared" si="95"/>
        <v>0.42187617542250644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44765</v>
      </c>
      <c r="B218" s="1140">
        <v>45.035000000000004</v>
      </c>
      <c r="C218" s="841"/>
      <c r="D218" s="393">
        <f t="shared" si="77"/>
        <v>46.545279501265831</v>
      </c>
      <c r="E218" s="385">
        <f t="shared" si="75"/>
        <v>48.605950000056708</v>
      </c>
      <c r="F218" s="385">
        <f t="shared" si="78"/>
        <v>48.615035999518447</v>
      </c>
      <c r="G218" s="110">
        <f t="shared" si="76"/>
        <v>0.81290881180824259</v>
      </c>
      <c r="H218" s="414" t="b">
        <f>Wh_hp&gt;='2021'!Maxi_hp</f>
        <v>0</v>
      </c>
      <c r="I218" s="380">
        <f>IF(H218,Wh_hp,'2021'!Maxi_hp)</f>
        <v>57.937152506467669</v>
      </c>
      <c r="J218" s="85">
        <f>IF(H218,An,'2021'!An_max)</f>
        <v>2019</v>
      </c>
      <c r="K218" s="197">
        <f t="shared" si="79"/>
        <v>44765</v>
      </c>
      <c r="L218" s="147">
        <f>IF(t&lt;Tvie,1-EXP((T0-t)*PertePVj)+'2021'!Pspv,1-EXP((T0-t)*PertePVj)+Pspv)</f>
        <v>3.244753318593252E-2</v>
      </c>
      <c r="M218" s="845"/>
      <c r="N218" s="845"/>
      <c r="O218" s="48">
        <f>IF(t&lt;Tnet,'2021'!Resal+('2021'!Salim-'2021'!Resal)*(1-EXP(('2021'!Tnet-t)/('2021'!Tau_j))),Resal+(Salim-Resal)*(1-EXP((Tnet-t)/(Tau_j))))*Salcycl</f>
        <v>4.239543715920522E-2</v>
      </c>
      <c r="P218" s="339">
        <f>(INDEX(Models!$BJ218:$BT218,,T218)*(1-R218)+INDEX(Models!$BJ218:$BT218,,T218+1)*R218-ERP_i)*Q218*Ramure*Pc/MaxiM</f>
        <v>2.5504279526511453E-4</v>
      </c>
      <c r="Q218" s="305">
        <f t="shared" si="80"/>
        <v>0.5</v>
      </c>
      <c r="R218" s="177">
        <f t="shared" si="81"/>
        <v>0.42447864518363854</v>
      </c>
      <c r="S218" s="811">
        <f t="shared" si="82"/>
        <v>0</v>
      </c>
      <c r="T218" s="176">
        <f t="shared" si="83"/>
        <v>6</v>
      </c>
      <c r="U218" s="251">
        <f t="shared" si="84"/>
        <v>0.42447864518363854</v>
      </c>
      <c r="V218" s="383">
        <f t="shared" si="85"/>
        <v>55.396041747532756</v>
      </c>
      <c r="W218" s="402">
        <f t="shared" si="86"/>
        <v>0</v>
      </c>
      <c r="X218" s="157">
        <f t="shared" si="87"/>
        <v>44765</v>
      </c>
      <c r="Y218" s="385">
        <f t="shared" si="88"/>
        <v>43.362630556844493</v>
      </c>
      <c r="Z218" s="385">
        <f t="shared" si="89"/>
        <v>44.816826005961076</v>
      </c>
      <c r="AA218" s="386">
        <f t="shared" si="90"/>
        <v>48.605950000056708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7.7955970289464799E-2</v>
      </c>
      <c r="AD218" s="231">
        <f>(INDEX(Models!$BJ218:$BT218,,AH218)*(1-AF218)+INDEX(Models!$BJ218:$BT218,,AH218+1)*AF218-ERP_i)*AE218*Ramure*Pc/MaxiM</f>
        <v>2.5504279526511453E-4</v>
      </c>
      <c r="AE218" s="305">
        <f t="shared" si="92"/>
        <v>0.5</v>
      </c>
      <c r="AF218" s="177">
        <f t="shared" si="93"/>
        <v>0.42447864518363854</v>
      </c>
      <c r="AG218" s="811">
        <f t="shared" si="99"/>
        <v>0</v>
      </c>
      <c r="AH218" s="176">
        <f t="shared" si="94"/>
        <v>6</v>
      </c>
      <c r="AI218" s="225">
        <f t="shared" si="95"/>
        <v>0.42447864518363854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44766</v>
      </c>
      <c r="B219" s="1140">
        <v>50.509</v>
      </c>
      <c r="C219" s="841"/>
      <c r="D219" s="393">
        <f t="shared" si="77"/>
        <v>52.203997233635477</v>
      </c>
      <c r="E219" s="385">
        <f t="shared" si="75"/>
        <v>54.519584058344464</v>
      </c>
      <c r="F219" s="385">
        <f t="shared" si="78"/>
        <v>54.532031026659865</v>
      </c>
      <c r="G219" s="110">
        <f t="shared" si="76"/>
        <v>0.9138433014488001</v>
      </c>
      <c r="H219" s="414" t="b">
        <f>Wh_hp&gt;='2021'!Maxi_hp</f>
        <v>0</v>
      </c>
      <c r="I219" s="380">
        <f>IF(H219,Wh_hp,'2021'!Maxi_hp)</f>
        <v>57.924820130429069</v>
      </c>
      <c r="J219" s="85">
        <f>IF(H219,An,'2021'!An_max)</f>
        <v>2019</v>
      </c>
      <c r="K219" s="197">
        <f t="shared" si="79"/>
        <v>44766</v>
      </c>
      <c r="L219" s="147">
        <f>IF(t&lt;Tvie,1-EXP((T0-t)*PertePVj)+'2021'!Pspv,1-EXP((T0-t)*PertePVj)+Pspv)</f>
        <v>3.2468725068113713E-2</v>
      </c>
      <c r="M219" s="845"/>
      <c r="N219" s="845"/>
      <c r="O219" s="48">
        <f>IF(t&lt;Tnet,'2021'!Resal+('2021'!Salim-'2021'!Resal)*(1-EXP(('2021'!Tnet-t)/('2021'!Tau_j))),Resal+(Salim-Resal)*(1-EXP((Tnet-t)/(Tau_j))))*Salcycl</f>
        <v>4.2472569530811986E-2</v>
      </c>
      <c r="P219" s="339">
        <f>(INDEX(Models!$BJ219:$BT219,,T219)*(1-R219)+INDEX(Models!$BJ219:$BT219,,T219+1)*R219-ERP_i)*Q219*Ramure*Pc/MaxiM</f>
        <v>2.6027455948412771E-4</v>
      </c>
      <c r="Q219" s="305">
        <f t="shared" si="80"/>
        <v>0.5</v>
      </c>
      <c r="R219" s="177">
        <f t="shared" si="81"/>
        <v>0.42700646922651581</v>
      </c>
      <c r="S219" s="811">
        <f t="shared" si="82"/>
        <v>0</v>
      </c>
      <c r="T219" s="176">
        <f t="shared" si="83"/>
        <v>6</v>
      </c>
      <c r="U219" s="251">
        <f t="shared" si="84"/>
        <v>0.42700646922651581</v>
      </c>
      <c r="V219" s="383">
        <f t="shared" si="85"/>
        <v>55.269193363924948</v>
      </c>
      <c r="W219" s="402">
        <f t="shared" si="86"/>
        <v>0</v>
      </c>
      <c r="X219" s="157">
        <f t="shared" si="87"/>
        <v>44766</v>
      </c>
      <c r="Y219" s="385">
        <f t="shared" si="88"/>
        <v>48.634879035123298</v>
      </c>
      <c r="Z219" s="385">
        <f t="shared" si="89"/>
        <v>50.266983915891679</v>
      </c>
      <c r="AA219" s="386">
        <f t="shared" si="90"/>
        <v>54.519584058344464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7.8001331372995059E-2</v>
      </c>
      <c r="AD219" s="231">
        <f>(INDEX(Models!$BJ219:$BT219,,AH219)*(1-AF219)+INDEX(Models!$BJ219:$BT219,,AH219+1)*AF219-ERP_i)*AE219*Ramure*Pc/MaxiM</f>
        <v>2.6027455948412771E-4</v>
      </c>
      <c r="AE219" s="305">
        <f t="shared" si="92"/>
        <v>0.5</v>
      </c>
      <c r="AF219" s="177">
        <f t="shared" si="93"/>
        <v>0.42700646922651581</v>
      </c>
      <c r="AG219" s="811">
        <f t="shared" si="99"/>
        <v>0</v>
      </c>
      <c r="AH219" s="176">
        <f t="shared" si="94"/>
        <v>6</v>
      </c>
      <c r="AI219" s="225">
        <f t="shared" si="95"/>
        <v>0.42700646922651581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44767</v>
      </c>
      <c r="B220" s="1140">
        <v>25.812000000000001</v>
      </c>
      <c r="C220" s="841"/>
      <c r="D220" s="393">
        <f t="shared" si="77"/>
        <v>26.678791714763751</v>
      </c>
      <c r="E220" s="385">
        <f t="shared" si="75"/>
        <v>27.864406306273292</v>
      </c>
      <c r="F220" s="385">
        <f t="shared" si="78"/>
        <v>27.866169303574988</v>
      </c>
      <c r="G220" s="110">
        <f t="shared" si="76"/>
        <v>0.4680143957358085</v>
      </c>
      <c r="H220" s="414" t="b">
        <f>Wh_hp&gt;='2021'!Maxi_hp</f>
        <v>0</v>
      </c>
      <c r="I220" s="380">
        <f>IF(H220,Wh_hp,'2021'!Maxi_hp)</f>
        <v>58.619065963281635</v>
      </c>
      <c r="J220" s="85">
        <f>IF(H220,An,'2021'!An_max)</f>
        <v>2019</v>
      </c>
      <c r="K220" s="197">
        <f t="shared" si="79"/>
        <v>44767</v>
      </c>
      <c r="L220" s="147">
        <f>IF(t&lt;Tvie,1-EXP((T0-t)*PertePVj)+'2021'!Pspv,1-EXP((T0-t)*PertePVj)+Pspv)</f>
        <v>3.2489916486138193E-2</v>
      </c>
      <c r="M220" s="845"/>
      <c r="N220" s="845"/>
      <c r="O220" s="48">
        <f>IF(t&lt;Tnet,'2021'!Resal+('2021'!Salim-'2021'!Resal)*(1-EXP(('2021'!Tnet-t)/('2021'!Tau_j))),Resal+(Salim-Resal)*(1-EXP((Tnet-t)/(Tau_j))))*Salcycl</f>
        <v>4.2549429493590744E-2</v>
      </c>
      <c r="P220" s="339">
        <f>(INDEX(Models!$BJ220:$BT220,,T220)*(1-R220)+INDEX(Models!$BJ220:$BT220,,T220+1)*R220-ERP_i)*Q220*Ramure*Pc/MaxiM</f>
        <v>2.6344124098527628E-4</v>
      </c>
      <c r="Q220" s="305">
        <f t="shared" si="80"/>
        <v>0.5</v>
      </c>
      <c r="R220" s="177">
        <f t="shared" si="81"/>
        <v>0.42946077021365081</v>
      </c>
      <c r="S220" s="811">
        <f t="shared" si="82"/>
        <v>0</v>
      </c>
      <c r="T220" s="176">
        <f t="shared" si="83"/>
        <v>6</v>
      </c>
      <c r="U220" s="251">
        <f t="shared" si="84"/>
        <v>0.42946077021365081</v>
      </c>
      <c r="V220" s="383">
        <f t="shared" si="85"/>
        <v>55.141108905914912</v>
      </c>
      <c r="W220" s="402">
        <f t="shared" si="86"/>
        <v>0</v>
      </c>
      <c r="X220" s="157">
        <f t="shared" si="87"/>
        <v>44767</v>
      </c>
      <c r="Y220" s="385">
        <f t="shared" si="88"/>
        <v>24.855037154028299</v>
      </c>
      <c r="Z220" s="385">
        <f t="shared" si="89"/>
        <v>25.689693138657809</v>
      </c>
      <c r="AA220" s="386">
        <f t="shared" si="90"/>
        <v>27.864406306273292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7.8046276806044007E-2</v>
      </c>
      <c r="AD220" s="231">
        <f>(INDEX(Models!$BJ220:$BT220,,AH220)*(1-AF220)+INDEX(Models!$BJ220:$BT220,,AH220+1)*AF220-ERP_i)*AE220*Ramure*Pc/MaxiM</f>
        <v>2.6344124098527628E-4</v>
      </c>
      <c r="AE220" s="305">
        <f t="shared" si="92"/>
        <v>0.5</v>
      </c>
      <c r="AF220" s="177">
        <f t="shared" si="93"/>
        <v>0.42946077021365081</v>
      </c>
      <c r="AG220" s="811">
        <f t="shared" si="99"/>
        <v>0</v>
      </c>
      <c r="AH220" s="176">
        <f t="shared" si="94"/>
        <v>6</v>
      </c>
      <c r="AI220" s="225">
        <f t="shared" si="95"/>
        <v>0.42946077021365081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44768</v>
      </c>
      <c r="B221" s="1140">
        <v>54.258000000000003</v>
      </c>
      <c r="C221" s="841"/>
      <c r="D221" s="393">
        <f t="shared" si="77"/>
        <v>56.081263999251597</v>
      </c>
      <c r="E221" s="385">
        <f t="shared" si="75"/>
        <v>58.578221032711852</v>
      </c>
      <c r="F221" s="385">
        <f t="shared" si="78"/>
        <v>58.593405907385026</v>
      </c>
      <c r="G221" s="110">
        <f t="shared" si="76"/>
        <v>0.9862924020722218</v>
      </c>
      <c r="H221" s="414" t="b">
        <f>Wh_hp&gt;='2021'!Maxi_hp</f>
        <v>1</v>
      </c>
      <c r="I221" s="380">
        <f>IF(H221,Wh_hp,'2021'!Maxi_hp)</f>
        <v>58.593405907385026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3.2511107440016396E-2</v>
      </c>
      <c r="M221" s="845"/>
      <c r="N221" s="845"/>
      <c r="O221" s="48">
        <f>IF(t&lt;Tnet,'2021'!Resal+('2021'!Salim-'2021'!Resal)*(1-EXP(('2021'!Tnet-t)/('2021'!Tau_j))),Resal+(Salim-Resal)*(1-EXP((Tnet-t)/(Tau_j))))*Salcycl</f>
        <v>4.2626030450222709E-2</v>
      </c>
      <c r="P221" s="339">
        <f>(INDEX(Models!$BJ221:$BT221,,T221)*(1-R221)+INDEX(Models!$BJ221:$BT221,,T221+1)*R221-ERP_i)*Q221*Ramure*Pc/MaxiM</f>
        <v>2.6433099295374636E-4</v>
      </c>
      <c r="Q221" s="305">
        <f t="shared" si="80"/>
        <v>0.5</v>
      </c>
      <c r="R221" s="177">
        <f t="shared" si="81"/>
        <v>0.43184272699150972</v>
      </c>
      <c r="S221" s="811">
        <f t="shared" si="82"/>
        <v>0</v>
      </c>
      <c r="T221" s="176">
        <f t="shared" si="83"/>
        <v>6</v>
      </c>
      <c r="U221" s="251">
        <f t="shared" si="84"/>
        <v>0.43184272699150972</v>
      </c>
      <c r="V221" s="383">
        <f t="shared" si="85"/>
        <v>55.011798800564534</v>
      </c>
      <c r="W221" s="402">
        <f t="shared" si="86"/>
        <v>0</v>
      </c>
      <c r="X221" s="157">
        <f t="shared" si="87"/>
        <v>44768</v>
      </c>
      <c r="Y221" s="385">
        <f t="shared" si="88"/>
        <v>52.248075677358905</v>
      </c>
      <c r="Z221" s="385">
        <f t="shared" si="89"/>
        <v>54.003798988441162</v>
      </c>
      <c r="AA221" s="386">
        <f t="shared" si="90"/>
        <v>58.578221032711852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7.8090832456591541E-2</v>
      </c>
      <c r="AD221" s="231">
        <f>(INDEX(Models!$BJ221:$BT221,,AH221)*(1-AF221)+INDEX(Models!$BJ221:$BT221,,AH221+1)*AF221-ERP_i)*AE221*Ramure*Pc/MaxiM</f>
        <v>2.6433099295374636E-4</v>
      </c>
      <c r="AE221" s="305">
        <f t="shared" si="92"/>
        <v>0.5</v>
      </c>
      <c r="AF221" s="177">
        <f t="shared" si="93"/>
        <v>0.43184272699150972</v>
      </c>
      <c r="AG221" s="811">
        <f t="shared" si="99"/>
        <v>0</v>
      </c>
      <c r="AH221" s="176">
        <f t="shared" si="94"/>
        <v>6</v>
      </c>
      <c r="AI221" s="225">
        <f t="shared" si="95"/>
        <v>0.43184272699150972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44769</v>
      </c>
      <c r="B222" s="1140">
        <v>54.265999999999998</v>
      </c>
      <c r="C222" s="841"/>
      <c r="D222" s="393">
        <f t="shared" si="77"/>
        <v>56.09076135965941</v>
      </c>
      <c r="E222" s="385">
        <f t="shared" si="75"/>
        <v>58.592814266059584</v>
      </c>
      <c r="F222" s="385">
        <f t="shared" si="78"/>
        <v>58.607976859934475</v>
      </c>
      <c r="G222" s="110">
        <f t="shared" si="76"/>
        <v>0.98878503423191466</v>
      </c>
      <c r="H222" s="414" t="b">
        <f>Wh_hp&gt;='2021'!Maxi_hp</f>
        <v>1</v>
      </c>
      <c r="I222" s="380">
        <f>IF(H222,Wh_hp,'2021'!Maxi_hp)</f>
        <v>58.607976859934475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3.2532297929758203E-2</v>
      </c>
      <c r="M222" s="845"/>
      <c r="N222" s="845"/>
      <c r="O222" s="48">
        <f>IF(t&lt;Tnet,'2021'!Resal+('2021'!Salim-'2021'!Resal)*(1-EXP(('2021'!Tnet-t)/('2021'!Tau_j))),Resal+(Salim-Resal)*(1-EXP((Tnet-t)/(Tau_j))))*Salcycl</f>
        <v>4.2702384886972568E-2</v>
      </c>
      <c r="P222" s="339">
        <f>(INDEX(Models!$BJ222:$BT222,,T222)*(1-R222)+INDEX(Models!$BJ222:$BT222,,T222+1)*R222-ERP_i)*Q222*Ramure*Pc/MaxiM</f>
        <v>2.6292294286342971E-4</v>
      </c>
      <c r="Q222" s="305">
        <f t="shared" si="80"/>
        <v>0.5</v>
      </c>
      <c r="R222" s="177">
        <f t="shared" si="81"/>
        <v>0.43415356849647557</v>
      </c>
      <c r="S222" s="811">
        <f t="shared" si="82"/>
        <v>0</v>
      </c>
      <c r="T222" s="176">
        <f t="shared" si="83"/>
        <v>6</v>
      </c>
      <c r="U222" s="251">
        <f t="shared" si="84"/>
        <v>0.43415356849647557</v>
      </c>
      <c r="V222" s="383">
        <f t="shared" si="85"/>
        <v>54.881262921263094</v>
      </c>
      <c r="W222" s="402">
        <f t="shared" si="86"/>
        <v>0</v>
      </c>
      <c r="X222" s="157">
        <f t="shared" si="87"/>
        <v>44769</v>
      </c>
      <c r="Y222" s="385">
        <f t="shared" si="88"/>
        <v>52.25744228915967</v>
      </c>
      <c r="Z222" s="385">
        <f t="shared" si="89"/>
        <v>54.014663411849568</v>
      </c>
      <c r="AA222" s="386">
        <f t="shared" si="90"/>
        <v>58.592814266059584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7.8135022383827468E-2</v>
      </c>
      <c r="AD222" s="231">
        <f>(INDEX(Models!$BJ222:$BT222,,AH222)*(1-AF222)+INDEX(Models!$BJ222:$BT222,,AH222+1)*AF222-ERP_i)*AE222*Ramure*Pc/MaxiM</f>
        <v>2.6292294286342971E-4</v>
      </c>
      <c r="AE222" s="305">
        <f t="shared" si="92"/>
        <v>0.5</v>
      </c>
      <c r="AF222" s="177">
        <f t="shared" si="93"/>
        <v>0.43415356849647557</v>
      </c>
      <c r="AG222" s="811">
        <f t="shared" si="99"/>
        <v>0</v>
      </c>
      <c r="AH222" s="176">
        <f t="shared" si="94"/>
        <v>6</v>
      </c>
      <c r="AI222" s="225">
        <f t="shared" si="95"/>
        <v>0.43415356849647557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44770</v>
      </c>
      <c r="B223" s="1140">
        <v>43.548999999999999</v>
      </c>
      <c r="C223" s="841"/>
      <c r="D223" s="393">
        <f t="shared" si="77"/>
        <v>45.014374911500205</v>
      </c>
      <c r="E223" s="385">
        <f t="shared" si="75"/>
        <v>47.026080291430986</v>
      </c>
      <c r="F223" s="385">
        <f t="shared" si="78"/>
        <v>47.034708592641891</v>
      </c>
      <c r="G223" s="110">
        <f t="shared" si="76"/>
        <v>0.79536250727685587</v>
      </c>
      <c r="H223" s="414" t="b">
        <f>Wh_hp&gt;='2021'!Maxi_hp</f>
        <v>0</v>
      </c>
      <c r="I223" s="380">
        <f>IF(H223,Wh_hp,'2021'!Maxi_hp)</f>
        <v>56.44038029737262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3.2553487955373939E-2</v>
      </c>
      <c r="M223" s="845"/>
      <c r="N223" s="845"/>
      <c r="O223" s="48">
        <f>IF(t&lt;Tnet,'2021'!Resal+('2021'!Salim-'2021'!Resal)*(1-EXP(('2021'!Tnet-t)/('2021'!Tau_j))),Resal+(Salim-Resal)*(1-EXP((Tnet-t)/(Tau_j))))*Salcycl</f>
        <v>4.2778504341926815E-2</v>
      </c>
      <c r="P223" s="339">
        <f>(INDEX(Models!$BJ223:$BT223,,T223)*(1-R223)+INDEX(Models!$BJ223:$BT223,,T223+1)*R223-ERP_i)*Q223*Ramure*Pc/MaxiM</f>
        <v>2.5919636988131151E-4</v>
      </c>
      <c r="Q223" s="305">
        <f t="shared" si="80"/>
        <v>0.5</v>
      </c>
      <c r="R223" s="177">
        <f t="shared" si="81"/>
        <v>0.43639456788305708</v>
      </c>
      <c r="S223" s="811">
        <f t="shared" si="82"/>
        <v>0</v>
      </c>
      <c r="T223" s="176">
        <f t="shared" si="83"/>
        <v>6</v>
      </c>
      <c r="U223" s="251">
        <f t="shared" si="84"/>
        <v>0.43639456788305708</v>
      </c>
      <c r="V223" s="383">
        <f t="shared" si="85"/>
        <v>54.749501161535491</v>
      </c>
      <c r="W223" s="402">
        <f t="shared" si="86"/>
        <v>0</v>
      </c>
      <c r="X223" s="157">
        <f t="shared" si="87"/>
        <v>44770</v>
      </c>
      <c r="Y223" s="385">
        <f t="shared" si="88"/>
        <v>41.938452724974937</v>
      </c>
      <c r="Z223" s="385">
        <f t="shared" si="89"/>
        <v>43.349634530534559</v>
      </c>
      <c r="AA223" s="386">
        <f t="shared" si="90"/>
        <v>47.026080291430986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7.8178868791799833E-2</v>
      </c>
      <c r="AD223" s="231">
        <f>(INDEX(Models!$BJ223:$BT223,,AH223)*(1-AF223)+INDEX(Models!$BJ223:$BT223,,AH223+1)*AF223-ERP_i)*AE223*Ramure*Pc/MaxiM</f>
        <v>2.5919636988131151E-4</v>
      </c>
      <c r="AE223" s="305">
        <f t="shared" si="92"/>
        <v>0.5</v>
      </c>
      <c r="AF223" s="177">
        <f t="shared" si="93"/>
        <v>0.43639456788305708</v>
      </c>
      <c r="AG223" s="811">
        <f t="shared" si="99"/>
        <v>0</v>
      </c>
      <c r="AH223" s="176">
        <f t="shared" si="94"/>
        <v>6</v>
      </c>
      <c r="AI223" s="225">
        <f t="shared" si="95"/>
        <v>0.43639456788305708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44771</v>
      </c>
      <c r="B224" s="1140">
        <v>29.459</v>
      </c>
      <c r="C224" s="841"/>
      <c r="D224" s="393">
        <f t="shared" si="77"/>
        <v>30.450929198738045</v>
      </c>
      <c r="E224" s="385">
        <f t="shared" si="75"/>
        <v>31.814312450540942</v>
      </c>
      <c r="F224" s="385">
        <f t="shared" si="78"/>
        <v>31.817066633885478</v>
      </c>
      <c r="G224" s="110">
        <f t="shared" si="76"/>
        <v>0.53928914180077447</v>
      </c>
      <c r="H224" s="414" t="b">
        <f>Wh_hp&gt;='2021'!Maxi_hp</f>
        <v>0</v>
      </c>
      <c r="I224" s="380">
        <f>IF(H224,Wh_hp,'2021'!Maxi_hp)</f>
        <v>59.643858292588483</v>
      </c>
      <c r="J224" s="85">
        <f>IF(H224,An,'2021'!An_max)</f>
        <v>2019</v>
      </c>
      <c r="K224" s="197">
        <f t="shared" si="79"/>
        <v>44771</v>
      </c>
      <c r="L224" s="147">
        <f>IF(t&lt;Tvie,1-EXP((T0-t)*PertePVj)+'2021'!Pspv,1-EXP((T0-t)*PertePVj)+Pspv)</f>
        <v>3.2574677516873707E-2</v>
      </c>
      <c r="M224" s="845"/>
      <c r="N224" s="845"/>
      <c r="O224" s="48">
        <f>IF(t&lt;Tnet,'2021'!Resal+('2021'!Salim-'2021'!Resal)*(1-EXP(('2021'!Tnet-t)/('2021'!Tau_j))),Resal+(Salim-Resal)*(1-EXP((Tnet-t)/(Tau_j))))*Salcycl</f>
        <v>4.2854399381487072E-2</v>
      </c>
      <c r="P224" s="339">
        <f>(INDEX(Models!$BJ224:$BT224,,T224)*(1-R224)+INDEX(Models!$BJ224:$BT224,,T224+1)*R224-ERP_i)*Q224*Ramure*Pc/MaxiM</f>
        <v>2.5313063882528202E-4</v>
      </c>
      <c r="Q224" s="305">
        <f t="shared" si="80"/>
        <v>0.5</v>
      </c>
      <c r="R224" s="177">
        <f t="shared" si="81"/>
        <v>0.43856703688709048</v>
      </c>
      <c r="S224" s="811">
        <f t="shared" si="82"/>
        <v>0</v>
      </c>
      <c r="T224" s="176">
        <f t="shared" si="83"/>
        <v>6</v>
      </c>
      <c r="U224" s="251">
        <f t="shared" si="84"/>
        <v>0.43856703688709048</v>
      </c>
      <c r="V224" s="383">
        <f t="shared" si="85"/>
        <v>54.616513440626463</v>
      </c>
      <c r="W224" s="402">
        <f t="shared" si="86"/>
        <v>0</v>
      </c>
      <c r="X224" s="157">
        <f t="shared" si="87"/>
        <v>44771</v>
      </c>
      <c r="Y224" s="385">
        <f t="shared" si="88"/>
        <v>28.37044493185957</v>
      </c>
      <c r="Z224" s="385">
        <f t="shared" si="89"/>
        <v>29.325720830875195</v>
      </c>
      <c r="AA224" s="386">
        <f t="shared" si="90"/>
        <v>31.814312450540942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7.8222391998398644E-2</v>
      </c>
      <c r="AD224" s="231">
        <f>(INDEX(Models!$BJ224:$BT224,,AH224)*(1-AF224)+INDEX(Models!$BJ224:$BT224,,AH224+1)*AF224-ERP_i)*AE224*Ramure*Pc/MaxiM</f>
        <v>2.5313063882528202E-4</v>
      </c>
      <c r="AE224" s="305">
        <f t="shared" si="92"/>
        <v>0.5</v>
      </c>
      <c r="AF224" s="177">
        <f t="shared" si="93"/>
        <v>0.43856703688709048</v>
      </c>
      <c r="AG224" s="811">
        <f t="shared" si="99"/>
        <v>0</v>
      </c>
      <c r="AH224" s="176">
        <f t="shared" si="94"/>
        <v>6</v>
      </c>
      <c r="AI224" s="225">
        <f t="shared" si="95"/>
        <v>0.43856703688709048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44772</v>
      </c>
      <c r="B225" s="1140">
        <v>49.578000000000003</v>
      </c>
      <c r="C225" s="841"/>
      <c r="D225" s="393">
        <f t="shared" si="77"/>
        <v>51.248488908649108</v>
      </c>
      <c r="E225" s="385">
        <f t="shared" si="75"/>
        <v>53.547277806436625</v>
      </c>
      <c r="F225" s="385">
        <f t="shared" si="78"/>
        <v>53.558698519915282</v>
      </c>
      <c r="G225" s="110">
        <f t="shared" si="76"/>
        <v>0.90995497295616223</v>
      </c>
      <c r="H225" s="414" t="b">
        <f>Wh_hp&gt;='2021'!Maxi_hp</f>
        <v>0</v>
      </c>
      <c r="I225" s="380">
        <f>IF(H225,Wh_hp,'2021'!Maxi_hp)</f>
        <v>55.994393253662331</v>
      </c>
      <c r="J225" s="85">
        <f>IF(H225,An,'2021'!An_max)</f>
        <v>2018</v>
      </c>
      <c r="K225" s="197">
        <f t="shared" si="79"/>
        <v>44772</v>
      </c>
      <c r="L225" s="147">
        <f>IF(t&lt;Tvie,1-EXP((T0-t)*PertePVj)+'2021'!Pspv,1-EXP((T0-t)*PertePVj)+Pspv)</f>
        <v>3.2595866614267721E-2</v>
      </c>
      <c r="M225" s="845"/>
      <c r="N225" s="845"/>
      <c r="O225" s="48">
        <f>IF(t&lt;Tnet,'2021'!Resal+('2021'!Salim-'2021'!Resal)*(1-EXP(('2021'!Tnet-t)/('2021'!Tau_j))),Resal+(Salim-Resal)*(1-EXP((Tnet-t)/(Tau_j))))*Salcycl</f>
        <v>4.293007958494563E-2</v>
      </c>
      <c r="P225" s="339">
        <f>(INDEX(Models!$BJ225:$BT225,,T225)*(1-R225)+INDEX(Models!$BJ225:$BT225,,T225+1)*R225-ERP_i)*Q225*Ramure*Pc/MaxiM</f>
        <v>2.4470514024748242E-4</v>
      </c>
      <c r="Q225" s="305">
        <f t="shared" si="80"/>
        <v>0.5</v>
      </c>
      <c r="R225" s="177">
        <f t="shared" si="81"/>
        <v>0.44067232043397292</v>
      </c>
      <c r="S225" s="811">
        <f t="shared" si="82"/>
        <v>0</v>
      </c>
      <c r="T225" s="176">
        <f t="shared" si="83"/>
        <v>6</v>
      </c>
      <c r="U225" s="251">
        <f t="shared" si="84"/>
        <v>0.44067232043397292</v>
      </c>
      <c r="V225" s="383">
        <f t="shared" si="85"/>
        <v>54.482299706256043</v>
      </c>
      <c r="W225" s="402">
        <f t="shared" si="86"/>
        <v>0</v>
      </c>
      <c r="X225" s="157">
        <f t="shared" si="87"/>
        <v>44772</v>
      </c>
      <c r="Y225" s="385">
        <f t="shared" si="88"/>
        <v>47.747553853555168</v>
      </c>
      <c r="Z225" s="385">
        <f t="shared" si="89"/>
        <v>49.356367422627933</v>
      </c>
      <c r="AA225" s="386">
        <f t="shared" si="90"/>
        <v>53.547277806436625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7.8265610419227055E-2</v>
      </c>
      <c r="AD225" s="231">
        <f>(INDEX(Models!$BJ225:$BT225,,AH225)*(1-AF225)+INDEX(Models!$BJ225:$BT225,,AH225+1)*AF225-ERP_i)*AE225*Ramure*Pc/MaxiM</f>
        <v>2.4470514024748242E-4</v>
      </c>
      <c r="AE225" s="305">
        <f t="shared" si="92"/>
        <v>0.5</v>
      </c>
      <c r="AF225" s="177">
        <f t="shared" si="93"/>
        <v>0.44067232043397292</v>
      </c>
      <c r="AG225" s="811">
        <f t="shared" si="99"/>
        <v>0</v>
      </c>
      <c r="AH225" s="176">
        <f t="shared" si="94"/>
        <v>6</v>
      </c>
      <c r="AI225" s="225">
        <f t="shared" si="95"/>
        <v>0.44067232043397292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44773</v>
      </c>
      <c r="B226" s="1140">
        <v>52.250999999999998</v>
      </c>
      <c r="C226" s="841"/>
      <c r="D226" s="393">
        <f t="shared" si="77"/>
        <v>54.012736407474833</v>
      </c>
      <c r="E226" s="385">
        <f t="shared" si="75"/>
        <v>56.439968494171367</v>
      </c>
      <c r="F226" s="385">
        <f t="shared" si="78"/>
        <v>56.452470994357242</v>
      </c>
      <c r="G226" s="110">
        <f t="shared" si="76"/>
        <v>0.96142353854600948</v>
      </c>
      <c r="H226" s="414" t="b">
        <f>Wh_hp&gt;='2021'!Maxi_hp</f>
        <v>0</v>
      </c>
      <c r="I226" s="380">
        <f>IF(H226,Wh_hp,'2021'!Maxi_hp)</f>
        <v>58.250484133448317</v>
      </c>
      <c r="J226" s="85">
        <f>IF(H226,An,'2021'!An_max)</f>
        <v>2019</v>
      </c>
      <c r="K226" s="197">
        <f t="shared" si="79"/>
        <v>44773</v>
      </c>
      <c r="L226" s="147">
        <f>IF(t&lt;Tvie,1-EXP((T0-t)*PertePVj)+'2021'!Pspv,1-EXP((T0-t)*PertePVj)+Pspv)</f>
        <v>3.2617055247566196E-2</v>
      </c>
      <c r="M226" s="845"/>
      <c r="N226" s="845"/>
      <c r="O226" s="48">
        <f>IF(t&lt;Tnet,'2021'!Resal+('2021'!Salim-'2021'!Resal)*(1-EXP(('2021'!Tnet-t)/('2021'!Tau_j))),Resal+(Salim-Resal)*(1-EXP((Tnet-t)/(Tau_j))))*Salcycl</f>
        <v>4.300555353689104E-2</v>
      </c>
      <c r="P226" s="339">
        <f>(INDEX(Models!$BJ226:$BT226,,T226)*(1-R226)+INDEX(Models!$BJ226:$BT226,,T226+1)*R226-ERP_i)*Q226*Ramure*Pc/MaxiM</f>
        <v>2.3438194497764199E-4</v>
      </c>
      <c r="Q226" s="305">
        <f t="shared" si="80"/>
        <v>0.5</v>
      </c>
      <c r="R226" s="177">
        <f t="shared" si="81"/>
        <v>0.44271179149944601</v>
      </c>
      <c r="S226" s="811">
        <f t="shared" si="82"/>
        <v>0</v>
      </c>
      <c r="T226" s="176">
        <f t="shared" si="83"/>
        <v>6</v>
      </c>
      <c r="U226" s="251">
        <f t="shared" si="84"/>
        <v>0.44271179149944601</v>
      </c>
      <c r="V226" s="383">
        <f t="shared" si="85"/>
        <v>54.346833697339534</v>
      </c>
      <c r="W226" s="402">
        <f t="shared" si="86"/>
        <v>0</v>
      </c>
      <c r="X226" s="157">
        <f t="shared" si="87"/>
        <v>44773</v>
      </c>
      <c r="Y226" s="385">
        <f t="shared" si="88"/>
        <v>50.323489989817993</v>
      </c>
      <c r="Z226" s="385">
        <f t="shared" si="89"/>
        <v>52.020236931814466</v>
      </c>
      <c r="AA226" s="386">
        <f t="shared" si="90"/>
        <v>56.439968494171367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7.8308540565775284E-2</v>
      </c>
      <c r="AD226" s="231">
        <f>(INDEX(Models!$BJ226:$BT226,,AH226)*(1-AF226)+INDEX(Models!$BJ226:$BT226,,AH226+1)*AF226-ERP_i)*AE226*Ramure*Pc/MaxiM</f>
        <v>2.3438194497764199E-4</v>
      </c>
      <c r="AE226" s="305">
        <f t="shared" si="92"/>
        <v>0.5</v>
      </c>
      <c r="AF226" s="177">
        <f t="shared" si="93"/>
        <v>0.44271179149944601</v>
      </c>
      <c r="AG226" s="811">
        <f t="shared" si="99"/>
        <v>0</v>
      </c>
      <c r="AH226" s="176">
        <f t="shared" si="94"/>
        <v>6</v>
      </c>
      <c r="AI226" s="225">
        <f t="shared" si="95"/>
        <v>0.44271179149944601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44774</v>
      </c>
      <c r="B227" s="1140">
        <v>51.338999999999999</v>
      </c>
      <c r="C227" s="841"/>
      <c r="D227" s="393">
        <f t="shared" si="77"/>
        <v>53.071149082151429</v>
      </c>
      <c r="E227" s="385">
        <f t="shared" si="75"/>
        <v>55.460430390482138</v>
      </c>
      <c r="F227" s="385">
        <f t="shared" si="78"/>
        <v>55.471900998050899</v>
      </c>
      <c r="G227" s="110">
        <f t="shared" si="76"/>
        <v>0.94702272407895394</v>
      </c>
      <c r="H227" s="414" t="b">
        <f>Wh_hp&gt;='2021'!Maxi_hp</f>
        <v>1</v>
      </c>
      <c r="I227" s="380">
        <f>IF(H227,Wh_hp,'2021'!Maxi_hp)</f>
        <v>55.471900998050899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3.2638243416779122E-2</v>
      </c>
      <c r="M227" s="845"/>
      <c r="N227" s="845"/>
      <c r="O227" s="48">
        <f>IF(t&lt;Tnet,'2021'!Resal+('2021'!Salim-'2021'!Resal)*(1-EXP(('2021'!Tnet-t)/('2021'!Tau_j))),Resal+(Salim-Resal)*(1-EXP((Tnet-t)/(Tau_j))))*Salcycl</f>
        <v>4.3080828827118951E-2</v>
      </c>
      <c r="P227" s="339">
        <f>(INDEX(Models!$BJ227:$BT227,,T227)*(1-R227)+INDEX(Models!$BJ227:$BT227,,T227+1)*R227-ERP_i)*Q227*Ramure*Pc/MaxiM</f>
        <v>2.2370779535397302E-4</v>
      </c>
      <c r="Q227" s="305">
        <f t="shared" si="80"/>
        <v>0.5</v>
      </c>
      <c r="R227" s="177">
        <f t="shared" si="81"/>
        <v>0.44468684622811522</v>
      </c>
      <c r="S227" s="811">
        <f t="shared" si="82"/>
        <v>0</v>
      </c>
      <c r="T227" s="176">
        <f t="shared" si="83"/>
        <v>6</v>
      </c>
      <c r="U227" s="251">
        <f t="shared" si="84"/>
        <v>0.44468684622811522</v>
      </c>
      <c r="V227" s="383">
        <f t="shared" si="85"/>
        <v>54.210030633086312</v>
      </c>
      <c r="W227" s="402">
        <f t="shared" si="86"/>
        <v>0</v>
      </c>
      <c r="X227" s="157">
        <f t="shared" si="87"/>
        <v>44774</v>
      </c>
      <c r="Y227" s="385">
        <f t="shared" si="88"/>
        <v>49.446734185799698</v>
      </c>
      <c r="Z227" s="385">
        <f t="shared" si="89"/>
        <v>51.115039280081213</v>
      </c>
      <c r="AA227" s="386">
        <f t="shared" si="90"/>
        <v>55.460430390482138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7.835119705718438E-2</v>
      </c>
      <c r="AD227" s="231">
        <f>(INDEX(Models!$BJ227:$BT227,,AH227)*(1-AF227)+INDEX(Models!$BJ227:$BT227,,AH227+1)*AF227-ERP_i)*AE227*Ramure*Pc/MaxiM</f>
        <v>2.2370779535397302E-4</v>
      </c>
      <c r="AE227" s="305">
        <f t="shared" si="92"/>
        <v>0.5</v>
      </c>
      <c r="AF227" s="177">
        <f t="shared" si="93"/>
        <v>0.44468684622811522</v>
      </c>
      <c r="AG227" s="811">
        <f t="shared" si="99"/>
        <v>0</v>
      </c>
      <c r="AH227" s="176">
        <f t="shared" si="94"/>
        <v>6</v>
      </c>
      <c r="AI227" s="225">
        <f t="shared" si="95"/>
        <v>0.44468684622811522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44775</v>
      </c>
      <c r="B228" s="1140">
        <v>51.542999999999999</v>
      </c>
      <c r="C228" s="841"/>
      <c r="D228" s="393">
        <f t="shared" si="77"/>
        <v>53.283198966605234</v>
      </c>
      <c r="E228" s="385">
        <f t="shared" si="75"/>
        <v>55.686396183090245</v>
      </c>
      <c r="F228" s="385">
        <f t="shared" si="78"/>
        <v>55.697450604094456</v>
      </c>
      <c r="G228" s="110">
        <f t="shared" si="76"/>
        <v>0.95321741393363879</v>
      </c>
      <c r="H228" s="414" t="b">
        <f>Wh_hp&gt;='2021'!Maxi_hp</f>
        <v>0</v>
      </c>
      <c r="I228" s="380">
        <f>IF(H228,Wh_hp,'2021'!Maxi_hp)</f>
        <v>56.845203333586923</v>
      </c>
      <c r="J228" s="85">
        <f>IF(H228,An,'2021'!An_max)</f>
        <v>2019</v>
      </c>
      <c r="K228" s="197">
        <f t="shared" si="79"/>
        <v>44775</v>
      </c>
      <c r="L228" s="147">
        <f>IF(t&lt;Tvie,1-EXP((T0-t)*PertePVj)+'2021'!Pspv,1-EXP((T0-t)*PertePVj)+Pspv)</f>
        <v>3.2659431121916827E-2</v>
      </c>
      <c r="M228" s="845"/>
      <c r="N228" s="845"/>
      <c r="O228" s="48">
        <f>IF(t&lt;Tnet,'2021'!Resal+('2021'!Salim-'2021'!Resal)*(1-EXP(('2021'!Tnet-t)/('2021'!Tau_j))),Resal+(Salim-Resal)*(1-EXP((Tnet-t)/(Tau_j))))*Salcycl</f>
        <v>4.3155912057651978E-2</v>
      </c>
      <c r="P228" s="339">
        <f>(INDEX(Models!$BJ228:$BT228,,T228)*(1-R228)+INDEX(Models!$BJ228:$BT228,,T228+1)*R228-ERP_i)*Q228*Ramure*Pc/MaxiM</f>
        <v>2.1268260067144795E-4</v>
      </c>
      <c r="Q228" s="305">
        <f t="shared" si="80"/>
        <v>0.5</v>
      </c>
      <c r="R228" s="177">
        <f t="shared" si="81"/>
        <v>0.44659889931275204</v>
      </c>
      <c r="S228" s="811">
        <f t="shared" si="82"/>
        <v>0</v>
      </c>
      <c r="T228" s="176">
        <f t="shared" si="83"/>
        <v>6</v>
      </c>
      <c r="U228" s="251">
        <f t="shared" si="84"/>
        <v>0.44659889931275204</v>
      </c>
      <c r="V228" s="383">
        <f t="shared" si="85"/>
        <v>54.071890292870677</v>
      </c>
      <c r="W228" s="402">
        <f t="shared" si="86"/>
        <v>0</v>
      </c>
      <c r="X228" s="157">
        <f t="shared" si="87"/>
        <v>44775</v>
      </c>
      <c r="Y228" s="385">
        <f t="shared" si="88"/>
        <v>49.644826835333781</v>
      </c>
      <c r="Z228" s="385">
        <f t="shared" si="89"/>
        <v>51.320939524857934</v>
      </c>
      <c r="AA228" s="386">
        <f t="shared" si="90"/>
        <v>55.686396183090245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7.839359264476739E-2</v>
      </c>
      <c r="AD228" s="231">
        <f>(INDEX(Models!$BJ228:$BT228,,AH228)*(1-AF228)+INDEX(Models!$BJ228:$BT228,,AH228+1)*AF228-ERP_i)*AE228*Ramure*Pc/MaxiM</f>
        <v>2.1268260067144795E-4</v>
      </c>
      <c r="AE228" s="305">
        <f t="shared" si="92"/>
        <v>0.5</v>
      </c>
      <c r="AF228" s="177">
        <f t="shared" si="93"/>
        <v>0.44659889931275204</v>
      </c>
      <c r="AG228" s="811">
        <f t="shared" si="99"/>
        <v>0</v>
      </c>
      <c r="AH228" s="176">
        <f t="shared" si="94"/>
        <v>6</v>
      </c>
      <c r="AI228" s="225">
        <f t="shared" si="95"/>
        <v>0.44659889931275204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44776</v>
      </c>
      <c r="B229" s="1140">
        <v>49.386000000000003</v>
      </c>
      <c r="C229" s="841"/>
      <c r="D229" s="393">
        <f t="shared" si="77"/>
        <v>51.054492381227035</v>
      </c>
      <c r="E229" s="385">
        <f t="shared" si="75"/>
        <v>53.361346554442761</v>
      </c>
      <c r="F229" s="385">
        <f t="shared" si="78"/>
        <v>53.370796575894836</v>
      </c>
      <c r="G229" s="110">
        <f t="shared" si="76"/>
        <v>0.91567946320010241</v>
      </c>
      <c r="H229" s="414" t="b">
        <f>Wh_hp&gt;='2021'!Maxi_hp</f>
        <v>0</v>
      </c>
      <c r="I229" s="380">
        <f>IF(H229,Wh_hp,'2021'!Maxi_hp)</f>
        <v>57.532187418566849</v>
      </c>
      <c r="J229" s="85">
        <f>IF(H229,An,'2021'!An_max)</f>
        <v>2019</v>
      </c>
      <c r="K229" s="197">
        <f t="shared" si="79"/>
        <v>44776</v>
      </c>
      <c r="L229" s="147">
        <f>IF(t&lt;Tvie,1-EXP((T0-t)*PertePVj)+'2021'!Pspv,1-EXP((T0-t)*PertePVj)+Pspv)</f>
        <v>3.2680618362989411E-2</v>
      </c>
      <c r="M229" s="845"/>
      <c r="N229" s="845"/>
      <c r="O229" s="48">
        <f>IF(t&lt;Tnet,'2021'!Resal+('2021'!Salim-'2021'!Resal)*(1-EXP(('2021'!Tnet-t)/('2021'!Tau_j))),Resal+(Salim-Resal)*(1-EXP((Tnet-t)/(Tau_j))))*Salcycl</f>
        <v>4.3230808856409161E-2</v>
      </c>
      <c r="P229" s="339">
        <f>(INDEX(Models!$BJ229:$BT229,,T229)*(1-R229)+INDEX(Models!$BJ229:$BT229,,T229+1)*R229-ERP_i)*Q229*Ramure*Pc/MaxiM</f>
        <v>2.0130604700549913E-4</v>
      </c>
      <c r="Q229" s="305">
        <f t="shared" si="80"/>
        <v>0.5</v>
      </c>
      <c r="R229" s="177">
        <f t="shared" si="81"/>
        <v>0.44844937963547499</v>
      </c>
      <c r="S229" s="811">
        <f t="shared" si="82"/>
        <v>0</v>
      </c>
      <c r="T229" s="176">
        <f t="shared" si="83"/>
        <v>6</v>
      </c>
      <c r="U229" s="251">
        <f t="shared" si="84"/>
        <v>0.44844937963547499</v>
      </c>
      <c r="V229" s="383">
        <f t="shared" si="85"/>
        <v>53.932412521589342</v>
      </c>
      <c r="W229" s="402">
        <f t="shared" si="86"/>
        <v>0</v>
      </c>
      <c r="X229" s="157">
        <f t="shared" si="87"/>
        <v>44776</v>
      </c>
      <c r="Y229" s="385">
        <f t="shared" si="88"/>
        <v>47.568810798002225</v>
      </c>
      <c r="Z229" s="385">
        <f t="shared" si="89"/>
        <v>49.175909943519109</v>
      </c>
      <c r="AA229" s="386">
        <f t="shared" si="90"/>
        <v>53.361346554442761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7.843573824834793E-2</v>
      </c>
      <c r="AD229" s="231">
        <f>(INDEX(Models!$BJ229:$BT229,,AH229)*(1-AF229)+INDEX(Models!$BJ229:$BT229,,AH229+1)*AF229-ERP_i)*AE229*Ramure*Pc/MaxiM</f>
        <v>2.0130604700549913E-4</v>
      </c>
      <c r="AE229" s="305">
        <f t="shared" si="92"/>
        <v>0.5</v>
      </c>
      <c r="AF229" s="177">
        <f t="shared" si="93"/>
        <v>0.44844937963547499</v>
      </c>
      <c r="AG229" s="811">
        <f t="shared" si="99"/>
        <v>0</v>
      </c>
      <c r="AH229" s="176">
        <f t="shared" si="94"/>
        <v>6</v>
      </c>
      <c r="AI229" s="225">
        <f t="shared" si="95"/>
        <v>0.44844937963547499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44777</v>
      </c>
      <c r="B230" s="1140">
        <v>46.343000000000004</v>
      </c>
      <c r="C230" s="841"/>
      <c r="D230" s="393">
        <f t="shared" si="77"/>
        <v>47.909734812135881</v>
      </c>
      <c r="E230" s="385">
        <f t="shared" si="75"/>
        <v>50.078406438899641</v>
      </c>
      <c r="F230" s="385">
        <f t="shared" si="78"/>
        <v>50.086023324517669</v>
      </c>
      <c r="G230" s="110">
        <f t="shared" si="76"/>
        <v>0.86149629663139027</v>
      </c>
      <c r="H230" s="414" t="b">
        <f>Wh_hp&gt;='2021'!Maxi_hp</f>
        <v>0</v>
      </c>
      <c r="I230" s="380">
        <f>IF(H230,Wh_hp,'2021'!Maxi_hp)</f>
        <v>54.820289563876685</v>
      </c>
      <c r="J230" s="85">
        <f>IF(H230,An,'2021'!An_max)</f>
        <v>2019</v>
      </c>
      <c r="K230" s="197">
        <f t="shared" si="79"/>
        <v>44777</v>
      </c>
      <c r="L230" s="147">
        <f>IF(t&lt;Tvie,1-EXP((T0-t)*PertePVj)+'2021'!Pspv,1-EXP((T0-t)*PertePVj)+Pspv)</f>
        <v>3.2701805140006979E-2</v>
      </c>
      <c r="M230" s="845"/>
      <c r="N230" s="845"/>
      <c r="O230" s="48">
        <f>IF(t&lt;Tnet,'2021'!Resal+('2021'!Salim-'2021'!Resal)*(1-EXP(('2021'!Tnet-t)/('2021'!Tau_j))),Resal+(Salim-Resal)*(1-EXP((Tnet-t)/(Tau_j))))*Salcycl</f>
        <v>4.3305523897006294E-2</v>
      </c>
      <c r="P230" s="339">
        <f>(INDEX(Models!$BJ230:$BT230,,T230)*(1-R230)+INDEX(Models!$BJ230:$BT230,,T230+1)*R230-ERP_i)*Q230*Ramure*Pc/MaxiM</f>
        <v>1.8957760561435442E-4</v>
      </c>
      <c r="Q230" s="305">
        <f t="shared" si="80"/>
        <v>0.5</v>
      </c>
      <c r="R230" s="177">
        <f t="shared" si="81"/>
        <v>0.45023972617015179</v>
      </c>
      <c r="S230" s="811">
        <f t="shared" si="82"/>
        <v>0</v>
      </c>
      <c r="T230" s="176">
        <f t="shared" si="83"/>
        <v>6</v>
      </c>
      <c r="U230" s="251">
        <f t="shared" si="84"/>
        <v>0.45023972617015179</v>
      </c>
      <c r="V230" s="383">
        <f t="shared" si="85"/>
        <v>53.791597228248513</v>
      </c>
      <c r="W230" s="402">
        <f t="shared" si="86"/>
        <v>0</v>
      </c>
      <c r="X230" s="157">
        <f t="shared" si="87"/>
        <v>44777</v>
      </c>
      <c r="Y230" s="385">
        <f t="shared" si="88"/>
        <v>44.63923609578449</v>
      </c>
      <c r="Z230" s="385">
        <f t="shared" si="89"/>
        <v>46.148371136209533</v>
      </c>
      <c r="AA230" s="386">
        <f t="shared" si="90"/>
        <v>50.078406438899641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7.8477643003379532E-2</v>
      </c>
      <c r="AD230" s="231">
        <f>(INDEX(Models!$BJ230:$BT230,,AH230)*(1-AF230)+INDEX(Models!$BJ230:$BT230,,AH230+1)*AF230-ERP_i)*AE230*Ramure*Pc/MaxiM</f>
        <v>1.8957760561435442E-4</v>
      </c>
      <c r="AE230" s="305">
        <f t="shared" si="92"/>
        <v>0.5</v>
      </c>
      <c r="AF230" s="177">
        <f t="shared" si="93"/>
        <v>0.45023972617015179</v>
      </c>
      <c r="AG230" s="811">
        <f t="shared" si="99"/>
        <v>0</v>
      </c>
      <c r="AH230" s="176">
        <f t="shared" si="94"/>
        <v>6</v>
      </c>
      <c r="AI230" s="225">
        <f t="shared" si="95"/>
        <v>0.45023972617015179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44778</v>
      </c>
      <c r="B231" s="1140">
        <v>43.117000000000004</v>
      </c>
      <c r="C231" s="841"/>
      <c r="D231" s="393">
        <f t="shared" si="77"/>
        <v>44.575648567071305</v>
      </c>
      <c r="E231" s="385">
        <f t="shared" si="75"/>
        <v>46.59703059308211</v>
      </c>
      <c r="F231" s="385">
        <f t="shared" si="78"/>
        <v>46.602982560010197</v>
      </c>
      <c r="G231" s="110">
        <f t="shared" si="76"/>
        <v>0.80364025859550647</v>
      </c>
      <c r="H231" s="414" t="b">
        <f>Wh_hp&gt;='2021'!Maxi_hp</f>
        <v>0</v>
      </c>
      <c r="I231" s="380">
        <f>IF(H231,Wh_hp,'2021'!Maxi_hp)</f>
        <v>56.442491959447445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3.2722991452979744E-2</v>
      </c>
      <c r="M231" s="845"/>
      <c r="N231" s="845"/>
      <c r="O231" s="48">
        <f>IF(t&lt;Tnet,'2021'!Resal+('2021'!Salim-'2021'!Resal)*(1-EXP(('2021'!Tnet-t)/('2021'!Tau_j))),Resal+(Salim-Resal)*(1-EXP((Tnet-t)/(Tau_j))))*Salcycl</f>
        <v>4.3380060924116191E-2</v>
      </c>
      <c r="P231" s="339">
        <f>(INDEX(Models!$BJ231:$BT231,,T231)*(1-R231)+INDEX(Models!$BJ231:$BT231,,T231+1)*R231-ERP_i)*Q231*Ramure*Pc/MaxiM</f>
        <v>1.7749654230814787E-4</v>
      </c>
      <c r="Q231" s="305">
        <f t="shared" si="80"/>
        <v>0.5</v>
      </c>
      <c r="R231" s="177">
        <f t="shared" si="81"/>
        <v>0.45197138414379412</v>
      </c>
      <c r="S231" s="811">
        <f t="shared" si="82"/>
        <v>0</v>
      </c>
      <c r="T231" s="176">
        <f t="shared" si="83"/>
        <v>6</v>
      </c>
      <c r="U231" s="251">
        <f t="shared" si="84"/>
        <v>0.45197138414379412</v>
      </c>
      <c r="V231" s="383">
        <f t="shared" si="85"/>
        <v>53.649444382523782</v>
      </c>
      <c r="W231" s="402">
        <f t="shared" si="86"/>
        <v>0</v>
      </c>
      <c r="X231" s="157">
        <f t="shared" si="87"/>
        <v>44778</v>
      </c>
      <c r="Y231" s="385">
        <f t="shared" si="88"/>
        <v>41.533195265555669</v>
      </c>
      <c r="Z231" s="385">
        <f t="shared" si="89"/>
        <v>42.938263701671247</v>
      </c>
      <c r="AA231" s="386">
        <f t="shared" si="90"/>
        <v>46.59703059308211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7.8519314317725103E-2</v>
      </c>
      <c r="AD231" s="231">
        <f>(INDEX(Models!$BJ231:$BT231,,AH231)*(1-AF231)+INDEX(Models!$BJ231:$BT231,,AH231+1)*AF231-ERP_i)*AE231*Ramure*Pc/MaxiM</f>
        <v>1.7749654230814787E-4</v>
      </c>
      <c r="AE231" s="305">
        <f t="shared" si="92"/>
        <v>0.5</v>
      </c>
      <c r="AF231" s="177">
        <f t="shared" si="93"/>
        <v>0.45197138414379412</v>
      </c>
      <c r="AG231" s="811">
        <f t="shared" si="99"/>
        <v>0</v>
      </c>
      <c r="AH231" s="176">
        <f t="shared" si="94"/>
        <v>6</v>
      </c>
      <c r="AI231" s="225">
        <f t="shared" si="95"/>
        <v>0.45197138414379412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44779</v>
      </c>
      <c r="B232" s="1140">
        <v>47.247</v>
      </c>
      <c r="C232" s="841"/>
      <c r="D232" s="393">
        <f t="shared" si="77"/>
        <v>48.846436373169929</v>
      </c>
      <c r="E232" s="385">
        <f t="shared" si="75"/>
        <v>51.065456300916267</v>
      </c>
      <c r="F232" s="385">
        <f t="shared" si="78"/>
        <v>51.072477667599451</v>
      </c>
      <c r="G232" s="110">
        <f t="shared" si="76"/>
        <v>0.88299886354371038</v>
      </c>
      <c r="H232" s="414" t="b">
        <f>Wh_hp&gt;='2021'!Maxi_hp</f>
        <v>0</v>
      </c>
      <c r="I232" s="380">
        <f>IF(H232,Wh_hp,'2021'!Maxi_hp)</f>
        <v>57.46185272567628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3.2744177301917921E-2</v>
      </c>
      <c r="M232" s="845"/>
      <c r="N232" s="845"/>
      <c r="O232" s="48">
        <f>IF(t&lt;Tnet,'2021'!Resal+('2021'!Salim-'2021'!Resal)*(1-EXP(('2021'!Tnet-t)/('2021'!Tau_j))),Resal+(Salim-Resal)*(1-EXP((Tnet-t)/(Tau_j))))*Salcycl</f>
        <v>4.3454422783773809E-2</v>
      </c>
      <c r="P232" s="339">
        <f>(INDEX(Models!$BJ232:$BT232,,T232)*(1-R232)+INDEX(Models!$BJ232:$BT232,,T232+1)*R232-ERP_i)*Q232*Ramure*Pc/MaxiM</f>
        <v>1.6506192760648125E-4</v>
      </c>
      <c r="Q232" s="305">
        <f t="shared" si="80"/>
        <v>0.5</v>
      </c>
      <c r="R232" s="177">
        <f t="shared" si="81"/>
        <v>0.45364580145332567</v>
      </c>
      <c r="S232" s="811">
        <f t="shared" si="82"/>
        <v>0</v>
      </c>
      <c r="T232" s="176">
        <f t="shared" si="83"/>
        <v>6</v>
      </c>
      <c r="U232" s="251">
        <f t="shared" si="84"/>
        <v>0.45364580145332567</v>
      </c>
      <c r="V232" s="383">
        <f t="shared" si="85"/>
        <v>53.505954012361087</v>
      </c>
      <c r="W232" s="402">
        <f t="shared" si="86"/>
        <v>0</v>
      </c>
      <c r="X232" s="157">
        <f t="shared" si="87"/>
        <v>44779</v>
      </c>
      <c r="Y232" s="385">
        <f t="shared" si="88"/>
        <v>45.512980151403553</v>
      </c>
      <c r="Z232" s="385">
        <f t="shared" si="89"/>
        <v>47.053715349522285</v>
      </c>
      <c r="AA232" s="386">
        <f t="shared" si="90"/>
        <v>51.065456300916267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7.8560757936906991E-2</v>
      </c>
      <c r="AD232" s="231">
        <f>(INDEX(Models!$BJ232:$BT232,,AH232)*(1-AF232)+INDEX(Models!$BJ232:$BT232,,AH232+1)*AF232-ERP_i)*AE232*Ramure*Pc/MaxiM</f>
        <v>1.6506192760648125E-4</v>
      </c>
      <c r="AE232" s="305">
        <f t="shared" si="92"/>
        <v>0.5</v>
      </c>
      <c r="AF232" s="177">
        <f t="shared" si="93"/>
        <v>0.45364580145332567</v>
      </c>
      <c r="AG232" s="811">
        <f t="shared" si="99"/>
        <v>0</v>
      </c>
      <c r="AH232" s="176">
        <f t="shared" si="94"/>
        <v>6</v>
      </c>
      <c r="AI232" s="225">
        <f t="shared" si="95"/>
        <v>0.45364580145332567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44780</v>
      </c>
      <c r="B233" s="1140">
        <v>50.218000000000004</v>
      </c>
      <c r="C233" s="841"/>
      <c r="D233" s="393">
        <f t="shared" si="77"/>
        <v>51.919149772694269</v>
      </c>
      <c r="E233" s="385">
        <f t="shared" ref="E233:E296" si="100">Wh_pvt/(1-Psa)</f>
        <v>54.281968488190643</v>
      </c>
      <c r="F233" s="385">
        <f t="shared" si="78"/>
        <v>54.289539597096038</v>
      </c>
      <c r="G233" s="110">
        <f t="shared" ref="G233:G296" si="101">+Wh_hp/MaxiM</f>
        <v>0.94108122275221062</v>
      </c>
      <c r="H233" s="414" t="b">
        <f>Wh_hp&gt;='2021'!Maxi_hp</f>
        <v>0</v>
      </c>
      <c r="I233" s="380">
        <f>IF(H233,Wh_hp,'2021'!Maxi_hp)</f>
        <v>55.820902062700583</v>
      </c>
      <c r="J233" s="85">
        <f>IF(H233,An,'2021'!An_max)</f>
        <v>2020</v>
      </c>
      <c r="K233" s="197">
        <f t="shared" si="79"/>
        <v>44780</v>
      </c>
      <c r="L233" s="147">
        <f>IF(t&lt;Tvie,1-EXP((T0-t)*PertePVj)+'2021'!Pspv,1-EXP((T0-t)*PertePVj)+Pspv)</f>
        <v>3.2765362686831723E-2</v>
      </c>
      <c r="M233" s="845"/>
      <c r="N233" s="845"/>
      <c r="O233" s="48">
        <f>IF(t&lt;Tnet,'2021'!Resal+('2021'!Salim-'2021'!Resal)*(1-EXP(('2021'!Tnet-t)/('2021'!Tau_j))),Resal+(Salim-Resal)*(1-EXP((Tnet-t)/(Tau_j))))*Salcycl</f>
        <v>4.3528611457972793E-2</v>
      </c>
      <c r="P233" s="339">
        <f>(INDEX(Models!$BJ233:$BT233,,T233)*(1-R233)+INDEX(Models!$BJ233:$BT233,,T233+1)*R233-ERP_i)*Q233*Ramure*Pc/MaxiM</f>
        <v>1.5227203352179578E-4</v>
      </c>
      <c r="Q233" s="305">
        <f t="shared" si="80"/>
        <v>0.5</v>
      </c>
      <c r="R233" s="177">
        <f t="shared" si="81"/>
        <v>0.45526442533288924</v>
      </c>
      <c r="S233" s="811">
        <f t="shared" si="82"/>
        <v>0</v>
      </c>
      <c r="T233" s="176">
        <f t="shared" si="83"/>
        <v>6</v>
      </c>
      <c r="U233" s="251">
        <f t="shared" si="84"/>
        <v>0.45526442533288924</v>
      </c>
      <c r="V233" s="383">
        <f t="shared" si="85"/>
        <v>53.361341401191744</v>
      </c>
      <c r="W233" s="402">
        <f t="shared" si="86"/>
        <v>0</v>
      </c>
      <c r="X233" s="157">
        <f t="shared" si="87"/>
        <v>44780</v>
      </c>
      <c r="Y233" s="385">
        <f t="shared" si="88"/>
        <v>48.376529002602993</v>
      </c>
      <c r="Z233" s="385">
        <f t="shared" si="89"/>
        <v>50.015298394385134</v>
      </c>
      <c r="AA233" s="386">
        <f t="shared" si="90"/>
        <v>54.281968488190643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7.8601978016581101E-2</v>
      </c>
      <c r="AD233" s="231">
        <f>(INDEX(Models!$BJ233:$BT233,,AH233)*(1-AF233)+INDEX(Models!$BJ233:$BT233,,AH233+1)*AF233-ERP_i)*AE233*Ramure*Pc/MaxiM</f>
        <v>1.5227203352179578E-4</v>
      </c>
      <c r="AE233" s="305">
        <f t="shared" si="92"/>
        <v>0.5</v>
      </c>
      <c r="AF233" s="177">
        <f t="shared" si="93"/>
        <v>0.45526442533288924</v>
      </c>
      <c r="AG233" s="811">
        <f t="shared" si="99"/>
        <v>0</v>
      </c>
      <c r="AH233" s="176">
        <f t="shared" si="94"/>
        <v>6</v>
      </c>
      <c r="AI233" s="225">
        <f t="shared" si="95"/>
        <v>0.45526442533288924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44781</v>
      </c>
      <c r="B234" s="1140">
        <v>51.024000000000001</v>
      </c>
      <c r="C234" s="841"/>
      <c r="D234" s="393">
        <f t="shared" si="77"/>
        <v>52.753608703228004</v>
      </c>
      <c r="E234" s="385">
        <f t="shared" si="100"/>
        <v>55.158671754382716</v>
      </c>
      <c r="F234" s="385">
        <f t="shared" si="78"/>
        <v>55.165911052981301</v>
      </c>
      <c r="G234" s="110">
        <f t="shared" si="101"/>
        <v>0.95880621097028762</v>
      </c>
      <c r="H234" s="414" t="b">
        <f>Wh_hp&gt;='2021'!Maxi_hp</f>
        <v>1</v>
      </c>
      <c r="I234" s="380">
        <f>IF(H234,Wh_hp,'2021'!Maxi_hp)</f>
        <v>55.165911052981301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3.2786547607731142E-2</v>
      </c>
      <c r="M234" s="845"/>
      <c r="N234" s="845"/>
      <c r="O234" s="48">
        <f>IF(t&lt;Tnet,'2021'!Resal+('2021'!Salim-'2021'!Resal)*(1-EXP(('2021'!Tnet-t)/('2021'!Tau_j))),Resal+(Salim-Resal)*(1-EXP((Tnet-t)/(Tau_j))))*Salcycl</f>
        <v>4.3602628102871521E-2</v>
      </c>
      <c r="P234" s="339">
        <f>(INDEX(Models!$BJ234:$BT234,,T234)*(1-R234)+INDEX(Models!$BJ234:$BT234,,T234+1)*R234-ERP_i)*Q234*Ramure*Pc/MaxiM</f>
        <v>1.394314888034667E-4</v>
      </c>
      <c r="Q234" s="305">
        <f t="shared" si="80"/>
        <v>0.5</v>
      </c>
      <c r="R234" s="177">
        <f t="shared" si="81"/>
        <v>0.45682869926581077</v>
      </c>
      <c r="S234" s="811">
        <f t="shared" si="82"/>
        <v>0</v>
      </c>
      <c r="T234" s="176">
        <f t="shared" si="83"/>
        <v>6</v>
      </c>
      <c r="U234" s="251">
        <f t="shared" si="84"/>
        <v>0.45682869926581077</v>
      </c>
      <c r="V234" s="383">
        <f t="shared" si="85"/>
        <v>53.215739295282134</v>
      </c>
      <c r="W234" s="402">
        <f t="shared" si="86"/>
        <v>0</v>
      </c>
      <c r="X234" s="157">
        <f t="shared" si="87"/>
        <v>44781</v>
      </c>
      <c r="Y234" s="385">
        <f t="shared" si="88"/>
        <v>49.154590040378501</v>
      </c>
      <c r="Z234" s="385">
        <f t="shared" si="89"/>
        <v>50.820829589168156</v>
      </c>
      <c r="AA234" s="386">
        <f t="shared" si="90"/>
        <v>55.158671754382716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7.8642977200949149E-2</v>
      </c>
      <c r="AD234" s="231">
        <f>(INDEX(Models!$BJ234:$BT234,,AH234)*(1-AF234)+INDEX(Models!$BJ234:$BT234,,AH234+1)*AF234-ERP_i)*AE234*Ramure*Pc/MaxiM</f>
        <v>1.394314888034667E-4</v>
      </c>
      <c r="AE234" s="305">
        <f t="shared" si="92"/>
        <v>0.5</v>
      </c>
      <c r="AF234" s="177">
        <f t="shared" si="93"/>
        <v>0.45682869926581077</v>
      </c>
      <c r="AG234" s="811">
        <f t="shared" si="99"/>
        <v>0</v>
      </c>
      <c r="AH234" s="176">
        <f t="shared" si="94"/>
        <v>6</v>
      </c>
      <c r="AI234" s="225">
        <f t="shared" si="95"/>
        <v>0.45682869926581077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44782</v>
      </c>
      <c r="B235" s="1140">
        <v>49.317</v>
      </c>
      <c r="C235" s="841"/>
      <c r="D235" s="393">
        <f t="shared" si="77"/>
        <v>50.989861721366957</v>
      </c>
      <c r="E235" s="385">
        <f t="shared" si="100"/>
        <v>53.318631495051108</v>
      </c>
      <c r="F235" s="385">
        <f t="shared" si="78"/>
        <v>53.324734864376673</v>
      </c>
      <c r="G235" s="110">
        <f t="shared" si="101"/>
        <v>0.92928751031278867</v>
      </c>
      <c r="H235" s="414" t="b">
        <f>Wh_hp&gt;='2021'!Maxi_hp</f>
        <v>0</v>
      </c>
      <c r="I235" s="380">
        <f>IF(H235,Wh_hp,'2021'!Maxi_hp)</f>
        <v>55.939165383860541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3.2807732064626394E-2</v>
      </c>
      <c r="M235" s="845"/>
      <c r="N235" s="845"/>
      <c r="O235" s="48">
        <f>IF(t&lt;Tnet,'2021'!Resal+('2021'!Salim-'2021'!Resal)*(1-EXP(('2021'!Tnet-t)/('2021'!Tau_j))),Resal+(Salim-Resal)*(1-EXP((Tnet-t)/(Tau_j))))*Salcycl</f>
        <v>4.3676473089904869E-2</v>
      </c>
      <c r="P235" s="339">
        <f>(INDEX(Models!$BJ235:$BT235,,T235)*(1-R235)+INDEX(Models!$BJ235:$BT235,,T235+1)*R235-ERP_i)*Q235*Ramure*Pc/MaxiM</f>
        <v>1.2731560137782915E-4</v>
      </c>
      <c r="Q235" s="305">
        <f t="shared" si="80"/>
        <v>0.5</v>
      </c>
      <c r="R235" s="177">
        <f t="shared" si="81"/>
        <v>0.45834006013443906</v>
      </c>
      <c r="S235" s="811">
        <f t="shared" si="82"/>
        <v>0</v>
      </c>
      <c r="T235" s="176">
        <f t="shared" si="83"/>
        <v>6</v>
      </c>
      <c r="U235" s="251">
        <f t="shared" si="84"/>
        <v>0.45834006013443906</v>
      </c>
      <c r="V235" s="383">
        <f t="shared" si="85"/>
        <v>53.069007399876632</v>
      </c>
      <c r="W235" s="402">
        <f t="shared" si="86"/>
        <v>0</v>
      </c>
      <c r="X235" s="157">
        <f t="shared" si="87"/>
        <v>44782</v>
      </c>
      <c r="Y235" s="385">
        <f t="shared" si="88"/>
        <v>47.51169650436902</v>
      </c>
      <c r="Z235" s="385">
        <f t="shared" si="89"/>
        <v>49.123321266608471</v>
      </c>
      <c r="AA235" s="386">
        <f t="shared" si="90"/>
        <v>53.318631495051108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7.8683756705796831E-2</v>
      </c>
      <c r="AD235" s="231">
        <f>(INDEX(Models!$BJ235:$BT235,,AH235)*(1-AF235)+INDEX(Models!$BJ235:$BT235,,AH235+1)*AF235-ERP_i)*AE235*Ramure*Pc/MaxiM</f>
        <v>1.2731560137782915E-4</v>
      </c>
      <c r="AE235" s="305">
        <f t="shared" si="92"/>
        <v>0.5</v>
      </c>
      <c r="AF235" s="177">
        <f t="shared" si="93"/>
        <v>0.45834006013443906</v>
      </c>
      <c r="AG235" s="811">
        <f t="shared" si="99"/>
        <v>0</v>
      </c>
      <c r="AH235" s="176">
        <f t="shared" si="94"/>
        <v>6</v>
      </c>
      <c r="AI235" s="225">
        <f t="shared" si="95"/>
        <v>0.45834006013443906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44783</v>
      </c>
      <c r="B236" s="1140">
        <v>47.286000000000001</v>
      </c>
      <c r="C236" s="841"/>
      <c r="D236" s="393">
        <f t="shared" si="77"/>
        <v>48.891039842970109</v>
      </c>
      <c r="E236" s="385">
        <f t="shared" si="100"/>
        <v>51.127892611923777</v>
      </c>
      <c r="F236" s="385">
        <f t="shared" si="78"/>
        <v>51.132918833074939</v>
      </c>
      <c r="G236" s="110">
        <f t="shared" si="101"/>
        <v>0.89350398543630716</v>
      </c>
      <c r="H236" s="414" t="b">
        <f>Wh_hp&gt;='2021'!Maxi_hp</f>
        <v>0</v>
      </c>
      <c r="I236" s="380">
        <f>IF(H236,Wh_hp,'2021'!Maxi_hp)</f>
        <v>53.022413412282127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3.2828916057527691E-2</v>
      </c>
      <c r="M236" s="845"/>
      <c r="N236" s="845"/>
      <c r="O236" s="48">
        <f>IF(t&lt;Tnet,'2021'!Resal+('2021'!Salim-'2021'!Resal)*(1-EXP(('2021'!Tnet-t)/('2021'!Tau_j))),Resal+(Salim-Resal)*(1-EXP((Tnet-t)/(Tau_j))))*Salcycl</f>
        <v>4.3750146049086336E-2</v>
      </c>
      <c r="P236" s="339">
        <f>(INDEX(Models!$BJ236:$BT236,,T236)*(1-R236)+INDEX(Models!$BJ236:$BT236,,T236+1)*R236-ERP_i)*Q236*Ramure*Pc/MaxiM</f>
        <v>1.1593214682111462E-4</v>
      </c>
      <c r="Q236" s="305">
        <f t="shared" si="80"/>
        <v>0.5</v>
      </c>
      <c r="R236" s="177">
        <f t="shared" si="81"/>
        <v>0.45979993560033622</v>
      </c>
      <c r="S236" s="811">
        <f t="shared" si="82"/>
        <v>0</v>
      </c>
      <c r="T236" s="176">
        <f t="shared" si="83"/>
        <v>6</v>
      </c>
      <c r="U236" s="251">
        <f t="shared" si="84"/>
        <v>0.45979993560033622</v>
      </c>
      <c r="V236" s="383">
        <f t="shared" si="85"/>
        <v>52.921046577492547</v>
      </c>
      <c r="W236" s="402">
        <f t="shared" si="86"/>
        <v>0</v>
      </c>
      <c r="X236" s="157">
        <f t="shared" si="87"/>
        <v>44783</v>
      </c>
      <c r="Y236" s="385">
        <f t="shared" si="88"/>
        <v>45.556547584808435</v>
      </c>
      <c r="Z236" s="385">
        <f t="shared" si="89"/>
        <v>47.102884216830198</v>
      </c>
      <c r="AA236" s="386">
        <f t="shared" si="90"/>
        <v>51.127892611923777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7.8724316404836348E-2</v>
      </c>
      <c r="AD236" s="231">
        <f>(INDEX(Models!$BJ236:$BT236,,AH236)*(1-AF236)+INDEX(Models!$BJ236:$BT236,,AH236+1)*AF236-ERP_i)*AE236*Ramure*Pc/MaxiM</f>
        <v>1.1593214682111462E-4</v>
      </c>
      <c r="AE236" s="305">
        <f t="shared" si="92"/>
        <v>0.5</v>
      </c>
      <c r="AF236" s="177">
        <f t="shared" si="93"/>
        <v>0.45979993560033622</v>
      </c>
      <c r="AG236" s="811">
        <f t="shared" si="99"/>
        <v>0</v>
      </c>
      <c r="AH236" s="176">
        <f t="shared" si="94"/>
        <v>6</v>
      </c>
      <c r="AI236" s="225">
        <f t="shared" si="95"/>
        <v>0.45979993560033622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44784</v>
      </c>
      <c r="B237" s="1140">
        <v>43.514000000000003</v>
      </c>
      <c r="C237" s="841"/>
      <c r="D237" s="393">
        <f t="shared" si="77"/>
        <v>44.991991398017355</v>
      </c>
      <c r="E237" s="385">
        <f t="shared" si="100"/>
        <v>47.054072405936488</v>
      </c>
      <c r="F237" s="385">
        <f t="shared" si="78"/>
        <v>47.057785354009837</v>
      </c>
      <c r="G237" s="110">
        <f t="shared" si="101"/>
        <v>0.82454808293317183</v>
      </c>
      <c r="H237" s="414" t="b">
        <f>Wh_hp&gt;='2021'!Maxi_hp</f>
        <v>0</v>
      </c>
      <c r="I237" s="380">
        <f>IF(H237,Wh_hp,'2021'!Maxi_hp)</f>
        <v>54.934751797677123</v>
      </c>
      <c r="J237" s="85">
        <f>IF(H237,An,'2021'!An_max)</f>
        <v>2018</v>
      </c>
      <c r="K237" s="197">
        <f t="shared" si="79"/>
        <v>44784</v>
      </c>
      <c r="L237" s="147">
        <f>IF(t&lt;Tvie,1-EXP((T0-t)*PertePVj)+'2021'!Pspv,1-EXP((T0-t)*PertePVj)+Pspv)</f>
        <v>3.2850099586445136E-2</v>
      </c>
      <c r="M237" s="845"/>
      <c r="N237" s="845"/>
      <c r="O237" s="48">
        <f>IF(t&lt;Tnet,'2021'!Resal+('2021'!Salim-'2021'!Resal)*(1-EXP(('2021'!Tnet-t)/('2021'!Tau_j))),Resal+(Salim-Resal)*(1-EXP((Tnet-t)/(Tau_j))))*Salcycl</f>
        <v>4.382364591378006E-2</v>
      </c>
      <c r="P237" s="339">
        <f>(INDEX(Models!$BJ237:$BT237,,T237)*(1-R237)+INDEX(Models!$BJ237:$BT237,,T237+1)*R237-ERP_i)*Q237*Ramure*Pc/MaxiM</f>
        <v>1.0528878442507565E-4</v>
      </c>
      <c r="Q237" s="305">
        <f t="shared" si="80"/>
        <v>0.5</v>
      </c>
      <c r="R237" s="177">
        <f t="shared" si="81"/>
        <v>0.46120974170667872</v>
      </c>
      <c r="S237" s="811">
        <f t="shared" si="82"/>
        <v>0</v>
      </c>
      <c r="T237" s="176">
        <f t="shared" si="83"/>
        <v>6</v>
      </c>
      <c r="U237" s="251">
        <f t="shared" si="84"/>
        <v>0.46120974170667872</v>
      </c>
      <c r="V237" s="383">
        <f t="shared" si="85"/>
        <v>52.771757779321526</v>
      </c>
      <c r="W237" s="402">
        <f t="shared" si="86"/>
        <v>0</v>
      </c>
      <c r="X237" s="157">
        <f t="shared" si="87"/>
        <v>44784</v>
      </c>
      <c r="Y237" s="385">
        <f t="shared" si="88"/>
        <v>41.923892631925391</v>
      </c>
      <c r="Z237" s="385">
        <f t="shared" si="89"/>
        <v>43.347874630394593</v>
      </c>
      <c r="AA237" s="386">
        <f t="shared" si="90"/>
        <v>47.054072405936488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7.8764654918036664E-2</v>
      </c>
      <c r="AD237" s="231">
        <f>(INDEX(Models!$BJ237:$BT237,,AH237)*(1-AF237)+INDEX(Models!$BJ237:$BT237,,AH237+1)*AF237-ERP_i)*AE237*Ramure*Pc/MaxiM</f>
        <v>1.0528878442507565E-4</v>
      </c>
      <c r="AE237" s="305">
        <f t="shared" si="92"/>
        <v>0.5</v>
      </c>
      <c r="AF237" s="177">
        <f t="shared" si="93"/>
        <v>0.46120974170667872</v>
      </c>
      <c r="AG237" s="811">
        <f t="shared" si="99"/>
        <v>0</v>
      </c>
      <c r="AH237" s="176">
        <f t="shared" si="94"/>
        <v>6</v>
      </c>
      <c r="AI237" s="225">
        <f t="shared" si="95"/>
        <v>0.46120974170667872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44785</v>
      </c>
      <c r="B238" s="1140">
        <v>45.667000000000002</v>
      </c>
      <c r="C238" s="841"/>
      <c r="D238" s="393">
        <f t="shared" si="77"/>
        <v>47.21915416305324</v>
      </c>
      <c r="E238" s="385">
        <f t="shared" si="100"/>
        <v>49.387098177873618</v>
      </c>
      <c r="F238" s="385">
        <f t="shared" si="78"/>
        <v>49.390920234377511</v>
      </c>
      <c r="G238" s="110">
        <f t="shared" si="101"/>
        <v>0.86783111348600983</v>
      </c>
      <c r="H238" s="414" t="b">
        <f>Wh_hp&gt;='2021'!Maxi_hp</f>
        <v>0</v>
      </c>
      <c r="I238" s="380">
        <f>IF(H238,Wh_hp,'2021'!Maxi_hp)</f>
        <v>52.198759439863373</v>
      </c>
      <c r="J238" s="85">
        <f>IF(H238,An,'2021'!An_max)</f>
        <v>2018</v>
      </c>
      <c r="K238" s="197">
        <f t="shared" si="79"/>
        <v>44785</v>
      </c>
      <c r="L238" s="147">
        <f>IF(t&lt;Tvie,1-EXP((T0-t)*PertePVj)+'2021'!Pspv,1-EXP((T0-t)*PertePVj)+Pspv)</f>
        <v>3.2871282651389055E-2</v>
      </c>
      <c r="M238" s="845"/>
      <c r="N238" s="845"/>
      <c r="O238" s="48">
        <f>IF(t&lt;Tnet,'2021'!Resal+('2021'!Salim-'2021'!Resal)*(1-EXP(('2021'!Tnet-t)/('2021'!Tau_j))),Resal+(Salim-Resal)*(1-EXP((Tnet-t)/(Tau_j))))*Salcycl</f>
        <v>4.3896970966228147E-2</v>
      </c>
      <c r="P238" s="339">
        <f>(INDEX(Models!$BJ238:$BT238,,T238)*(1-R238)+INDEX(Models!$BJ238:$BT238,,T238+1)*R238-ERP_i)*Q238*Ramure*Pc/MaxiM</f>
        <v>9.5393083115364878E-5</v>
      </c>
      <c r="Q238" s="305">
        <f t="shared" si="80"/>
        <v>0.5</v>
      </c>
      <c r="R238" s="177">
        <f t="shared" si="81"/>
        <v>0.46257088069424479</v>
      </c>
      <c r="S238" s="811">
        <f t="shared" si="82"/>
        <v>0</v>
      </c>
      <c r="T238" s="176">
        <f t="shared" si="83"/>
        <v>6</v>
      </c>
      <c r="U238" s="251">
        <f t="shared" si="84"/>
        <v>0.46257088069424479</v>
      </c>
      <c r="V238" s="383">
        <f t="shared" si="85"/>
        <v>52.6210420394331</v>
      </c>
      <c r="W238" s="402">
        <f t="shared" si="86"/>
        <v>0</v>
      </c>
      <c r="X238" s="157">
        <f t="shared" si="87"/>
        <v>44785</v>
      </c>
      <c r="Y238" s="385">
        <f t="shared" si="88"/>
        <v>43.999675039827359</v>
      </c>
      <c r="Z238" s="385">
        <f t="shared" si="89"/>
        <v>45.495159279783074</v>
      </c>
      <c r="AA238" s="386">
        <f t="shared" si="90"/>
        <v>49.387098177873618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7.8804769700646399E-2</v>
      </c>
      <c r="AD238" s="231">
        <f>(INDEX(Models!$BJ238:$BT238,,AH238)*(1-AF238)+INDEX(Models!$BJ238:$BT238,,AH238+1)*AF238-ERP_i)*AE238*Ramure*Pc/MaxiM</f>
        <v>9.5393083115364878E-5</v>
      </c>
      <c r="AE238" s="305">
        <f t="shared" si="92"/>
        <v>0.5</v>
      </c>
      <c r="AF238" s="177">
        <f t="shared" si="93"/>
        <v>0.46257088069424479</v>
      </c>
      <c r="AG238" s="811">
        <f t="shared" si="99"/>
        <v>0</v>
      </c>
      <c r="AH238" s="176">
        <f t="shared" si="94"/>
        <v>6</v>
      </c>
      <c r="AI238" s="225">
        <f t="shared" si="95"/>
        <v>0.46257088069424479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44786</v>
      </c>
      <c r="B239" s="1140">
        <v>31.811</v>
      </c>
      <c r="C239" s="841"/>
      <c r="D239" s="393">
        <f t="shared" si="77"/>
        <v>32.892929542009171</v>
      </c>
      <c r="E239" s="385">
        <f t="shared" si="100"/>
        <v>34.405754664888157</v>
      </c>
      <c r="F239" s="385">
        <f t="shared" si="78"/>
        <v>34.407053176469759</v>
      </c>
      <c r="G239" s="110">
        <f t="shared" si="101"/>
        <v>0.60625469637998453</v>
      </c>
      <c r="H239" s="414" t="b">
        <f>Wh_hp&gt;='2021'!Maxi_hp</f>
        <v>0</v>
      </c>
      <c r="I239" s="380">
        <f>IF(H239,Wh_hp,'2021'!Maxi_hp)</f>
        <v>49.571963401626377</v>
      </c>
      <c r="J239" s="85">
        <f>IF(H239,An,'2021'!An_max)</f>
        <v>2019</v>
      </c>
      <c r="K239" s="197">
        <f t="shared" si="79"/>
        <v>44786</v>
      </c>
      <c r="L239" s="147">
        <f>IF(t&lt;Tvie,1-EXP((T0-t)*PertePVj)+'2021'!Pspv,1-EXP((T0-t)*PertePVj)+Pspv)</f>
        <v>3.2892465252369329E-2</v>
      </c>
      <c r="M239" s="845"/>
      <c r="N239" s="845"/>
      <c r="O239" s="48">
        <f>IF(t&lt;Tnet,'2021'!Resal+('2021'!Salim-'2021'!Resal)*(1-EXP(('2021'!Tnet-t)/('2021'!Tau_j))),Resal+(Salim-Resal)*(1-EXP((Tnet-t)/(Tau_j))))*Salcycl</f>
        <v>4.3970118883131487E-2</v>
      </c>
      <c r="P239" s="339">
        <f>(INDEX(Models!$BJ239:$BT239,,T239)*(1-R239)+INDEX(Models!$BJ239:$BT239,,T239+1)*R239-ERP_i)*Q239*Ramure*Pc/MaxiM</f>
        <v>8.6252545826661105E-5</v>
      </c>
      <c r="Q239" s="305">
        <f t="shared" si="80"/>
        <v>0.5</v>
      </c>
      <c r="R239" s="177">
        <f t="shared" si="81"/>
        <v>0.4638847390219884</v>
      </c>
      <c r="S239" s="811">
        <f t="shared" si="82"/>
        <v>0</v>
      </c>
      <c r="T239" s="176">
        <f t="shared" si="83"/>
        <v>6</v>
      </c>
      <c r="U239" s="251">
        <f t="shared" si="84"/>
        <v>0.4638847390219884</v>
      </c>
      <c r="V239" s="383">
        <f t="shared" si="85"/>
        <v>52.46880047163971</v>
      </c>
      <c r="W239" s="402">
        <f t="shared" si="86"/>
        <v>0</v>
      </c>
      <c r="X239" s="157">
        <f t="shared" si="87"/>
        <v>44786</v>
      </c>
      <c r="Y239" s="385">
        <f t="shared" si="88"/>
        <v>30.650582362292276</v>
      </c>
      <c r="Z239" s="385">
        <f t="shared" si="89"/>
        <v>31.69304473497937</v>
      </c>
      <c r="AA239" s="386">
        <f t="shared" si="90"/>
        <v>34.405754664888157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7.8844657131650314E-2</v>
      </c>
      <c r="AD239" s="231">
        <f>(INDEX(Models!$BJ239:$BT239,,AH239)*(1-AF239)+INDEX(Models!$BJ239:$BT239,,AH239+1)*AF239-ERP_i)*AE239*Ramure*Pc/MaxiM</f>
        <v>8.6252545826661105E-5</v>
      </c>
      <c r="AE239" s="305">
        <f t="shared" si="92"/>
        <v>0.5</v>
      </c>
      <c r="AF239" s="177">
        <f t="shared" si="93"/>
        <v>0.4638847390219884</v>
      </c>
      <c r="AG239" s="811">
        <f t="shared" si="99"/>
        <v>0</v>
      </c>
      <c r="AH239" s="176">
        <f t="shared" si="94"/>
        <v>6</v>
      </c>
      <c r="AI239" s="225">
        <f t="shared" si="95"/>
        <v>0.4638847390219884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44787</v>
      </c>
      <c r="B240" s="1140">
        <v>33.073</v>
      </c>
      <c r="C240" s="841"/>
      <c r="D240" s="393">
        <f t="shared" si="77"/>
        <v>34.198600684128166</v>
      </c>
      <c r="E240" s="385">
        <f t="shared" si="100"/>
        <v>35.77420719617669</v>
      </c>
      <c r="F240" s="385">
        <f t="shared" si="78"/>
        <v>35.775532961822684</v>
      </c>
      <c r="G240" s="110">
        <f t="shared" si="101"/>
        <v>0.63216460998770463</v>
      </c>
      <c r="H240" s="414" t="b">
        <f>Wh_hp&gt;='2021'!Maxi_hp</f>
        <v>0</v>
      </c>
      <c r="I240" s="380">
        <f>IF(H240,Wh_hp,'2021'!Maxi_hp)</f>
        <v>57.385484130512104</v>
      </c>
      <c r="J240" s="85">
        <f>IF(H240,An,'2021'!An_max)</f>
        <v>2019</v>
      </c>
      <c r="K240" s="197">
        <f t="shared" si="79"/>
        <v>44787</v>
      </c>
      <c r="L240" s="147">
        <f>IF(t&lt;Tvie,1-EXP((T0-t)*PertePVj)+'2021'!Pspv,1-EXP((T0-t)*PertePVj)+Pspv)</f>
        <v>3.2913647389396394E-2</v>
      </c>
      <c r="M240" s="845"/>
      <c r="N240" s="845"/>
      <c r="O240" s="48">
        <f>IF(t&lt;Tnet,'2021'!Resal+('2021'!Salim-'2021'!Resal)*(1-EXP(('2021'!Tnet-t)/('2021'!Tau_j))),Resal+(Salim-Resal)*(1-EXP((Tnet-t)/(Tau_j))))*Salcycl</f>
        <v>4.4043086780604229E-2</v>
      </c>
      <c r="P240" s="339">
        <f>(INDEX(Models!$BJ240:$BT240,,T240)*(1-R240)+INDEX(Models!$BJ240:$BT240,,T240+1)*R240-ERP_i)*Q240*Ramure*Pc/MaxiM</f>
        <v>7.8089279241602162E-5</v>
      </c>
      <c r="Q240" s="305">
        <f t="shared" si="80"/>
        <v>0.5</v>
      </c>
      <c r="R240" s="177">
        <f t="shared" si="81"/>
        <v>0.46515268558293732</v>
      </c>
      <c r="S240" s="811">
        <f t="shared" si="82"/>
        <v>0</v>
      </c>
      <c r="T240" s="176">
        <f t="shared" si="83"/>
        <v>6</v>
      </c>
      <c r="U240" s="251">
        <f t="shared" si="84"/>
        <v>0.46515268558293732</v>
      </c>
      <c r="V240" s="383">
        <f t="shared" si="85"/>
        <v>52.31492303738117</v>
      </c>
      <c r="W240" s="402">
        <f t="shared" si="86"/>
        <v>0</v>
      </c>
      <c r="X240" s="157">
        <f t="shared" si="87"/>
        <v>44787</v>
      </c>
      <c r="Y240" s="385">
        <f t="shared" si="88"/>
        <v>31.867606905807971</v>
      </c>
      <c r="Z240" s="385">
        <f t="shared" si="89"/>
        <v>32.952183452680188</v>
      </c>
      <c r="AA240" s="386">
        <f t="shared" si="90"/>
        <v>35.77420719617669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7.8884312600450826E-2</v>
      </c>
      <c r="AD240" s="231">
        <f>(INDEX(Models!$BJ240:$BT240,,AH240)*(1-AF240)+INDEX(Models!$BJ240:$BT240,,AH240+1)*AF240-ERP_i)*AE240*Ramure*Pc/MaxiM</f>
        <v>7.8089279241602162E-5</v>
      </c>
      <c r="AE240" s="305">
        <f t="shared" si="92"/>
        <v>0.5</v>
      </c>
      <c r="AF240" s="177">
        <f t="shared" si="93"/>
        <v>0.46515268558293732</v>
      </c>
      <c r="AG240" s="811">
        <f t="shared" si="99"/>
        <v>0</v>
      </c>
      <c r="AH240" s="176">
        <f t="shared" si="94"/>
        <v>6</v>
      </c>
      <c r="AI240" s="225">
        <f t="shared" si="95"/>
        <v>0.46515268558293732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44788</v>
      </c>
      <c r="B241" s="1140">
        <v>37.922000000000004</v>
      </c>
      <c r="C241" s="841"/>
      <c r="D241" s="393">
        <f t="shared" si="77"/>
        <v>39.213489576133306</v>
      </c>
      <c r="E241" s="385">
        <f t="shared" si="100"/>
        <v>41.023266729759925</v>
      </c>
      <c r="F241" s="385">
        <f t="shared" si="78"/>
        <v>41.025028790113403</v>
      </c>
      <c r="G241" s="110">
        <f t="shared" si="101"/>
        <v>0.72702148208742456</v>
      </c>
      <c r="H241" s="414" t="b">
        <f>Wh_hp&gt;='2021'!Maxi_hp</f>
        <v>0</v>
      </c>
      <c r="I241" s="380">
        <f>IF(H241,Wh_hp,'2021'!Maxi_hp)</f>
        <v>56.300151621417385</v>
      </c>
      <c r="J241" s="85">
        <f>IF(H241,An,'2021'!An_max)</f>
        <v>2018</v>
      </c>
      <c r="K241" s="197">
        <f t="shared" si="79"/>
        <v>44788</v>
      </c>
      <c r="L241" s="147">
        <f>IF(t&lt;Tvie,1-EXP((T0-t)*PertePVj)+'2021'!Pspv,1-EXP((T0-t)*PertePVj)+Pspv)</f>
        <v>3.2934829062480242E-2</v>
      </c>
      <c r="M241" s="845"/>
      <c r="N241" s="845"/>
      <c r="O241" s="48">
        <f>IF(t&lt;Tnet,'2021'!Resal+('2021'!Salim-'2021'!Resal)*(1-EXP(('2021'!Tnet-t)/('2021'!Tau_j))),Resal+(Salim-Resal)*(1-EXP((Tnet-t)/(Tau_j))))*Salcycl</f>
        <v>4.411587125785215E-2</v>
      </c>
      <c r="P241" s="339">
        <f>(INDEX(Models!$BJ241:$BT241,,T241)*(1-R241)+INDEX(Models!$BJ241:$BT241,,T241+1)*R241-ERP_i)*Q241*Ramure*Pc/MaxiM</f>
        <v>7.0404416159857401E-5</v>
      </c>
      <c r="Q241" s="305">
        <f t="shared" si="80"/>
        <v>0.5</v>
      </c>
      <c r="R241" s="177">
        <f t="shared" si="81"/>
        <v>0.46637607010597754</v>
      </c>
      <c r="S241" s="811">
        <f t="shared" si="82"/>
        <v>0</v>
      </c>
      <c r="T241" s="176">
        <f t="shared" si="83"/>
        <v>6</v>
      </c>
      <c r="U241" s="251">
        <f t="shared" si="84"/>
        <v>0.46637607010597754</v>
      </c>
      <c r="V241" s="383">
        <f t="shared" si="85"/>
        <v>52.159337510531039</v>
      </c>
      <c r="W241" s="402">
        <f t="shared" si="86"/>
        <v>0</v>
      </c>
      <c r="X241" s="157">
        <f t="shared" si="87"/>
        <v>44788</v>
      </c>
      <c r="Y241" s="385">
        <f t="shared" si="88"/>
        <v>36.541096601850057</v>
      </c>
      <c r="Z241" s="385">
        <f t="shared" si="89"/>
        <v>37.785557478432764</v>
      </c>
      <c r="AA241" s="386">
        <f t="shared" si="90"/>
        <v>41.023266729759925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7.8923730590630847E-2</v>
      </c>
      <c r="AD241" s="231">
        <f>(INDEX(Models!$BJ241:$BT241,,AH241)*(1-AF241)+INDEX(Models!$BJ241:$BT241,,AH241+1)*AF241-ERP_i)*AE241*Ramure*Pc/MaxiM</f>
        <v>7.0404416159857401E-5</v>
      </c>
      <c r="AE241" s="305">
        <f t="shared" si="92"/>
        <v>0.5</v>
      </c>
      <c r="AF241" s="177">
        <f t="shared" si="93"/>
        <v>0.46637607010597754</v>
      </c>
      <c r="AG241" s="811">
        <f t="shared" si="99"/>
        <v>0</v>
      </c>
      <c r="AH241" s="176">
        <f t="shared" si="94"/>
        <v>6</v>
      </c>
      <c r="AI241" s="225">
        <f t="shared" si="95"/>
        <v>0.46637607010597754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44789</v>
      </c>
      <c r="B242" s="1140">
        <v>31.855</v>
      </c>
      <c r="C242" s="841"/>
      <c r="D242" s="393">
        <f t="shared" si="77"/>
        <v>32.940590436788398</v>
      </c>
      <c r="E242" s="385">
        <f t="shared" si="100"/>
        <v>34.463478781208714</v>
      </c>
      <c r="F242" s="385">
        <f t="shared" si="78"/>
        <v>34.464451433297413</v>
      </c>
      <c r="G242" s="110">
        <f t="shared" si="101"/>
        <v>0.61255180965176603</v>
      </c>
      <c r="H242" s="414" t="b">
        <f>Wh_hp&gt;='2021'!Maxi_hp</f>
        <v>0</v>
      </c>
      <c r="I242" s="380">
        <f>IF(H242,Wh_hp,'2021'!Maxi_hp)</f>
        <v>56.421516120211891</v>
      </c>
      <c r="J242" s="85">
        <f>IF(H242,An,'2021'!An_max)</f>
        <v>2019</v>
      </c>
      <c r="K242" s="197">
        <f t="shared" si="79"/>
        <v>44789</v>
      </c>
      <c r="L242" s="147">
        <f>IF(t&lt;Tvie,1-EXP((T0-t)*PertePVj)+'2021'!Pspv,1-EXP((T0-t)*PertePVj)+Pspv)</f>
        <v>3.2956010271631198E-2</v>
      </c>
      <c r="M242" s="845"/>
      <c r="N242" s="845"/>
      <c r="O242" s="48">
        <f>IF(t&lt;Tnet,'2021'!Resal+('2021'!Salim-'2021'!Resal)*(1-EXP(('2021'!Tnet-t)/('2021'!Tau_j))),Resal+(Salim-Resal)*(1-EXP((Tnet-t)/(Tau_j))))*Salcycl</f>
        <v>4.4188468438963187E-2</v>
      </c>
      <c r="P242" s="339">
        <f>(INDEX(Models!$BJ242:$BT242,,T242)*(1-R242)+INDEX(Models!$BJ242:$BT242,,T242+1)*R242-ERP_i)*Q242*Ramure*Pc/MaxiM</f>
        <v>6.320222991172873E-5</v>
      </c>
      <c r="Q242" s="305">
        <f t="shared" si="80"/>
        <v>0.5</v>
      </c>
      <c r="R242" s="177">
        <f t="shared" si="81"/>
        <v>0.4675562217339963</v>
      </c>
      <c r="S242" s="811">
        <f t="shared" si="82"/>
        <v>0</v>
      </c>
      <c r="T242" s="176">
        <f t="shared" si="83"/>
        <v>6</v>
      </c>
      <c r="U242" s="251">
        <f t="shared" si="84"/>
        <v>0.4675562217339963</v>
      </c>
      <c r="V242" s="383">
        <f t="shared" si="85"/>
        <v>52.001945252686362</v>
      </c>
      <c r="W242" s="402">
        <f t="shared" si="86"/>
        <v>0</v>
      </c>
      <c r="X242" s="157">
        <f t="shared" si="87"/>
        <v>44789</v>
      </c>
      <c r="Y242" s="385">
        <f t="shared" si="88"/>
        <v>30.696048017919438</v>
      </c>
      <c r="Z242" s="385">
        <f t="shared" si="89"/>
        <v>31.742142388519053</v>
      </c>
      <c r="AA242" s="386">
        <f t="shared" si="90"/>
        <v>34.463478781208714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7.8962904759732999E-2</v>
      </c>
      <c r="AD242" s="231">
        <f>(INDEX(Models!$BJ242:$BT242,,AH242)*(1-AF242)+INDEX(Models!$BJ242:$BT242,,AH242+1)*AF242-ERP_i)*AE242*Ramure*Pc/MaxiM</f>
        <v>6.320222991172873E-5</v>
      </c>
      <c r="AE242" s="305">
        <f t="shared" si="92"/>
        <v>0.5</v>
      </c>
      <c r="AF242" s="177">
        <f t="shared" si="93"/>
        <v>0.4675562217339963</v>
      </c>
      <c r="AG242" s="811">
        <f t="shared" si="99"/>
        <v>0</v>
      </c>
      <c r="AH242" s="176">
        <f t="shared" si="94"/>
        <v>6</v>
      </c>
      <c r="AI242" s="225">
        <f t="shared" si="95"/>
        <v>0.4675562217339963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44790</v>
      </c>
      <c r="B243" s="1140">
        <v>21.897000000000002</v>
      </c>
      <c r="C243" s="841"/>
      <c r="D243" s="393">
        <f t="shared" si="77"/>
        <v>22.643726493923637</v>
      </c>
      <c r="E243" s="385">
        <f t="shared" si="100"/>
        <v>23.692371566897336</v>
      </c>
      <c r="F243" s="385">
        <f t="shared" si="78"/>
        <v>23.692605533261297</v>
      </c>
      <c r="G243" s="110">
        <f t="shared" si="101"/>
        <v>0.42235457303109575</v>
      </c>
      <c r="H243" s="414" t="b">
        <f>Wh_hp&gt;='2021'!Maxi_hp</f>
        <v>0</v>
      </c>
      <c r="I243" s="380">
        <f>IF(H243,Wh_hp,'2021'!Maxi_hp)</f>
        <v>55.293372982977111</v>
      </c>
      <c r="J243" s="85">
        <f>IF(H243,An,'2021'!An_max)</f>
        <v>2019</v>
      </c>
      <c r="K243" s="197">
        <f t="shared" si="79"/>
        <v>44790</v>
      </c>
      <c r="L243" s="147">
        <f>IF(t&lt;Tvie,1-EXP((T0-t)*PertePVj)+'2021'!Pspv,1-EXP((T0-t)*PertePVj)+Pspv)</f>
        <v>3.2977191016859142E-2</v>
      </c>
      <c r="M243" s="845"/>
      <c r="N243" s="845"/>
      <c r="O243" s="48">
        <f>IF(t&lt;Tnet,'2021'!Resal+('2021'!Salim-'2021'!Resal)*(1-EXP(('2021'!Tnet-t)/('2021'!Tau_j))),Resal+(Salim-Resal)*(1-EXP((Tnet-t)/(Tau_j))))*Salcycl</f>
        <v>4.4260874012243372E-2</v>
      </c>
      <c r="P243" s="339">
        <f>(INDEX(Models!$BJ243:$BT243,,T243)*(1-R243)+INDEX(Models!$BJ243:$BT243,,T243+1)*R243-ERP_i)*Q243*Ramure*Pc/MaxiM</f>
        <v>5.6487006510243838E-5</v>
      </c>
      <c r="Q243" s="305">
        <f t="shared" si="80"/>
        <v>0.5</v>
      </c>
      <c r="R243" s="177">
        <f t="shared" si="81"/>
        <v>0.46869444776884894</v>
      </c>
      <c r="S243" s="811">
        <f t="shared" si="82"/>
        <v>0</v>
      </c>
      <c r="T243" s="176">
        <f t="shared" si="83"/>
        <v>6</v>
      </c>
      <c r="U243" s="251">
        <f t="shared" si="84"/>
        <v>0.46869444776884894</v>
      </c>
      <c r="V243" s="383">
        <f t="shared" si="85"/>
        <v>51.84264768679008</v>
      </c>
      <c r="W243" s="402">
        <f t="shared" si="86"/>
        <v>0</v>
      </c>
      <c r="X243" s="157">
        <f t="shared" si="87"/>
        <v>44790</v>
      </c>
      <c r="Y243" s="385">
        <f t="shared" si="88"/>
        <v>21.101047789722966</v>
      </c>
      <c r="Z243" s="385">
        <f t="shared" si="89"/>
        <v>21.820630903123654</v>
      </c>
      <c r="AA243" s="386">
        <f t="shared" si="90"/>
        <v>23.692371566897336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7.900182801407922E-2</v>
      </c>
      <c r="AD243" s="231">
        <f>(INDEX(Models!$BJ243:$BT243,,AH243)*(1-AF243)+INDEX(Models!$BJ243:$BT243,,AH243+1)*AF243-ERP_i)*AE243*Ramure*Pc/MaxiM</f>
        <v>5.6487006510243838E-5</v>
      </c>
      <c r="AE243" s="305">
        <f t="shared" si="92"/>
        <v>0.5</v>
      </c>
      <c r="AF243" s="177">
        <f t="shared" si="93"/>
        <v>0.46869444776884894</v>
      </c>
      <c r="AG243" s="811">
        <f t="shared" si="99"/>
        <v>0</v>
      </c>
      <c r="AH243" s="176">
        <f t="shared" si="94"/>
        <v>6</v>
      </c>
      <c r="AI243" s="225">
        <f t="shared" si="95"/>
        <v>0.46869444776884894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44791</v>
      </c>
      <c r="B244" s="1140">
        <v>38.102000000000004</v>
      </c>
      <c r="C244" s="841"/>
      <c r="D244" s="393">
        <f t="shared" si="77"/>
        <v>39.402208713082466</v>
      </c>
      <c r="E244" s="385">
        <f t="shared" si="100"/>
        <v>41.230064600084667</v>
      </c>
      <c r="F244" s="385">
        <f t="shared" si="78"/>
        <v>41.231359114602171</v>
      </c>
      <c r="G244" s="110">
        <f t="shared" si="101"/>
        <v>0.73723468619387278</v>
      </c>
      <c r="H244" s="414" t="b">
        <f>Wh_hp&gt;='2021'!Maxi_hp</f>
        <v>0</v>
      </c>
      <c r="I244" s="380">
        <f>IF(H244,Wh_hp,'2021'!Maxi_hp)</f>
        <v>53.147705265054185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3.2998371298174511E-2</v>
      </c>
      <c r="M244" s="845"/>
      <c r="N244" s="845"/>
      <c r="O244" s="48">
        <f>IF(t&lt;Tnet,'2021'!Resal+('2021'!Salim-'2021'!Resal)*(1-EXP(('2021'!Tnet-t)/('2021'!Tau_j))),Resal+(Salim-Resal)*(1-EXP((Tnet-t)/(Tau_j))))*Salcycl</f>
        <v>4.433308326658425E-2</v>
      </c>
      <c r="P244" s="339">
        <f>(INDEX(Models!$BJ244:$BT244,,T244)*(1-R244)+INDEX(Models!$BJ244:$BT244,,T244+1)*R244-ERP_i)*Q244*Ramure*Pc/MaxiM</f>
        <v>5.02630560684688E-5</v>
      </c>
      <c r="Q244" s="305">
        <f t="shared" si="80"/>
        <v>0.5</v>
      </c>
      <c r="R244" s="177">
        <f t="shared" si="81"/>
        <v>0.46979203257366253</v>
      </c>
      <c r="S244" s="811">
        <f t="shared" si="82"/>
        <v>0</v>
      </c>
      <c r="T244" s="176">
        <f t="shared" si="83"/>
        <v>6</v>
      </c>
      <c r="U244" s="251">
        <f t="shared" si="84"/>
        <v>0.46979203257366253</v>
      </c>
      <c r="V244" s="383">
        <f t="shared" si="85"/>
        <v>51.681346295860251</v>
      </c>
      <c r="W244" s="402">
        <f t="shared" si="86"/>
        <v>0</v>
      </c>
      <c r="X244" s="157">
        <f t="shared" si="87"/>
        <v>44791</v>
      </c>
      <c r="Y244" s="385">
        <f t="shared" si="88"/>
        <v>36.71823156936879</v>
      </c>
      <c r="Z244" s="385">
        <f t="shared" si="89"/>
        <v>37.971219985081163</v>
      </c>
      <c r="AA244" s="386">
        <f t="shared" si="90"/>
        <v>41.230064600084667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7.904049257775872E-2</v>
      </c>
      <c r="AD244" s="231">
        <f>(INDEX(Models!$BJ244:$BT244,,AH244)*(1-AF244)+INDEX(Models!$BJ244:$BT244,,AH244+1)*AF244-ERP_i)*AE244*Ramure*Pc/MaxiM</f>
        <v>5.02630560684688E-5</v>
      </c>
      <c r="AE244" s="305">
        <f t="shared" si="92"/>
        <v>0.5</v>
      </c>
      <c r="AF244" s="177">
        <f t="shared" si="93"/>
        <v>0.46979203257366253</v>
      </c>
      <c r="AG244" s="811">
        <f t="shared" si="99"/>
        <v>0</v>
      </c>
      <c r="AH244" s="176">
        <f t="shared" si="94"/>
        <v>6</v>
      </c>
      <c r="AI244" s="225">
        <f t="shared" si="95"/>
        <v>0.46979203257366253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44792</v>
      </c>
      <c r="B245" s="1140">
        <v>39.451000000000001</v>
      </c>
      <c r="C245" s="841"/>
      <c r="D245" s="393">
        <f t="shared" si="77"/>
        <v>40.798136141753311</v>
      </c>
      <c r="E245" s="385">
        <f t="shared" si="100"/>
        <v>42.693965573507128</v>
      </c>
      <c r="F245" s="385">
        <f t="shared" si="78"/>
        <v>42.695230756953272</v>
      </c>
      <c r="G245" s="110">
        <f t="shared" si="101"/>
        <v>0.76576062792450195</v>
      </c>
      <c r="H245" s="414" t="b">
        <f>Wh_hp&gt;='2021'!Maxi_hp</f>
        <v>0</v>
      </c>
      <c r="I245" s="380">
        <f>IF(H245,Wh_hp,'2021'!Maxi_hp)</f>
        <v>53.076716411968974</v>
      </c>
      <c r="J245" s="85">
        <f>IF(H245,An,'2021'!An_max)</f>
        <v>2018</v>
      </c>
      <c r="K245" s="197">
        <f t="shared" si="79"/>
        <v>44792</v>
      </c>
      <c r="L245" s="147">
        <f>IF(t&lt;Tvie,1-EXP((T0-t)*PertePVj)+'2021'!Pspv,1-EXP((T0-t)*PertePVj)+Pspv)</f>
        <v>3.3019551115587298E-2</v>
      </c>
      <c r="M245" s="845"/>
      <c r="N245" s="845"/>
      <c r="O245" s="48">
        <f>IF(t&lt;Tnet,'2021'!Resal+('2021'!Salim-'2021'!Resal)*(1-EXP(('2021'!Tnet-t)/('2021'!Tau_j))),Resal+(Salim-Resal)*(1-EXP((Tnet-t)/(Tau_j))))*Salcycl</f>
        <v>4.4405091124405528E-2</v>
      </c>
      <c r="P245" s="339">
        <f>(INDEX(Models!$BJ245:$BT245,,T245)*(1-R245)+INDEX(Models!$BJ245:$BT245,,T245+1)*R245-ERP_i)*Q245*Ramure*Pc/MaxiM</f>
        <v>4.4534723627151307E-5</v>
      </c>
      <c r="Q245" s="305">
        <f t="shared" si="80"/>
        <v>0.5</v>
      </c>
      <c r="R245" s="177">
        <f t="shared" si="81"/>
        <v>0.47085023662310188</v>
      </c>
      <c r="S245" s="811">
        <f t="shared" si="82"/>
        <v>0</v>
      </c>
      <c r="T245" s="176">
        <f t="shared" si="83"/>
        <v>6</v>
      </c>
      <c r="U245" s="251">
        <f t="shared" si="84"/>
        <v>0.47085023662310188</v>
      </c>
      <c r="V245" s="383">
        <f t="shared" si="85"/>
        <v>51.517942620799168</v>
      </c>
      <c r="W245" s="402">
        <f t="shared" si="86"/>
        <v>0</v>
      </c>
      <c r="X245" s="157">
        <f t="shared" si="87"/>
        <v>44792</v>
      </c>
      <c r="Y245" s="385">
        <f t="shared" si="88"/>
        <v>38.019518910150651</v>
      </c>
      <c r="Z245" s="385">
        <f t="shared" si="89"/>
        <v>39.31777416390689</v>
      </c>
      <c r="AA245" s="386">
        <f t="shared" si="90"/>
        <v>42.693965573507128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7.9078890055021389E-2</v>
      </c>
      <c r="AD245" s="231">
        <f>(INDEX(Models!$BJ245:$BT245,,AH245)*(1-AF245)+INDEX(Models!$BJ245:$BT245,,AH245+1)*AF245-ERP_i)*AE245*Ramure*Pc/MaxiM</f>
        <v>4.4534723627151307E-5</v>
      </c>
      <c r="AE245" s="305">
        <f t="shared" si="92"/>
        <v>0.5</v>
      </c>
      <c r="AF245" s="177">
        <f t="shared" si="93"/>
        <v>0.47085023662310188</v>
      </c>
      <c r="AG245" s="811">
        <f t="shared" si="99"/>
        <v>0</v>
      </c>
      <c r="AH245" s="176">
        <f t="shared" si="94"/>
        <v>6</v>
      </c>
      <c r="AI245" s="225">
        <f t="shared" si="95"/>
        <v>0.47085023662310188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44793</v>
      </c>
      <c r="B246" s="1140">
        <v>46.983000000000004</v>
      </c>
      <c r="C246" s="841"/>
      <c r="D246" s="393">
        <f t="shared" si="77"/>
        <v>48.588396099448119</v>
      </c>
      <c r="E246" s="385">
        <f t="shared" si="100"/>
        <v>50.85004821058957</v>
      </c>
      <c r="F246" s="385">
        <f t="shared" si="78"/>
        <v>50.851804056248255</v>
      </c>
      <c r="G246" s="110">
        <f t="shared" si="101"/>
        <v>0.91491015048253954</v>
      </c>
      <c r="H246" s="414" t="b">
        <f>Wh_hp&gt;='2021'!Maxi_hp</f>
        <v>0</v>
      </c>
      <c r="I246" s="380">
        <f>IF(H246,Wh_hp,'2021'!Maxi_hp)</f>
        <v>53.656818151544883</v>
      </c>
      <c r="J246" s="85">
        <f>IF(H246,An,'2021'!An_max)</f>
        <v>2018</v>
      </c>
      <c r="K246" s="197">
        <f t="shared" si="79"/>
        <v>44793</v>
      </c>
      <c r="L246" s="147">
        <f>IF(t&lt;Tvie,1-EXP((T0-t)*PertePVj)+'2021'!Pspv,1-EXP((T0-t)*PertePVj)+Pspv)</f>
        <v>3.3040730469107826E-2</v>
      </c>
      <c r="M246" s="845"/>
      <c r="N246" s="845"/>
      <c r="O246" s="48">
        <f>IF(t&lt;Tnet,'2021'!Resal+('2021'!Salim-'2021'!Resal)*(1-EXP(('2021'!Tnet-t)/('2021'!Tau_j))),Resal+(Salim-Resal)*(1-EXP((Tnet-t)/(Tau_j))))*Salcycl</f>
        <v>4.4476892170781865E-2</v>
      </c>
      <c r="P246" s="339">
        <f>(INDEX(Models!$BJ246:$BT246,,T246)*(1-R246)+INDEX(Models!$BJ246:$BT246,,T246+1)*R246-ERP_i)*Q246*Ramure*Pc/MaxiM</f>
        <v>3.9306399491774587E-5</v>
      </c>
      <c r="Q246" s="305">
        <f t="shared" si="80"/>
        <v>0.5</v>
      </c>
      <c r="R246" s="177">
        <f t="shared" si="81"/>
        <v>0.47187029569238714</v>
      </c>
      <c r="S246" s="811">
        <f t="shared" si="82"/>
        <v>0</v>
      </c>
      <c r="T246" s="176">
        <f t="shared" si="83"/>
        <v>6</v>
      </c>
      <c r="U246" s="251">
        <f t="shared" si="84"/>
        <v>0.47187029569238714</v>
      </c>
      <c r="V246" s="383">
        <f t="shared" si="85"/>
        <v>51.352338255143906</v>
      </c>
      <c r="W246" s="402">
        <f t="shared" si="86"/>
        <v>0</v>
      </c>
      <c r="X246" s="157">
        <f t="shared" si="87"/>
        <v>44793</v>
      </c>
      <c r="Y246" s="385">
        <f t="shared" si="88"/>
        <v>45.279747914911418</v>
      </c>
      <c r="Z246" s="385">
        <f t="shared" si="89"/>
        <v>46.826944362277331</v>
      </c>
      <c r="AA246" s="386">
        <f t="shared" si="90"/>
        <v>50.85004821058957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7.9117011485436997E-2</v>
      </c>
      <c r="AD246" s="231">
        <f>(INDEX(Models!$BJ246:$BT246,,AH246)*(1-AF246)+INDEX(Models!$BJ246:$BT246,,AH246+1)*AF246-ERP_i)*AE246*Ramure*Pc/MaxiM</f>
        <v>3.9306399491774587E-5</v>
      </c>
      <c r="AE246" s="305">
        <f t="shared" si="92"/>
        <v>0.5</v>
      </c>
      <c r="AF246" s="177">
        <f t="shared" si="93"/>
        <v>0.47187029569238714</v>
      </c>
      <c r="AG246" s="811">
        <f t="shared" si="99"/>
        <v>0</v>
      </c>
      <c r="AH246" s="176">
        <f t="shared" si="94"/>
        <v>6</v>
      </c>
      <c r="AI246" s="225">
        <f t="shared" si="95"/>
        <v>0.47187029569238714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44794</v>
      </c>
      <c r="B247" s="1140">
        <v>31.673000000000002</v>
      </c>
      <c r="C247" s="841"/>
      <c r="D247" s="393">
        <f t="shared" si="77"/>
        <v>32.755975079019905</v>
      </c>
      <c r="E247" s="385">
        <f t="shared" si="100"/>
        <v>34.283241395940969</v>
      </c>
      <c r="F247" s="385">
        <f t="shared" si="78"/>
        <v>34.283781302445746</v>
      </c>
      <c r="G247" s="110">
        <f t="shared" si="101"/>
        <v>0.61876596548181961</v>
      </c>
      <c r="H247" s="414" t="b">
        <f>Wh_hp&gt;='2021'!Maxi_hp</f>
        <v>0</v>
      </c>
      <c r="I247" s="380">
        <f>IF(H247,Wh_hp,'2021'!Maxi_hp)</f>
        <v>54.498162972904758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3.3061909358746089E-2</v>
      </c>
      <c r="M247" s="845"/>
      <c r="N247" s="845"/>
      <c r="O247" s="48">
        <f>IF(t&lt;Tnet,'2021'!Resal+('2021'!Salim-'2021'!Resal)*(1-EXP(('2021'!Tnet-t)/('2021'!Tau_j))),Resal+(Salim-Resal)*(1-EXP((Tnet-t)/(Tau_j))))*Salcycl</f>
        <v>4.4548480678431035E-2</v>
      </c>
      <c r="P247" s="339">
        <f>(INDEX(Models!$BJ247:$BT247,,T247)*(1-R247)+INDEX(Models!$BJ247:$BT247,,T247+1)*R247-ERP_i)*Q247*Ramure*Pc/MaxiM</f>
        <v>3.4581200122137713E-5</v>
      </c>
      <c r="Q247" s="305">
        <f t="shared" si="80"/>
        <v>0.5</v>
      </c>
      <c r="R247" s="177">
        <f t="shared" si="81"/>
        <v>0.47285342017605136</v>
      </c>
      <c r="S247" s="811">
        <f t="shared" si="82"/>
        <v>0</v>
      </c>
      <c r="T247" s="176">
        <f t="shared" si="83"/>
        <v>6</v>
      </c>
      <c r="U247" s="251">
        <f t="shared" si="84"/>
        <v>0.47285342017605136</v>
      </c>
      <c r="V247" s="383">
        <f t="shared" si="85"/>
        <v>51.186402062519271</v>
      </c>
      <c r="W247" s="402">
        <f t="shared" si="86"/>
        <v>0</v>
      </c>
      <c r="X247" s="157">
        <f t="shared" si="87"/>
        <v>44794</v>
      </c>
      <c r="Y247" s="385">
        <f t="shared" si="88"/>
        <v>30.525806834537029</v>
      </c>
      <c r="Z247" s="385">
        <f t="shared" si="89"/>
        <v>31.569556655165925</v>
      </c>
      <c r="AA247" s="386">
        <f t="shared" si="90"/>
        <v>34.283241395940969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7.9154847391306959E-2</v>
      </c>
      <c r="AD247" s="231">
        <f>(INDEX(Models!$BJ247:$BT247,,AH247)*(1-AF247)+INDEX(Models!$BJ247:$BT247,,AH247+1)*AF247-ERP_i)*AE247*Ramure*Pc/MaxiM</f>
        <v>3.4581200122137713E-5</v>
      </c>
      <c r="AE247" s="305">
        <f t="shared" si="92"/>
        <v>0.5</v>
      </c>
      <c r="AF247" s="177">
        <f t="shared" si="93"/>
        <v>0.47285342017605136</v>
      </c>
      <c r="AG247" s="811">
        <f t="shared" si="99"/>
        <v>0</v>
      </c>
      <c r="AH247" s="176">
        <f t="shared" si="94"/>
        <v>6</v>
      </c>
      <c r="AI247" s="225">
        <f t="shared" si="95"/>
        <v>0.47285342017605136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44795</v>
      </c>
      <c r="B248" s="1140">
        <v>24.677</v>
      </c>
      <c r="C248" s="841"/>
      <c r="D248" s="393">
        <f t="shared" si="77"/>
        <v>25.521324209189618</v>
      </c>
      <c r="E248" s="385">
        <f t="shared" si="100"/>
        <v>26.713266154811716</v>
      </c>
      <c r="F248" s="385">
        <f t="shared" si="78"/>
        <v>26.713479884536774</v>
      </c>
      <c r="G248" s="110">
        <f t="shared" si="101"/>
        <v>0.48364766067597403</v>
      </c>
      <c r="H248" s="414" t="b">
        <f>Wh_hp&gt;='2021'!Maxi_hp</f>
        <v>0</v>
      </c>
      <c r="I248" s="380">
        <f>IF(H248,Wh_hp,'2021'!Maxi_hp)</f>
        <v>56.835581680919191</v>
      </c>
      <c r="J248" s="85">
        <f>IF(H248,An,'2021'!An_max)</f>
        <v>2019</v>
      </c>
      <c r="K248" s="197">
        <f t="shared" si="79"/>
        <v>44795</v>
      </c>
      <c r="L248" s="147">
        <f>IF(t&lt;Tvie,1-EXP((T0-t)*PertePVj)+'2021'!Pspv,1-EXP((T0-t)*PertePVj)+Pspv)</f>
        <v>3.3083087784512299E-2</v>
      </c>
      <c r="M248" s="845"/>
      <c r="N248" s="845"/>
      <c r="O248" s="48">
        <f>IF(t&lt;Tnet,'2021'!Resal+('2021'!Salim-'2021'!Resal)*(1-EXP(('2021'!Tnet-t)/('2021'!Tau_j))),Resal+(Salim-Resal)*(1-EXP((Tnet-t)/(Tau_j))))*Salcycl</f>
        <v>4.4619850628314105E-2</v>
      </c>
      <c r="P248" s="339">
        <f>(INDEX(Models!$BJ248:$BT248,,T248)*(1-R248)+INDEX(Models!$BJ248:$BT248,,T248+1)*R248-ERP_i)*Q248*Ramure*Pc/MaxiM</f>
        <v>3.0494489935936015E-5</v>
      </c>
      <c r="Q248" s="305">
        <f t="shared" si="80"/>
        <v>0.5</v>
      </c>
      <c r="R248" s="177">
        <f t="shared" si="81"/>
        <v>0.47380079452766977</v>
      </c>
      <c r="S248" s="811">
        <f t="shared" si="82"/>
        <v>0</v>
      </c>
      <c r="T248" s="176">
        <f t="shared" si="83"/>
        <v>6</v>
      </c>
      <c r="U248" s="251">
        <f t="shared" si="84"/>
        <v>0.47380079452766977</v>
      </c>
      <c r="V248" s="383">
        <f t="shared" si="85"/>
        <v>51.021532668552638</v>
      </c>
      <c r="W248" s="402">
        <f t="shared" si="86"/>
        <v>0</v>
      </c>
      <c r="X248" s="157">
        <f t="shared" si="87"/>
        <v>44795</v>
      </c>
      <c r="Y248" s="385">
        <f t="shared" si="88"/>
        <v>23.784008345562711</v>
      </c>
      <c r="Z248" s="385">
        <f t="shared" si="89"/>
        <v>24.597778821622466</v>
      </c>
      <c r="AA248" s="386">
        <f t="shared" si="90"/>
        <v>26.713266154811716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7.9192387816949775E-2</v>
      </c>
      <c r="AD248" s="231">
        <f>(INDEX(Models!$BJ248:$BT248,,AH248)*(1-AF248)+INDEX(Models!$BJ248:$BT248,,AH248+1)*AF248-ERP_i)*AE248*Ramure*Pc/MaxiM</f>
        <v>3.0494489935936015E-5</v>
      </c>
      <c r="AE248" s="305">
        <f t="shared" si="92"/>
        <v>0.5</v>
      </c>
      <c r="AF248" s="177">
        <f t="shared" si="93"/>
        <v>0.47380079452766977</v>
      </c>
      <c r="AG248" s="811">
        <f t="shared" si="99"/>
        <v>0</v>
      </c>
      <c r="AH248" s="176">
        <f t="shared" si="94"/>
        <v>6</v>
      </c>
      <c r="AI248" s="225">
        <f t="shared" si="95"/>
        <v>0.47380079452766977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44796</v>
      </c>
      <c r="B249" s="1140">
        <v>44.140999999999998</v>
      </c>
      <c r="C249" s="841"/>
      <c r="D249" s="393">
        <f t="shared" si="77"/>
        <v>45.652285387395594</v>
      </c>
      <c r="E249" s="385">
        <f t="shared" si="100"/>
        <v>47.787977694268804</v>
      </c>
      <c r="F249" s="385">
        <f t="shared" si="78"/>
        <v>47.789014245607866</v>
      </c>
      <c r="G249" s="110">
        <f t="shared" si="101"/>
        <v>0.86793987562106956</v>
      </c>
      <c r="H249" s="414" t="b">
        <f>Wh_hp&gt;='2021'!Maxi_hp</f>
        <v>0</v>
      </c>
      <c r="I249" s="380">
        <f>IF(H249,Wh_hp,'2021'!Maxi_hp)</f>
        <v>54.138140935976416</v>
      </c>
      <c r="J249" s="85">
        <f>IF(H249,An,'2021'!An_max)</f>
        <v>2019</v>
      </c>
      <c r="K249" s="197">
        <f t="shared" si="79"/>
        <v>44796</v>
      </c>
      <c r="L249" s="147">
        <f>IF(t&lt;Tvie,1-EXP((T0-t)*PertePVj)+'2021'!Pspv,1-EXP((T0-t)*PertePVj)+Pspv)</f>
        <v>3.3104265746416672E-2</v>
      </c>
      <c r="M249" s="845"/>
      <c r="N249" s="845"/>
      <c r="O249" s="48">
        <f>IF(t&lt;Tnet,'2021'!Resal+('2021'!Salim-'2021'!Resal)*(1-EXP(('2021'!Tnet-t)/('2021'!Tau_j))),Resal+(Salim-Resal)*(1-EXP((Tnet-t)/(Tau_j))))*Salcycl</f>
        <v>4.4690995725674844E-2</v>
      </c>
      <c r="P249" s="339">
        <f>(INDEX(Models!$BJ249:$BT249,,T249)*(1-R249)+INDEX(Models!$BJ249:$BT249,,T249+1)*R249-ERP_i)*Q249*Ramure*Pc/MaxiM</f>
        <v>2.6733454095340865E-5</v>
      </c>
      <c r="Q249" s="305">
        <f t="shared" si="80"/>
        <v>0.5</v>
      </c>
      <c r="R249" s="177">
        <f t="shared" si="81"/>
        <v>0.47471357681205606</v>
      </c>
      <c r="S249" s="811">
        <f t="shared" si="82"/>
        <v>0</v>
      </c>
      <c r="T249" s="176">
        <f t="shared" si="83"/>
        <v>6</v>
      </c>
      <c r="U249" s="251">
        <f t="shared" si="84"/>
        <v>0.47471357681205606</v>
      </c>
      <c r="V249" s="383">
        <f t="shared" si="85"/>
        <v>50.856952905311296</v>
      </c>
      <c r="W249" s="402">
        <f t="shared" si="86"/>
        <v>0</v>
      </c>
      <c r="X249" s="157">
        <f t="shared" si="87"/>
        <v>44796</v>
      </c>
      <c r="Y249" s="385">
        <f t="shared" si="88"/>
        <v>42.545108501618195</v>
      </c>
      <c r="Z249" s="385">
        <f t="shared" si="89"/>
        <v>44.001754268221937</v>
      </c>
      <c r="AA249" s="386">
        <f t="shared" si="90"/>
        <v>47.787977694268804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7.9229622359620139E-2</v>
      </c>
      <c r="AD249" s="231">
        <f>(INDEX(Models!$BJ249:$BT249,,AH249)*(1-AF249)+INDEX(Models!$BJ249:$BT249,,AH249+1)*AF249-ERP_i)*AE249*Ramure*Pc/MaxiM</f>
        <v>2.6733454095340865E-5</v>
      </c>
      <c r="AE249" s="305">
        <f t="shared" si="92"/>
        <v>0.5</v>
      </c>
      <c r="AF249" s="177">
        <f t="shared" si="93"/>
        <v>0.47471357681205606</v>
      </c>
      <c r="AG249" s="811">
        <f t="shared" si="99"/>
        <v>0</v>
      </c>
      <c r="AH249" s="176">
        <f t="shared" si="94"/>
        <v>6</v>
      </c>
      <c r="AI249" s="225">
        <f t="shared" si="95"/>
        <v>0.47471357681205606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44797</v>
      </c>
      <c r="B250" s="1140">
        <v>45.606000000000002</v>
      </c>
      <c r="C250" s="841"/>
      <c r="D250" s="393">
        <f t="shared" si="77"/>
        <v>47.168476697780399</v>
      </c>
      <c r="E250" s="385">
        <f t="shared" si="100"/>
        <v>49.37876448029543</v>
      </c>
      <c r="F250" s="385">
        <f t="shared" si="78"/>
        <v>49.379750202855085</v>
      </c>
      <c r="G250" s="110">
        <f t="shared" si="101"/>
        <v>0.89966789539516667</v>
      </c>
      <c r="H250" s="414" t="b">
        <f>Wh_hp&gt;='2021'!Maxi_hp</f>
        <v>0</v>
      </c>
      <c r="I250" s="380">
        <f>IF(H250,Wh_hp,'2021'!Maxi_hp)</f>
        <v>54.480093410292213</v>
      </c>
      <c r="J250" s="85">
        <f>IF(H250,An,'2021'!An_max)</f>
        <v>2019</v>
      </c>
      <c r="K250" s="197">
        <f t="shared" si="79"/>
        <v>44797</v>
      </c>
      <c r="L250" s="147">
        <f>IF(t&lt;Tvie,1-EXP((T0-t)*PertePVj)+'2021'!Pspv,1-EXP((T0-t)*PertePVj)+Pspv)</f>
        <v>3.312544324446931E-2</v>
      </c>
      <c r="M250" s="845"/>
      <c r="N250" s="845"/>
      <c r="O250" s="48">
        <f>IF(t&lt;Tnet,'2021'!Resal+('2021'!Salim-'2021'!Resal)*(1-EXP(('2021'!Tnet-t)/('2021'!Tau_j))),Resal+(Salim-Resal)*(1-EXP((Tnet-t)/(Tau_j))))*Salcycl</f>
        <v>4.4761909411424085E-2</v>
      </c>
      <c r="P250" s="339">
        <f>(INDEX(Models!$BJ250:$BT250,,T250)*(1-R250)+INDEX(Models!$BJ250:$BT250,,T250+1)*R250-ERP_i)*Q250*Ramure*Pc/MaxiM</f>
        <v>2.3301875249436627E-5</v>
      </c>
      <c r="Q250" s="305">
        <f t="shared" si="80"/>
        <v>0.5</v>
      </c>
      <c r="R250" s="177">
        <f t="shared" si="81"/>
        <v>0.47559289836172031</v>
      </c>
      <c r="S250" s="811">
        <f t="shared" si="82"/>
        <v>0</v>
      </c>
      <c r="T250" s="176">
        <f t="shared" si="83"/>
        <v>6</v>
      </c>
      <c r="U250" s="251">
        <f t="shared" si="84"/>
        <v>0.47559289836172031</v>
      </c>
      <c r="V250" s="383">
        <f t="shared" si="85"/>
        <v>50.691869650698756</v>
      </c>
      <c r="W250" s="402">
        <f t="shared" si="86"/>
        <v>0</v>
      </c>
      <c r="X250" s="157">
        <f t="shared" si="87"/>
        <v>44797</v>
      </c>
      <c r="Y250" s="385">
        <f t="shared" si="88"/>
        <v>43.958642962125161</v>
      </c>
      <c r="Z250" s="385">
        <f t="shared" si="89"/>
        <v>45.464680660988662</v>
      </c>
      <c r="AA250" s="386">
        <f t="shared" si="90"/>
        <v>49.37876448029543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7.9266540191962109E-2</v>
      </c>
      <c r="AD250" s="231">
        <f>(INDEX(Models!$BJ250:$BT250,,AH250)*(1-AF250)+INDEX(Models!$BJ250:$BT250,,AH250+1)*AF250-ERP_i)*AE250*Ramure*Pc/MaxiM</f>
        <v>2.3301875249436627E-5</v>
      </c>
      <c r="AE250" s="305">
        <f t="shared" si="92"/>
        <v>0.5</v>
      </c>
      <c r="AF250" s="177">
        <f t="shared" si="93"/>
        <v>0.47559289836172031</v>
      </c>
      <c r="AG250" s="811">
        <f t="shared" si="99"/>
        <v>0</v>
      </c>
      <c r="AH250" s="176">
        <f t="shared" si="94"/>
        <v>6</v>
      </c>
      <c r="AI250" s="225">
        <f t="shared" si="95"/>
        <v>0.47559289836172031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44798</v>
      </c>
      <c r="B251" s="1140">
        <v>32.542000000000002</v>
      </c>
      <c r="C251" s="841"/>
      <c r="D251" s="393">
        <f t="shared" si="77"/>
        <v>33.657636910138045</v>
      </c>
      <c r="E251" s="385">
        <f t="shared" si="100"/>
        <v>35.237421604794626</v>
      </c>
      <c r="F251" s="385">
        <f t="shared" si="78"/>
        <v>35.237771534546987</v>
      </c>
      <c r="G251" s="110">
        <f t="shared" si="101"/>
        <v>0.64406432544748993</v>
      </c>
      <c r="H251" s="414" t="b">
        <f>Wh_hp&gt;='2021'!Maxi_hp</f>
        <v>0</v>
      </c>
      <c r="I251" s="380">
        <f>IF(H251,Wh_hp,'2021'!Maxi_hp)</f>
        <v>50.04617729749566</v>
      </c>
      <c r="J251" s="85">
        <f>IF(H251,An,'2021'!An_max)</f>
        <v>2020</v>
      </c>
      <c r="K251" s="197">
        <f t="shared" si="79"/>
        <v>44798</v>
      </c>
      <c r="L251" s="147">
        <f>IF(t&lt;Tvie,1-EXP((T0-t)*PertePVj)+'2021'!Pspv,1-EXP((T0-t)*PertePVj)+Pspv)</f>
        <v>3.3146620278680428E-2</v>
      </c>
      <c r="M251" s="845"/>
      <c r="N251" s="845"/>
      <c r="O251" s="48">
        <f>IF(t&lt;Tnet,'2021'!Resal+('2021'!Salim-'2021'!Resal)*(1-EXP(('2021'!Tnet-t)/('2021'!Tau_j))),Resal+(Salim-Resal)*(1-EXP((Tnet-t)/(Tau_j))))*Salcycl</f>
        <v>4.4832584868855149E-2</v>
      </c>
      <c r="P251" s="339">
        <f>(INDEX(Models!$BJ251:$BT251,,T251)*(1-R251)+INDEX(Models!$BJ251:$BT251,,T251+1)*R251-ERP_i)*Q251*Ramure*Pc/MaxiM</f>
        <v>2.020330766901748E-5</v>
      </c>
      <c r="Q251" s="305">
        <f t="shared" si="80"/>
        <v>0.5</v>
      </c>
      <c r="R251" s="177">
        <f t="shared" si="81"/>
        <v>0.47643986352968493</v>
      </c>
      <c r="S251" s="811">
        <f t="shared" si="82"/>
        <v>0</v>
      </c>
      <c r="T251" s="176">
        <f t="shared" si="83"/>
        <v>6</v>
      </c>
      <c r="U251" s="251">
        <f t="shared" si="84"/>
        <v>0.47643986352968493</v>
      </c>
      <c r="V251" s="383">
        <f t="shared" si="85"/>
        <v>50.525490101232187</v>
      </c>
      <c r="W251" s="402">
        <f t="shared" si="86"/>
        <v>0</v>
      </c>
      <c r="X251" s="157">
        <f t="shared" si="87"/>
        <v>44798</v>
      </c>
      <c r="Y251" s="385">
        <f t="shared" si="88"/>
        <v>31.367608511803979</v>
      </c>
      <c r="Z251" s="385">
        <f t="shared" si="89"/>
        <v>32.442983775725338</v>
      </c>
      <c r="AA251" s="386">
        <f t="shared" si="90"/>
        <v>35.237421604794626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7.9303130076039827E-2</v>
      </c>
      <c r="AD251" s="231">
        <f>(INDEX(Models!$BJ251:$BT251,,AH251)*(1-AF251)+INDEX(Models!$BJ251:$BT251,,AH251+1)*AF251-ERP_i)*AE251*Ramure*Pc/MaxiM</f>
        <v>2.020330766901748E-5</v>
      </c>
      <c r="AE251" s="305">
        <f t="shared" si="92"/>
        <v>0.5</v>
      </c>
      <c r="AF251" s="177">
        <f t="shared" si="93"/>
        <v>0.47643986352968493</v>
      </c>
      <c r="AG251" s="811">
        <f t="shared" si="99"/>
        <v>0</v>
      </c>
      <c r="AH251" s="176">
        <f t="shared" si="94"/>
        <v>6</v>
      </c>
      <c r="AI251" s="225">
        <f t="shared" si="95"/>
        <v>0.47643986352968493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44799</v>
      </c>
      <c r="B252" s="1140">
        <v>40.881999999999998</v>
      </c>
      <c r="C252" s="841"/>
      <c r="D252" s="393">
        <f t="shared" si="77"/>
        <v>42.284483146883332</v>
      </c>
      <c r="E252" s="385">
        <f t="shared" si="100"/>
        <v>44.272449617274908</v>
      </c>
      <c r="F252" s="385">
        <f t="shared" si="78"/>
        <v>44.273014231597429</v>
      </c>
      <c r="G252" s="110">
        <f t="shared" si="101"/>
        <v>0.81183928085881862</v>
      </c>
      <c r="H252" s="414" t="b">
        <f>Wh_hp&gt;='2021'!Maxi_hp</f>
        <v>0</v>
      </c>
      <c r="I252" s="380">
        <f>IF(H252,Wh_hp,'2021'!Maxi_hp)</f>
        <v>54.589001673677714</v>
      </c>
      <c r="J252" s="85">
        <f>IF(H252,An,'2021'!An_max)</f>
        <v>2018</v>
      </c>
      <c r="K252" s="197">
        <f t="shared" si="79"/>
        <v>44799</v>
      </c>
      <c r="L252" s="147">
        <f>IF(t&lt;Tvie,1-EXP((T0-t)*PertePVj)+'2021'!Pspv,1-EXP((T0-t)*PertePVj)+Pspv)</f>
        <v>3.3167796849060127E-2</v>
      </c>
      <c r="M252" s="845"/>
      <c r="N252" s="845"/>
      <c r="O252" s="48">
        <f>IF(t&lt;Tnet,'2021'!Resal+('2021'!Salim-'2021'!Resal)*(1-EXP(('2021'!Tnet-t)/('2021'!Tau_j))),Resal+(Salim-Resal)*(1-EXP((Tnet-t)/(Tau_j))))*Salcycl</f>
        <v>4.4903015025757193E-2</v>
      </c>
      <c r="P252" s="339">
        <f>(INDEX(Models!$BJ252:$BT252,,T252)*(1-R252)+INDEX(Models!$BJ252:$BT252,,T252+1)*R252-ERP_i)*Q252*Ramure*Pc/MaxiM</f>
        <v>1.744110504321196E-5</v>
      </c>
      <c r="Q252" s="305">
        <f t="shared" si="80"/>
        <v>0.5</v>
      </c>
      <c r="R252" s="177">
        <f t="shared" si="81"/>
        <v>0.47725554953108856</v>
      </c>
      <c r="S252" s="811">
        <f t="shared" si="82"/>
        <v>0</v>
      </c>
      <c r="T252" s="176">
        <f t="shared" si="83"/>
        <v>6</v>
      </c>
      <c r="U252" s="251">
        <f t="shared" si="84"/>
        <v>0.47725554953108856</v>
      </c>
      <c r="V252" s="383">
        <f t="shared" si="85"/>
        <v>50.357021768798909</v>
      </c>
      <c r="W252" s="402">
        <f t="shared" si="86"/>
        <v>0</v>
      </c>
      <c r="X252" s="157">
        <f t="shared" si="87"/>
        <v>44799</v>
      </c>
      <c r="Y252" s="385">
        <f t="shared" si="88"/>
        <v>39.407984784670091</v>
      </c>
      <c r="Z252" s="385">
        <f t="shared" si="89"/>
        <v>40.759900897216802</v>
      </c>
      <c r="AA252" s="386">
        <f t="shared" si="90"/>
        <v>44.272449617274908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7.9339380369129742E-2</v>
      </c>
      <c r="AD252" s="231">
        <f>(INDEX(Models!$BJ252:$BT252,,AH252)*(1-AF252)+INDEX(Models!$BJ252:$BT252,,AH252+1)*AF252-ERP_i)*AE252*Ramure*Pc/MaxiM</f>
        <v>1.744110504321196E-5</v>
      </c>
      <c r="AE252" s="305">
        <f t="shared" si="92"/>
        <v>0.5</v>
      </c>
      <c r="AF252" s="177">
        <f t="shared" si="93"/>
        <v>0.47725554953108856</v>
      </c>
      <c r="AG252" s="811">
        <f t="shared" si="99"/>
        <v>0</v>
      </c>
      <c r="AH252" s="176">
        <f t="shared" si="94"/>
        <v>6</v>
      </c>
      <c r="AI252" s="225">
        <f t="shared" si="95"/>
        <v>0.47725554953108856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44800</v>
      </c>
      <c r="B253" s="1140">
        <v>48.167000000000002</v>
      </c>
      <c r="C253" s="841"/>
      <c r="D253" s="393">
        <f t="shared" si="77"/>
        <v>49.820490925977921</v>
      </c>
      <c r="E253" s="385">
        <f t="shared" si="100"/>
        <v>52.166588976817188</v>
      </c>
      <c r="F253" s="385">
        <f t="shared" si="78"/>
        <v>52.167327430527344</v>
      </c>
      <c r="G253" s="110">
        <f t="shared" si="101"/>
        <v>0.95977509221573676</v>
      </c>
      <c r="H253" s="414" t="b">
        <f>Wh_hp&gt;='2021'!Maxi_hp</f>
        <v>1</v>
      </c>
      <c r="I253" s="380">
        <f>IF(H253,Wh_hp,'2021'!Maxi_hp)</f>
        <v>52.167327430527344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3.3188972955618512E-2</v>
      </c>
      <c r="M253" s="845"/>
      <c r="N253" s="845"/>
      <c r="O253" s="48">
        <f>IF(t&lt;Tnet,'2021'!Resal+('2021'!Salim-'2021'!Resal)*(1-EXP(('2021'!Tnet-t)/('2021'!Tau_j))),Resal+(Salim-Resal)*(1-EXP((Tnet-t)/(Tau_j))))*Salcycl</f>
        <v>4.4973192552073354E-2</v>
      </c>
      <c r="P253" s="339">
        <f>(INDEX(Models!$BJ253:$BT253,,T253)*(1-R253)+INDEX(Models!$BJ253:$BT253,,T253+1)*R253-ERP_i)*Q253*Ramure*Pc/MaxiM</f>
        <v>1.5018489922709109E-5</v>
      </c>
      <c r="Q253" s="305">
        <f t="shared" si="80"/>
        <v>0.5</v>
      </c>
      <c r="R253" s="177">
        <f t="shared" si="81"/>
        <v>0.47804100636633579</v>
      </c>
      <c r="S253" s="811">
        <f t="shared" si="82"/>
        <v>0</v>
      </c>
      <c r="T253" s="176">
        <f t="shared" si="83"/>
        <v>6</v>
      </c>
      <c r="U253" s="251">
        <f t="shared" si="84"/>
        <v>0.47804100636633579</v>
      </c>
      <c r="V253" s="383">
        <f t="shared" si="85"/>
        <v>50.185672478489664</v>
      </c>
      <c r="W253" s="402">
        <f t="shared" si="86"/>
        <v>0</v>
      </c>
      <c r="X253" s="157">
        <f t="shared" si="87"/>
        <v>44800</v>
      </c>
      <c r="Y253" s="385">
        <f t="shared" si="88"/>
        <v>46.431922737189232</v>
      </c>
      <c r="Z253" s="385">
        <f t="shared" si="89"/>
        <v>48.025851421177236</v>
      </c>
      <c r="AA253" s="386">
        <f t="shared" si="90"/>
        <v>52.166588976817188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7.9375279021599313E-2</v>
      </c>
      <c r="AD253" s="231">
        <f>(INDEX(Models!$BJ253:$BT253,,AH253)*(1-AF253)+INDEX(Models!$BJ253:$BT253,,AH253+1)*AF253-ERP_i)*AE253*Ramure*Pc/MaxiM</f>
        <v>1.5018489922709109E-5</v>
      </c>
      <c r="AE253" s="305">
        <f t="shared" si="92"/>
        <v>0.5</v>
      </c>
      <c r="AF253" s="177">
        <f t="shared" si="93"/>
        <v>0.47804100636633579</v>
      </c>
      <c r="AG253" s="811">
        <f t="shared" si="99"/>
        <v>0</v>
      </c>
      <c r="AH253" s="176">
        <f t="shared" si="94"/>
        <v>6</v>
      </c>
      <c r="AI253" s="225">
        <f t="shared" si="95"/>
        <v>0.47804100636633579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44801</v>
      </c>
      <c r="B254" s="1140">
        <v>47.271000000000001</v>
      </c>
      <c r="C254" s="841"/>
      <c r="D254" s="393">
        <f t="shared" si="77"/>
        <v>48.894803696446935</v>
      </c>
      <c r="E254" s="385">
        <f t="shared" si="100"/>
        <v>51.201058603742062</v>
      </c>
      <c r="F254" s="385">
        <f t="shared" si="78"/>
        <v>51.201672746585203</v>
      </c>
      <c r="G254" s="110">
        <f t="shared" si="101"/>
        <v>0.94521776918639899</v>
      </c>
      <c r="H254" s="414" t="b">
        <f>Wh_hp&gt;='2021'!Maxi_hp</f>
        <v>0</v>
      </c>
      <c r="I254" s="380">
        <f>IF(H254,Wh_hp,'2021'!Maxi_hp)</f>
        <v>54.458266820267049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3.3210148598365907E-2</v>
      </c>
      <c r="M254" s="845"/>
      <c r="N254" s="845"/>
      <c r="O254" s="48">
        <f>IF(t&lt;Tnet,'2021'!Resal+('2021'!Salim-'2021'!Resal)*(1-EXP(('2021'!Tnet-t)/('2021'!Tau_j))),Resal+(Salim-Resal)*(1-EXP((Tnet-t)/(Tau_j))))*Salcycl</f>
        <v>4.5043109853329655E-2</v>
      </c>
      <c r="P254" s="339">
        <f>(INDEX(Models!$BJ254:$BT254,,T254)*(1-R254)+INDEX(Models!$BJ254:$BT254,,T254+1)*R254-ERP_i)*Q254*Ramure*Pc/MaxiM</f>
        <v>1.3012966702134491E-5</v>
      </c>
      <c r="Q254" s="305">
        <f t="shared" si="80"/>
        <v>0.5</v>
      </c>
      <c r="R254" s="177">
        <f t="shared" si="81"/>
        <v>0.47879725681889562</v>
      </c>
      <c r="S254" s="811">
        <f t="shared" si="82"/>
        <v>0</v>
      </c>
      <c r="T254" s="176">
        <f t="shared" si="83"/>
        <v>6</v>
      </c>
      <c r="U254" s="251">
        <f t="shared" si="84"/>
        <v>0.47879725681889562</v>
      </c>
      <c r="V254" s="383">
        <f t="shared" si="85"/>
        <v>50.010646647295893</v>
      </c>
      <c r="W254" s="402">
        <f t="shared" si="86"/>
        <v>0</v>
      </c>
      <c r="X254" s="157">
        <f t="shared" si="87"/>
        <v>44801</v>
      </c>
      <c r="Y254" s="385">
        <f t="shared" si="88"/>
        <v>45.569775851530792</v>
      </c>
      <c r="Z254" s="385">
        <f t="shared" si="89"/>
        <v>47.135140884510292</v>
      </c>
      <c r="AA254" s="386">
        <f t="shared" si="90"/>
        <v>51.201058603742062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7.9410813567331373E-2</v>
      </c>
      <c r="AD254" s="231">
        <f>(INDEX(Models!$BJ254:$BT254,,AH254)*(1-AF254)+INDEX(Models!$BJ254:$BT254,,AH254+1)*AF254-ERP_i)*AE254*Ramure*Pc/MaxiM</f>
        <v>1.3012966702134491E-5</v>
      </c>
      <c r="AE254" s="305">
        <f t="shared" si="92"/>
        <v>0.5</v>
      </c>
      <c r="AF254" s="177">
        <f t="shared" si="93"/>
        <v>0.47879725681889562</v>
      </c>
      <c r="AG254" s="811">
        <f t="shared" si="99"/>
        <v>0</v>
      </c>
      <c r="AH254" s="176">
        <f t="shared" si="94"/>
        <v>6</v>
      </c>
      <c r="AI254" s="225">
        <f t="shared" si="95"/>
        <v>0.47879725681889562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44802</v>
      </c>
      <c r="B255" s="1140">
        <v>31.871000000000002</v>
      </c>
      <c r="C255" s="841"/>
      <c r="D255" s="393">
        <f t="shared" si="77"/>
        <v>32.966521137739846</v>
      </c>
      <c r="E255" s="385">
        <f t="shared" si="100"/>
        <v>34.523993749557306</v>
      </c>
      <c r="F255" s="385">
        <f t="shared" si="78"/>
        <v>34.524181394623639</v>
      </c>
      <c r="G255" s="110">
        <f t="shared" si="101"/>
        <v>0.63957599307727997</v>
      </c>
      <c r="H255" s="414" t="b">
        <f>Wh_hp&gt;='2021'!Maxi_hp</f>
        <v>0</v>
      </c>
      <c r="I255" s="380">
        <f>IF(H255,Wh_hp,'2021'!Maxi_hp)</f>
        <v>53.843045701686705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3.3231323777312305E-2</v>
      </c>
      <c r="M255" s="845"/>
      <c r="N255" s="845"/>
      <c r="O255" s="48">
        <f>IF(t&lt;Tnet,'2021'!Resal+('2021'!Salim-'2021'!Resal)*(1-EXP(('2021'!Tnet-t)/('2021'!Tau_j))),Resal+(Salim-Resal)*(1-EXP((Tnet-t)/(Tau_j))))*Salcycl</f>
        <v>4.511275906013712E-2</v>
      </c>
      <c r="P255" s="339">
        <f>(INDEX(Models!$BJ255:$BT255,,T255)*(1-R255)+INDEX(Models!$BJ255:$BT255,,T255+1)*R255-ERP_i)*Q255*Ramure*Pc/MaxiM</f>
        <v>1.1203922660542169E-5</v>
      </c>
      <c r="Q255" s="305">
        <f t="shared" si="80"/>
        <v>0.5</v>
      </c>
      <c r="R255" s="177">
        <f t="shared" si="81"/>
        <v>0.47952529652119025</v>
      </c>
      <c r="S255" s="811">
        <f t="shared" si="82"/>
        <v>0</v>
      </c>
      <c r="T255" s="176">
        <f t="shared" si="83"/>
        <v>6</v>
      </c>
      <c r="U255" s="251">
        <f t="shared" si="84"/>
        <v>0.47952529652119025</v>
      </c>
      <c r="V255" s="383">
        <f t="shared" si="85"/>
        <v>49.831163909062184</v>
      </c>
      <c r="W255" s="402">
        <f t="shared" si="86"/>
        <v>0</v>
      </c>
      <c r="X255" s="157">
        <f t="shared" si="87"/>
        <v>44802</v>
      </c>
      <c r="Y255" s="385">
        <f t="shared" si="88"/>
        <v>30.725070141226716</v>
      </c>
      <c r="Z255" s="385">
        <f t="shared" si="89"/>
        <v>31.781201539621907</v>
      </c>
      <c r="AA255" s="386">
        <f t="shared" si="90"/>
        <v>34.523993749557306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7.9445971107284477E-2</v>
      </c>
      <c r="AD255" s="231">
        <f>(INDEX(Models!$BJ255:$BT255,,AH255)*(1-AF255)+INDEX(Models!$BJ255:$BT255,,AH255+1)*AF255-ERP_i)*AE255*Ramure*Pc/MaxiM</f>
        <v>1.1203922660542169E-5</v>
      </c>
      <c r="AE255" s="305">
        <f t="shared" si="92"/>
        <v>0.5</v>
      </c>
      <c r="AF255" s="177">
        <f t="shared" si="93"/>
        <v>0.47952529652119025</v>
      </c>
      <c r="AG255" s="811">
        <f t="shared" si="99"/>
        <v>0</v>
      </c>
      <c r="AH255" s="176">
        <f t="shared" si="94"/>
        <v>6</v>
      </c>
      <c r="AI255" s="225">
        <f t="shared" si="95"/>
        <v>0.47952529652119025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44803</v>
      </c>
      <c r="B256" s="1140">
        <v>46.277000000000001</v>
      </c>
      <c r="C256" s="841"/>
      <c r="D256" s="393">
        <f t="shared" si="77"/>
        <v>47.868755727670688</v>
      </c>
      <c r="E256" s="385">
        <f t="shared" si="100"/>
        <v>50.13391279391066</v>
      </c>
      <c r="F256" s="385">
        <f t="shared" si="78"/>
        <v>50.134347111451497</v>
      </c>
      <c r="G256" s="110">
        <f t="shared" si="101"/>
        <v>0.93213055121123012</v>
      </c>
      <c r="H256" s="414" t="b">
        <f>Wh_hp&gt;='2021'!Maxi_hp</f>
        <v>0</v>
      </c>
      <c r="I256" s="380">
        <f>IF(H256,Wh_hp,'2021'!Maxi_hp)</f>
        <v>52.67575781397985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3.325249849246803E-2</v>
      </c>
      <c r="M256" s="845"/>
      <c r="N256" s="845"/>
      <c r="O256" s="48">
        <f>IF(t&lt;Tnet,'2021'!Resal+('2021'!Salim-'2021'!Resal)*(1-EXP(('2021'!Tnet-t)/('2021'!Tau_j))),Resal+(Salim-Resal)*(1-EXP((Tnet-t)/(Tau_j))))*Salcycl</f>
        <v>4.5182132014142319E-2</v>
      </c>
      <c r="P256" s="339">
        <f>(INDEX(Models!$BJ256:$BT256,,T256)*(1-R256)+INDEX(Models!$BJ256:$BT256,,T256+1)*R256-ERP_i)*Q256*Ramure*Pc/MaxiM</f>
        <v>9.5931816901264817E-6</v>
      </c>
      <c r="Q256" s="305">
        <f t="shared" si="80"/>
        <v>0.5</v>
      </c>
      <c r="R256" s="177">
        <f t="shared" si="81"/>
        <v>0.48022609408236494</v>
      </c>
      <c r="S256" s="811">
        <f t="shared" si="82"/>
        <v>0</v>
      </c>
      <c r="T256" s="176">
        <f t="shared" si="83"/>
        <v>6</v>
      </c>
      <c r="U256" s="251">
        <f t="shared" si="84"/>
        <v>0.48022609408236494</v>
      </c>
      <c r="V256" s="383">
        <f t="shared" si="85"/>
        <v>49.646432998986619</v>
      </c>
      <c r="W256" s="402">
        <f t="shared" si="86"/>
        <v>0</v>
      </c>
      <c r="X256" s="157">
        <f t="shared" si="87"/>
        <v>44803</v>
      </c>
      <c r="Y256" s="385">
        <f t="shared" si="88"/>
        <v>44.614655111301289</v>
      </c>
      <c r="Z256" s="385">
        <f t="shared" si="89"/>
        <v>46.14923239183949</v>
      </c>
      <c r="AA256" s="386">
        <f t="shared" si="90"/>
        <v>50.13391279391066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7.9480738286901872E-2</v>
      </c>
      <c r="AD256" s="231">
        <f>(INDEX(Models!$BJ256:$BT256,,AH256)*(1-AF256)+INDEX(Models!$BJ256:$BT256,,AH256+1)*AF256-ERP_i)*AE256*Ramure*Pc/MaxiM</f>
        <v>9.5931816901264817E-6</v>
      </c>
      <c r="AE256" s="305">
        <f t="shared" si="92"/>
        <v>0.5</v>
      </c>
      <c r="AF256" s="177">
        <f t="shared" si="93"/>
        <v>0.48022609408236494</v>
      </c>
      <c r="AG256" s="811">
        <f t="shared" si="99"/>
        <v>0</v>
      </c>
      <c r="AH256" s="176">
        <f t="shared" si="94"/>
        <v>6</v>
      </c>
      <c r="AI256" s="225">
        <f t="shared" si="95"/>
        <v>0.48022609408236494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44804</v>
      </c>
      <c r="B257" s="1140">
        <v>21.78</v>
      </c>
      <c r="C257" s="841"/>
      <c r="D257" s="393">
        <f t="shared" si="77"/>
        <v>22.529644001542618</v>
      </c>
      <c r="E257" s="385">
        <f t="shared" si="100"/>
        <v>23.597457760001056</v>
      </c>
      <c r="F257" s="385">
        <f t="shared" si="78"/>
        <v>23.59749648638228</v>
      </c>
      <c r="G257" s="110">
        <f t="shared" si="101"/>
        <v>0.44039157954925362</v>
      </c>
      <c r="H257" s="414" t="b">
        <f>Wh_hp&gt;='2021'!Maxi_hp</f>
        <v>0</v>
      </c>
      <c r="I257" s="380">
        <f>IF(H257,Wh_hp,'2021'!Maxi_hp)</f>
        <v>52.060228799144411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3.3273672743843075E-2</v>
      </c>
      <c r="M257" s="845"/>
      <c r="N257" s="845"/>
      <c r="O257" s="48">
        <f>IF(t&lt;Tnet,'2021'!Resal+('2021'!Salim-'2021'!Resal)*(1-EXP(('2021'!Tnet-t)/('2021'!Tau_j))),Resal+(Salim-Resal)*(1-EXP((Tnet-t)/(Tau_j))))*Salcycl</f>
        <v>4.5251220250871194E-2</v>
      </c>
      <c r="P257" s="339">
        <f>(INDEX(Models!$BJ257:$BT257,,T257)*(1-R257)+INDEX(Models!$BJ257:$BT257,,T257+1)*R257-ERP_i)*Q257*Ramure*Pc/MaxiM</f>
        <v>8.182557284408628E-6</v>
      </c>
      <c r="Q257" s="305">
        <f t="shared" si="80"/>
        <v>0.5</v>
      </c>
      <c r="R257" s="177">
        <f t="shared" si="81"/>
        <v>0.48090059127206514</v>
      </c>
      <c r="S257" s="811">
        <f t="shared" si="82"/>
        <v>0</v>
      </c>
      <c r="T257" s="176">
        <f t="shared" si="83"/>
        <v>6</v>
      </c>
      <c r="U257" s="251">
        <f t="shared" si="84"/>
        <v>0.48090059127206514</v>
      </c>
      <c r="V257" s="383">
        <f t="shared" si="85"/>
        <v>49.455662957060696</v>
      </c>
      <c r="W257" s="402">
        <f t="shared" si="86"/>
        <v>0</v>
      </c>
      <c r="X257" s="157">
        <f t="shared" si="87"/>
        <v>44804</v>
      </c>
      <c r="Y257" s="385">
        <f t="shared" si="88"/>
        <v>20.998362626497997</v>
      </c>
      <c r="Z257" s="385">
        <f t="shared" si="89"/>
        <v>21.721103516542573</v>
      </c>
      <c r="AA257" s="386">
        <f t="shared" si="90"/>
        <v>23.597457760001056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7.9515101268196886E-2</v>
      </c>
      <c r="AD257" s="231">
        <f>(INDEX(Models!$BJ257:$BT257,,AH257)*(1-AF257)+INDEX(Models!$BJ257:$BT257,,AH257+1)*AF257-ERP_i)*AE257*Ramure*Pc/MaxiM</f>
        <v>8.182557284408628E-6</v>
      </c>
      <c r="AE257" s="305">
        <f t="shared" si="92"/>
        <v>0.5</v>
      </c>
      <c r="AF257" s="177">
        <f t="shared" si="93"/>
        <v>0.48090059127206514</v>
      </c>
      <c r="AG257" s="811">
        <f t="shared" si="99"/>
        <v>0</v>
      </c>
      <c r="AH257" s="176">
        <f t="shared" si="94"/>
        <v>6</v>
      </c>
      <c r="AI257" s="225">
        <f t="shared" si="95"/>
        <v>0.48090059127206514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44805</v>
      </c>
      <c r="B258" s="1140">
        <v>41.984999999999999</v>
      </c>
      <c r="C258" s="841"/>
      <c r="D258" s="393">
        <f t="shared" si="77"/>
        <v>43.431029460593237</v>
      </c>
      <c r="E258" s="385">
        <f t="shared" si="100"/>
        <v>45.492762121416227</v>
      </c>
      <c r="F258" s="385">
        <f t="shared" si="78"/>
        <v>45.493012463620005</v>
      </c>
      <c r="G258" s="110">
        <f t="shared" si="101"/>
        <v>0.85234651095300473</v>
      </c>
      <c r="H258" s="414" t="b">
        <f>Wh_hp&gt;='2021'!Maxi_hp</f>
        <v>0</v>
      </c>
      <c r="I258" s="380">
        <f>IF(H258,Wh_hp,'2021'!Maxi_hp)</f>
        <v>53.475031417285187</v>
      </c>
      <c r="J258" s="85">
        <f>IF(H258,An,'2021'!An_max)</f>
        <v>2018</v>
      </c>
      <c r="K258" s="197">
        <f t="shared" si="79"/>
        <v>44805</v>
      </c>
      <c r="L258" s="147">
        <f>IF(t&lt;Tvie,1-EXP((T0-t)*PertePVj)+'2021'!Pspv,1-EXP((T0-t)*PertePVj)+Pspv)</f>
        <v>3.3294846531447764E-2</v>
      </c>
      <c r="M258" s="845"/>
      <c r="N258" s="845"/>
      <c r="O258" s="48">
        <f>IF(t&lt;Tnet,'2021'!Resal+('2021'!Salim-'2021'!Resal)*(1-EXP(('2021'!Tnet-t)/('2021'!Tau_j))),Resal+(Salim-Resal)*(1-EXP((Tnet-t)/(Tau_j))))*Salcycl</f>
        <v>4.532001497997433E-2</v>
      </c>
      <c r="P258" s="339">
        <f>(INDEX(Models!$BJ258:$BT258,,T258)*(1-R258)+INDEX(Models!$BJ258:$BT258,,T258+1)*R258-ERP_i)*Q258*Ramure*Pc/MaxiM</f>
        <v>6.9738855247273462E-6</v>
      </c>
      <c r="Q258" s="305">
        <f t="shared" si="80"/>
        <v>0.5</v>
      </c>
      <c r="R258" s="177">
        <f t="shared" si="81"/>
        <v>0.4815497032546866</v>
      </c>
      <c r="S258" s="811">
        <f t="shared" si="82"/>
        <v>0</v>
      </c>
      <c r="T258" s="176">
        <f t="shared" si="83"/>
        <v>6</v>
      </c>
      <c r="U258" s="251">
        <f t="shared" si="84"/>
        <v>0.4815497032546866</v>
      </c>
      <c r="V258" s="383">
        <f t="shared" si="85"/>
        <v>49.258063122936974</v>
      </c>
      <c r="W258" s="402">
        <f t="shared" si="86"/>
        <v>0</v>
      </c>
      <c r="X258" s="157">
        <f t="shared" si="87"/>
        <v>44805</v>
      </c>
      <c r="Y258" s="385">
        <f t="shared" si="88"/>
        <v>40.479672689044655</v>
      </c>
      <c r="Z258" s="385">
        <f t="shared" si="89"/>
        <v>41.873856308516608</v>
      </c>
      <c r="AA258" s="386">
        <f t="shared" si="90"/>
        <v>45.492762121416227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7.9549045697446918E-2</v>
      </c>
      <c r="AD258" s="231">
        <f>(INDEX(Models!$BJ258:$BT258,,AH258)*(1-AF258)+INDEX(Models!$BJ258:$BT258,,AH258+1)*AF258-ERP_i)*AE258*Ramure*Pc/MaxiM</f>
        <v>6.9738855247273462E-6</v>
      </c>
      <c r="AE258" s="305">
        <f t="shared" si="92"/>
        <v>0.5</v>
      </c>
      <c r="AF258" s="177">
        <f t="shared" si="93"/>
        <v>0.4815497032546866</v>
      </c>
      <c r="AG258" s="811">
        <f t="shared" si="99"/>
        <v>0</v>
      </c>
      <c r="AH258" s="176">
        <f t="shared" si="94"/>
        <v>6</v>
      </c>
      <c r="AI258" s="225">
        <f t="shared" si="95"/>
        <v>0.4815497032546866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44806</v>
      </c>
      <c r="B259" s="1140">
        <v>38.511000000000003</v>
      </c>
      <c r="C259" s="841"/>
      <c r="D259" s="393">
        <f t="shared" si="77"/>
        <v>39.838251994447134</v>
      </c>
      <c r="E259" s="385">
        <f t="shared" si="100"/>
        <v>41.732424435722407</v>
      </c>
      <c r="F259" s="385">
        <f t="shared" si="78"/>
        <v>41.732597062224265</v>
      </c>
      <c r="G259" s="110">
        <f t="shared" si="101"/>
        <v>0.78509066880469336</v>
      </c>
      <c r="H259" s="414" t="b">
        <f>Wh_hp&gt;='2021'!Maxi_hp</f>
        <v>0</v>
      </c>
      <c r="I259" s="380">
        <f>IF(H259,Wh_hp,'2021'!Maxi_hp)</f>
        <v>51.427835350869806</v>
      </c>
      <c r="J259" s="85">
        <f>IF(H259,An,'2021'!An_max)</f>
        <v>2019</v>
      </c>
      <c r="K259" s="197">
        <f t="shared" si="79"/>
        <v>44806</v>
      </c>
      <c r="L259" s="147">
        <f>IF(t&lt;Tvie,1-EXP((T0-t)*PertePVj)+'2021'!Pspv,1-EXP((T0-t)*PertePVj)+Pspv)</f>
        <v>3.3316019855292089E-2</v>
      </c>
      <c r="M259" s="845"/>
      <c r="N259" s="845"/>
      <c r="O259" s="48">
        <f>IF(t&lt;Tnet,'2021'!Resal+('2021'!Salim-'2021'!Resal)*(1-EXP(('2021'!Tnet-t)/('2021'!Tau_j))),Resal+(Salim-Resal)*(1-EXP((Tnet-t)/(Tau_j))))*Salcycl</f>
        <v>4.5388507063440282E-2</v>
      </c>
      <c r="P259" s="339">
        <f>(INDEX(Models!$BJ259:$BT259,,T259)*(1-R259)+INDEX(Models!$BJ259:$BT259,,T259+1)*R259-ERP_i)*Q259*Ramure*Pc/MaxiM</f>
        <v>5.9690592410524745E-6</v>
      </c>
      <c r="Q259" s="305">
        <f t="shared" si="80"/>
        <v>0.5</v>
      </c>
      <c r="R259" s="177">
        <f t="shared" si="81"/>
        <v>0.48217431886889323</v>
      </c>
      <c r="S259" s="811">
        <f t="shared" si="82"/>
        <v>0</v>
      </c>
      <c r="T259" s="176">
        <f t="shared" si="83"/>
        <v>6</v>
      </c>
      <c r="U259" s="251">
        <f t="shared" si="84"/>
        <v>0.48217431886889323</v>
      </c>
      <c r="V259" s="383">
        <f t="shared" si="85"/>
        <v>49.052843137591005</v>
      </c>
      <c r="W259" s="402">
        <f t="shared" si="86"/>
        <v>0</v>
      </c>
      <c r="X259" s="157">
        <f t="shared" si="87"/>
        <v>44806</v>
      </c>
      <c r="Y259" s="385">
        <f t="shared" si="88"/>
        <v>37.131541388697379</v>
      </c>
      <c r="Z259" s="385">
        <f t="shared" si="89"/>
        <v>38.411251403110008</v>
      </c>
      <c r="AA259" s="386">
        <f t="shared" si="90"/>
        <v>41.732424435722407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7.9582556669521423E-2</v>
      </c>
      <c r="AD259" s="231">
        <f>(INDEX(Models!$BJ259:$BT259,,AH259)*(1-AF259)+INDEX(Models!$BJ259:$BT259,,AH259+1)*AF259-ERP_i)*AE259*Ramure*Pc/MaxiM</f>
        <v>5.9690592410524745E-6</v>
      </c>
      <c r="AE259" s="305">
        <f t="shared" si="92"/>
        <v>0.5</v>
      </c>
      <c r="AF259" s="177">
        <f t="shared" si="93"/>
        <v>0.48217431886889323</v>
      </c>
      <c r="AG259" s="811">
        <f t="shared" si="99"/>
        <v>0</v>
      </c>
      <c r="AH259" s="176">
        <f t="shared" si="94"/>
        <v>6</v>
      </c>
      <c r="AI259" s="225">
        <f t="shared" si="95"/>
        <v>0.48217431886889323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44807</v>
      </c>
      <c r="B260" s="1140">
        <v>32.155000000000001</v>
      </c>
      <c r="C260" s="841"/>
      <c r="D260" s="393">
        <f t="shared" si="77"/>
        <v>33.263925908481376</v>
      </c>
      <c r="E260" s="385">
        <f t="shared" si="100"/>
        <v>34.848000562355153</v>
      </c>
      <c r="F260" s="385">
        <f t="shared" si="78"/>
        <v>34.848092803895312</v>
      </c>
      <c r="G260" s="110">
        <f t="shared" si="101"/>
        <v>0.6583832321939117</v>
      </c>
      <c r="H260" s="414" t="b">
        <f>Wh_hp&gt;='2021'!Maxi_hp</f>
        <v>0</v>
      </c>
      <c r="I260" s="380">
        <f>IF(H260,Wh_hp,'2021'!Maxi_hp)</f>
        <v>54.150203084511908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3.3337192715386266E-2</v>
      </c>
      <c r="M260" s="845"/>
      <c r="N260" s="845"/>
      <c r="O260" s="48">
        <f>IF(t&lt;Tnet,'2021'!Resal+('2021'!Salim-'2021'!Resal)*(1-EXP(('2021'!Tnet-t)/('2021'!Tau_j))),Resal+(Salim-Resal)*(1-EXP((Tnet-t)/(Tau_j))))*Salcycl</f>
        <v>4.5456686992394794E-2</v>
      </c>
      <c r="P260" s="339">
        <f>(INDEX(Models!$BJ260:$BT260,,T260)*(1-R260)+INDEX(Models!$BJ260:$BT260,,T260+1)*R260-ERP_i)*Q260*Ramure*Pc/MaxiM</f>
        <v>5.1700634866554372E-6</v>
      </c>
      <c r="Q260" s="305">
        <f t="shared" si="80"/>
        <v>0.5</v>
      </c>
      <c r="R260" s="177">
        <f t="shared" si="81"/>
        <v>0.48277530094751869</v>
      </c>
      <c r="S260" s="811">
        <f t="shared" si="82"/>
        <v>0</v>
      </c>
      <c r="T260" s="176">
        <f t="shared" si="83"/>
        <v>6</v>
      </c>
      <c r="U260" s="251">
        <f t="shared" si="84"/>
        <v>0.48277530094751869</v>
      </c>
      <c r="V260" s="383">
        <f t="shared" si="85"/>
        <v>48.839212934195864</v>
      </c>
      <c r="W260" s="402">
        <f t="shared" si="86"/>
        <v>0</v>
      </c>
      <c r="X260" s="157">
        <f t="shared" si="87"/>
        <v>44807</v>
      </c>
      <c r="Y260" s="385">
        <f t="shared" si="88"/>
        <v>31.004313138788767</v>
      </c>
      <c r="Z260" s="385">
        <f t="shared" si="89"/>
        <v>32.073555437475513</v>
      </c>
      <c r="AA260" s="386">
        <f t="shared" si="90"/>
        <v>34.848000562355153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7.9615618689950346E-2</v>
      </c>
      <c r="AD260" s="231">
        <f>(INDEX(Models!$BJ260:$BT260,,AH260)*(1-AF260)+INDEX(Models!$BJ260:$BT260,,AH260+1)*AF260-ERP_i)*AE260*Ramure*Pc/MaxiM</f>
        <v>5.1700634866554372E-6</v>
      </c>
      <c r="AE260" s="305">
        <f t="shared" si="92"/>
        <v>0.5</v>
      </c>
      <c r="AF260" s="177">
        <f t="shared" si="93"/>
        <v>0.48277530094751869</v>
      </c>
      <c r="AG260" s="811">
        <f t="shared" si="99"/>
        <v>0</v>
      </c>
      <c r="AH260" s="176">
        <f t="shared" si="94"/>
        <v>6</v>
      </c>
      <c r="AI260" s="225">
        <f t="shared" si="95"/>
        <v>0.48277530094751869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44808</v>
      </c>
      <c r="B261" s="1140">
        <v>46.637</v>
      </c>
      <c r="C261" s="841"/>
      <c r="D261" s="393">
        <f t="shared" si="77"/>
        <v>48.246421752143007</v>
      </c>
      <c r="E261" s="385">
        <f t="shared" si="100"/>
        <v>50.547577198017599</v>
      </c>
      <c r="F261" s="385">
        <f t="shared" si="78"/>
        <v>50.547795182225308</v>
      </c>
      <c r="G261" s="110">
        <f t="shared" si="101"/>
        <v>0.95926327790636889</v>
      </c>
      <c r="H261" s="414" t="b">
        <f>Wh_hp&gt;='2021'!Maxi_hp</f>
        <v>0</v>
      </c>
      <c r="I261" s="380">
        <f>IF(H261,Wh_hp,'2021'!Maxi_hp)</f>
        <v>53.283178554064911</v>
      </c>
      <c r="J261" s="85">
        <f>IF(H261,An,'2021'!An_max)</f>
        <v>2019</v>
      </c>
      <c r="K261" s="197">
        <f t="shared" si="79"/>
        <v>44808</v>
      </c>
      <c r="L261" s="147">
        <f>IF(t&lt;Tvie,1-EXP((T0-t)*PertePVj)+'2021'!Pspv,1-EXP((T0-t)*PertePVj)+Pspv)</f>
        <v>3.3358365111740507E-2</v>
      </c>
      <c r="M261" s="845"/>
      <c r="N261" s="845"/>
      <c r="O261" s="48">
        <f>IF(t&lt;Tnet,'2021'!Resal+('2021'!Salim-'2021'!Resal)*(1-EXP(('2021'!Tnet-t)/('2021'!Tau_j))),Resal+(Salim-Resal)*(1-EXP((Tnet-t)/(Tau_j))))*Salcycl</f>
        <v>4.5524544863148046E-2</v>
      </c>
      <c r="P261" s="339">
        <f>(INDEX(Models!$BJ261:$BT261,,T261)*(1-R261)+INDEX(Models!$BJ261:$BT261,,T261+1)*R261-ERP_i)*Q261*Ramure*Pc/MaxiM</f>
        <v>4.5789067642494443E-6</v>
      </c>
      <c r="Q261" s="305">
        <f t="shared" si="80"/>
        <v>0.5</v>
      </c>
      <c r="R261" s="177">
        <f t="shared" si="81"/>
        <v>0.48335348667328293</v>
      </c>
      <c r="S261" s="811">
        <f t="shared" si="82"/>
        <v>0</v>
      </c>
      <c r="T261" s="176">
        <f t="shared" si="83"/>
        <v>6</v>
      </c>
      <c r="U261" s="251">
        <f t="shared" si="84"/>
        <v>0.48335348667328293</v>
      </c>
      <c r="V261" s="383">
        <f t="shared" si="85"/>
        <v>48.617505378092517</v>
      </c>
      <c r="W261" s="402">
        <f t="shared" si="86"/>
        <v>0</v>
      </c>
      <c r="X261" s="157">
        <f t="shared" si="87"/>
        <v>44808</v>
      </c>
      <c r="Y261" s="385">
        <f t="shared" si="88"/>
        <v>44.969669923292074</v>
      </c>
      <c r="Z261" s="385">
        <f t="shared" si="89"/>
        <v>46.521552869477233</v>
      </c>
      <c r="AA261" s="386">
        <f t="shared" si="90"/>
        <v>50.547577198017599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7.9648215635907044E-2</v>
      </c>
      <c r="AD261" s="231">
        <f>(INDEX(Models!$BJ261:$BT261,,AH261)*(1-AF261)+INDEX(Models!$BJ261:$BT261,,AH261+1)*AF261-ERP_i)*AE261*Ramure*Pc/MaxiM</f>
        <v>4.5789067642494443E-6</v>
      </c>
      <c r="AE261" s="305">
        <f t="shared" si="92"/>
        <v>0.5</v>
      </c>
      <c r="AF261" s="177">
        <f t="shared" si="93"/>
        <v>0.48335348667328293</v>
      </c>
      <c r="AG261" s="811">
        <f t="shared" si="99"/>
        <v>0</v>
      </c>
      <c r="AH261" s="176">
        <f t="shared" si="94"/>
        <v>6</v>
      </c>
      <c r="AI261" s="225">
        <f t="shared" si="95"/>
        <v>0.48335348667328293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44809</v>
      </c>
      <c r="B262" s="1140">
        <v>39.426000000000002</v>
      </c>
      <c r="C262" s="841"/>
      <c r="D262" s="393">
        <f t="shared" si="77"/>
        <v>40.787466757580461</v>
      </c>
      <c r="E262" s="385">
        <f t="shared" si="100"/>
        <v>42.735884196471702</v>
      </c>
      <c r="F262" s="385">
        <f t="shared" si="78"/>
        <v>42.73601897214126</v>
      </c>
      <c r="G262" s="110">
        <f t="shared" si="101"/>
        <v>0.81477370188667342</v>
      </c>
      <c r="H262" s="414" t="b">
        <f>Wh_hp&gt;='2021'!Maxi_hp</f>
        <v>0</v>
      </c>
      <c r="I262" s="380">
        <f>IF(H262,Wh_hp,'2021'!Maxi_hp)</f>
        <v>52.787883333438941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3.3379537044364915E-2</v>
      </c>
      <c r="M262" s="845"/>
      <c r="N262" s="845"/>
      <c r="O262" s="48">
        <f>IF(t&lt;Tnet,'2021'!Resal+('2021'!Salim-'2021'!Resal)*(1-EXP(('2021'!Tnet-t)/('2021'!Tau_j))),Resal+(Salim-Resal)*(1-EXP((Tnet-t)/(Tau_j))))*Salcycl</f>
        <v>4.5592070353188137E-2</v>
      </c>
      <c r="P262" s="339">
        <f>(INDEX(Models!$BJ262:$BT262,,T262)*(1-R262)+INDEX(Models!$BJ262:$BT262,,T262+1)*R262-ERP_i)*Q262*Ramure*Pc/MaxiM</f>
        <v>4.2884301674976269E-6</v>
      </c>
      <c r="Q262" s="305">
        <f t="shared" si="80"/>
        <v>0.5</v>
      </c>
      <c r="R262" s="177">
        <f t="shared" si="81"/>
        <v>0.48390968796605482</v>
      </c>
      <c r="S262" s="811">
        <f t="shared" si="82"/>
        <v>0</v>
      </c>
      <c r="T262" s="176">
        <f t="shared" si="83"/>
        <v>6</v>
      </c>
      <c r="U262" s="251">
        <f t="shared" si="84"/>
        <v>0.48390968796605482</v>
      </c>
      <c r="V262" s="383">
        <f t="shared" si="85"/>
        <v>48.388841183571181</v>
      </c>
      <c r="W262" s="402">
        <f t="shared" si="86"/>
        <v>0</v>
      </c>
      <c r="X262" s="157">
        <f t="shared" si="87"/>
        <v>44809</v>
      </c>
      <c r="Y262" s="385">
        <f t="shared" si="88"/>
        <v>38.0178350933923</v>
      </c>
      <c r="Z262" s="385">
        <f t="shared" si="89"/>
        <v>39.330674810199213</v>
      </c>
      <c r="AA262" s="386">
        <f t="shared" si="90"/>
        <v>42.735884196471702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7.9680330717332493E-2</v>
      </c>
      <c r="AD262" s="231">
        <f>(INDEX(Models!$BJ262:$BT262,,AH262)*(1-AF262)+INDEX(Models!$BJ262:$BT262,,AH262+1)*AF262-ERP_i)*AE262*Ramure*Pc/MaxiM</f>
        <v>4.2884301674976269E-6</v>
      </c>
      <c r="AE262" s="305">
        <f t="shared" si="92"/>
        <v>0.5</v>
      </c>
      <c r="AF262" s="177">
        <f t="shared" si="93"/>
        <v>0.48390968796605482</v>
      </c>
      <c r="AG262" s="811">
        <f t="shared" si="99"/>
        <v>0</v>
      </c>
      <c r="AH262" s="176">
        <f t="shared" si="94"/>
        <v>6</v>
      </c>
      <c r="AI262" s="225">
        <f t="shared" si="95"/>
        <v>0.48390968796605482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44810</v>
      </c>
      <c r="B263" s="1140">
        <v>44.713000000000001</v>
      </c>
      <c r="C263" s="841"/>
      <c r="D263" s="393">
        <f t="shared" si="77"/>
        <v>46.258051701265735</v>
      </c>
      <c r="E263" s="385">
        <f t="shared" si="100"/>
        <v>48.471210971588128</v>
      </c>
      <c r="F263" s="385">
        <f t="shared" si="78"/>
        <v>48.47139221626103</v>
      </c>
      <c r="G263" s="110">
        <f t="shared" si="101"/>
        <v>0.92854859008632673</v>
      </c>
      <c r="H263" s="414" t="b">
        <f>Wh_hp&gt;='2021'!Maxi_hp</f>
        <v>0</v>
      </c>
      <c r="I263" s="380">
        <f>IF(H263,Wh_hp,'2021'!Maxi_hp)</f>
        <v>54.673871330579189</v>
      </c>
      <c r="J263" s="85">
        <f>IF(H263,An,'2021'!An_max)</f>
        <v>2019</v>
      </c>
      <c r="K263" s="197">
        <f t="shared" si="79"/>
        <v>44810</v>
      </c>
      <c r="L263" s="147">
        <f>IF(t&lt;Tvie,1-EXP((T0-t)*PertePVj)+'2021'!Pspv,1-EXP((T0-t)*PertePVj)+Pspv)</f>
        <v>3.3400708513269706E-2</v>
      </c>
      <c r="M263" s="845"/>
      <c r="N263" s="845"/>
      <c r="O263" s="48">
        <f>IF(t&lt;Tnet,'2021'!Resal+('2021'!Salim-'2021'!Resal)*(1-EXP(('2021'!Tnet-t)/('2021'!Tau_j))),Resal+(Salim-Resal)*(1-EXP((Tnet-t)/(Tau_j))))*Salcycl</f>
        <v>4.5659252697846875E-2</v>
      </c>
      <c r="P263" s="339">
        <f>(INDEX(Models!$BJ263:$BT263,,T263)*(1-R263)+INDEX(Models!$BJ263:$BT263,,T263+1)*R263-ERP_i)*Q263*Ramure*Pc/MaxiM</f>
        <v>4.1642679612131518E-6</v>
      </c>
      <c r="Q263" s="305">
        <f t="shared" si="80"/>
        <v>0.5</v>
      </c>
      <c r="R263" s="177">
        <f t="shared" si="81"/>
        <v>0.48444469189768646</v>
      </c>
      <c r="S263" s="811">
        <f t="shared" si="82"/>
        <v>0</v>
      </c>
      <c r="T263" s="176">
        <f t="shared" si="83"/>
        <v>6</v>
      </c>
      <c r="U263" s="251">
        <f t="shared" si="84"/>
        <v>0.48444469189768646</v>
      </c>
      <c r="V263" s="383">
        <f t="shared" si="85"/>
        <v>48.153625423217761</v>
      </c>
      <c r="W263" s="402">
        <f t="shared" si="86"/>
        <v>0</v>
      </c>
      <c r="X263" s="157">
        <f t="shared" si="87"/>
        <v>44810</v>
      </c>
      <c r="Y263" s="385">
        <f t="shared" si="88"/>
        <v>43.117555082057144</v>
      </c>
      <c r="Z263" s="385">
        <f t="shared" si="89"/>
        <v>44.607476398764845</v>
      </c>
      <c r="AA263" s="386">
        <f t="shared" si="90"/>
        <v>48.471210971588128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7.9711946439465858E-2</v>
      </c>
      <c r="AD263" s="231">
        <f>(INDEX(Models!$BJ263:$BT263,,AH263)*(1-AF263)+INDEX(Models!$BJ263:$BT263,,AH263+1)*AF263-ERP_i)*AE263*Ramure*Pc/MaxiM</f>
        <v>4.1642679612131518E-6</v>
      </c>
      <c r="AE263" s="305">
        <f t="shared" si="92"/>
        <v>0.5</v>
      </c>
      <c r="AF263" s="177">
        <f t="shared" si="93"/>
        <v>0.48444469189768646</v>
      </c>
      <c r="AG263" s="811">
        <f t="shared" si="99"/>
        <v>0</v>
      </c>
      <c r="AH263" s="176">
        <f t="shared" si="94"/>
        <v>6</v>
      </c>
      <c r="AI263" s="225">
        <f t="shared" si="95"/>
        <v>0.48444469189768646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44811</v>
      </c>
      <c r="B264" s="1140">
        <v>34.789000000000001</v>
      </c>
      <c r="C264" s="841"/>
      <c r="D264" s="393">
        <f t="shared" si="77"/>
        <v>35.991917531372039</v>
      </c>
      <c r="E264" s="385">
        <f t="shared" si="100"/>
        <v>37.716547421290869</v>
      </c>
      <c r="F264" s="385">
        <f t="shared" si="78"/>
        <v>37.716644043717586</v>
      </c>
      <c r="G264" s="110">
        <f t="shared" si="101"/>
        <v>0.7260969396073822</v>
      </c>
      <c r="H264" s="414" t="b">
        <f>Wh_hp&gt;='2021'!Maxi_hp</f>
        <v>0</v>
      </c>
      <c r="I264" s="380">
        <f>IF(H264,Wh_hp,'2021'!Maxi_hp)</f>
        <v>50.140065797662274</v>
      </c>
      <c r="J264" s="85">
        <f>IF(H264,An,'2021'!An_max)</f>
        <v>2019</v>
      </c>
      <c r="K264" s="197">
        <f t="shared" si="79"/>
        <v>44811</v>
      </c>
      <c r="L264" s="147">
        <f>IF(t&lt;Tvie,1-EXP((T0-t)*PertePVj)+'2021'!Pspv,1-EXP((T0-t)*PertePVj)+Pspv)</f>
        <v>3.342187951846487E-2</v>
      </c>
      <c r="M264" s="845"/>
      <c r="N264" s="845"/>
      <c r="O264" s="48">
        <f>IF(t&lt;Tnet,'2021'!Resal+('2021'!Salim-'2021'!Resal)*(1-EXP(('2021'!Tnet-t)/('2021'!Tau_j))),Resal+(Salim-Resal)*(1-EXP((Tnet-t)/(Tau_j))))*Salcycl</f>
        <v>4.5726080668382692E-2</v>
      </c>
      <c r="P264" s="339">
        <f>(INDEX(Models!$BJ264:$BT264,,T264)*(1-R264)+INDEX(Models!$BJ264:$BT264,,T264+1)*R264-ERP_i)*Q264*Ramure*Pc/MaxiM</f>
        <v>4.2085578772021345E-6</v>
      </c>
      <c r="Q264" s="305">
        <f t="shared" si="80"/>
        <v>0.5</v>
      </c>
      <c r="R264" s="177">
        <f t="shared" si="81"/>
        <v>0.48495926113072407</v>
      </c>
      <c r="S264" s="811">
        <f t="shared" si="82"/>
        <v>0</v>
      </c>
      <c r="T264" s="176">
        <f t="shared" si="83"/>
        <v>6</v>
      </c>
      <c r="U264" s="251">
        <f t="shared" si="84"/>
        <v>0.48495926113072407</v>
      </c>
      <c r="V264" s="383">
        <f t="shared" si="85"/>
        <v>47.912256357309879</v>
      </c>
      <c r="W264" s="402">
        <f t="shared" si="86"/>
        <v>0</v>
      </c>
      <c r="X264" s="157">
        <f t="shared" si="87"/>
        <v>44811</v>
      </c>
      <c r="Y264" s="385">
        <f t="shared" si="88"/>
        <v>33.548877920655087</v>
      </c>
      <c r="Z264" s="385">
        <f t="shared" si="89"/>
        <v>34.708915099321224</v>
      </c>
      <c r="AA264" s="386">
        <f t="shared" si="90"/>
        <v>37.716547421290869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7.974304456806787E-2</v>
      </c>
      <c r="AD264" s="231">
        <f>(INDEX(Models!$BJ264:$BT264,,AH264)*(1-AF264)+INDEX(Models!$BJ264:$BT264,,AH264+1)*AF264-ERP_i)*AE264*Ramure*Pc/MaxiM</f>
        <v>4.2085578772021345E-6</v>
      </c>
      <c r="AE264" s="305">
        <f t="shared" si="92"/>
        <v>0.5</v>
      </c>
      <c r="AF264" s="177">
        <f t="shared" si="93"/>
        <v>0.48495926113072407</v>
      </c>
      <c r="AG264" s="811">
        <f t="shared" si="99"/>
        <v>0</v>
      </c>
      <c r="AH264" s="176">
        <f t="shared" si="94"/>
        <v>6</v>
      </c>
      <c r="AI264" s="225">
        <f t="shared" si="95"/>
        <v>0.48495926113072407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44812</v>
      </c>
      <c r="B265" s="1140">
        <v>38.096000000000004</v>
      </c>
      <c r="C265" s="841"/>
      <c r="D265" s="393">
        <f t="shared" si="77"/>
        <v>39.414128678463598</v>
      </c>
      <c r="E265" s="385">
        <f t="shared" si="100"/>
        <v>41.305617945897481</v>
      </c>
      <c r="F265" s="385">
        <f t="shared" si="78"/>
        <v>41.305748260942394</v>
      </c>
      <c r="G265" s="110">
        <f t="shared" si="101"/>
        <v>0.79924149970677683</v>
      </c>
      <c r="H265" s="414" t="b">
        <f>Wh_hp&gt;='2021'!Maxi_hp</f>
        <v>0</v>
      </c>
      <c r="I265" s="380">
        <f>IF(H265,Wh_hp,'2021'!Maxi_hp)</f>
        <v>49.195092920557293</v>
      </c>
      <c r="J265" s="85">
        <f>IF(H265,An,'2021'!An_max)</f>
        <v>2018</v>
      </c>
      <c r="K265" s="197">
        <f t="shared" si="79"/>
        <v>44812</v>
      </c>
      <c r="L265" s="147">
        <f>IF(t&lt;Tvie,1-EXP((T0-t)*PertePVj)+'2021'!Pspv,1-EXP((T0-t)*PertePVj)+Pspv)</f>
        <v>3.3443050059960844E-2</v>
      </c>
      <c r="M265" s="845"/>
      <c r="N265" s="845"/>
      <c r="O265" s="48">
        <f>IF(t&lt;Tnet,'2021'!Resal+('2021'!Salim-'2021'!Resal)*(1-EXP(('2021'!Tnet-t)/('2021'!Tau_j))),Resal+(Salim-Resal)*(1-EXP((Tnet-t)/(Tau_j))))*Salcycl</f>
        <v>4.5792542552235325E-2</v>
      </c>
      <c r="P265" s="339">
        <f>(INDEX(Models!$BJ265:$BT265,,T265)*(1-R265)+INDEX(Models!$BJ265:$BT265,,T265+1)*R265-ERP_i)*Q265*Ramure*Pc/MaxiM</f>
        <v>4.4235459507478218E-6</v>
      </c>
      <c r="Q265" s="305">
        <f t="shared" si="80"/>
        <v>0.5</v>
      </c>
      <c r="R265" s="177">
        <f t="shared" si="81"/>
        <v>0.4854541343775699</v>
      </c>
      <c r="S265" s="811">
        <f t="shared" si="82"/>
        <v>0</v>
      </c>
      <c r="T265" s="176">
        <f t="shared" si="83"/>
        <v>6</v>
      </c>
      <c r="U265" s="251">
        <f t="shared" si="84"/>
        <v>0.4854541343775699</v>
      </c>
      <c r="V265" s="383">
        <f t="shared" si="85"/>
        <v>47.665132107208386</v>
      </c>
      <c r="W265" s="402">
        <f t="shared" si="86"/>
        <v>0</v>
      </c>
      <c r="X265" s="157">
        <f t="shared" si="87"/>
        <v>44812</v>
      </c>
      <c r="Y265" s="385">
        <f t="shared" si="88"/>
        <v>36.739332132064874</v>
      </c>
      <c r="Z265" s="385">
        <f t="shared" si="89"/>
        <v>38.010519850220945</v>
      </c>
      <c r="AA265" s="386">
        <f t="shared" si="90"/>
        <v>41.305617945897481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7.9773606098630309E-2</v>
      </c>
      <c r="AD265" s="231">
        <f>(INDEX(Models!$BJ265:$BT265,,AH265)*(1-AF265)+INDEX(Models!$BJ265:$BT265,,AH265+1)*AF265-ERP_i)*AE265*Ramure*Pc/MaxiM</f>
        <v>4.4235459507478218E-6</v>
      </c>
      <c r="AE265" s="305">
        <f t="shared" si="92"/>
        <v>0.5</v>
      </c>
      <c r="AF265" s="177">
        <f t="shared" si="93"/>
        <v>0.4854541343775699</v>
      </c>
      <c r="AG265" s="811">
        <f t="shared" si="99"/>
        <v>0</v>
      </c>
      <c r="AH265" s="176">
        <f t="shared" si="94"/>
        <v>6</v>
      </c>
      <c r="AI265" s="225">
        <f t="shared" si="95"/>
        <v>0.4854541343775699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44813</v>
      </c>
      <c r="B266" s="1140">
        <v>21.208000000000002</v>
      </c>
      <c r="C266" s="841"/>
      <c r="D266" s="393">
        <f t="shared" si="77"/>
        <v>21.942281332847227</v>
      </c>
      <c r="E266" s="385">
        <f t="shared" si="100"/>
        <v>22.996886974927016</v>
      </c>
      <c r="F266" s="385">
        <f t="shared" si="78"/>
        <v>22.996910260211116</v>
      </c>
      <c r="G266" s="110">
        <f t="shared" si="101"/>
        <v>0.44730507871367015</v>
      </c>
      <c r="H266" s="414" t="b">
        <f>Wh_hp&gt;='2021'!Maxi_hp</f>
        <v>0</v>
      </c>
      <c r="I266" s="380">
        <f>IF(H266,Wh_hp,'2021'!Maxi_hp)</f>
        <v>49.204296027158733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3.3464220137767509E-2</v>
      </c>
      <c r="M266" s="845"/>
      <c r="N266" s="845"/>
      <c r="O266" s="48">
        <f>IF(t&lt;Tnet,'2021'!Resal+('2021'!Salim-'2021'!Resal)*(1-EXP(('2021'!Tnet-t)/('2021'!Tau_j))),Resal+(Salim-Resal)*(1-EXP((Tnet-t)/(Tau_j))))*Salcycl</f>
        <v>4.5858626136207128E-2</v>
      </c>
      <c r="P266" s="339">
        <f>(INDEX(Models!$BJ266:$BT266,,T266)*(1-R266)+INDEX(Models!$BJ266:$BT266,,T266+1)*R266-ERP_i)*Q266*Ramure*Pc/MaxiM</f>
        <v>4.8115761116450495E-6</v>
      </c>
      <c r="Q266" s="305">
        <f t="shared" si="80"/>
        <v>0.5</v>
      </c>
      <c r="R266" s="177">
        <f t="shared" si="81"/>
        <v>0.4859300268769251</v>
      </c>
      <c r="S266" s="811">
        <f t="shared" si="82"/>
        <v>0</v>
      </c>
      <c r="T266" s="176">
        <f t="shared" si="83"/>
        <v>6</v>
      </c>
      <c r="U266" s="251">
        <f t="shared" si="84"/>
        <v>0.4859300268769251</v>
      </c>
      <c r="V266" s="383">
        <f t="shared" si="85"/>
        <v>47.412650647611777</v>
      </c>
      <c r="W266" s="402">
        <f t="shared" si="86"/>
        <v>0</v>
      </c>
      <c r="X266" s="157">
        <f t="shared" si="87"/>
        <v>44813</v>
      </c>
      <c r="Y266" s="385">
        <f t="shared" si="88"/>
        <v>20.453494154632441</v>
      </c>
      <c r="Z266" s="385">
        <f t="shared" si="89"/>
        <v>21.161652347260056</v>
      </c>
      <c r="AA266" s="386">
        <f t="shared" si="90"/>
        <v>22.996886974927016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7.9803611230853805E-2</v>
      </c>
      <c r="AD266" s="231">
        <f>(INDEX(Models!$BJ266:$BT266,,AH266)*(1-AF266)+INDEX(Models!$BJ266:$BT266,,AH266+1)*AF266-ERP_i)*AE266*Ramure*Pc/MaxiM</f>
        <v>4.8115761116450495E-6</v>
      </c>
      <c r="AE266" s="305">
        <f t="shared" si="92"/>
        <v>0.5</v>
      </c>
      <c r="AF266" s="177">
        <f t="shared" si="93"/>
        <v>0.4859300268769251</v>
      </c>
      <c r="AG266" s="811">
        <f t="shared" si="99"/>
        <v>0</v>
      </c>
      <c r="AH266" s="176">
        <f t="shared" si="94"/>
        <v>6</v>
      </c>
      <c r="AI266" s="225">
        <f t="shared" si="95"/>
        <v>0.4859300268769251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44814</v>
      </c>
      <c r="B267" s="1140">
        <v>44.803000000000004</v>
      </c>
      <c r="C267" s="841"/>
      <c r="D267" s="393">
        <f t="shared" si="77"/>
        <v>46.355222699115792</v>
      </c>
      <c r="E267" s="385">
        <f t="shared" si="100"/>
        <v>48.586525793874721</v>
      </c>
      <c r="F267" s="385">
        <f t="shared" si="78"/>
        <v>48.586768341384165</v>
      </c>
      <c r="G267" s="110">
        <f t="shared" si="101"/>
        <v>0.95011734681565252</v>
      </c>
      <c r="H267" s="414" t="b">
        <f>Wh_hp&gt;='2021'!Maxi_hp</f>
        <v>1</v>
      </c>
      <c r="I267" s="380">
        <f>IF(H267,Wh_hp,'2021'!Maxi_hp)</f>
        <v>48.586768341384165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3.3485389751895189E-2</v>
      </c>
      <c r="M267" s="845"/>
      <c r="N267" s="845"/>
      <c r="O267" s="48">
        <f>IF(t&lt;Tnet,'2021'!Resal+('2021'!Salim-'2021'!Resal)*(1-EXP(('2021'!Tnet-t)/('2021'!Tau_j))),Resal+(Salim-Resal)*(1-EXP((Tnet-t)/(Tau_j))))*Salcycl</f>
        <v>4.5924318693316105E-2</v>
      </c>
      <c r="P267" s="339">
        <f>(INDEX(Models!$BJ267:$BT267,,T267)*(1-R267)+INDEX(Models!$BJ267:$BT267,,T267+1)*R267-ERP_i)*Q267*Ramure*Pc/MaxiM</f>
        <v>5.375078959321632E-6</v>
      </c>
      <c r="Q267" s="305">
        <f t="shared" si="80"/>
        <v>0.5</v>
      </c>
      <c r="R267" s="177">
        <f t="shared" si="81"/>
        <v>0.48638763088458997</v>
      </c>
      <c r="S267" s="811">
        <f t="shared" si="82"/>
        <v>0</v>
      </c>
      <c r="T267" s="176">
        <f t="shared" si="83"/>
        <v>6</v>
      </c>
      <c r="U267" s="251">
        <f t="shared" si="84"/>
        <v>0.48638763088458997</v>
      </c>
      <c r="V267" s="383">
        <f t="shared" si="85"/>
        <v>47.155209816097177</v>
      </c>
      <c r="W267" s="402">
        <f t="shared" si="86"/>
        <v>0</v>
      </c>
      <c r="X267" s="157">
        <f t="shared" si="87"/>
        <v>44814</v>
      </c>
      <c r="Y267" s="385">
        <f t="shared" si="88"/>
        <v>43.210660480890795</v>
      </c>
      <c r="Z267" s="385">
        <f t="shared" si="89"/>
        <v>44.70771576830959</v>
      </c>
      <c r="AA267" s="386">
        <f t="shared" si="90"/>
        <v>48.586525793874721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7.9833039349648804E-2</v>
      </c>
      <c r="AD267" s="231">
        <f>(INDEX(Models!$BJ267:$BT267,,AH267)*(1-AF267)+INDEX(Models!$BJ267:$BT267,,AH267+1)*AF267-ERP_i)*AE267*Ramure*Pc/MaxiM</f>
        <v>5.375078959321632E-6</v>
      </c>
      <c r="AE267" s="305">
        <f t="shared" si="92"/>
        <v>0.5</v>
      </c>
      <c r="AF267" s="177">
        <f t="shared" si="93"/>
        <v>0.48638763088458997</v>
      </c>
      <c r="AG267" s="811">
        <f t="shared" si="99"/>
        <v>0</v>
      </c>
      <c r="AH267" s="176">
        <f t="shared" si="94"/>
        <v>6</v>
      </c>
      <c r="AI267" s="225">
        <f t="shared" si="95"/>
        <v>0.48638763088458997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44815</v>
      </c>
      <c r="B268" s="1140">
        <v>45.33</v>
      </c>
      <c r="C268" s="841"/>
      <c r="D268" s="393">
        <f t="shared" si="77"/>
        <v>46.901508145279024</v>
      </c>
      <c r="E268" s="385">
        <f t="shared" si="100"/>
        <v>49.162470857907216</v>
      </c>
      <c r="F268" s="385">
        <f t="shared" si="78"/>
        <v>49.162761814775862</v>
      </c>
      <c r="G268" s="110">
        <f t="shared" si="101"/>
        <v>0.96666433404473828</v>
      </c>
      <c r="H268" s="414" t="b">
        <f>Wh_hp&gt;='2021'!Maxi_hp</f>
        <v>1</v>
      </c>
      <c r="I268" s="380">
        <f>IF(H268,Wh_hp,'2021'!Maxi_hp)</f>
        <v>49.162761814775862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3.3506558902353989E-2</v>
      </c>
      <c r="M268" s="845"/>
      <c r="N268" s="845"/>
      <c r="O268" s="48">
        <f>IF(t&lt;Tnet,'2021'!Resal+('2021'!Salim-'2021'!Resal)*(1-EXP(('2021'!Tnet-t)/('2021'!Tau_j))),Resal+(Salim-Resal)*(1-EXP((Tnet-t)/(Tau_j))))*Salcycl</f>
        <v>4.598960697404697E-2</v>
      </c>
      <c r="P268" s="339">
        <f>(INDEX(Models!$BJ268:$BT268,,T268)*(1-R268)+INDEX(Models!$BJ268:$BT268,,T268+1)*R268-ERP_i)*Q268*Ramure*Pc/MaxiM</f>
        <v>6.2141677694655776E-6</v>
      </c>
      <c r="Q268" s="305">
        <f t="shared" si="80"/>
        <v>0.5</v>
      </c>
      <c r="R268" s="177">
        <f t="shared" si="81"/>
        <v>0.48682761617592668</v>
      </c>
      <c r="S268" s="811">
        <f t="shared" si="82"/>
        <v>0</v>
      </c>
      <c r="T268" s="176">
        <f t="shared" si="83"/>
        <v>6</v>
      </c>
      <c r="U268" s="251">
        <f t="shared" si="84"/>
        <v>0.48682761617592668</v>
      </c>
      <c r="V268" s="383">
        <f t="shared" si="85"/>
        <v>46.893202727053477</v>
      </c>
      <c r="W268" s="402">
        <f t="shared" si="86"/>
        <v>0</v>
      </c>
      <c r="X268" s="157">
        <f t="shared" si="87"/>
        <v>44815</v>
      </c>
      <c r="Y268" s="385">
        <f t="shared" si="88"/>
        <v>43.720552503945832</v>
      </c>
      <c r="Z268" s="385">
        <f t="shared" si="89"/>
        <v>45.236264049854725</v>
      </c>
      <c r="AA268" s="386">
        <f t="shared" si="90"/>
        <v>49.162470857907216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7.9861869013872058E-2</v>
      </c>
      <c r="AD268" s="231">
        <f>(INDEX(Models!$BJ268:$BT268,,AH268)*(1-AF268)+INDEX(Models!$BJ268:$BT268,,AH268+1)*AF268-ERP_i)*AE268*Ramure*Pc/MaxiM</f>
        <v>6.2141677694655776E-6</v>
      </c>
      <c r="AE268" s="305">
        <f t="shared" si="92"/>
        <v>0.5</v>
      </c>
      <c r="AF268" s="177">
        <f t="shared" si="93"/>
        <v>0.48682761617592668</v>
      </c>
      <c r="AG268" s="811">
        <f t="shared" si="99"/>
        <v>0</v>
      </c>
      <c r="AH268" s="176">
        <f t="shared" si="94"/>
        <v>6</v>
      </c>
      <c r="AI268" s="225">
        <f t="shared" si="95"/>
        <v>0.48682761617592668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44816</v>
      </c>
      <c r="B269" s="1140">
        <v>31.747</v>
      </c>
      <c r="C269" s="841"/>
      <c r="D269" s="393">
        <f t="shared" si="77"/>
        <v>32.84832985514187</v>
      </c>
      <c r="E269" s="385">
        <f t="shared" si="100"/>
        <v>34.434177917014665</v>
      </c>
      <c r="F269" s="385">
        <f t="shared" si="78"/>
        <v>34.434313820087539</v>
      </c>
      <c r="G269" s="110">
        <f t="shared" si="101"/>
        <v>0.68086889898966763</v>
      </c>
      <c r="H269" s="414" t="b">
        <f>Wh_hp&gt;='2021'!Maxi_hp</f>
        <v>0</v>
      </c>
      <c r="I269" s="380">
        <f>IF(H269,Wh_hp,'2021'!Maxi_hp)</f>
        <v>50.761032411385656</v>
      </c>
      <c r="J269" s="85">
        <f>IF(H269,An,'2021'!An_max)</f>
        <v>2019</v>
      </c>
      <c r="K269" s="197">
        <f t="shared" si="79"/>
        <v>44816</v>
      </c>
      <c r="L269" s="147">
        <f>IF(t&lt;Tvie,1-EXP((T0-t)*PertePVj)+'2021'!Pspv,1-EXP((T0-t)*PertePVj)+Pspv)</f>
        <v>3.3527727589154011E-2</v>
      </c>
      <c r="M269" s="845"/>
      <c r="N269" s="845"/>
      <c r="O269" s="48">
        <f>IF(t&lt;Tnet,'2021'!Resal+('2021'!Salim-'2021'!Resal)*(1-EXP(('2021'!Tnet-t)/('2021'!Tau_j))),Resal+(Salim-Resal)*(1-EXP((Tnet-t)/(Tau_j))))*Salcycl</f>
        <v>4.6054477202697862E-2</v>
      </c>
      <c r="P269" s="339">
        <f>(INDEX(Models!$BJ269:$BT269,,T269)*(1-R269)+INDEX(Models!$BJ269:$BT269,,T269+1)*R269-ERP_i)*Q269*Ramure*Pc/MaxiM</f>
        <v>7.2536701961766839E-6</v>
      </c>
      <c r="Q269" s="305">
        <f t="shared" si="80"/>
        <v>0.5</v>
      </c>
      <c r="R269" s="177">
        <f t="shared" si="81"/>
        <v>0.48725063055751366</v>
      </c>
      <c r="S269" s="811">
        <f t="shared" si="82"/>
        <v>0</v>
      </c>
      <c r="T269" s="176">
        <f t="shared" si="83"/>
        <v>6</v>
      </c>
      <c r="U269" s="251">
        <f t="shared" si="84"/>
        <v>0.48725063055751366</v>
      </c>
      <c r="V269" s="383">
        <f t="shared" si="85"/>
        <v>46.627030638919052</v>
      </c>
      <c r="W269" s="402">
        <f t="shared" si="86"/>
        <v>0</v>
      </c>
      <c r="X269" s="157">
        <f t="shared" si="87"/>
        <v>44816</v>
      </c>
      <c r="Y269" s="385">
        <f t="shared" si="88"/>
        <v>30.620962095969443</v>
      </c>
      <c r="Z269" s="385">
        <f t="shared" si="89"/>
        <v>31.683228758944171</v>
      </c>
      <c r="AA269" s="386">
        <f t="shared" si="90"/>
        <v>34.434177917014665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7.9890077953950214E-2</v>
      </c>
      <c r="AD269" s="231">
        <f>(INDEX(Models!$BJ269:$BT269,,AH269)*(1-AF269)+INDEX(Models!$BJ269:$BT269,,AH269+1)*AF269-ERP_i)*AE269*Ramure*Pc/MaxiM</f>
        <v>7.2536701961766839E-6</v>
      </c>
      <c r="AE269" s="305">
        <f t="shared" si="92"/>
        <v>0.5</v>
      </c>
      <c r="AF269" s="177">
        <f t="shared" si="93"/>
        <v>0.48725063055751366</v>
      </c>
      <c r="AG269" s="811">
        <f t="shared" si="99"/>
        <v>0</v>
      </c>
      <c r="AH269" s="176">
        <f t="shared" si="94"/>
        <v>6</v>
      </c>
      <c r="AI269" s="225">
        <f t="shared" si="95"/>
        <v>0.48725063055751366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44817</v>
      </c>
      <c r="B270" s="1140">
        <v>11.257</v>
      </c>
      <c r="C270" s="841"/>
      <c r="D270" s="393">
        <f t="shared" si="77"/>
        <v>11.647769816002794</v>
      </c>
      <c r="E270" s="385">
        <f t="shared" si="100"/>
        <v>12.210924401518394</v>
      </c>
      <c r="F270" s="385">
        <f t="shared" si="78"/>
        <v>12.210924401518394</v>
      </c>
      <c r="G270" s="110">
        <f t="shared" si="101"/>
        <v>0.24283025788725118</v>
      </c>
      <c r="H270" s="414" t="b">
        <f>Wh_hp&gt;='2021'!Maxi_hp</f>
        <v>0</v>
      </c>
      <c r="I270" s="380">
        <f>IF(H270,Wh_hp,'2021'!Maxi_hp)</f>
        <v>48.245201516580117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3.3548895812305579E-2</v>
      </c>
      <c r="M270" s="845"/>
      <c r="N270" s="845"/>
      <c r="O270" s="48">
        <f>IF(t&lt;Tnet,'2021'!Resal+('2021'!Salim-'2021'!Resal)*(1-EXP(('2021'!Tnet-t)/('2021'!Tau_j))),Resal+(Salim-Resal)*(1-EXP((Tnet-t)/(Tau_j))))*Salcycl</f>
        <v>4.6118915079481904E-2</v>
      </c>
      <c r="P270" s="339">
        <f>(INDEX(Models!$BJ270:$BT270,,T270)*(1-R270)+INDEX(Models!$BJ270:$BT270,,T270+1)*R270-ERP_i)*Q270*Ramure*Pc/MaxiM</f>
        <v>8.4965253701325787E-6</v>
      </c>
      <c r="Q270" s="305">
        <f t="shared" si="80"/>
        <v>0.5</v>
      </c>
      <c r="R270" s="177">
        <f t="shared" si="81"/>
        <v>0.48765730038572375</v>
      </c>
      <c r="S270" s="811">
        <f t="shared" si="82"/>
        <v>0</v>
      </c>
      <c r="T270" s="176">
        <f t="shared" si="83"/>
        <v>6</v>
      </c>
      <c r="U270" s="251">
        <f t="shared" si="84"/>
        <v>0.48765730038572375</v>
      </c>
      <c r="V270" s="383">
        <f t="shared" si="85"/>
        <v>46.357090967801113</v>
      </c>
      <c r="W270" s="402">
        <f t="shared" si="86"/>
        <v>0</v>
      </c>
      <c r="X270" s="157">
        <f t="shared" si="87"/>
        <v>44817</v>
      </c>
      <c r="Y270" s="385">
        <f t="shared" si="88"/>
        <v>10.858132376864832</v>
      </c>
      <c r="Z270" s="385">
        <f t="shared" si="89"/>
        <v>11.235056103527484</v>
      </c>
      <c r="AA270" s="386">
        <f t="shared" si="90"/>
        <v>12.210924401518394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7.9917643079467776E-2</v>
      </c>
      <c r="AD270" s="231">
        <f>(INDEX(Models!$BJ270:$BT270,,AH270)*(1-AF270)+INDEX(Models!$BJ270:$BT270,,AH270+1)*AF270-ERP_i)*AE270*Ramure*Pc/MaxiM</f>
        <v>8.4965253701325787E-6</v>
      </c>
      <c r="AE270" s="305">
        <f t="shared" si="92"/>
        <v>0.5</v>
      </c>
      <c r="AF270" s="177">
        <f t="shared" si="93"/>
        <v>0.48765730038572375</v>
      </c>
      <c r="AG270" s="811">
        <f t="shared" si="99"/>
        <v>0</v>
      </c>
      <c r="AH270" s="176">
        <f t="shared" si="94"/>
        <v>6</v>
      </c>
      <c r="AI270" s="225">
        <f t="shared" si="95"/>
        <v>0.48765730038572375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44818</v>
      </c>
      <c r="B271" s="1140">
        <v>37.356000000000002</v>
      </c>
      <c r="C271" s="841"/>
      <c r="D271" s="393">
        <f t="shared" ref="D271:D334" si="102">Wh/(1-Ppv)</f>
        <v>38.653603941599393</v>
      </c>
      <c r="E271" s="385">
        <f t="shared" si="100"/>
        <v>40.525174245879498</v>
      </c>
      <c r="F271" s="385">
        <f t="shared" ref="F271:F334" si="103">Wh_sa/(1-Pvg*MEDIAN((-Sdif+Wh/Env_an)/Csdif,0,1))</f>
        <v>40.525468251343533</v>
      </c>
      <c r="G271" s="110">
        <f t="shared" si="101"/>
        <v>0.81060838922934053</v>
      </c>
      <c r="H271" s="414" t="b">
        <f>Wh_hp&gt;='2021'!Maxi_hp</f>
        <v>0</v>
      </c>
      <c r="I271" s="380">
        <f>IF(H271,Wh_hp,'2021'!Maxi_hp)</f>
        <v>47.954871485084247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3.3570063571818687E-2</v>
      </c>
      <c r="M271" s="845"/>
      <c r="N271" s="845"/>
      <c r="O271" s="48">
        <f>IF(t&lt;Tnet,'2021'!Resal+('2021'!Salim-'2021'!Resal)*(1-EXP(('2021'!Tnet-t)/('2021'!Tau_j))),Resal+(Salim-Resal)*(1-EXP((Tnet-t)/(Tau_j))))*Salcycl</f>
        <v>4.6182905788996115E-2</v>
      </c>
      <c r="P271" s="339">
        <f>(INDEX(Models!$BJ271:$BT271,,T271)*(1-R271)+INDEX(Models!$BJ271:$BT271,,T271+1)*R271-ERP_i)*Q271*Ramure*Pc/MaxiM</f>
        <v>9.9457055847227379E-6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0.48804823109015932</v>
      </c>
      <c r="S271" s="811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0.48804823109015932</v>
      </c>
      <c r="V271" s="383">
        <f t="shared" ref="V271:V334" si="110">MaxiM*(1-Ppv)*(1-Pvg)*(1-Psa)</f>
        <v>46.083780991351631</v>
      </c>
      <c r="W271" s="402">
        <f t="shared" ref="W271:W334" si="111">Wh*(A271&gt;Tmaj)</f>
        <v>0</v>
      </c>
      <c r="X271" s="157">
        <f t="shared" ref="X271:X334" si="112">t</f>
        <v>44818</v>
      </c>
      <c r="Y271" s="385">
        <f t="shared" ref="Y271:Y334" si="113">Wh_pvt_s*(1-Ppv)</f>
        <v>36.033734301646355</v>
      </c>
      <c r="Z271" s="385">
        <f t="shared" ref="Z271:Z334" si="114">Wh_sa_s*(1-Psa_s)</f>
        <v>37.285407812203204</v>
      </c>
      <c r="AA271" s="386">
        <f t="shared" ref="AA271:AA334" si="115">Wh_hp*(1-Pvg_s*MEDIAN((-Sdif+Wh/Env_an)/Csdif,0,1))</f>
        <v>40.525174245879498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7.9944540497705718E-2</v>
      </c>
      <c r="AD271" s="231">
        <f>(INDEX(Models!$BJ271:$BT271,,AH271)*(1-AF271)+INDEX(Models!$BJ271:$BT271,,AH271+1)*AF271-ERP_i)*AE271*Ramure*Pc/MaxiM</f>
        <v>9.9457055847227379E-6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0.48804823109015932</v>
      </c>
      <c r="AG271" s="811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0.48804823109015932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44819</v>
      </c>
      <c r="B272" s="1140">
        <v>41.033000000000001</v>
      </c>
      <c r="C272" s="841"/>
      <c r="D272" s="393">
        <f t="shared" si="102"/>
        <v>42.459258763599635</v>
      </c>
      <c r="E272" s="385">
        <f t="shared" si="100"/>
        <v>44.518060301852351</v>
      </c>
      <c r="F272" s="385">
        <f t="shared" si="103"/>
        <v>44.518499981664341</v>
      </c>
      <c r="G272" s="110">
        <f t="shared" si="101"/>
        <v>0.89576883758750947</v>
      </c>
      <c r="H272" s="414" t="b">
        <f>Wh_hp&gt;='2021'!Maxi_hp</f>
        <v>0</v>
      </c>
      <c r="I272" s="380">
        <f>IF(H272,Wh_hp,'2021'!Maxi_hp)</f>
        <v>48.916978336718785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3.3591230867703437E-2</v>
      </c>
      <c r="M272" s="845"/>
      <c r="N272" s="845"/>
      <c r="O272" s="48">
        <f>IF(t&lt;Tnet,'2021'!Resal+('2021'!Salim-'2021'!Resal)*(1-EXP(('2021'!Tnet-t)/('2021'!Tau_j))),Resal+(Salim-Resal)*(1-EXP((Tnet-t)/(Tau_j))))*Salcycl</f>
        <v>4.6246434015613493E-2</v>
      </c>
      <c r="P272" s="339">
        <f>(INDEX(Models!$BJ272:$BT272,,T272)*(1-R272)+INDEX(Models!$BJ272:$BT272,,T272+1)*R272-ERP_i)*Q272*Ramure*Pc/MaxiM</f>
        <v>1.1604198020280126E-5</v>
      </c>
      <c r="Q272" s="305">
        <f t="shared" si="105"/>
        <v>0.5</v>
      </c>
      <c r="R272" s="177">
        <f t="shared" si="106"/>
        <v>0.48842400770005739</v>
      </c>
      <c r="S272" s="811">
        <f t="shared" si="107"/>
        <v>0</v>
      </c>
      <c r="T272" s="176">
        <f t="shared" si="108"/>
        <v>6</v>
      </c>
      <c r="U272" s="251">
        <f t="shared" si="109"/>
        <v>0.48842400770005739</v>
      </c>
      <c r="V272" s="383">
        <f t="shared" si="110"/>
        <v>45.807497847976066</v>
      </c>
      <c r="W272" s="402">
        <f t="shared" si="111"/>
        <v>0</v>
      </c>
      <c r="X272" s="157">
        <f t="shared" si="112"/>
        <v>44819</v>
      </c>
      <c r="Y272" s="385">
        <f t="shared" si="113"/>
        <v>39.582090955674111</v>
      </c>
      <c r="Z272" s="385">
        <f t="shared" si="114"/>
        <v>40.957917829339891</v>
      </c>
      <c r="AA272" s="386">
        <f t="shared" si="115"/>
        <v>44.518060301852351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7.9970745544012997E-2</v>
      </c>
      <c r="AD272" s="231">
        <f>(INDEX(Models!$BJ272:$BT272,,AH272)*(1-AF272)+INDEX(Models!$BJ272:$BT272,,AH272+1)*AF272-ERP_i)*AE272*Ramure*Pc/MaxiM</f>
        <v>1.1604198020280126E-5</v>
      </c>
      <c r="AE272" s="305">
        <f t="shared" si="117"/>
        <v>0.5</v>
      </c>
      <c r="AF272" s="177">
        <f t="shared" si="118"/>
        <v>0.48842400770005739</v>
      </c>
      <c r="AG272" s="811">
        <f t="shared" ref="AG272:AG335" si="124">INDEX(Echel_vg,AH272)</f>
        <v>0</v>
      </c>
      <c r="AH272" s="176">
        <f t="shared" si="119"/>
        <v>6</v>
      </c>
      <c r="AI272" s="225">
        <f t="shared" si="120"/>
        <v>0.48842400770005739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44820</v>
      </c>
      <c r="B273" s="1140">
        <v>27.32</v>
      </c>
      <c r="C273" s="841"/>
      <c r="D273" s="393">
        <f t="shared" si="102"/>
        <v>28.270230221266939</v>
      </c>
      <c r="E273" s="385">
        <f t="shared" si="100"/>
        <v>29.64298139278937</v>
      </c>
      <c r="F273" s="385">
        <f t="shared" si="103"/>
        <v>29.643152617110811</v>
      </c>
      <c r="G273" s="110">
        <f t="shared" si="101"/>
        <v>0.60005725068165161</v>
      </c>
      <c r="H273" s="414" t="b">
        <f>Wh_hp&gt;='2021'!Maxi_hp</f>
        <v>0</v>
      </c>
      <c r="I273" s="380">
        <f>IF(H273,Wh_hp,'2021'!Maxi_hp)</f>
        <v>46.225866499783969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3.3612397699970153E-2</v>
      </c>
      <c r="M273" s="845"/>
      <c r="N273" s="845"/>
      <c r="O273" s="48">
        <f>IF(t&lt;Tnet,'2021'!Resal+('2021'!Salim-'2021'!Resal)*(1-EXP(('2021'!Tnet-t)/('2021'!Tau_j))),Resal+(Salim-Resal)*(1-EXP((Tnet-t)/(Tau_j))))*Salcycl</f>
        <v>4.6309483966290609E-2</v>
      </c>
      <c r="P273" s="339">
        <f>(INDEX(Models!$BJ273:$BT273,,T273)*(1-R273)+INDEX(Models!$BJ273:$BT273,,T273+1)*R273-ERP_i)*Q273*Ramure*Pc/MaxiM</f>
        <v>1.3474985038899412E-5</v>
      </c>
      <c r="Q273" s="305">
        <f t="shared" si="105"/>
        <v>0.5</v>
      </c>
      <c r="R273" s="177">
        <f t="shared" si="106"/>
        <v>0.48878519537195303</v>
      </c>
      <c r="S273" s="811">
        <f t="shared" si="107"/>
        <v>0</v>
      </c>
      <c r="T273" s="176">
        <f t="shared" si="108"/>
        <v>6</v>
      </c>
      <c r="U273" s="251">
        <f t="shared" si="109"/>
        <v>0.48878519537195303</v>
      </c>
      <c r="V273" s="383">
        <f t="shared" si="110"/>
        <v>45.528638536610018</v>
      </c>
      <c r="W273" s="402">
        <f t="shared" si="111"/>
        <v>0</v>
      </c>
      <c r="X273" s="157">
        <f t="shared" si="112"/>
        <v>44820</v>
      </c>
      <c r="Y273" s="385">
        <f t="shared" si="113"/>
        <v>26.354988852944334</v>
      </c>
      <c r="Z273" s="385">
        <f t="shared" si="114"/>
        <v>27.271654551671311</v>
      </c>
      <c r="AA273" s="386">
        <f t="shared" si="115"/>
        <v>29.64298139278937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7.9996232824775179E-2</v>
      </c>
      <c r="AD273" s="231">
        <f>(INDEX(Models!$BJ273:$BT273,,AH273)*(1-AF273)+INDEX(Models!$BJ273:$BT273,,AH273+1)*AF273-ERP_i)*AE273*Ramure*Pc/MaxiM</f>
        <v>1.3474985038899412E-5</v>
      </c>
      <c r="AE273" s="305">
        <f t="shared" si="117"/>
        <v>0.5</v>
      </c>
      <c r="AF273" s="177">
        <f t="shared" si="118"/>
        <v>0.48878519537195303</v>
      </c>
      <c r="AG273" s="811">
        <f t="shared" si="124"/>
        <v>0</v>
      </c>
      <c r="AH273" s="176">
        <f t="shared" si="119"/>
        <v>6</v>
      </c>
      <c r="AI273" s="225">
        <f t="shared" si="120"/>
        <v>0.48878519537195303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44821</v>
      </c>
      <c r="B274" s="1140">
        <v>47.246000000000002</v>
      </c>
      <c r="C274" s="841"/>
      <c r="D274" s="393">
        <f t="shared" si="102"/>
        <v>48.890356952913976</v>
      </c>
      <c r="E274" s="385">
        <f t="shared" si="100"/>
        <v>51.26774693373649</v>
      </c>
      <c r="F274" s="385">
        <f t="shared" si="103"/>
        <v>51.268544724739883</v>
      </c>
      <c r="G274" s="110">
        <f t="shared" si="101"/>
        <v>1.0441658803409344</v>
      </c>
      <c r="H274" s="414" t="b">
        <f>Wh_hp&gt;='2021'!Maxi_hp</f>
        <v>1</v>
      </c>
      <c r="I274" s="380">
        <f>IF(H274,Wh_hp,'2021'!Maxi_hp)</f>
        <v>51.268544724739883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3.3633564068628941E-2</v>
      </c>
      <c r="M274" s="845"/>
      <c r="N274" s="845"/>
      <c r="O274" s="48">
        <f>IF(t&lt;Tnet,'2021'!Resal+('2021'!Salim-'2021'!Resal)*(1-EXP(('2021'!Tnet-t)/('2021'!Tau_j))),Resal+(Salim-Resal)*(1-EXP((Tnet-t)/(Tau_j))))*Salcycl</f>
        <v>4.637203940121034E-2</v>
      </c>
      <c r="P274" s="339">
        <f>(INDEX(Models!$BJ274:$BT274,,T274)*(1-R274)+INDEX(Models!$BJ274:$BT274,,T274+1)*R274-ERP_i)*Q274*Ramure*Pc/MaxiM</f>
        <v>1.5561022995133723E-5</v>
      </c>
      <c r="Q274" s="305">
        <f t="shared" si="105"/>
        <v>0.5</v>
      </c>
      <c r="R274" s="177">
        <f t="shared" si="106"/>
        <v>0.48913233991705135</v>
      </c>
      <c r="S274" s="811">
        <f t="shared" si="107"/>
        <v>0</v>
      </c>
      <c r="T274" s="176">
        <f t="shared" si="108"/>
        <v>6</v>
      </c>
      <c r="U274" s="251">
        <f t="shared" si="109"/>
        <v>0.48913233991705135</v>
      </c>
      <c r="V274" s="383">
        <f t="shared" si="110"/>
        <v>45.247599916378753</v>
      </c>
      <c r="W274" s="402">
        <f t="shared" si="111"/>
        <v>0</v>
      </c>
      <c r="X274" s="157">
        <f t="shared" si="112"/>
        <v>44821</v>
      </c>
      <c r="Y274" s="385">
        <f t="shared" si="113"/>
        <v>45.578916255438465</v>
      </c>
      <c r="Z274" s="385">
        <f t="shared" si="114"/>
        <v>47.165251772750274</v>
      </c>
      <c r="AA274" s="386">
        <f t="shared" si="115"/>
        <v>51.26774693373649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8.0020976273614763E-2</v>
      </c>
      <c r="AD274" s="231">
        <f>(INDEX(Models!$BJ274:$BT274,,AH274)*(1-AF274)+INDEX(Models!$BJ274:$BT274,,AH274+1)*AF274-ERP_i)*AE274*Ramure*Pc/MaxiM</f>
        <v>1.5561022995133723E-5</v>
      </c>
      <c r="AE274" s="305">
        <f t="shared" si="117"/>
        <v>0.5</v>
      </c>
      <c r="AF274" s="177">
        <f t="shared" si="118"/>
        <v>0.48913233991705135</v>
      </c>
      <c r="AG274" s="811">
        <f t="shared" si="124"/>
        <v>0</v>
      </c>
      <c r="AH274" s="176">
        <f t="shared" si="119"/>
        <v>6</v>
      </c>
      <c r="AI274" s="225">
        <f t="shared" si="120"/>
        <v>0.48913233991705135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44822</v>
      </c>
      <c r="B275" s="1140">
        <v>45.68</v>
      </c>
      <c r="C275" s="841"/>
      <c r="D275" s="393">
        <f t="shared" si="102"/>
        <v>47.27088900508231</v>
      </c>
      <c r="E275" s="385">
        <f t="shared" si="100"/>
        <v>49.572754432271722</v>
      </c>
      <c r="F275" s="385">
        <f t="shared" si="103"/>
        <v>49.573640129498486</v>
      </c>
      <c r="G275" s="110">
        <f t="shared" si="101"/>
        <v>1.0159673549059567</v>
      </c>
      <c r="H275" s="414" t="b">
        <f>Wh_hp&gt;='2021'!Maxi_hp</f>
        <v>1</v>
      </c>
      <c r="I275" s="380">
        <f>IF(H275,Wh_hp,'2021'!Maxi_hp)</f>
        <v>49.573640129498486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3.3654729973689901E-2</v>
      </c>
      <c r="M275" s="845"/>
      <c r="N275" s="845"/>
      <c r="O275" s="48">
        <f>IF(t&lt;Tnet,'2021'!Resal+('2021'!Salim-'2021'!Resal)*(1-EXP(('2021'!Tnet-t)/('2021'!Tau_j))),Resal+(Salim-Resal)*(1-EXP((Tnet-t)/(Tau_j))))*Salcycl</f>
        <v>4.6434083672601108E-2</v>
      </c>
      <c r="P275" s="339">
        <f>(INDEX(Models!$BJ275:$BT275,,T275)*(1-R275)+INDEX(Models!$BJ275:$BT275,,T275+1)*R275-ERP_i)*Q275*Ramure*Pc/MaxiM</f>
        <v>1.7866293950717796E-5</v>
      </c>
      <c r="Q275" s="305">
        <f t="shared" si="105"/>
        <v>0.5</v>
      </c>
      <c r="R275" s="177">
        <f t="shared" si="106"/>
        <v>0.4894659683269092</v>
      </c>
      <c r="S275" s="811">
        <f t="shared" si="107"/>
        <v>0</v>
      </c>
      <c r="T275" s="176">
        <f t="shared" si="108"/>
        <v>6</v>
      </c>
      <c r="U275" s="251">
        <f t="shared" si="109"/>
        <v>0.4894659683269092</v>
      </c>
      <c r="V275" s="383">
        <f t="shared" si="110"/>
        <v>44.962074597592142</v>
      </c>
      <c r="W275" s="402">
        <f t="shared" si="111"/>
        <v>0</v>
      </c>
      <c r="X275" s="157">
        <f t="shared" si="112"/>
        <v>44822</v>
      </c>
      <c r="Y275" s="385">
        <f t="shared" si="113"/>
        <v>44.069891761045078</v>
      </c>
      <c r="Z275" s="385">
        <f t="shared" si="114"/>
        <v>45.604705820979717</v>
      </c>
      <c r="AA275" s="386">
        <f t="shared" si="115"/>
        <v>49.572754432271722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8.0044949221316872E-2</v>
      </c>
      <c r="AD275" s="231">
        <f>(INDEX(Models!$BJ275:$BT275,,AH275)*(1-AF275)+INDEX(Models!$BJ275:$BT275,,AH275+1)*AF275-ERP_i)*AE275*Ramure*Pc/MaxiM</f>
        <v>1.7866293950717796E-5</v>
      </c>
      <c r="AE275" s="305">
        <f t="shared" si="117"/>
        <v>0.5</v>
      </c>
      <c r="AF275" s="177">
        <f t="shared" si="118"/>
        <v>0.4894659683269092</v>
      </c>
      <c r="AG275" s="811">
        <f t="shared" si="124"/>
        <v>0</v>
      </c>
      <c r="AH275" s="176">
        <f t="shared" si="119"/>
        <v>6</v>
      </c>
      <c r="AI275" s="225">
        <f t="shared" si="120"/>
        <v>0.4894659683269092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44823</v>
      </c>
      <c r="B276" s="1140">
        <v>44.503</v>
      </c>
      <c r="C276" s="841"/>
      <c r="D276" s="393">
        <f t="shared" si="102"/>
        <v>46.053906540104251</v>
      </c>
      <c r="E276" s="385">
        <f t="shared" si="100"/>
        <v>48.299626649957112</v>
      </c>
      <c r="F276" s="385">
        <f t="shared" si="103"/>
        <v>48.300652137662098</v>
      </c>
      <c r="G276" s="110">
        <f t="shared" si="101"/>
        <v>0.99626186500506086</v>
      </c>
      <c r="H276" s="414" t="b">
        <f>Wh_hp&gt;='2021'!Maxi_hp</f>
        <v>1</v>
      </c>
      <c r="I276" s="380">
        <f>IF(H276,Wh_hp,'2021'!Maxi_hp)</f>
        <v>48.300652137662098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3.3675895415163248E-2</v>
      </c>
      <c r="M276" s="845"/>
      <c r="N276" s="845"/>
      <c r="O276" s="48">
        <f>IF(t&lt;Tnet,'2021'!Resal+('2021'!Salim-'2021'!Resal)*(1-EXP(('2021'!Tnet-t)/('2021'!Tau_j))),Resal+(Salim-Resal)*(1-EXP((Tnet-t)/(Tau_j))))*Salcycl</f>
        <v>4.649559977198825E-2</v>
      </c>
      <c r="P276" s="339">
        <f>(INDEX(Models!$BJ276:$BT276,,T276)*(1-R276)+INDEX(Models!$BJ276:$BT276,,T276+1)*R276-ERP_i)*Q276*Ramure*Pc/MaxiM</f>
        <v>2.1345327543784907E-5</v>
      </c>
      <c r="Q276" s="305">
        <f t="shared" si="105"/>
        <v>0.5</v>
      </c>
      <c r="R276" s="177">
        <f t="shared" si="106"/>
        <v>0.4897865892961708</v>
      </c>
      <c r="S276" s="811">
        <f t="shared" si="107"/>
        <v>0</v>
      </c>
      <c r="T276" s="176">
        <f t="shared" si="108"/>
        <v>6</v>
      </c>
      <c r="U276" s="251">
        <f t="shared" si="109"/>
        <v>0.4897865892961708</v>
      </c>
      <c r="V276" s="383">
        <f t="shared" si="110"/>
        <v>44.66997733272165</v>
      </c>
      <c r="W276" s="402">
        <f t="shared" si="111"/>
        <v>0</v>
      </c>
      <c r="X276" s="157">
        <f t="shared" si="112"/>
        <v>44823</v>
      </c>
      <c r="Y276" s="385">
        <f t="shared" si="113"/>
        <v>42.93606641614285</v>
      </c>
      <c r="Z276" s="385">
        <f t="shared" si="114"/>
        <v>44.4323661310193</v>
      </c>
      <c r="AA276" s="386">
        <f t="shared" si="115"/>
        <v>48.299626649957112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8.0068124479824379E-2</v>
      </c>
      <c r="AD276" s="231">
        <f>(INDEX(Models!$BJ276:$BT276,,AH276)*(1-AF276)+INDEX(Models!$BJ276:$BT276,,AH276+1)*AF276-ERP_i)*AE276*Ramure*Pc/MaxiM</f>
        <v>2.1345327543784907E-5</v>
      </c>
      <c r="AE276" s="305">
        <f t="shared" si="117"/>
        <v>0.5</v>
      </c>
      <c r="AF276" s="177">
        <f t="shared" si="118"/>
        <v>0.4897865892961708</v>
      </c>
      <c r="AG276" s="811">
        <f t="shared" si="124"/>
        <v>0</v>
      </c>
      <c r="AH276" s="176">
        <f t="shared" si="119"/>
        <v>6</v>
      </c>
      <c r="AI276" s="225">
        <f t="shared" si="120"/>
        <v>0.4897865892961708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44824</v>
      </c>
      <c r="B277" s="1140">
        <v>45.844999999999999</v>
      </c>
      <c r="C277" s="841"/>
      <c r="D277" s="393">
        <f t="shared" si="102"/>
        <v>47.443713685325413</v>
      </c>
      <c r="E277" s="385">
        <f t="shared" si="100"/>
        <v>49.760386627799264</v>
      </c>
      <c r="F277" s="385">
        <f t="shared" si="103"/>
        <v>49.76167637486936</v>
      </c>
      <c r="G277" s="110">
        <f t="shared" si="101"/>
        <v>1.0331941405201954</v>
      </c>
      <c r="H277" s="414" t="b">
        <f>Wh_hp&gt;='2021'!Maxi_hp</f>
        <v>1</v>
      </c>
      <c r="I277" s="380">
        <f>IF(H277,Wh_hp,'2021'!Maxi_hp)</f>
        <v>49.76167637486936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3.3697060393059086E-2</v>
      </c>
      <c r="M277" s="845"/>
      <c r="N277" s="845"/>
      <c r="O277" s="48">
        <f>IF(t&lt;Tnet,'2021'!Resal+('2021'!Salim-'2021'!Resal)*(1-EXP(('2021'!Tnet-t)/('2021'!Tau_j))),Resal+(Salim-Resal)*(1-EXP((Tnet-t)/(Tau_j))))*Salcycl</f>
        <v>4.6556570386042981E-2</v>
      </c>
      <c r="P277" s="339">
        <f>(INDEX(Models!$BJ277:$BT277,,T277)*(1-R277)+INDEX(Models!$BJ277:$BT277,,T277+1)*R277-ERP_i)*Q277*Ramure*Pc/MaxiM</f>
        <v>2.5918481129561933E-5</v>
      </c>
      <c r="Q277" s="305">
        <f t="shared" si="105"/>
        <v>0.5</v>
      </c>
      <c r="R277" s="177">
        <f t="shared" si="106"/>
        <v>0.49009469374122955</v>
      </c>
      <c r="S277" s="811">
        <f t="shared" si="107"/>
        <v>0</v>
      </c>
      <c r="T277" s="176">
        <f t="shared" si="108"/>
        <v>6</v>
      </c>
      <c r="U277" s="251">
        <f t="shared" si="109"/>
        <v>0.49009469374122955</v>
      </c>
      <c r="V277" s="383">
        <f t="shared" si="110"/>
        <v>44.372106075744718</v>
      </c>
      <c r="W277" s="402">
        <f t="shared" si="111"/>
        <v>0</v>
      </c>
      <c r="X277" s="157">
        <f t="shared" si="112"/>
        <v>44824</v>
      </c>
      <c r="Y277" s="385">
        <f t="shared" si="113"/>
        <v>44.232568906947627</v>
      </c>
      <c r="Z277" s="385">
        <f t="shared" si="114"/>
        <v>45.775053654436704</v>
      </c>
      <c r="AA277" s="386">
        <f t="shared" si="115"/>
        <v>49.760386627799264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8.0090474440488002E-2</v>
      </c>
      <c r="AD277" s="231">
        <f>(INDEX(Models!$BJ277:$BT277,,AH277)*(1-AF277)+INDEX(Models!$BJ277:$BT277,,AH277+1)*AF277-ERP_i)*AE277*Ramure*Pc/MaxiM</f>
        <v>2.5918481129561933E-5</v>
      </c>
      <c r="AE277" s="305">
        <f t="shared" si="117"/>
        <v>0.5</v>
      </c>
      <c r="AF277" s="177">
        <f t="shared" si="118"/>
        <v>0.49009469374122955</v>
      </c>
      <c r="AG277" s="811">
        <f t="shared" si="124"/>
        <v>0</v>
      </c>
      <c r="AH277" s="176">
        <f t="shared" si="119"/>
        <v>6</v>
      </c>
      <c r="AI277" s="225">
        <f t="shared" si="120"/>
        <v>0.49009469374122955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44825</v>
      </c>
      <c r="B278" s="1140">
        <v>44.728000000000002</v>
      </c>
      <c r="C278" s="841"/>
      <c r="D278" s="393">
        <f t="shared" si="102"/>
        <v>46.288775337517968</v>
      </c>
      <c r="E278" s="385">
        <f t="shared" si="100"/>
        <v>48.552128858478063</v>
      </c>
      <c r="F278" s="385">
        <f t="shared" si="103"/>
        <v>48.553663283529339</v>
      </c>
      <c r="G278" s="110">
        <f t="shared" si="101"/>
        <v>1.014947969107177</v>
      </c>
      <c r="H278" s="414" t="b">
        <f>Wh_hp&gt;='2021'!Maxi_hp</f>
        <v>1</v>
      </c>
      <c r="I278" s="380">
        <f>IF(H278,Wh_hp,'2021'!Maxi_hp)</f>
        <v>48.553663283529339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3.3718224907387628E-2</v>
      </c>
      <c r="M278" s="845"/>
      <c r="N278" s="845"/>
      <c r="O278" s="48">
        <f>IF(t&lt;Tnet,'2021'!Resal+('2021'!Salim-'2021'!Resal)*(1-EXP(('2021'!Tnet-t)/('2021'!Tau_j))),Resal+(Salim-Resal)*(1-EXP((Tnet-t)/(Tau_j))))*Salcycl</f>
        <v>4.6616977961098684E-2</v>
      </c>
      <c r="P278" s="339">
        <f>(INDEX(Models!$BJ278:$BT278,,T278)*(1-R278)+INDEX(Models!$BJ278:$BT278,,T278+1)*R278-ERP_i)*Q278*Ramure*Pc/MaxiM</f>
        <v>3.1602662858018908E-5</v>
      </c>
      <c r="Q278" s="305">
        <f t="shared" si="105"/>
        <v>0.5</v>
      </c>
      <c r="R278" s="177">
        <f t="shared" si="106"/>
        <v>0.49039075531381721</v>
      </c>
      <c r="S278" s="811">
        <f t="shared" si="107"/>
        <v>0</v>
      </c>
      <c r="T278" s="176">
        <f t="shared" si="108"/>
        <v>6</v>
      </c>
      <c r="U278" s="251">
        <f t="shared" si="109"/>
        <v>0.49039075531381721</v>
      </c>
      <c r="V278" s="383">
        <f t="shared" si="110"/>
        <v>44.069254150383735</v>
      </c>
      <c r="W278" s="402">
        <f t="shared" si="111"/>
        <v>0</v>
      </c>
      <c r="X278" s="157">
        <f t="shared" si="112"/>
        <v>44825</v>
      </c>
      <c r="Y278" s="385">
        <f t="shared" si="113"/>
        <v>43.156581144872995</v>
      </c>
      <c r="Z278" s="385">
        <f t="shared" si="114"/>
        <v>44.662522110319934</v>
      </c>
      <c r="AA278" s="386">
        <f t="shared" si="115"/>
        <v>48.552128858478063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8.0111971186592662E-2</v>
      </c>
      <c r="AD278" s="231">
        <f>(INDEX(Models!$BJ278:$BT278,,AH278)*(1-AF278)+INDEX(Models!$BJ278:$BT278,,AH278+1)*AF278-ERP_i)*AE278*Ramure*Pc/MaxiM</f>
        <v>3.1602662858018908E-5</v>
      </c>
      <c r="AE278" s="305">
        <f t="shared" si="117"/>
        <v>0.5</v>
      </c>
      <c r="AF278" s="177">
        <f t="shared" si="118"/>
        <v>0.49039075531381721</v>
      </c>
      <c r="AG278" s="811">
        <f t="shared" si="124"/>
        <v>0</v>
      </c>
      <c r="AH278" s="176">
        <f t="shared" si="119"/>
        <v>6</v>
      </c>
      <c r="AI278" s="225">
        <f t="shared" si="120"/>
        <v>0.49039075531381721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44826</v>
      </c>
      <c r="B279" s="1140">
        <v>43.563000000000002</v>
      </c>
      <c r="C279" s="841"/>
      <c r="D279" s="393">
        <f t="shared" si="102"/>
        <v>45.084110334405047</v>
      </c>
      <c r="E279" s="385">
        <f t="shared" si="100"/>
        <v>47.291527742410828</v>
      </c>
      <c r="F279" s="385">
        <f t="shared" si="103"/>
        <v>47.293332702379232</v>
      </c>
      <c r="G279" s="110">
        <f t="shared" si="101"/>
        <v>0.99544754552572989</v>
      </c>
      <c r="H279" s="414" t="b">
        <f>Wh_hp&gt;='2021'!Maxi_hp</f>
        <v>1</v>
      </c>
      <c r="I279" s="380">
        <f>IF(H279,Wh_hp,'2021'!Maxi_hp)</f>
        <v>47.293332702379232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3.3739388958158978E-2</v>
      </c>
      <c r="M279" s="845"/>
      <c r="N279" s="845"/>
      <c r="O279" s="48">
        <f>IF(t&lt;Tnet,'2021'!Resal+('2021'!Salim-'2021'!Resal)*(1-EXP(('2021'!Tnet-t)/('2021'!Tau_j))),Resal+(Salim-Resal)*(1-EXP((Tnet-t)/(Tau_j))))*Salcycl</f>
        <v>4.6676804776306285E-2</v>
      </c>
      <c r="P279" s="339">
        <f>(INDEX(Models!$BJ279:$BT279,,T279)*(1-R279)+INDEX(Models!$BJ279:$BT279,,T279+1)*R279-ERP_i)*Q279*Ramure*Pc/MaxiM</f>
        <v>3.8415028614002427E-5</v>
      </c>
      <c r="Q279" s="305">
        <f t="shared" si="105"/>
        <v>0.5</v>
      </c>
      <c r="R279" s="177">
        <f t="shared" si="106"/>
        <v>0.49067523090862736</v>
      </c>
      <c r="S279" s="811">
        <f t="shared" si="107"/>
        <v>0</v>
      </c>
      <c r="T279" s="176">
        <f t="shared" si="108"/>
        <v>6</v>
      </c>
      <c r="U279" s="251">
        <f t="shared" si="109"/>
        <v>0.49067523090862736</v>
      </c>
      <c r="V279" s="383">
        <f t="shared" si="110"/>
        <v>43.762214606419995</v>
      </c>
      <c r="W279" s="402">
        <f t="shared" si="111"/>
        <v>0</v>
      </c>
      <c r="X279" s="157">
        <f t="shared" si="112"/>
        <v>44826</v>
      </c>
      <c r="Y279" s="385">
        <f t="shared" si="113"/>
        <v>42.034206583706968</v>
      </c>
      <c r="Z279" s="385">
        <f t="shared" si="114"/>
        <v>43.501935299199317</v>
      </c>
      <c r="AA279" s="386">
        <f t="shared" si="115"/>
        <v>47.291527742410828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8.0132586620013505E-2</v>
      </c>
      <c r="AD279" s="231">
        <f>(INDEX(Models!$BJ279:$BT279,,AH279)*(1-AF279)+INDEX(Models!$BJ279:$BT279,,AH279+1)*AF279-ERP_i)*AE279*Ramure*Pc/MaxiM</f>
        <v>3.8415028614002427E-5</v>
      </c>
      <c r="AE279" s="305">
        <f t="shared" si="117"/>
        <v>0.5</v>
      </c>
      <c r="AF279" s="177">
        <f t="shared" si="118"/>
        <v>0.49067523090862736</v>
      </c>
      <c r="AG279" s="811">
        <f t="shared" si="124"/>
        <v>0</v>
      </c>
      <c r="AH279" s="176">
        <f t="shared" si="119"/>
        <v>6</v>
      </c>
      <c r="AI279" s="225">
        <f t="shared" si="120"/>
        <v>0.49067523090862736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44827</v>
      </c>
      <c r="B280" s="1140">
        <v>27.524000000000001</v>
      </c>
      <c r="C280" s="841"/>
      <c r="D280" s="393">
        <f t="shared" si="102"/>
        <v>28.485692726070134</v>
      </c>
      <c r="E280" s="385">
        <f t="shared" si="100"/>
        <v>29.882271556401033</v>
      </c>
      <c r="F280" s="385">
        <f t="shared" si="103"/>
        <v>29.882931649839374</v>
      </c>
      <c r="G280" s="110">
        <f t="shared" si="101"/>
        <v>0.63342241606265204</v>
      </c>
      <c r="H280" s="414" t="b">
        <f>Wh_hp&gt;='2021'!Maxi_hp</f>
        <v>0</v>
      </c>
      <c r="I280" s="380">
        <f>IF(H280,Wh_hp,'2021'!Maxi_hp)</f>
        <v>44.303472000025792</v>
      </c>
      <c r="J280" s="85">
        <f>IF(H280,An,'2021'!An_max)</f>
        <v>2018</v>
      </c>
      <c r="K280" s="197">
        <f t="shared" si="104"/>
        <v>44827</v>
      </c>
      <c r="L280" s="147">
        <f>IF(t&lt;Tvie,1-EXP((T0-t)*PertePVj)+'2021'!Pspv,1-EXP((T0-t)*PertePVj)+Pspv)</f>
        <v>3.3760552545383238E-2</v>
      </c>
      <c r="M280" s="845"/>
      <c r="N280" s="845"/>
      <c r="O280" s="48">
        <f>IF(t&lt;Tnet,'2021'!Resal+('2021'!Salim-'2021'!Resal)*(1-EXP(('2021'!Tnet-t)/('2021'!Tau_j))),Resal+(Salim-Resal)*(1-EXP((Tnet-t)/(Tau_j))))*Salcycl</f>
        <v>4.6736033025298565E-2</v>
      </c>
      <c r="P280" s="339">
        <f>(INDEX(Models!$BJ280:$BT280,,T280)*(1-R280)+INDEX(Models!$BJ280:$BT280,,T280+1)*R280-ERP_i)*Q280*Ramure*Pc/MaxiM</f>
        <v>4.6373024731586175E-5</v>
      </c>
      <c r="Q280" s="305">
        <f t="shared" si="105"/>
        <v>0.5</v>
      </c>
      <c r="R280" s="177">
        <f t="shared" si="106"/>
        <v>0.49094856116419261</v>
      </c>
      <c r="S280" s="811">
        <f t="shared" si="107"/>
        <v>0</v>
      </c>
      <c r="T280" s="176">
        <f t="shared" si="108"/>
        <v>6</v>
      </c>
      <c r="U280" s="251">
        <f t="shared" si="109"/>
        <v>0.49094856116419261</v>
      </c>
      <c r="V280" s="383">
        <f t="shared" si="110"/>
        <v>43.451780206083875</v>
      </c>
      <c r="W280" s="402">
        <f t="shared" si="111"/>
        <v>0</v>
      </c>
      <c r="X280" s="157">
        <f t="shared" si="112"/>
        <v>44827</v>
      </c>
      <c r="Y280" s="385">
        <f t="shared" si="113"/>
        <v>26.559157983051328</v>
      </c>
      <c r="Z280" s="385">
        <f t="shared" si="114"/>
        <v>27.487138983009473</v>
      </c>
      <c r="AA280" s="386">
        <f t="shared" si="115"/>
        <v>29.882271556401033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8.0152292601681607E-2</v>
      </c>
      <c r="AD280" s="231">
        <f>(INDEX(Models!$BJ280:$BT280,,AH280)*(1-AF280)+INDEX(Models!$BJ280:$BT280,,AH280+1)*AF280-ERP_i)*AE280*Ramure*Pc/MaxiM</f>
        <v>4.6373024731586175E-5</v>
      </c>
      <c r="AE280" s="305">
        <f t="shared" si="117"/>
        <v>0.5</v>
      </c>
      <c r="AF280" s="177">
        <f t="shared" si="118"/>
        <v>0.49094856116419261</v>
      </c>
      <c r="AG280" s="811">
        <f t="shared" si="124"/>
        <v>0</v>
      </c>
      <c r="AH280" s="176">
        <f t="shared" si="119"/>
        <v>6</v>
      </c>
      <c r="AI280" s="225">
        <f t="shared" si="120"/>
        <v>0.49094856116419261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44828</v>
      </c>
      <c r="B281" s="1140">
        <v>17.254000000000001</v>
      </c>
      <c r="C281" s="841"/>
      <c r="D281" s="393">
        <f t="shared" si="102"/>
        <v>17.857248491160323</v>
      </c>
      <c r="E281" s="385">
        <f t="shared" si="100"/>
        <v>18.733894428658338</v>
      </c>
      <c r="F281" s="385">
        <f t="shared" si="103"/>
        <v>18.734042895164862</v>
      </c>
      <c r="G281" s="110">
        <f t="shared" si="101"/>
        <v>0.39994626324451038</v>
      </c>
      <c r="H281" s="414" t="b">
        <f>Wh_hp&gt;='2021'!Maxi_hp</f>
        <v>0</v>
      </c>
      <c r="I281" s="380">
        <f>IF(H281,Wh_hp,'2021'!Maxi_hp)</f>
        <v>40.249037915880088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3.3781715669070733E-2</v>
      </c>
      <c r="M281" s="845"/>
      <c r="N281" s="845"/>
      <c r="O281" s="48">
        <f>IF(t&lt;Tnet,'2021'!Resal+('2021'!Salim-'2021'!Resal)*(1-EXP(('2021'!Tnet-t)/('2021'!Tau_j))),Resal+(Salim-Resal)*(1-EXP((Tnet-t)/(Tau_j))))*Salcycl</f>
        <v>4.6794644906131111E-2</v>
      </c>
      <c r="P281" s="339">
        <f>(INDEX(Models!$BJ281:$BT281,,T281)*(1-R281)+INDEX(Models!$BJ281:$BT281,,T281+1)*R281-ERP_i)*Q281*Ramure*Pc/MaxiM</f>
        <v>5.5493969591953166E-5</v>
      </c>
      <c r="Q281" s="305">
        <f t="shared" si="105"/>
        <v>0.5</v>
      </c>
      <c r="R281" s="177">
        <f t="shared" si="106"/>
        <v>0.49121117095632866</v>
      </c>
      <c r="S281" s="811">
        <f t="shared" si="107"/>
        <v>0</v>
      </c>
      <c r="T281" s="176">
        <f t="shared" si="108"/>
        <v>6</v>
      </c>
      <c r="U281" s="251">
        <f t="shared" si="109"/>
        <v>0.49121117095632866</v>
      </c>
      <c r="V281" s="383">
        <f t="shared" si="110"/>
        <v>43.138743434701773</v>
      </c>
      <c r="W281" s="402">
        <f t="shared" si="111"/>
        <v>0</v>
      </c>
      <c r="X281" s="157">
        <f t="shared" si="112"/>
        <v>44828</v>
      </c>
      <c r="Y281" s="385">
        <f t="shared" si="113"/>
        <v>16.64985244457116</v>
      </c>
      <c r="Z281" s="385">
        <f t="shared" si="114"/>
        <v>17.231978233676845</v>
      </c>
      <c r="AA281" s="386">
        <f t="shared" si="115"/>
        <v>18.733894428658338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8.0171061105368771E-2</v>
      </c>
      <c r="AD281" s="231">
        <f>(INDEX(Models!$BJ281:$BT281,,AH281)*(1-AF281)+INDEX(Models!$BJ281:$BT281,,AH281+1)*AF281-ERP_i)*AE281*Ramure*Pc/MaxiM</f>
        <v>5.5493969591953166E-5</v>
      </c>
      <c r="AE281" s="305">
        <f t="shared" si="117"/>
        <v>0.5</v>
      </c>
      <c r="AF281" s="177">
        <f t="shared" si="118"/>
        <v>0.49121117095632866</v>
      </c>
      <c r="AG281" s="811">
        <f t="shared" si="124"/>
        <v>0</v>
      </c>
      <c r="AH281" s="176">
        <f t="shared" si="119"/>
        <v>6</v>
      </c>
      <c r="AI281" s="225">
        <f t="shared" si="120"/>
        <v>0.49121117095632866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44829</v>
      </c>
      <c r="B282" s="1140">
        <v>30.542999999999999</v>
      </c>
      <c r="C282" s="841"/>
      <c r="D282" s="393">
        <f t="shared" si="102"/>
        <v>31.61156177652899</v>
      </c>
      <c r="E282" s="385">
        <f t="shared" si="100"/>
        <v>33.165450097246541</v>
      </c>
      <c r="F282" s="385">
        <f t="shared" si="103"/>
        <v>33.166747425764143</v>
      </c>
      <c r="G282" s="110">
        <f t="shared" si="101"/>
        <v>0.71320425252899633</v>
      </c>
      <c r="H282" s="414" t="b">
        <f>Wh_hp&gt;='2021'!Maxi_hp</f>
        <v>0</v>
      </c>
      <c r="I282" s="380">
        <f>IF(H282,Wh_hp,'2021'!Maxi_hp)</f>
        <v>46.514117854235721</v>
      </c>
      <c r="J282" s="85">
        <f>IF(H282,An,'2021'!An_max)</f>
        <v>2018</v>
      </c>
      <c r="K282" s="197">
        <f t="shared" si="104"/>
        <v>44829</v>
      </c>
      <c r="L282" s="147">
        <f>IF(t&lt;Tvie,1-EXP((T0-t)*PertePVj)+'2021'!Pspv,1-EXP((T0-t)*PertePVj)+Pspv)</f>
        <v>3.3802878329231345E-2</v>
      </c>
      <c r="M282" s="845"/>
      <c r="N282" s="845"/>
      <c r="O282" s="48">
        <f>IF(t&lt;Tnet,'2021'!Resal+('2021'!Salim-'2021'!Resal)*(1-EXP(('2021'!Tnet-t)/('2021'!Tau_j))),Resal+(Salim-Resal)*(1-EXP((Tnet-t)/(Tau_j))))*Salcycl</f>
        <v>4.6852622719163906E-2</v>
      </c>
      <c r="P282" s="339">
        <f>(INDEX(Models!$BJ282:$BT282,,T282)*(1-R282)+INDEX(Models!$BJ282:$BT282,,T282+1)*R282-ERP_i)*Q282*Ramure*Pc/MaxiM</f>
        <v>6.6261305639395664E-5</v>
      </c>
      <c r="Q282" s="305">
        <f t="shared" si="105"/>
        <v>0.5</v>
      </c>
      <c r="R282" s="177">
        <f t="shared" si="106"/>
        <v>0.49146346988354694</v>
      </c>
      <c r="S282" s="811">
        <f t="shared" si="107"/>
        <v>0</v>
      </c>
      <c r="T282" s="176">
        <f t="shared" si="108"/>
        <v>6</v>
      </c>
      <c r="U282" s="251">
        <f t="shared" si="109"/>
        <v>0.49146346988354694</v>
      </c>
      <c r="V282" s="383">
        <f t="shared" si="110"/>
        <v>42.823876526197857</v>
      </c>
      <c r="W282" s="402">
        <f t="shared" si="111"/>
        <v>0</v>
      </c>
      <c r="X282" s="157">
        <f t="shared" si="112"/>
        <v>44829</v>
      </c>
      <c r="Y282" s="385">
        <f t="shared" si="113"/>
        <v>29.474761390271372</v>
      </c>
      <c r="Z282" s="385">
        <f t="shared" si="114"/>
        <v>30.505950317159904</v>
      </c>
      <c r="AA282" s="386">
        <f t="shared" si="115"/>
        <v>33.165450097246541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8.018886438412709E-2</v>
      </c>
      <c r="AD282" s="231">
        <f>(INDEX(Models!$BJ282:$BT282,,AH282)*(1-AF282)+INDEX(Models!$BJ282:$BT282,,AH282+1)*AF282-ERP_i)*AE282*Ramure*Pc/MaxiM</f>
        <v>6.6261305639395664E-5</v>
      </c>
      <c r="AE282" s="305">
        <f t="shared" si="117"/>
        <v>0.5</v>
      </c>
      <c r="AF282" s="177">
        <f t="shared" si="118"/>
        <v>0.49146346988354694</v>
      </c>
      <c r="AG282" s="811">
        <f t="shared" si="124"/>
        <v>0</v>
      </c>
      <c r="AH282" s="176">
        <f t="shared" si="119"/>
        <v>6</v>
      </c>
      <c r="AI282" s="225">
        <f t="shared" si="120"/>
        <v>0.49146346988354694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44830</v>
      </c>
      <c r="B283" s="1140">
        <v>32.939</v>
      </c>
      <c r="C283" s="841"/>
      <c r="D283" s="393">
        <f t="shared" si="102"/>
        <v>34.092133712298349</v>
      </c>
      <c r="E283" s="385">
        <f t="shared" si="100"/>
        <v>35.770107636253911</v>
      </c>
      <c r="F283" s="385">
        <f t="shared" si="103"/>
        <v>35.772014944409158</v>
      </c>
      <c r="G283" s="110">
        <f t="shared" si="101"/>
        <v>0.7748702832812786</v>
      </c>
      <c r="H283" s="414" t="b">
        <f>Wh_hp&gt;='2021'!Maxi_hp</f>
        <v>0</v>
      </c>
      <c r="I283" s="380">
        <f>IF(H283,Wh_hp,'2021'!Maxi_hp)</f>
        <v>46.475483095151723</v>
      </c>
      <c r="J283" s="85">
        <f>IF(H283,An,'2021'!An_max)</f>
        <v>2018</v>
      </c>
      <c r="K283" s="197">
        <f t="shared" si="104"/>
        <v>44830</v>
      </c>
      <c r="L283" s="147">
        <f>IF(t&lt;Tvie,1-EXP((T0-t)*PertePVj)+'2021'!Pspv,1-EXP((T0-t)*PertePVj)+Pspv)</f>
        <v>3.3824040525875509E-2</v>
      </c>
      <c r="M283" s="845"/>
      <c r="N283" s="845"/>
      <c r="O283" s="48">
        <f>IF(t&lt;Tnet,'2021'!Resal+('2021'!Salim-'2021'!Resal)*(1-EXP(('2021'!Tnet-t)/('2021'!Tau_j))),Resal+(Salim-Resal)*(1-EXP((Tnet-t)/(Tau_j))))*Salcycl</f>
        <v>4.690994897244579E-2</v>
      </c>
      <c r="P283" s="339">
        <f>(INDEX(Models!$BJ283:$BT283,,T283)*(1-R283)+INDEX(Models!$BJ283:$BT283,,T283+1)*R283-ERP_i)*Q283*Ramure*Pc/MaxiM</f>
        <v>7.8592770297022181E-5</v>
      </c>
      <c r="Q283" s="305">
        <f t="shared" si="105"/>
        <v>0.5</v>
      </c>
      <c r="R283" s="177">
        <f t="shared" si="106"/>
        <v>0.49170585274392486</v>
      </c>
      <c r="S283" s="811">
        <f t="shared" si="107"/>
        <v>0</v>
      </c>
      <c r="T283" s="176">
        <f t="shared" si="108"/>
        <v>6</v>
      </c>
      <c r="U283" s="251">
        <f t="shared" si="109"/>
        <v>0.49170585274392486</v>
      </c>
      <c r="V283" s="383">
        <f t="shared" si="110"/>
        <v>42.507976051264102</v>
      </c>
      <c r="W283" s="402">
        <f t="shared" si="111"/>
        <v>0</v>
      </c>
      <c r="X283" s="157">
        <f t="shared" si="112"/>
        <v>44830</v>
      </c>
      <c r="Y283" s="385">
        <f t="shared" si="113"/>
        <v>31.788292442689613</v>
      </c>
      <c r="Z283" s="385">
        <f t="shared" si="114"/>
        <v>32.901142003151804</v>
      </c>
      <c r="AA283" s="386">
        <f t="shared" si="115"/>
        <v>35.770107636253911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8.0205675148551689E-2</v>
      </c>
      <c r="AD283" s="231">
        <f>(INDEX(Models!$BJ283:$BT283,,AH283)*(1-AF283)+INDEX(Models!$BJ283:$BT283,,AH283+1)*AF283-ERP_i)*AE283*Ramure*Pc/MaxiM</f>
        <v>7.8592770297022181E-5</v>
      </c>
      <c r="AE283" s="305">
        <f t="shared" si="117"/>
        <v>0.5</v>
      </c>
      <c r="AF283" s="177">
        <f t="shared" si="118"/>
        <v>0.49170585274392486</v>
      </c>
      <c r="AG283" s="811">
        <f t="shared" si="124"/>
        <v>0</v>
      </c>
      <c r="AH283" s="176">
        <f t="shared" si="119"/>
        <v>6</v>
      </c>
      <c r="AI283" s="225">
        <f t="shared" si="120"/>
        <v>0.49170585274392486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44831</v>
      </c>
      <c r="B284" s="1140">
        <v>14.888</v>
      </c>
      <c r="C284" s="841"/>
      <c r="D284" s="393">
        <f t="shared" si="102"/>
        <v>15.409538962918107</v>
      </c>
      <c r="E284" s="385">
        <f t="shared" si="100"/>
        <v>16.168939166161667</v>
      </c>
      <c r="F284" s="385">
        <f t="shared" si="103"/>
        <v>16.169052128571327</v>
      </c>
      <c r="G284" s="110">
        <f t="shared" si="101"/>
        <v>0.35283431381496105</v>
      </c>
      <c r="H284" s="414" t="b">
        <f>Wh_hp&gt;='2021'!Maxi_hp</f>
        <v>0</v>
      </c>
      <c r="I284" s="380">
        <f>IF(H284,Wh_hp,'2021'!Maxi_hp)</f>
        <v>45.12039737403196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3.3845202259013218E-2</v>
      </c>
      <c r="M284" s="845"/>
      <c r="N284" s="845"/>
      <c r="O284" s="48">
        <f>IF(t&lt;Tnet,'2021'!Resal+('2021'!Salim-'2021'!Resal)*(1-EXP(('2021'!Tnet-t)/('2021'!Tau_j))),Resal+(Salim-Resal)*(1-EXP((Tnet-t)/(Tau_j))))*Salcycl</f>
        <v>4.6966606494063007E-2</v>
      </c>
      <c r="P284" s="339">
        <f>(INDEX(Models!$BJ284:$BT284,,T284)*(1-R284)+INDEX(Models!$BJ284:$BT284,,T284+1)*R284-ERP_i)*Q284*Ramure*Pc/MaxiM</f>
        <v>9.2508867528270943E-5</v>
      </c>
      <c r="Q284" s="305">
        <f t="shared" si="105"/>
        <v>0.5</v>
      </c>
      <c r="R284" s="177">
        <f t="shared" si="106"/>
        <v>0.49193870000299411</v>
      </c>
      <c r="S284" s="811">
        <f t="shared" si="107"/>
        <v>0</v>
      </c>
      <c r="T284" s="176">
        <f t="shared" si="108"/>
        <v>6</v>
      </c>
      <c r="U284" s="251">
        <f t="shared" si="109"/>
        <v>0.49193870000299411</v>
      </c>
      <c r="V284" s="383">
        <f t="shared" si="110"/>
        <v>42.191833811953551</v>
      </c>
      <c r="W284" s="402">
        <f t="shared" si="111"/>
        <v>0</v>
      </c>
      <c r="X284" s="157">
        <f t="shared" si="112"/>
        <v>44831</v>
      </c>
      <c r="Y284" s="385">
        <f t="shared" si="113"/>
        <v>14.368502610977307</v>
      </c>
      <c r="Z284" s="385">
        <f t="shared" si="114"/>
        <v>14.871843150365757</v>
      </c>
      <c r="AA284" s="386">
        <f t="shared" si="115"/>
        <v>16.168939166161667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8.0221466755869303E-2</v>
      </c>
      <c r="AD284" s="231">
        <f>(INDEX(Models!$BJ284:$BT284,,AH284)*(1-AF284)+INDEX(Models!$BJ284:$BT284,,AH284+1)*AF284-ERP_i)*AE284*Ramure*Pc/MaxiM</f>
        <v>9.2508867528270943E-5</v>
      </c>
      <c r="AE284" s="305">
        <f t="shared" si="117"/>
        <v>0.5</v>
      </c>
      <c r="AF284" s="177">
        <f t="shared" si="118"/>
        <v>0.49193870000299411</v>
      </c>
      <c r="AG284" s="811">
        <f t="shared" si="124"/>
        <v>0</v>
      </c>
      <c r="AH284" s="176">
        <f t="shared" si="119"/>
        <v>6</v>
      </c>
      <c r="AI284" s="225">
        <f t="shared" si="120"/>
        <v>0.49193870000299411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44832</v>
      </c>
      <c r="B285" s="1140">
        <v>17.106999999999999</v>
      </c>
      <c r="C285" s="841"/>
      <c r="D285" s="393">
        <f t="shared" si="102"/>
        <v>17.706660190903495</v>
      </c>
      <c r="E285" s="385">
        <f t="shared" si="100"/>
        <v>18.580356462146952</v>
      </c>
      <c r="F285" s="385">
        <f t="shared" si="103"/>
        <v>18.580667623346692</v>
      </c>
      <c r="G285" s="110">
        <f t="shared" si="101"/>
        <v>0.40847597244939343</v>
      </c>
      <c r="H285" s="414" t="b">
        <f>Wh_hp&gt;='2021'!Maxi_hp</f>
        <v>0</v>
      </c>
      <c r="I285" s="380">
        <f>IF(H285,Wh_hp,'2021'!Maxi_hp)</f>
        <v>42.169880552957594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3.3866363528654686E-2</v>
      </c>
      <c r="M285" s="845"/>
      <c r="N285" s="845"/>
      <c r="O285" s="48">
        <f>IF(t&lt;Tnet,'2021'!Resal+('2021'!Salim-'2021'!Resal)*(1-EXP(('2021'!Tnet-t)/('2021'!Tau_j))),Resal+(Salim-Resal)*(1-EXP((Tnet-t)/(Tau_j))))*Salcycl</f>
        <v>4.7022578550815528E-2</v>
      </c>
      <c r="P285" s="339">
        <f>(INDEX(Models!$BJ285:$BT285,,T285)*(1-R285)+INDEX(Models!$BJ285:$BT285,,T285+1)*R285-ERP_i)*Q285*Ramure*Pc/MaxiM</f>
        <v>1.0802874715619239E-4</v>
      </c>
      <c r="Q285" s="305">
        <f t="shared" si="105"/>
        <v>0.5</v>
      </c>
      <c r="R285" s="177">
        <f t="shared" si="106"/>
        <v>0.49216237825228076</v>
      </c>
      <c r="S285" s="811">
        <f t="shared" si="107"/>
        <v>0</v>
      </c>
      <c r="T285" s="176">
        <f t="shared" si="108"/>
        <v>6</v>
      </c>
      <c r="U285" s="251">
        <f t="shared" si="109"/>
        <v>0.49216237825228076</v>
      </c>
      <c r="V285" s="383">
        <f t="shared" si="110"/>
        <v>41.876241351286296</v>
      </c>
      <c r="W285" s="402">
        <f t="shared" si="111"/>
        <v>0</v>
      </c>
      <c r="X285" s="157">
        <f t="shared" si="112"/>
        <v>44832</v>
      </c>
      <c r="Y285" s="385">
        <f t="shared" si="113"/>
        <v>16.510778474992865</v>
      </c>
      <c r="Z285" s="385">
        <f t="shared" si="114"/>
        <v>17.089539015840444</v>
      </c>
      <c r="AA285" s="386">
        <f t="shared" si="115"/>
        <v>18.580356462146952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8.023621340869827E-2</v>
      </c>
      <c r="AD285" s="231">
        <f>(INDEX(Models!$BJ285:$BT285,,AH285)*(1-AF285)+INDEX(Models!$BJ285:$BT285,,AH285+1)*AF285-ERP_i)*AE285*Ramure*Pc/MaxiM</f>
        <v>1.0802874715619239E-4</v>
      </c>
      <c r="AE285" s="305">
        <f t="shared" si="117"/>
        <v>0.5</v>
      </c>
      <c r="AF285" s="177">
        <f t="shared" si="118"/>
        <v>0.49216237825228076</v>
      </c>
      <c r="AG285" s="811">
        <f t="shared" si="124"/>
        <v>0</v>
      </c>
      <c r="AH285" s="176">
        <f t="shared" si="119"/>
        <v>6</v>
      </c>
      <c r="AI285" s="225">
        <f t="shared" si="120"/>
        <v>0.49216237825228076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44833</v>
      </c>
      <c r="B286" s="1140">
        <v>23.462</v>
      </c>
      <c r="C286" s="841"/>
      <c r="D286" s="393">
        <f t="shared" si="102"/>
        <v>24.284957073808503</v>
      </c>
      <c r="E286" s="385">
        <f t="shared" si="100"/>
        <v>25.484723015015156</v>
      </c>
      <c r="F286" s="385">
        <f t="shared" si="103"/>
        <v>25.485928433363988</v>
      </c>
      <c r="G286" s="110">
        <f t="shared" si="101"/>
        <v>0.56446221405059593</v>
      </c>
      <c r="H286" s="414" t="b">
        <f>Wh_hp&gt;='2021'!Maxi_hp</f>
        <v>0</v>
      </c>
      <c r="I286" s="380">
        <f>IF(H286,Wh_hp,'2021'!Maxi_hp)</f>
        <v>44.457549596928516</v>
      </c>
      <c r="J286" s="85">
        <f>IF(H286,An,'2021'!An_max)</f>
        <v>2019</v>
      </c>
      <c r="K286" s="197">
        <f t="shared" si="104"/>
        <v>44833</v>
      </c>
      <c r="L286" s="147">
        <f>IF(t&lt;Tvie,1-EXP((T0-t)*PertePVj)+'2021'!Pspv,1-EXP((T0-t)*PertePVj)+Pspv)</f>
        <v>3.3887524334810015E-2</v>
      </c>
      <c r="M286" s="845"/>
      <c r="N286" s="845"/>
      <c r="O286" s="48">
        <f>IF(t&lt;Tnet,'2021'!Resal+('2021'!Salim-'2021'!Resal)*(1-EXP(('2021'!Tnet-t)/('2021'!Tau_j))),Resal+(Salim-Resal)*(1-EXP((Tnet-t)/(Tau_j))))*Salcycl</f>
        <v>4.7077848972491267E-2</v>
      </c>
      <c r="P286" s="339">
        <f>(INDEX(Models!$BJ286:$BT286,,T286)*(1-R286)+INDEX(Models!$BJ286:$BT286,,T286+1)*R286-ERP_i)*Q286*Ramure*Pc/MaxiM</f>
        <v>1.2516980122743431E-4</v>
      </c>
      <c r="Q286" s="305">
        <f t="shared" si="105"/>
        <v>0.5</v>
      </c>
      <c r="R286" s="177">
        <f t="shared" si="106"/>
        <v>0.492377240658191</v>
      </c>
      <c r="S286" s="811">
        <f t="shared" si="107"/>
        <v>0</v>
      </c>
      <c r="T286" s="176">
        <f t="shared" si="108"/>
        <v>6</v>
      </c>
      <c r="U286" s="251">
        <f t="shared" si="109"/>
        <v>0.492377240658191</v>
      </c>
      <c r="V286" s="383">
        <f t="shared" si="110"/>
        <v>41.561989957015562</v>
      </c>
      <c r="W286" s="402">
        <f t="shared" si="111"/>
        <v>0</v>
      </c>
      <c r="X286" s="157">
        <f t="shared" si="112"/>
        <v>44833</v>
      </c>
      <c r="Y286" s="385">
        <f t="shared" si="113"/>
        <v>22.645267558377604</v>
      </c>
      <c r="Z286" s="385">
        <f t="shared" si="114"/>
        <v>23.43957678714979</v>
      </c>
      <c r="AA286" s="386">
        <f t="shared" si="115"/>
        <v>25.484723015015156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8.0249890362175114E-2</v>
      </c>
      <c r="AD286" s="231">
        <f>(INDEX(Models!$BJ286:$BT286,,AH286)*(1-AF286)+INDEX(Models!$BJ286:$BT286,,AH286+1)*AF286-ERP_i)*AE286*Ramure*Pc/MaxiM</f>
        <v>1.2516980122743431E-4</v>
      </c>
      <c r="AE286" s="305">
        <f t="shared" si="117"/>
        <v>0.5</v>
      </c>
      <c r="AF286" s="177">
        <f t="shared" si="118"/>
        <v>0.492377240658191</v>
      </c>
      <c r="AG286" s="811">
        <f t="shared" si="124"/>
        <v>0</v>
      </c>
      <c r="AH286" s="176">
        <f t="shared" si="119"/>
        <v>6</v>
      </c>
      <c r="AI286" s="225">
        <f t="shared" si="120"/>
        <v>0.492377240658191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44834</v>
      </c>
      <c r="B287" s="1140">
        <v>28.67</v>
      </c>
      <c r="C287" s="841"/>
      <c r="D287" s="393">
        <f t="shared" si="102"/>
        <v>29.676283748011009</v>
      </c>
      <c r="E287" s="385">
        <f t="shared" si="100"/>
        <v>31.144183954883548</v>
      </c>
      <c r="F287" s="385">
        <f t="shared" si="103"/>
        <v>31.146714128643815</v>
      </c>
      <c r="G287" s="110">
        <f t="shared" si="101"/>
        <v>0.69498889099568728</v>
      </c>
      <c r="H287" s="414" t="b">
        <f>Wh_hp&gt;='2021'!Maxi_hp</f>
        <v>0</v>
      </c>
      <c r="I287" s="380">
        <f>IF(H287,Wh_hp,'2021'!Maxi_hp)</f>
        <v>41.406216750872005</v>
      </c>
      <c r="J287" s="85">
        <f>IF(H287,An,'2021'!An_max)</f>
        <v>2018</v>
      </c>
      <c r="K287" s="197">
        <f t="shared" si="104"/>
        <v>44834</v>
      </c>
      <c r="L287" s="147">
        <f>IF(t&lt;Tvie,1-EXP((T0-t)*PertePVj)+'2021'!Pspv,1-EXP((T0-t)*PertePVj)+Pspv)</f>
        <v>3.390868467748942E-2</v>
      </c>
      <c r="M287" s="845"/>
      <c r="N287" s="845"/>
      <c r="O287" s="48">
        <f>IF(t&lt;Tnet,'2021'!Resal+('2021'!Salim-'2021'!Resal)*(1-EXP(('2021'!Tnet-t)/('2021'!Tau_j))),Resal+(Salim-Resal)*(1-EXP((Tnet-t)/(Tau_j))))*Salcycl</f>
        <v>4.7132402280919736E-2</v>
      </c>
      <c r="P287" s="339">
        <f>(INDEX(Models!$BJ287:$BT287,,T287)*(1-R287)+INDEX(Models!$BJ287:$BT287,,T287+1)*R287-ERP_i)*Q287*Ramure*Pc/MaxiM</f>
        <v>1.4394724022030885E-4</v>
      </c>
      <c r="Q287" s="305">
        <f t="shared" si="105"/>
        <v>0.5</v>
      </c>
      <c r="R287" s="177">
        <f t="shared" si="106"/>
        <v>0.49258362740099998</v>
      </c>
      <c r="S287" s="811">
        <f t="shared" si="107"/>
        <v>0</v>
      </c>
      <c r="T287" s="176">
        <f t="shared" si="108"/>
        <v>6</v>
      </c>
      <c r="U287" s="251">
        <f t="shared" si="109"/>
        <v>0.49258362740099998</v>
      </c>
      <c r="V287" s="383">
        <f t="shared" si="110"/>
        <v>41.249870664436081</v>
      </c>
      <c r="W287" s="402">
        <f t="shared" si="111"/>
        <v>0</v>
      </c>
      <c r="X287" s="157">
        <f t="shared" si="112"/>
        <v>44834</v>
      </c>
      <c r="Y287" s="385">
        <f t="shared" si="113"/>
        <v>27.673178235448184</v>
      </c>
      <c r="Z287" s="385">
        <f t="shared" si="114"/>
        <v>28.644474695655489</v>
      </c>
      <c r="AA287" s="386">
        <f t="shared" si="115"/>
        <v>31.144183954883548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8.0262474138003415E-2</v>
      </c>
      <c r="AD287" s="231">
        <f>(INDEX(Models!$BJ287:$BT287,,AH287)*(1-AF287)+INDEX(Models!$BJ287:$BT287,,AH287+1)*AF287-ERP_i)*AE287*Ramure*Pc/MaxiM</f>
        <v>1.4394724022030885E-4</v>
      </c>
      <c r="AE287" s="305">
        <f t="shared" si="117"/>
        <v>0.5</v>
      </c>
      <c r="AF287" s="177">
        <f t="shared" si="118"/>
        <v>0.49258362740099998</v>
      </c>
      <c r="AG287" s="811">
        <f t="shared" si="124"/>
        <v>0</v>
      </c>
      <c r="AH287" s="176">
        <f t="shared" si="119"/>
        <v>6</v>
      </c>
      <c r="AI287" s="225">
        <f t="shared" si="120"/>
        <v>0.49258362740099998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44835</v>
      </c>
      <c r="B288" s="1140">
        <v>34.383000000000003</v>
      </c>
      <c r="C288" s="841"/>
      <c r="D288" s="393">
        <f t="shared" si="102"/>
        <v>35.590582947076761</v>
      </c>
      <c r="E288" s="385">
        <f t="shared" si="100"/>
        <v>37.353136401820535</v>
      </c>
      <c r="F288" s="385">
        <f t="shared" si="103"/>
        <v>37.357871938969666</v>
      </c>
      <c r="G288" s="110">
        <f t="shared" si="101"/>
        <v>0.83979336532126769</v>
      </c>
      <c r="H288" s="414" t="b">
        <f>Wh_hp&gt;='2021'!Maxi_hp</f>
        <v>0</v>
      </c>
      <c r="I288" s="380">
        <f>IF(H288,Wh_hp,'2021'!Maxi_hp)</f>
        <v>43.530133856028712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3.3929844556703004E-2</v>
      </c>
      <c r="M288" s="845"/>
      <c r="N288" s="845"/>
      <c r="O288" s="48">
        <f>IF(t&lt;Tnet,'2021'!Resal+('2021'!Salim-'2021'!Resal)*(1-EXP(('2021'!Tnet-t)/('2021'!Tau_j))),Resal+(Salim-Resal)*(1-EXP((Tnet-t)/(Tau_j))))*Salcycl</f>
        <v>4.7186223822904189E-2</v>
      </c>
      <c r="P288" s="339">
        <f>(INDEX(Models!$BJ288:$BT288,,T288)*(1-R288)+INDEX(Models!$BJ288:$BT288,,T288+1)*R288-ERP_i)*Q288*Ramure*Pc/MaxiM</f>
        <v>1.643736503962988E-4</v>
      </c>
      <c r="Q288" s="305">
        <f t="shared" si="105"/>
        <v>0.5</v>
      </c>
      <c r="R288" s="177">
        <f t="shared" si="106"/>
        <v>0.49278186610374825</v>
      </c>
      <c r="S288" s="811">
        <f t="shared" si="107"/>
        <v>0</v>
      </c>
      <c r="T288" s="176">
        <f t="shared" si="108"/>
        <v>6</v>
      </c>
      <c r="U288" s="251">
        <f t="shared" si="109"/>
        <v>0.49278186610374825</v>
      </c>
      <c r="V288" s="383">
        <f t="shared" si="110"/>
        <v>40.940674259568347</v>
      </c>
      <c r="W288" s="402">
        <f t="shared" si="111"/>
        <v>0</v>
      </c>
      <c r="X288" s="157">
        <f t="shared" si="112"/>
        <v>44835</v>
      </c>
      <c r="Y288" s="385">
        <f t="shared" si="113"/>
        <v>33.189004837352918</v>
      </c>
      <c r="Z288" s="385">
        <f t="shared" si="114"/>
        <v>34.354652868997498</v>
      </c>
      <c r="AA288" s="386">
        <f t="shared" si="115"/>
        <v>37.353136401820535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8.0273942743852189E-2</v>
      </c>
      <c r="AD288" s="231">
        <f>(INDEX(Models!$BJ288:$BT288,,AH288)*(1-AF288)+INDEX(Models!$BJ288:$BT288,,AH288+1)*AF288-ERP_i)*AE288*Ramure*Pc/MaxiM</f>
        <v>1.643736503962988E-4</v>
      </c>
      <c r="AE288" s="305">
        <f t="shared" si="117"/>
        <v>0.5</v>
      </c>
      <c r="AF288" s="177">
        <f t="shared" si="118"/>
        <v>0.49278186610374825</v>
      </c>
      <c r="AG288" s="811">
        <f t="shared" si="124"/>
        <v>0</v>
      </c>
      <c r="AH288" s="176">
        <f t="shared" si="119"/>
        <v>6</v>
      </c>
      <c r="AI288" s="225">
        <f t="shared" si="120"/>
        <v>0.49278186610374825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44836</v>
      </c>
      <c r="B289" s="1140">
        <v>38.326999999999998</v>
      </c>
      <c r="C289" s="841"/>
      <c r="D289" s="393">
        <f t="shared" si="102"/>
        <v>39.673971152191342</v>
      </c>
      <c r="E289" s="385">
        <f t="shared" si="100"/>
        <v>41.64106595525972</v>
      </c>
      <c r="F289" s="385">
        <f t="shared" si="103"/>
        <v>41.648202315216608</v>
      </c>
      <c r="G289" s="110">
        <f t="shared" si="101"/>
        <v>0.94322884585451172</v>
      </c>
      <c r="H289" s="414" t="b">
        <f>Wh_hp&gt;='2021'!Maxi_hp</f>
        <v>0</v>
      </c>
      <c r="I289" s="380">
        <f>IF(H289,Wh_hp,'2021'!Maxi_hp)</f>
        <v>44.550821163435508</v>
      </c>
      <c r="J289" s="85">
        <f>IF(H289,An,'2021'!An_max)</f>
        <v>2018</v>
      </c>
      <c r="K289" s="197">
        <f t="shared" si="104"/>
        <v>44836</v>
      </c>
      <c r="L289" s="147">
        <f>IF(t&lt;Tvie,1-EXP((T0-t)*PertePVj)+'2021'!Pspv,1-EXP((T0-t)*PertePVj)+Pspv)</f>
        <v>3.3951003972460869E-2</v>
      </c>
      <c r="M289" s="845"/>
      <c r="N289" s="845"/>
      <c r="O289" s="48">
        <f>IF(t&lt;Tnet,'2021'!Resal+('2021'!Salim-'2021'!Resal)*(1-EXP(('2021'!Tnet-t)/('2021'!Tau_j))),Resal+(Salim-Resal)*(1-EXP((Tnet-t)/(Tau_j))))*Salcycl</f>
        <v>4.7239299906056111E-2</v>
      </c>
      <c r="P289" s="339">
        <f>(INDEX(Models!$BJ289:$BT289,,T289)*(1-R289)+INDEX(Models!$BJ289:$BT289,,T289+1)*R289-ERP_i)*Q289*Ramure*Pc/MaxiM</f>
        <v>1.8646760155297567E-4</v>
      </c>
      <c r="Q289" s="305">
        <f t="shared" si="105"/>
        <v>0.5</v>
      </c>
      <c r="R289" s="177">
        <f t="shared" si="106"/>
        <v>0.49297227225090462</v>
      </c>
      <c r="S289" s="811">
        <f t="shared" si="107"/>
        <v>0</v>
      </c>
      <c r="T289" s="176">
        <f t="shared" si="108"/>
        <v>6</v>
      </c>
      <c r="U289" s="251">
        <f t="shared" si="109"/>
        <v>0.49297227225090462</v>
      </c>
      <c r="V289" s="383">
        <f t="shared" si="110"/>
        <v>40.633214942543006</v>
      </c>
      <c r="W289" s="402">
        <f t="shared" si="111"/>
        <v>0</v>
      </c>
      <c r="X289" s="157">
        <f t="shared" si="112"/>
        <v>44836</v>
      </c>
      <c r="Y289" s="385">
        <f t="shared" si="113"/>
        <v>36.997689508228419</v>
      </c>
      <c r="Z289" s="385">
        <f t="shared" si="114"/>
        <v>38.297943127486803</v>
      </c>
      <c r="AA289" s="386">
        <f t="shared" si="115"/>
        <v>41.64106595525972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8.0284275896415763E-2</v>
      </c>
      <c r="AD289" s="231">
        <f>(INDEX(Models!$BJ289:$BT289,,AH289)*(1-AF289)+INDEX(Models!$BJ289:$BT289,,AH289+1)*AF289-ERP_i)*AE289*Ramure*Pc/MaxiM</f>
        <v>1.8646760155297567E-4</v>
      </c>
      <c r="AE289" s="305">
        <f t="shared" si="117"/>
        <v>0.5</v>
      </c>
      <c r="AF289" s="177">
        <f t="shared" si="118"/>
        <v>0.49297227225090462</v>
      </c>
      <c r="AG289" s="811">
        <f t="shared" si="124"/>
        <v>0</v>
      </c>
      <c r="AH289" s="176">
        <f t="shared" si="119"/>
        <v>6</v>
      </c>
      <c r="AI289" s="225">
        <f t="shared" si="120"/>
        <v>0.49297227225090462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44837</v>
      </c>
      <c r="B290" s="1140">
        <v>34.86</v>
      </c>
      <c r="C290" s="841"/>
      <c r="D290" s="393">
        <f t="shared" si="102"/>
        <v>36.085916639362196</v>
      </c>
      <c r="E290" s="385">
        <f t="shared" si="100"/>
        <v>37.877190249131822</v>
      </c>
      <c r="F290" s="385">
        <f t="shared" si="103"/>
        <v>37.883559335678122</v>
      </c>
      <c r="G290" s="110">
        <f t="shared" si="101"/>
        <v>0.86442297901845389</v>
      </c>
      <c r="H290" s="414" t="b">
        <f>Wh_hp&gt;='2021'!Maxi_hp</f>
        <v>0</v>
      </c>
      <c r="I290" s="380">
        <f>IF(H290,Wh_hp,'2021'!Maxi_hp)</f>
        <v>42.516161138689995</v>
      </c>
      <c r="J290" s="85">
        <f>IF(H290,An,'2021'!An_max)</f>
        <v>2018</v>
      </c>
      <c r="K290" s="197">
        <f t="shared" si="104"/>
        <v>44837</v>
      </c>
      <c r="L290" s="147">
        <f>IF(t&lt;Tvie,1-EXP((T0-t)*PertePVj)+'2021'!Pspv,1-EXP((T0-t)*PertePVj)+Pspv)</f>
        <v>3.397216292477323E-2</v>
      </c>
      <c r="M290" s="845"/>
      <c r="N290" s="845"/>
      <c r="O290" s="48">
        <f>IF(t&lt;Tnet,'2021'!Resal+('2021'!Salim-'2021'!Resal)*(1-EXP(('2021'!Tnet-t)/('2021'!Tau_j))),Resal+(Salim-Resal)*(1-EXP((Tnet-t)/(Tau_j))))*Salcycl</f>
        <v>4.7291617936488436E-2</v>
      </c>
      <c r="P290" s="339">
        <f>(INDEX(Models!$BJ290:$BT290,,T290)*(1-R290)+INDEX(Models!$BJ290:$BT290,,T290+1)*R290-ERP_i)*Q290*Ramure*Pc/MaxiM</f>
        <v>2.0849366845654001E-4</v>
      </c>
      <c r="Q290" s="305">
        <f t="shared" si="105"/>
        <v>0.5</v>
      </c>
      <c r="R290" s="177">
        <f t="shared" si="106"/>
        <v>0.49315514959669271</v>
      </c>
      <c r="S290" s="811">
        <f t="shared" si="107"/>
        <v>0</v>
      </c>
      <c r="T290" s="176">
        <f t="shared" si="108"/>
        <v>6</v>
      </c>
      <c r="U290" s="251">
        <f t="shared" si="109"/>
        <v>0.49315514959669271</v>
      </c>
      <c r="V290" s="383">
        <f t="shared" si="110"/>
        <v>40.325851206802831</v>
      </c>
      <c r="W290" s="402">
        <f t="shared" si="111"/>
        <v>0</v>
      </c>
      <c r="X290" s="157">
        <f t="shared" si="112"/>
        <v>44837</v>
      </c>
      <c r="Y290" s="385">
        <f t="shared" si="113"/>
        <v>33.652448906422066</v>
      </c>
      <c r="Z290" s="385">
        <f t="shared" si="114"/>
        <v>34.835899769005799</v>
      </c>
      <c r="AA290" s="386">
        <f t="shared" si="115"/>
        <v>37.877190249131822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8.0293455246346707E-2</v>
      </c>
      <c r="AD290" s="231">
        <f>(INDEX(Models!$BJ290:$BT290,,AH290)*(1-AF290)+INDEX(Models!$BJ290:$BT290,,AH290+1)*AF290-ERP_i)*AE290*Ramure*Pc/MaxiM</f>
        <v>2.0849366845654001E-4</v>
      </c>
      <c r="AE290" s="305">
        <f t="shared" si="117"/>
        <v>0.5</v>
      </c>
      <c r="AF290" s="177">
        <f t="shared" si="118"/>
        <v>0.49315514959669271</v>
      </c>
      <c r="AG290" s="811">
        <f t="shared" si="124"/>
        <v>0</v>
      </c>
      <c r="AH290" s="176">
        <f t="shared" si="119"/>
        <v>6</v>
      </c>
      <c r="AI290" s="225">
        <f t="shared" si="120"/>
        <v>0.49315514959669271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44838</v>
      </c>
      <c r="B291" s="1140">
        <v>39.225000000000001</v>
      </c>
      <c r="C291" s="841"/>
      <c r="D291" s="393">
        <f t="shared" si="102"/>
        <v>40.60530933119604</v>
      </c>
      <c r="E291" s="385">
        <f t="shared" si="100"/>
        <v>42.62322790931502</v>
      </c>
      <c r="F291" s="385">
        <f t="shared" si="103"/>
        <v>42.63273161899879</v>
      </c>
      <c r="G291" s="110">
        <f t="shared" si="101"/>
        <v>0.98016226058081635</v>
      </c>
      <c r="H291" s="414" t="b">
        <f>Wh_hp&gt;='2021'!Maxi_hp</f>
        <v>1</v>
      </c>
      <c r="I291" s="380">
        <f>IF(H291,Wh_hp,'2021'!Maxi_hp)</f>
        <v>42.63273161899879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3.3993321413650301E-2</v>
      </c>
      <c r="M291" s="845"/>
      <c r="N291" s="845"/>
      <c r="O291" s="48">
        <f>IF(t&lt;Tnet,'2021'!Resal+('2021'!Salim-'2021'!Resal)*(1-EXP(('2021'!Tnet-t)/('2021'!Tau_j))),Resal+(Salim-Resal)*(1-EXP((Tnet-t)/(Tau_j))))*Salcycl</f>
        <v>4.7343166557265288E-2</v>
      </c>
      <c r="P291" s="339">
        <f>(INDEX(Models!$BJ291:$BT291,,T291)*(1-R291)+INDEX(Models!$BJ291:$BT291,,T291+1)*R291-ERP_i)*Q291*Ramure*Pc/MaxiM</f>
        <v>2.2942008758963326E-4</v>
      </c>
      <c r="Q291" s="305">
        <f t="shared" si="105"/>
        <v>0.5</v>
      </c>
      <c r="R291" s="177">
        <f t="shared" si="106"/>
        <v>0.49333079056302315</v>
      </c>
      <c r="S291" s="811">
        <f t="shared" si="107"/>
        <v>0</v>
      </c>
      <c r="T291" s="176">
        <f t="shared" si="108"/>
        <v>6</v>
      </c>
      <c r="U291" s="251">
        <f t="shared" si="109"/>
        <v>0.49333079056302315</v>
      </c>
      <c r="V291" s="383">
        <f t="shared" si="110"/>
        <v>40.018624032143364</v>
      </c>
      <c r="W291" s="402">
        <f t="shared" si="111"/>
        <v>0</v>
      </c>
      <c r="X291" s="157">
        <f t="shared" si="112"/>
        <v>44838</v>
      </c>
      <c r="Y291" s="385">
        <f t="shared" si="113"/>
        <v>37.867964396550441</v>
      </c>
      <c r="Z291" s="385">
        <f t="shared" si="114"/>
        <v>39.200520282081555</v>
      </c>
      <c r="AA291" s="386">
        <f t="shared" si="115"/>
        <v>42.62322790931502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8.0301464603187753E-2</v>
      </c>
      <c r="AD291" s="231">
        <f>(INDEX(Models!$BJ291:$BT291,,AH291)*(1-AF291)+INDEX(Models!$BJ291:$BT291,,AH291+1)*AF291-ERP_i)*AE291*Ramure*Pc/MaxiM</f>
        <v>2.2942008758963326E-4</v>
      </c>
      <c r="AE291" s="305">
        <f t="shared" si="117"/>
        <v>0.5</v>
      </c>
      <c r="AF291" s="177">
        <f t="shared" si="118"/>
        <v>0.49333079056302315</v>
      </c>
      <c r="AG291" s="811">
        <f t="shared" si="124"/>
        <v>0</v>
      </c>
      <c r="AH291" s="176">
        <f t="shared" si="119"/>
        <v>6</v>
      </c>
      <c r="AI291" s="225">
        <f t="shared" si="120"/>
        <v>0.49333079056302315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44839</v>
      </c>
      <c r="B292" s="1140">
        <v>40.456000000000003</v>
      </c>
      <c r="C292" s="841"/>
      <c r="D292" s="393">
        <f t="shared" si="102"/>
        <v>41.880544934575518</v>
      </c>
      <c r="E292" s="385">
        <f t="shared" si="100"/>
        <v>43.964180481206029</v>
      </c>
      <c r="F292" s="385">
        <f t="shared" si="103"/>
        <v>43.975140189809323</v>
      </c>
      <c r="G292" s="110">
        <f t="shared" si="101"/>
        <v>1.0187468727927425</v>
      </c>
      <c r="H292" s="414" t="b">
        <f>Wh_hp&gt;='2021'!Maxi_hp</f>
        <v>1</v>
      </c>
      <c r="I292" s="380">
        <f>IF(H292,Wh_hp,'2021'!Maxi_hp)</f>
        <v>43.975140189809323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3.4014479439102185E-2</v>
      </c>
      <c r="M292" s="845"/>
      <c r="N292" s="845"/>
      <c r="O292" s="48">
        <f>IF(t&lt;Tnet,'2021'!Resal+('2021'!Salim-'2021'!Resal)*(1-EXP(('2021'!Tnet-t)/('2021'!Tau_j))),Resal+(Salim-Resal)*(1-EXP((Tnet-t)/(Tau_j))))*Salcycl</f>
        <v>4.7393935786457606E-2</v>
      </c>
      <c r="P292" s="339">
        <f>(INDEX(Models!$BJ292:$BT292,,T292)*(1-R292)+INDEX(Models!$BJ292:$BT292,,T292+1)*R292-ERP_i)*Q292*Ramure*Pc/MaxiM</f>
        <v>2.4922509754348588E-4</v>
      </c>
      <c r="Q292" s="305">
        <f t="shared" si="105"/>
        <v>0.5</v>
      </c>
      <c r="R292" s="177">
        <f t="shared" si="106"/>
        <v>0.49349947662700483</v>
      </c>
      <c r="S292" s="811">
        <f t="shared" si="107"/>
        <v>0</v>
      </c>
      <c r="T292" s="176">
        <f t="shared" si="108"/>
        <v>6</v>
      </c>
      <c r="U292" s="251">
        <f t="shared" si="109"/>
        <v>0.49349947662700483</v>
      </c>
      <c r="V292" s="383">
        <f t="shared" si="110"/>
        <v>39.711532943503357</v>
      </c>
      <c r="W292" s="402">
        <f t="shared" si="111"/>
        <v>0</v>
      </c>
      <c r="X292" s="157">
        <f t="shared" si="112"/>
        <v>44839</v>
      </c>
      <c r="Y292" s="385">
        <f t="shared" si="113"/>
        <v>39.058168125426448</v>
      </c>
      <c r="Z292" s="385">
        <f t="shared" si="114"/>
        <v>40.433492318546755</v>
      </c>
      <c r="AA292" s="386">
        <f t="shared" si="115"/>
        <v>43.964180481206029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8.0308290158361745E-2</v>
      </c>
      <c r="AD292" s="231">
        <f>(INDEX(Models!$BJ292:$BT292,,AH292)*(1-AF292)+INDEX(Models!$BJ292:$BT292,,AH292+1)*AF292-ERP_i)*AE292*Ramure*Pc/MaxiM</f>
        <v>2.4922509754348588E-4</v>
      </c>
      <c r="AE292" s="305">
        <f t="shared" si="117"/>
        <v>0.5</v>
      </c>
      <c r="AF292" s="177">
        <f t="shared" si="118"/>
        <v>0.49349947662700483</v>
      </c>
      <c r="AG292" s="811">
        <f t="shared" si="124"/>
        <v>0</v>
      </c>
      <c r="AH292" s="176">
        <f t="shared" si="119"/>
        <v>6</v>
      </c>
      <c r="AI292" s="225">
        <f t="shared" si="120"/>
        <v>0.49349947662700483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44840</v>
      </c>
      <c r="B293" s="1140">
        <v>11.81</v>
      </c>
      <c r="C293" s="841"/>
      <c r="D293" s="393">
        <f t="shared" si="102"/>
        <v>12.226123915519567</v>
      </c>
      <c r="E293" s="385">
        <f t="shared" si="100"/>
        <v>12.835069908940177</v>
      </c>
      <c r="F293" s="385">
        <f t="shared" si="103"/>
        <v>12.835069908940177</v>
      </c>
      <c r="G293" s="110">
        <f t="shared" si="101"/>
        <v>0.29963108463421834</v>
      </c>
      <c r="H293" s="414" t="b">
        <f>Wh_hp&gt;='2021'!Maxi_hp</f>
        <v>0</v>
      </c>
      <c r="I293" s="380">
        <f>IF(H293,Wh_hp,'2021'!Maxi_hp)</f>
        <v>39.638043153684698</v>
      </c>
      <c r="J293" s="85">
        <f>IF(H293,An,'2021'!An_max)</f>
        <v>2018</v>
      </c>
      <c r="K293" s="197">
        <f t="shared" si="104"/>
        <v>44840</v>
      </c>
      <c r="L293" s="147">
        <f>IF(t&lt;Tvie,1-EXP((T0-t)*PertePVj)+'2021'!Pspv,1-EXP((T0-t)*PertePVj)+Pspv)</f>
        <v>3.4035637001138874E-2</v>
      </c>
      <c r="M293" s="845"/>
      <c r="N293" s="845"/>
      <c r="O293" s="48">
        <f>IF(t&lt;Tnet,'2021'!Resal+('2021'!Salim-'2021'!Resal)*(1-EXP(('2021'!Tnet-t)/('2021'!Tau_j))),Resal+(Salim-Resal)*(1-EXP((Tnet-t)/(Tau_j))))*Salcycl</f>
        <v>4.7443917153614602E-2</v>
      </c>
      <c r="P293" s="339">
        <f>(INDEX(Models!$BJ293:$BT293,,T293)*(1-R293)+INDEX(Models!$BJ293:$BT293,,T293+1)*R293-ERP_i)*Q293*Ramure*Pc/MaxiM</f>
        <v>2.6788716027560173E-4</v>
      </c>
      <c r="Q293" s="305">
        <f t="shared" si="105"/>
        <v>0.5</v>
      </c>
      <c r="R293" s="177">
        <f t="shared" si="106"/>
        <v>0.493661478698044</v>
      </c>
      <c r="S293" s="811">
        <f t="shared" si="107"/>
        <v>0</v>
      </c>
      <c r="T293" s="176">
        <f t="shared" si="108"/>
        <v>6</v>
      </c>
      <c r="U293" s="251">
        <f t="shared" si="109"/>
        <v>0.493661478698044</v>
      </c>
      <c r="V293" s="383">
        <f t="shared" si="110"/>
        <v>39.404577355685966</v>
      </c>
      <c r="W293" s="402">
        <f t="shared" si="111"/>
        <v>0</v>
      </c>
      <c r="X293" s="157">
        <f t="shared" si="112"/>
        <v>44840</v>
      </c>
      <c r="Y293" s="385">
        <f t="shared" si="113"/>
        <v>11.402470460350484</v>
      </c>
      <c r="Z293" s="385">
        <f t="shared" si="114"/>
        <v>11.804235122040344</v>
      </c>
      <c r="AA293" s="386">
        <f t="shared" si="115"/>
        <v>12.835069908940177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8.0313920704227021E-2</v>
      </c>
      <c r="AD293" s="231">
        <f>(INDEX(Models!$BJ293:$BT293,,AH293)*(1-AF293)+INDEX(Models!$BJ293:$BT293,,AH293+1)*AF293-ERP_i)*AE293*Ramure*Pc/MaxiM</f>
        <v>2.6788716027560173E-4</v>
      </c>
      <c r="AE293" s="305">
        <f t="shared" si="117"/>
        <v>0.5</v>
      </c>
      <c r="AF293" s="177">
        <f t="shared" si="118"/>
        <v>0.493661478698044</v>
      </c>
      <c r="AG293" s="811">
        <f t="shared" si="124"/>
        <v>0</v>
      </c>
      <c r="AH293" s="176">
        <f t="shared" si="119"/>
        <v>6</v>
      </c>
      <c r="AI293" s="225">
        <f t="shared" si="120"/>
        <v>0.493661478698044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44841</v>
      </c>
      <c r="B294" s="1140">
        <v>28.866</v>
      </c>
      <c r="C294" s="841"/>
      <c r="D294" s="393">
        <f t="shared" si="102"/>
        <v>29.883744534543084</v>
      </c>
      <c r="E294" s="385">
        <f t="shared" si="100"/>
        <v>31.373782861638499</v>
      </c>
      <c r="F294" s="385">
        <f t="shared" si="103"/>
        <v>31.379390142685807</v>
      </c>
      <c r="G294" s="110">
        <f t="shared" si="101"/>
        <v>0.73822444596399683</v>
      </c>
      <c r="H294" s="414" t="b">
        <f>Wh_hp&gt;='2021'!Maxi_hp</f>
        <v>0</v>
      </c>
      <c r="I294" s="380">
        <f>IF(H294,Wh_hp,'2021'!Maxi_hp)</f>
        <v>42.817625020301556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3.4056794099770804E-2</v>
      </c>
      <c r="M294" s="845"/>
      <c r="N294" s="845"/>
      <c r="O294" s="48">
        <f>IF(t&lt;Tnet,'2021'!Resal+('2021'!Salim-'2021'!Resal)*(1-EXP(('2021'!Tnet-t)/('2021'!Tau_j))),Resal+(Salim-Resal)*(1-EXP((Tnet-t)/(Tau_j))))*Salcycl</f>
        <v>4.7493103833434205E-2</v>
      </c>
      <c r="P294" s="339">
        <f>(INDEX(Models!$BJ294:$BT294,,T294)*(1-R294)+INDEX(Models!$BJ294:$BT294,,T294+1)*R294-ERP_i)*Q294*Ramure*Pc/MaxiM</f>
        <v>2.8538503332461746E-4</v>
      </c>
      <c r="Q294" s="305">
        <f t="shared" si="105"/>
        <v>0.5</v>
      </c>
      <c r="R294" s="177">
        <f t="shared" si="106"/>
        <v>0.49381705748456683</v>
      </c>
      <c r="S294" s="811">
        <f t="shared" si="107"/>
        <v>0</v>
      </c>
      <c r="T294" s="176">
        <f t="shared" si="108"/>
        <v>6</v>
      </c>
      <c r="U294" s="251">
        <f t="shared" si="109"/>
        <v>0.49381705748456683</v>
      </c>
      <c r="V294" s="383">
        <f t="shared" si="110"/>
        <v>39.097756567832839</v>
      </c>
      <c r="W294" s="402">
        <f t="shared" si="111"/>
        <v>0</v>
      </c>
      <c r="X294" s="157">
        <f t="shared" si="112"/>
        <v>44841</v>
      </c>
      <c r="Y294" s="385">
        <f t="shared" si="113"/>
        <v>27.871221382108534</v>
      </c>
      <c r="Z294" s="385">
        <f t="shared" si="114"/>
        <v>28.853892456475656</v>
      </c>
      <c r="AA294" s="386">
        <f t="shared" si="115"/>
        <v>31.373782861638499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8.0318347847175786E-2</v>
      </c>
      <c r="AD294" s="231">
        <f>(INDEX(Models!$BJ294:$BT294,,AH294)*(1-AF294)+INDEX(Models!$BJ294:$BT294,,AH294+1)*AF294-ERP_i)*AE294*Ramure*Pc/MaxiM</f>
        <v>2.8538503332461746E-4</v>
      </c>
      <c r="AE294" s="305">
        <f t="shared" si="117"/>
        <v>0.5</v>
      </c>
      <c r="AF294" s="177">
        <f t="shared" si="118"/>
        <v>0.49381705748456683</v>
      </c>
      <c r="AG294" s="811">
        <f t="shared" si="124"/>
        <v>0</v>
      </c>
      <c r="AH294" s="176">
        <f t="shared" si="119"/>
        <v>6</v>
      </c>
      <c r="AI294" s="225">
        <f t="shared" si="120"/>
        <v>0.49381705748456683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44842</v>
      </c>
      <c r="B295" s="1140">
        <v>15.733000000000001</v>
      </c>
      <c r="C295" s="841"/>
      <c r="D295" s="393">
        <f t="shared" si="102"/>
        <v>16.28806383700616</v>
      </c>
      <c r="E295" s="385">
        <f t="shared" si="100"/>
        <v>17.101074408234645</v>
      </c>
      <c r="F295" s="385">
        <f t="shared" si="103"/>
        <v>17.101852644537985</v>
      </c>
      <c r="G295" s="110">
        <f t="shared" si="101"/>
        <v>0.40547912825594046</v>
      </c>
      <c r="H295" s="414" t="b">
        <f>Wh_hp&gt;='2021'!Maxi_hp</f>
        <v>0</v>
      </c>
      <c r="I295" s="380">
        <f>IF(H295,Wh_hp,'2021'!Maxi_hp)</f>
        <v>40.412475476580589</v>
      </c>
      <c r="J295" s="85">
        <f>IF(H295,An,'2021'!An_max)</f>
        <v>2019</v>
      </c>
      <c r="K295" s="197">
        <f t="shared" si="104"/>
        <v>44842</v>
      </c>
      <c r="L295" s="147">
        <f>IF(t&lt;Tvie,1-EXP((T0-t)*PertePVj)+'2021'!Pspv,1-EXP((T0-t)*PertePVj)+Pspv)</f>
        <v>3.4077950735007856E-2</v>
      </c>
      <c r="M295" s="845"/>
      <c r="N295" s="845"/>
      <c r="O295" s="48">
        <f>IF(t&lt;Tnet,'2021'!Resal+('2021'!Salim-'2021'!Resal)*(1-EXP(('2021'!Tnet-t)/('2021'!Tau_j))),Resal+(Salim-Resal)*(1-EXP((Tnet-t)/(Tau_j))))*Salcycl</f>
        <v>4.7541490775398314E-2</v>
      </c>
      <c r="P295" s="339">
        <f>(INDEX(Models!$BJ295:$BT295,,T295)*(1-R295)+INDEX(Models!$BJ295:$BT295,,T295+1)*R295-ERP_i)*Q295*Ramure*Pc/MaxiM</f>
        <v>3.0169784176257899E-4</v>
      </c>
      <c r="Q295" s="305">
        <f t="shared" si="105"/>
        <v>0.5</v>
      </c>
      <c r="R295" s="177">
        <f t="shared" si="106"/>
        <v>0.49396646385042803</v>
      </c>
      <c r="S295" s="811">
        <f t="shared" si="107"/>
        <v>0</v>
      </c>
      <c r="T295" s="176">
        <f t="shared" si="108"/>
        <v>6</v>
      </c>
      <c r="U295" s="251">
        <f t="shared" si="109"/>
        <v>0.49396646385042803</v>
      </c>
      <c r="V295" s="383">
        <f t="shared" si="110"/>
        <v>38.791069758448295</v>
      </c>
      <c r="W295" s="402">
        <f t="shared" si="111"/>
        <v>0</v>
      </c>
      <c r="X295" s="157">
        <f t="shared" si="112"/>
        <v>44842</v>
      </c>
      <c r="Y295" s="385">
        <f t="shared" si="113"/>
        <v>15.191528721344993</v>
      </c>
      <c r="Z295" s="385">
        <f t="shared" si="114"/>
        <v>15.727489327844644</v>
      </c>
      <c r="AA295" s="386">
        <f t="shared" si="115"/>
        <v>17.101074408234645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8.0321566212739379E-2</v>
      </c>
      <c r="AD295" s="231">
        <f>(INDEX(Models!$BJ295:$BT295,,AH295)*(1-AF295)+INDEX(Models!$BJ295:$BT295,,AH295+1)*AF295-ERP_i)*AE295*Ramure*Pc/MaxiM</f>
        <v>3.0169784176257899E-4</v>
      </c>
      <c r="AE295" s="305">
        <f t="shared" si="117"/>
        <v>0.5</v>
      </c>
      <c r="AF295" s="177">
        <f t="shared" si="118"/>
        <v>0.49396646385042803</v>
      </c>
      <c r="AG295" s="811">
        <f t="shared" si="124"/>
        <v>0</v>
      </c>
      <c r="AH295" s="176">
        <f t="shared" si="119"/>
        <v>6</v>
      </c>
      <c r="AI295" s="225">
        <f t="shared" si="120"/>
        <v>0.49396646385042803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44843</v>
      </c>
      <c r="B296" s="1140">
        <v>37.003</v>
      </c>
      <c r="C296" s="841"/>
      <c r="D296" s="393">
        <f t="shared" si="102"/>
        <v>38.309313372207313</v>
      </c>
      <c r="E296" s="385">
        <f t="shared" si="100"/>
        <v>40.223513149320802</v>
      </c>
      <c r="F296" s="385">
        <f t="shared" si="103"/>
        <v>40.235517573950581</v>
      </c>
      <c r="G296" s="110">
        <f t="shared" si="101"/>
        <v>0.96148583663728326</v>
      </c>
      <c r="H296" s="414" t="b">
        <f>Wh_hp&gt;='2021'!Maxi_hp</f>
        <v>1</v>
      </c>
      <c r="I296" s="380">
        <f>IF(H296,Wh_hp,'2021'!Maxi_hp)</f>
        <v>40.235517573950581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3.4099106906860355E-2</v>
      </c>
      <c r="M296" s="845"/>
      <c r="N296" s="845"/>
      <c r="O296" s="48">
        <f>IF(t&lt;Tnet,'2021'!Resal+('2021'!Salim-'2021'!Resal)*(1-EXP(('2021'!Tnet-t)/('2021'!Tau_j))),Resal+(Salim-Resal)*(1-EXP((Tnet-t)/(Tau_j))))*Salcycl</f>
        <v>4.7589074828134723E-2</v>
      </c>
      <c r="P296" s="339">
        <f>(INDEX(Models!$BJ296:$BT296,,T296)*(1-R296)+INDEX(Models!$BJ296:$BT296,,T296+1)*R296-ERP_i)*Q296*Ramure*Pc/MaxiM</f>
        <v>3.1571722953362456E-4</v>
      </c>
      <c r="Q296" s="305">
        <f t="shared" si="105"/>
        <v>0.5</v>
      </c>
      <c r="R296" s="177">
        <f t="shared" si="106"/>
        <v>0.49410993916109058</v>
      </c>
      <c r="S296" s="811">
        <f t="shared" si="107"/>
        <v>0</v>
      </c>
      <c r="T296" s="176">
        <f t="shared" si="108"/>
        <v>6</v>
      </c>
      <c r="U296" s="251">
        <f t="shared" si="109"/>
        <v>0.49410993916109058</v>
      </c>
      <c r="V296" s="383">
        <f t="shared" si="110"/>
        <v>38.484557862382346</v>
      </c>
      <c r="W296" s="402">
        <f t="shared" si="111"/>
        <v>0</v>
      </c>
      <c r="X296" s="157">
        <f t="shared" si="112"/>
        <v>44843</v>
      </c>
      <c r="Y296" s="385">
        <f t="shared" si="113"/>
        <v>35.731201632775495</v>
      </c>
      <c r="Z296" s="385">
        <f t="shared" si="114"/>
        <v>36.992616828784747</v>
      </c>
      <c r="AA296" s="386">
        <f t="shared" si="115"/>
        <v>40.223513149320802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8.0323573640673065E-2</v>
      </c>
      <c r="AD296" s="231">
        <f>(INDEX(Models!$BJ296:$BT296,,AH296)*(1-AF296)+INDEX(Models!$BJ296:$BT296,,AH296+1)*AF296-ERP_i)*AE296*Ramure*Pc/MaxiM</f>
        <v>3.1571722953362456E-4</v>
      </c>
      <c r="AE296" s="305">
        <f t="shared" si="117"/>
        <v>0.5</v>
      </c>
      <c r="AF296" s="177">
        <f t="shared" si="118"/>
        <v>0.49410993916109058</v>
      </c>
      <c r="AG296" s="811">
        <f t="shared" si="124"/>
        <v>0</v>
      </c>
      <c r="AH296" s="176">
        <f t="shared" si="119"/>
        <v>6</v>
      </c>
      <c r="AI296" s="225">
        <f t="shared" si="120"/>
        <v>0.49410993916109058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44844</v>
      </c>
      <c r="B297" s="1140">
        <v>30.497</v>
      </c>
      <c r="C297" s="841"/>
      <c r="D297" s="393">
        <f t="shared" si="102"/>
        <v>31.574324234792979</v>
      </c>
      <c r="E297" s="385">
        <f t="shared" ref="E297:E360" si="125">Wh_pvt/(1-Psa)</f>
        <v>33.153625528459074</v>
      </c>
      <c r="F297" s="385">
        <f t="shared" si="103"/>
        <v>33.161350482065217</v>
      </c>
      <c r="G297" s="110">
        <f t="shared" ref="G297:G360" si="126">+Wh_hp/MaxiM</f>
        <v>0.79873077233234702</v>
      </c>
      <c r="H297" s="414" t="b">
        <f>Wh_hp&gt;='2021'!Maxi_hp</f>
        <v>1</v>
      </c>
      <c r="I297" s="380">
        <f>IF(H297,Wh_hp,'2021'!Maxi_hp)</f>
        <v>33.161350482065217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3.4120262615338404E-2</v>
      </c>
      <c r="M297" s="845"/>
      <c r="N297" s="845"/>
      <c r="O297" s="48">
        <f>IF(t&lt;Tnet,'2021'!Resal+('2021'!Salim-'2021'!Resal)*(1-EXP(('2021'!Tnet-t)/('2021'!Tau_j))),Resal+(Salim-Resal)*(1-EXP((Tnet-t)/(Tau_j))))*Salcycl</f>
        <v>4.7635854857274194E-2</v>
      </c>
      <c r="P297" s="339">
        <f>(INDEX(Models!$BJ297:$BT297,,T297)*(1-R297)+INDEX(Models!$BJ297:$BT297,,T297+1)*R297-ERP_i)*Q297*Ramure*Pc/MaxiM</f>
        <v>3.2691148323562251E-4</v>
      </c>
      <c r="Q297" s="305">
        <f t="shared" si="105"/>
        <v>0.5</v>
      </c>
      <c r="R297" s="177">
        <f t="shared" si="106"/>
        <v>0.49424771561968167</v>
      </c>
      <c r="S297" s="811">
        <f t="shared" si="107"/>
        <v>0</v>
      </c>
      <c r="T297" s="176">
        <f t="shared" si="108"/>
        <v>6</v>
      </c>
      <c r="U297" s="251">
        <f t="shared" si="109"/>
        <v>0.49424771561968167</v>
      </c>
      <c r="V297" s="383">
        <f t="shared" si="110"/>
        <v>38.178238351282928</v>
      </c>
      <c r="W297" s="402">
        <f t="shared" si="111"/>
        <v>0</v>
      </c>
      <c r="X297" s="157">
        <f t="shared" si="112"/>
        <v>44844</v>
      </c>
      <c r="Y297" s="385">
        <f t="shared" si="113"/>
        <v>29.450234754675904</v>
      </c>
      <c r="Z297" s="385">
        <f t="shared" si="114"/>
        <v>30.49058139931488</v>
      </c>
      <c r="AA297" s="386">
        <f t="shared" si="115"/>
        <v>33.153625528459074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8.032437136801937E-2</v>
      </c>
      <c r="AD297" s="231">
        <f>(INDEX(Models!$BJ297:$BT297,,AH297)*(1-AF297)+INDEX(Models!$BJ297:$BT297,,AH297+1)*AF297-ERP_i)*AE297*Ramure*Pc/MaxiM</f>
        <v>3.2691148323562251E-4</v>
      </c>
      <c r="AE297" s="305">
        <f t="shared" si="117"/>
        <v>0.5</v>
      </c>
      <c r="AF297" s="177">
        <f t="shared" si="118"/>
        <v>0.49424771561968167</v>
      </c>
      <c r="AG297" s="811">
        <f t="shared" si="124"/>
        <v>0</v>
      </c>
      <c r="AH297" s="176">
        <f t="shared" si="119"/>
        <v>6</v>
      </c>
      <c r="AI297" s="225">
        <f t="shared" si="120"/>
        <v>0.49424771561968167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44845</v>
      </c>
      <c r="B298" s="1140">
        <v>22.177</v>
      </c>
      <c r="C298" s="841"/>
      <c r="D298" s="393">
        <f t="shared" si="102"/>
        <v>22.960918306357041</v>
      </c>
      <c r="E298" s="385">
        <f t="shared" si="125"/>
        <v>24.110553672515106</v>
      </c>
      <c r="F298" s="385">
        <f t="shared" si="103"/>
        <v>24.113851669568909</v>
      </c>
      <c r="G298" s="110">
        <f t="shared" si="126"/>
        <v>0.58545980817864396</v>
      </c>
      <c r="H298" s="414" t="b">
        <f>Wh_hp&gt;='2021'!Maxi_hp</f>
        <v>0</v>
      </c>
      <c r="I298" s="380">
        <f>IF(H298,Wh_hp,'2021'!Maxi_hp)</f>
        <v>42.375150802238252</v>
      </c>
      <c r="J298" s="85">
        <f>IF(H298,An,'2021'!An_max)</f>
        <v>2019</v>
      </c>
      <c r="K298" s="197">
        <f t="shared" si="104"/>
        <v>44845</v>
      </c>
      <c r="L298" s="147">
        <f>IF(t&lt;Tvie,1-EXP((T0-t)*PertePVj)+'2021'!Pspv,1-EXP((T0-t)*PertePVj)+Pspv)</f>
        <v>3.4141417860452106E-2</v>
      </c>
      <c r="M298" s="845"/>
      <c r="N298" s="845"/>
      <c r="O298" s="48">
        <f>IF(t&lt;Tnet,'2021'!Resal+('2021'!Salim-'2021'!Resal)*(1-EXP(('2021'!Tnet-t)/('2021'!Tau_j))),Resal+(Salim-Resal)*(1-EXP((Tnet-t)/(Tau_j))))*Salcycl</f>
        <v>4.7681831855590946E-2</v>
      </c>
      <c r="P298" s="339">
        <f>(INDEX(Models!$BJ298:$BT298,,T298)*(1-R298)+INDEX(Models!$BJ298:$BT298,,T298+1)*R298-ERP_i)*Q298*Ramure*Pc/MaxiM</f>
        <v>3.3524317201404118E-4</v>
      </c>
      <c r="Q298" s="305">
        <f t="shared" si="105"/>
        <v>0.5</v>
      </c>
      <c r="R298" s="177">
        <f t="shared" si="106"/>
        <v>0.49438001659304798</v>
      </c>
      <c r="S298" s="811">
        <f t="shared" si="107"/>
        <v>0</v>
      </c>
      <c r="T298" s="176">
        <f t="shared" si="108"/>
        <v>6</v>
      </c>
      <c r="U298" s="251">
        <f t="shared" si="109"/>
        <v>0.49438001659304798</v>
      </c>
      <c r="V298" s="383">
        <f t="shared" si="110"/>
        <v>37.872109235471825</v>
      </c>
      <c r="W298" s="402">
        <f t="shared" si="111"/>
        <v>0</v>
      </c>
      <c r="X298" s="157">
        <f t="shared" si="112"/>
        <v>44845</v>
      </c>
      <c r="Y298" s="385">
        <f t="shared" si="113"/>
        <v>21.416850090886626</v>
      </c>
      <c r="Z298" s="385">
        <f t="shared" si="114"/>
        <v>22.17389842252528</v>
      </c>
      <c r="AA298" s="386">
        <f t="shared" si="115"/>
        <v>24.110553672515106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8.0323964198197623E-2</v>
      </c>
      <c r="AD298" s="231">
        <f>(INDEX(Models!$BJ298:$BT298,,AH298)*(1-AF298)+INDEX(Models!$BJ298:$BT298,,AH298+1)*AF298-ERP_i)*AE298*Ramure*Pc/MaxiM</f>
        <v>3.3524317201404118E-4</v>
      </c>
      <c r="AE298" s="305">
        <f t="shared" si="117"/>
        <v>0.5</v>
      </c>
      <c r="AF298" s="177">
        <f t="shared" si="118"/>
        <v>0.49438001659304798</v>
      </c>
      <c r="AG298" s="811">
        <f t="shared" si="124"/>
        <v>0</v>
      </c>
      <c r="AH298" s="176">
        <f t="shared" si="119"/>
        <v>6</v>
      </c>
      <c r="AI298" s="225">
        <f t="shared" si="120"/>
        <v>0.49438001659304798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44846</v>
      </c>
      <c r="B299" s="1140">
        <v>27.699000000000002</v>
      </c>
      <c r="C299" s="841"/>
      <c r="D299" s="393">
        <f t="shared" si="102"/>
        <v>28.67873952221473</v>
      </c>
      <c r="E299" s="385">
        <f t="shared" si="125"/>
        <v>30.116090443173395</v>
      </c>
      <c r="F299" s="385">
        <f t="shared" si="103"/>
        <v>30.122501845056238</v>
      </c>
      <c r="G299" s="110">
        <f t="shared" si="126"/>
        <v>0.73724469783273894</v>
      </c>
      <c r="H299" s="414" t="b">
        <f>Wh_hp&gt;='2021'!Maxi_hp</f>
        <v>0</v>
      </c>
      <c r="I299" s="380">
        <f>IF(H299,Wh_hp,'2021'!Maxi_hp)</f>
        <v>39.768274465309958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3.4162572642211675E-2</v>
      </c>
      <c r="M299" s="845"/>
      <c r="N299" s="845"/>
      <c r="O299" s="48">
        <f>IF(t&lt;Tnet,'2021'!Resal+('2021'!Salim-'2021'!Resal)*(1-EXP(('2021'!Tnet-t)/('2021'!Tau_j))),Resal+(Salim-Resal)*(1-EXP((Tnet-t)/(Tau_j))))*Salcycl</f>
        <v>4.7727009044245886E-2</v>
      </c>
      <c r="P299" s="339">
        <f>(INDEX(Models!$BJ299:$BT299,,T299)*(1-R299)+INDEX(Models!$BJ299:$BT299,,T299+1)*R299-ERP_i)*Q299*Ramure*Pc/MaxiM</f>
        <v>3.4067621982924909E-4</v>
      </c>
      <c r="Q299" s="305">
        <f t="shared" si="105"/>
        <v>0.5</v>
      </c>
      <c r="R299" s="177">
        <f t="shared" si="106"/>
        <v>0.49450705692794944</v>
      </c>
      <c r="S299" s="811">
        <f t="shared" si="107"/>
        <v>0</v>
      </c>
      <c r="T299" s="176">
        <f t="shared" si="108"/>
        <v>6</v>
      </c>
      <c r="U299" s="251">
        <f t="shared" si="109"/>
        <v>0.49450705692794944</v>
      </c>
      <c r="V299" s="383">
        <f t="shared" si="110"/>
        <v>37.566168343297676</v>
      </c>
      <c r="W299" s="402">
        <f t="shared" si="111"/>
        <v>0</v>
      </c>
      <c r="X299" s="157">
        <f t="shared" si="112"/>
        <v>44846</v>
      </c>
      <c r="Y299" s="385">
        <f t="shared" si="113"/>
        <v>26.750890946377798</v>
      </c>
      <c r="Z299" s="385">
        <f t="shared" si="114"/>
        <v>27.697094965101307</v>
      </c>
      <c r="AA299" s="386">
        <f t="shared" si="115"/>
        <v>30.116090443173395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8.0322360654233496E-2</v>
      </c>
      <c r="AD299" s="231">
        <f>(INDEX(Models!$BJ299:$BT299,,AH299)*(1-AF299)+INDEX(Models!$BJ299:$BT299,,AH299+1)*AF299-ERP_i)*AE299*Ramure*Pc/MaxiM</f>
        <v>3.4067621982924909E-4</v>
      </c>
      <c r="AE299" s="305">
        <f t="shared" si="117"/>
        <v>0.5</v>
      </c>
      <c r="AF299" s="177">
        <f t="shared" si="118"/>
        <v>0.49450705692794944</v>
      </c>
      <c r="AG299" s="811">
        <f t="shared" si="124"/>
        <v>0</v>
      </c>
      <c r="AH299" s="176">
        <f t="shared" si="119"/>
        <v>6</v>
      </c>
      <c r="AI299" s="225">
        <f t="shared" si="120"/>
        <v>0.49450705692794944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44847</v>
      </c>
      <c r="B300" s="1140">
        <v>22.859000000000002</v>
      </c>
      <c r="C300" s="841"/>
      <c r="D300" s="393">
        <f t="shared" si="102"/>
        <v>23.668062589237532</v>
      </c>
      <c r="E300" s="385">
        <f t="shared" si="125"/>
        <v>24.85544163397223</v>
      </c>
      <c r="F300" s="385">
        <f t="shared" si="103"/>
        <v>24.859262262618333</v>
      </c>
      <c r="G300" s="110">
        <f t="shared" si="126"/>
        <v>0.61337666025259385</v>
      </c>
      <c r="H300" s="414" t="b">
        <f>Wh_hp&gt;='2021'!Maxi_hp</f>
        <v>0</v>
      </c>
      <c r="I300" s="380">
        <f>IF(H300,Wh_hp,'2021'!Maxi_hp)</f>
        <v>39.855056795061437</v>
      </c>
      <c r="J300" s="85">
        <f>IF(H300,An,'2021'!An_max)</f>
        <v>2019</v>
      </c>
      <c r="K300" s="197">
        <f t="shared" si="104"/>
        <v>44847</v>
      </c>
      <c r="L300" s="147">
        <f>IF(t&lt;Tvie,1-EXP((T0-t)*PertePVj)+'2021'!Pspv,1-EXP((T0-t)*PertePVj)+Pspv)</f>
        <v>3.4183726960627214E-2</v>
      </c>
      <c r="M300" s="845"/>
      <c r="N300" s="845"/>
      <c r="O300" s="48">
        <f>IF(t&lt;Tnet,'2021'!Resal+('2021'!Salim-'2021'!Resal)*(1-EXP(('2021'!Tnet-t)/('2021'!Tau_j))),Resal+(Salim-Resal)*(1-EXP((Tnet-t)/(Tau_j))))*Salcycl</f>
        <v>4.7771391963995408E-2</v>
      </c>
      <c r="P300" s="339">
        <f>(INDEX(Models!$BJ300:$BT300,,T300)*(1-R300)+INDEX(Models!$BJ300:$BT300,,T300+1)*R300-ERP_i)*Q300*Ramure*Pc/MaxiM</f>
        <v>3.4317598255393815E-4</v>
      </c>
      <c r="Q300" s="305">
        <f t="shared" si="105"/>
        <v>0.5</v>
      </c>
      <c r="R300" s="177">
        <f t="shared" si="106"/>
        <v>0.49462904325754359</v>
      </c>
      <c r="S300" s="811">
        <f t="shared" si="107"/>
        <v>0</v>
      </c>
      <c r="T300" s="176">
        <f t="shared" si="108"/>
        <v>6</v>
      </c>
      <c r="U300" s="251">
        <f t="shared" si="109"/>
        <v>0.49462904325754359</v>
      </c>
      <c r="V300" s="383">
        <f t="shared" si="110"/>
        <v>37.260413320329121</v>
      </c>
      <c r="W300" s="402">
        <f t="shared" si="111"/>
        <v>0</v>
      </c>
      <c r="X300" s="157">
        <f t="shared" si="112"/>
        <v>44847</v>
      </c>
      <c r="Y300" s="385">
        <f t="shared" si="113"/>
        <v>22.077655198303642</v>
      </c>
      <c r="Z300" s="385">
        <f t="shared" si="114"/>
        <v>22.859063172363442</v>
      </c>
      <c r="AA300" s="386">
        <f t="shared" si="115"/>
        <v>24.85544163397223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8.0319573114329842E-2</v>
      </c>
      <c r="AD300" s="231">
        <f>(INDEX(Models!$BJ300:$BT300,,AH300)*(1-AF300)+INDEX(Models!$BJ300:$BT300,,AH300+1)*AF300-ERP_i)*AE300*Ramure*Pc/MaxiM</f>
        <v>3.4317598255393815E-4</v>
      </c>
      <c r="AE300" s="305">
        <f t="shared" si="117"/>
        <v>0.5</v>
      </c>
      <c r="AF300" s="177">
        <f t="shared" si="118"/>
        <v>0.49462904325754359</v>
      </c>
      <c r="AG300" s="811">
        <f t="shared" si="124"/>
        <v>0</v>
      </c>
      <c r="AH300" s="176">
        <f t="shared" si="119"/>
        <v>6</v>
      </c>
      <c r="AI300" s="225">
        <f t="shared" si="120"/>
        <v>0.49462904325754359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44848</v>
      </c>
      <c r="B301" s="1140">
        <v>19.402999999999999</v>
      </c>
      <c r="C301" s="841"/>
      <c r="D301" s="393">
        <f t="shared" si="102"/>
        <v>20.090182290823481</v>
      </c>
      <c r="E301" s="385">
        <f t="shared" si="125"/>
        <v>21.099032277709739</v>
      </c>
      <c r="F301" s="385">
        <f t="shared" si="103"/>
        <v>21.101357208220509</v>
      </c>
      <c r="G301" s="110">
        <f t="shared" si="126"/>
        <v>0.52492411996481725</v>
      </c>
      <c r="H301" s="414" t="b">
        <f>Wh_hp&gt;='2021'!Maxi_hp</f>
        <v>0</v>
      </c>
      <c r="I301" s="380">
        <f>IF(H301,Wh_hp,'2021'!Maxi_hp)</f>
        <v>41.909965007378638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3.4204880815708938E-2</v>
      </c>
      <c r="M301" s="845"/>
      <c r="N301" s="845"/>
      <c r="O301" s="48">
        <f>IF(t&lt;Tnet,'2021'!Resal+('2021'!Salim-'2021'!Resal)*(1-EXP(('2021'!Tnet-t)/('2021'!Tau_j))),Resal+(Salim-Resal)*(1-EXP((Tnet-t)/(Tau_j))))*Salcycl</f>
        <v>4.7814988555283849E-2</v>
      </c>
      <c r="P301" s="339">
        <f>(INDEX(Models!$BJ301:$BT301,,T301)*(1-R301)+INDEX(Models!$BJ301:$BT301,,T301+1)*R301-ERP_i)*Q301*Ramure*Pc/MaxiM</f>
        <v>3.4270930802461999E-4</v>
      </c>
      <c r="Q301" s="305">
        <f t="shared" si="105"/>
        <v>0.5</v>
      </c>
      <c r="R301" s="177">
        <f t="shared" si="106"/>
        <v>0.4947461742983244</v>
      </c>
      <c r="S301" s="811">
        <f t="shared" si="107"/>
        <v>0</v>
      </c>
      <c r="T301" s="176">
        <f t="shared" si="108"/>
        <v>6</v>
      </c>
      <c r="U301" s="251">
        <f t="shared" si="109"/>
        <v>0.4947461742983244</v>
      </c>
      <c r="V301" s="383">
        <f t="shared" si="110"/>
        <v>36.95484162991265</v>
      </c>
      <c r="W301" s="402">
        <f t="shared" si="111"/>
        <v>0</v>
      </c>
      <c r="X301" s="157">
        <f t="shared" si="112"/>
        <v>44848</v>
      </c>
      <c r="Y301" s="385">
        <f t="shared" si="113"/>
        <v>18.740723547271909</v>
      </c>
      <c r="Z301" s="385">
        <f t="shared" si="114"/>
        <v>19.404450462640867</v>
      </c>
      <c r="AA301" s="386">
        <f t="shared" si="115"/>
        <v>21.099032277709739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8.0315617928085184E-2</v>
      </c>
      <c r="AD301" s="231">
        <f>(INDEX(Models!$BJ301:$BT301,,AH301)*(1-AF301)+INDEX(Models!$BJ301:$BT301,,AH301+1)*AF301-ERP_i)*AE301*Ramure*Pc/MaxiM</f>
        <v>3.4270930802461999E-4</v>
      </c>
      <c r="AE301" s="305">
        <f t="shared" si="117"/>
        <v>0.5</v>
      </c>
      <c r="AF301" s="177">
        <f t="shared" si="118"/>
        <v>0.4947461742983244</v>
      </c>
      <c r="AG301" s="811">
        <f t="shared" si="124"/>
        <v>0</v>
      </c>
      <c r="AH301" s="176">
        <f t="shared" si="119"/>
        <v>6</v>
      </c>
      <c r="AI301" s="225">
        <f t="shared" si="120"/>
        <v>0.4947461742983244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44849</v>
      </c>
      <c r="B302" s="1140">
        <v>35.932000000000002</v>
      </c>
      <c r="C302" s="841"/>
      <c r="D302" s="393">
        <f t="shared" si="102"/>
        <v>37.205393055416955</v>
      </c>
      <c r="E302" s="385">
        <f t="shared" si="125"/>
        <v>39.075458913526894</v>
      </c>
      <c r="F302" s="385">
        <f t="shared" si="103"/>
        <v>39.088348583693467</v>
      </c>
      <c r="G302" s="110">
        <f t="shared" si="126"/>
        <v>0.98041467056513154</v>
      </c>
      <c r="H302" s="414" t="b">
        <f>Wh_hp&gt;='2021'!Maxi_hp</f>
        <v>1</v>
      </c>
      <c r="I302" s="380">
        <f>IF(H302,Wh_hp,'2021'!Maxi_hp)</f>
        <v>39.088348583693467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3.4226034207466949E-2</v>
      </c>
      <c r="M302" s="845"/>
      <c r="N302" s="845"/>
      <c r="O302" s="48">
        <f>IF(t&lt;Tnet,'2021'!Resal+('2021'!Salim-'2021'!Resal)*(1-EXP(('2021'!Tnet-t)/('2021'!Tau_j))),Resal+(Salim-Resal)*(1-EXP((Tnet-t)/(Tau_j))))*Salcycl</f>
        <v>4.7857809226203918E-2</v>
      </c>
      <c r="P302" s="339">
        <f>(INDEX(Models!$BJ302:$BT302,,T302)*(1-R302)+INDEX(Models!$BJ302:$BT302,,T302+1)*R302-ERP_i)*Q302*Ramure*Pc/MaxiM</f>
        <v>3.3924457695798111E-4</v>
      </c>
      <c r="Q302" s="305">
        <f t="shared" si="105"/>
        <v>0.5</v>
      </c>
      <c r="R302" s="177">
        <f t="shared" si="106"/>
        <v>0.4948586411376904</v>
      </c>
      <c r="S302" s="811">
        <f t="shared" si="107"/>
        <v>0</v>
      </c>
      <c r="T302" s="176">
        <f t="shared" si="108"/>
        <v>6</v>
      </c>
      <c r="U302" s="251">
        <f t="shared" si="109"/>
        <v>0.4948586411376904</v>
      </c>
      <c r="V302" s="383">
        <f t="shared" si="110"/>
        <v>36.649450555169167</v>
      </c>
      <c r="W302" s="402">
        <f t="shared" si="111"/>
        <v>0</v>
      </c>
      <c r="X302" s="157">
        <f t="shared" si="112"/>
        <v>44849</v>
      </c>
      <c r="Y302" s="385">
        <f t="shared" si="113"/>
        <v>34.707297793173069</v>
      </c>
      <c r="Z302" s="385">
        <f t="shared" si="114"/>
        <v>35.937288664321763</v>
      </c>
      <c r="AA302" s="386">
        <f t="shared" si="115"/>
        <v>39.075458913526894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8.0310515511790484E-2</v>
      </c>
      <c r="AD302" s="231">
        <f>(INDEX(Models!$BJ302:$BT302,,AH302)*(1-AF302)+INDEX(Models!$BJ302:$BT302,,AH302+1)*AF302-ERP_i)*AE302*Ramure*Pc/MaxiM</f>
        <v>3.3924457695798111E-4</v>
      </c>
      <c r="AE302" s="305">
        <f t="shared" si="117"/>
        <v>0.5</v>
      </c>
      <c r="AF302" s="177">
        <f t="shared" si="118"/>
        <v>0.4948586411376904</v>
      </c>
      <c r="AG302" s="811">
        <f t="shared" si="124"/>
        <v>0</v>
      </c>
      <c r="AH302" s="176">
        <f t="shared" si="119"/>
        <v>6</v>
      </c>
      <c r="AI302" s="225">
        <f t="shared" si="120"/>
        <v>0.4948586411376904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44850</v>
      </c>
      <c r="B303" s="1140">
        <v>32.270000000000003</v>
      </c>
      <c r="C303" s="841"/>
      <c r="D303" s="393">
        <f t="shared" si="102"/>
        <v>33.414347408731167</v>
      </c>
      <c r="E303" s="385">
        <f t="shared" si="125"/>
        <v>35.095413021521843</v>
      </c>
      <c r="F303" s="385">
        <f t="shared" si="103"/>
        <v>35.105224222334066</v>
      </c>
      <c r="G303" s="110">
        <f t="shared" si="126"/>
        <v>0.88787225407369674</v>
      </c>
      <c r="H303" s="414" t="b">
        <f>Wh_hp&gt;='2021'!Maxi_hp</f>
        <v>0</v>
      </c>
      <c r="I303" s="380">
        <f>IF(H303,Wh_hp,'2021'!Maxi_hp)</f>
        <v>38.517225515333379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3.4247187135911239E-2</v>
      </c>
      <c r="M303" s="845"/>
      <c r="N303" s="845"/>
      <c r="O303" s="48">
        <f>IF(t&lt;Tnet,'2021'!Resal+('2021'!Salim-'2021'!Resal)*(1-EXP(('2021'!Tnet-t)/('2021'!Tau_j))),Resal+(Salim-Resal)*(1-EXP((Tnet-t)/(Tau_j))))*Salcycl</f>
        <v>4.7899866907387179E-2</v>
      </c>
      <c r="P303" s="339">
        <f>(INDEX(Models!$BJ303:$BT303,,T303)*(1-R303)+INDEX(Models!$BJ303:$BT303,,T303+1)*R303-ERP_i)*Q303*Ramure*Pc/MaxiM</f>
        <v>3.3275955341252893E-4</v>
      </c>
      <c r="Q303" s="305">
        <f t="shared" si="105"/>
        <v>0.5</v>
      </c>
      <c r="R303" s="177">
        <f t="shared" si="106"/>
        <v>0.4949666275123234</v>
      </c>
      <c r="S303" s="811">
        <f t="shared" si="107"/>
        <v>0</v>
      </c>
      <c r="T303" s="176">
        <f t="shared" si="108"/>
        <v>6</v>
      </c>
      <c r="U303" s="251">
        <f t="shared" si="109"/>
        <v>0.4949666275123234</v>
      </c>
      <c r="V303" s="383">
        <f t="shared" si="110"/>
        <v>36.343381644642363</v>
      </c>
      <c r="W303" s="402">
        <f t="shared" si="111"/>
        <v>0</v>
      </c>
      <c r="X303" s="157">
        <f t="shared" si="112"/>
        <v>44850</v>
      </c>
      <c r="Y303" s="385">
        <f t="shared" si="113"/>
        <v>31.171700871105049</v>
      </c>
      <c r="Z303" s="385">
        <f t="shared" si="114"/>
        <v>32.277100781783453</v>
      </c>
      <c r="AA303" s="386">
        <f t="shared" si="115"/>
        <v>35.095413021521843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8.0304290421374783E-2</v>
      </c>
      <c r="AD303" s="231">
        <f>(INDEX(Models!$BJ303:$BT303,,AH303)*(1-AF303)+INDEX(Models!$BJ303:$BT303,,AH303+1)*AF303-ERP_i)*AE303*Ramure*Pc/MaxiM</f>
        <v>3.3275955341252893E-4</v>
      </c>
      <c r="AE303" s="305">
        <f t="shared" si="117"/>
        <v>0.5</v>
      </c>
      <c r="AF303" s="177">
        <f t="shared" si="118"/>
        <v>0.4949666275123234</v>
      </c>
      <c r="AG303" s="811">
        <f t="shared" si="124"/>
        <v>0</v>
      </c>
      <c r="AH303" s="176">
        <f t="shared" si="119"/>
        <v>6</v>
      </c>
      <c r="AI303" s="225">
        <f t="shared" si="120"/>
        <v>0.4949666275123234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44851</v>
      </c>
      <c r="B304" s="1140">
        <v>19.582000000000001</v>
      </c>
      <c r="C304" s="841"/>
      <c r="D304" s="393">
        <f t="shared" si="102"/>
        <v>20.276854123132502</v>
      </c>
      <c r="E304" s="385">
        <f t="shared" si="125"/>
        <v>21.297900544862298</v>
      </c>
      <c r="F304" s="385">
        <f t="shared" si="103"/>
        <v>21.300299659542329</v>
      </c>
      <c r="G304" s="110">
        <f t="shared" si="126"/>
        <v>0.54328599255513932</v>
      </c>
      <c r="H304" s="414" t="b">
        <f>Wh_hp&gt;='2021'!Maxi_hp</f>
        <v>0</v>
      </c>
      <c r="I304" s="380">
        <f>IF(H304,Wh_hp,'2021'!Maxi_hp)</f>
        <v>36.170374756257267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3.4268339601052245E-2</v>
      </c>
      <c r="M304" s="845"/>
      <c r="N304" s="845"/>
      <c r="O304" s="48">
        <f>IF(t&lt;Tnet,'2021'!Resal+('2021'!Salim-'2021'!Resal)*(1-EXP(('2021'!Tnet-t)/('2021'!Tau_j))),Resal+(Salim-Resal)*(1-EXP((Tnet-t)/(Tau_j))))*Salcycl</f>
        <v>4.7941177092974248E-2</v>
      </c>
      <c r="P304" s="339">
        <f>(INDEX(Models!$BJ304:$BT304,,T304)*(1-R304)+INDEX(Models!$BJ304:$BT304,,T304+1)*R304-ERP_i)*Q304*Ramure*Pc/MaxiM</f>
        <v>3.2392263529407698E-4</v>
      </c>
      <c r="Q304" s="305">
        <f t="shared" si="105"/>
        <v>0.5</v>
      </c>
      <c r="R304" s="177">
        <f t="shared" si="106"/>
        <v>0.49507031007756824</v>
      </c>
      <c r="S304" s="811">
        <f t="shared" si="107"/>
        <v>0</v>
      </c>
      <c r="T304" s="176">
        <f t="shared" si="108"/>
        <v>6</v>
      </c>
      <c r="U304" s="251">
        <f t="shared" si="109"/>
        <v>0.49507031007756824</v>
      </c>
      <c r="V304" s="383">
        <f t="shared" si="110"/>
        <v>36.03601478183483</v>
      </c>
      <c r="W304" s="402">
        <f t="shared" si="111"/>
        <v>0</v>
      </c>
      <c r="X304" s="157">
        <f t="shared" si="112"/>
        <v>44851</v>
      </c>
      <c r="Y304" s="385">
        <f t="shared" si="113"/>
        <v>18.916504183029989</v>
      </c>
      <c r="Z304" s="385">
        <f t="shared" si="114"/>
        <v>19.58774363389464</v>
      </c>
      <c r="AA304" s="386">
        <f t="shared" si="115"/>
        <v>21.297900544862298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8.0296971401728159E-2</v>
      </c>
      <c r="AD304" s="231">
        <f>(INDEX(Models!$BJ304:$BT304,,AH304)*(1-AF304)+INDEX(Models!$BJ304:$BT304,,AH304+1)*AF304-ERP_i)*AE304*Ramure*Pc/MaxiM</f>
        <v>3.2392263529407698E-4</v>
      </c>
      <c r="AE304" s="305">
        <f t="shared" si="117"/>
        <v>0.5</v>
      </c>
      <c r="AF304" s="177">
        <f t="shared" si="118"/>
        <v>0.49507031007756824</v>
      </c>
      <c r="AG304" s="811">
        <f t="shared" si="124"/>
        <v>0</v>
      </c>
      <c r="AH304" s="176">
        <f t="shared" si="119"/>
        <v>6</v>
      </c>
      <c r="AI304" s="225">
        <f t="shared" si="120"/>
        <v>0.49507031007756824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44852</v>
      </c>
      <c r="B305" s="1140">
        <v>33.24</v>
      </c>
      <c r="C305" s="841"/>
      <c r="D305" s="393">
        <f t="shared" si="102"/>
        <v>34.420252975368598</v>
      </c>
      <c r="E305" s="385">
        <f t="shared" si="125"/>
        <v>36.155035115972908</v>
      </c>
      <c r="F305" s="385">
        <f t="shared" si="103"/>
        <v>36.165280129397729</v>
      </c>
      <c r="G305" s="110">
        <f t="shared" si="126"/>
        <v>0.93034206855024171</v>
      </c>
      <c r="H305" s="414" t="b">
        <f>Wh_hp&gt;='2021'!Maxi_hp</f>
        <v>0</v>
      </c>
      <c r="I305" s="380">
        <f>IF(H305,Wh_hp,'2021'!Maxi_hp)</f>
        <v>37.794322636082605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3.4289491602899957E-2</v>
      </c>
      <c r="M305" s="845"/>
      <c r="N305" s="845"/>
      <c r="O305" s="48">
        <f>IF(t&lt;Tnet,'2021'!Resal+('2021'!Salim-'2021'!Resal)*(1-EXP(('2021'!Tnet-t)/('2021'!Tau_j))),Resal+(Salim-Resal)*(1-EXP((Tnet-t)/(Tau_j))))*Salcycl</f>
        <v>4.7981757866911875E-2</v>
      </c>
      <c r="P305" s="339">
        <f>(INDEX(Models!$BJ305:$BT305,,T305)*(1-R305)+INDEX(Models!$BJ305:$BT305,,T305+1)*R305-ERP_i)*Q305*Ramure*Pc/MaxiM</f>
        <v>3.1457368013510629E-4</v>
      </c>
      <c r="Q305" s="305">
        <f t="shared" si="105"/>
        <v>0.5</v>
      </c>
      <c r="R305" s="177">
        <f t="shared" si="106"/>
        <v>0.49516985866800872</v>
      </c>
      <c r="S305" s="811">
        <f t="shared" si="107"/>
        <v>0</v>
      </c>
      <c r="T305" s="176">
        <f t="shared" si="108"/>
        <v>6</v>
      </c>
      <c r="U305" s="251">
        <f t="shared" si="109"/>
        <v>0.49516985866800872</v>
      </c>
      <c r="V305" s="383">
        <f t="shared" si="110"/>
        <v>35.727675583759421</v>
      </c>
      <c r="W305" s="402">
        <f t="shared" si="111"/>
        <v>0</v>
      </c>
      <c r="X305" s="157">
        <f t="shared" si="112"/>
        <v>44852</v>
      </c>
      <c r="Y305" s="385">
        <f t="shared" si="113"/>
        <v>32.111997300588101</v>
      </c>
      <c r="Z305" s="385">
        <f t="shared" si="114"/>
        <v>33.252198274085316</v>
      </c>
      <c r="AA305" s="386">
        <f t="shared" si="115"/>
        <v>36.155035115972908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8.0288591411301027E-2</v>
      </c>
      <c r="AD305" s="231">
        <f>(INDEX(Models!$BJ305:$BT305,,AH305)*(1-AF305)+INDEX(Models!$BJ305:$BT305,,AH305+1)*AF305-ERP_i)*AE305*Ramure*Pc/MaxiM</f>
        <v>3.1457368013510629E-4</v>
      </c>
      <c r="AE305" s="305">
        <f t="shared" si="117"/>
        <v>0.5</v>
      </c>
      <c r="AF305" s="177">
        <f t="shared" si="118"/>
        <v>0.49516985866800872</v>
      </c>
      <c r="AG305" s="811">
        <f t="shared" si="124"/>
        <v>0</v>
      </c>
      <c r="AH305" s="176">
        <f t="shared" si="119"/>
        <v>6</v>
      </c>
      <c r="AI305" s="225">
        <f t="shared" si="120"/>
        <v>0.49516985866800872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44853</v>
      </c>
      <c r="B306" s="1140">
        <v>15.311</v>
      </c>
      <c r="C306" s="841"/>
      <c r="D306" s="393">
        <f t="shared" si="102"/>
        <v>15.854995078135588</v>
      </c>
      <c r="E306" s="385">
        <f t="shared" si="125"/>
        <v>16.654784999686623</v>
      </c>
      <c r="F306" s="385">
        <f t="shared" si="103"/>
        <v>16.655744090916098</v>
      </c>
      <c r="G306" s="110">
        <f t="shared" si="126"/>
        <v>0.43217823832928803</v>
      </c>
      <c r="H306" s="414" t="b">
        <f>Wh_hp&gt;='2021'!Maxi_hp</f>
        <v>0</v>
      </c>
      <c r="I306" s="380">
        <f>IF(H306,Wh_hp,'2021'!Maxi_hp)</f>
        <v>37.715287299843339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3.4310643141464592E-2</v>
      </c>
      <c r="M306" s="845"/>
      <c r="N306" s="845"/>
      <c r="O306" s="48">
        <f>IF(t&lt;Tnet,'2021'!Resal+('2021'!Salim-'2021'!Resal)*(1-EXP(('2021'!Tnet-t)/('2021'!Tau_j))),Resal+(Salim-Resal)*(1-EXP((Tnet-t)/(Tau_j))))*Salcycl</f>
        <v>4.8021629913930663E-2</v>
      </c>
      <c r="P306" s="339">
        <f>(INDEX(Models!$BJ306:$BT306,,T306)*(1-R306)+INDEX(Models!$BJ306:$BT306,,T306+1)*R306-ERP_i)*Q306*Ramure*Pc/MaxiM</f>
        <v>3.0470745518239225E-4</v>
      </c>
      <c r="Q306" s="305">
        <f t="shared" si="105"/>
        <v>0.5</v>
      </c>
      <c r="R306" s="177">
        <f t="shared" si="106"/>
        <v>0.49526543654943883</v>
      </c>
      <c r="S306" s="811">
        <f t="shared" si="107"/>
        <v>0</v>
      </c>
      <c r="T306" s="176">
        <f t="shared" si="108"/>
        <v>6</v>
      </c>
      <c r="U306" s="251">
        <f t="shared" si="109"/>
        <v>0.49526543654943883</v>
      </c>
      <c r="V306" s="383">
        <f t="shared" si="110"/>
        <v>35.418757135906439</v>
      </c>
      <c r="W306" s="402">
        <f t="shared" si="111"/>
        <v>0</v>
      </c>
      <c r="X306" s="157">
        <f t="shared" si="112"/>
        <v>44853</v>
      </c>
      <c r="Y306" s="385">
        <f t="shared" si="113"/>
        <v>14.792190453928827</v>
      </c>
      <c r="Z306" s="385">
        <f t="shared" si="114"/>
        <v>15.317752389908286</v>
      </c>
      <c r="AA306" s="386">
        <f t="shared" si="115"/>
        <v>16.654784999686623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8.0279187621064771E-2</v>
      </c>
      <c r="AD306" s="231">
        <f>(INDEX(Models!$BJ306:$BT306,,AH306)*(1-AF306)+INDEX(Models!$BJ306:$BT306,,AH306+1)*AF306-ERP_i)*AE306*Ramure*Pc/MaxiM</f>
        <v>3.0470745518239225E-4</v>
      </c>
      <c r="AE306" s="305">
        <f t="shared" si="117"/>
        <v>0.5</v>
      </c>
      <c r="AF306" s="177">
        <f t="shared" si="118"/>
        <v>0.49526543654943883</v>
      </c>
      <c r="AG306" s="811">
        <f t="shared" si="124"/>
        <v>0</v>
      </c>
      <c r="AH306" s="176">
        <f t="shared" si="119"/>
        <v>6</v>
      </c>
      <c r="AI306" s="225">
        <f t="shared" si="120"/>
        <v>0.49526543654943883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44854</v>
      </c>
      <c r="B307" s="1140">
        <v>6.343</v>
      </c>
      <c r="C307" s="841"/>
      <c r="D307" s="393">
        <f t="shared" si="102"/>
        <v>6.568508688608274</v>
      </c>
      <c r="E307" s="385">
        <f t="shared" si="125"/>
        <v>6.9001348012160104</v>
      </c>
      <c r="F307" s="385">
        <f t="shared" si="103"/>
        <v>6.9001348012160104</v>
      </c>
      <c r="G307" s="110">
        <f t="shared" si="126"/>
        <v>0.1806093968634237</v>
      </c>
      <c r="H307" s="414" t="b">
        <f>Wh_hp&gt;='2021'!Maxi_hp</f>
        <v>0</v>
      </c>
      <c r="I307" s="380">
        <f>IF(H307,Wh_hp,'2021'!Maxi_hp)</f>
        <v>31.908942257613869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3.433179421675614E-2</v>
      </c>
      <c r="M307" s="845"/>
      <c r="N307" s="845"/>
      <c r="O307" s="48">
        <f>IF(t&lt;Tnet,'2021'!Resal+('2021'!Salim-'2021'!Resal)*(1-EXP(('2021'!Tnet-t)/('2021'!Tau_j))),Resal+(Salim-Resal)*(1-EXP((Tnet-t)/(Tau_j))))*Salcycl</f>
        <v>4.8060816514670646E-2</v>
      </c>
      <c r="P307" s="339">
        <f>(INDEX(Models!$BJ307:$BT307,,T307)*(1-R307)+INDEX(Models!$BJ307:$BT307,,T307+1)*R307-ERP_i)*Q307*Ramure*Pc/MaxiM</f>
        <v>2.9431923313637384E-4</v>
      </c>
      <c r="Q307" s="305">
        <f t="shared" si="105"/>
        <v>0.5</v>
      </c>
      <c r="R307" s="177">
        <f t="shared" si="106"/>
        <v>0.49535720066243222</v>
      </c>
      <c r="S307" s="811">
        <f t="shared" si="107"/>
        <v>0</v>
      </c>
      <c r="T307" s="176">
        <f t="shared" si="108"/>
        <v>6</v>
      </c>
      <c r="U307" s="251">
        <f t="shared" si="109"/>
        <v>0.49535720066243222</v>
      </c>
      <c r="V307" s="383">
        <f t="shared" si="110"/>
        <v>35.109652339403816</v>
      </c>
      <c r="W307" s="402">
        <f t="shared" si="111"/>
        <v>0</v>
      </c>
      <c r="X307" s="157">
        <f t="shared" si="112"/>
        <v>44854</v>
      </c>
      <c r="Y307" s="385">
        <f t="shared" si="113"/>
        <v>6.1283904413326908</v>
      </c>
      <c r="Z307" s="385">
        <f t="shared" si="114"/>
        <v>6.3462692513128918</v>
      </c>
      <c r="AA307" s="386">
        <f t="shared" si="115"/>
        <v>6.9001348012160104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8.026880138711362E-2</v>
      </c>
      <c r="AD307" s="231">
        <f>(INDEX(Models!$BJ307:$BT307,,AH307)*(1-AF307)+INDEX(Models!$BJ307:$BT307,,AH307+1)*AF307-ERP_i)*AE307*Ramure*Pc/MaxiM</f>
        <v>2.9431923313637384E-4</v>
      </c>
      <c r="AE307" s="305">
        <f t="shared" si="117"/>
        <v>0.5</v>
      </c>
      <c r="AF307" s="177">
        <f t="shared" si="118"/>
        <v>0.49535720066243222</v>
      </c>
      <c r="AG307" s="811">
        <f t="shared" si="124"/>
        <v>0</v>
      </c>
      <c r="AH307" s="176">
        <f t="shared" si="119"/>
        <v>6</v>
      </c>
      <c r="AI307" s="225">
        <f t="shared" si="120"/>
        <v>0.49535720066243222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44855</v>
      </c>
      <c r="B308" s="1140">
        <v>16.065000000000001</v>
      </c>
      <c r="C308" s="841"/>
      <c r="D308" s="393">
        <f t="shared" si="102"/>
        <v>16.636513220818117</v>
      </c>
      <c r="E308" s="385">
        <f t="shared" si="125"/>
        <v>17.477152797033586</v>
      </c>
      <c r="F308" s="385">
        <f t="shared" si="103"/>
        <v>17.478296530198254</v>
      </c>
      <c r="G308" s="110">
        <f t="shared" si="126"/>
        <v>0.46152730366747641</v>
      </c>
      <c r="H308" s="414" t="b">
        <f>Wh_hp&gt;='2021'!Maxi_hp</f>
        <v>0</v>
      </c>
      <c r="I308" s="380">
        <f>IF(H308,Wh_hp,'2021'!Maxi_hp)</f>
        <v>24.59946864863414</v>
      </c>
      <c r="J308" s="85">
        <f>IF(H308,An,'2021'!An_max)</f>
        <v>2019</v>
      </c>
      <c r="K308" s="197">
        <f t="shared" si="104"/>
        <v>44855</v>
      </c>
      <c r="L308" s="147">
        <f>IF(t&lt;Tvie,1-EXP((T0-t)*PertePVj)+'2021'!Pspv,1-EXP((T0-t)*PertePVj)+Pspv)</f>
        <v>3.4352944828784926E-2</v>
      </c>
      <c r="M308" s="845"/>
      <c r="N308" s="845"/>
      <c r="O308" s="48">
        <f>IF(t&lt;Tnet,'2021'!Resal+('2021'!Salim-'2021'!Resal)*(1-EXP(('2021'!Tnet-t)/('2021'!Tau_j))),Resal+(Salim-Resal)*(1-EXP((Tnet-t)/(Tau_j))))*Salcycl</f>
        <v>4.8099343524544327E-2</v>
      </c>
      <c r="P308" s="339">
        <f>(INDEX(Models!$BJ308:$BT308,,T308)*(1-R308)+INDEX(Models!$BJ308:$BT308,,T308+1)*R308-ERP_i)*Q308*Ramure*Pc/MaxiM</f>
        <v>2.8340482513742021E-4</v>
      </c>
      <c r="Q308" s="305">
        <f t="shared" si="105"/>
        <v>0.5</v>
      </c>
      <c r="R308" s="177">
        <f t="shared" si="106"/>
        <v>0.49544530185771751</v>
      </c>
      <c r="S308" s="811">
        <f t="shared" si="107"/>
        <v>0</v>
      </c>
      <c r="T308" s="176">
        <f t="shared" si="108"/>
        <v>6</v>
      </c>
      <c r="U308" s="251">
        <f t="shared" si="109"/>
        <v>0.49544530185771751</v>
      </c>
      <c r="V308" s="383">
        <f t="shared" si="110"/>
        <v>34.800753921825056</v>
      </c>
      <c r="W308" s="402">
        <f t="shared" si="111"/>
        <v>0</v>
      </c>
      <c r="X308" s="157">
        <f t="shared" si="112"/>
        <v>44855</v>
      </c>
      <c r="Y308" s="385">
        <f t="shared" si="113"/>
        <v>15.522274842717138</v>
      </c>
      <c r="Z308" s="385">
        <f t="shared" si="114"/>
        <v>16.074480587490577</v>
      </c>
      <c r="AA308" s="386">
        <f t="shared" si="115"/>
        <v>17.477152797033586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8.0257478196396267E-2</v>
      </c>
      <c r="AD308" s="231">
        <f>(INDEX(Models!$BJ308:$BT308,,AH308)*(1-AF308)+INDEX(Models!$BJ308:$BT308,,AH308+1)*AF308-ERP_i)*AE308*Ramure*Pc/MaxiM</f>
        <v>2.8340482513742021E-4</v>
      </c>
      <c r="AE308" s="305">
        <f t="shared" si="117"/>
        <v>0.5</v>
      </c>
      <c r="AF308" s="177">
        <f t="shared" si="118"/>
        <v>0.49544530185771751</v>
      </c>
      <c r="AG308" s="811">
        <f t="shared" si="124"/>
        <v>0</v>
      </c>
      <c r="AH308" s="176">
        <f t="shared" si="119"/>
        <v>6</v>
      </c>
      <c r="AI308" s="225">
        <f t="shared" si="120"/>
        <v>0.49544530185771751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44856</v>
      </c>
      <c r="B309" s="1140">
        <v>32.070999999999998</v>
      </c>
      <c r="C309" s="841"/>
      <c r="D309" s="393">
        <f t="shared" si="102"/>
        <v>33.212654955911461</v>
      </c>
      <c r="E309" s="385">
        <f t="shared" si="125"/>
        <v>34.892272634707169</v>
      </c>
      <c r="F309" s="385">
        <f t="shared" si="103"/>
        <v>34.900812371408961</v>
      </c>
      <c r="G309" s="110">
        <f t="shared" si="126"/>
        <v>0.92977219436662861</v>
      </c>
      <c r="H309" s="414" t="b">
        <f>Wh_hp&gt;='2021'!Maxi_hp</f>
        <v>1</v>
      </c>
      <c r="I309" s="380">
        <f>IF(H309,Wh_hp,'2021'!Maxi_hp)</f>
        <v>34.900812371408961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3.4374094977561054E-2</v>
      </c>
      <c r="M309" s="845"/>
      <c r="N309" s="845"/>
      <c r="O309" s="48">
        <f>IF(t&lt;Tnet,'2021'!Resal+('2021'!Salim-'2021'!Resal)*(1-EXP(('2021'!Tnet-t)/('2021'!Tau_j))),Resal+(Salim-Resal)*(1-EXP((Tnet-t)/(Tau_j))))*Salcycl</f>
        <v>4.8137239336052962E-2</v>
      </c>
      <c r="P309" s="339">
        <f>(INDEX(Models!$BJ309:$BT309,,T309)*(1-R309)+INDEX(Models!$BJ309:$BT309,,T309+1)*R309-ERP_i)*Q309*Ramure*Pc/MaxiM</f>
        <v>2.7196061251003474E-4</v>
      </c>
      <c r="Q309" s="305">
        <f t="shared" si="105"/>
        <v>0.5</v>
      </c>
      <c r="R309" s="177">
        <f t="shared" si="106"/>
        <v>0.49552988512356344</v>
      </c>
      <c r="S309" s="811">
        <f t="shared" si="107"/>
        <v>0</v>
      </c>
      <c r="T309" s="176">
        <f t="shared" si="108"/>
        <v>6</v>
      </c>
      <c r="U309" s="251">
        <f t="shared" si="109"/>
        <v>0.49552988512356344</v>
      </c>
      <c r="V309" s="383">
        <f t="shared" si="110"/>
        <v>34.492454445220822</v>
      </c>
      <c r="W309" s="402">
        <f t="shared" si="111"/>
        <v>0</v>
      </c>
      <c r="X309" s="157">
        <f t="shared" si="112"/>
        <v>44856</v>
      </c>
      <c r="Y309" s="385">
        <f t="shared" si="113"/>
        <v>30.989187981991609</v>
      </c>
      <c r="Z309" s="385">
        <f t="shared" si="114"/>
        <v>32.092332880476619</v>
      </c>
      <c r="AA309" s="386">
        <f t="shared" si="115"/>
        <v>34.892272634707169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8.0245267585277988E-2</v>
      </c>
      <c r="AD309" s="231">
        <f>(INDEX(Models!$BJ309:$BT309,,AH309)*(1-AF309)+INDEX(Models!$BJ309:$BT309,,AH309+1)*AF309-ERP_i)*AE309*Ramure*Pc/MaxiM</f>
        <v>2.7196061251003474E-4</v>
      </c>
      <c r="AE309" s="305">
        <f t="shared" si="117"/>
        <v>0.5</v>
      </c>
      <c r="AF309" s="177">
        <f t="shared" si="118"/>
        <v>0.49552988512356344</v>
      </c>
      <c r="AG309" s="811">
        <f t="shared" si="124"/>
        <v>0</v>
      </c>
      <c r="AH309" s="176">
        <f t="shared" si="119"/>
        <v>6</v>
      </c>
      <c r="AI309" s="225">
        <f t="shared" si="120"/>
        <v>0.49552988512356344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44857</v>
      </c>
      <c r="B310" s="1140">
        <v>16.713000000000001</v>
      </c>
      <c r="C310" s="841"/>
      <c r="D310" s="393">
        <f t="shared" si="102"/>
        <v>17.3083240400662</v>
      </c>
      <c r="E310" s="385">
        <f t="shared" si="125"/>
        <v>18.184346472462895</v>
      </c>
      <c r="F310" s="385">
        <f t="shared" si="103"/>
        <v>18.185625391865663</v>
      </c>
      <c r="G310" s="110">
        <f t="shared" si="126"/>
        <v>0.48880381764933922</v>
      </c>
      <c r="H310" s="414" t="b">
        <f>Wh_hp&gt;='2021'!Maxi_hp</f>
        <v>0</v>
      </c>
      <c r="I310" s="380">
        <f>IF(H310,Wh_hp,'2021'!Maxi_hp)</f>
        <v>37.419724893736571</v>
      </c>
      <c r="J310" s="85">
        <f>IF(H310,An,'2021'!An_max)</f>
        <v>2018</v>
      </c>
      <c r="K310" s="197">
        <f t="shared" si="104"/>
        <v>44857</v>
      </c>
      <c r="L310" s="147">
        <f>IF(t&lt;Tvie,1-EXP((T0-t)*PertePVj)+'2021'!Pspv,1-EXP((T0-t)*PertePVj)+Pspv)</f>
        <v>3.4395244663094626E-2</v>
      </c>
      <c r="M310" s="845"/>
      <c r="N310" s="845"/>
      <c r="O310" s="48">
        <f>IF(t&lt;Tnet,'2021'!Resal+('2021'!Salim-'2021'!Resal)*(1-EXP(('2021'!Tnet-t)/('2021'!Tau_j))),Resal+(Salim-Resal)*(1-EXP((Tnet-t)/(Tau_j))))*Salcycl</f>
        <v>4.81745348244043E-2</v>
      </c>
      <c r="P310" s="339">
        <f>(INDEX(Models!$BJ310:$BT310,,T310)*(1-R310)+INDEX(Models!$BJ310:$BT310,,T310+1)*R310-ERP_i)*Q310*Ramure*Pc/MaxiM</f>
        <v>2.6060830613802894E-4</v>
      </c>
      <c r="Q310" s="305">
        <f t="shared" si="105"/>
        <v>0.5</v>
      </c>
      <c r="R310" s="177">
        <f t="shared" si="106"/>
        <v>0.49561108980538521</v>
      </c>
      <c r="S310" s="811">
        <f t="shared" si="107"/>
        <v>0</v>
      </c>
      <c r="T310" s="176">
        <f t="shared" si="108"/>
        <v>6</v>
      </c>
      <c r="U310" s="251">
        <f t="shared" si="109"/>
        <v>0.49561108980538521</v>
      </c>
      <c r="V310" s="383">
        <f t="shared" si="110"/>
        <v>34.185124956378594</v>
      </c>
      <c r="W310" s="402">
        <f t="shared" si="111"/>
        <v>0</v>
      </c>
      <c r="X310" s="157">
        <f t="shared" si="112"/>
        <v>44857</v>
      </c>
      <c r="Y310" s="385">
        <f t="shared" si="113"/>
        <v>16.15010253339819</v>
      </c>
      <c r="Z310" s="385">
        <f t="shared" si="114"/>
        <v>16.72537593061389</v>
      </c>
      <c r="AA310" s="386">
        <f t="shared" si="115"/>
        <v>18.184346472462895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8.0232223030856226E-2</v>
      </c>
      <c r="AD310" s="231">
        <f>(INDEX(Models!$BJ310:$BT310,,AH310)*(1-AF310)+INDEX(Models!$BJ310:$BT310,,AH310+1)*AF310-ERP_i)*AE310*Ramure*Pc/MaxiM</f>
        <v>2.6060830613802894E-4</v>
      </c>
      <c r="AE310" s="305">
        <f t="shared" si="117"/>
        <v>0.5</v>
      </c>
      <c r="AF310" s="177">
        <f t="shared" si="118"/>
        <v>0.49561108980538521</v>
      </c>
      <c r="AG310" s="811">
        <f t="shared" si="124"/>
        <v>0</v>
      </c>
      <c r="AH310" s="176">
        <f t="shared" si="119"/>
        <v>6</v>
      </c>
      <c r="AI310" s="225">
        <f t="shared" si="120"/>
        <v>0.49561108980538521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44858</v>
      </c>
      <c r="B311" s="1140">
        <v>24.773</v>
      </c>
      <c r="C311" s="841"/>
      <c r="D311" s="393">
        <f t="shared" si="102"/>
        <v>25.655986538217711</v>
      </c>
      <c r="E311" s="385">
        <f t="shared" si="125"/>
        <v>26.955547537298337</v>
      </c>
      <c r="F311" s="385">
        <f t="shared" si="103"/>
        <v>26.959707777070594</v>
      </c>
      <c r="G311" s="110">
        <f t="shared" si="126"/>
        <v>0.73114701334547427</v>
      </c>
      <c r="H311" s="414" t="b">
        <f>Wh_hp&gt;='2021'!Maxi_hp</f>
        <v>0</v>
      </c>
      <c r="I311" s="380">
        <f>IF(H311,Wh_hp,'2021'!Maxi_hp)</f>
        <v>38.572719008292552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3.4416393885395746E-2</v>
      </c>
      <c r="M311" s="845"/>
      <c r="N311" s="845"/>
      <c r="O311" s="48">
        <f>IF(t&lt;Tnet,'2021'!Resal+('2021'!Salim-'2021'!Resal)*(1-EXP(('2021'!Tnet-t)/('2021'!Tau_j))),Resal+(Salim-Resal)*(1-EXP((Tnet-t)/(Tau_j))))*Salcycl</f>
        <v>4.8211263276415506E-2</v>
      </c>
      <c r="P311" s="339">
        <f>(INDEX(Models!$BJ311:$BT311,,T311)*(1-R311)+INDEX(Models!$BJ311:$BT311,,T311+1)*R311-ERP_i)*Q311*Ramure*Pc/MaxiM</f>
        <v>2.504984184657501E-4</v>
      </c>
      <c r="Q311" s="305">
        <f t="shared" si="105"/>
        <v>0.5</v>
      </c>
      <c r="R311" s="177">
        <f t="shared" si="106"/>
        <v>0.49568904981777789</v>
      </c>
      <c r="S311" s="811">
        <f t="shared" si="107"/>
        <v>0</v>
      </c>
      <c r="T311" s="176">
        <f t="shared" si="108"/>
        <v>6</v>
      </c>
      <c r="U311" s="251">
        <f t="shared" si="109"/>
        <v>0.49568904981777789</v>
      </c>
      <c r="V311" s="383">
        <f t="shared" si="110"/>
        <v>33.87911922583266</v>
      </c>
      <c r="W311" s="402">
        <f t="shared" si="111"/>
        <v>0</v>
      </c>
      <c r="X311" s="157">
        <f t="shared" si="112"/>
        <v>44858</v>
      </c>
      <c r="Y311" s="385">
        <f t="shared" si="113"/>
        <v>23.939923485824973</v>
      </c>
      <c r="Z311" s="385">
        <f t="shared" si="114"/>
        <v>24.793216593803237</v>
      </c>
      <c r="AA311" s="386">
        <f t="shared" si="115"/>
        <v>26.955547537298337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8.0218401815176962E-2</v>
      </c>
      <c r="AD311" s="231">
        <f>(INDEX(Models!$BJ311:$BT311,,AH311)*(1-AF311)+INDEX(Models!$BJ311:$BT311,,AH311+1)*AF311-ERP_i)*AE311*Ramure*Pc/MaxiM</f>
        <v>2.504984184657501E-4</v>
      </c>
      <c r="AE311" s="305">
        <f t="shared" si="117"/>
        <v>0.5</v>
      </c>
      <c r="AF311" s="177">
        <f t="shared" si="118"/>
        <v>0.49568904981777789</v>
      </c>
      <c r="AG311" s="811">
        <f t="shared" si="124"/>
        <v>0</v>
      </c>
      <c r="AH311" s="176">
        <f t="shared" si="119"/>
        <v>6</v>
      </c>
      <c r="AI311" s="225">
        <f t="shared" si="120"/>
        <v>0.49568904981777789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44859</v>
      </c>
      <c r="B312" s="1140">
        <v>21.365000000000002</v>
      </c>
      <c r="C312" s="841"/>
      <c r="D312" s="393">
        <f t="shared" si="102"/>
        <v>22.126999488478756</v>
      </c>
      <c r="E312" s="385">
        <f t="shared" si="125"/>
        <v>23.248689722980924</v>
      </c>
      <c r="F312" s="385">
        <f t="shared" si="103"/>
        <v>23.251389372482478</v>
      </c>
      <c r="G312" s="110">
        <f t="shared" si="126"/>
        <v>0.63625987873866119</v>
      </c>
      <c r="H312" s="414" t="b">
        <f>Wh_hp&gt;='2021'!Maxi_hp</f>
        <v>0</v>
      </c>
      <c r="I312" s="380">
        <f>IF(H312,Wh_hp,'2021'!Maxi_hp)</f>
        <v>35.926796289859503</v>
      </c>
      <c r="J312" s="85">
        <f>IF(H312,An,'2021'!An_max)</f>
        <v>2018</v>
      </c>
      <c r="K312" s="197">
        <f t="shared" si="104"/>
        <v>44859</v>
      </c>
      <c r="L312" s="147">
        <f>IF(t&lt;Tvie,1-EXP((T0-t)*PertePVj)+'2021'!Pspv,1-EXP((T0-t)*PertePVj)+Pspv)</f>
        <v>3.4437542644474628E-2</v>
      </c>
      <c r="M312" s="845"/>
      <c r="N312" s="845"/>
      <c r="O312" s="48">
        <f>IF(t&lt;Tnet,'2021'!Resal+('2021'!Salim-'2021'!Resal)*(1-EXP(('2021'!Tnet-t)/('2021'!Tau_j))),Resal+(Salim-Resal)*(1-EXP((Tnet-t)/(Tau_j))))*Salcycl</f>
        <v>4.8247460302822849E-2</v>
      </c>
      <c r="P312" s="339">
        <f>(INDEX(Models!$BJ312:$BT312,,T312)*(1-R312)+INDEX(Models!$BJ312:$BT312,,T312+1)*R312-ERP_i)*Q312*Ramure*Pc/MaxiM</f>
        <v>2.4164526363717486E-4</v>
      </c>
      <c r="Q312" s="305">
        <f t="shared" si="105"/>
        <v>0.5</v>
      </c>
      <c r="R312" s="177">
        <f t="shared" si="106"/>
        <v>0.49576389384918612</v>
      </c>
      <c r="S312" s="811">
        <f t="shared" si="107"/>
        <v>0</v>
      </c>
      <c r="T312" s="176">
        <f t="shared" si="108"/>
        <v>6</v>
      </c>
      <c r="U312" s="251">
        <f t="shared" si="109"/>
        <v>0.49576389384918612</v>
      </c>
      <c r="V312" s="383">
        <f t="shared" si="110"/>
        <v>33.574830470683324</v>
      </c>
      <c r="W312" s="402">
        <f t="shared" si="111"/>
        <v>0</v>
      </c>
      <c r="X312" s="157">
        <f t="shared" si="112"/>
        <v>44859</v>
      </c>
      <c r="Y312" s="385">
        <f t="shared" si="113"/>
        <v>20.647640649806348</v>
      </c>
      <c r="Z312" s="385">
        <f t="shared" si="114"/>
        <v>21.384054954203521</v>
      </c>
      <c r="AA312" s="386">
        <f t="shared" si="115"/>
        <v>23.248689722980924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8.0203864862725835E-2</v>
      </c>
      <c r="AD312" s="231">
        <f>(INDEX(Models!$BJ312:$BT312,,AH312)*(1-AF312)+INDEX(Models!$BJ312:$BT312,,AH312+1)*AF312-ERP_i)*AE312*Ramure*Pc/MaxiM</f>
        <v>2.4164526363717486E-4</v>
      </c>
      <c r="AE312" s="305">
        <f t="shared" si="117"/>
        <v>0.5</v>
      </c>
      <c r="AF312" s="177">
        <f t="shared" si="118"/>
        <v>0.49576389384918612</v>
      </c>
      <c r="AG312" s="811">
        <f t="shared" si="124"/>
        <v>0</v>
      </c>
      <c r="AH312" s="176">
        <f t="shared" si="119"/>
        <v>6</v>
      </c>
      <c r="AI312" s="225">
        <f t="shared" si="120"/>
        <v>0.49576389384918612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44860</v>
      </c>
      <c r="B313" s="1140">
        <v>13.391999999999999</v>
      </c>
      <c r="C313" s="841"/>
      <c r="D313" s="393">
        <f t="shared" si="102"/>
        <v>13.869939974958172</v>
      </c>
      <c r="E313" s="385">
        <f t="shared" si="125"/>
        <v>14.573599464079841</v>
      </c>
      <c r="F313" s="385">
        <f t="shared" si="103"/>
        <v>14.574098928968187</v>
      </c>
      <c r="G313" s="110">
        <f t="shared" si="126"/>
        <v>0.40241229844329135</v>
      </c>
      <c r="H313" s="414" t="b">
        <f>Wh_hp&gt;='2021'!Maxi_hp</f>
        <v>0</v>
      </c>
      <c r="I313" s="380">
        <f>IF(H313,Wh_hp,'2021'!Maxi_hp)</f>
        <v>37.208706699200022</v>
      </c>
      <c r="J313" s="85">
        <f>IF(H313,An,'2021'!An_max)</f>
        <v>2019</v>
      </c>
      <c r="K313" s="197">
        <f t="shared" si="104"/>
        <v>44860</v>
      </c>
      <c r="L313" s="147">
        <f>IF(t&lt;Tvie,1-EXP((T0-t)*PertePVj)+'2021'!Pspv,1-EXP((T0-t)*PertePVj)+Pspv)</f>
        <v>3.4458690940341485E-2</v>
      </c>
      <c r="M313" s="845"/>
      <c r="N313" s="845"/>
      <c r="O313" s="48">
        <f>IF(t&lt;Tnet,'2021'!Resal+('2021'!Salim-'2021'!Resal)*(1-EXP(('2021'!Tnet-t)/('2021'!Tau_j))),Resal+(Salim-Resal)*(1-EXP((Tnet-t)/(Tau_j))))*Salcycl</f>
        <v>4.828316373425854E-2</v>
      </c>
      <c r="P313" s="339">
        <f>(INDEX(Models!$BJ313:$BT313,,T313)*(1-R313)+INDEX(Models!$BJ313:$BT313,,T313+1)*R313-ERP_i)*Q313*Ramure*Pc/MaxiM</f>
        <v>2.3406058808807131E-4</v>
      </c>
      <c r="Q313" s="305">
        <f t="shared" si="105"/>
        <v>0.5</v>
      </c>
      <c r="R313" s="177">
        <f t="shared" si="106"/>
        <v>0.49583574555941562</v>
      </c>
      <c r="S313" s="811">
        <f t="shared" si="107"/>
        <v>0</v>
      </c>
      <c r="T313" s="176">
        <f t="shared" si="108"/>
        <v>6</v>
      </c>
      <c r="U313" s="251">
        <f t="shared" si="109"/>
        <v>0.49583574555941562</v>
      </c>
      <c r="V313" s="383">
        <f t="shared" si="110"/>
        <v>33.272651890132792</v>
      </c>
      <c r="W313" s="402">
        <f t="shared" si="111"/>
        <v>0</v>
      </c>
      <c r="X313" s="157">
        <f t="shared" si="112"/>
        <v>44860</v>
      </c>
      <c r="Y313" s="385">
        <f t="shared" si="113"/>
        <v>12.943044374365634</v>
      </c>
      <c r="Z313" s="385">
        <f t="shared" si="114"/>
        <v>13.404961810459332</v>
      </c>
      <c r="AA313" s="386">
        <f t="shared" si="115"/>
        <v>14.573599464079841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8.018867655179486E-2</v>
      </c>
      <c r="AD313" s="231">
        <f>(INDEX(Models!$BJ313:$BT313,,AH313)*(1-AF313)+INDEX(Models!$BJ313:$BT313,,AH313+1)*AF313-ERP_i)*AE313*Ramure*Pc/MaxiM</f>
        <v>2.3406058808807131E-4</v>
      </c>
      <c r="AE313" s="305">
        <f t="shared" si="117"/>
        <v>0.5</v>
      </c>
      <c r="AF313" s="177">
        <f t="shared" si="118"/>
        <v>0.49583574555941562</v>
      </c>
      <c r="AG313" s="811">
        <f t="shared" si="124"/>
        <v>0</v>
      </c>
      <c r="AH313" s="176">
        <f t="shared" si="119"/>
        <v>6</v>
      </c>
      <c r="AI313" s="225">
        <f t="shared" si="120"/>
        <v>0.49583574555941562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44861</v>
      </c>
      <c r="B314" s="1140">
        <v>14.304</v>
      </c>
      <c r="C314" s="841"/>
      <c r="D314" s="393">
        <f t="shared" si="102"/>
        <v>14.814812340968954</v>
      </c>
      <c r="E314" s="385">
        <f t="shared" si="125"/>
        <v>15.566984326631298</v>
      </c>
      <c r="F314" s="385">
        <f t="shared" si="103"/>
        <v>15.567662096922957</v>
      </c>
      <c r="G314" s="110">
        <f t="shared" si="126"/>
        <v>0.43372986906319905</v>
      </c>
      <c r="H314" s="414" t="b">
        <f>Wh_hp&gt;='2021'!Maxi_hp</f>
        <v>0</v>
      </c>
      <c r="I314" s="380">
        <f>IF(H314,Wh_hp,'2021'!Maxi_hp)</f>
        <v>29.570719829876996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3.4479838773006311E-2</v>
      </c>
      <c r="M314" s="845"/>
      <c r="N314" s="845"/>
      <c r="O314" s="48">
        <f>IF(t&lt;Tnet,'2021'!Resal+('2021'!Salim-'2021'!Resal)*(1-EXP(('2021'!Tnet-t)/('2021'!Tau_j))),Resal+(Salim-Resal)*(1-EXP((Tnet-t)/(Tau_j))))*Salcycl</f>
        <v>4.8318413501294628E-2</v>
      </c>
      <c r="P314" s="339">
        <f>(INDEX(Models!$BJ314:$BT314,,T314)*(1-R314)+INDEX(Models!$BJ314:$BT314,,T314+1)*R314-ERP_i)*Q314*Ramure*Pc/MaxiM</f>
        <v>2.2775571759638135E-4</v>
      </c>
      <c r="Q314" s="305">
        <f t="shared" si="105"/>
        <v>0.5</v>
      </c>
      <c r="R314" s="177">
        <f t="shared" si="106"/>
        <v>0.4959047237701929</v>
      </c>
      <c r="S314" s="811">
        <f t="shared" si="107"/>
        <v>0</v>
      </c>
      <c r="T314" s="176">
        <f t="shared" si="108"/>
        <v>6</v>
      </c>
      <c r="U314" s="251">
        <f t="shared" si="109"/>
        <v>0.4959047237701929</v>
      </c>
      <c r="V314" s="383">
        <f t="shared" si="110"/>
        <v>32.972976596081622</v>
      </c>
      <c r="W314" s="402">
        <f t="shared" si="111"/>
        <v>0</v>
      </c>
      <c r="X314" s="157">
        <f t="shared" si="112"/>
        <v>44861</v>
      </c>
      <c r="Y314" s="385">
        <f t="shared" si="113"/>
        <v>13.825219443858625</v>
      </c>
      <c r="Z314" s="385">
        <f t="shared" si="114"/>
        <v>14.318933978850719</v>
      </c>
      <c r="AA314" s="386">
        <f t="shared" si="115"/>
        <v>15.566984326631298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8.0172904500550576E-2</v>
      </c>
      <c r="AD314" s="231">
        <f>(INDEX(Models!$BJ314:$BT314,,AH314)*(1-AF314)+INDEX(Models!$BJ314:$BT314,,AH314+1)*AF314-ERP_i)*AE314*Ramure*Pc/MaxiM</f>
        <v>2.2775571759638135E-4</v>
      </c>
      <c r="AE314" s="305">
        <f t="shared" si="117"/>
        <v>0.5</v>
      </c>
      <c r="AF314" s="177">
        <f t="shared" si="118"/>
        <v>0.4959047237701929</v>
      </c>
      <c r="AG314" s="811">
        <f t="shared" si="124"/>
        <v>0</v>
      </c>
      <c r="AH314" s="176">
        <f t="shared" si="119"/>
        <v>6</v>
      </c>
      <c r="AI314" s="225">
        <f t="shared" si="120"/>
        <v>0.4959047237701929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44862</v>
      </c>
      <c r="B315" s="1140">
        <v>16.891000000000002</v>
      </c>
      <c r="C315" s="841"/>
      <c r="D315" s="393">
        <f t="shared" si="102"/>
        <v>17.494580271516071</v>
      </c>
      <c r="E315" s="385">
        <f t="shared" si="125"/>
        <v>18.383481369609651</v>
      </c>
      <c r="F315" s="385">
        <f t="shared" si="103"/>
        <v>18.384750369446586</v>
      </c>
      <c r="G315" s="110">
        <f t="shared" si="126"/>
        <v>0.51684114491230992</v>
      </c>
      <c r="H315" s="414" t="b">
        <f>Wh_hp&gt;='2021'!Maxi_hp</f>
        <v>0</v>
      </c>
      <c r="I315" s="380">
        <f>IF(H315,Wh_hp,'2021'!Maxi_hp)</f>
        <v>24.903019933810778</v>
      </c>
      <c r="J315" s="85">
        <f>IF(H315,An,'2021'!An_max)</f>
        <v>2020</v>
      </c>
      <c r="K315" s="197">
        <f t="shared" si="104"/>
        <v>44862</v>
      </c>
      <c r="L315" s="147">
        <f>IF(t&lt;Tvie,1-EXP((T0-t)*PertePVj)+'2021'!Pspv,1-EXP((T0-t)*PertePVj)+Pspv)</f>
        <v>3.4500986142479317E-2</v>
      </c>
      <c r="M315" s="845"/>
      <c r="N315" s="845"/>
      <c r="O315" s="48">
        <f>IF(t&lt;Tnet,'2021'!Resal+('2021'!Salim-'2021'!Resal)*(1-EXP(('2021'!Tnet-t)/('2021'!Tau_j))),Resal+(Salim-Resal)*(1-EXP((Tnet-t)/(Tau_j))))*Salcycl</f>
        <v>4.8353251499090387E-2</v>
      </c>
      <c r="P315" s="339">
        <f>(INDEX(Models!$BJ315:$BT315,,T315)*(1-R315)+INDEX(Models!$BJ315:$BT315,,T315+1)*R315-ERP_i)*Q315*Ramure*Pc/MaxiM</f>
        <v>2.2274145502583522E-4</v>
      </c>
      <c r="Q315" s="305">
        <f t="shared" si="105"/>
        <v>0.5</v>
      </c>
      <c r="R315" s="177">
        <f t="shared" si="106"/>
        <v>0.49597094264897501</v>
      </c>
      <c r="S315" s="811">
        <f t="shared" si="107"/>
        <v>0</v>
      </c>
      <c r="T315" s="176">
        <f t="shared" si="108"/>
        <v>6</v>
      </c>
      <c r="U315" s="251">
        <f t="shared" si="109"/>
        <v>0.49597094264897501</v>
      </c>
      <c r="V315" s="383">
        <f t="shared" si="110"/>
        <v>32.676197619773973</v>
      </c>
      <c r="W315" s="402">
        <f t="shared" si="111"/>
        <v>0</v>
      </c>
      <c r="X315" s="157">
        <f t="shared" si="112"/>
        <v>44862</v>
      </c>
      <c r="Y315" s="385">
        <f t="shared" si="113"/>
        <v>16.32651460995514</v>
      </c>
      <c r="Z315" s="385">
        <f t="shared" si="114"/>
        <v>16.909923651526853</v>
      </c>
      <c r="AA315" s="386">
        <f t="shared" si="115"/>
        <v>18.383481369609651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8.0156619328849446E-2</v>
      </c>
      <c r="AD315" s="231">
        <f>(INDEX(Models!$BJ315:$BT315,,AH315)*(1-AF315)+INDEX(Models!$BJ315:$BT315,,AH315+1)*AF315-ERP_i)*AE315*Ramure*Pc/MaxiM</f>
        <v>2.2274145502583522E-4</v>
      </c>
      <c r="AE315" s="305">
        <f t="shared" si="117"/>
        <v>0.5</v>
      </c>
      <c r="AF315" s="177">
        <f t="shared" si="118"/>
        <v>0.49597094264897501</v>
      </c>
      <c r="AG315" s="811">
        <f t="shared" si="124"/>
        <v>0</v>
      </c>
      <c r="AH315" s="176">
        <f t="shared" si="119"/>
        <v>6</v>
      </c>
      <c r="AI315" s="225">
        <f t="shared" si="120"/>
        <v>0.49597094264897501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44863</v>
      </c>
      <c r="B316" s="1140">
        <v>26.524000000000001</v>
      </c>
      <c r="C316" s="841"/>
      <c r="D316" s="393">
        <f t="shared" si="102"/>
        <v>27.472406057072099</v>
      </c>
      <c r="E316" s="385">
        <f t="shared" si="125"/>
        <v>28.869327010540893</v>
      </c>
      <c r="F316" s="385">
        <f t="shared" si="103"/>
        <v>28.874016680949133</v>
      </c>
      <c r="G316" s="110">
        <f t="shared" si="126"/>
        <v>0.81903274770518941</v>
      </c>
      <c r="H316" s="414" t="b">
        <f>Wh_hp&gt;='2021'!Maxi_hp</f>
        <v>0</v>
      </c>
      <c r="I316" s="380">
        <f>IF(H316,Wh_hp,'2021'!Maxi_hp)</f>
        <v>29.923980500554308</v>
      </c>
      <c r="J316" s="85">
        <f>IF(H316,An,'2021'!An_max)</f>
        <v>2019</v>
      </c>
      <c r="K316" s="197">
        <f t="shared" si="104"/>
        <v>44863</v>
      </c>
      <c r="L316" s="147">
        <f>IF(t&lt;Tvie,1-EXP((T0-t)*PertePVj)+'2021'!Pspv,1-EXP((T0-t)*PertePVj)+Pspv)</f>
        <v>3.452213304877072E-2</v>
      </c>
      <c r="M316" s="845"/>
      <c r="N316" s="845"/>
      <c r="O316" s="48">
        <f>IF(t&lt;Tnet,'2021'!Resal+('2021'!Salim-'2021'!Resal)*(1-EXP(('2021'!Tnet-t)/('2021'!Tau_j))),Resal+(Salim-Resal)*(1-EXP((Tnet-t)/(Tau_j))))*Salcycl</f>
        <v>4.8387721437314485E-2</v>
      </c>
      <c r="P316" s="339">
        <f>(INDEX(Models!$BJ316:$BT316,,T316)*(1-R316)+INDEX(Models!$BJ316:$BT316,,T316+1)*R316-ERP_i)*Q316*Ramure*Pc/MaxiM</f>
        <v>2.1902797915013586E-4</v>
      </c>
      <c r="Q316" s="305">
        <f t="shared" si="105"/>
        <v>0.5</v>
      </c>
      <c r="R316" s="177">
        <f t="shared" si="106"/>
        <v>0.49603451188621117</v>
      </c>
      <c r="S316" s="811">
        <f t="shared" si="107"/>
        <v>0</v>
      </c>
      <c r="T316" s="176">
        <f t="shared" si="108"/>
        <v>6</v>
      </c>
      <c r="U316" s="251">
        <f t="shared" si="109"/>
        <v>0.49603451188621117</v>
      </c>
      <c r="V316" s="383">
        <f t="shared" si="110"/>
        <v>32.382707915935498</v>
      </c>
      <c r="W316" s="402">
        <f t="shared" si="111"/>
        <v>0</v>
      </c>
      <c r="X316" s="157">
        <f t="shared" si="112"/>
        <v>44863</v>
      </c>
      <c r="Y316" s="385">
        <f t="shared" si="113"/>
        <v>25.638981327420094</v>
      </c>
      <c r="Z316" s="385">
        <f t="shared" si="114"/>
        <v>26.555742192601954</v>
      </c>
      <c r="AA316" s="386">
        <f t="shared" si="115"/>
        <v>28.869327010540893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8.0139894397060013E-2</v>
      </c>
      <c r="AD316" s="231">
        <f>(INDEX(Models!$BJ316:$BT316,,AH316)*(1-AF316)+INDEX(Models!$BJ316:$BT316,,AH316+1)*AF316-ERP_i)*AE316*Ramure*Pc/MaxiM</f>
        <v>2.1902797915013586E-4</v>
      </c>
      <c r="AE316" s="305">
        <f t="shared" si="117"/>
        <v>0.5</v>
      </c>
      <c r="AF316" s="177">
        <f t="shared" si="118"/>
        <v>0.49603451188621117</v>
      </c>
      <c r="AG316" s="811">
        <f t="shared" si="124"/>
        <v>0</v>
      </c>
      <c r="AH316" s="176">
        <f t="shared" si="119"/>
        <v>6</v>
      </c>
      <c r="AI316" s="225">
        <f t="shared" si="120"/>
        <v>0.49603451188621117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44864</v>
      </c>
      <c r="B317" s="1140">
        <v>21.940999999999999</v>
      </c>
      <c r="C317" s="841"/>
      <c r="D317" s="393">
        <f t="shared" si="102"/>
        <v>22.726031663493615</v>
      </c>
      <c r="E317" s="385">
        <f t="shared" si="125"/>
        <v>23.88246525997468</v>
      </c>
      <c r="F317" s="385">
        <f t="shared" si="103"/>
        <v>23.885301673548167</v>
      </c>
      <c r="G317" s="110">
        <f t="shared" si="126"/>
        <v>0.68364374927963867</v>
      </c>
      <c r="H317" s="414" t="b">
        <f>Wh_hp&gt;='2021'!Maxi_hp</f>
        <v>0</v>
      </c>
      <c r="I317" s="380">
        <f>IF(H317,Wh_hp,'2021'!Maxi_hp)</f>
        <v>33.09982659368044</v>
      </c>
      <c r="J317" s="85">
        <f>IF(H317,An,'2021'!An_max)</f>
        <v>2018</v>
      </c>
      <c r="K317" s="197">
        <f t="shared" si="104"/>
        <v>44864</v>
      </c>
      <c r="L317" s="147">
        <f>IF(t&lt;Tvie,1-EXP((T0-t)*PertePVj)+'2021'!Pspv,1-EXP((T0-t)*PertePVj)+Pspv)</f>
        <v>3.4543279491890622E-2</v>
      </c>
      <c r="M317" s="845"/>
      <c r="N317" s="845"/>
      <c r="O317" s="48">
        <f>IF(t&lt;Tnet,'2021'!Resal+('2021'!Salim-'2021'!Resal)*(1-EXP(('2021'!Tnet-t)/('2021'!Tau_j))),Resal+(Salim-Resal)*(1-EXP((Tnet-t)/(Tau_j))))*Salcycl</f>
        <v>4.8421868676144092E-2</v>
      </c>
      <c r="P317" s="339">
        <f>(INDEX(Models!$BJ317:$BT317,,T317)*(1-R317)+INDEX(Models!$BJ317:$BT317,,T317+1)*R317-ERP_i)*Q317*Ramure*Pc/MaxiM</f>
        <v>2.166371700255213E-4</v>
      </c>
      <c r="Q317" s="305">
        <f t="shared" si="105"/>
        <v>0.5</v>
      </c>
      <c r="R317" s="177">
        <f t="shared" si="106"/>
        <v>0.49609553686625385</v>
      </c>
      <c r="S317" s="811">
        <f t="shared" si="107"/>
        <v>0</v>
      </c>
      <c r="T317" s="176">
        <f t="shared" si="108"/>
        <v>6</v>
      </c>
      <c r="U317" s="251">
        <f t="shared" si="109"/>
        <v>0.49609553686625385</v>
      </c>
      <c r="V317" s="383">
        <f t="shared" si="110"/>
        <v>32.091059205730609</v>
      </c>
      <c r="W317" s="402">
        <f t="shared" si="111"/>
        <v>0</v>
      </c>
      <c r="X317" s="157">
        <f t="shared" si="112"/>
        <v>44864</v>
      </c>
      <c r="Y317" s="385">
        <f t="shared" si="113"/>
        <v>21.210056073832789</v>
      </c>
      <c r="Z317" s="385">
        <f t="shared" si="114"/>
        <v>21.968935140531382</v>
      </c>
      <c r="AA317" s="386">
        <f t="shared" si="115"/>
        <v>23.88246525997468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8.0122805523357724E-2</v>
      </c>
      <c r="AD317" s="231">
        <f>(INDEX(Models!$BJ317:$BT317,,AH317)*(1-AF317)+INDEX(Models!$BJ317:$BT317,,AH317+1)*AF317-ERP_i)*AE317*Ramure*Pc/MaxiM</f>
        <v>2.166371700255213E-4</v>
      </c>
      <c r="AE317" s="305">
        <f t="shared" si="117"/>
        <v>0.5</v>
      </c>
      <c r="AF317" s="177">
        <f t="shared" si="118"/>
        <v>0.49609553686625385</v>
      </c>
      <c r="AG317" s="811">
        <f t="shared" si="124"/>
        <v>0</v>
      </c>
      <c r="AH317" s="176">
        <f t="shared" si="119"/>
        <v>6</v>
      </c>
      <c r="AI317" s="225">
        <f t="shared" si="120"/>
        <v>0.49609553686625385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44865</v>
      </c>
      <c r="B318" s="1140">
        <v>21.42</v>
      </c>
      <c r="C318" s="841"/>
      <c r="D318" s="393">
        <f t="shared" si="102"/>
        <v>22.186876644222334</v>
      </c>
      <c r="E318" s="385">
        <f t="shared" si="125"/>
        <v>23.316704832385923</v>
      </c>
      <c r="F318" s="385">
        <f t="shared" si="103"/>
        <v>23.319392088597578</v>
      </c>
      <c r="G318" s="110">
        <f t="shared" si="126"/>
        <v>0.67352146182210981</v>
      </c>
      <c r="H318" s="414" t="b">
        <f>Wh_hp&gt;='2021'!Maxi_hp</f>
        <v>0</v>
      </c>
      <c r="I318" s="380">
        <f>IF(H318,Wh_hp,'2021'!Maxi_hp)</f>
        <v>33.51042975379562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3.4564425471849125E-2</v>
      </c>
      <c r="M318" s="845"/>
      <c r="N318" s="845"/>
      <c r="O318" s="48">
        <f>IF(t&lt;Tnet,'2021'!Resal+('2021'!Salim-'2021'!Resal)*(1-EXP(('2021'!Tnet-t)/('2021'!Tau_j))),Resal+(Salim-Resal)*(1-EXP((Tnet-t)/(Tau_j))))*Salcycl</f>
        <v>4.8455740049267476E-2</v>
      </c>
      <c r="P318" s="339">
        <f>(INDEX(Models!$BJ318:$BT318,,T318)*(1-R318)+INDEX(Models!$BJ318:$BT318,,T318+1)*R318-ERP_i)*Q318*Ramure*Pc/MaxiM</f>
        <v>2.1592129383632094E-4</v>
      </c>
      <c r="Q318" s="305">
        <f t="shared" si="105"/>
        <v>0.5</v>
      </c>
      <c r="R318" s="177">
        <f t="shared" si="106"/>
        <v>0.49615411883211474</v>
      </c>
      <c r="S318" s="811">
        <f t="shared" si="107"/>
        <v>0</v>
      </c>
      <c r="T318" s="176">
        <f t="shared" si="108"/>
        <v>6</v>
      </c>
      <c r="U318" s="251">
        <f t="shared" si="109"/>
        <v>0.49615411883211474</v>
      </c>
      <c r="V318" s="383">
        <f t="shared" si="110"/>
        <v>31.799793039111538</v>
      </c>
      <c r="W318" s="402">
        <f t="shared" si="111"/>
        <v>0</v>
      </c>
      <c r="X318" s="157">
        <f t="shared" si="112"/>
        <v>44865</v>
      </c>
      <c r="Y318" s="385">
        <f t="shared" si="113"/>
        <v>20.707540893399873</v>
      </c>
      <c r="Z318" s="385">
        <f t="shared" si="114"/>
        <v>21.448910149722341</v>
      </c>
      <c r="AA318" s="386">
        <f t="shared" si="115"/>
        <v>23.316704832385923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8.0105430681152542E-2</v>
      </c>
      <c r="AD318" s="231">
        <f>(INDEX(Models!$BJ318:$BT318,,AH318)*(1-AF318)+INDEX(Models!$BJ318:$BT318,,AH318+1)*AF318-ERP_i)*AE318*Ramure*Pc/MaxiM</f>
        <v>2.1592129383632094E-4</v>
      </c>
      <c r="AE318" s="305">
        <f t="shared" si="117"/>
        <v>0.5</v>
      </c>
      <c r="AF318" s="177">
        <f t="shared" si="118"/>
        <v>0.49615411883211474</v>
      </c>
      <c r="AG318" s="811">
        <f t="shared" si="124"/>
        <v>0</v>
      </c>
      <c r="AH318" s="176">
        <f t="shared" si="119"/>
        <v>6</v>
      </c>
      <c r="AI318" s="225">
        <f t="shared" si="120"/>
        <v>0.49615411883211474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44866</v>
      </c>
      <c r="B319" s="1140">
        <v>22.785</v>
      </c>
      <c r="C319" s="841"/>
      <c r="D319" s="393">
        <f t="shared" si="102"/>
        <v>23.601263162529627</v>
      </c>
      <c r="E319" s="385">
        <f t="shared" si="125"/>
        <v>24.803993521042059</v>
      </c>
      <c r="F319" s="385">
        <f t="shared" si="103"/>
        <v>24.807234955818227</v>
      </c>
      <c r="G319" s="110">
        <f t="shared" si="126"/>
        <v>0.7230574112189041</v>
      </c>
      <c r="H319" s="414" t="b">
        <f>Wh_hp&gt;='2021'!Maxi_hp</f>
        <v>0</v>
      </c>
      <c r="I319" s="380">
        <f>IF(H319,Wh_hp,'2021'!Maxi_hp)</f>
        <v>32.377451552901285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3.4585570988656333E-2</v>
      </c>
      <c r="M319" s="845"/>
      <c r="N319" s="845"/>
      <c r="O319" s="48">
        <f>IF(t&lt;Tnet,'2021'!Resal+('2021'!Salim-'2021'!Resal)*(1-EXP(('2021'!Tnet-t)/('2021'!Tau_j))),Resal+(Salim-Resal)*(1-EXP((Tnet-t)/(Tau_j))))*Salcycl</f>
        <v>4.8489383674935917E-2</v>
      </c>
      <c r="P319" s="339">
        <f>(INDEX(Models!$BJ319:$BT319,,T319)*(1-R319)+INDEX(Models!$BJ319:$BT319,,T319+1)*R319-ERP_i)*Q319*Ramure*Pc/MaxiM</f>
        <v>2.1616938341103531E-4</v>
      </c>
      <c r="Q319" s="305">
        <f t="shared" si="105"/>
        <v>0.5</v>
      </c>
      <c r="R319" s="177">
        <f t="shared" si="106"/>
        <v>0.49621035504425642</v>
      </c>
      <c r="S319" s="811">
        <f t="shared" si="107"/>
        <v>0</v>
      </c>
      <c r="T319" s="176">
        <f t="shared" si="108"/>
        <v>6</v>
      </c>
      <c r="U319" s="251">
        <f t="shared" si="109"/>
        <v>0.49621035504425642</v>
      </c>
      <c r="V319" s="383">
        <f t="shared" si="110"/>
        <v>31.509325777120331</v>
      </c>
      <c r="W319" s="402">
        <f t="shared" si="111"/>
        <v>0</v>
      </c>
      <c r="X319" s="157">
        <f t="shared" si="112"/>
        <v>44866</v>
      </c>
      <c r="Y319" s="385">
        <f t="shared" si="113"/>
        <v>22.028338922825981</v>
      </c>
      <c r="Z319" s="385">
        <f t="shared" si="114"/>
        <v>22.817495016502541</v>
      </c>
      <c r="AA319" s="386">
        <f t="shared" si="115"/>
        <v>24.803993521042059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8.0087849678492418E-2</v>
      </c>
      <c r="AD319" s="231">
        <f>(INDEX(Models!$BJ319:$BT319,,AH319)*(1-AF319)+INDEX(Models!$BJ319:$BT319,,AH319+1)*AF319-ERP_i)*AE319*Ramure*Pc/MaxiM</f>
        <v>2.1616938341103531E-4</v>
      </c>
      <c r="AE319" s="305">
        <f t="shared" si="117"/>
        <v>0.5</v>
      </c>
      <c r="AF319" s="177">
        <f t="shared" si="118"/>
        <v>0.49621035504425642</v>
      </c>
      <c r="AG319" s="811">
        <f t="shared" si="124"/>
        <v>0</v>
      </c>
      <c r="AH319" s="176">
        <f t="shared" si="119"/>
        <v>6</v>
      </c>
      <c r="AI319" s="225">
        <f t="shared" si="120"/>
        <v>0.49621035504425642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44867</v>
      </c>
      <c r="B320" s="1140">
        <v>27.384</v>
      </c>
      <c r="C320" s="841"/>
      <c r="D320" s="393">
        <f t="shared" si="102"/>
        <v>28.365641707945116</v>
      </c>
      <c r="E320" s="385">
        <f t="shared" si="125"/>
        <v>29.812215323158643</v>
      </c>
      <c r="F320" s="385">
        <f t="shared" si="103"/>
        <v>29.817559501833507</v>
      </c>
      <c r="G320" s="110">
        <f t="shared" si="126"/>
        <v>0.87709515054139975</v>
      </c>
      <c r="H320" s="414" t="b">
        <f>Wh_hp&gt;='2021'!Maxi_hp</f>
        <v>1</v>
      </c>
      <c r="I320" s="380">
        <f>IF(H320,Wh_hp,'2021'!Maxi_hp)</f>
        <v>29.817559501833507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3.4606716042322461E-2</v>
      </c>
      <c r="M320" s="845"/>
      <c r="N320" s="845"/>
      <c r="O320" s="48">
        <f>IF(t&lt;Tnet,'2021'!Resal+('2021'!Salim-'2021'!Resal)*(1-EXP(('2021'!Tnet-t)/('2021'!Tau_j))),Resal+(Salim-Resal)*(1-EXP((Tnet-t)/(Tau_j))))*Salcycl</f>
        <v>4.8522848756221176E-2</v>
      </c>
      <c r="P320" s="339">
        <f>(INDEX(Models!$BJ320:$BT320,,T320)*(1-R320)+INDEX(Models!$BJ320:$BT320,,T320+1)*R320-ERP_i)*Q320*Ramure*Pc/MaxiM</f>
        <v>2.1738736525184151E-4</v>
      </c>
      <c r="Q320" s="305">
        <f t="shared" si="105"/>
        <v>0.5</v>
      </c>
      <c r="R320" s="177">
        <f t="shared" si="106"/>
        <v>0.49626433893361055</v>
      </c>
      <c r="S320" s="811">
        <f t="shared" si="107"/>
        <v>0</v>
      </c>
      <c r="T320" s="176">
        <f t="shared" si="108"/>
        <v>6</v>
      </c>
      <c r="U320" s="251">
        <f t="shared" si="109"/>
        <v>0.49626433893361055</v>
      </c>
      <c r="V320" s="383">
        <f t="shared" si="110"/>
        <v>31.220050497162315</v>
      </c>
      <c r="W320" s="402">
        <f t="shared" si="111"/>
        <v>0</v>
      </c>
      <c r="X320" s="157">
        <f t="shared" si="112"/>
        <v>44867</v>
      </c>
      <c r="Y320" s="385">
        <f t="shared" si="113"/>
        <v>26.476052681520439</v>
      </c>
      <c r="Z320" s="385">
        <f t="shared" si="114"/>
        <v>27.425146954597146</v>
      </c>
      <c r="AA320" s="386">
        <f t="shared" si="115"/>
        <v>29.812215323158643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8.0070143821455012E-2</v>
      </c>
      <c r="AD320" s="231">
        <f>(INDEX(Models!$BJ320:$BT320,,AH320)*(1-AF320)+INDEX(Models!$BJ320:$BT320,,AH320+1)*AF320-ERP_i)*AE320*Ramure*Pc/MaxiM</f>
        <v>2.1738736525184151E-4</v>
      </c>
      <c r="AE320" s="305">
        <f t="shared" si="117"/>
        <v>0.5</v>
      </c>
      <c r="AF320" s="177">
        <f t="shared" si="118"/>
        <v>0.49626433893361055</v>
      </c>
      <c r="AG320" s="811">
        <f t="shared" si="124"/>
        <v>0</v>
      </c>
      <c r="AH320" s="176">
        <f t="shared" si="119"/>
        <v>6</v>
      </c>
      <c r="AI320" s="225">
        <f t="shared" si="120"/>
        <v>0.49626433893361055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44868</v>
      </c>
      <c r="B321" s="1140">
        <v>9.4030000000000005</v>
      </c>
      <c r="C321" s="841"/>
      <c r="D321" s="393">
        <f t="shared" si="102"/>
        <v>9.7402852398083652</v>
      </c>
      <c r="E321" s="385">
        <f t="shared" si="125"/>
        <v>10.237373021983412</v>
      </c>
      <c r="F321" s="385">
        <f t="shared" si="103"/>
        <v>10.237385821913184</v>
      </c>
      <c r="G321" s="110">
        <f t="shared" si="126"/>
        <v>0.30391948648339512</v>
      </c>
      <c r="H321" s="414" t="b">
        <f>Wh_hp&gt;='2021'!Maxi_hp</f>
        <v>0</v>
      </c>
      <c r="I321" s="380">
        <f>IF(H321,Wh_hp,'2021'!Maxi_hp)</f>
        <v>30.00122544451607</v>
      </c>
      <c r="J321" s="85">
        <f>IF(H321,An,'2021'!An_max)</f>
        <v>2018</v>
      </c>
      <c r="K321" s="197">
        <f t="shared" si="104"/>
        <v>44868</v>
      </c>
      <c r="L321" s="147">
        <f>IF(t&lt;Tvie,1-EXP((T0-t)*PertePVj)+'2021'!Pspv,1-EXP((T0-t)*PertePVj)+Pspv)</f>
        <v>3.4627860632857721E-2</v>
      </c>
      <c r="M321" s="845"/>
      <c r="N321" s="845"/>
      <c r="O321" s="48">
        <f>IF(t&lt;Tnet,'2021'!Resal+('2021'!Salim-'2021'!Resal)*(1-EXP(('2021'!Tnet-t)/('2021'!Tau_j))),Resal+(Salim-Resal)*(1-EXP((Tnet-t)/(Tau_j))))*Salcycl</f>
        <v>4.8556185371737171E-2</v>
      </c>
      <c r="P321" s="339">
        <f>(INDEX(Models!$BJ321:$BT321,,T321)*(1-R321)+INDEX(Models!$BJ321:$BT321,,T321+1)*R321-ERP_i)*Q321*Ramure*Pc/MaxiM</f>
        <v>2.1958109538071661E-4</v>
      </c>
      <c r="Q321" s="305">
        <f t="shared" si="105"/>
        <v>0.5</v>
      </c>
      <c r="R321" s="177">
        <f t="shared" si="106"/>
        <v>0.49631616024900377</v>
      </c>
      <c r="S321" s="811">
        <f t="shared" si="107"/>
        <v>0</v>
      </c>
      <c r="T321" s="176">
        <f t="shared" si="108"/>
        <v>6</v>
      </c>
      <c r="U321" s="251">
        <f t="shared" si="109"/>
        <v>0.49631616024900377</v>
      </c>
      <c r="V321" s="383">
        <f t="shared" si="110"/>
        <v>30.932360217691407</v>
      </c>
      <c r="W321" s="402">
        <f t="shared" si="111"/>
        <v>0</v>
      </c>
      <c r="X321" s="157">
        <f t="shared" si="112"/>
        <v>44868</v>
      </c>
      <c r="Y321" s="385">
        <f t="shared" si="113"/>
        <v>9.0917269012824864</v>
      </c>
      <c r="Z321" s="385">
        <f t="shared" si="114"/>
        <v>9.4178467872945273</v>
      </c>
      <c r="AA321" s="386">
        <f t="shared" si="115"/>
        <v>10.237373021983412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8.005239556369205E-2</v>
      </c>
      <c r="AD321" s="231">
        <f>(INDEX(Models!$BJ321:$BT321,,AH321)*(1-AF321)+INDEX(Models!$BJ321:$BT321,,AH321+1)*AF321-ERP_i)*AE321*Ramure*Pc/MaxiM</f>
        <v>2.1958109538071661E-4</v>
      </c>
      <c r="AE321" s="305">
        <f t="shared" si="117"/>
        <v>0.5</v>
      </c>
      <c r="AF321" s="177">
        <f t="shared" si="118"/>
        <v>0.49631616024900377</v>
      </c>
      <c r="AG321" s="811">
        <f t="shared" si="124"/>
        <v>0</v>
      </c>
      <c r="AH321" s="176">
        <f t="shared" si="119"/>
        <v>6</v>
      </c>
      <c r="AI321" s="225">
        <f t="shared" si="120"/>
        <v>0.49631616024900377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44869</v>
      </c>
      <c r="B322" s="1140">
        <v>16.491</v>
      </c>
      <c r="C322" s="841"/>
      <c r="D322" s="393">
        <f t="shared" si="102"/>
        <v>17.082905680233697</v>
      </c>
      <c r="E322" s="385">
        <f t="shared" si="125"/>
        <v>17.955345961990094</v>
      </c>
      <c r="F322" s="385">
        <f t="shared" si="103"/>
        <v>17.956706530376362</v>
      </c>
      <c r="G322" s="110">
        <f t="shared" si="126"/>
        <v>0.53802216488146093</v>
      </c>
      <c r="H322" s="414" t="b">
        <f>Wh_hp&gt;='2021'!Maxi_hp</f>
        <v>0</v>
      </c>
      <c r="I322" s="380">
        <f>IF(H322,Wh_hp,'2021'!Maxi_hp)</f>
        <v>23.180990079496752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3.4649004760272106E-2</v>
      </c>
      <c r="M322" s="845"/>
      <c r="N322" s="845"/>
      <c r="O322" s="48">
        <f>IF(t&lt;Tnet,'2021'!Resal+('2021'!Salim-'2021'!Resal)*(1-EXP(('2021'!Tnet-t)/('2021'!Tau_j))),Resal+(Salim-Resal)*(1-EXP((Tnet-t)/(Tau_j))))*Salcycl</f>
        <v>4.8589444258176649E-2</v>
      </c>
      <c r="P322" s="339">
        <f>(INDEX(Models!$BJ322:$BT322,,T322)*(1-R322)+INDEX(Models!$BJ322:$BT322,,T322+1)*R322-ERP_i)*Q322*Ramure*Pc/MaxiM</f>
        <v>2.2275631681525072E-4</v>
      </c>
      <c r="Q322" s="305">
        <f t="shared" si="105"/>
        <v>0.5</v>
      </c>
      <c r="R322" s="177">
        <f t="shared" si="106"/>
        <v>0.49636590519917612</v>
      </c>
      <c r="S322" s="811">
        <f t="shared" si="107"/>
        <v>0</v>
      </c>
      <c r="T322" s="176">
        <f t="shared" si="108"/>
        <v>6</v>
      </c>
      <c r="U322" s="251">
        <f t="shared" si="109"/>
        <v>0.49636590519917612</v>
      </c>
      <c r="V322" s="383">
        <f t="shared" si="110"/>
        <v>30.646647909493506</v>
      </c>
      <c r="W322" s="402">
        <f t="shared" si="111"/>
        <v>0</v>
      </c>
      <c r="X322" s="157">
        <f t="shared" si="112"/>
        <v>44869</v>
      </c>
      <c r="Y322" s="385">
        <f t="shared" si="113"/>
        <v>15.945952949808483</v>
      </c>
      <c r="Z322" s="385">
        <f t="shared" si="114"/>
        <v>16.51829544739692</v>
      </c>
      <c r="AA322" s="386">
        <f t="shared" si="115"/>
        <v>17.955345961990094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8.0034688144427005E-2</v>
      </c>
      <c r="AD322" s="231">
        <f>(INDEX(Models!$BJ322:$BT322,,AH322)*(1-AF322)+INDEX(Models!$BJ322:$BT322,,AH322+1)*AF322-ERP_i)*AE322*Ramure*Pc/MaxiM</f>
        <v>2.2275631681525072E-4</v>
      </c>
      <c r="AE322" s="305">
        <f t="shared" si="117"/>
        <v>0.5</v>
      </c>
      <c r="AF322" s="177">
        <f t="shared" si="118"/>
        <v>0.49636590519917612</v>
      </c>
      <c r="AG322" s="811">
        <f t="shared" si="124"/>
        <v>0</v>
      </c>
      <c r="AH322" s="176">
        <f t="shared" si="119"/>
        <v>6</v>
      </c>
      <c r="AI322" s="225">
        <f t="shared" si="120"/>
        <v>0.49636590519917612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44870</v>
      </c>
      <c r="B323" s="1140">
        <v>28.716000000000001</v>
      </c>
      <c r="C323" s="841"/>
      <c r="D323" s="393">
        <f t="shared" si="102"/>
        <v>29.747344861588314</v>
      </c>
      <c r="E323" s="385">
        <f t="shared" si="125"/>
        <v>31.267662292857146</v>
      </c>
      <c r="F323" s="385">
        <f t="shared" si="103"/>
        <v>31.274208966337646</v>
      </c>
      <c r="G323" s="110">
        <f t="shared" si="126"/>
        <v>0.94573016499970852</v>
      </c>
      <c r="H323" s="414" t="b">
        <f>Wh_hp&gt;='2021'!Maxi_hp</f>
        <v>1</v>
      </c>
      <c r="I323" s="380">
        <f>IF(H323,Wh_hp,'2021'!Maxi_hp)</f>
        <v>31.274208966337646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3.4670148424575942E-2</v>
      </c>
      <c r="M323" s="845"/>
      <c r="N323" s="845"/>
      <c r="O323" s="48">
        <f>IF(t&lt;Tnet,'2021'!Resal+('2021'!Salim-'2021'!Resal)*(1-EXP(('2021'!Tnet-t)/('2021'!Tau_j))),Resal+(Salim-Resal)*(1-EXP((Tnet-t)/(Tau_j))))*Salcycl</f>
        <v>4.8622676586095044E-2</v>
      </c>
      <c r="P323" s="339">
        <f>(INDEX(Models!$BJ323:$BT323,,T323)*(1-R323)+INDEX(Models!$BJ323:$BT323,,T323+1)*R323-ERP_i)*Q323*Ramure*Pc/MaxiM</f>
        <v>2.2691861455790673E-4</v>
      </c>
      <c r="Q323" s="305">
        <f t="shared" si="105"/>
        <v>0.5</v>
      </c>
      <c r="R323" s="177">
        <f t="shared" si="106"/>
        <v>0.49641365658956554</v>
      </c>
      <c r="S323" s="811">
        <f t="shared" si="107"/>
        <v>0</v>
      </c>
      <c r="T323" s="176">
        <f t="shared" si="108"/>
        <v>6</v>
      </c>
      <c r="U323" s="251">
        <f t="shared" si="109"/>
        <v>0.49641365658956554</v>
      </c>
      <c r="V323" s="383">
        <f t="shared" si="110"/>
        <v>30.363306492804579</v>
      </c>
      <c r="W323" s="402">
        <f t="shared" si="111"/>
        <v>0</v>
      </c>
      <c r="X323" s="157">
        <f t="shared" si="112"/>
        <v>44870</v>
      </c>
      <c r="Y323" s="385">
        <f t="shared" si="113"/>
        <v>27.768402879081304</v>
      </c>
      <c r="Z323" s="385">
        <f t="shared" si="114"/>
        <v>28.765714469269863</v>
      </c>
      <c r="AA323" s="386">
        <f t="shared" si="115"/>
        <v>31.267662292857146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8.0017105217323317E-2</v>
      </c>
      <c r="AD323" s="231">
        <f>(INDEX(Models!$BJ323:$BT323,,AH323)*(1-AF323)+INDEX(Models!$BJ323:$BT323,,AH323+1)*AF323-ERP_i)*AE323*Ramure*Pc/MaxiM</f>
        <v>2.2691861455790673E-4</v>
      </c>
      <c r="AE323" s="305">
        <f t="shared" si="117"/>
        <v>0.5</v>
      </c>
      <c r="AF323" s="177">
        <f t="shared" si="118"/>
        <v>0.49641365658956554</v>
      </c>
      <c r="AG323" s="811">
        <f t="shared" si="124"/>
        <v>0</v>
      </c>
      <c r="AH323" s="176">
        <f t="shared" si="119"/>
        <v>6</v>
      </c>
      <c r="AI323" s="225">
        <f t="shared" si="120"/>
        <v>0.49641365658956554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44871</v>
      </c>
      <c r="B324" s="1140">
        <v>29.584</v>
      </c>
      <c r="C324" s="841"/>
      <c r="D324" s="393">
        <f t="shared" si="102"/>
        <v>30.647190627571945</v>
      </c>
      <c r="E324" s="385">
        <f t="shared" si="125"/>
        <v>32.214623199098511</v>
      </c>
      <c r="F324" s="385">
        <f t="shared" si="103"/>
        <v>32.221934339382955</v>
      </c>
      <c r="G324" s="110">
        <f t="shared" si="126"/>
        <v>0.98341633329714861</v>
      </c>
      <c r="H324" s="414" t="b">
        <f>Wh_hp&gt;='2021'!Maxi_hp</f>
        <v>1</v>
      </c>
      <c r="I324" s="380">
        <f>IF(H324,Wh_hp,'2021'!Maxi_hp)</f>
        <v>32.221934339382955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3.4691291625779219E-2</v>
      </c>
      <c r="M324" s="845"/>
      <c r="N324" s="845"/>
      <c r="O324" s="48">
        <f>IF(t&lt;Tnet,'2021'!Resal+('2021'!Salim-'2021'!Resal)*(1-EXP(('2021'!Tnet-t)/('2021'!Tau_j))),Resal+(Salim-Resal)*(1-EXP((Tnet-t)/(Tau_j))))*Salcycl</f>
        <v>4.8655933730444141E-2</v>
      </c>
      <c r="P324" s="339">
        <f>(INDEX(Models!$BJ324:$BT324,,T324)*(1-R324)+INDEX(Models!$BJ324:$BT324,,T324+1)*R324-ERP_i)*Q324*Ramure*Pc/MaxiM</f>
        <v>2.3240354820576662E-4</v>
      </c>
      <c r="Q324" s="305">
        <f t="shared" si="105"/>
        <v>0.5</v>
      </c>
      <c r="R324" s="177">
        <f t="shared" si="106"/>
        <v>0.49645949395403471</v>
      </c>
      <c r="S324" s="811">
        <f t="shared" si="107"/>
        <v>0</v>
      </c>
      <c r="T324" s="176">
        <f t="shared" si="108"/>
        <v>6</v>
      </c>
      <c r="U324" s="251">
        <f t="shared" si="109"/>
        <v>0.49645949395403471</v>
      </c>
      <c r="V324" s="383">
        <f t="shared" si="110"/>
        <v>30.082718914817086</v>
      </c>
      <c r="W324" s="402">
        <f t="shared" si="111"/>
        <v>0</v>
      </c>
      <c r="X324" s="157">
        <f t="shared" si="112"/>
        <v>44871</v>
      </c>
      <c r="Y324" s="385">
        <f t="shared" si="113"/>
        <v>28.609300187701709</v>
      </c>
      <c r="Z324" s="385">
        <f t="shared" si="114"/>
        <v>29.63746202588981</v>
      </c>
      <c r="AA324" s="386">
        <f t="shared" si="115"/>
        <v>32.214623199098511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7.9999730472738215E-2</v>
      </c>
      <c r="AD324" s="231">
        <f>(INDEX(Models!$BJ324:$BT324,,AH324)*(1-AF324)+INDEX(Models!$BJ324:$BT324,,AH324+1)*AF324-ERP_i)*AE324*Ramure*Pc/MaxiM</f>
        <v>2.3240354820576662E-4</v>
      </c>
      <c r="AE324" s="305">
        <f t="shared" si="117"/>
        <v>0.5</v>
      </c>
      <c r="AF324" s="177">
        <f t="shared" si="118"/>
        <v>0.49645949395403471</v>
      </c>
      <c r="AG324" s="811">
        <f t="shared" si="124"/>
        <v>0</v>
      </c>
      <c r="AH324" s="176">
        <f t="shared" si="119"/>
        <v>6</v>
      </c>
      <c r="AI324" s="225">
        <f t="shared" si="120"/>
        <v>0.49645949395403471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44872</v>
      </c>
      <c r="B325" s="1140">
        <v>27.34</v>
      </c>
      <c r="C325" s="841"/>
      <c r="D325" s="393">
        <f t="shared" si="102"/>
        <v>28.323166042218112</v>
      </c>
      <c r="E325" s="385">
        <f t="shared" si="125"/>
        <v>29.772780923025767</v>
      </c>
      <c r="F325" s="385">
        <f t="shared" si="103"/>
        <v>29.779045864368641</v>
      </c>
      <c r="G325" s="110">
        <f t="shared" si="126"/>
        <v>0.9172607351524853</v>
      </c>
      <c r="H325" s="414" t="b">
        <f>Wh_hp&gt;='2021'!Maxi_hp</f>
        <v>1</v>
      </c>
      <c r="I325" s="380">
        <f>IF(H325,Wh_hp,'2021'!Maxi_hp)</f>
        <v>29.779045864368641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3.4712434363892042E-2</v>
      </c>
      <c r="M325" s="845"/>
      <c r="N325" s="845"/>
      <c r="O325" s="48">
        <f>IF(t&lt;Tnet,'2021'!Resal+('2021'!Salim-'2021'!Resal)*(1-EXP(('2021'!Tnet-t)/('2021'!Tau_j))),Resal+(Salim-Resal)*(1-EXP((Tnet-t)/(Tau_j))))*Salcycl</f>
        <v>4.8689267037414934E-2</v>
      </c>
      <c r="P325" s="339">
        <f>(INDEX(Models!$BJ325:$BT325,,T325)*(1-R325)+INDEX(Models!$BJ325:$BT325,,T325+1)*R325-ERP_i)*Q325*Ramure*Pc/MaxiM</f>
        <v>2.3857087414870873E-4</v>
      </c>
      <c r="Q325" s="305">
        <f t="shared" si="105"/>
        <v>0.5</v>
      </c>
      <c r="R325" s="177">
        <f t="shared" si="106"/>
        <v>0.49650349368170582</v>
      </c>
      <c r="S325" s="811">
        <f t="shared" si="107"/>
        <v>0</v>
      </c>
      <c r="T325" s="176">
        <f t="shared" si="108"/>
        <v>6</v>
      </c>
      <c r="U325" s="251">
        <f t="shared" si="109"/>
        <v>0.49650349368170582</v>
      </c>
      <c r="V325" s="383">
        <f t="shared" si="110"/>
        <v>29.805297529005454</v>
      </c>
      <c r="W325" s="402">
        <f t="shared" si="111"/>
        <v>0</v>
      </c>
      <c r="X325" s="157">
        <f t="shared" si="112"/>
        <v>44872</v>
      </c>
      <c r="Y325" s="385">
        <f t="shared" si="113"/>
        <v>26.440650307486379</v>
      </c>
      <c r="Z325" s="385">
        <f t="shared" si="114"/>
        <v>27.391475088630656</v>
      </c>
      <c r="AA325" s="386">
        <f t="shared" si="115"/>
        <v>29.772780923025767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7.9982647255952111E-2</v>
      </c>
      <c r="AD325" s="231">
        <f>(INDEX(Models!$BJ325:$BT325,,AH325)*(1-AF325)+INDEX(Models!$BJ325:$BT325,,AH325+1)*AF325-ERP_i)*AE325*Ramure*Pc/MaxiM</f>
        <v>2.3857087414870873E-4</v>
      </c>
      <c r="AE325" s="305">
        <f t="shared" si="117"/>
        <v>0.5</v>
      </c>
      <c r="AF325" s="177">
        <f t="shared" si="118"/>
        <v>0.49650349368170582</v>
      </c>
      <c r="AG325" s="811">
        <f t="shared" si="124"/>
        <v>0</v>
      </c>
      <c r="AH325" s="176">
        <f t="shared" si="119"/>
        <v>6</v>
      </c>
      <c r="AI325" s="225">
        <f t="shared" si="120"/>
        <v>0.49650349368170582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44873</v>
      </c>
      <c r="B326" s="1140">
        <v>20.584</v>
      </c>
      <c r="C326" s="841"/>
      <c r="D326" s="393">
        <f t="shared" si="102"/>
        <v>21.324682493695509</v>
      </c>
      <c r="E326" s="385">
        <f t="shared" si="125"/>
        <v>22.416894749995173</v>
      </c>
      <c r="F326" s="385">
        <f t="shared" si="103"/>
        <v>22.420015551342349</v>
      </c>
      <c r="G326" s="110">
        <f t="shared" si="126"/>
        <v>0.69694592138279932</v>
      </c>
      <c r="H326" s="414" t="b">
        <f>Wh_hp&gt;='2021'!Maxi_hp</f>
        <v>0</v>
      </c>
      <c r="I326" s="380">
        <f>IF(H326,Wh_hp,'2021'!Maxi_hp)</f>
        <v>27.215230575971084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3.4733576638924735E-2</v>
      </c>
      <c r="M326" s="845"/>
      <c r="N326" s="845"/>
      <c r="O326" s="48">
        <f>IF(t&lt;Tnet,'2021'!Resal+('2021'!Salim-'2021'!Resal)*(1-EXP(('2021'!Tnet-t)/('2021'!Tau_j))),Resal+(Salim-Resal)*(1-EXP((Tnet-t)/(Tau_j))))*Salcycl</f>
        <v>4.8722727589194686E-2</v>
      </c>
      <c r="P326" s="339">
        <f>(INDEX(Models!$BJ326:$BT326,,T326)*(1-R326)+INDEX(Models!$BJ326:$BT326,,T326+1)*R326-ERP_i)*Q326*Ramure*Pc/MaxiM</f>
        <v>2.4542336094020143E-4</v>
      </c>
      <c r="Q326" s="305">
        <f t="shared" si="105"/>
        <v>0.5</v>
      </c>
      <c r="R326" s="177">
        <f t="shared" si="106"/>
        <v>0.49654572913907186</v>
      </c>
      <c r="S326" s="811">
        <f t="shared" si="107"/>
        <v>0</v>
      </c>
      <c r="T326" s="176">
        <f t="shared" si="108"/>
        <v>6</v>
      </c>
      <c r="U326" s="251">
        <f t="shared" si="109"/>
        <v>0.49654572913907186</v>
      </c>
      <c r="V326" s="383">
        <f t="shared" si="110"/>
        <v>29.531434940586852</v>
      </c>
      <c r="W326" s="402">
        <f t="shared" si="111"/>
        <v>0</v>
      </c>
      <c r="X326" s="157">
        <f t="shared" si="112"/>
        <v>44873</v>
      </c>
      <c r="Y326" s="385">
        <f t="shared" si="113"/>
        <v>19.907950791703396</v>
      </c>
      <c r="Z326" s="385">
        <f t="shared" si="114"/>
        <v>20.624306730139384</v>
      </c>
      <c r="AA326" s="386">
        <f t="shared" si="115"/>
        <v>22.416894749995173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7.9965938184019592E-2</v>
      </c>
      <c r="AD326" s="231">
        <f>(INDEX(Models!$BJ326:$BT326,,AH326)*(1-AF326)+INDEX(Models!$BJ326:$BT326,,AH326+1)*AF326-ERP_i)*AE326*Ramure*Pc/MaxiM</f>
        <v>2.4542336094020143E-4</v>
      </c>
      <c r="AE326" s="305">
        <f t="shared" si="117"/>
        <v>0.5</v>
      </c>
      <c r="AF326" s="177">
        <f t="shared" si="118"/>
        <v>0.49654572913907186</v>
      </c>
      <c r="AG326" s="811">
        <f t="shared" si="124"/>
        <v>0</v>
      </c>
      <c r="AH326" s="176">
        <f t="shared" si="119"/>
        <v>6</v>
      </c>
      <c r="AI326" s="225">
        <f t="shared" si="120"/>
        <v>0.49654572913907186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44874</v>
      </c>
      <c r="B327" s="1140">
        <v>9.625</v>
      </c>
      <c r="C327" s="841"/>
      <c r="D327" s="393">
        <f t="shared" si="102"/>
        <v>9.9715587156799472</v>
      </c>
      <c r="E327" s="385">
        <f t="shared" si="125"/>
        <v>10.482654872986382</v>
      </c>
      <c r="F327" s="385">
        <f t="shared" si="103"/>
        <v>10.482764467192805</v>
      </c>
      <c r="G327" s="110">
        <f t="shared" si="126"/>
        <v>0.32885047001570344</v>
      </c>
      <c r="H327" s="414" t="b">
        <f>Wh_hp&gt;='2021'!Maxi_hp</f>
        <v>0</v>
      </c>
      <c r="I327" s="380">
        <f>IF(H327,Wh_hp,'2021'!Maxi_hp)</f>
        <v>21.819080346731017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3.475471845088729E-2</v>
      </c>
      <c r="M327" s="845"/>
      <c r="N327" s="845"/>
      <c r="O327" s="48">
        <f>IF(t&lt;Tnet,'2021'!Resal+('2021'!Salim-'2021'!Resal)*(1-EXP(('2021'!Tnet-t)/('2021'!Tau_j))),Resal+(Salim-Resal)*(1-EXP((Tnet-t)/(Tau_j))))*Salcycl</f>
        <v>4.8756365968273943E-2</v>
      </c>
      <c r="P327" s="339">
        <f>(INDEX(Models!$BJ327:$BT327,,T327)*(1-R327)+INDEX(Models!$BJ327:$BT327,,T327+1)*R327-ERP_i)*Q327*Ramure*Pc/MaxiM</f>
        <v>2.5296345379948419E-4</v>
      </c>
      <c r="Q327" s="305">
        <f t="shared" si="105"/>
        <v>0.5</v>
      </c>
      <c r="R327" s="177">
        <f t="shared" si="106"/>
        <v>0.49658627078754136</v>
      </c>
      <c r="S327" s="811">
        <f t="shared" si="107"/>
        <v>0</v>
      </c>
      <c r="T327" s="176">
        <f t="shared" si="108"/>
        <v>6</v>
      </c>
      <c r="U327" s="251">
        <f t="shared" si="109"/>
        <v>0.49658627078754136</v>
      </c>
      <c r="V327" s="383">
        <f t="shared" si="110"/>
        <v>29.261523720573859</v>
      </c>
      <c r="W327" s="402">
        <f t="shared" si="111"/>
        <v>0</v>
      </c>
      <c r="X327" s="157">
        <f t="shared" si="112"/>
        <v>44874</v>
      </c>
      <c r="Y327" s="385">
        <f t="shared" si="113"/>
        <v>9.3093756082386818</v>
      </c>
      <c r="Z327" s="385">
        <f t="shared" si="114"/>
        <v>9.6445699204021551</v>
      </c>
      <c r="AA327" s="386">
        <f t="shared" si="115"/>
        <v>10.482654872986382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7.994968476391956E-2</v>
      </c>
      <c r="AD327" s="231">
        <f>(INDEX(Models!$BJ327:$BT327,,AH327)*(1-AF327)+INDEX(Models!$BJ327:$BT327,,AH327+1)*AF327-ERP_i)*AE327*Ramure*Pc/MaxiM</f>
        <v>2.5296345379948419E-4</v>
      </c>
      <c r="AE327" s="305">
        <f t="shared" si="117"/>
        <v>0.5</v>
      </c>
      <c r="AF327" s="177">
        <f t="shared" si="118"/>
        <v>0.49658627078754136</v>
      </c>
      <c r="AG327" s="811">
        <f t="shared" si="124"/>
        <v>0</v>
      </c>
      <c r="AH327" s="176">
        <f t="shared" si="119"/>
        <v>6</v>
      </c>
      <c r="AI327" s="225">
        <f t="shared" si="120"/>
        <v>0.49658627078754136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44875</v>
      </c>
      <c r="B328" s="1140">
        <v>19.988</v>
      </c>
      <c r="C328" s="841"/>
      <c r="D328" s="393">
        <f t="shared" si="102"/>
        <v>20.708143494892305</v>
      </c>
      <c r="E328" s="385">
        <f t="shared" si="125"/>
        <v>21.770322585030552</v>
      </c>
      <c r="F328" s="385">
        <f t="shared" si="103"/>
        <v>21.77348572234126</v>
      </c>
      <c r="G328" s="110">
        <f t="shared" si="126"/>
        <v>0.68925757784487429</v>
      </c>
      <c r="H328" s="414" t="b">
        <f>Wh_hp&gt;='2021'!Maxi_hp</f>
        <v>0</v>
      </c>
      <c r="I328" s="380">
        <f>IF(H328,Wh_hp,'2021'!Maxi_hp)</f>
        <v>21.789231727925742</v>
      </c>
      <c r="J328" s="85">
        <f>IF(H328,An,'2021'!An_max)</f>
        <v>2018</v>
      </c>
      <c r="K328" s="197">
        <f t="shared" si="104"/>
        <v>44875</v>
      </c>
      <c r="L328" s="147">
        <f>IF(t&lt;Tvie,1-EXP((T0-t)*PertePVj)+'2021'!Pspv,1-EXP((T0-t)*PertePVj)+Pspv)</f>
        <v>3.4775859799789921E-2</v>
      </c>
      <c r="M328" s="845"/>
      <c r="N328" s="845"/>
      <c r="O328" s="48">
        <f>IF(t&lt;Tnet,'2021'!Resal+('2021'!Salim-'2021'!Resal)*(1-EXP(('2021'!Tnet-t)/('2021'!Tau_j))),Resal+(Salim-Resal)*(1-EXP((Tnet-t)/(Tau_j))))*Salcycl</f>
        <v>4.879023202295641E-2</v>
      </c>
      <c r="P328" s="339">
        <f>(INDEX(Models!$BJ328:$BT328,,T328)*(1-R328)+INDEX(Models!$BJ328:$BT328,,T328+1)*R328-ERP_i)*Q328*Ramure*Pc/MaxiM</f>
        <v>2.6119321561433992E-4</v>
      </c>
      <c r="Q328" s="305">
        <f t="shared" si="105"/>
        <v>0.5</v>
      </c>
      <c r="R328" s="177">
        <f t="shared" si="106"/>
        <v>0.49662518629657654</v>
      </c>
      <c r="S328" s="811">
        <f t="shared" si="107"/>
        <v>0</v>
      </c>
      <c r="T328" s="176">
        <f t="shared" si="108"/>
        <v>6</v>
      </c>
      <c r="U328" s="251">
        <f t="shared" si="109"/>
        <v>0.49662518629657654</v>
      </c>
      <c r="V328" s="383">
        <f t="shared" si="110"/>
        <v>28.995956413274619</v>
      </c>
      <c r="W328" s="402">
        <f t="shared" si="111"/>
        <v>0</v>
      </c>
      <c r="X328" s="157">
        <f t="shared" si="112"/>
        <v>44875</v>
      </c>
      <c r="Y328" s="385">
        <f t="shared" si="113"/>
        <v>19.33356919412352</v>
      </c>
      <c r="Z328" s="385">
        <f t="shared" si="114"/>
        <v>20.030134337619536</v>
      </c>
      <c r="AA328" s="386">
        <f t="shared" si="115"/>
        <v>21.770322585030552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7.9933967014691062E-2</v>
      </c>
      <c r="AD328" s="231">
        <f>(INDEX(Models!$BJ328:$BT328,,AH328)*(1-AF328)+INDEX(Models!$BJ328:$BT328,,AH328+1)*AF328-ERP_i)*AE328*Ramure*Pc/MaxiM</f>
        <v>2.6119321561433992E-4</v>
      </c>
      <c r="AE328" s="305">
        <f t="shared" si="117"/>
        <v>0.5</v>
      </c>
      <c r="AF328" s="177">
        <f t="shared" si="118"/>
        <v>0.49662518629657654</v>
      </c>
      <c r="AG328" s="811">
        <f t="shared" si="124"/>
        <v>0</v>
      </c>
      <c r="AH328" s="176">
        <f t="shared" si="119"/>
        <v>6</v>
      </c>
      <c r="AI328" s="225">
        <f t="shared" si="120"/>
        <v>0.49662518629657654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44876</v>
      </c>
      <c r="B329" s="1140">
        <v>27.071000000000002</v>
      </c>
      <c r="C329" s="841"/>
      <c r="D329" s="393">
        <f t="shared" si="102"/>
        <v>28.046949728948405</v>
      </c>
      <c r="E329" s="385">
        <f t="shared" si="125"/>
        <v>29.486615280124827</v>
      </c>
      <c r="F329" s="385">
        <f t="shared" si="103"/>
        <v>29.49392290371604</v>
      </c>
      <c r="G329" s="110">
        <f t="shared" si="126"/>
        <v>0.94206635211084044</v>
      </c>
      <c r="H329" s="414" t="b">
        <f>Wh_hp&gt;='2021'!Maxi_hp</f>
        <v>1</v>
      </c>
      <c r="I329" s="380">
        <f>IF(H329,Wh_hp,'2021'!Maxi_hp)</f>
        <v>29.49392290371604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3.4797000685642732E-2</v>
      </c>
      <c r="M329" s="845"/>
      <c r="N329" s="845"/>
      <c r="O329" s="48">
        <f>IF(t&lt;Tnet,'2021'!Resal+('2021'!Salim-'2021'!Resal)*(1-EXP(('2021'!Tnet-t)/('2021'!Tau_j))),Resal+(Salim-Resal)*(1-EXP((Tnet-t)/(Tau_j))))*Salcycl</f>
        <v>4.8824374635728834E-2</v>
      </c>
      <c r="P329" s="339">
        <f>(INDEX(Models!$BJ329:$BT329,,T329)*(1-R329)+INDEX(Models!$BJ329:$BT329,,T329+1)*R329-ERP_i)*Q329*Ramure*Pc/MaxiM</f>
        <v>2.7011426100745042E-4</v>
      </c>
      <c r="Q329" s="305">
        <f t="shared" si="105"/>
        <v>0.5</v>
      </c>
      <c r="R329" s="177">
        <f t="shared" si="106"/>
        <v>0.49666254065257365</v>
      </c>
      <c r="S329" s="811">
        <f t="shared" si="107"/>
        <v>0</v>
      </c>
      <c r="T329" s="176">
        <f t="shared" si="108"/>
        <v>6</v>
      </c>
      <c r="U329" s="251">
        <f t="shared" si="109"/>
        <v>0.49666254065257365</v>
      </c>
      <c r="V329" s="383">
        <f t="shared" si="110"/>
        <v>28.735125534715412</v>
      </c>
      <c r="W329" s="402">
        <f t="shared" si="111"/>
        <v>0</v>
      </c>
      <c r="X329" s="157">
        <f t="shared" si="112"/>
        <v>44876</v>
      </c>
      <c r="Y329" s="385">
        <f t="shared" si="113"/>
        <v>26.186033149854072</v>
      </c>
      <c r="Z329" s="385">
        <f t="shared" si="114"/>
        <v>27.130078510381352</v>
      </c>
      <c r="AA329" s="386">
        <f t="shared" si="115"/>
        <v>29.486615280124827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7.9918863096229184E-2</v>
      </c>
      <c r="AD329" s="231">
        <f>(INDEX(Models!$BJ329:$BT329,,AH329)*(1-AF329)+INDEX(Models!$BJ329:$BT329,,AH329+1)*AF329-ERP_i)*AE329*Ramure*Pc/MaxiM</f>
        <v>2.7011426100745042E-4</v>
      </c>
      <c r="AE329" s="305">
        <f t="shared" si="117"/>
        <v>0.5</v>
      </c>
      <c r="AF329" s="177">
        <f t="shared" si="118"/>
        <v>0.49666254065257365</v>
      </c>
      <c r="AG329" s="811">
        <f t="shared" si="124"/>
        <v>0</v>
      </c>
      <c r="AH329" s="176">
        <f t="shared" si="119"/>
        <v>6</v>
      </c>
      <c r="AI329" s="225">
        <f t="shared" si="120"/>
        <v>0.49666254065257365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44877</v>
      </c>
      <c r="B330" s="1140">
        <v>27.116</v>
      </c>
      <c r="C330" s="841"/>
      <c r="D330" s="393">
        <f t="shared" si="102"/>
        <v>28.094187380543154</v>
      </c>
      <c r="E330" s="385">
        <f t="shared" si="125"/>
        <v>29.537347983904993</v>
      </c>
      <c r="F330" s="385">
        <f t="shared" si="103"/>
        <v>29.545047326085392</v>
      </c>
      <c r="G330" s="110">
        <f t="shared" si="126"/>
        <v>0.95210779233392495</v>
      </c>
      <c r="H330" s="414" t="b">
        <f>Wh_hp&gt;='2021'!Maxi_hp</f>
        <v>1</v>
      </c>
      <c r="I330" s="380">
        <f>IF(H330,Wh_hp,'2021'!Maxi_hp)</f>
        <v>29.545047326085392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3.4818141108455936E-2</v>
      </c>
      <c r="M330" s="845"/>
      <c r="N330" s="845"/>
      <c r="O330" s="48">
        <f>IF(t&lt;Tnet,'2021'!Resal+('2021'!Salim-'2021'!Resal)*(1-EXP(('2021'!Tnet-t)/('2021'!Tau_j))),Resal+(Salim-Resal)*(1-EXP((Tnet-t)/(Tau_j))))*Salcycl</f>
        <v>4.8858841496136354E-2</v>
      </c>
      <c r="P330" s="339">
        <f>(INDEX(Models!$BJ330:$BT330,,T330)*(1-R330)+INDEX(Models!$BJ330:$BT330,,T330+1)*R330-ERP_i)*Q330*Ramure*Pc/MaxiM</f>
        <v>2.7972768266940751E-4</v>
      </c>
      <c r="Q330" s="305">
        <f t="shared" si="105"/>
        <v>0.5</v>
      </c>
      <c r="R330" s="177">
        <f t="shared" si="106"/>
        <v>0.49669839626363688</v>
      </c>
      <c r="S330" s="811">
        <f t="shared" si="107"/>
        <v>0</v>
      </c>
      <c r="T330" s="176">
        <f t="shared" si="108"/>
        <v>6</v>
      </c>
      <c r="U330" s="251">
        <f t="shared" si="109"/>
        <v>0.49669839626363688</v>
      </c>
      <c r="V330" s="383">
        <f t="shared" si="110"/>
        <v>28.479423577556645</v>
      </c>
      <c r="W330" s="402">
        <f t="shared" si="111"/>
        <v>0</v>
      </c>
      <c r="X330" s="157">
        <f t="shared" si="112"/>
        <v>44877</v>
      </c>
      <c r="Y330" s="385">
        <f t="shared" si="113"/>
        <v>26.230923495717438</v>
      </c>
      <c r="Z330" s="385">
        <f t="shared" si="114"/>
        <v>27.177182469884119</v>
      </c>
      <c r="AA330" s="386">
        <f t="shared" si="115"/>
        <v>29.537347983904993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7.9904448947377943E-2</v>
      </c>
      <c r="AD330" s="231">
        <f>(INDEX(Models!$BJ330:$BT330,,AH330)*(1-AF330)+INDEX(Models!$BJ330:$BT330,,AH330+1)*AF330-ERP_i)*AE330*Ramure*Pc/MaxiM</f>
        <v>2.7972768266940751E-4</v>
      </c>
      <c r="AE330" s="305">
        <f t="shared" si="117"/>
        <v>0.5</v>
      </c>
      <c r="AF330" s="177">
        <f t="shared" si="118"/>
        <v>0.49669839626363688</v>
      </c>
      <c r="AG330" s="811">
        <f t="shared" si="124"/>
        <v>0</v>
      </c>
      <c r="AH330" s="176">
        <f t="shared" si="119"/>
        <v>6</v>
      </c>
      <c r="AI330" s="225">
        <f t="shared" si="120"/>
        <v>0.49669839626363688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44878</v>
      </c>
      <c r="B331" s="1140">
        <v>26.193000000000001</v>
      </c>
      <c r="C331" s="841"/>
      <c r="D331" s="393">
        <f t="shared" si="102"/>
        <v>27.138485317751439</v>
      </c>
      <c r="E331" s="385">
        <f t="shared" si="125"/>
        <v>28.533597890283868</v>
      </c>
      <c r="F331" s="385">
        <f t="shared" si="103"/>
        <v>28.541023534692449</v>
      </c>
      <c r="G331" s="110">
        <f t="shared" si="126"/>
        <v>0.92787929043204209</v>
      </c>
      <c r="H331" s="414" t="b">
        <f>Wh_hp&gt;='2021'!Maxi_hp</f>
        <v>0</v>
      </c>
      <c r="I331" s="380">
        <f>IF(H331,Wh_hp,'2021'!Maxi_hp)</f>
        <v>29.179515996539571</v>
      </c>
      <c r="J331" s="85">
        <f>IF(H331,An,'2021'!An_max)</f>
        <v>2020</v>
      </c>
      <c r="K331" s="197">
        <f t="shared" si="104"/>
        <v>44878</v>
      </c>
      <c r="L331" s="147">
        <f>IF(t&lt;Tvie,1-EXP((T0-t)*PertePVj)+'2021'!Pspv,1-EXP((T0-t)*PertePVj)+Pspv)</f>
        <v>3.4839281068239636E-2</v>
      </c>
      <c r="M331" s="845"/>
      <c r="N331" s="845"/>
      <c r="O331" s="48">
        <f>IF(t&lt;Tnet,'2021'!Resal+('2021'!Salim-'2021'!Resal)*(1-EXP(('2021'!Tnet-t)/('2021'!Tau_j))),Resal+(Salim-Resal)*(1-EXP((Tnet-t)/(Tau_j))))*Salcycl</f>
        <v>4.8893678879784228E-2</v>
      </c>
      <c r="P331" s="339">
        <f>(INDEX(Models!$BJ331:$BT331,,T331)*(1-R331)+INDEX(Models!$BJ331:$BT331,,T331+1)*R331-ERP_i)*Q331*Ramure*Pc/MaxiM</f>
        <v>2.9004628615478327E-4</v>
      </c>
      <c r="Q331" s="305">
        <f t="shared" si="105"/>
        <v>0.5</v>
      </c>
      <c r="R331" s="177">
        <f t="shared" si="106"/>
        <v>0.49673281306038758</v>
      </c>
      <c r="S331" s="811">
        <f t="shared" si="107"/>
        <v>0</v>
      </c>
      <c r="T331" s="176">
        <f t="shared" si="108"/>
        <v>6</v>
      </c>
      <c r="U331" s="251">
        <f t="shared" si="109"/>
        <v>0.49673281306038758</v>
      </c>
      <c r="V331" s="383">
        <f t="shared" si="110"/>
        <v>28.228043919961433</v>
      </c>
      <c r="W331" s="402">
        <f t="shared" si="111"/>
        <v>0</v>
      </c>
      <c r="X331" s="157">
        <f t="shared" si="112"/>
        <v>44878</v>
      </c>
      <c r="Y331" s="385">
        <f t="shared" si="113"/>
        <v>25.339354596318387</v>
      </c>
      <c r="Z331" s="385">
        <f t="shared" si="114"/>
        <v>26.254025986847019</v>
      </c>
      <c r="AA331" s="386">
        <f t="shared" si="115"/>
        <v>28.533597890283868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7.9890797935898594E-2</v>
      </c>
      <c r="AD331" s="231">
        <f>(INDEX(Models!$BJ331:$BT331,,AH331)*(1-AF331)+INDEX(Models!$BJ331:$BT331,,AH331+1)*AF331-ERP_i)*AE331*Ramure*Pc/MaxiM</f>
        <v>2.9004628615478327E-4</v>
      </c>
      <c r="AE331" s="305">
        <f t="shared" si="117"/>
        <v>0.5</v>
      </c>
      <c r="AF331" s="177">
        <f t="shared" si="118"/>
        <v>0.49673281306038758</v>
      </c>
      <c r="AG331" s="811">
        <f t="shared" si="124"/>
        <v>0</v>
      </c>
      <c r="AH331" s="176">
        <f t="shared" si="119"/>
        <v>6</v>
      </c>
      <c r="AI331" s="225">
        <f t="shared" si="120"/>
        <v>0.49673281306038758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44879</v>
      </c>
      <c r="B332" s="1140">
        <v>9.2230000000000008</v>
      </c>
      <c r="C332" s="841"/>
      <c r="D332" s="393">
        <f t="shared" si="102"/>
        <v>9.5561307364466934</v>
      </c>
      <c r="E332" s="385">
        <f t="shared" si="125"/>
        <v>10.047756736902647</v>
      </c>
      <c r="F332" s="385">
        <f t="shared" si="103"/>
        <v>10.047884778349957</v>
      </c>
      <c r="G332" s="110">
        <f t="shared" si="126"/>
        <v>0.32953345750049212</v>
      </c>
      <c r="H332" s="414" t="b">
        <f>Wh_hp&gt;='2021'!Maxi_hp</f>
        <v>0</v>
      </c>
      <c r="I332" s="380">
        <f>IF(H332,Wh_hp,'2021'!Maxi_hp)</f>
        <v>19.900379192311398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3.4860420565003936E-2</v>
      </c>
      <c r="M332" s="845"/>
      <c r="N332" s="845"/>
      <c r="O332" s="48">
        <f>IF(t&lt;Tnet,'2021'!Resal+('2021'!Salim-'2021'!Resal)*(1-EXP(('2021'!Tnet-t)/('2021'!Tau_j))),Resal+(Salim-Resal)*(1-EXP((Tnet-t)/(Tau_j))))*Salcycl</f>
        <v>4.8928931435048152E-2</v>
      </c>
      <c r="P332" s="339">
        <f>(INDEX(Models!$BJ332:$BT332,,T332)*(1-R332)+INDEX(Models!$BJ332:$BT332,,T332+1)*R332-ERP_i)*Q332*Ramure*Pc/MaxiM</f>
        <v>3.010678087328529E-4</v>
      </c>
      <c r="Q332" s="305">
        <f t="shared" si="105"/>
        <v>0.5</v>
      </c>
      <c r="R332" s="177">
        <f t="shared" si="106"/>
        <v>0.49676584859294926</v>
      </c>
      <c r="S332" s="811">
        <f t="shared" si="107"/>
        <v>0</v>
      </c>
      <c r="T332" s="176">
        <f t="shared" si="108"/>
        <v>6</v>
      </c>
      <c r="U332" s="251">
        <f t="shared" si="109"/>
        <v>0.49676584859294926</v>
      </c>
      <c r="V332" s="383">
        <f t="shared" si="110"/>
        <v>27.979983633488672</v>
      </c>
      <c r="W332" s="402">
        <f t="shared" si="111"/>
        <v>0</v>
      </c>
      <c r="X332" s="157">
        <f t="shared" si="112"/>
        <v>44879</v>
      </c>
      <c r="Y332" s="385">
        <f t="shared" si="113"/>
        <v>8.9228719767944042</v>
      </c>
      <c r="Z332" s="385">
        <f t="shared" si="114"/>
        <v>9.2451622199743966</v>
      </c>
      <c r="AA332" s="386">
        <f t="shared" si="115"/>
        <v>10.047756736902647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7.9877980522810643E-2</v>
      </c>
      <c r="AD332" s="231">
        <f>(INDEX(Models!$BJ332:$BT332,,AH332)*(1-AF332)+INDEX(Models!$BJ332:$BT332,,AH332+1)*AF332-ERP_i)*AE332*Ramure*Pc/MaxiM</f>
        <v>3.010678087328529E-4</v>
      </c>
      <c r="AE332" s="305">
        <f t="shared" si="117"/>
        <v>0.5</v>
      </c>
      <c r="AF332" s="177">
        <f t="shared" si="118"/>
        <v>0.49676584859294926</v>
      </c>
      <c r="AG332" s="811">
        <f t="shared" si="124"/>
        <v>0</v>
      </c>
      <c r="AH332" s="176">
        <f t="shared" si="119"/>
        <v>6</v>
      </c>
      <c r="AI332" s="225">
        <f t="shared" si="120"/>
        <v>0.49676584859294926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44880</v>
      </c>
      <c r="B333" s="1140">
        <v>11.993</v>
      </c>
      <c r="C333" s="841"/>
      <c r="D333" s="393">
        <f t="shared" si="102"/>
        <v>12.426454099264745</v>
      </c>
      <c r="E333" s="385">
        <f t="shared" si="125"/>
        <v>13.066237752845609</v>
      </c>
      <c r="F333" s="385">
        <f t="shared" si="103"/>
        <v>13.067010049696652</v>
      </c>
      <c r="G333" s="110">
        <f t="shared" si="126"/>
        <v>0.43229891064753367</v>
      </c>
      <c r="H333" s="414" t="b">
        <f>Wh_hp&gt;='2021'!Maxi_hp</f>
        <v>0</v>
      </c>
      <c r="I333" s="380">
        <f>IF(H333,Wh_hp,'2021'!Maxi_hp)</f>
        <v>27.219183293094108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3.4881559598758938E-2</v>
      </c>
      <c r="M333" s="845"/>
      <c r="N333" s="845"/>
      <c r="O333" s="48">
        <f>IF(t&lt;Tnet,'2021'!Resal+('2021'!Salim-'2021'!Resal)*(1-EXP(('2021'!Tnet-t)/('2021'!Tau_j))),Resal+(Salim-Resal)*(1-EXP((Tnet-t)/(Tau_j))))*Salcycl</f>
        <v>4.8964641979021874E-2</v>
      </c>
      <c r="P333" s="339">
        <f>(INDEX(Models!$BJ333:$BT333,,T333)*(1-R333)+INDEX(Models!$BJ333:$BT333,,T333+1)*R333-ERP_i)*Q333*Ramure*Pc/MaxiM</f>
        <v>3.1245703901439104E-4</v>
      </c>
      <c r="Q333" s="305">
        <f t="shared" si="105"/>
        <v>0.5</v>
      </c>
      <c r="R333" s="177">
        <f t="shared" si="106"/>
        <v>0.49679755812424437</v>
      </c>
      <c r="S333" s="811">
        <f t="shared" si="107"/>
        <v>0</v>
      </c>
      <c r="T333" s="176">
        <f t="shared" si="108"/>
        <v>6</v>
      </c>
      <c r="U333" s="251">
        <f t="shared" si="109"/>
        <v>0.49679755812424437</v>
      </c>
      <c r="V333" s="383">
        <f t="shared" si="110"/>
        <v>27.735349425310336</v>
      </c>
      <c r="W333" s="402">
        <f t="shared" si="111"/>
        <v>0</v>
      </c>
      <c r="X333" s="157">
        <f t="shared" si="112"/>
        <v>44880</v>
      </c>
      <c r="Y333" s="385">
        <f t="shared" si="113"/>
        <v>11.603318638003987</v>
      </c>
      <c r="Z333" s="385">
        <f t="shared" si="114"/>
        <v>12.022688772975876</v>
      </c>
      <c r="AA333" s="386">
        <f t="shared" si="115"/>
        <v>13.066237752845609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7.9866063943499419E-2</v>
      </c>
      <c r="AD333" s="231">
        <f>(INDEX(Models!$BJ333:$BT333,,AH333)*(1-AF333)+INDEX(Models!$BJ333:$BT333,,AH333+1)*AF333-ERP_i)*AE333*Ramure*Pc/MaxiM</f>
        <v>3.1245703901439104E-4</v>
      </c>
      <c r="AE333" s="305">
        <f t="shared" si="117"/>
        <v>0.5</v>
      </c>
      <c r="AF333" s="177">
        <f t="shared" si="118"/>
        <v>0.49679755812424437</v>
      </c>
      <c r="AG333" s="811">
        <f t="shared" si="124"/>
        <v>0</v>
      </c>
      <c r="AH333" s="176">
        <f t="shared" si="119"/>
        <v>6</v>
      </c>
      <c r="AI333" s="225">
        <f t="shared" si="120"/>
        <v>0.49679755812424437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44881</v>
      </c>
      <c r="B334" s="1140">
        <v>26.626000000000001</v>
      </c>
      <c r="C334" s="841"/>
      <c r="D334" s="393">
        <f t="shared" si="102"/>
        <v>27.588928027773864</v>
      </c>
      <c r="E334" s="385">
        <f t="shared" si="125"/>
        <v>29.010465535756079</v>
      </c>
      <c r="F334" s="385">
        <f t="shared" si="103"/>
        <v>29.019449729492948</v>
      </c>
      <c r="G334" s="110">
        <f t="shared" si="126"/>
        <v>0.96840690977190413</v>
      </c>
      <c r="H334" s="414" t="b">
        <f>Wh_hp&gt;='2021'!Maxi_hp</f>
        <v>1</v>
      </c>
      <c r="I334" s="380">
        <f>IF(H334,Wh_hp,'2021'!Maxi_hp)</f>
        <v>29.019449729492948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3.4902698169514967E-2</v>
      </c>
      <c r="M334" s="845"/>
      <c r="N334" s="845"/>
      <c r="O334" s="48">
        <f>IF(t&lt;Tnet,'2021'!Resal+('2021'!Salim-'2021'!Resal)*(1-EXP(('2021'!Tnet-t)/('2021'!Tau_j))),Resal+(Salim-Resal)*(1-EXP((Tnet-t)/(Tau_j))))*Salcycl</f>
        <v>4.9000851304165996E-2</v>
      </c>
      <c r="P334" s="339">
        <f>(INDEX(Models!$BJ334:$BT334,,T334)*(1-R334)+INDEX(Models!$BJ334:$BT334,,T334+1)*R334-ERP_i)*Q334*Ramure*Pc/MaxiM</f>
        <v>3.2421853467208013E-4</v>
      </c>
      <c r="Q334" s="305">
        <f t="shared" si="105"/>
        <v>0.5</v>
      </c>
      <c r="R334" s="177">
        <f t="shared" si="106"/>
        <v>0.49682799471973393</v>
      </c>
      <c r="S334" s="811">
        <f t="shared" si="107"/>
        <v>0</v>
      </c>
      <c r="T334" s="176">
        <f t="shared" si="108"/>
        <v>6</v>
      </c>
      <c r="U334" s="251">
        <f t="shared" si="109"/>
        <v>0.49682799471973393</v>
      </c>
      <c r="V334" s="383">
        <f t="shared" si="110"/>
        <v>27.49423839144098</v>
      </c>
      <c r="W334" s="402">
        <f t="shared" si="111"/>
        <v>0</v>
      </c>
      <c r="X334" s="157">
        <f t="shared" si="112"/>
        <v>44881</v>
      </c>
      <c r="Y334" s="385">
        <f t="shared" si="113"/>
        <v>25.762144817836486</v>
      </c>
      <c r="Z334" s="385">
        <f t="shared" si="114"/>
        <v>26.693831563899128</v>
      </c>
      <c r="AA334" s="386">
        <f t="shared" si="115"/>
        <v>29.010465535756079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7.9855111907861265E-2</v>
      </c>
      <c r="AD334" s="231">
        <f>(INDEX(Models!$BJ334:$BT334,,AH334)*(1-AF334)+INDEX(Models!$BJ334:$BT334,,AH334+1)*AF334-ERP_i)*AE334*Ramure*Pc/MaxiM</f>
        <v>3.2421853467208013E-4</v>
      </c>
      <c r="AE334" s="305">
        <f t="shared" si="117"/>
        <v>0.5</v>
      </c>
      <c r="AF334" s="177">
        <f t="shared" si="118"/>
        <v>0.49682799471973393</v>
      </c>
      <c r="AG334" s="811">
        <f t="shared" si="124"/>
        <v>0</v>
      </c>
      <c r="AH334" s="176">
        <f t="shared" si="119"/>
        <v>6</v>
      </c>
      <c r="AI334" s="225">
        <f t="shared" si="120"/>
        <v>0.49682799471973393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44882</v>
      </c>
      <c r="B335" s="1140">
        <v>12.463000000000001</v>
      </c>
      <c r="C335" s="841"/>
      <c r="D335" s="393">
        <f t="shared" ref="D335:D379" si="127">Wh/(1-Ppv)</f>
        <v>12.914006654070489</v>
      </c>
      <c r="E335" s="385">
        <f t="shared" si="125"/>
        <v>13.579933998305767</v>
      </c>
      <c r="F335" s="385">
        <f t="shared" ref="F335:F379" si="128">Wh_sa/(1-Pvg*MEDIAN((-Sdif+Wh/Env_an)/Csdif,0,1))</f>
        <v>13.580960142963372</v>
      </c>
      <c r="G335" s="110">
        <f t="shared" si="126"/>
        <v>0.45712531652583449</v>
      </c>
      <c r="H335" s="414" t="b">
        <f>Wh_hp&gt;='2021'!Maxi_hp</f>
        <v>0</v>
      </c>
      <c r="I335" s="380">
        <f>IF(H335,Wh_hp,'2021'!Maxi_hp)</f>
        <v>28.670073792979203</v>
      </c>
      <c r="J335" s="85">
        <f>IF(H335,An,'2021'!An_max)</f>
        <v>2018</v>
      </c>
      <c r="K335" s="197">
        <f t="shared" ref="K335:K379" si="129">t</f>
        <v>44882</v>
      </c>
      <c r="L335" s="147">
        <f>IF(t&lt;Tvie,1-EXP((T0-t)*PertePVj)+'2021'!Pspv,1-EXP((T0-t)*PertePVj)+Pspv)</f>
        <v>3.4923836277282017E-2</v>
      </c>
      <c r="M335" s="845"/>
      <c r="N335" s="845"/>
      <c r="O335" s="48">
        <f>IF(t&lt;Tnet,'2021'!Resal+('2021'!Salim-'2021'!Resal)*(1-EXP(('2021'!Tnet-t)/('2021'!Tau_j))),Resal+(Salim-Resal)*(1-EXP((Tnet-t)/(Tau_j))))*Salcycl</f>
        <v>4.903759799704175E-2</v>
      </c>
      <c r="P335" s="339">
        <f>(INDEX(Models!$BJ335:$BT335,,T335)*(1-R335)+INDEX(Models!$BJ335:$BT335,,T335+1)*R335-ERP_i)*Q335*Ramure*Pc/MaxiM</f>
        <v>3.3635701036024474E-4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0.49685720933372818</v>
      </c>
      <c r="S335" s="811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0.49685720933372818</v>
      </c>
      <c r="V335" s="383">
        <f t="shared" ref="V335:V379" si="135">MaxiM*(1-Ppv)*(1-Pvg)*(1-Psa)</f>
        <v>27.256747681244001</v>
      </c>
      <c r="W335" s="402">
        <f t="shared" ref="W335:W379" si="136">Wh*(A335&gt;Tmaj)</f>
        <v>0</v>
      </c>
      <c r="X335" s="157">
        <f t="shared" ref="X335:X379" si="137">t</f>
        <v>44882</v>
      </c>
      <c r="Y335" s="385">
        <f t="shared" ref="Y335:Y379" si="138">Wh_pvt_s*(1-Ppv)</f>
        <v>12.059245921442914</v>
      </c>
      <c r="Z335" s="385">
        <f t="shared" ref="Z335:Z379" si="139">Wh_sa_s*(1-Psa_s)</f>
        <v>12.495641665135697</v>
      </c>
      <c r="AA335" s="386">
        <f t="shared" ref="AA335:AA379" si="140">Wh_hp*(1-Pvg_s*MEDIAN((-Sdif+Wh/Env_an)/Csdif,0,1))</f>
        <v>13.579933998305767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7.9845184321613569E-2</v>
      </c>
      <c r="AD335" s="231">
        <f>(INDEX(Models!$BJ335:$BT335,,AH335)*(1-AF335)+INDEX(Models!$BJ335:$BT335,,AH335+1)*AF335-ERP_i)*AE335*Ramure*Pc/MaxiM</f>
        <v>3.3635701036024474E-4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0.49685720933372818</v>
      </c>
      <c r="AG335" s="811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0.49685720933372818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44883</v>
      </c>
      <c r="B336" s="1140">
        <v>14.793000000000001</v>
      </c>
      <c r="C336" s="841"/>
      <c r="D336" s="393">
        <f t="shared" si="127"/>
        <v>15.328659610343754</v>
      </c>
      <c r="E336" s="385">
        <f t="shared" si="125"/>
        <v>16.119734251265569</v>
      </c>
      <c r="F336" s="385">
        <f t="shared" si="128"/>
        <v>16.121722296807903</v>
      </c>
      <c r="G336" s="110">
        <f t="shared" si="126"/>
        <v>0.54729958899149678</v>
      </c>
      <c r="H336" s="414" t="b">
        <f>Wh_hp&gt;='2021'!Maxi_hp</f>
        <v>0</v>
      </c>
      <c r="I336" s="380">
        <f>IF(H336,Wh_hp,'2021'!Maxi_hp)</f>
        <v>27.452705708144066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3.4944973922070188E-2</v>
      </c>
      <c r="M336" s="845"/>
      <c r="N336" s="845"/>
      <c r="O336" s="48">
        <f>IF(t&lt;Tnet,'2021'!Resal+('2021'!Salim-'2021'!Resal)*(1-EXP(('2021'!Tnet-t)/('2021'!Tau_j))),Resal+(Salim-Resal)*(1-EXP((Tnet-t)/(Tau_j))))*Salcycl</f>
        <v>4.907491827042422E-2</v>
      </c>
      <c r="P336" s="339">
        <f>(INDEX(Models!$BJ336:$BT336,,T336)*(1-R336)+INDEX(Models!$BJ336:$BT336,,T336+1)*R336-ERP_i)*Q336*Ramure*Pc/MaxiM</f>
        <v>3.4887730595535002E-4</v>
      </c>
      <c r="Q336" s="305">
        <f t="shared" si="130"/>
        <v>0.5</v>
      </c>
      <c r="R336" s="177">
        <f t="shared" si="131"/>
        <v>0.49688525089239155</v>
      </c>
      <c r="S336" s="811">
        <f t="shared" si="132"/>
        <v>0</v>
      </c>
      <c r="T336" s="176">
        <f t="shared" si="133"/>
        <v>6</v>
      </c>
      <c r="U336" s="251">
        <f t="shared" si="134"/>
        <v>0.49688525089239155</v>
      </c>
      <c r="V336" s="383">
        <f t="shared" si="135"/>
        <v>27.022974507033538</v>
      </c>
      <c r="W336" s="402">
        <f t="shared" si="136"/>
        <v>0</v>
      </c>
      <c r="X336" s="157">
        <f t="shared" si="137"/>
        <v>44883</v>
      </c>
      <c r="Y336" s="385">
        <f t="shared" si="138"/>
        <v>14.314462125182759</v>
      </c>
      <c r="Z336" s="385">
        <f t="shared" si="139"/>
        <v>14.832793714735642</v>
      </c>
      <c r="AA336" s="386">
        <f t="shared" si="140"/>
        <v>16.119734251265569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7.9836337030735449E-2</v>
      </c>
      <c r="AD336" s="231">
        <f>(INDEX(Models!$BJ336:$BT336,,AH336)*(1-AF336)+INDEX(Models!$BJ336:$BT336,,AH336+1)*AF336-ERP_i)*AE336*Ramure*Pc/MaxiM</f>
        <v>3.4887730595535002E-4</v>
      </c>
      <c r="AE336" s="305">
        <f t="shared" si="142"/>
        <v>0.5</v>
      </c>
      <c r="AF336" s="177">
        <f t="shared" si="143"/>
        <v>0.49688525089239155</v>
      </c>
      <c r="AG336" s="811">
        <f t="shared" ref="AG336:AG379" si="149">INDEX(Echel_vg,AH336)</f>
        <v>0</v>
      </c>
      <c r="AH336" s="176">
        <f t="shared" si="144"/>
        <v>6</v>
      </c>
      <c r="AI336" s="225">
        <f t="shared" si="145"/>
        <v>0.49688525089239155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44884</v>
      </c>
      <c r="B337" s="1140">
        <v>7.5760000000000005</v>
      </c>
      <c r="C337" s="841"/>
      <c r="D337" s="393">
        <f t="shared" si="127"/>
        <v>7.8505015079481701</v>
      </c>
      <c r="E337" s="385">
        <f t="shared" si="125"/>
        <v>8.2559759834334852</v>
      </c>
      <c r="F337" s="385">
        <f t="shared" si="128"/>
        <v>8.2559759834334852</v>
      </c>
      <c r="G337" s="110">
        <f t="shared" si="126"/>
        <v>0.28265795398628135</v>
      </c>
      <c r="H337" s="414" t="b">
        <f>Wh_hp&gt;='2021'!Maxi_hp</f>
        <v>0</v>
      </c>
      <c r="I337" s="380">
        <f>IF(H337,Wh_hp,'2021'!Maxi_hp)</f>
        <v>29.080430360791048</v>
      </c>
      <c r="J337" s="85">
        <f>IF(H337,An,'2021'!An_max)</f>
        <v>2020</v>
      </c>
      <c r="K337" s="197">
        <f t="shared" si="129"/>
        <v>44884</v>
      </c>
      <c r="L337" s="147">
        <f>IF(t&lt;Tvie,1-EXP((T0-t)*PertePVj)+'2021'!Pspv,1-EXP((T0-t)*PertePVj)+Pspv)</f>
        <v>3.4966111103889697E-2</v>
      </c>
      <c r="M337" s="845"/>
      <c r="N337" s="845"/>
      <c r="O337" s="48">
        <f>IF(t&lt;Tnet,'2021'!Resal+('2021'!Salim-'2021'!Resal)*(1-EXP(('2021'!Tnet-t)/('2021'!Tau_j))),Resal+(Salim-Resal)*(1-EXP((Tnet-t)/(Tau_j))))*Salcycl</f>
        <v>4.9112845809985754E-2</v>
      </c>
      <c r="P337" s="339">
        <f>(INDEX(Models!$BJ337:$BT337,,T337)*(1-R337)+INDEX(Models!$BJ337:$BT337,,T337+1)*R337-ERP_i)*Q337*Ramure*Pc/MaxiM</f>
        <v>3.6178434850919219E-4</v>
      </c>
      <c r="Q337" s="305">
        <f t="shared" si="130"/>
        <v>0.5</v>
      </c>
      <c r="R337" s="177">
        <f t="shared" si="131"/>
        <v>0.49691216637356206</v>
      </c>
      <c r="S337" s="811">
        <f t="shared" si="132"/>
        <v>0</v>
      </c>
      <c r="T337" s="176">
        <f t="shared" si="133"/>
        <v>6</v>
      </c>
      <c r="U337" s="251">
        <f t="shared" si="134"/>
        <v>0.49691216637356206</v>
      </c>
      <c r="V337" s="383">
        <f t="shared" si="135"/>
        <v>26.793016134770649</v>
      </c>
      <c r="W337" s="402">
        <f t="shared" si="136"/>
        <v>0</v>
      </c>
      <c r="X337" s="157">
        <f t="shared" si="137"/>
        <v>44884</v>
      </c>
      <c r="Y337" s="385">
        <f t="shared" si="138"/>
        <v>7.3312783037500724</v>
      </c>
      <c r="Z337" s="385">
        <f t="shared" si="139"/>
        <v>7.5969128007890232</v>
      </c>
      <c r="AA337" s="386">
        <f t="shared" si="140"/>
        <v>8.2559759834334852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7.9828621590826349E-2</v>
      </c>
      <c r="AD337" s="231">
        <f>(INDEX(Models!$BJ337:$BT337,,AH337)*(1-AF337)+INDEX(Models!$BJ337:$BT337,,AH337+1)*AF337-ERP_i)*AE337*Ramure*Pc/MaxiM</f>
        <v>3.6178434850919219E-4</v>
      </c>
      <c r="AE337" s="305">
        <f t="shared" si="142"/>
        <v>0.5</v>
      </c>
      <c r="AF337" s="177">
        <f t="shared" si="143"/>
        <v>0.49691216637356206</v>
      </c>
      <c r="AG337" s="811">
        <f t="shared" si="149"/>
        <v>0</v>
      </c>
      <c r="AH337" s="176">
        <f t="shared" si="144"/>
        <v>6</v>
      </c>
      <c r="AI337" s="225">
        <f t="shared" si="145"/>
        <v>0.49691216637356206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44885</v>
      </c>
      <c r="B338" s="1140">
        <v>15.141999999999999</v>
      </c>
      <c r="C338" s="841"/>
      <c r="D338" s="393">
        <f t="shared" si="127"/>
        <v>15.690984358327716</v>
      </c>
      <c r="E338" s="385">
        <f t="shared" si="125"/>
        <v>16.502085137798343</v>
      </c>
      <c r="F338" s="385">
        <f t="shared" si="128"/>
        <v>16.504469043951723</v>
      </c>
      <c r="G338" s="110">
        <f t="shared" si="126"/>
        <v>0.56982437814857145</v>
      </c>
      <c r="H338" s="414" t="b">
        <f>Wh_hp&gt;='2021'!Maxi_hp</f>
        <v>0</v>
      </c>
      <c r="I338" s="380">
        <f>IF(H338,Wh_hp,'2021'!Maxi_hp)</f>
        <v>30.110087627610774</v>
      </c>
      <c r="J338" s="85">
        <f>IF(H338,An,'2021'!An_max)</f>
        <v>2019</v>
      </c>
      <c r="K338" s="197">
        <f t="shared" si="129"/>
        <v>44885</v>
      </c>
      <c r="L338" s="147">
        <f>IF(t&lt;Tvie,1-EXP((T0-t)*PertePVj)+'2021'!Pspv,1-EXP((T0-t)*PertePVj)+Pspv)</f>
        <v>3.4987247822750756E-2</v>
      </c>
      <c r="M338" s="845"/>
      <c r="N338" s="845"/>
      <c r="O338" s="48">
        <f>IF(t&lt;Tnet,'2021'!Resal+('2021'!Salim-'2021'!Resal)*(1-EXP(('2021'!Tnet-t)/('2021'!Tau_j))),Resal+(Salim-Resal)*(1-EXP((Tnet-t)/(Tau_j))))*Salcycl</f>
        <v>4.9151411636629082E-2</v>
      </c>
      <c r="P338" s="339">
        <f>(INDEX(Models!$BJ338:$BT338,,T338)*(1-R338)+INDEX(Models!$BJ338:$BT338,,T338+1)*R338-ERP_i)*Q338*Ramure*Pc/MaxiM</f>
        <v>3.7453584686566831E-4</v>
      </c>
      <c r="Q338" s="305">
        <f t="shared" si="130"/>
        <v>0.5</v>
      </c>
      <c r="R338" s="177">
        <f t="shared" si="131"/>
        <v>0.4969380008835011</v>
      </c>
      <c r="S338" s="811">
        <f t="shared" si="132"/>
        <v>0</v>
      </c>
      <c r="T338" s="176">
        <f t="shared" si="133"/>
        <v>6</v>
      </c>
      <c r="U338" s="251">
        <f t="shared" si="134"/>
        <v>0.4969380008835011</v>
      </c>
      <c r="V338" s="383">
        <f t="shared" si="135"/>
        <v>26.566984436761551</v>
      </c>
      <c r="W338" s="402">
        <f t="shared" si="136"/>
        <v>0</v>
      </c>
      <c r="X338" s="157">
        <f t="shared" si="137"/>
        <v>44885</v>
      </c>
      <c r="Y338" s="385">
        <f t="shared" si="138"/>
        <v>14.65357803386857</v>
      </c>
      <c r="Z338" s="385">
        <f t="shared" si="139"/>
        <v>15.184854294212546</v>
      </c>
      <c r="AA338" s="386">
        <f t="shared" si="140"/>
        <v>16.502085137798343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7.9822085062975126E-2</v>
      </c>
      <c r="AD338" s="231">
        <f>(INDEX(Models!$BJ338:$BT338,,AH338)*(1-AF338)+INDEX(Models!$BJ338:$BT338,,AH338+1)*AF338-ERP_i)*AE338*Ramure*Pc/MaxiM</f>
        <v>3.7453584686566831E-4</v>
      </c>
      <c r="AE338" s="305">
        <f t="shared" si="142"/>
        <v>0.5</v>
      </c>
      <c r="AF338" s="177">
        <f t="shared" si="143"/>
        <v>0.4969380008835011</v>
      </c>
      <c r="AG338" s="811">
        <f t="shared" si="149"/>
        <v>0</v>
      </c>
      <c r="AH338" s="176">
        <f t="shared" si="144"/>
        <v>6</v>
      </c>
      <c r="AI338" s="225">
        <f t="shared" si="145"/>
        <v>0.4969380008835011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44886</v>
      </c>
      <c r="B339" s="1140">
        <v>3.2</v>
      </c>
      <c r="C339" s="841"/>
      <c r="D339" s="393">
        <f t="shared" si="127"/>
        <v>3.3160909869095225</v>
      </c>
      <c r="E339" s="385">
        <f t="shared" si="125"/>
        <v>3.4876507745036283</v>
      </c>
      <c r="F339" s="385">
        <f t="shared" si="128"/>
        <v>3.4876507745036283</v>
      </c>
      <c r="G339" s="110">
        <f t="shared" si="126"/>
        <v>0.12141825865187303</v>
      </c>
      <c r="H339" s="414" t="b">
        <f>Wh_hp&gt;='2021'!Maxi_hp</f>
        <v>0</v>
      </c>
      <c r="I339" s="380">
        <f>IF(H339,Wh_hp,'2021'!Maxi_hp)</f>
        <v>29.084066217541494</v>
      </c>
      <c r="J339" s="85">
        <f>IF(H339,An,'2021'!An_max)</f>
        <v>2019</v>
      </c>
      <c r="K339" s="197">
        <f t="shared" si="129"/>
        <v>44886</v>
      </c>
      <c r="L339" s="147">
        <f>IF(t&lt;Tvie,1-EXP((T0-t)*PertePVj)+'2021'!Pspv,1-EXP((T0-t)*PertePVj)+Pspv)</f>
        <v>3.5008384078663357E-2</v>
      </c>
      <c r="M339" s="845"/>
      <c r="N339" s="845"/>
      <c r="O339" s="48">
        <f>IF(t&lt;Tnet,'2021'!Resal+('2021'!Salim-'2021'!Resal)*(1-EXP(('2021'!Tnet-t)/('2021'!Tau_j))),Resal+(Salim-Resal)*(1-EXP((Tnet-t)/(Tau_j))))*Salcycl</f>
        <v>4.9190643985426753E-2</v>
      </c>
      <c r="P339" s="339">
        <f>(INDEX(Models!$BJ339:$BT339,,T339)*(1-R339)+INDEX(Models!$BJ339:$BT339,,T339+1)*R339-ERP_i)*Q339*Ramure*Pc/MaxiM</f>
        <v>3.8679273049448419E-4</v>
      </c>
      <c r="Q339" s="305">
        <f t="shared" si="130"/>
        <v>0.5</v>
      </c>
      <c r="R339" s="177">
        <f t="shared" si="131"/>
        <v>0.49696279773068619</v>
      </c>
      <c r="S339" s="811">
        <f t="shared" si="132"/>
        <v>0</v>
      </c>
      <c r="T339" s="176">
        <f t="shared" si="133"/>
        <v>6</v>
      </c>
      <c r="U339" s="251">
        <f t="shared" si="134"/>
        <v>0.49696279773068619</v>
      </c>
      <c r="V339" s="383">
        <f t="shared" si="135"/>
        <v>26.344985497064474</v>
      </c>
      <c r="W339" s="402">
        <f t="shared" si="136"/>
        <v>0</v>
      </c>
      <c r="X339" s="157">
        <f t="shared" si="137"/>
        <v>44886</v>
      </c>
      <c r="Y339" s="385">
        <f t="shared" si="138"/>
        <v>3.0969261270866029</v>
      </c>
      <c r="Z339" s="385">
        <f t="shared" si="139"/>
        <v>3.2092777553614056</v>
      </c>
      <c r="AA339" s="386">
        <f t="shared" si="140"/>
        <v>3.4876507745036283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7.9816769837525267E-2</v>
      </c>
      <c r="AD339" s="231">
        <f>(INDEX(Models!$BJ339:$BT339,,AH339)*(1-AF339)+INDEX(Models!$BJ339:$BT339,,AH339+1)*AF339-ERP_i)*AE339*Ramure*Pc/MaxiM</f>
        <v>3.8679273049448419E-4</v>
      </c>
      <c r="AE339" s="305">
        <f t="shared" si="142"/>
        <v>0.5</v>
      </c>
      <c r="AF339" s="177">
        <f t="shared" si="143"/>
        <v>0.49696279773068619</v>
      </c>
      <c r="AG339" s="811">
        <f t="shared" si="149"/>
        <v>0</v>
      </c>
      <c r="AH339" s="176">
        <f t="shared" si="144"/>
        <v>6</v>
      </c>
      <c r="AI339" s="225">
        <f t="shared" si="145"/>
        <v>0.49696279773068619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44887</v>
      </c>
      <c r="B340" s="1140">
        <v>7.9550000000000001</v>
      </c>
      <c r="C340" s="841"/>
      <c r="D340" s="393">
        <f t="shared" si="127"/>
        <v>8.2437754976108799</v>
      </c>
      <c r="E340" s="385">
        <f t="shared" si="125"/>
        <v>8.6706358259972873</v>
      </c>
      <c r="F340" s="385">
        <f t="shared" si="128"/>
        <v>8.6706579077862145</v>
      </c>
      <c r="G340" s="110">
        <f t="shared" si="126"/>
        <v>0.30435236909263608</v>
      </c>
      <c r="H340" s="414" t="b">
        <f>Wh_hp&gt;='2021'!Maxi_hp</f>
        <v>0</v>
      </c>
      <c r="I340" s="380">
        <f>IF(H340,Wh_hp,'2021'!Maxi_hp)</f>
        <v>29.591035421411469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3.5029519871637715E-2</v>
      </c>
      <c r="M340" s="845"/>
      <c r="N340" s="845"/>
      <c r="O340" s="48">
        <f>IF(t&lt;Tnet,'2021'!Resal+('2021'!Salim-'2021'!Resal)*(1-EXP(('2021'!Tnet-t)/('2021'!Tau_j))),Resal+(Salim-Resal)*(1-EXP((Tnet-t)/(Tau_j))))*Salcycl</f>
        <v>4.9230568201993591E-2</v>
      </c>
      <c r="P340" s="339">
        <f>(INDEX(Models!$BJ340:$BT340,,T340)*(1-R340)+INDEX(Models!$BJ340:$BT340,,T340+1)*R340-ERP_i)*Q340*Ramure*Pc/MaxiM</f>
        <v>3.9855374629763849E-4</v>
      </c>
      <c r="Q340" s="305">
        <f t="shared" si="130"/>
        <v>0.5</v>
      </c>
      <c r="R340" s="177">
        <f t="shared" si="131"/>
        <v>0.49698659849675481</v>
      </c>
      <c r="S340" s="811">
        <f t="shared" si="132"/>
        <v>0</v>
      </c>
      <c r="T340" s="176">
        <f t="shared" si="133"/>
        <v>6</v>
      </c>
      <c r="U340" s="251">
        <f t="shared" si="134"/>
        <v>0.49698659849675481</v>
      </c>
      <c r="V340" s="383">
        <f t="shared" si="135"/>
        <v>26.127116341616151</v>
      </c>
      <c r="W340" s="402">
        <f t="shared" si="136"/>
        <v>0</v>
      </c>
      <c r="X340" s="157">
        <f t="shared" si="137"/>
        <v>44887</v>
      </c>
      <c r="Y340" s="385">
        <f t="shared" si="138"/>
        <v>7.6991220157011426</v>
      </c>
      <c r="Z340" s="385">
        <f t="shared" si="139"/>
        <v>7.9786088530677022</v>
      </c>
      <c r="AA340" s="386">
        <f t="shared" si="140"/>
        <v>8.6706358259972873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7.9812713486901499E-2</v>
      </c>
      <c r="AD340" s="231">
        <f>(INDEX(Models!$BJ340:$BT340,,AH340)*(1-AF340)+INDEX(Models!$BJ340:$BT340,,AH340+1)*AF340-ERP_i)*AE340*Ramure*Pc/MaxiM</f>
        <v>3.9855374629763849E-4</v>
      </c>
      <c r="AE340" s="305">
        <f t="shared" si="142"/>
        <v>0.5</v>
      </c>
      <c r="AF340" s="177">
        <f t="shared" si="143"/>
        <v>0.49698659849675481</v>
      </c>
      <c r="AG340" s="811">
        <f t="shared" si="149"/>
        <v>0</v>
      </c>
      <c r="AH340" s="176">
        <f t="shared" si="144"/>
        <v>6</v>
      </c>
      <c r="AI340" s="225">
        <f t="shared" si="145"/>
        <v>0.49698659849675481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44888</v>
      </c>
      <c r="B341" s="1140">
        <v>11.922000000000001</v>
      </c>
      <c r="C341" s="841"/>
      <c r="D341" s="393">
        <f t="shared" si="127"/>
        <v>12.355052691902515</v>
      </c>
      <c r="E341" s="385">
        <f t="shared" si="125"/>
        <v>12.995349229362049</v>
      </c>
      <c r="F341" s="385">
        <f t="shared" si="128"/>
        <v>12.996567171835132</v>
      </c>
      <c r="G341" s="110">
        <f t="shared" si="126"/>
        <v>0.45992409254925987</v>
      </c>
      <c r="H341" s="414" t="b">
        <f>Wh_hp&gt;='2021'!Maxi_hp</f>
        <v>0</v>
      </c>
      <c r="I341" s="380">
        <f>IF(H341,Wh_hp,'2021'!Maxi_hp)</f>
        <v>29.56301535081597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3.5050655201684044E-2</v>
      </c>
      <c r="M341" s="845"/>
      <c r="N341" s="845"/>
      <c r="O341" s="48">
        <f>IF(t&lt;Tnet,'2021'!Resal+('2021'!Salim-'2021'!Resal)*(1-EXP(('2021'!Tnet-t)/('2021'!Tau_j))),Resal+(Salim-Resal)*(1-EXP((Tnet-t)/(Tau_j))))*Salcycl</f>
        <v>4.9271206656980836E-2</v>
      </c>
      <c r="P341" s="339">
        <f>(INDEX(Models!$BJ341:$BT341,,T341)*(1-R341)+INDEX(Models!$BJ341:$BT341,,T341+1)*R341-ERP_i)*Q341*Ramure*Pc/MaxiM</f>
        <v>4.098146472292822E-4</v>
      </c>
      <c r="Q341" s="305">
        <f t="shared" si="130"/>
        <v>0.5</v>
      </c>
      <c r="R341" s="177">
        <f t="shared" si="131"/>
        <v>0.49700944310470452</v>
      </c>
      <c r="S341" s="811">
        <f t="shared" si="132"/>
        <v>0</v>
      </c>
      <c r="T341" s="176">
        <f t="shared" si="133"/>
        <v>6</v>
      </c>
      <c r="U341" s="251">
        <f t="shared" si="134"/>
        <v>0.49700944310470452</v>
      </c>
      <c r="V341" s="383">
        <f t="shared" si="135"/>
        <v>25.913474139784171</v>
      </c>
      <c r="W341" s="402">
        <f t="shared" si="136"/>
        <v>0</v>
      </c>
      <c r="X341" s="157">
        <f t="shared" si="137"/>
        <v>44888</v>
      </c>
      <c r="Y341" s="385">
        <f t="shared" si="138"/>
        <v>11.539048642503102</v>
      </c>
      <c r="Z341" s="385">
        <f t="shared" si="139"/>
        <v>11.958191074698204</v>
      </c>
      <c r="AA341" s="386">
        <f t="shared" si="140"/>
        <v>12.995349229362049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7.9809948648433382E-2</v>
      </c>
      <c r="AD341" s="231">
        <f>(INDEX(Models!$BJ341:$BT341,,AH341)*(1-AF341)+INDEX(Models!$BJ341:$BT341,,AH341+1)*AF341-ERP_i)*AE341*Ramure*Pc/MaxiM</f>
        <v>4.098146472292822E-4</v>
      </c>
      <c r="AE341" s="305">
        <f t="shared" si="142"/>
        <v>0.5</v>
      </c>
      <c r="AF341" s="177">
        <f t="shared" si="143"/>
        <v>0.49700944310470452</v>
      </c>
      <c r="AG341" s="811">
        <f t="shared" si="149"/>
        <v>0</v>
      </c>
      <c r="AH341" s="176">
        <f t="shared" si="144"/>
        <v>6</v>
      </c>
      <c r="AI341" s="225">
        <f t="shared" si="145"/>
        <v>0.49700944310470452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44889</v>
      </c>
      <c r="B342" s="1140">
        <v>13.122</v>
      </c>
      <c r="C342" s="841"/>
      <c r="D342" s="393">
        <f t="shared" si="127"/>
        <v>13.598939138628536</v>
      </c>
      <c r="E342" s="385">
        <f t="shared" si="125"/>
        <v>14.304322150108948</v>
      </c>
      <c r="F342" s="385">
        <f t="shared" si="128"/>
        <v>14.306131485403428</v>
      </c>
      <c r="G342" s="110">
        <f t="shared" si="126"/>
        <v>0.5103509443646097</v>
      </c>
      <c r="H342" s="414" t="b">
        <f>Wh_hp&gt;='2021'!Maxi_hp</f>
        <v>0</v>
      </c>
      <c r="I342" s="380">
        <f>IF(H342,Wh_hp,'2021'!Maxi_hp)</f>
        <v>27.223770958160259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3.5071790068812336E-2</v>
      </c>
      <c r="M342" s="845"/>
      <c r="N342" s="845"/>
      <c r="O342" s="48">
        <f>IF(t&lt;Tnet,'2021'!Resal+('2021'!Salim-'2021'!Resal)*(1-EXP(('2021'!Tnet-t)/('2021'!Tau_j))),Resal+(Salim-Resal)*(1-EXP((Tnet-t)/(Tau_j))))*Salcycl</f>
        <v>4.9312578679237863E-2</v>
      </c>
      <c r="P342" s="339">
        <f>(INDEX(Models!$BJ342:$BT342,,T342)*(1-R342)+INDEX(Models!$BJ342:$BT342,,T342+1)*R342-ERP_i)*Q342*Ramure*Pc/MaxiM</f>
        <v>4.2057214954308237E-4</v>
      </c>
      <c r="Q342" s="305">
        <f t="shared" si="130"/>
        <v>0.5</v>
      </c>
      <c r="R342" s="177">
        <f t="shared" si="131"/>
        <v>0.49703136988445251</v>
      </c>
      <c r="S342" s="811">
        <f t="shared" si="132"/>
        <v>0</v>
      </c>
      <c r="T342" s="176">
        <f t="shared" si="133"/>
        <v>6</v>
      </c>
      <c r="U342" s="251">
        <f t="shared" si="134"/>
        <v>0.49703136988445251</v>
      </c>
      <c r="V342" s="383">
        <f t="shared" si="135"/>
        <v>25.704156098729893</v>
      </c>
      <c r="W342" s="402">
        <f t="shared" si="136"/>
        <v>0</v>
      </c>
      <c r="X342" s="157">
        <f t="shared" si="137"/>
        <v>44889</v>
      </c>
      <c r="Y342" s="385">
        <f t="shared" si="138"/>
        <v>12.701075615026131</v>
      </c>
      <c r="Z342" s="385">
        <f t="shared" si="139"/>
        <v>13.162715613767668</v>
      </c>
      <c r="AA342" s="386">
        <f t="shared" si="140"/>
        <v>14.304322150108948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7.9808502937875059E-2</v>
      </c>
      <c r="AD342" s="231">
        <f>(INDEX(Models!$BJ342:$BT342,,AH342)*(1-AF342)+INDEX(Models!$BJ342:$BT342,,AH342+1)*AF342-ERP_i)*AE342*Ramure*Pc/MaxiM</f>
        <v>4.2057214954308237E-4</v>
      </c>
      <c r="AE342" s="305">
        <f t="shared" si="142"/>
        <v>0.5</v>
      </c>
      <c r="AF342" s="177">
        <f t="shared" si="143"/>
        <v>0.49703136988445251</v>
      </c>
      <c r="AG342" s="811">
        <f t="shared" si="149"/>
        <v>0</v>
      </c>
      <c r="AH342" s="176">
        <f t="shared" si="144"/>
        <v>6</v>
      </c>
      <c r="AI342" s="225">
        <f t="shared" si="145"/>
        <v>0.49703136988445251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44890</v>
      </c>
      <c r="B343" s="1140">
        <v>5.0810000000000004</v>
      </c>
      <c r="C343" s="841"/>
      <c r="D343" s="393">
        <f t="shared" si="127"/>
        <v>5.2657920424359004</v>
      </c>
      <c r="E343" s="385">
        <f t="shared" si="125"/>
        <v>5.5391764365216059</v>
      </c>
      <c r="F343" s="385">
        <f t="shared" si="128"/>
        <v>5.5391764365216059</v>
      </c>
      <c r="G343" s="110">
        <f t="shared" si="126"/>
        <v>0.19917484235775298</v>
      </c>
      <c r="H343" s="414" t="b">
        <f>Wh_hp&gt;='2021'!Maxi_hp</f>
        <v>0</v>
      </c>
      <c r="I343" s="380">
        <f>IF(H343,Wh_hp,'2021'!Maxi_hp)</f>
        <v>26.38503248912658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3.5092924473032805E-2</v>
      </c>
      <c r="M343" s="845"/>
      <c r="N343" s="845"/>
      <c r="O343" s="48">
        <f>IF(t&lt;Tnet,'2021'!Resal+('2021'!Salim-'2021'!Resal)*(1-EXP(('2021'!Tnet-t)/('2021'!Tau_j))),Resal+(Salim-Resal)*(1-EXP((Tnet-t)/(Tau_j))))*Salcycl</f>
        <v>4.9354700508038064E-2</v>
      </c>
      <c r="P343" s="339">
        <f>(INDEX(Models!$BJ343:$BT343,,T343)*(1-R343)+INDEX(Models!$BJ343:$BT343,,T343+1)*R343-ERP_i)*Q343*Ramure*Pc/MaxiM</f>
        <v>4.308245353848589E-4</v>
      </c>
      <c r="Q343" s="305">
        <f t="shared" si="130"/>
        <v>0.5</v>
      </c>
      <c r="R343" s="177">
        <f t="shared" si="131"/>
        <v>0.49705241563584984</v>
      </c>
      <c r="S343" s="811">
        <f t="shared" si="132"/>
        <v>0</v>
      </c>
      <c r="T343" s="176">
        <f t="shared" si="133"/>
        <v>6</v>
      </c>
      <c r="U343" s="251">
        <f t="shared" si="134"/>
        <v>0.49705241563584984</v>
      </c>
      <c r="V343" s="383">
        <f t="shared" si="135"/>
        <v>25.499259446698961</v>
      </c>
      <c r="W343" s="402">
        <f t="shared" si="136"/>
        <v>0</v>
      </c>
      <c r="X343" s="157">
        <f t="shared" si="137"/>
        <v>44890</v>
      </c>
      <c r="Y343" s="385">
        <f t="shared" si="138"/>
        <v>4.9182313610742616</v>
      </c>
      <c r="Z343" s="385">
        <f t="shared" si="139"/>
        <v>5.0971036339310238</v>
      </c>
      <c r="AA343" s="386">
        <f t="shared" si="140"/>
        <v>5.5391764365216059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7.9808398894075816E-2</v>
      </c>
      <c r="AD343" s="231">
        <f>(INDEX(Models!$BJ343:$BT343,,AH343)*(1-AF343)+INDEX(Models!$BJ343:$BT343,,AH343+1)*AF343-ERP_i)*AE343*Ramure*Pc/MaxiM</f>
        <v>4.308245353848589E-4</v>
      </c>
      <c r="AE343" s="305">
        <f t="shared" si="142"/>
        <v>0.5</v>
      </c>
      <c r="AF343" s="177">
        <f t="shared" si="143"/>
        <v>0.49705241563584984</v>
      </c>
      <c r="AG343" s="811">
        <f t="shared" si="149"/>
        <v>0</v>
      </c>
      <c r="AH343" s="176">
        <f t="shared" si="144"/>
        <v>6</v>
      </c>
      <c r="AI343" s="225">
        <f t="shared" si="145"/>
        <v>0.49705241563584984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44891</v>
      </c>
      <c r="B344" s="1140">
        <v>10.185</v>
      </c>
      <c r="C344" s="841"/>
      <c r="D344" s="393">
        <f t="shared" si="127"/>
        <v>10.555651772957216</v>
      </c>
      <c r="E344" s="385">
        <f t="shared" si="125"/>
        <v>11.104171007071917</v>
      </c>
      <c r="F344" s="385">
        <f t="shared" si="128"/>
        <v>11.104888013192902</v>
      </c>
      <c r="G344" s="110">
        <f t="shared" si="126"/>
        <v>0.40243558475425634</v>
      </c>
      <c r="H344" s="414" t="b">
        <f>Wh_hp&gt;='2021'!Maxi_hp</f>
        <v>0</v>
      </c>
      <c r="I344" s="380">
        <f>IF(H344,Wh_hp,'2021'!Maxi_hp)</f>
        <v>26.793324525882319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3.5114058414355553E-2</v>
      </c>
      <c r="M344" s="845"/>
      <c r="N344" s="845"/>
      <c r="O344" s="48">
        <f>IF(t&lt;Tnet,'2021'!Resal+('2021'!Salim-'2021'!Resal)*(1-EXP(('2021'!Tnet-t)/('2021'!Tau_j))),Resal+(Salim-Resal)*(1-EXP((Tnet-t)/(Tau_j))))*Salcycl</f>
        <v>4.9397585264615095E-2</v>
      </c>
      <c r="P344" s="339">
        <f>(INDEX(Models!$BJ344:$BT344,,T344)*(1-R344)+INDEX(Models!$BJ344:$BT344,,T344+1)*R344-ERP_i)*Q344*Ramure*Pc/MaxiM</f>
        <v>4.4056959714498036E-4</v>
      </c>
      <c r="Q344" s="305">
        <f t="shared" si="130"/>
        <v>0.5</v>
      </c>
      <c r="R344" s="177">
        <f t="shared" si="131"/>
        <v>0.49707261568924821</v>
      </c>
      <c r="S344" s="811">
        <f t="shared" si="132"/>
        <v>0</v>
      </c>
      <c r="T344" s="176">
        <f t="shared" si="133"/>
        <v>6</v>
      </c>
      <c r="U344" s="251">
        <f t="shared" si="134"/>
        <v>0.49707261568924821</v>
      </c>
      <c r="V344" s="383">
        <f t="shared" si="135"/>
        <v>25.298881483270137</v>
      </c>
      <c r="W344" s="402">
        <f t="shared" si="136"/>
        <v>0</v>
      </c>
      <c r="X344" s="157">
        <f t="shared" si="137"/>
        <v>44891</v>
      </c>
      <c r="Y344" s="385">
        <f t="shared" si="138"/>
        <v>9.8591572346016978</v>
      </c>
      <c r="Z344" s="385">
        <f t="shared" si="139"/>
        <v>10.217950961540243</v>
      </c>
      <c r="AA344" s="386">
        <f t="shared" si="140"/>
        <v>11.104171007071917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7.9809653955010829E-2</v>
      </c>
      <c r="AD344" s="231">
        <f>(INDEX(Models!$BJ344:$BT344,,AH344)*(1-AF344)+INDEX(Models!$BJ344:$BT344,,AH344+1)*AF344-ERP_i)*AE344*Ramure*Pc/MaxiM</f>
        <v>4.4056959714498036E-4</v>
      </c>
      <c r="AE344" s="305">
        <f t="shared" si="142"/>
        <v>0.5</v>
      </c>
      <c r="AF344" s="177">
        <f t="shared" si="143"/>
        <v>0.49707261568924821</v>
      </c>
      <c r="AG344" s="811">
        <f t="shared" si="149"/>
        <v>0</v>
      </c>
      <c r="AH344" s="176">
        <f t="shared" si="144"/>
        <v>6</v>
      </c>
      <c r="AI344" s="225">
        <f t="shared" si="145"/>
        <v>0.49707261568924821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44892</v>
      </c>
      <c r="B345" s="1140">
        <v>14.488</v>
      </c>
      <c r="C345" s="841"/>
      <c r="D345" s="393">
        <f t="shared" si="127"/>
        <v>15.015575112974989</v>
      </c>
      <c r="E345" s="385">
        <f t="shared" si="125"/>
        <v>15.796577540841254</v>
      </c>
      <c r="F345" s="385">
        <f t="shared" si="128"/>
        <v>15.799392271938245</v>
      </c>
      <c r="G345" s="110">
        <f t="shared" si="126"/>
        <v>0.57705690279216548</v>
      </c>
      <c r="H345" s="414" t="b">
        <f>Wh_hp&gt;='2021'!Maxi_hp</f>
        <v>0</v>
      </c>
      <c r="I345" s="380">
        <f>IF(H345,Wh_hp,'2021'!Maxi_hp)</f>
        <v>25.130362962848679</v>
      </c>
      <c r="J345" s="85">
        <f>IF(H345,An,'2021'!An_max)</f>
        <v>2018</v>
      </c>
      <c r="K345" s="197">
        <f t="shared" si="129"/>
        <v>44892</v>
      </c>
      <c r="L345" s="147">
        <f>IF(t&lt;Tvie,1-EXP((T0-t)*PertePVj)+'2021'!Pspv,1-EXP((T0-t)*PertePVj)+Pspv)</f>
        <v>3.5135191892790796E-2</v>
      </c>
      <c r="M345" s="845"/>
      <c r="N345" s="845"/>
      <c r="O345" s="48">
        <f>IF(t&lt;Tnet,'2021'!Resal+('2021'!Salim-'2021'!Resal)*(1-EXP(('2021'!Tnet-t)/('2021'!Tau_j))),Resal+(Salim-Resal)*(1-EXP((Tnet-t)/(Tau_j))))*Salcycl</f>
        <v>4.944124294310092E-2</v>
      </c>
      <c r="P345" s="339">
        <f>(INDEX(Models!$BJ345:$BT345,,T345)*(1-R345)+INDEX(Models!$BJ345:$BT345,,T345+1)*R345-ERP_i)*Q345*Ramure*Pc/MaxiM</f>
        <v>4.4986248597640819E-4</v>
      </c>
      <c r="Q345" s="305">
        <f t="shared" si="130"/>
        <v>0.5</v>
      </c>
      <c r="R345" s="177">
        <f t="shared" si="131"/>
        <v>0.49709200396370878</v>
      </c>
      <c r="S345" s="811">
        <f t="shared" si="132"/>
        <v>0</v>
      </c>
      <c r="T345" s="176">
        <f t="shared" si="133"/>
        <v>6</v>
      </c>
      <c r="U345" s="251">
        <f t="shared" si="134"/>
        <v>0.49709200396370878</v>
      </c>
      <c r="V345" s="383">
        <f t="shared" si="135"/>
        <v>25.099886547748682</v>
      </c>
      <c r="W345" s="402">
        <f t="shared" si="136"/>
        <v>0</v>
      </c>
      <c r="X345" s="157">
        <f t="shared" si="137"/>
        <v>44892</v>
      </c>
      <c r="Y345" s="385">
        <f t="shared" si="138"/>
        <v>14.025097955962703</v>
      </c>
      <c r="Z345" s="385">
        <f t="shared" si="139"/>
        <v>14.535816663762422</v>
      </c>
      <c r="AA345" s="386">
        <f t="shared" si="140"/>
        <v>15.796577540841254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7.9812280465132349E-2</v>
      </c>
      <c r="AD345" s="231">
        <f>(INDEX(Models!$BJ345:$BT345,,AH345)*(1-AF345)+INDEX(Models!$BJ345:$BT345,,AH345+1)*AF345-ERP_i)*AE345*Ramure*Pc/MaxiM</f>
        <v>4.4986248597640819E-4</v>
      </c>
      <c r="AE345" s="305">
        <f t="shared" si="142"/>
        <v>0.5</v>
      </c>
      <c r="AF345" s="177">
        <f t="shared" si="143"/>
        <v>0.49709200396370878</v>
      </c>
      <c r="AG345" s="811">
        <f t="shared" si="149"/>
        <v>0</v>
      </c>
      <c r="AH345" s="176">
        <f t="shared" si="144"/>
        <v>6</v>
      </c>
      <c r="AI345" s="225">
        <f t="shared" si="145"/>
        <v>0.49709200396370878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44893</v>
      </c>
      <c r="B346" s="1140">
        <v>10.502000000000001</v>
      </c>
      <c r="C346" s="841"/>
      <c r="D346" s="393">
        <f t="shared" si="127"/>
        <v>10.884664812672794</v>
      </c>
      <c r="E346" s="385">
        <f t="shared" si="125"/>
        <v>11.451342276980704</v>
      </c>
      <c r="F346" s="385">
        <f t="shared" si="128"/>
        <v>11.452255332305171</v>
      </c>
      <c r="G346" s="110">
        <f t="shared" si="126"/>
        <v>0.42160731087485825</v>
      </c>
      <c r="H346" s="414" t="b">
        <f>Wh_hp&gt;='2021'!Maxi_hp</f>
        <v>0</v>
      </c>
      <c r="I346" s="380">
        <f>IF(H346,Wh_hp,'2021'!Maxi_hp)</f>
        <v>18.630206084198146</v>
      </c>
      <c r="J346" s="85">
        <f>IF(H346,An,'2021'!An_max)</f>
        <v>2018</v>
      </c>
      <c r="K346" s="197">
        <f t="shared" si="129"/>
        <v>44893</v>
      </c>
      <c r="L346" s="147">
        <f>IF(t&lt;Tvie,1-EXP((T0-t)*PertePVj)+'2021'!Pspv,1-EXP((T0-t)*PertePVj)+Pspv)</f>
        <v>3.5156324908348524E-2</v>
      </c>
      <c r="M346" s="845"/>
      <c r="N346" s="845"/>
      <c r="O346" s="48">
        <f>IF(t&lt;Tnet,'2021'!Resal+('2021'!Salim-'2021'!Resal)*(1-EXP(('2021'!Tnet-t)/('2021'!Tau_j))),Resal+(Salim-Resal)*(1-EXP((Tnet-t)/(Tau_j))))*Salcycl</f>
        <v>4.9485680420804021E-2</v>
      </c>
      <c r="P346" s="339">
        <f>(INDEX(Models!$BJ346:$BT346,,T346)*(1-R346)+INDEX(Models!$BJ346:$BT346,,T346+1)*R346-ERP_i)*Q346*Ramure*Pc/MaxiM</f>
        <v>4.5832599520817676E-4</v>
      </c>
      <c r="Q346" s="305">
        <f t="shared" si="130"/>
        <v>0.5</v>
      </c>
      <c r="R346" s="177">
        <f t="shared" si="131"/>
        <v>0.49711061302294351</v>
      </c>
      <c r="S346" s="811">
        <f t="shared" si="132"/>
        <v>0</v>
      </c>
      <c r="T346" s="176">
        <f t="shared" si="133"/>
        <v>6</v>
      </c>
      <c r="U346" s="251">
        <f t="shared" si="134"/>
        <v>0.49711061302294351</v>
      </c>
      <c r="V346" s="383">
        <f t="shared" si="135"/>
        <v>24.900003787398457</v>
      </c>
      <c r="W346" s="402">
        <f t="shared" si="136"/>
        <v>0</v>
      </c>
      <c r="X346" s="157">
        <f t="shared" si="137"/>
        <v>44893</v>
      </c>
      <c r="Y346" s="385">
        <f t="shared" si="138"/>
        <v>10.166884568043546</v>
      </c>
      <c r="Z346" s="385">
        <f t="shared" si="139"/>
        <v>10.537338669995203</v>
      </c>
      <c r="AA346" s="386">
        <f t="shared" si="140"/>
        <v>11.451342276980704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7.9816285713755625E-2</v>
      </c>
      <c r="AD346" s="231">
        <f>(INDEX(Models!$BJ346:$BT346,,AH346)*(1-AF346)+INDEX(Models!$BJ346:$BT346,,AH346+1)*AF346-ERP_i)*AE346*Ramure*Pc/MaxiM</f>
        <v>4.5832599520817676E-4</v>
      </c>
      <c r="AE346" s="305">
        <f t="shared" si="142"/>
        <v>0.5</v>
      </c>
      <c r="AF346" s="177">
        <f t="shared" si="143"/>
        <v>0.49711061302294351</v>
      </c>
      <c r="AG346" s="811">
        <f t="shared" si="149"/>
        <v>0</v>
      </c>
      <c r="AH346" s="176">
        <f t="shared" si="144"/>
        <v>6</v>
      </c>
      <c r="AI346" s="225">
        <f t="shared" si="145"/>
        <v>0.49711061302294351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44894</v>
      </c>
      <c r="B347" s="1140">
        <v>14.612</v>
      </c>
      <c r="C347" s="841"/>
      <c r="D347" s="393">
        <f t="shared" si="127"/>
        <v>15.144753937390456</v>
      </c>
      <c r="E347" s="385">
        <f t="shared" si="125"/>
        <v>15.933978244104971</v>
      </c>
      <c r="F347" s="385">
        <f t="shared" si="128"/>
        <v>15.937071310584333</v>
      </c>
      <c r="G347" s="110">
        <f t="shared" si="126"/>
        <v>0.59140344759967889</v>
      </c>
      <c r="H347" s="414" t="b">
        <f>Wh_hp&gt;='2021'!Maxi_hp</f>
        <v>0</v>
      </c>
      <c r="I347" s="380">
        <f>IF(H347,Wh_hp,'2021'!Maxi_hp)</f>
        <v>26.41641779115476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3.5177457461039063E-2</v>
      </c>
      <c r="M347" s="845"/>
      <c r="N347" s="845"/>
      <c r="O347" s="48">
        <f>IF(t&lt;Tnet,'2021'!Resal+('2021'!Salim-'2021'!Resal)*(1-EXP(('2021'!Tnet-t)/('2021'!Tau_j))),Resal+(Salim-Resal)*(1-EXP((Tnet-t)/(Tau_j))))*Salcycl</f>
        <v>4.9530901487611863E-2</v>
      </c>
      <c r="P347" s="339">
        <f>(INDEX(Models!$BJ347:$BT347,,T347)*(1-R347)+INDEX(Models!$BJ347:$BT347,,T347+1)*R347-ERP_i)*Q347*Ramure*Pc/MaxiM</f>
        <v>4.6595547175158663E-4</v>
      </c>
      <c r="Q347" s="305">
        <f t="shared" si="130"/>
        <v>0.5</v>
      </c>
      <c r="R347" s="177">
        <f t="shared" si="131"/>
        <v>0.49712847412907268</v>
      </c>
      <c r="S347" s="811">
        <f t="shared" si="132"/>
        <v>0</v>
      </c>
      <c r="T347" s="176">
        <f t="shared" si="133"/>
        <v>6</v>
      </c>
      <c r="U347" s="251">
        <f t="shared" si="134"/>
        <v>0.49712847412907268</v>
      </c>
      <c r="V347" s="383">
        <f t="shared" si="135"/>
        <v>24.700611136850412</v>
      </c>
      <c r="W347" s="402">
        <f t="shared" si="136"/>
        <v>0</v>
      </c>
      <c r="X347" s="157">
        <f t="shared" si="137"/>
        <v>44894</v>
      </c>
      <c r="Y347" s="385">
        <f t="shared" si="138"/>
        <v>14.146326008623042</v>
      </c>
      <c r="Z347" s="385">
        <f t="shared" si="139"/>
        <v>14.66210145898596</v>
      </c>
      <c r="AA347" s="386">
        <f t="shared" si="140"/>
        <v>15.933978244104971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7.9821672003949351E-2</v>
      </c>
      <c r="AD347" s="231">
        <f>(INDEX(Models!$BJ347:$BT347,,AH347)*(1-AF347)+INDEX(Models!$BJ347:$BT347,,AH347+1)*AF347-ERP_i)*AE347*Ramure*Pc/MaxiM</f>
        <v>4.6595547175158663E-4</v>
      </c>
      <c r="AE347" s="305">
        <f t="shared" si="142"/>
        <v>0.5</v>
      </c>
      <c r="AF347" s="177">
        <f t="shared" si="143"/>
        <v>0.49712847412907268</v>
      </c>
      <c r="AG347" s="811">
        <f t="shared" si="149"/>
        <v>0</v>
      </c>
      <c r="AH347" s="176">
        <f t="shared" si="144"/>
        <v>6</v>
      </c>
      <c r="AI347" s="225">
        <f t="shared" si="145"/>
        <v>0.49712847412907268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44895</v>
      </c>
      <c r="B348" s="1140">
        <v>4.0709999999999997</v>
      </c>
      <c r="C348" s="841"/>
      <c r="D348" s="393">
        <f t="shared" si="127"/>
        <v>4.2195211946310236</v>
      </c>
      <c r="E348" s="385">
        <f t="shared" si="125"/>
        <v>4.4396240213842271</v>
      </c>
      <c r="F348" s="385">
        <f t="shared" si="128"/>
        <v>4.4396240213842271</v>
      </c>
      <c r="G348" s="110">
        <f t="shared" si="126"/>
        <v>0.16606379375467778</v>
      </c>
      <c r="H348" s="414" t="b">
        <f>Wh_hp&gt;='2021'!Maxi_hp</f>
        <v>0</v>
      </c>
      <c r="I348" s="380">
        <f>IF(H348,Wh_hp,'2021'!Maxi_hp)</f>
        <v>25.687652657075112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3.5198589550872406E-2</v>
      </c>
      <c r="M348" s="845"/>
      <c r="N348" s="845"/>
      <c r="O348" s="48">
        <f>IF(t&lt;Tnet,'2021'!Resal+('2021'!Salim-'2021'!Resal)*(1-EXP(('2021'!Tnet-t)/('2021'!Tau_j))),Resal+(Salim-Resal)*(1-EXP((Tnet-t)/(Tau_j))))*Salcycl</f>
        <v>4.9576906894151333E-2</v>
      </c>
      <c r="P348" s="339">
        <f>(INDEX(Models!$BJ348:$BT348,,T348)*(1-R348)+INDEX(Models!$BJ348:$BT348,,T348+1)*R348-ERP_i)*Q348*Ramure*Pc/MaxiM</f>
        <v>4.7272286821802467E-4</v>
      </c>
      <c r="Q348" s="305">
        <f t="shared" si="130"/>
        <v>0.5</v>
      </c>
      <c r="R348" s="177">
        <f t="shared" si="131"/>
        <v>0.49714561729428175</v>
      </c>
      <c r="S348" s="811">
        <f t="shared" si="132"/>
        <v>0</v>
      </c>
      <c r="T348" s="176">
        <f t="shared" si="133"/>
        <v>6</v>
      </c>
      <c r="U348" s="251">
        <f t="shared" si="134"/>
        <v>0.49714561729428175</v>
      </c>
      <c r="V348" s="383">
        <f t="shared" si="135"/>
        <v>24.503086754808432</v>
      </c>
      <c r="W348" s="402">
        <f t="shared" si="136"/>
        <v>0</v>
      </c>
      <c r="X348" s="157">
        <f t="shared" si="137"/>
        <v>44895</v>
      </c>
      <c r="Y348" s="385">
        <f t="shared" si="138"/>
        <v>3.9414219426682471</v>
      </c>
      <c r="Z348" s="385">
        <f t="shared" si="139"/>
        <v>4.0852157759942163</v>
      </c>
      <c r="AA348" s="386">
        <f t="shared" si="140"/>
        <v>4.4396240213842271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7.9828436751162038E-2</v>
      </c>
      <c r="AD348" s="231">
        <f>(INDEX(Models!$BJ348:$BT348,,AH348)*(1-AF348)+INDEX(Models!$BJ348:$BT348,,AH348+1)*AF348-ERP_i)*AE348*Ramure*Pc/MaxiM</f>
        <v>4.7272286821802467E-4</v>
      </c>
      <c r="AE348" s="305">
        <f t="shared" si="142"/>
        <v>0.5</v>
      </c>
      <c r="AF348" s="177">
        <f t="shared" si="143"/>
        <v>0.49714561729428175</v>
      </c>
      <c r="AG348" s="811">
        <f t="shared" si="149"/>
        <v>0</v>
      </c>
      <c r="AH348" s="176">
        <f t="shared" si="144"/>
        <v>6</v>
      </c>
      <c r="AI348" s="225">
        <f t="shared" si="145"/>
        <v>0.49714561729428175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44896</v>
      </c>
      <c r="B349" s="1140">
        <v>3.5030000000000001</v>
      </c>
      <c r="C349" s="841"/>
      <c r="D349" s="393">
        <f t="shared" si="127"/>
        <v>3.6308785294374619</v>
      </c>
      <c r="E349" s="385">
        <f t="shared" si="125"/>
        <v>3.8204640710341429</v>
      </c>
      <c r="F349" s="385">
        <f t="shared" si="128"/>
        <v>3.8204640710341429</v>
      </c>
      <c r="G349" s="110">
        <f t="shared" si="126"/>
        <v>0.14403517444332009</v>
      </c>
      <c r="H349" s="414" t="b">
        <f>Wh_hp&gt;='2021'!Maxi_hp</f>
        <v>0</v>
      </c>
      <c r="I349" s="380">
        <f>IF(H349,Wh_hp,'2021'!Maxi_hp)</f>
        <v>26.512351889003813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3.5219721177858876E-2</v>
      </c>
      <c r="M349" s="845"/>
      <c r="N349" s="845"/>
      <c r="O349" s="48">
        <f>IF(t&lt;Tnet,'2021'!Resal+('2021'!Salim-'2021'!Resal)*(1-EXP(('2021'!Tnet-t)/('2021'!Tau_j))),Resal+(Salim-Resal)*(1-EXP((Tnet-t)/(Tau_j))))*Salcycl</f>
        <v>4.9623694418192289E-2</v>
      </c>
      <c r="P349" s="339">
        <f>(INDEX(Models!$BJ349:$BT349,,T349)*(1-R349)+INDEX(Models!$BJ349:$BT349,,T349+1)*R349-ERP_i)*Q349*Ramure*Pc/MaxiM</f>
        <v>4.7859640937222288E-4</v>
      </c>
      <c r="Q349" s="305">
        <f t="shared" si="130"/>
        <v>0.5</v>
      </c>
      <c r="R349" s="177">
        <f t="shared" si="131"/>
        <v>0.49716207133045726</v>
      </c>
      <c r="S349" s="811">
        <f t="shared" si="132"/>
        <v>0</v>
      </c>
      <c r="T349" s="176">
        <f t="shared" si="133"/>
        <v>6</v>
      </c>
      <c r="U349" s="251">
        <f t="shared" si="134"/>
        <v>0.49716207133045726</v>
      </c>
      <c r="V349" s="383">
        <f t="shared" si="135"/>
        <v>24.308808527571092</v>
      </c>
      <c r="W349" s="402">
        <f t="shared" si="136"/>
        <v>0</v>
      </c>
      <c r="X349" s="157">
        <f t="shared" si="137"/>
        <v>44896</v>
      </c>
      <c r="Y349" s="385">
        <f t="shared" si="138"/>
        <v>3.391638098733786</v>
      </c>
      <c r="Z349" s="385">
        <f t="shared" si="139"/>
        <v>3.5154513138208956</v>
      </c>
      <c r="AA349" s="386">
        <f t="shared" si="140"/>
        <v>3.8204640710341429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7.9836572610584675E-2</v>
      </c>
      <c r="AD349" s="231">
        <f>(INDEX(Models!$BJ349:$BT349,,AH349)*(1-AF349)+INDEX(Models!$BJ349:$BT349,,AH349+1)*AF349-ERP_i)*AE349*Ramure*Pc/MaxiM</f>
        <v>4.7859640937222288E-4</v>
      </c>
      <c r="AE349" s="305">
        <f t="shared" si="142"/>
        <v>0.5</v>
      </c>
      <c r="AF349" s="177">
        <f t="shared" si="143"/>
        <v>0.49716207133045726</v>
      </c>
      <c r="AG349" s="811">
        <f t="shared" si="149"/>
        <v>0</v>
      </c>
      <c r="AH349" s="176">
        <f t="shared" si="144"/>
        <v>6</v>
      </c>
      <c r="AI349" s="225">
        <f t="shared" si="145"/>
        <v>0.49716207133045726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44897</v>
      </c>
      <c r="B350" s="1140">
        <v>5.8090000000000002</v>
      </c>
      <c r="C350" s="841"/>
      <c r="D350" s="393">
        <f t="shared" si="127"/>
        <v>6.0211919359372565</v>
      </c>
      <c r="E350" s="385">
        <f t="shared" si="125"/>
        <v>6.3359042780037615</v>
      </c>
      <c r="F350" s="385">
        <f t="shared" si="128"/>
        <v>6.3359042780037615</v>
      </c>
      <c r="G350" s="110">
        <f t="shared" si="126"/>
        <v>0.24072946759642747</v>
      </c>
      <c r="H350" s="414" t="b">
        <f>Wh_hp&gt;='2021'!Maxi_hp</f>
        <v>0</v>
      </c>
      <c r="I350" s="380">
        <f>IF(H350,Wh_hp,'2021'!Maxi_hp)</f>
        <v>10.56169638849005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3.5240852342008355E-2</v>
      </c>
      <c r="M350" s="845"/>
      <c r="N350" s="845"/>
      <c r="O350" s="48">
        <f>IF(t&lt;Tnet,'2021'!Resal+('2021'!Salim-'2021'!Resal)*(1-EXP(('2021'!Tnet-t)/('2021'!Tau_j))),Resal+(Salim-Resal)*(1-EXP((Tnet-t)/(Tau_j))))*Salcycl</f>
        <v>4.9671258948637505E-2</v>
      </c>
      <c r="P350" s="339">
        <f>(INDEX(Models!$BJ350:$BT350,,T350)*(1-R350)+INDEX(Models!$BJ350:$BT350,,T350+1)*R350-ERP_i)*Q350*Ramure*Pc/MaxiM</f>
        <v>4.8354096134797515E-4</v>
      </c>
      <c r="Q350" s="305">
        <f t="shared" si="130"/>
        <v>0.5</v>
      </c>
      <c r="R350" s="177">
        <f t="shared" si="131"/>
        <v>0.49717786389687918</v>
      </c>
      <c r="S350" s="811">
        <f t="shared" si="132"/>
        <v>0</v>
      </c>
      <c r="T350" s="176">
        <f t="shared" si="133"/>
        <v>6</v>
      </c>
      <c r="U350" s="251">
        <f t="shared" si="134"/>
        <v>0.49717786389687918</v>
      </c>
      <c r="V350" s="383">
        <f t="shared" si="135"/>
        <v>24.119154038463449</v>
      </c>
      <c r="W350" s="402">
        <f t="shared" si="136"/>
        <v>0</v>
      </c>
      <c r="X350" s="157">
        <f t="shared" si="137"/>
        <v>44897</v>
      </c>
      <c r="Y350" s="385">
        <f t="shared" si="138"/>
        <v>5.6245528123374475</v>
      </c>
      <c r="Z350" s="385">
        <f t="shared" si="139"/>
        <v>5.8300072365122144</v>
      </c>
      <c r="AA350" s="386">
        <f t="shared" si="140"/>
        <v>6.3359042780037615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7.9846067632028506E-2</v>
      </c>
      <c r="AD350" s="231">
        <f>(INDEX(Models!$BJ350:$BT350,,AH350)*(1-AF350)+INDEX(Models!$BJ350:$BT350,,AH350+1)*AF350-ERP_i)*AE350*Ramure*Pc/MaxiM</f>
        <v>4.8354096134797515E-4</v>
      </c>
      <c r="AE350" s="305">
        <f t="shared" si="142"/>
        <v>0.5</v>
      </c>
      <c r="AF350" s="177">
        <f t="shared" si="143"/>
        <v>0.49717786389687918</v>
      </c>
      <c r="AG350" s="811">
        <f t="shared" si="149"/>
        <v>0</v>
      </c>
      <c r="AH350" s="176">
        <f t="shared" si="144"/>
        <v>6</v>
      </c>
      <c r="AI350" s="225">
        <f t="shared" si="145"/>
        <v>0.49717786389687918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44898</v>
      </c>
      <c r="B351" s="1140">
        <v>8.6769999999999996</v>
      </c>
      <c r="C351" s="841"/>
      <c r="D351" s="393">
        <f t="shared" si="127"/>
        <v>8.9941516219835318</v>
      </c>
      <c r="E351" s="385">
        <f t="shared" si="125"/>
        <v>9.4647343582114054</v>
      </c>
      <c r="F351" s="385">
        <f t="shared" si="128"/>
        <v>9.4651464661726497</v>
      </c>
      <c r="G351" s="110">
        <f t="shared" si="126"/>
        <v>0.36235496325315736</v>
      </c>
      <c r="H351" s="414" t="b">
        <f>Wh_hp&gt;='2021'!Maxi_hp</f>
        <v>0</v>
      </c>
      <c r="I351" s="380">
        <f>IF(H351,Wh_hp,'2021'!Maxi_hp)</f>
        <v>17.22212353344614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3.5261983043331169E-2</v>
      </c>
      <c r="M351" s="845"/>
      <c r="N351" s="845"/>
      <c r="O351" s="48">
        <f>IF(t&lt;Tnet,'2021'!Resal+('2021'!Salim-'2021'!Resal)*(1-EXP(('2021'!Tnet-t)/('2021'!Tau_j))),Resal+(Salim-Resal)*(1-EXP((Tnet-t)/(Tau_j))))*Salcycl</f>
        <v>4.9719592586304963E-2</v>
      </c>
      <c r="P351" s="339">
        <f>(INDEX(Models!$BJ351:$BT351,,T351)*(1-R351)+INDEX(Models!$BJ351:$BT351,,T351+1)*R351-ERP_i)*Q351*Ramure*Pc/MaxiM</f>
        <v>4.8751847802520036E-4</v>
      </c>
      <c r="Q351" s="305">
        <f t="shared" si="130"/>
        <v>0.5</v>
      </c>
      <c r="R351" s="177">
        <f t="shared" si="131"/>
        <v>0.49719302154604178</v>
      </c>
      <c r="S351" s="811">
        <f t="shared" si="132"/>
        <v>0</v>
      </c>
      <c r="T351" s="176">
        <f t="shared" si="133"/>
        <v>6</v>
      </c>
      <c r="U351" s="251">
        <f t="shared" si="134"/>
        <v>0.49719302154604178</v>
      </c>
      <c r="V351" s="383">
        <f t="shared" si="135"/>
        <v>23.935500562766318</v>
      </c>
      <c r="W351" s="402">
        <f t="shared" si="136"/>
        <v>0</v>
      </c>
      <c r="X351" s="157">
        <f t="shared" si="137"/>
        <v>44898</v>
      </c>
      <c r="Y351" s="385">
        <f t="shared" si="138"/>
        <v>8.4018165261547182</v>
      </c>
      <c r="Z351" s="385">
        <f t="shared" si="139"/>
        <v>8.7089099615446024</v>
      </c>
      <c r="AA351" s="386">
        <f t="shared" si="140"/>
        <v>9.4647343582114054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7.985690544088693E-2</v>
      </c>
      <c r="AD351" s="231">
        <f>(INDEX(Models!$BJ351:$BT351,,AH351)*(1-AF351)+INDEX(Models!$BJ351:$BT351,,AH351+1)*AF351-ERP_i)*AE351*Ramure*Pc/MaxiM</f>
        <v>4.8751847802520036E-4</v>
      </c>
      <c r="AE351" s="305">
        <f t="shared" si="142"/>
        <v>0.5</v>
      </c>
      <c r="AF351" s="177">
        <f t="shared" si="143"/>
        <v>0.49719302154604178</v>
      </c>
      <c r="AG351" s="811">
        <f t="shared" si="149"/>
        <v>0</v>
      </c>
      <c r="AH351" s="176">
        <f t="shared" si="144"/>
        <v>6</v>
      </c>
      <c r="AI351" s="225">
        <f t="shared" si="145"/>
        <v>0.49719302154604178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44899</v>
      </c>
      <c r="B352" s="1140">
        <v>17.228000000000002</v>
      </c>
      <c r="C352" s="841"/>
      <c r="D352" s="393">
        <f t="shared" si="127"/>
        <v>17.858088976349677</v>
      </c>
      <c r="E352" s="385">
        <f t="shared" si="125"/>
        <v>18.793412393328826</v>
      </c>
      <c r="F352" s="385">
        <f t="shared" si="128"/>
        <v>18.799014130815127</v>
      </c>
      <c r="G352" s="110">
        <f t="shared" si="126"/>
        <v>0.72496819429103421</v>
      </c>
      <c r="H352" s="414" t="b">
        <f>Wh_hp&gt;='2021'!Maxi_hp</f>
        <v>1</v>
      </c>
      <c r="I352" s="380">
        <f>IF(H352,Wh_hp,'2021'!Maxi_hp)</f>
        <v>18.799014130815127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3.5283113281837308E-2</v>
      </c>
      <c r="M352" s="845"/>
      <c r="N352" s="845"/>
      <c r="O352" s="48">
        <f>IF(t&lt;Tnet,'2021'!Resal+('2021'!Salim-'2021'!Resal)*(1-EXP(('2021'!Tnet-t)/('2021'!Tau_j))),Resal+(Salim-Resal)*(1-EXP((Tnet-t)/(Tau_j))))*Salcycl</f>
        <v>4.9768684760579378E-2</v>
      </c>
      <c r="P352" s="339">
        <f>(INDEX(Models!$BJ352:$BT352,,T352)*(1-R352)+INDEX(Models!$BJ352:$BT352,,T352+1)*R352-ERP_i)*Q352*Ramure*Pc/MaxiM</f>
        <v>4.9066658972432228E-4</v>
      </c>
      <c r="Q352" s="305">
        <f t="shared" si="130"/>
        <v>0.5</v>
      </c>
      <c r="R352" s="177">
        <f t="shared" si="131"/>
        <v>0.49720756976767677</v>
      </c>
      <c r="S352" s="811">
        <f t="shared" si="132"/>
        <v>0</v>
      </c>
      <c r="T352" s="176">
        <f t="shared" si="133"/>
        <v>6</v>
      </c>
      <c r="U352" s="251">
        <f t="shared" si="134"/>
        <v>0.49720756976767677</v>
      </c>
      <c r="V352" s="383">
        <f t="shared" si="135"/>
        <v>23.759220815826346</v>
      </c>
      <c r="W352" s="402">
        <f t="shared" si="136"/>
        <v>0</v>
      </c>
      <c r="X352" s="157">
        <f t="shared" si="137"/>
        <v>44899</v>
      </c>
      <c r="Y352" s="385">
        <f t="shared" si="138"/>
        <v>16.682270397018435</v>
      </c>
      <c r="Z352" s="385">
        <f t="shared" si="139"/>
        <v>17.292400108978374</v>
      </c>
      <c r="AA352" s="386">
        <f t="shared" si="140"/>
        <v>18.793412393328826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7.986906544355267E-2</v>
      </c>
      <c r="AD352" s="231">
        <f>(INDEX(Models!$BJ352:$BT352,,AH352)*(1-AF352)+INDEX(Models!$BJ352:$BT352,,AH352+1)*AF352-ERP_i)*AE352*Ramure*Pc/MaxiM</f>
        <v>4.9066658972432228E-4</v>
      </c>
      <c r="AE352" s="305">
        <f t="shared" si="142"/>
        <v>0.5</v>
      </c>
      <c r="AF352" s="177">
        <f t="shared" si="143"/>
        <v>0.49720756976767677</v>
      </c>
      <c r="AG352" s="811">
        <f t="shared" si="149"/>
        <v>0</v>
      </c>
      <c r="AH352" s="176">
        <f t="shared" si="144"/>
        <v>6</v>
      </c>
      <c r="AI352" s="225">
        <f t="shared" si="145"/>
        <v>0.49720756976767677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44900</v>
      </c>
      <c r="B353" s="1140">
        <v>23.449000000000002</v>
      </c>
      <c r="C353" s="841"/>
      <c r="D353" s="393">
        <f t="shared" si="127"/>
        <v>24.307145368110668</v>
      </c>
      <c r="E353" s="385">
        <f t="shared" si="125"/>
        <v>25.581581982113512</v>
      </c>
      <c r="F353" s="385">
        <f t="shared" si="128"/>
        <v>25.594103955041181</v>
      </c>
      <c r="G353" s="110">
        <f t="shared" si="126"/>
        <v>0.9939479510067365</v>
      </c>
      <c r="H353" s="414" t="b">
        <f>Wh_hp&gt;='2021'!Maxi_hp</f>
        <v>1</v>
      </c>
      <c r="I353" s="380">
        <f>IF(H353,Wh_hp,'2021'!Maxi_hp)</f>
        <v>25.594103955041181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3.5304243057537099E-2</v>
      </c>
      <c r="M353" s="845"/>
      <c r="N353" s="845"/>
      <c r="O353" s="48">
        <f>IF(t&lt;Tnet,'2021'!Resal+('2021'!Salim-'2021'!Resal)*(1-EXP(('2021'!Tnet-t)/('2021'!Tau_j))),Resal+(Salim-Resal)*(1-EXP((Tnet-t)/(Tau_j))))*Salcycl</f>
        <v>4.9818522360889302E-2</v>
      </c>
      <c r="P353" s="339">
        <f>(INDEX(Models!$BJ353:$BT353,,T353)*(1-R353)+INDEX(Models!$BJ353:$BT353,,T353+1)*R353-ERP_i)*Q353*Ramure*Pc/MaxiM</f>
        <v>4.9351609354601007E-4</v>
      </c>
      <c r="Q353" s="305">
        <f t="shared" si="130"/>
        <v>0.5</v>
      </c>
      <c r="R353" s="177">
        <f t="shared" si="131"/>
        <v>0.49722153303104571</v>
      </c>
      <c r="S353" s="811">
        <f t="shared" si="132"/>
        <v>0</v>
      </c>
      <c r="T353" s="176">
        <f t="shared" si="133"/>
        <v>6</v>
      </c>
      <c r="U353" s="251">
        <f t="shared" si="134"/>
        <v>0.49722153303104571</v>
      </c>
      <c r="V353" s="383">
        <f t="shared" si="135"/>
        <v>23.59167795901568</v>
      </c>
      <c r="W353" s="402">
        <f t="shared" si="136"/>
        <v>0</v>
      </c>
      <c r="X353" s="157">
        <f t="shared" si="137"/>
        <v>44900</v>
      </c>
      <c r="Y353" s="385">
        <f t="shared" si="138"/>
        <v>22.70706725464791</v>
      </c>
      <c r="Z353" s="385">
        <f t="shared" si="139"/>
        <v>23.538060669631641</v>
      </c>
      <c r="AA353" s="386">
        <f t="shared" si="140"/>
        <v>25.581581982113512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7.9882523055481491E-2</v>
      </c>
      <c r="AD353" s="231">
        <f>(INDEX(Models!$BJ353:$BT353,,AH353)*(1-AF353)+INDEX(Models!$BJ353:$BT353,,AH353+1)*AF353-ERP_i)*AE353*Ramure*Pc/MaxiM</f>
        <v>4.9351609354601007E-4</v>
      </c>
      <c r="AE353" s="305">
        <f t="shared" si="142"/>
        <v>0.5</v>
      </c>
      <c r="AF353" s="177">
        <f t="shared" si="143"/>
        <v>0.49722153303104571</v>
      </c>
      <c r="AG353" s="811">
        <f t="shared" si="149"/>
        <v>0</v>
      </c>
      <c r="AH353" s="176">
        <f t="shared" si="144"/>
        <v>6</v>
      </c>
      <c r="AI353" s="225">
        <f t="shared" si="145"/>
        <v>0.49722153303104571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44901</v>
      </c>
      <c r="B354" s="1140">
        <v>10.86</v>
      </c>
      <c r="C354" s="841"/>
      <c r="D354" s="393">
        <f t="shared" si="127"/>
        <v>11.257681801671994</v>
      </c>
      <c r="E354" s="385">
        <f t="shared" si="125"/>
        <v>11.848558637327296</v>
      </c>
      <c r="F354" s="385">
        <f t="shared" si="128"/>
        <v>11.849930917874318</v>
      </c>
      <c r="G354" s="110">
        <f t="shared" si="126"/>
        <v>0.46324806640408916</v>
      </c>
      <c r="H354" s="414" t="b">
        <f>Wh_hp&gt;='2021'!Maxi_hp</f>
        <v>0</v>
      </c>
      <c r="I354" s="380">
        <f>IF(H354,Wh_hp,'2021'!Maxi_hp)</f>
        <v>20.632916228723204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3.5325372370440533E-2</v>
      </c>
      <c r="M354" s="845"/>
      <c r="N354" s="845"/>
      <c r="O354" s="48">
        <f>IF(t&lt;Tnet,'2021'!Resal+('2021'!Salim-'2021'!Resal)*(1-EXP(('2021'!Tnet-t)/('2021'!Tau_j))),Resal+(Salim-Resal)*(1-EXP((Tnet-t)/(Tau_j))))*Salcycl</f>
        <v>4.9869089881854657E-2</v>
      </c>
      <c r="P354" s="339">
        <f>(INDEX(Models!$BJ354:$BT354,,T354)*(1-R354)+INDEX(Models!$BJ354:$BT354,,T354+1)*R354-ERP_i)*Q354*Ramure*Pc/MaxiM</f>
        <v>4.9603065227153144E-4</v>
      </c>
      <c r="Q354" s="305">
        <f t="shared" si="130"/>
        <v>0.5</v>
      </c>
      <c r="R354" s="177">
        <f t="shared" si="131"/>
        <v>0.49723493482556869</v>
      </c>
      <c r="S354" s="811">
        <f t="shared" si="132"/>
        <v>0</v>
      </c>
      <c r="T354" s="176">
        <f t="shared" si="133"/>
        <v>6</v>
      </c>
      <c r="U354" s="251">
        <f t="shared" si="134"/>
        <v>0.49723493482556869</v>
      </c>
      <c r="V354" s="383">
        <f t="shared" si="135"/>
        <v>23.4342484250318</v>
      </c>
      <c r="W354" s="402">
        <f t="shared" si="136"/>
        <v>0</v>
      </c>
      <c r="X354" s="157">
        <f t="shared" si="137"/>
        <v>44901</v>
      </c>
      <c r="Y354" s="385">
        <f t="shared" si="138"/>
        <v>10.516778013570033</v>
      </c>
      <c r="Z354" s="385">
        <f t="shared" si="139"/>
        <v>10.901891386334393</v>
      </c>
      <c r="AA354" s="386">
        <f t="shared" si="140"/>
        <v>11.848558637327296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7.989724994992678E-2</v>
      </c>
      <c r="AD354" s="231">
        <f>(INDEX(Models!$BJ354:$BT354,,AH354)*(1-AF354)+INDEX(Models!$BJ354:$BT354,,AH354+1)*AF354-ERP_i)*AE354*Ramure*Pc/MaxiM</f>
        <v>4.9603065227153144E-4</v>
      </c>
      <c r="AE354" s="305">
        <f t="shared" si="142"/>
        <v>0.5</v>
      </c>
      <c r="AF354" s="177">
        <f t="shared" si="143"/>
        <v>0.49723493482556869</v>
      </c>
      <c r="AG354" s="811">
        <f t="shared" si="149"/>
        <v>0</v>
      </c>
      <c r="AH354" s="176">
        <f t="shared" si="144"/>
        <v>6</v>
      </c>
      <c r="AI354" s="225">
        <f t="shared" si="145"/>
        <v>0.49723493482556869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44902</v>
      </c>
      <c r="B355" s="1140">
        <v>19.705000000000002</v>
      </c>
      <c r="C355" s="841"/>
      <c r="D355" s="393">
        <f t="shared" si="127"/>
        <v>20.427023822473423</v>
      </c>
      <c r="E355" s="385">
        <f t="shared" si="125"/>
        <v>21.500328149822067</v>
      </c>
      <c r="F355" s="385">
        <f t="shared" si="128"/>
        <v>21.50868791118263</v>
      </c>
      <c r="G355" s="110">
        <f t="shared" si="126"/>
        <v>0.84604004688318191</v>
      </c>
      <c r="H355" s="414" t="b">
        <f>Wh_hp&gt;='2021'!Maxi_hp</f>
        <v>1</v>
      </c>
      <c r="I355" s="380">
        <f>IF(H355,Wh_hp,'2021'!Maxi_hp)</f>
        <v>21.50868791118263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3.5346501220557824E-2</v>
      </c>
      <c r="M355" s="845"/>
      <c r="N355" s="845"/>
      <c r="O355" s="48">
        <f>IF(t&lt;Tnet,'2021'!Resal+('2021'!Salim-'2021'!Resal)*(1-EXP(('2021'!Tnet-t)/('2021'!Tau_j))),Resal+(Salim-Resal)*(1-EXP((Tnet-t)/(Tau_j))))*Salcycl</f>
        <v>4.9920369580848833E-2</v>
      </c>
      <c r="P355" s="339">
        <f>(INDEX(Models!$BJ355:$BT355,,T355)*(1-R355)+INDEX(Models!$BJ355:$BT355,,T355+1)*R355-ERP_i)*Q355*Ramure*Pc/MaxiM</f>
        <v>4.9817254749729952E-4</v>
      </c>
      <c r="Q355" s="305">
        <f t="shared" si="130"/>
        <v>0.5</v>
      </c>
      <c r="R355" s="177">
        <f t="shared" si="131"/>
        <v>0.49724779769985372</v>
      </c>
      <c r="S355" s="811">
        <f t="shared" si="132"/>
        <v>0</v>
      </c>
      <c r="T355" s="176">
        <f t="shared" si="133"/>
        <v>6</v>
      </c>
      <c r="U355" s="251">
        <f t="shared" si="134"/>
        <v>0.49724779769985372</v>
      </c>
      <c r="V355" s="383">
        <f t="shared" si="135"/>
        <v>23.288308239358415</v>
      </c>
      <c r="W355" s="402">
        <f t="shared" si="136"/>
        <v>0</v>
      </c>
      <c r="X355" s="157">
        <f t="shared" si="137"/>
        <v>44902</v>
      </c>
      <c r="Y355" s="385">
        <f t="shared" si="138"/>
        <v>19.082937399387081</v>
      </c>
      <c r="Z355" s="385">
        <f t="shared" si="139"/>
        <v>19.782167818322705</v>
      </c>
      <c r="AA355" s="386">
        <f t="shared" si="140"/>
        <v>21.500328149822067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7.9913214325223303E-2</v>
      </c>
      <c r="AD355" s="231">
        <f>(INDEX(Models!$BJ355:$BT355,,AH355)*(1-AF355)+INDEX(Models!$BJ355:$BT355,,AH355+1)*AF355-ERP_i)*AE355*Ramure*Pc/MaxiM</f>
        <v>4.9817254749729952E-4</v>
      </c>
      <c r="AE355" s="305">
        <f t="shared" si="142"/>
        <v>0.5</v>
      </c>
      <c r="AF355" s="177">
        <f t="shared" si="143"/>
        <v>0.49724779769985372</v>
      </c>
      <c r="AG355" s="811">
        <f t="shared" si="149"/>
        <v>0</v>
      </c>
      <c r="AH355" s="176">
        <f t="shared" si="144"/>
        <v>6</v>
      </c>
      <c r="AI355" s="225">
        <f t="shared" si="145"/>
        <v>0.49724779769985372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44903</v>
      </c>
      <c r="B356" s="1140">
        <v>4.0680000000000005</v>
      </c>
      <c r="C356" s="841"/>
      <c r="D356" s="393">
        <f t="shared" si="127"/>
        <v>4.2171506211702718</v>
      </c>
      <c r="E356" s="385">
        <f t="shared" si="125"/>
        <v>4.4389766804048936</v>
      </c>
      <c r="F356" s="385">
        <f t="shared" si="128"/>
        <v>4.4389766804048936</v>
      </c>
      <c r="G356" s="110">
        <f t="shared" si="126"/>
        <v>0.17559600422400704</v>
      </c>
      <c r="H356" s="414" t="b">
        <f>Wh_hp&gt;='2021'!Maxi_hp</f>
        <v>0</v>
      </c>
      <c r="I356" s="380">
        <f>IF(H356,Wh_hp,'2021'!Maxi_hp)</f>
        <v>16.757981515209075</v>
      </c>
      <c r="J356" s="85">
        <f>IF(H356,An,'2021'!An_max)</f>
        <v>2019</v>
      </c>
      <c r="K356" s="197">
        <f t="shared" si="129"/>
        <v>44903</v>
      </c>
      <c r="L356" s="147">
        <f>IF(t&lt;Tvie,1-EXP((T0-t)*PertePVj)+'2021'!Pspv,1-EXP((T0-t)*PertePVj)+Pspv)</f>
        <v>3.5367629607898965E-2</v>
      </c>
      <c r="M356" s="845"/>
      <c r="N356" s="845"/>
      <c r="O356" s="48">
        <f>IF(t&lt;Tnet,'2021'!Resal+('2021'!Salim-'2021'!Resal)*(1-EXP(('2021'!Tnet-t)/('2021'!Tau_j))),Resal+(Salim-Resal)*(1-EXP((Tnet-t)/(Tau_j))))*Salcycl</f>
        <v>4.9972341646631134E-2</v>
      </c>
      <c r="P356" s="339">
        <f>(INDEX(Models!$BJ356:$BT356,,T356)*(1-R356)+INDEX(Models!$BJ356:$BT356,,T356+1)*R356-ERP_i)*Q356*Ramure*Pc/MaxiM</f>
        <v>4.9990305048718258E-4</v>
      </c>
      <c r="Q356" s="305">
        <f t="shared" si="130"/>
        <v>0.5</v>
      </c>
      <c r="R356" s="177">
        <f t="shared" si="131"/>
        <v>0.49726014329918777</v>
      </c>
      <c r="S356" s="811">
        <f t="shared" si="132"/>
        <v>0</v>
      </c>
      <c r="T356" s="176">
        <f t="shared" si="133"/>
        <v>6</v>
      </c>
      <c r="U356" s="251">
        <f t="shared" si="134"/>
        <v>0.49726014329918777</v>
      </c>
      <c r="V356" s="383">
        <f t="shared" si="135"/>
        <v>23.155233015460215</v>
      </c>
      <c r="W356" s="402">
        <f t="shared" si="136"/>
        <v>0</v>
      </c>
      <c r="X356" s="157">
        <f t="shared" si="137"/>
        <v>44903</v>
      </c>
      <c r="Y356" s="385">
        <f t="shared" si="138"/>
        <v>3.9397202559480995</v>
      </c>
      <c r="Z356" s="385">
        <f t="shared" si="139"/>
        <v>4.0841675822538415</v>
      </c>
      <c r="AA356" s="386">
        <f t="shared" si="140"/>
        <v>4.4389766804048936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7.9930381188370772E-2</v>
      </c>
      <c r="AD356" s="231">
        <f>(INDEX(Models!$BJ356:$BT356,,AH356)*(1-AF356)+INDEX(Models!$BJ356:$BT356,,AH356+1)*AF356-ERP_i)*AE356*Ramure*Pc/MaxiM</f>
        <v>4.9990305048718258E-4</v>
      </c>
      <c r="AE356" s="305">
        <f t="shared" si="142"/>
        <v>0.5</v>
      </c>
      <c r="AF356" s="177">
        <f t="shared" si="143"/>
        <v>0.49726014329918777</v>
      </c>
      <c r="AG356" s="811">
        <f t="shared" si="149"/>
        <v>0</v>
      </c>
      <c r="AH356" s="176">
        <f t="shared" si="144"/>
        <v>6</v>
      </c>
      <c r="AI356" s="225">
        <f t="shared" si="145"/>
        <v>0.49726014329918777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44904</v>
      </c>
      <c r="B357" s="1140">
        <v>4.9219999999999997</v>
      </c>
      <c r="C357" s="841"/>
      <c r="D357" s="393">
        <f t="shared" si="127"/>
        <v>5.1025737450553317</v>
      </c>
      <c r="E357" s="385">
        <f t="shared" si="125"/>
        <v>5.3712715188750506</v>
      </c>
      <c r="F357" s="385">
        <f t="shared" si="128"/>
        <v>5.3712715188750506</v>
      </c>
      <c r="G357" s="110">
        <f t="shared" si="126"/>
        <v>0.21355479235118419</v>
      </c>
      <c r="H357" s="414" t="b">
        <f>Wh_hp&gt;='2021'!Maxi_hp</f>
        <v>0</v>
      </c>
      <c r="I357" s="380">
        <f>IF(H357,Wh_hp,'2021'!Maxi_hp)</f>
        <v>11.880379374635188</v>
      </c>
      <c r="J357" s="85">
        <f>IF(H357,An,'2021'!An_max)</f>
        <v>2019</v>
      </c>
      <c r="K357" s="197">
        <f t="shared" si="129"/>
        <v>44904</v>
      </c>
      <c r="L357" s="147">
        <f>IF(t&lt;Tvie,1-EXP((T0-t)*PertePVj)+'2021'!Pspv,1-EXP((T0-t)*PertePVj)+Pspv)</f>
        <v>3.538875753247428E-2</v>
      </c>
      <c r="M357" s="845"/>
      <c r="N357" s="845"/>
      <c r="O357" s="48">
        <f>IF(t&lt;Tnet,'2021'!Resal+('2021'!Salim-'2021'!Resal)*(1-EXP(('2021'!Tnet-t)/('2021'!Tau_j))),Resal+(Salim-Resal)*(1-EXP((Tnet-t)/(Tau_j))))*Salcycl</f>
        <v>5.0024984377627237E-2</v>
      </c>
      <c r="P357" s="339">
        <f>(INDEX(Models!$BJ357:$BT357,,T357)*(1-R357)+INDEX(Models!$BJ357:$BT357,,T357+1)*R357-ERP_i)*Q357*Ramure*Pc/MaxiM</f>
        <v>5.0118286411965666E-4</v>
      </c>
      <c r="Q357" s="305">
        <f t="shared" si="130"/>
        <v>0.5</v>
      </c>
      <c r="R357" s="177">
        <f t="shared" si="131"/>
        <v>0.49727199240154785</v>
      </c>
      <c r="S357" s="811">
        <f t="shared" si="132"/>
        <v>0</v>
      </c>
      <c r="T357" s="176">
        <f t="shared" si="133"/>
        <v>6</v>
      </c>
      <c r="U357" s="251">
        <f t="shared" si="134"/>
        <v>0.49727199240154785</v>
      </c>
      <c r="V357" s="383">
        <f t="shared" si="135"/>
        <v>23.036397936941558</v>
      </c>
      <c r="W357" s="402">
        <f t="shared" si="136"/>
        <v>0</v>
      </c>
      <c r="X357" s="157">
        <f t="shared" si="137"/>
        <v>44904</v>
      </c>
      <c r="Y357" s="385">
        <f t="shared" si="138"/>
        <v>4.7669595114112298</v>
      </c>
      <c r="Z357" s="385">
        <f t="shared" si="139"/>
        <v>4.9418452756336322</v>
      </c>
      <c r="AA357" s="386">
        <f t="shared" si="140"/>
        <v>5.3712715188750506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7.9948712652559484E-2</v>
      </c>
      <c r="AD357" s="231">
        <f>(INDEX(Models!$BJ357:$BT357,,AH357)*(1-AF357)+INDEX(Models!$BJ357:$BT357,,AH357+1)*AF357-ERP_i)*AE357*Ramure*Pc/MaxiM</f>
        <v>5.0118286411965666E-4</v>
      </c>
      <c r="AE357" s="305">
        <f t="shared" si="142"/>
        <v>0.5</v>
      </c>
      <c r="AF357" s="177">
        <f t="shared" si="143"/>
        <v>0.49727199240154785</v>
      </c>
      <c r="AG357" s="811">
        <f t="shared" si="149"/>
        <v>0</v>
      </c>
      <c r="AH357" s="176">
        <f t="shared" si="144"/>
        <v>6</v>
      </c>
      <c r="AI357" s="225">
        <f t="shared" si="145"/>
        <v>0.49727199240154785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44905</v>
      </c>
      <c r="B358" s="1140">
        <v>11.586</v>
      </c>
      <c r="C358" s="841"/>
      <c r="D358" s="393">
        <f t="shared" si="127"/>
        <v>12.011319440000131</v>
      </c>
      <c r="E358" s="385">
        <f t="shared" si="125"/>
        <v>12.644535982176308</v>
      </c>
      <c r="F358" s="385">
        <f t="shared" si="128"/>
        <v>12.646396958317359</v>
      </c>
      <c r="G358" s="110">
        <f t="shared" si="126"/>
        <v>0.50502763302176312</v>
      </c>
      <c r="H358" s="414" t="b">
        <f>Wh_hp&gt;='2021'!Maxi_hp</f>
        <v>0</v>
      </c>
      <c r="I358" s="380">
        <f>IF(H358,Wh_hp,'2021'!Maxi_hp)</f>
        <v>21.95872257479607</v>
      </c>
      <c r="J358" s="85">
        <f>IF(H358,An,'2021'!An_max)</f>
        <v>2019</v>
      </c>
      <c r="K358" s="197">
        <f t="shared" si="129"/>
        <v>44905</v>
      </c>
      <c r="L358" s="147">
        <f>IF(t&lt;Tvie,1-EXP((T0-t)*PertePVj)+'2021'!Pspv,1-EXP((T0-t)*PertePVj)+Pspv)</f>
        <v>3.5409884994293872E-2</v>
      </c>
      <c r="M358" s="845"/>
      <c r="N358" s="845"/>
      <c r="O358" s="48">
        <f>IF(t&lt;Tnet,'2021'!Resal+('2021'!Salim-'2021'!Resal)*(1-EXP(('2021'!Tnet-t)/('2021'!Tau_j))),Resal+(Salim-Resal)*(1-EXP((Tnet-t)/(Tau_j))))*Salcycl</f>
        <v>5.0078274368372012E-2</v>
      </c>
      <c r="P358" s="339">
        <f>(INDEX(Models!$BJ358:$BT358,,T358)*(1-R358)+INDEX(Models!$BJ358:$BT358,,T358+1)*R358-ERP_i)*Q358*Ramure*Pc/MaxiM</f>
        <v>5.019726348582229E-4</v>
      </c>
      <c r="Q358" s="305">
        <f t="shared" si="130"/>
        <v>0.5</v>
      </c>
      <c r="R358" s="177">
        <f t="shared" si="131"/>
        <v>0.49728336495219239</v>
      </c>
      <c r="S358" s="811">
        <f t="shared" si="132"/>
        <v>0</v>
      </c>
      <c r="T358" s="176">
        <f t="shared" si="133"/>
        <v>6</v>
      </c>
      <c r="U358" s="251">
        <f t="shared" si="134"/>
        <v>0.49728336495219239</v>
      </c>
      <c r="V358" s="383">
        <f t="shared" si="135"/>
        <v>22.933177744195042</v>
      </c>
      <c r="W358" s="402">
        <f t="shared" si="136"/>
        <v>0</v>
      </c>
      <c r="X358" s="157">
        <f t="shared" si="137"/>
        <v>44905</v>
      </c>
      <c r="Y358" s="385">
        <f t="shared" si="138"/>
        <v>11.221439109219032</v>
      </c>
      <c r="Z358" s="385">
        <f t="shared" si="139"/>
        <v>11.633375601358564</v>
      </c>
      <c r="AA358" s="386">
        <f t="shared" si="140"/>
        <v>12.644535982176308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7.9968168246195084E-2</v>
      </c>
      <c r="AD358" s="231">
        <f>(INDEX(Models!$BJ358:$BT358,,AH358)*(1-AF358)+INDEX(Models!$BJ358:$BT358,,AH358+1)*AF358-ERP_i)*AE358*Ramure*Pc/MaxiM</f>
        <v>5.019726348582229E-4</v>
      </c>
      <c r="AE358" s="305">
        <f t="shared" si="142"/>
        <v>0.5</v>
      </c>
      <c r="AF358" s="177">
        <f t="shared" si="143"/>
        <v>0.49728336495219239</v>
      </c>
      <c r="AG358" s="811">
        <f t="shared" si="149"/>
        <v>0</v>
      </c>
      <c r="AH358" s="176">
        <f t="shared" si="144"/>
        <v>6</v>
      </c>
      <c r="AI358" s="225">
        <f t="shared" si="145"/>
        <v>0.49728336495219239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44906</v>
      </c>
      <c r="B359" s="1140">
        <v>16.186</v>
      </c>
      <c r="C359" s="841"/>
      <c r="D359" s="393">
        <f t="shared" si="127"/>
        <v>16.780551936932795</v>
      </c>
      <c r="E359" s="385">
        <f t="shared" si="125"/>
        <v>17.666197024489012</v>
      </c>
      <c r="F359" s="385">
        <f t="shared" si="128"/>
        <v>17.671378178848926</v>
      </c>
      <c r="G359" s="110">
        <f t="shared" si="126"/>
        <v>0.70842810878173834</v>
      </c>
      <c r="H359" s="414" t="b">
        <f>Wh_hp&gt;='2021'!Maxi_hp</f>
        <v>0</v>
      </c>
      <c r="I359" s="380">
        <f>IF(H359,Wh_hp,'2021'!Maxi_hp)</f>
        <v>18.260406248134906</v>
      </c>
      <c r="J359" s="85">
        <f>IF(H359,An,'2021'!An_max)</f>
        <v>2018</v>
      </c>
      <c r="K359" s="197">
        <f t="shared" si="129"/>
        <v>44906</v>
      </c>
      <c r="L359" s="147">
        <f>IF(t&lt;Tvie,1-EXP((T0-t)*PertePVj)+'2021'!Pspv,1-EXP((T0-t)*PertePVj)+Pspv)</f>
        <v>3.5431011993367734E-2</v>
      </c>
      <c r="M359" s="845"/>
      <c r="N359" s="845"/>
      <c r="O359" s="48">
        <f>IF(t&lt;Tnet,'2021'!Resal+('2021'!Salim-'2021'!Resal)*(1-EXP(('2021'!Tnet-t)/('2021'!Tau_j))),Resal+(Salim-Resal)*(1-EXP((Tnet-t)/(Tau_j))))*Salcycl</f>
        <v>5.0132186702578387E-2</v>
      </c>
      <c r="P359" s="339">
        <f>(INDEX(Models!$BJ359:$BT359,,T359)*(1-R359)+INDEX(Models!$BJ359:$BT359,,T359+1)*R359-ERP_i)*Q359*Ramure*Pc/MaxiM</f>
        <v>5.0232054688150373E-4</v>
      </c>
      <c r="Q359" s="305">
        <f t="shared" si="130"/>
        <v>0.5</v>
      </c>
      <c r="R359" s="177">
        <f t="shared" si="131"/>
        <v>0.4972942800968837</v>
      </c>
      <c r="S359" s="811">
        <f t="shared" si="132"/>
        <v>0</v>
      </c>
      <c r="T359" s="176">
        <f t="shared" si="133"/>
        <v>6</v>
      </c>
      <c r="U359" s="251">
        <f t="shared" si="134"/>
        <v>0.4972942800968837</v>
      </c>
      <c r="V359" s="383">
        <f t="shared" si="135"/>
        <v>22.842987023882539</v>
      </c>
      <c r="W359" s="402">
        <f t="shared" si="136"/>
        <v>0</v>
      </c>
      <c r="X359" s="157">
        <f t="shared" si="137"/>
        <v>44906</v>
      </c>
      <c r="Y359" s="385">
        <f t="shared" si="138"/>
        <v>15.677236988837379</v>
      </c>
      <c r="Z359" s="385">
        <f t="shared" si="139"/>
        <v>16.253100798145901</v>
      </c>
      <c r="AA359" s="386">
        <f t="shared" si="140"/>
        <v>17.666197024489012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7.9988705230914489E-2</v>
      </c>
      <c r="AD359" s="231">
        <f>(INDEX(Models!$BJ359:$BT359,,AH359)*(1-AF359)+INDEX(Models!$BJ359:$BT359,,AH359+1)*AF359-ERP_i)*AE359*Ramure*Pc/MaxiM</f>
        <v>5.0232054688150373E-4</v>
      </c>
      <c r="AE359" s="305">
        <f t="shared" si="142"/>
        <v>0.5</v>
      </c>
      <c r="AF359" s="177">
        <f t="shared" si="143"/>
        <v>0.4972942800968837</v>
      </c>
      <c r="AG359" s="811">
        <f t="shared" si="149"/>
        <v>0</v>
      </c>
      <c r="AH359" s="176">
        <f t="shared" si="144"/>
        <v>6</v>
      </c>
      <c r="AI359" s="225">
        <f t="shared" si="145"/>
        <v>0.4972942800968837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44907</v>
      </c>
      <c r="B360" s="1140">
        <v>5.6370000000000005</v>
      </c>
      <c r="C360" s="841"/>
      <c r="D360" s="393">
        <f t="shared" si="127"/>
        <v>5.8441889979490762</v>
      </c>
      <c r="E360" s="385">
        <f t="shared" si="125"/>
        <v>6.1529870850564317</v>
      </c>
      <c r="F360" s="385">
        <f t="shared" si="128"/>
        <v>6.1529870850564317</v>
      </c>
      <c r="G360" s="110">
        <f t="shared" si="126"/>
        <v>0.24751995533743723</v>
      </c>
      <c r="H360" s="414" t="b">
        <f>Wh_hp&gt;='2021'!Maxi_hp</f>
        <v>0</v>
      </c>
      <c r="I360" s="380">
        <f>IF(H360,Wh_hp,'2021'!Maxi_hp)</f>
        <v>23.792403120855759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3.545213852970619E-2</v>
      </c>
      <c r="M360" s="845"/>
      <c r="N360" s="845"/>
      <c r="O360" s="48">
        <f>IF(t&lt;Tnet,'2021'!Resal+('2021'!Salim-'2021'!Resal)*(1-EXP(('2021'!Tnet-t)/('2021'!Tau_j))),Resal+(Salim-Resal)*(1-EXP((Tnet-t)/(Tau_j))))*Salcycl</f>
        <v>5.0186695151258141E-2</v>
      </c>
      <c r="P360" s="339">
        <f>(INDEX(Models!$BJ360:$BT360,,T360)*(1-R360)+INDEX(Models!$BJ360:$BT360,,T360+1)*R360-ERP_i)*Q360*Ramure*Pc/MaxiM</f>
        <v>5.0229366355114752E-4</v>
      </c>
      <c r="Q360" s="305">
        <f t="shared" si="130"/>
        <v>0.5</v>
      </c>
      <c r="R360" s="177">
        <f t="shared" si="131"/>
        <v>0.49730475621379844</v>
      </c>
      <c r="S360" s="811">
        <f t="shared" si="132"/>
        <v>0</v>
      </c>
      <c r="T360" s="176">
        <f t="shared" si="133"/>
        <v>6</v>
      </c>
      <c r="U360" s="251">
        <f t="shared" si="134"/>
        <v>0.49730475621379844</v>
      </c>
      <c r="V360" s="383">
        <f t="shared" si="135"/>
        <v>22.762482172145084</v>
      </c>
      <c r="W360" s="402">
        <f t="shared" si="136"/>
        <v>0</v>
      </c>
      <c r="X360" s="157">
        <f t="shared" si="137"/>
        <v>44907</v>
      </c>
      <c r="Y360" s="385">
        <f t="shared" si="138"/>
        <v>5.460001487892157</v>
      </c>
      <c r="Z360" s="385">
        <f t="shared" si="139"/>
        <v>5.6606848721527276</v>
      </c>
      <c r="AA360" s="386">
        <f t="shared" si="140"/>
        <v>6.1529870850564317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8.0010278926042872E-2</v>
      </c>
      <c r="AD360" s="231">
        <f>(INDEX(Models!$BJ360:$BT360,,AH360)*(1-AF360)+INDEX(Models!$BJ360:$BT360,,AH360+1)*AF360-ERP_i)*AE360*Ramure*Pc/MaxiM</f>
        <v>5.0229366355114752E-4</v>
      </c>
      <c r="AE360" s="305">
        <f t="shared" si="142"/>
        <v>0.5</v>
      </c>
      <c r="AF360" s="177">
        <f t="shared" si="143"/>
        <v>0.49730475621379844</v>
      </c>
      <c r="AG360" s="811">
        <f t="shared" si="149"/>
        <v>0</v>
      </c>
      <c r="AH360" s="176">
        <f t="shared" si="144"/>
        <v>6</v>
      </c>
      <c r="AI360" s="225">
        <f t="shared" si="145"/>
        <v>0.49730475621379844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44908</v>
      </c>
      <c r="B361" s="1140">
        <v>5.351</v>
      </c>
      <c r="C361" s="841"/>
      <c r="D361" s="393">
        <f t="shared" si="127"/>
        <v>5.5477985250448185</v>
      </c>
      <c r="E361" s="385">
        <f t="shared" ref="E361:E379" si="150">Wh_pvt/(1-Psa)</f>
        <v>5.8412745093177545</v>
      </c>
      <c r="F361" s="385">
        <f t="shared" si="128"/>
        <v>5.8412745093177545</v>
      </c>
      <c r="G361" s="110">
        <f t="shared" ref="G361:G379" si="151">+Wh_hp/MaxiM</f>
        <v>0.23569266457208737</v>
      </c>
      <c r="H361" s="414" t="b">
        <f>Wh_hp&gt;='2021'!Maxi_hp</f>
        <v>0</v>
      </c>
      <c r="I361" s="380">
        <f>IF(H361,Wh_hp,'2021'!Maxi_hp)</f>
        <v>25.480851358483925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3.5473264603319121E-2</v>
      </c>
      <c r="M361" s="845"/>
      <c r="N361" s="845"/>
      <c r="O361" s="48">
        <f>IF(t&lt;Tnet,'2021'!Resal+('2021'!Salim-'2021'!Resal)*(1-EXP(('2021'!Tnet-t)/('2021'!Tau_j))),Resal+(Salim-Resal)*(1-EXP((Tnet-t)/(Tau_j))))*Salcycl</f>
        <v>5.0241772374298714E-2</v>
      </c>
      <c r="P361" s="339">
        <f>(INDEX(Models!$BJ361:$BT361,,T361)*(1-R361)+INDEX(Models!$BJ361:$BT361,,T361+1)*R361-ERP_i)*Q361*Ramure*Pc/MaxiM</f>
        <v>5.022846844896919E-4</v>
      </c>
      <c r="Q361" s="305">
        <f t="shared" si="130"/>
        <v>0.5</v>
      </c>
      <c r="R361" s="177">
        <f t="shared" si="131"/>
        <v>0.49731481094417435</v>
      </c>
      <c r="S361" s="811">
        <f t="shared" si="132"/>
        <v>0</v>
      </c>
      <c r="T361" s="176">
        <f t="shared" si="133"/>
        <v>6</v>
      </c>
      <c r="U361" s="251">
        <f t="shared" si="134"/>
        <v>0.49731481094417435</v>
      </c>
      <c r="V361" s="383">
        <f t="shared" si="135"/>
        <v>22.691891087758044</v>
      </c>
      <c r="W361" s="402">
        <f t="shared" si="136"/>
        <v>0</v>
      </c>
      <c r="X361" s="157">
        <f t="shared" si="137"/>
        <v>44908</v>
      </c>
      <c r="Y361" s="385">
        <f t="shared" si="138"/>
        <v>5.1831551585668132</v>
      </c>
      <c r="Z361" s="385">
        <f t="shared" si="139"/>
        <v>5.3737807033779497</v>
      </c>
      <c r="AA361" s="386">
        <f t="shared" si="140"/>
        <v>5.8412745093177545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8.0032843036922555E-2</v>
      </c>
      <c r="AD361" s="231">
        <f>(INDEX(Models!$BJ361:$BT361,,AH361)*(1-AF361)+INDEX(Models!$BJ361:$BT361,,AH361+1)*AF361-ERP_i)*AE361*Ramure*Pc/MaxiM</f>
        <v>5.022846844896919E-4</v>
      </c>
      <c r="AE361" s="305">
        <f t="shared" si="142"/>
        <v>0.5</v>
      </c>
      <c r="AF361" s="177">
        <f t="shared" si="143"/>
        <v>0.49731481094417435</v>
      </c>
      <c r="AG361" s="811">
        <f t="shared" si="149"/>
        <v>0</v>
      </c>
      <c r="AH361" s="176">
        <f t="shared" si="144"/>
        <v>6</v>
      </c>
      <c r="AI361" s="225">
        <f t="shared" si="145"/>
        <v>0.49731481094417435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44909</v>
      </c>
      <c r="B362" s="1140">
        <v>16.978999999999999</v>
      </c>
      <c r="C362" s="841"/>
      <c r="D362" s="393">
        <f t="shared" si="127"/>
        <v>17.603837476664381</v>
      </c>
      <c r="E362" s="385">
        <f t="shared" si="150"/>
        <v>18.53615783888478</v>
      </c>
      <c r="F362" s="385">
        <f t="shared" si="128"/>
        <v>18.542148225748146</v>
      </c>
      <c r="G362" s="110">
        <f t="shared" si="151"/>
        <v>0.75010463385612802</v>
      </c>
      <c r="H362" s="414" t="b">
        <f>Wh_hp&gt;='2021'!Maxi_hp</f>
        <v>0</v>
      </c>
      <c r="I362" s="380">
        <f>IF(H362,Wh_hp,'2021'!Maxi_hp)</f>
        <v>22.845836803064749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3.5494390214216964E-2</v>
      </c>
      <c r="M362" s="845"/>
      <c r="N362" s="845"/>
      <c r="O362" s="48">
        <f>IF(t&lt;Tnet,'2021'!Resal+('2021'!Salim-'2021'!Resal)*(1-EXP(('2021'!Tnet-t)/('2021'!Tau_j))),Resal+(Salim-Resal)*(1-EXP((Tnet-t)/(Tau_j))))*Salcycl</f>
        <v>5.0297390123890576E-2</v>
      </c>
      <c r="P362" s="339">
        <f>(INDEX(Models!$BJ362:$BT362,,T362)*(1-R362)+INDEX(Models!$BJ362:$BT362,,T362+1)*R362-ERP_i)*Q362*Ramure*Pc/MaxiM</f>
        <v>5.0228432300754918E-4</v>
      </c>
      <c r="Q362" s="305">
        <f t="shared" si="130"/>
        <v>0.5</v>
      </c>
      <c r="R362" s="177">
        <f t="shared" si="131"/>
        <v>0.49732446122174367</v>
      </c>
      <c r="S362" s="811">
        <f t="shared" si="132"/>
        <v>0</v>
      </c>
      <c r="T362" s="176">
        <f t="shared" si="133"/>
        <v>6</v>
      </c>
      <c r="U362" s="251">
        <f t="shared" si="134"/>
        <v>0.49732446122174367</v>
      </c>
      <c r="V362" s="383">
        <f t="shared" si="135"/>
        <v>22.631450797065803</v>
      </c>
      <c r="W362" s="402">
        <f t="shared" si="136"/>
        <v>0</v>
      </c>
      <c r="X362" s="157">
        <f t="shared" si="137"/>
        <v>44909</v>
      </c>
      <c r="Y362" s="385">
        <f t="shared" si="138"/>
        <v>16.446962524036863</v>
      </c>
      <c r="Z362" s="385">
        <f t="shared" si="139"/>
        <v>17.052220699566213</v>
      </c>
      <c r="AA362" s="386">
        <f t="shared" si="140"/>
        <v>18.53615783888478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8.0056349984547012E-2</v>
      </c>
      <c r="AD362" s="231">
        <f>(INDEX(Models!$BJ362:$BT362,,AH362)*(1-AF362)+INDEX(Models!$BJ362:$BT362,,AH362+1)*AF362-ERP_i)*AE362*Ramure*Pc/MaxiM</f>
        <v>5.0228432300754918E-4</v>
      </c>
      <c r="AE362" s="305">
        <f t="shared" si="142"/>
        <v>0.5</v>
      </c>
      <c r="AF362" s="177">
        <f t="shared" si="143"/>
        <v>0.49732446122174367</v>
      </c>
      <c r="AG362" s="811">
        <f t="shared" si="149"/>
        <v>0</v>
      </c>
      <c r="AH362" s="176">
        <f t="shared" si="144"/>
        <v>6</v>
      </c>
      <c r="AI362" s="225">
        <f t="shared" si="145"/>
        <v>0.49732446122174367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44910</v>
      </c>
      <c r="B363" s="1140">
        <v>5.6319999999999997</v>
      </c>
      <c r="C363" s="841"/>
      <c r="D363" s="393">
        <f t="shared" si="127"/>
        <v>5.839388906412788</v>
      </c>
      <c r="E363" s="385">
        <f t="shared" si="150"/>
        <v>6.1490133707648731</v>
      </c>
      <c r="F363" s="385">
        <f t="shared" si="128"/>
        <v>6.1490133707648731</v>
      </c>
      <c r="G363" s="110">
        <f t="shared" si="151"/>
        <v>0.2492835512999016</v>
      </c>
      <c r="H363" s="414" t="b">
        <f>Wh_hp&gt;='2021'!Maxi_hp</f>
        <v>0</v>
      </c>
      <c r="I363" s="380">
        <f>IF(H363,Wh_hp,'2021'!Maxi_hp)</f>
        <v>25.557265904120406</v>
      </c>
      <c r="J363" s="85">
        <f>IF(H363,An,'2021'!An_max)</f>
        <v>2019</v>
      </c>
      <c r="K363" s="197">
        <f t="shared" si="129"/>
        <v>44910</v>
      </c>
      <c r="L363" s="147">
        <f>IF(t&lt;Tvie,1-EXP((T0-t)*PertePVj)+'2021'!Pspv,1-EXP((T0-t)*PertePVj)+Pspv)</f>
        <v>3.5515515362409711E-2</v>
      </c>
      <c r="M363" s="845"/>
      <c r="N363" s="845"/>
      <c r="O363" s="48">
        <f>IF(t&lt;Tnet,'2021'!Resal+('2021'!Salim-'2021'!Resal)*(1-EXP(('2021'!Tnet-t)/('2021'!Tau_j))),Resal+(Salim-Resal)*(1-EXP((Tnet-t)/(Tau_j))))*Salcycl</f>
        <v>5.03535194482055E-2</v>
      </c>
      <c r="P363" s="339">
        <f>(INDEX(Models!$BJ363:$BT363,,T363)*(1-R363)+INDEX(Models!$BJ363:$BT363,,T363+1)*R363-ERP_i)*Q363*Ramure*Pc/MaxiM</f>
        <v>5.0228324882412077E-4</v>
      </c>
      <c r="Q363" s="305">
        <f t="shared" si="130"/>
        <v>0.5</v>
      </c>
      <c r="R363" s="177">
        <f t="shared" si="131"/>
        <v>0.49733372330100017</v>
      </c>
      <c r="S363" s="811">
        <f t="shared" si="132"/>
        <v>0</v>
      </c>
      <c r="T363" s="176">
        <f t="shared" si="133"/>
        <v>6</v>
      </c>
      <c r="U363" s="251">
        <f t="shared" si="134"/>
        <v>0.49733372330100017</v>
      </c>
      <c r="V363" s="383">
        <f t="shared" si="135"/>
        <v>22.581398216565141</v>
      </c>
      <c r="W363" s="402">
        <f t="shared" si="136"/>
        <v>0</v>
      </c>
      <c r="X363" s="157">
        <f t="shared" si="137"/>
        <v>44910</v>
      </c>
      <c r="Y363" s="385">
        <f t="shared" si="138"/>
        <v>5.4556988470487653</v>
      </c>
      <c r="Z363" s="385">
        <f t="shared" si="139"/>
        <v>5.6565957606863631</v>
      </c>
      <c r="AA363" s="386">
        <f t="shared" si="140"/>
        <v>6.1490133707648731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8.008075123395908E-2</v>
      </c>
      <c r="AD363" s="231">
        <f>(INDEX(Models!$BJ363:$BT363,,AH363)*(1-AF363)+INDEX(Models!$BJ363:$BT363,,AH363+1)*AF363-ERP_i)*AE363*Ramure*Pc/MaxiM</f>
        <v>5.0228324882412077E-4</v>
      </c>
      <c r="AE363" s="305">
        <f t="shared" si="142"/>
        <v>0.5</v>
      </c>
      <c r="AF363" s="177">
        <f t="shared" si="143"/>
        <v>0.49733372330100017</v>
      </c>
      <c r="AG363" s="811">
        <f t="shared" si="149"/>
        <v>0</v>
      </c>
      <c r="AH363" s="176">
        <f t="shared" si="144"/>
        <v>6</v>
      </c>
      <c r="AI363" s="225">
        <f t="shared" si="145"/>
        <v>0.49733372330100017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44911</v>
      </c>
      <c r="B364" s="1140">
        <v>4.7990000000000004</v>
      </c>
      <c r="C364" s="841"/>
      <c r="D364" s="393">
        <f t="shared" si="127"/>
        <v>4.9758240688774107</v>
      </c>
      <c r="E364" s="385">
        <f t="shared" si="150"/>
        <v>5.2399717296485173</v>
      </c>
      <c r="F364" s="385">
        <f t="shared" si="128"/>
        <v>5.2399717296485173</v>
      </c>
      <c r="G364" s="110">
        <f t="shared" si="151"/>
        <v>0.21278484362537148</v>
      </c>
      <c r="H364" s="414" t="b">
        <f>Wh_hp&gt;='2021'!Maxi_hp</f>
        <v>0</v>
      </c>
      <c r="I364" s="380">
        <f>IF(H364,Wh_hp,'2021'!Maxi_hp)</f>
        <v>25.18523938599883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3.5536640047907353E-2</v>
      </c>
      <c r="M364" s="845"/>
      <c r="N364" s="845"/>
      <c r="O364" s="48">
        <f>IF(t&lt;Tnet,'2021'!Resal+('2021'!Salim-'2021'!Resal)*(1-EXP(('2021'!Tnet-t)/('2021'!Tau_j))),Resal+(Salim-Resal)*(1-EXP((Tnet-t)/(Tau_j))))*Salcycl</f>
        <v>5.0410130893745381E-2</v>
      </c>
      <c r="P364" s="339">
        <f>(INDEX(Models!$BJ364:$BT364,,T364)*(1-R364)+INDEX(Models!$BJ364:$BT364,,T364+1)*R364-ERP_i)*Q364*Ramure*Pc/MaxiM</f>
        <v>5.0227214839922531E-4</v>
      </c>
      <c r="Q364" s="305">
        <f t="shared" si="130"/>
        <v>0.5</v>
      </c>
      <c r="R364" s="177">
        <f t="shared" si="131"/>
        <v>0.49734261278434538</v>
      </c>
      <c r="S364" s="811">
        <f t="shared" si="132"/>
        <v>0</v>
      </c>
      <c r="T364" s="176">
        <f t="shared" si="133"/>
        <v>6</v>
      </c>
      <c r="U364" s="251">
        <f t="shared" si="134"/>
        <v>0.49734261278434538</v>
      </c>
      <c r="V364" s="383">
        <f t="shared" si="135"/>
        <v>22.541970162145088</v>
      </c>
      <c r="W364" s="402">
        <f t="shared" si="136"/>
        <v>0</v>
      </c>
      <c r="X364" s="157">
        <f t="shared" si="137"/>
        <v>44911</v>
      </c>
      <c r="Y364" s="385">
        <f t="shared" si="138"/>
        <v>4.6489241945912507</v>
      </c>
      <c r="Z364" s="385">
        <f t="shared" si="139"/>
        <v>4.8202185667500883</v>
      </c>
      <c r="AA364" s="386">
        <f t="shared" si="140"/>
        <v>5.2399717296485173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8.0105997618919428E-2</v>
      </c>
      <c r="AD364" s="231">
        <f>(INDEX(Models!$BJ364:$BT364,,AH364)*(1-AF364)+INDEX(Models!$BJ364:$BT364,,AH364+1)*AF364-ERP_i)*AE364*Ramure*Pc/MaxiM</f>
        <v>5.0227214839922531E-4</v>
      </c>
      <c r="AE364" s="305">
        <f t="shared" si="142"/>
        <v>0.5</v>
      </c>
      <c r="AF364" s="177">
        <f t="shared" si="143"/>
        <v>0.49734261278434538</v>
      </c>
      <c r="AG364" s="811">
        <f t="shared" si="149"/>
        <v>0</v>
      </c>
      <c r="AH364" s="176">
        <f t="shared" si="144"/>
        <v>6</v>
      </c>
      <c r="AI364" s="225">
        <f t="shared" si="145"/>
        <v>0.49734261278434538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44912</v>
      </c>
      <c r="B365" s="1140">
        <v>3.5070000000000001</v>
      </c>
      <c r="C365" s="841"/>
      <c r="D365" s="393">
        <f t="shared" si="127"/>
        <v>3.6362986502225523</v>
      </c>
      <c r="E365" s="385">
        <f t="shared" si="150"/>
        <v>3.8295661086634287</v>
      </c>
      <c r="F365" s="385">
        <f t="shared" si="128"/>
        <v>3.8295661086634287</v>
      </c>
      <c r="G365" s="110">
        <f t="shared" si="151"/>
        <v>0.15569563543232068</v>
      </c>
      <c r="H365" s="414" t="b">
        <f>Wh_hp&gt;='2021'!Maxi_hp</f>
        <v>0</v>
      </c>
      <c r="I365" s="380">
        <f>IF(H365,Wh_hp,'2021'!Maxi_hp)</f>
        <v>25.601732712427946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3.5557764270720327E-2</v>
      </c>
      <c r="M365" s="845"/>
      <c r="N365" s="845"/>
      <c r="O365" s="48">
        <f>IF(t&lt;Tnet,'2021'!Resal+('2021'!Salim-'2021'!Resal)*(1-EXP(('2021'!Tnet-t)/('2021'!Tau_j))),Resal+(Salim-Resal)*(1-EXP((Tnet-t)/(Tau_j))))*Salcycl</f>
        <v>5.0467194704814686E-2</v>
      </c>
      <c r="P365" s="339">
        <f>(INDEX(Models!$BJ365:$BT365,,T365)*(1-R365)+INDEX(Models!$BJ365:$BT365,,T365+1)*R365-ERP_i)*Q365*Ramure*Pc/MaxiM</f>
        <v>5.0224178749394338E-4</v>
      </c>
      <c r="Q365" s="305">
        <f t="shared" si="130"/>
        <v>0.5</v>
      </c>
      <c r="R365" s="177">
        <f t="shared" si="131"/>
        <v>0.49735114464815783</v>
      </c>
      <c r="S365" s="811">
        <f t="shared" si="132"/>
        <v>0</v>
      </c>
      <c r="T365" s="176">
        <f t="shared" si="133"/>
        <v>6</v>
      </c>
      <c r="U365" s="251">
        <f t="shared" si="134"/>
        <v>0.49735114464815783</v>
      </c>
      <c r="V365" s="383">
        <f t="shared" si="135"/>
        <v>22.513403335413024</v>
      </c>
      <c r="W365" s="402">
        <f t="shared" si="136"/>
        <v>0</v>
      </c>
      <c r="X365" s="157">
        <f t="shared" si="137"/>
        <v>44912</v>
      </c>
      <c r="Y365" s="385">
        <f t="shared" si="138"/>
        <v>3.3974360010742681</v>
      </c>
      <c r="Z365" s="385">
        <f t="shared" si="139"/>
        <v>3.5226951653618097</v>
      </c>
      <c r="AA365" s="386">
        <f t="shared" si="140"/>
        <v>3.8295661086634287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8.013203966042029E-2</v>
      </c>
      <c r="AD365" s="231">
        <f>(INDEX(Models!$BJ365:$BT365,,AH365)*(1-AF365)+INDEX(Models!$BJ365:$BT365,,AH365+1)*AF365-ERP_i)*AE365*Ramure*Pc/MaxiM</f>
        <v>5.0224178749394338E-4</v>
      </c>
      <c r="AE365" s="305">
        <f t="shared" si="142"/>
        <v>0.5</v>
      </c>
      <c r="AF365" s="177">
        <f t="shared" si="143"/>
        <v>0.49735114464815783</v>
      </c>
      <c r="AG365" s="811">
        <f t="shared" si="149"/>
        <v>0</v>
      </c>
      <c r="AH365" s="176">
        <f t="shared" si="144"/>
        <v>6</v>
      </c>
      <c r="AI365" s="225">
        <f t="shared" si="145"/>
        <v>0.49735114464815783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44913</v>
      </c>
      <c r="B366" s="1140">
        <v>21.059000000000001</v>
      </c>
      <c r="C366" s="841"/>
      <c r="D366" s="393">
        <f t="shared" si="127"/>
        <v>21.835896931996885</v>
      </c>
      <c r="E366" s="385">
        <f t="shared" si="150"/>
        <v>22.997856284903609</v>
      </c>
      <c r="F366" s="385">
        <f t="shared" si="128"/>
        <v>23.008355595819921</v>
      </c>
      <c r="G366" s="110">
        <f t="shared" si="151"/>
        <v>0.93608176278622568</v>
      </c>
      <c r="H366" s="414" t="b">
        <f>Wh_hp&gt;='2021'!Maxi_hp</f>
        <v>0</v>
      </c>
      <c r="I366" s="380">
        <f>IF(H366,Wh_hp,'2021'!Maxi_hp)</f>
        <v>25.724211482819697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3.5578888030858513E-2</v>
      </c>
      <c r="M366" s="845"/>
      <c r="N366" s="845"/>
      <c r="O366" s="48">
        <f>IF(t&lt;Tnet,'2021'!Resal+('2021'!Salim-'2021'!Resal)*(1-EXP(('2021'!Tnet-t)/('2021'!Tau_j))),Resal+(Salim-Resal)*(1-EXP((Tnet-t)/(Tau_j))))*Salcycl</f>
        <v>5.0524681018615868E-2</v>
      </c>
      <c r="P366" s="339">
        <f>(INDEX(Models!$BJ366:$BT366,,T366)*(1-R366)+INDEX(Models!$BJ366:$BT366,,T366+1)*R366-ERP_i)*Q366*Ramure*Pc/MaxiM</f>
        <v>5.0214716225312065E-4</v>
      </c>
      <c r="Q366" s="305">
        <f t="shared" si="130"/>
        <v>0.5</v>
      </c>
      <c r="R366" s="177">
        <f t="shared" si="131"/>
        <v>0.49735933326782711</v>
      </c>
      <c r="S366" s="811">
        <f t="shared" si="132"/>
        <v>0</v>
      </c>
      <c r="T366" s="176">
        <f t="shared" si="133"/>
        <v>6</v>
      </c>
      <c r="U366" s="251">
        <f t="shared" si="134"/>
        <v>0.49735933326782711</v>
      </c>
      <c r="V366" s="383">
        <f t="shared" si="135"/>
        <v>22.49593512960962</v>
      </c>
      <c r="W366" s="402">
        <f t="shared" si="136"/>
        <v>0</v>
      </c>
      <c r="X366" s="157">
        <f t="shared" si="137"/>
        <v>44913</v>
      </c>
      <c r="Y366" s="385">
        <f t="shared" si="138"/>
        <v>20.4017259390438</v>
      </c>
      <c r="Z366" s="385">
        <f t="shared" si="139"/>
        <v>21.154375081428736</v>
      </c>
      <c r="AA366" s="386">
        <f t="shared" si="140"/>
        <v>22.997856284903609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8.0158827876708777E-2</v>
      </c>
      <c r="AD366" s="231">
        <f>(INDEX(Models!$BJ366:$BT366,,AH366)*(1-AF366)+INDEX(Models!$BJ366:$BT366,,AH366+1)*AF366-ERP_i)*AE366*Ramure*Pc/MaxiM</f>
        <v>5.0214716225312065E-4</v>
      </c>
      <c r="AE366" s="305">
        <f t="shared" si="142"/>
        <v>0.5</v>
      </c>
      <c r="AF366" s="177">
        <f t="shared" si="143"/>
        <v>0.49735933326782711</v>
      </c>
      <c r="AG366" s="811">
        <f t="shared" si="149"/>
        <v>0</v>
      </c>
      <c r="AH366" s="176">
        <f t="shared" si="144"/>
        <v>6</v>
      </c>
      <c r="AI366" s="225">
        <f t="shared" si="145"/>
        <v>0.49735933326782711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44914</v>
      </c>
      <c r="B367" s="1140">
        <v>17.042000000000002</v>
      </c>
      <c r="C367" s="841"/>
      <c r="D367" s="393">
        <f t="shared" si="127"/>
        <v>17.671091041252584</v>
      </c>
      <c r="E367" s="385">
        <f t="shared" si="150"/>
        <v>18.612562080455856</v>
      </c>
      <c r="F367" s="385">
        <f t="shared" si="128"/>
        <v>18.618671824839854</v>
      </c>
      <c r="G367" s="110">
        <f t="shared" si="151"/>
        <v>0.75763391048776429</v>
      </c>
      <c r="H367" s="414" t="b">
        <f>Wh_hp&gt;='2021'!Maxi_hp</f>
        <v>0</v>
      </c>
      <c r="I367" s="380">
        <f>IF(H367,Wh_hp,'2021'!Maxi_hp)</f>
        <v>25.408167099175618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3.5600011328332237E-2</v>
      </c>
      <c r="M367" s="845"/>
      <c r="N367" s="845"/>
      <c r="O367" s="48">
        <f>IF(t&lt;Tnet,'2021'!Resal+('2021'!Salim-'2021'!Resal)*(1-EXP(('2021'!Tnet-t)/('2021'!Tau_j))),Resal+(Salim-Resal)*(1-EXP((Tnet-t)/(Tau_j))))*Salcycl</f>
        <v>5.0582560054527041E-2</v>
      </c>
      <c r="P367" s="339">
        <f>(INDEX(Models!$BJ367:$BT367,,T367)*(1-R367)+INDEX(Models!$BJ367:$BT367,,T367+1)*R367-ERP_i)*Q367*Ramure*Pc/MaxiM</f>
        <v>5.0179842038989403E-4</v>
      </c>
      <c r="Q367" s="305">
        <f t="shared" si="130"/>
        <v>0.5</v>
      </c>
      <c r="R367" s="177">
        <f t="shared" si="131"/>
        <v>0.49736719244179334</v>
      </c>
      <c r="S367" s="811">
        <f t="shared" si="132"/>
        <v>0</v>
      </c>
      <c r="T367" s="176">
        <f t="shared" si="133"/>
        <v>6</v>
      </c>
      <c r="U367" s="251">
        <f t="shared" si="134"/>
        <v>0.49736719244179334</v>
      </c>
      <c r="V367" s="383">
        <f t="shared" si="135"/>
        <v>22.489806094020572</v>
      </c>
      <c r="W367" s="402">
        <f t="shared" si="136"/>
        <v>0</v>
      </c>
      <c r="X367" s="157">
        <f t="shared" si="137"/>
        <v>44914</v>
      </c>
      <c r="Y367" s="385">
        <f t="shared" si="138"/>
        <v>16.51061397539393</v>
      </c>
      <c r="Z367" s="385">
        <f t="shared" si="139"/>
        <v>17.120089350203227</v>
      </c>
      <c r="AA367" s="386">
        <f t="shared" si="140"/>
        <v>18.612562080455856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8.01863130825929E-2</v>
      </c>
      <c r="AD367" s="231">
        <f>(INDEX(Models!$BJ367:$BT367,,AH367)*(1-AF367)+INDEX(Models!$BJ367:$BT367,,AH367+1)*AF367-ERP_i)*AE367*Ramure*Pc/MaxiM</f>
        <v>5.0179842038989403E-4</v>
      </c>
      <c r="AE367" s="305">
        <f t="shared" si="142"/>
        <v>0.5</v>
      </c>
      <c r="AF367" s="177">
        <f t="shared" si="143"/>
        <v>0.49736719244179334</v>
      </c>
      <c r="AG367" s="811">
        <f t="shared" si="149"/>
        <v>0</v>
      </c>
      <c r="AH367" s="176">
        <f t="shared" si="144"/>
        <v>6</v>
      </c>
      <c r="AI367" s="225">
        <f t="shared" si="145"/>
        <v>0.49736719244179334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44915</v>
      </c>
      <c r="B368" s="1140">
        <v>4.4800000000000004</v>
      </c>
      <c r="C368" s="841"/>
      <c r="D368" s="393">
        <f t="shared" si="127"/>
        <v>4.6454771653591145</v>
      </c>
      <c r="E368" s="385">
        <f t="shared" si="150"/>
        <v>4.8932766192132737</v>
      </c>
      <c r="F368" s="385">
        <f t="shared" si="128"/>
        <v>4.8932766192132737</v>
      </c>
      <c r="G368" s="110">
        <f t="shared" si="151"/>
        <v>0.19905331876202015</v>
      </c>
      <c r="H368" s="414" t="b">
        <f>Wh_hp&gt;='2021'!Maxi_hp</f>
        <v>0</v>
      </c>
      <c r="I368" s="380">
        <f>IF(H368,Wh_hp,'2021'!Maxi_hp)</f>
        <v>22.549218247197125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3.5621134163151491E-2</v>
      </c>
      <c r="M368" s="845"/>
      <c r="N368" s="845"/>
      <c r="O368" s="48">
        <f>IF(t&lt;Tnet,'2021'!Resal+('2021'!Salim-'2021'!Resal)*(1-EXP(('2021'!Tnet-t)/('2021'!Tau_j))),Resal+(Salim-Resal)*(1-EXP((Tnet-t)/(Tau_j))))*Salcycl</f>
        <v>5.0640802296192132E-2</v>
      </c>
      <c r="P368" s="339">
        <f>(INDEX(Models!$BJ368:$BT368,,T368)*(1-R368)+INDEX(Models!$BJ368:$BT368,,T368+1)*R368-ERP_i)*Q368*Ramure*Pc/MaxiM</f>
        <v>5.0118796610779646E-4</v>
      </c>
      <c r="Q368" s="305">
        <f t="shared" si="130"/>
        <v>0.5</v>
      </c>
      <c r="R368" s="177">
        <f t="shared" si="131"/>
        <v>0.49737473541463167</v>
      </c>
      <c r="S368" s="811">
        <f t="shared" si="132"/>
        <v>0</v>
      </c>
      <c r="T368" s="176">
        <f t="shared" si="133"/>
        <v>6</v>
      </c>
      <c r="U368" s="251">
        <f t="shared" si="134"/>
        <v>0.49737473541463167</v>
      </c>
      <c r="V368" s="383">
        <f t="shared" si="135"/>
        <v>22.495252557257061</v>
      </c>
      <c r="W368" s="402">
        <f t="shared" si="136"/>
        <v>0</v>
      </c>
      <c r="X368" s="157">
        <f t="shared" si="137"/>
        <v>44915</v>
      </c>
      <c r="Y368" s="385">
        <f t="shared" si="138"/>
        <v>4.3404427837833381</v>
      </c>
      <c r="Z368" s="385">
        <f t="shared" si="139"/>
        <v>4.5007651427708133</v>
      </c>
      <c r="AA368" s="386">
        <f t="shared" si="140"/>
        <v>4.8932766192132737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8.0214446675930418E-2</v>
      </c>
      <c r="AD368" s="231">
        <f>(INDEX(Models!$BJ368:$BT368,,AH368)*(1-AF368)+INDEX(Models!$BJ368:$BT368,,AH368+1)*AF368-ERP_i)*AE368*Ramure*Pc/MaxiM</f>
        <v>5.0118796610779646E-4</v>
      </c>
      <c r="AE368" s="305">
        <f t="shared" si="142"/>
        <v>0.5</v>
      </c>
      <c r="AF368" s="177">
        <f t="shared" si="143"/>
        <v>0.49737473541463167</v>
      </c>
      <c r="AG368" s="811">
        <f t="shared" si="149"/>
        <v>0</v>
      </c>
      <c r="AH368" s="176">
        <f t="shared" si="144"/>
        <v>6</v>
      </c>
      <c r="AI368" s="225">
        <f t="shared" si="145"/>
        <v>0.49737473541463167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44916</v>
      </c>
      <c r="B369" s="1140">
        <v>20.205000000000002</v>
      </c>
      <c r="C369" s="841"/>
      <c r="D369" s="393">
        <f t="shared" si="127"/>
        <v>20.951768300640136</v>
      </c>
      <c r="E369" s="385">
        <f t="shared" si="150"/>
        <v>22.070741164351848</v>
      </c>
      <c r="F369" s="385">
        <f t="shared" si="128"/>
        <v>22.080170505451491</v>
      </c>
      <c r="G369" s="110">
        <f t="shared" si="151"/>
        <v>0.89743518184006099</v>
      </c>
      <c r="H369" s="414" t="b">
        <f>Wh_hp&gt;='2021'!Maxi_hp</f>
        <v>1</v>
      </c>
      <c r="I369" s="380">
        <f>IF(H369,Wh_hp,'2021'!Maxi_hp)</f>
        <v>22.080170505451491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3.5642256535326378E-2</v>
      </c>
      <c r="M369" s="845"/>
      <c r="N369" s="845"/>
      <c r="O369" s="48">
        <f>IF(t&lt;Tnet,'2021'!Resal+('2021'!Salim-'2021'!Resal)*(1-EXP(('2021'!Tnet-t)/('2021'!Tau_j))),Resal+(Salim-Resal)*(1-EXP((Tnet-t)/(Tau_j))))*Salcycl</f>
        <v>5.0699378665137511E-2</v>
      </c>
      <c r="P369" s="339">
        <f>(INDEX(Models!$BJ369:$BT369,,T369)*(1-R369)+INDEX(Models!$BJ369:$BT369,,T369+1)*R369-ERP_i)*Q369*Ramure*Pc/MaxiM</f>
        <v>5.0030904710903238E-4</v>
      </c>
      <c r="Q369" s="305">
        <f t="shared" si="130"/>
        <v>0.5</v>
      </c>
      <c r="R369" s="177">
        <f t="shared" si="131"/>
        <v>0.49738197489921859</v>
      </c>
      <c r="S369" s="811">
        <f t="shared" si="132"/>
        <v>0</v>
      </c>
      <c r="T369" s="176">
        <f t="shared" si="133"/>
        <v>6</v>
      </c>
      <c r="U369" s="251">
        <f t="shared" si="134"/>
        <v>0.49738197489921859</v>
      </c>
      <c r="V369" s="383">
        <f t="shared" si="135"/>
        <v>22.512510743185317</v>
      </c>
      <c r="W369" s="402">
        <f t="shared" si="136"/>
        <v>0</v>
      </c>
      <c r="X369" s="157">
        <f t="shared" si="137"/>
        <v>44916</v>
      </c>
      <c r="Y369" s="385">
        <f t="shared" si="138"/>
        <v>19.57618704978319</v>
      </c>
      <c r="Z369" s="385">
        <f t="shared" si="139"/>
        <v>20.299714688297421</v>
      </c>
      <c r="AA369" s="386">
        <f t="shared" si="140"/>
        <v>22.070741164351848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8.0243180909345721E-2</v>
      </c>
      <c r="AD369" s="231">
        <f>(INDEX(Models!$BJ369:$BT369,,AH369)*(1-AF369)+INDEX(Models!$BJ369:$BT369,,AH369+1)*AF369-ERP_i)*AE369*Ramure*Pc/MaxiM</f>
        <v>5.0030904710903238E-4</v>
      </c>
      <c r="AE369" s="305">
        <f t="shared" si="142"/>
        <v>0.5</v>
      </c>
      <c r="AF369" s="177">
        <f t="shared" si="143"/>
        <v>0.49738197489921859</v>
      </c>
      <c r="AG369" s="811">
        <f t="shared" si="149"/>
        <v>0</v>
      </c>
      <c r="AH369" s="176">
        <f t="shared" si="144"/>
        <v>6</v>
      </c>
      <c r="AI369" s="225">
        <f t="shared" si="145"/>
        <v>0.49738197489921859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44917</v>
      </c>
      <c r="B370" s="1140">
        <v>16.698</v>
      </c>
      <c r="C370" s="841"/>
      <c r="D370" s="393">
        <f t="shared" si="127"/>
        <v>17.3155303104346</v>
      </c>
      <c r="E370" s="385">
        <f t="shared" si="150"/>
        <v>18.241433760513861</v>
      </c>
      <c r="F370" s="385">
        <f t="shared" si="128"/>
        <v>18.247168747686413</v>
      </c>
      <c r="G370" s="110">
        <f t="shared" si="151"/>
        <v>0.74061964025173876</v>
      </c>
      <c r="H370" s="414" t="b">
        <f>Wh_hp&gt;='2021'!Maxi_hp</f>
        <v>0</v>
      </c>
      <c r="I370" s="380">
        <f>IF(H370,Wh_hp,'2021'!Maxi_hp)</f>
        <v>25.041754314682116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3.5663378444867222E-2</v>
      </c>
      <c r="M370" s="845"/>
      <c r="N370" s="845"/>
      <c r="O370" s="48">
        <f>IF(t&lt;Tnet,'2021'!Resal+('2021'!Salim-'2021'!Resal)*(1-EXP(('2021'!Tnet-t)/('2021'!Tau_j))),Resal+(Salim-Resal)*(1-EXP((Tnet-t)/(Tau_j))))*Salcycl</f>
        <v>5.0758260684722396E-2</v>
      </c>
      <c r="P370" s="339">
        <f>(INDEX(Models!$BJ370:$BT370,,T370)*(1-R370)+INDEX(Models!$BJ370:$BT370,,T370+1)*R370-ERP_i)*Q370*Ramure*Pc/MaxiM</f>
        <v>4.9915584166823916E-4</v>
      </c>
      <c r="Q370" s="305">
        <f t="shared" si="130"/>
        <v>0.5</v>
      </c>
      <c r="R370" s="177">
        <f t="shared" si="131"/>
        <v>0.49738892309801586</v>
      </c>
      <c r="S370" s="811">
        <f t="shared" si="132"/>
        <v>0</v>
      </c>
      <c r="T370" s="176">
        <f t="shared" si="133"/>
        <v>6</v>
      </c>
      <c r="U370" s="251">
        <f t="shared" si="134"/>
        <v>0.49738892309801586</v>
      </c>
      <c r="V370" s="383">
        <f t="shared" si="135"/>
        <v>22.541816756790102</v>
      </c>
      <c r="W370" s="402">
        <f t="shared" si="136"/>
        <v>0</v>
      </c>
      <c r="X370" s="157">
        <f t="shared" si="137"/>
        <v>44917</v>
      </c>
      <c r="Y370" s="385">
        <f t="shared" si="138"/>
        <v>16.178819023790986</v>
      </c>
      <c r="Z370" s="385">
        <f t="shared" si="139"/>
        <v>16.77714883180553</v>
      </c>
      <c r="AA370" s="386">
        <f t="shared" si="140"/>
        <v>18.241433760513861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8.0272469145379402E-2</v>
      </c>
      <c r="AD370" s="231">
        <f>(INDEX(Models!$BJ370:$BT370,,AH370)*(1-AF370)+INDEX(Models!$BJ370:$BT370,,AH370+1)*AF370-ERP_i)*AE370*Ramure*Pc/MaxiM</f>
        <v>4.9915584166823916E-4</v>
      </c>
      <c r="AE370" s="305">
        <f t="shared" si="142"/>
        <v>0.5</v>
      </c>
      <c r="AF370" s="177">
        <f t="shared" si="143"/>
        <v>0.49738892309801586</v>
      </c>
      <c r="AG370" s="811">
        <f t="shared" si="149"/>
        <v>0</v>
      </c>
      <c r="AH370" s="176">
        <f t="shared" si="144"/>
        <v>6</v>
      </c>
      <c r="AI370" s="225">
        <f t="shared" si="145"/>
        <v>0.49738892309801586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44918</v>
      </c>
      <c r="B371" s="1140">
        <v>17.244</v>
      </c>
      <c r="C371" s="841"/>
      <c r="D371" s="393">
        <f t="shared" si="127"/>
        <v>17.882114306017964</v>
      </c>
      <c r="E371" s="385">
        <f t="shared" si="150"/>
        <v>18.839488518583686</v>
      </c>
      <c r="F371" s="385">
        <f t="shared" si="128"/>
        <v>18.845700296340492</v>
      </c>
      <c r="G371" s="110">
        <f t="shared" si="151"/>
        <v>0.76344107259503879</v>
      </c>
      <c r="H371" s="414" t="b">
        <f>Wh_hp&gt;='2021'!Maxi_hp</f>
        <v>0</v>
      </c>
      <c r="I371" s="380">
        <f>IF(H371,Wh_hp,'2021'!Maxi_hp)</f>
        <v>19.829576058520093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3.5684499891783905E-2</v>
      </c>
      <c r="M371" s="845"/>
      <c r="N371" s="845"/>
      <c r="O371" s="48">
        <f>IF(t&lt;Tnet,'2021'!Resal+('2021'!Salim-'2021'!Resal)*(1-EXP(('2021'!Tnet-t)/('2021'!Tau_j))),Resal+(Salim-Resal)*(1-EXP((Tnet-t)/(Tau_j))))*Salcycl</f>
        <v>5.0817420633333388E-2</v>
      </c>
      <c r="P371" s="339">
        <f>(INDEX(Models!$BJ371:$BT371,,T371)*(1-R371)+INDEX(Models!$BJ371:$BT371,,T371+1)*R371-ERP_i)*Q371*Ramure*Pc/MaxiM</f>
        <v>4.9772199715068756E-4</v>
      </c>
      <c r="Q371" s="305">
        <f t="shared" si="130"/>
        <v>0.5</v>
      </c>
      <c r="R371" s="177">
        <f t="shared" si="131"/>
        <v>0.49738892309801586</v>
      </c>
      <c r="S371" s="811">
        <f t="shared" si="132"/>
        <v>0</v>
      </c>
      <c r="T371" s="176">
        <f t="shared" si="133"/>
        <v>6</v>
      </c>
      <c r="U371" s="251">
        <f t="shared" si="134"/>
        <v>0.49738892309801586</v>
      </c>
      <c r="V371" s="383">
        <f t="shared" si="135"/>
        <v>22.58340660769748</v>
      </c>
      <c r="W371" s="402">
        <f t="shared" si="136"/>
        <v>0</v>
      </c>
      <c r="X371" s="157">
        <f t="shared" si="137"/>
        <v>44918</v>
      </c>
      <c r="Y371" s="385">
        <f t="shared" si="138"/>
        <v>16.708342597339406</v>
      </c>
      <c r="Z371" s="385">
        <f t="shared" si="139"/>
        <v>17.326634898499904</v>
      </c>
      <c r="AA371" s="386">
        <f t="shared" si="140"/>
        <v>18.839488518583686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8.0302266093448912E-2</v>
      </c>
      <c r="AD371" s="231">
        <f>(INDEX(Models!$BJ371:$BT371,,AH371)*(1-AF371)+INDEX(Models!$BJ371:$BT371,,AH371+1)*AF371-ERP_i)*AE371*Ramure*Pc/MaxiM</f>
        <v>4.9772199715068756E-4</v>
      </c>
      <c r="AE371" s="305">
        <f t="shared" si="142"/>
        <v>0.5</v>
      </c>
      <c r="AF371" s="177">
        <f t="shared" si="143"/>
        <v>0.49738892309801586</v>
      </c>
      <c r="AG371" s="811">
        <f t="shared" si="149"/>
        <v>0</v>
      </c>
      <c r="AH371" s="176">
        <f t="shared" si="144"/>
        <v>6</v>
      </c>
      <c r="AI371" s="225">
        <f t="shared" si="145"/>
        <v>0.49738892309801586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44919</v>
      </c>
      <c r="B372" s="1140">
        <v>20.722999999999999</v>
      </c>
      <c r="C372" s="841"/>
      <c r="D372" s="393">
        <f t="shared" si="127"/>
        <v>21.490325411652186</v>
      </c>
      <c r="E372" s="385">
        <f t="shared" si="150"/>
        <v>22.64229357062646</v>
      </c>
      <c r="F372" s="385">
        <f t="shared" si="128"/>
        <v>22.652171690590645</v>
      </c>
      <c r="G372" s="110">
        <f t="shared" si="151"/>
        <v>0.91537240535240683</v>
      </c>
      <c r="H372" s="414" t="b">
        <f>Wh_hp&gt;='2021'!Maxi_hp</f>
        <v>1</v>
      </c>
      <c r="I372" s="380">
        <f>IF(H372,Wh_hp,'2021'!Maxi_hp)</f>
        <v>22.652171690590645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3.5705620876086752E-2</v>
      </c>
      <c r="M372" s="845"/>
      <c r="N372" s="845"/>
      <c r="O372" s="48">
        <f>IF(t&lt;Tnet,'2021'!Resal+('2021'!Salim-'2021'!Resal)*(1-EXP(('2021'!Tnet-t)/('2021'!Tau_j))),Resal+(Salim-Resal)*(1-EXP((Tnet-t)/(Tau_j))))*Salcycl</f>
        <v>5.0876831685845954E-2</v>
      </c>
      <c r="P372" s="339">
        <f>(INDEX(Models!$BJ372:$BT372,,T372)*(1-R372)+INDEX(Models!$BJ372:$BT372,,T372+1)*R372-ERP_i)*Q372*Ramure*Pc/MaxiM</f>
        <v>4.9600464416967548E-4</v>
      </c>
      <c r="Q372" s="305">
        <f t="shared" si="130"/>
        <v>0.5</v>
      </c>
      <c r="R372" s="177">
        <f t="shared" si="131"/>
        <v>0.49738892309801586</v>
      </c>
      <c r="S372" s="811">
        <f t="shared" si="132"/>
        <v>0</v>
      </c>
      <c r="T372" s="176">
        <f t="shared" si="133"/>
        <v>6</v>
      </c>
      <c r="U372" s="251">
        <f t="shared" si="134"/>
        <v>0.49738892309801586</v>
      </c>
      <c r="V372" s="383">
        <f t="shared" si="135"/>
        <v>22.63751614415321</v>
      </c>
      <c r="W372" s="402">
        <f t="shared" si="136"/>
        <v>0</v>
      </c>
      <c r="X372" s="157">
        <f t="shared" si="137"/>
        <v>44919</v>
      </c>
      <c r="Y372" s="385">
        <f t="shared" si="138"/>
        <v>20.07986914442748</v>
      </c>
      <c r="Z372" s="385">
        <f t="shared" si="139"/>
        <v>20.823380887764344</v>
      </c>
      <c r="AA372" s="386">
        <f t="shared" si="140"/>
        <v>22.64229357062646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8.0332528027185671E-2</v>
      </c>
      <c r="AD372" s="231">
        <f>(INDEX(Models!$BJ372:$BT372,,AH372)*(1-AF372)+INDEX(Models!$BJ372:$BT372,,AH372+1)*AF372-ERP_i)*AE372*Ramure*Pc/MaxiM</f>
        <v>4.9600464416967548E-4</v>
      </c>
      <c r="AE372" s="305">
        <f t="shared" si="142"/>
        <v>0.5</v>
      </c>
      <c r="AF372" s="177">
        <f t="shared" si="143"/>
        <v>0.49738892309801586</v>
      </c>
      <c r="AG372" s="811">
        <f t="shared" si="149"/>
        <v>0</v>
      </c>
      <c r="AH372" s="176">
        <f t="shared" si="144"/>
        <v>6</v>
      </c>
      <c r="AI372" s="225">
        <f t="shared" si="145"/>
        <v>0.49738892309801586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44920</v>
      </c>
      <c r="B373" s="1140">
        <v>12.33</v>
      </c>
      <c r="C373" s="841"/>
      <c r="D373" s="393">
        <f t="shared" si="127"/>
        <v>12.786831834238827</v>
      </c>
      <c r="E373" s="385">
        <f t="shared" si="150"/>
        <v>13.473104174454106</v>
      </c>
      <c r="F373" s="385">
        <f t="shared" si="128"/>
        <v>13.475415020788434</v>
      </c>
      <c r="G373" s="110">
        <f t="shared" si="151"/>
        <v>0.54284351702591038</v>
      </c>
      <c r="H373" s="414" t="b">
        <f>Wh_hp&gt;='2021'!Maxi_hp</f>
        <v>0</v>
      </c>
      <c r="I373" s="380">
        <f>IF(H373,Wh_hp,'2021'!Maxi_hp)</f>
        <v>16.332134440633631</v>
      </c>
      <c r="J373" s="85">
        <f>IF(H373,An,'2021'!An_max)</f>
        <v>2018</v>
      </c>
      <c r="K373" s="197">
        <f t="shared" si="129"/>
        <v>44920</v>
      </c>
      <c r="L373" s="147">
        <f>IF(t&lt;Tvie,1-EXP((T0-t)*PertePVj)+'2021'!Pspv,1-EXP((T0-t)*PertePVj)+Pspv)</f>
        <v>3.5726741397785866E-2</v>
      </c>
      <c r="M373" s="845"/>
      <c r="N373" s="845"/>
      <c r="O373" s="48">
        <f>IF(t&lt;Tnet,'2021'!Resal+('2021'!Salim-'2021'!Resal)*(1-EXP(('2021'!Tnet-t)/('2021'!Tau_j))),Resal+(Salim-Resal)*(1-EXP((Tnet-t)/(Tau_j))))*Salcycl</f>
        <v>5.0936468042494437E-2</v>
      </c>
      <c r="P373" s="339">
        <f>(INDEX(Models!$BJ373:$BT373,,T373)*(1-R373)+INDEX(Models!$BJ373:$BT373,,T373+1)*R373-ERP_i)*Q373*Ramure*Pc/MaxiM</f>
        <v>4.939549555202634E-4</v>
      </c>
      <c r="Q373" s="305">
        <f t="shared" si="130"/>
        <v>0.5</v>
      </c>
      <c r="R373" s="177">
        <f t="shared" si="131"/>
        <v>0.49738892309801586</v>
      </c>
      <c r="S373" s="811">
        <f t="shared" si="132"/>
        <v>0</v>
      </c>
      <c r="T373" s="176">
        <f t="shared" si="133"/>
        <v>6</v>
      </c>
      <c r="U373" s="251">
        <f t="shared" si="134"/>
        <v>0.49738892309801586</v>
      </c>
      <c r="V373" s="383">
        <f t="shared" si="135"/>
        <v>22.706402288009226</v>
      </c>
      <c r="W373" s="402">
        <f t="shared" si="136"/>
        <v>0</v>
      </c>
      <c r="X373" s="157">
        <f t="shared" si="137"/>
        <v>44920</v>
      </c>
      <c r="Y373" s="385">
        <f t="shared" si="138"/>
        <v>11.947694966803439</v>
      </c>
      <c r="Z373" s="385">
        <f t="shared" si="139"/>
        <v>12.390362234168469</v>
      </c>
      <c r="AA373" s="386">
        <f t="shared" si="140"/>
        <v>13.473104174454106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8.0363212980909565E-2</v>
      </c>
      <c r="AD373" s="231">
        <f>(INDEX(Models!$BJ373:$BT373,,AH373)*(1-AF373)+INDEX(Models!$BJ373:$BT373,,AH373+1)*AF373-ERP_i)*AE373*Ramure*Pc/MaxiM</f>
        <v>4.939549555202634E-4</v>
      </c>
      <c r="AE373" s="305">
        <f t="shared" si="142"/>
        <v>0.5</v>
      </c>
      <c r="AF373" s="177">
        <f t="shared" si="143"/>
        <v>0.49738892309801586</v>
      </c>
      <c r="AG373" s="811">
        <f t="shared" si="149"/>
        <v>0</v>
      </c>
      <c r="AH373" s="176">
        <f t="shared" si="144"/>
        <v>6</v>
      </c>
      <c r="AI373" s="225">
        <f t="shared" si="145"/>
        <v>0.49738892309801586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44921</v>
      </c>
      <c r="B374" s="1140">
        <v>21.010999999999999</v>
      </c>
      <c r="C374" s="841"/>
      <c r="D374" s="393">
        <f t="shared" si="127"/>
        <v>21.789943895530872</v>
      </c>
      <c r="E374" s="385">
        <f t="shared" si="150"/>
        <v>22.960863072878496</v>
      </c>
      <c r="F374" s="385">
        <f t="shared" si="128"/>
        <v>22.970894263769079</v>
      </c>
      <c r="G374" s="110">
        <f t="shared" si="151"/>
        <v>0.92183162912496719</v>
      </c>
      <c r="H374" s="414" t="b">
        <f>Wh_hp&gt;='2021'!Maxi_hp</f>
        <v>0</v>
      </c>
      <c r="I374" s="380">
        <f>IF(H374,Wh_hp,'2021'!Maxi_hp)</f>
        <v>24.2954595694269</v>
      </c>
      <c r="J374" s="85">
        <f>IF(H374,An,'2021'!An_max)</f>
        <v>2018</v>
      </c>
      <c r="K374" s="197">
        <f t="shared" si="129"/>
        <v>44921</v>
      </c>
      <c r="L374" s="147">
        <f>IF(t&lt;Tvie,1-EXP((T0-t)*PertePVj)+'2021'!Pspv,1-EXP((T0-t)*PertePVj)+Pspv)</f>
        <v>3.574786145689135E-2</v>
      </c>
      <c r="M374" s="845"/>
      <c r="N374" s="845"/>
      <c r="O374" s="48">
        <f>IF(t&lt;Tnet,'2021'!Resal+('2021'!Salim-'2021'!Resal)*(1-EXP(('2021'!Tnet-t)/('2021'!Tau_j))),Resal+(Salim-Resal)*(1-EXP((Tnet-t)/(Tau_j))))*Salcycl</f>
        <v>5.0996305044418003E-2</v>
      </c>
      <c r="P374" s="339">
        <f>(INDEX(Models!$BJ374:$BT374,,T374)*(1-R374)+INDEX(Models!$BJ374:$BT374,,T374+1)*R374-ERP_i)*Q374*Ramure*Pc/MaxiM</f>
        <v>4.9154636775701856E-4</v>
      </c>
      <c r="Q374" s="305">
        <f t="shared" si="130"/>
        <v>0.5</v>
      </c>
      <c r="R374" s="177">
        <f t="shared" si="131"/>
        <v>0.49738892309801586</v>
      </c>
      <c r="S374" s="811">
        <f t="shared" si="132"/>
        <v>0</v>
      </c>
      <c r="T374" s="176">
        <f t="shared" si="133"/>
        <v>6</v>
      </c>
      <c r="U374" s="251">
        <f t="shared" si="134"/>
        <v>0.49738892309801586</v>
      </c>
      <c r="V374" s="383">
        <f t="shared" si="135"/>
        <v>22.79141469434197</v>
      </c>
      <c r="W374" s="402">
        <f t="shared" si="136"/>
        <v>0</v>
      </c>
      <c r="X374" s="157">
        <f t="shared" si="137"/>
        <v>44921</v>
      </c>
      <c r="Y374" s="385">
        <f t="shared" si="138"/>
        <v>20.360127011313516</v>
      </c>
      <c r="Z374" s="385">
        <f t="shared" si="139"/>
        <v>21.114940996735243</v>
      </c>
      <c r="AA374" s="386">
        <f t="shared" si="140"/>
        <v>22.960863072878496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8.0394280924207417E-2</v>
      </c>
      <c r="AD374" s="231">
        <f>(INDEX(Models!$BJ374:$BT374,,AH374)*(1-AF374)+INDEX(Models!$BJ374:$BT374,,AH374+1)*AF374-ERP_i)*AE374*Ramure*Pc/MaxiM</f>
        <v>4.9154636775701856E-4</v>
      </c>
      <c r="AE374" s="305">
        <f t="shared" si="142"/>
        <v>0.5</v>
      </c>
      <c r="AF374" s="177">
        <f t="shared" si="143"/>
        <v>0.49738892309801586</v>
      </c>
      <c r="AG374" s="811">
        <f t="shared" si="149"/>
        <v>0</v>
      </c>
      <c r="AH374" s="176">
        <f t="shared" si="144"/>
        <v>6</v>
      </c>
      <c r="AI374" s="225">
        <f t="shared" si="145"/>
        <v>0.49738892309801586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44922</v>
      </c>
      <c r="B375" s="1140">
        <v>7.5720000000000001</v>
      </c>
      <c r="C375" s="841"/>
      <c r="D375" s="393">
        <f t="shared" si="127"/>
        <v>7.8528898689365318</v>
      </c>
      <c r="E375" s="385">
        <f t="shared" si="150"/>
        <v>8.2754014052121487</v>
      </c>
      <c r="F375" s="385">
        <f t="shared" si="128"/>
        <v>8.2755793348572553</v>
      </c>
      <c r="G375" s="110">
        <f t="shared" si="151"/>
        <v>0.3306242535944055</v>
      </c>
      <c r="H375" s="414" t="b">
        <f>Wh_hp&gt;='2021'!Maxi_hp</f>
        <v>0</v>
      </c>
      <c r="I375" s="380">
        <f>IF(H375,Wh_hp,'2021'!Maxi_hp)</f>
        <v>24.678488393426758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3.5768981053413307E-2</v>
      </c>
      <c r="M375" s="845"/>
      <c r="N375" s="845"/>
      <c r="O375" s="48">
        <f>IF(t&lt;Tnet,'2021'!Resal+('2021'!Salim-'2021'!Resal)*(1-EXP(('2021'!Tnet-t)/('2021'!Tau_j))),Resal+(Salim-Resal)*(1-EXP((Tnet-t)/(Tau_j))))*Salcycl</f>
        <v>5.1056319275280586E-2</v>
      </c>
      <c r="P375" s="339">
        <f>(INDEX(Models!$BJ375:$BT375,,T375)*(1-R375)+INDEX(Models!$BJ375:$BT375,,T375+1)*R375-ERP_i)*Q375*Ramure*Pc/MaxiM</f>
        <v>4.8898437595692697E-4</v>
      </c>
      <c r="Q375" s="305">
        <f t="shared" si="130"/>
        <v>0.5</v>
      </c>
      <c r="R375" s="177">
        <f t="shared" si="131"/>
        <v>0.49738892309801586</v>
      </c>
      <c r="S375" s="811">
        <f t="shared" si="132"/>
        <v>0</v>
      </c>
      <c r="T375" s="176">
        <f t="shared" si="133"/>
        <v>6</v>
      </c>
      <c r="U375" s="251">
        <f t="shared" si="134"/>
        <v>0.49738892309801586</v>
      </c>
      <c r="V375" s="383">
        <f t="shared" si="135"/>
        <v>22.891424492322752</v>
      </c>
      <c r="W375" s="402">
        <f t="shared" si="136"/>
        <v>0</v>
      </c>
      <c r="X375" s="157">
        <f t="shared" si="137"/>
        <v>44922</v>
      </c>
      <c r="Y375" s="385">
        <f t="shared" si="138"/>
        <v>7.3376500493338233</v>
      </c>
      <c r="Z375" s="385">
        <f t="shared" si="139"/>
        <v>7.6098465047827819</v>
      </c>
      <c r="AA375" s="386">
        <f t="shared" si="140"/>
        <v>8.2754014052121487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8.0425693913793339E-2</v>
      </c>
      <c r="AD375" s="231">
        <f>(INDEX(Models!$BJ375:$BT375,,AH375)*(1-AF375)+INDEX(Models!$BJ375:$BT375,,AH375+1)*AF375-ERP_i)*AE375*Ramure*Pc/MaxiM</f>
        <v>4.8898437595692697E-4</v>
      </c>
      <c r="AE375" s="305">
        <f t="shared" si="142"/>
        <v>0.5</v>
      </c>
      <c r="AF375" s="177">
        <f t="shared" si="143"/>
        <v>0.49738892309801586</v>
      </c>
      <c r="AG375" s="811">
        <f t="shared" si="149"/>
        <v>0</v>
      </c>
      <c r="AH375" s="176">
        <f t="shared" si="144"/>
        <v>6</v>
      </c>
      <c r="AI375" s="225">
        <f t="shared" si="145"/>
        <v>0.49738892309801586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44923</v>
      </c>
      <c r="B376" s="1140">
        <v>20.182000000000002</v>
      </c>
      <c r="C376" s="841"/>
      <c r="D376" s="393">
        <f t="shared" si="127"/>
        <v>20.931127137277578</v>
      </c>
      <c r="E376" s="385">
        <f t="shared" si="150"/>
        <v>22.058689909644652</v>
      </c>
      <c r="F376" s="385">
        <f t="shared" si="128"/>
        <v>22.067540465651089</v>
      </c>
      <c r="G376" s="110">
        <f t="shared" si="151"/>
        <v>0.87720103212547595</v>
      </c>
      <c r="H376" s="414" t="b">
        <f>Wh_hp&gt;='2021'!Maxi_hp</f>
        <v>1</v>
      </c>
      <c r="I376" s="380">
        <f>IF(H376,Wh_hp,'2021'!Maxi_hp)</f>
        <v>22.067540465651089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3.5790100187361951E-2</v>
      </c>
      <c r="M376" s="845"/>
      <c r="N376" s="845"/>
      <c r="O376" s="48">
        <f>IF(t&lt;Tnet,'2021'!Resal+('2021'!Salim-'2021'!Resal)*(1-EXP(('2021'!Tnet-t)/('2021'!Tau_j))),Resal+(Salim-Resal)*(1-EXP((Tnet-t)/(Tau_j))))*Salcycl</f>
        <v>5.1116488648497424E-2</v>
      </c>
      <c r="P376" s="339">
        <f>(INDEX(Models!$BJ376:$BT376,,T376)*(1-R376)+INDEX(Models!$BJ376:$BT376,,T376+1)*R376-ERP_i)*Q376*Ramure*Pc/MaxiM</f>
        <v>4.8633022872776756E-4</v>
      </c>
      <c r="Q376" s="305">
        <f t="shared" si="130"/>
        <v>0.5</v>
      </c>
      <c r="R376" s="177">
        <f t="shared" si="131"/>
        <v>0.49738892309801586</v>
      </c>
      <c r="S376" s="811">
        <f t="shared" si="132"/>
        <v>0</v>
      </c>
      <c r="T376" s="176">
        <f t="shared" si="133"/>
        <v>6</v>
      </c>
      <c r="U376" s="251">
        <f t="shared" si="134"/>
        <v>0.49738892309801586</v>
      </c>
      <c r="V376" s="383">
        <f t="shared" si="135"/>
        <v>23.005306403346285</v>
      </c>
      <c r="W376" s="402">
        <f t="shared" si="136"/>
        <v>0</v>
      </c>
      <c r="X376" s="157">
        <f t="shared" si="137"/>
        <v>44923</v>
      </c>
      <c r="Y376" s="385">
        <f t="shared" si="138"/>
        <v>19.557941732356685</v>
      </c>
      <c r="Z376" s="385">
        <f t="shared" si="139"/>
        <v>20.283904714271362</v>
      </c>
      <c r="AA376" s="386">
        <f t="shared" si="140"/>
        <v>22.058689909644652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8.0457416222044359E-2</v>
      </c>
      <c r="AD376" s="231">
        <f>(INDEX(Models!$BJ376:$BT376,,AH376)*(1-AF376)+INDEX(Models!$BJ376:$BT376,,AH376+1)*AF376-ERP_i)*AE376*Ramure*Pc/MaxiM</f>
        <v>4.8633022872776756E-4</v>
      </c>
      <c r="AE376" s="305">
        <f t="shared" si="142"/>
        <v>0.5</v>
      </c>
      <c r="AF376" s="177">
        <f t="shared" si="143"/>
        <v>0.49738892309801586</v>
      </c>
      <c r="AG376" s="811">
        <f t="shared" si="149"/>
        <v>0</v>
      </c>
      <c r="AH376" s="176">
        <f t="shared" si="144"/>
        <v>6</v>
      </c>
      <c r="AI376" s="225">
        <f t="shared" si="145"/>
        <v>0.49738892309801586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44924</v>
      </c>
      <c r="B377" s="1140">
        <v>9.9209999999999994</v>
      </c>
      <c r="C377" s="841"/>
      <c r="D377" s="393">
        <f t="shared" si="127"/>
        <v>10.289478776404247</v>
      </c>
      <c r="E377" s="385">
        <f t="shared" si="150"/>
        <v>10.844463641752258</v>
      </c>
      <c r="F377" s="385">
        <f t="shared" si="128"/>
        <v>10.845429369108629</v>
      </c>
      <c r="G377" s="110">
        <f t="shared" si="151"/>
        <v>0.42871833354503897</v>
      </c>
      <c r="H377" s="414" t="b">
        <f>Wh_hp&gt;='2021'!Maxi_hp</f>
        <v>0</v>
      </c>
      <c r="I377" s="380">
        <f>IF(H377,Wh_hp,'2021'!Maxi_hp)</f>
        <v>24.70046719987749</v>
      </c>
      <c r="J377" s="85">
        <f>IF(H377,An,'2021'!An_max)</f>
        <v>2019</v>
      </c>
      <c r="K377" s="197">
        <f t="shared" si="129"/>
        <v>44924</v>
      </c>
      <c r="L377" s="147">
        <f>IF(t&lt;Tvie,1-EXP((T0-t)*PertePVj)+'2021'!Pspv,1-EXP((T0-t)*PertePVj)+Pspv)</f>
        <v>3.5811218858747274E-2</v>
      </c>
      <c r="M377" s="845"/>
      <c r="N377" s="845"/>
      <c r="O377" s="48">
        <f>IF(t&lt;Tnet,'2021'!Resal+('2021'!Salim-'2021'!Resal)*(1-EXP(('2021'!Tnet-t)/('2021'!Tau_j))),Resal+(Salim-Resal)*(1-EXP((Tnet-t)/(Tau_j))))*Salcycl</f>
        <v>5.1176792479737276E-2</v>
      </c>
      <c r="P377" s="339">
        <f>(INDEX(Models!$BJ377:$BT377,,T377)*(1-R377)+INDEX(Models!$BJ377:$BT377,,T377+1)*R377-ERP_i)*Q377*Ramure*Pc/MaxiM</f>
        <v>4.836094506820587E-4</v>
      </c>
      <c r="Q377" s="305">
        <f t="shared" si="130"/>
        <v>0.5</v>
      </c>
      <c r="R377" s="177">
        <f t="shared" si="131"/>
        <v>0.49738892309801586</v>
      </c>
      <c r="S377" s="811">
        <f t="shared" si="132"/>
        <v>0</v>
      </c>
      <c r="T377" s="176">
        <f t="shared" si="133"/>
        <v>6</v>
      </c>
      <c r="U377" s="251">
        <f t="shared" si="134"/>
        <v>0.49738892309801586</v>
      </c>
      <c r="V377" s="383">
        <f t="shared" si="135"/>
        <v>23.131936280675621</v>
      </c>
      <c r="W377" s="402">
        <f t="shared" si="136"/>
        <v>0</v>
      </c>
      <c r="X377" s="157">
        <f t="shared" si="137"/>
        <v>44924</v>
      </c>
      <c r="Y377" s="385">
        <f t="shared" si="138"/>
        <v>9.6145039950741911</v>
      </c>
      <c r="Z377" s="385">
        <f t="shared" si="139"/>
        <v>9.9715991132919797</v>
      </c>
      <c r="AA377" s="386">
        <f t="shared" si="140"/>
        <v>10.844463641752258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8.0489414441823032E-2</v>
      </c>
      <c r="AD377" s="231">
        <f>(INDEX(Models!$BJ377:$BT377,,AH377)*(1-AF377)+INDEX(Models!$BJ377:$BT377,,AH377+1)*AF377-ERP_i)*AE377*Ramure*Pc/MaxiM</f>
        <v>4.836094506820587E-4</v>
      </c>
      <c r="AE377" s="305">
        <f t="shared" si="142"/>
        <v>0.5</v>
      </c>
      <c r="AF377" s="177">
        <f t="shared" si="143"/>
        <v>0.49738892309801586</v>
      </c>
      <c r="AG377" s="811">
        <f t="shared" si="149"/>
        <v>0</v>
      </c>
      <c r="AH377" s="176">
        <f t="shared" si="144"/>
        <v>6</v>
      </c>
      <c r="AI377" s="225">
        <f t="shared" si="145"/>
        <v>0.49738892309801586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44925</v>
      </c>
      <c r="B378" s="1140">
        <v>13.063000000000001</v>
      </c>
      <c r="C378" s="841"/>
      <c r="D378" s="393">
        <f t="shared" si="127"/>
        <v>13.548473468058637</v>
      </c>
      <c r="E378" s="385">
        <f t="shared" si="150"/>
        <v>14.280148455352512</v>
      </c>
      <c r="F378" s="385">
        <f t="shared" si="128"/>
        <v>14.282712714796833</v>
      </c>
      <c r="G378" s="110">
        <f t="shared" si="151"/>
        <v>0.56119279993460713</v>
      </c>
      <c r="H378" s="414" t="b">
        <f>Wh_hp&gt;='2021'!Maxi_hp</f>
        <v>0</v>
      </c>
      <c r="I378" s="380">
        <f>IF(H378,Wh_hp,'2021'!Maxi_hp)</f>
        <v>26.021620495154139</v>
      </c>
      <c r="J378" s="85">
        <f>IF(H378,An,'2021'!An_max)</f>
        <v>2019</v>
      </c>
      <c r="K378" s="197">
        <f t="shared" si="129"/>
        <v>44925</v>
      </c>
      <c r="L378" s="147">
        <f>IF(t&lt;Tvie,1-EXP((T0-t)*PertePVj)+'2021'!Pspv,1-EXP((T0-t)*PertePVj)+Pspv)</f>
        <v>3.58323370675796E-2</v>
      </c>
      <c r="M378" s="845"/>
      <c r="N378" s="845"/>
      <c r="O378" s="48">
        <f>IF(t&lt;Tnet,'2021'!Resal+('2021'!Salim-'2021'!Resal)*(1-EXP(('2021'!Tnet-t)/('2021'!Tau_j))),Resal+(Salim-Resal)*(1-EXP((Tnet-t)/(Tau_j))))*Salcycl</f>
        <v>5.1237211544507999E-2</v>
      </c>
      <c r="P378" s="339">
        <f>(INDEX(Models!$BJ378:$BT378,,T378)*(1-R378)+INDEX(Models!$BJ378:$BT378,,T378+1)*R378-ERP_i)*Q378*Ramure*Pc/MaxiM</f>
        <v>4.8084698783159072E-4</v>
      </c>
      <c r="Q378" s="305">
        <f t="shared" si="130"/>
        <v>0.5</v>
      </c>
      <c r="R378" s="177">
        <f t="shared" si="131"/>
        <v>0.49738892309801586</v>
      </c>
      <c r="S378" s="811">
        <f t="shared" si="132"/>
        <v>0</v>
      </c>
      <c r="T378" s="176">
        <f t="shared" si="133"/>
        <v>6</v>
      </c>
      <c r="U378" s="251">
        <f t="shared" si="134"/>
        <v>0.49738892309801586</v>
      </c>
      <c r="V378" s="383">
        <f t="shared" si="135"/>
        <v>23.27019032991744</v>
      </c>
      <c r="W378" s="402">
        <f t="shared" si="136"/>
        <v>0</v>
      </c>
      <c r="X378" s="157">
        <f t="shared" si="137"/>
        <v>44925</v>
      </c>
      <c r="Y378" s="385">
        <f t="shared" si="138"/>
        <v>12.659798353548396</v>
      </c>
      <c r="Z378" s="385">
        <f t="shared" si="139"/>
        <v>13.130287231418729</v>
      </c>
      <c r="AA378" s="386">
        <f t="shared" si="140"/>
        <v>14.280148455352512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8.052165756741772E-2</v>
      </c>
      <c r="AD378" s="231">
        <f>(INDEX(Models!$BJ378:$BT378,,AH378)*(1-AF378)+INDEX(Models!$BJ378:$BT378,,AH378+1)*AF378-ERP_i)*AE378*Ramure*Pc/MaxiM</f>
        <v>4.8084698783159072E-4</v>
      </c>
      <c r="AE378" s="305">
        <f t="shared" si="142"/>
        <v>0.5</v>
      </c>
      <c r="AF378" s="177">
        <f t="shared" si="143"/>
        <v>0.49738892309801586</v>
      </c>
      <c r="AG378" s="811">
        <f t="shared" si="149"/>
        <v>0</v>
      </c>
      <c r="AH378" s="176">
        <f t="shared" si="144"/>
        <v>6</v>
      </c>
      <c r="AI378" s="225">
        <f t="shared" si="145"/>
        <v>0.49738892309801586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44926</v>
      </c>
      <c r="B379" s="1140">
        <v>12.122</v>
      </c>
      <c r="C379" s="841"/>
      <c r="D379" s="393">
        <f t="shared" si="127"/>
        <v>12.572777510352241</v>
      </c>
      <c r="E379" s="385">
        <f t="shared" si="150"/>
        <v>13.252606094689279</v>
      </c>
      <c r="F379" s="385">
        <f t="shared" si="128"/>
        <v>13.254576001501295</v>
      </c>
      <c r="G379" s="110">
        <f t="shared" si="151"/>
        <v>0.5174445651991848</v>
      </c>
      <c r="H379" s="414" t="b">
        <f>Wh_hp&gt;='2021'!Maxi_hp</f>
        <v>0</v>
      </c>
      <c r="I379" s="380">
        <f>IF(H379,Wh_hp,'2021'!Maxi_hp)</f>
        <v>25.489311551615195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3.5853454813868924E-2</v>
      </c>
      <c r="M379" s="845"/>
      <c r="N379" s="845"/>
      <c r="O379" s="48">
        <f>IF(t&lt;Tnet,'2021'!Resal+('2021'!Salim-'2021'!Resal)*(1-EXP(('2021'!Tnet-t)/('2021'!Tau_j))),Resal+(Salim-Resal)*(1-EXP((Tnet-t)/(Tau_j))))*Salcycl</f>
        <v>5.1297728120770582E-2</v>
      </c>
      <c r="P379" s="339">
        <f>(INDEX(Models!$BJ379:$BT379,,T379)*(1-R379)+INDEX(Models!$BJ379:$BT379,,T379+1)*R379-ERP_i)*Q379*Ramure*Pc/MaxiM</f>
        <v>4.780670608090596E-4</v>
      </c>
      <c r="Q379" s="306">
        <f t="shared" si="130"/>
        <v>0.5</v>
      </c>
      <c r="R379" s="177">
        <f t="shared" si="131"/>
        <v>0.49738892309801586</v>
      </c>
      <c r="S379" s="811">
        <f t="shared" si="132"/>
        <v>0</v>
      </c>
      <c r="T379" s="176">
        <f t="shared" si="133"/>
        <v>6</v>
      </c>
      <c r="U379" s="307">
        <f t="shared" si="134"/>
        <v>0.49738892309801586</v>
      </c>
      <c r="V379" s="383">
        <f t="shared" si="135"/>
        <v>23.418945090622767</v>
      </c>
      <c r="W379" s="402">
        <f t="shared" si="136"/>
        <v>0</v>
      </c>
      <c r="X379" s="157">
        <f t="shared" si="137"/>
        <v>44926</v>
      </c>
      <c r="Y379" s="385">
        <f t="shared" si="138"/>
        <v>11.748177825085648</v>
      </c>
      <c r="Z379" s="385">
        <f t="shared" si="139"/>
        <v>12.185054112098312</v>
      </c>
      <c r="AA379" s="386">
        <f t="shared" si="140"/>
        <v>13.252606094689279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8.0554117051646695E-2</v>
      </c>
      <c r="AD379" s="231">
        <f>(INDEX(Models!$BJ379:$BT379,,AH379)*(1-AF379)+INDEX(Models!$BJ379:$BT379,,AH379+1)*AF379-ERP_i)*AE379*Ramure*Pc/MaxiM</f>
        <v>4.780670608090596E-4</v>
      </c>
      <c r="AE379" s="306">
        <f t="shared" si="142"/>
        <v>0.5</v>
      </c>
      <c r="AF379" s="177">
        <f t="shared" si="143"/>
        <v>0.49738892309801586</v>
      </c>
      <c r="AG379" s="811">
        <f t="shared" si="149"/>
        <v>0</v>
      </c>
      <c r="AH379" s="176">
        <f t="shared" si="144"/>
        <v>6</v>
      </c>
      <c r="AI379" s="222">
        <f t="shared" si="145"/>
        <v>0.49738892309801586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9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15.05843026866239</v>
      </c>
      <c r="J380" s="85">
        <f>IF(H380,An,'2021'!An_max)</f>
        <v>2020</v>
      </c>
      <c r="K380" s="234"/>
      <c r="L380" s="214"/>
      <c r="M380" s="850"/>
      <c r="N380" s="850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1.7929999999999999</v>
      </c>
      <c r="C381" s="375"/>
      <c r="D381" s="373">
        <f>MIN(D15:D380)</f>
        <v>1.8452719711843366</v>
      </c>
      <c r="E381" s="373">
        <f>MIN(E15:E380)</f>
        <v>1.8932842070712099</v>
      </c>
      <c r="F381" s="374">
        <f>MIN(F15:F380)</f>
        <v>1.8932842070712099</v>
      </c>
      <c r="G381" s="125">
        <f>+MIN(G15:G380)</f>
        <v>6.8490525871064106E-2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2.8135955875915553E-2</v>
      </c>
      <c r="M381" s="847"/>
      <c r="N381" s="847"/>
      <c r="O381" s="47">
        <f t="shared" si="152"/>
        <v>2.4750288157514119E-2</v>
      </c>
      <c r="P381" s="341">
        <f t="shared" si="152"/>
        <v>1.1422224964796455E-6</v>
      </c>
      <c r="Q381" s="310">
        <f t="shared" si="152"/>
        <v>0.5</v>
      </c>
      <c r="R381" s="311">
        <f t="shared" si="152"/>
        <v>1.3746630682452904E-4</v>
      </c>
      <c r="S381" s="811">
        <f t="shared" si="152"/>
        <v>-1</v>
      </c>
      <c r="T381" s="176">
        <f t="shared" si="152"/>
        <v>5</v>
      </c>
      <c r="U381" s="252">
        <f>+MIN(U15:U380)</f>
        <v>-2.6098038658130844E-3</v>
      </c>
      <c r="V381" s="373">
        <f>MIN(V15:V380)</f>
        <v>22.489806094020572</v>
      </c>
      <c r="W381" s="392"/>
      <c r="X381" s="112" t="s">
        <v>7</v>
      </c>
      <c r="Y381" s="373">
        <f>MIN(Y15:Y380)</f>
        <v>1.718593893469246</v>
      </c>
      <c r="Z381" s="373">
        <f>MIN(Z15:Z380)</f>
        <v>1.7686966767804571</v>
      </c>
      <c r="AA381" s="373">
        <f>MIN(AA15:AA380)</f>
        <v>1.8932842070712099</v>
      </c>
      <c r="AB381" s="200" t="s">
        <v>7</v>
      </c>
      <c r="AC381" s="47">
        <f t="shared" ref="AC381:AH381" si="153">MIN(AC15:AC380)</f>
        <v>6.5541863335599582E-2</v>
      </c>
      <c r="AD381" s="168">
        <f t="shared" si="153"/>
        <v>1.1422224964796455E-6</v>
      </c>
      <c r="AE381" s="310">
        <f t="shared" si="153"/>
        <v>0.5</v>
      </c>
      <c r="AF381" s="311">
        <f t="shared" si="153"/>
        <v>1.3746630682452904E-4</v>
      </c>
      <c r="AG381" s="811">
        <f t="shared" si="153"/>
        <v>-1</v>
      </c>
      <c r="AH381" s="176">
        <f t="shared" si="153"/>
        <v>5</v>
      </c>
      <c r="AI381" s="226">
        <f>MIN(AI15:AI380)</f>
        <v>-2.6098038658130844E-3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30.321982191780815</v>
      </c>
      <c r="C382" s="375"/>
      <c r="D382" s="375">
        <f>AVERAGE(D15:D380)</f>
        <v>31.32053651363147</v>
      </c>
      <c r="E382" s="375">
        <f>AVERAGE(E15:E380)</f>
        <v>32.603682704061384</v>
      </c>
      <c r="F382" s="376">
        <f>AVERAGE(F15:F380)</f>
        <v>32.606645437154747</v>
      </c>
      <c r="G382" s="126">
        <f>AVERAGE(G15:G380)</f>
        <v>0.6722777647996071</v>
      </c>
      <c r="H382" s="94"/>
      <c r="I382" s="376">
        <f>AVERAGE(I15:I380)</f>
        <v>43.917567275552003</v>
      </c>
      <c r="J382" s="59">
        <f>AVERAGE(J15:J380)</f>
        <v>2020.0928961748634</v>
      </c>
      <c r="K382" s="200" t="s">
        <v>8</v>
      </c>
      <c r="L382" s="147">
        <f t="shared" ref="L382:V382" si="154">AVERAGE(L15:L380)</f>
        <v>3.1999818644726348E-2</v>
      </c>
      <c r="M382" s="845"/>
      <c r="N382" s="845"/>
      <c r="O382" s="48">
        <f t="shared" si="154"/>
        <v>3.9397531722814405E-2</v>
      </c>
      <c r="P382" s="169">
        <f t="shared" si="154"/>
        <v>1.7103543408510875E-4</v>
      </c>
      <c r="Q382" s="312">
        <f t="shared" si="154"/>
        <v>0.5</v>
      </c>
      <c r="R382" s="177">
        <f t="shared" si="154"/>
        <v>0.38412310820182405</v>
      </c>
      <c r="S382" s="811">
        <f t="shared" si="154"/>
        <v>-0.10684931506849316</v>
      </c>
      <c r="T382" s="176">
        <f t="shared" si="154"/>
        <v>5.8931506849315065</v>
      </c>
      <c r="U382" s="251">
        <f t="shared" si="154"/>
        <v>0.27727379313333073</v>
      </c>
      <c r="V382" s="375">
        <f t="shared" si="154"/>
        <v>43.750782820208975</v>
      </c>
      <c r="W382" s="392"/>
      <c r="X382" s="112" t="s">
        <v>8</v>
      </c>
      <c r="Y382" s="375">
        <f>AVERAGE(Y15:Y380)</f>
        <v>29.194358289893362</v>
      </c>
      <c r="Z382" s="375">
        <f>AVERAGE(Z15:Z380)</f>
        <v>30.155909806514313</v>
      </c>
      <c r="AA382" s="375">
        <f>AVERAGE(AA15:AA380)</f>
        <v>32.603682704061384</v>
      </c>
      <c r="AB382" s="200" t="s">
        <v>8</v>
      </c>
      <c r="AC382" s="48">
        <f t="shared" ref="AC382:AH382" si="155">AVERAGE(AC15:AC380)</f>
        <v>7.4816213850155716E-2</v>
      </c>
      <c r="AD382" s="169">
        <f t="shared" si="155"/>
        <v>1.7103543408510875E-4</v>
      </c>
      <c r="AE382" s="312">
        <f t="shared" si="155"/>
        <v>0.5</v>
      </c>
      <c r="AF382" s="177">
        <f t="shared" si="155"/>
        <v>0.38412310820182405</v>
      </c>
      <c r="AG382" s="811">
        <f t="shared" si="155"/>
        <v>-0.10684931506849316</v>
      </c>
      <c r="AH382" s="176">
        <f t="shared" si="155"/>
        <v>5.8931506849315065</v>
      </c>
      <c r="AI382" s="225">
        <f>AVERAGE(AI15:AI380)</f>
        <v>0.27727379313333073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58.178000000000004</v>
      </c>
      <c r="C383" s="377"/>
      <c r="D383" s="377">
        <f>MAX(D15:D380)</f>
        <v>60.056647891722207</v>
      </c>
      <c r="E383" s="377">
        <f>MAX(E15:E380)</f>
        <v>62.387981277764176</v>
      </c>
      <c r="F383" s="378">
        <f>MAX(F15:F380)</f>
        <v>62.395871267870142</v>
      </c>
      <c r="G383" s="127">
        <f>+MAX(G15:G380)</f>
        <v>1.0441658803409344</v>
      </c>
      <c r="H383" s="94"/>
      <c r="I383" s="378">
        <f>MAX(I15:I380)</f>
        <v>66.115436428019962</v>
      </c>
      <c r="J383" s="60">
        <f>MAX(J15:J380)</f>
        <v>2022</v>
      </c>
      <c r="K383" s="200" t="s">
        <v>9</v>
      </c>
      <c r="L383" s="148">
        <f t="shared" ref="L383:T383" si="156">MAX(L15:L380)</f>
        <v>3.5853454813868924E-2</v>
      </c>
      <c r="M383" s="848"/>
      <c r="N383" s="848"/>
      <c r="O383" s="49">
        <f t="shared" si="156"/>
        <v>5.1297728120770582E-2</v>
      </c>
      <c r="P383" s="170">
        <f t="shared" si="156"/>
        <v>5.0232054688150373E-4</v>
      </c>
      <c r="Q383" s="313">
        <f t="shared" si="156"/>
        <v>0.5</v>
      </c>
      <c r="R383" s="314">
        <f t="shared" si="156"/>
        <v>0.9999996898482334</v>
      </c>
      <c r="S383" s="812">
        <f t="shared" si="156"/>
        <v>0</v>
      </c>
      <c r="T383" s="233">
        <f t="shared" si="156"/>
        <v>6</v>
      </c>
      <c r="U383" s="253">
        <f>+MAX(U15:U380)</f>
        <v>0.49738892309801586</v>
      </c>
      <c r="V383" s="377">
        <f>MAX(V15:V380)</f>
        <v>59.444897101474893</v>
      </c>
      <c r="W383" s="392"/>
      <c r="X383" s="112" t="s">
        <v>9</v>
      </c>
      <c r="Y383" s="377">
        <f>MAX(Y15:Y380)</f>
        <v>55.960921787651003</v>
      </c>
      <c r="Z383" s="377">
        <f>MAX(Z15:Z380)</f>
        <v>57.767977164858912</v>
      </c>
      <c r="AA383" s="377">
        <f>MAX(AA15:AA380)</f>
        <v>62.387981277764176</v>
      </c>
      <c r="AB383" s="200" t="s">
        <v>9</v>
      </c>
      <c r="AC383" s="49">
        <f t="shared" ref="AC383:AH383" si="157">MAX(AC15:AC380)</f>
        <v>8.0554117051646695E-2</v>
      </c>
      <c r="AD383" s="170">
        <f t="shared" si="157"/>
        <v>5.0232054688150373E-4</v>
      </c>
      <c r="AE383" s="313">
        <f t="shared" si="157"/>
        <v>0.5</v>
      </c>
      <c r="AF383" s="314">
        <f t="shared" si="157"/>
        <v>0.9999996898482334</v>
      </c>
      <c r="AG383" s="812">
        <f t="shared" si="157"/>
        <v>0</v>
      </c>
      <c r="AH383" s="233">
        <f t="shared" si="157"/>
        <v>6</v>
      </c>
      <c r="AI383" s="227">
        <f>MAX(AI15:AI380)</f>
        <v>0.49738892309801586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86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2023-01-15T14:32:50Z</dcterms:modified>
</cp:coreProperties>
</file>